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Scenario_Log" sheetId="2" state="visible" r:id="rId4"/>
    <sheet name="Decision_Matrix" sheetId="3" state="visible" r:id="rId5"/>
    <sheet name="Control_Panel" sheetId="4" state="visible" r:id="rId6"/>
    <sheet name="Monitor_Control" sheetId="5" state="visible" r:id="rId7"/>
    <sheet name="AI_Model" sheetId="6" state="visible" r:id="rId8"/>
    <sheet name="Tipping_Points" sheetId="7" state="visible" r:id="rId9"/>
    <sheet name="Equity_Lens" sheetId="8" state="visible" r:id="rId10"/>
    <sheet name="Sustainability" sheetId="9" state="visible" r:id="rId11"/>
    <sheet name="Optimise" sheetId="10" state="visible" r:id="rId12"/>
    <sheet name="Risk_Register" sheetId="11" state="visible" r:id="rId13"/>
    <sheet name="Req_Feedback" sheetId="12" state="visible" r:id="rId14"/>
    <sheet name="Annual_Trend" sheetId="13" state="visible" r:id="rId15"/>
    <sheet name="Student_Tasks" sheetId="14" state="visible" r:id="rId16"/>
    <sheet name="Data_Heathrow" sheetId="15" state="visible" r:id="rId17"/>
    <sheet name="Sources_Licence" sheetId="16" state="visible" r:id="rId18"/>
  </sheets>
  <definedNames>
    <definedName function="false" hidden="false" name="AC_Pen" vbProcedure="false">Sustainability!$C$7</definedName>
    <definedName function="false" hidden="false" name="Beta" vbProcedure="false">Control_Panel!$C$54</definedName>
    <definedName function="false" hidden="false" name="Budget" vbProcedure="false">Control_Panel!$C$38</definedName>
    <definedName function="false" hidden="false" name="Calib_Target" vbProcedure="false">Control_Panel!$C$33</definedName>
    <definedName function="false" hidden="false" name="Calib_Year" vbProcedure="false">Control_Panel!$C$34</definedName>
    <definedName function="false" hidden="false" name="Capacity" vbProcedure="false">Control_Panel!$C$30</definedName>
    <definedName function="false" hidden="false" name="Carbon_Budget" vbProcedure="false">Control_Panel!$C$37</definedName>
    <definedName function="false" hidden="false" name="Carbon_Now" vbProcedure="false">Sustainability!$C$29</definedName>
    <definedName function="false" hidden="false" name="CDD_Base" vbProcedure="false">Sustainability!$C$5</definedName>
    <definedName function="false" hidden="false" name="Climate_Shift" vbProcedure="false">Control_Panel!$C$8</definedName>
    <definedName function="false" hidden="false" name="Coef_A" vbProcedure="false">AI_Model!$C$31</definedName>
    <definedName function="false" hidden="false" name="Coef_B1" vbProcedure="false">AI_Model!$C$29</definedName>
    <definedName function="false" hidden="false" name="Coef_B2" vbProcedure="false">AI_Model!$C$30</definedName>
    <definedName function="false" hidden="false" name="CUSUM_h" vbProcedure="false">Control_Panel!$C$23</definedName>
    <definedName function="false" hidden="false" name="CUSUM_k" vbProcedure="false">Control_Panel!$C$22</definedName>
    <definedName function="false" hidden="false" name="Day_Red_Frac" vbProcedure="false">Control_Panel!$C$45</definedName>
    <definedName function="false" hidden="false" name="Deaths_Appetite" vbProcedure="false">Control_Panel!$C$36</definedName>
    <definedName function="false" hidden="false" name="Decay" vbProcedure="false">Control_Panel!$C$29</definedName>
    <definedName function="false" hidden="false" name="Drift_Rate" vbProcedure="false">Control_Panel!$C$17</definedName>
    <definedName function="false" hidden="false" name="Drift_Start" vbProcedure="false">Control_Panel!$C$18</definedName>
    <definedName function="false" hidden="false" name="First_Drift" vbProcedure="false">Monitor_Control!$AL$12</definedName>
    <definedName function="false" hidden="false" name="First_Gap" vbProcedure="false">Monitor_Control!$AL$13</definedName>
    <definedName function="false" hidden="false" name="First_Hot" vbProcedure="false">Monitor_Control!$AL$9</definedName>
    <definedName function="false" hidden="false" name="First_HW" vbProcedure="false">Monitor_Control!$AL$10</definedName>
    <definedName function="false" hidden="false" name="First_Tip" vbProcedure="false">Monitor_Control!$AL$11</definedName>
    <definedName function="false" hidden="false" name="Green_Seq" vbProcedure="false">Sustainability!$C$10</definedName>
    <definedName function="false" hidden="false" name="Grid_CF" vbProcedure="false">Sustainability!$C$9</definedName>
    <definedName function="false" hidden="false" name="Households" vbProcedure="false">Sustainability!$C$6</definedName>
    <definedName function="false" hidden="false" name="HW_Days" vbProcedure="false">Control_Panel!$C$11</definedName>
    <definedName function="false" hidden="false" name="HW_Prob" vbProcedure="false">Annual_Trend!$H$52</definedName>
    <definedName function="false" hidden="false" name="KPI_Amber" vbProcedure="false">Monitor_Control!$L$4</definedName>
    <definedName function="false" hidden="false" name="KPI_DeathsTyp" vbProcedure="false">Monitor_Control!$R$6</definedName>
    <definedName function="false" hidden="false" name="KPI_DriftDays" vbProcedure="false">Monitor_Control!$H$6</definedName>
    <definedName function="false" hidden="false" name="KPI_FalseAlarms" vbProcedure="false">Monitor_Control!$N$6</definedName>
    <definedName function="false" hidden="false" name="KPI_HotDays" vbProcedure="false">Monitor_Control!$D$4</definedName>
    <definedName function="false" hidden="false" name="KPI_HWDays" vbProcedure="false">Monitor_Control!$H$4</definedName>
    <definedName function="false" hidden="false" name="KPI_MaxRun" vbProcedure="false">Monitor_Control!$J$4</definedName>
    <definedName function="false" hidden="false" name="KPI_Misses" vbProcedure="false">Monitor_Control!$L$6</definedName>
    <definedName function="false" hidden="false" name="KPI_PeakStock" vbProcedure="false">Monitor_Control!$R$4</definedName>
    <definedName function="false" hidden="false" name="KPI_PeakTX" vbProcedure="false">Monitor_Control!$P$4</definedName>
    <definedName function="false" hidden="false" name="KPI_Recall" vbProcedure="false">Monitor_Control!$J$6</definedName>
    <definedName function="false" hidden="false" name="KPI_Red" vbProcedure="false">Monitor_Control!$N$4</definedName>
    <definedName function="false" hidden="false" name="KPI_RepGap" vbProcedure="false">Monitor_Control!$P$6</definedName>
    <definedName function="false" hidden="false" name="KPI_SuspectHot" vbProcedure="false">Monitor_Control!$F$6</definedName>
    <definedName function="false" hidden="false" name="KPI_TipDays" vbProcedure="false">Monitor_Control!$D$6</definedName>
    <definedName function="false" hidden="false" name="KPI_WarmNights" vbProcedure="false">Monitor_Control!$F$4</definedName>
    <definedName function="false" hidden="false" name="kWh_CDD" vbProcedure="false">Sustainability!$C$8</definedName>
    <definedName function="false" hidden="false" name="kWh_Retrain" vbProcedure="false">Sustainability!$C$12</definedName>
    <definedName function="false" hidden="false" name="Leak_Flag" vbProcedure="false">AI_Model!$C$38</definedName>
    <definedName function="false" hidden="false" name="Local_Sensing" vbProcedure="false">Control_Panel!$C$50</definedName>
    <definedName function="false" hidden="false" name="Logistic_k" vbProcedure="false">Control_Panel!$C$31</definedName>
    <definedName function="false" hidden="false" name="London_Deaths" vbProcedure="false">Equity_Lens!$K$10</definedName>
    <definedName function="false" hidden="false" name="MAE_Tol" vbProcedure="false">Control_Panel!$C$24</definedName>
    <definedName function="false" hidden="false" name="Mit_On" vbProcedure="false">Control_Panel!$C$44</definedName>
    <definedName function="false" hidden="false" name="Night_Red_Frac" vbProcedure="false">Control_Panel!$C$46</definedName>
    <definedName function="false" hidden="false" name="Opt_AC_Extra" vbProcedure="false">Optimise!$C$20</definedName>
    <definedName function="false" hidden="false" name="Opt_Day_Frac" vbProcedure="false">Optimise!$C$15</definedName>
    <definedName function="false" hidden="false" name="Opt_Night_Frac" vbProcedure="false">Optimise!$C$16</definedName>
    <definedName function="false" hidden="false" name="Opt_Retrain_Lvl" vbProcedure="false">Optimise!$C$19</definedName>
    <definedName function="false" hidden="false" name="Opt_Sensor_Lvl" vbProcedure="false">Optimise!$C$18</definedName>
    <definedName function="false" hidden="false" name="Opt_Sens_Red" vbProcedure="false">Optimise!$C$17</definedName>
    <definedName function="false" hidden="false" name="Pop_Share_Sel" vbProcedure="false">Control_Panel!$C$43</definedName>
    <definedName function="false" hidden="false" name="QA_Policy" vbProcedure="false">Control_Panel!$C$16</definedName>
    <definedName function="false" hidden="false" name="Recall_Target" vbProcedure="false">Control_Panel!$C$25</definedName>
    <definedName function="false" hidden="false" name="Recovery_Rate" vbProcedure="false">Control_Panel!$C$28</definedName>
    <definedName function="false" hidden="false" name="Req_CR_Count" vbProcedure="false">Req_Feedback!$D$15</definedName>
    <definedName function="false" hidden="false" name="Retrains" vbProcedure="false">Sustainability!$C$11</definedName>
    <definedName function="false" hidden="false" name="Retrain_On" vbProcedure="false">Control_Panel!$C$51</definedName>
    <definedName function="false" hidden="false" name="Scenario" vbProcedure="false">Control_Panel!$C$7</definedName>
    <definedName function="false" hidden="false" name="SelYear" vbProcedure="false">Control_Panel!$C$5</definedName>
    <definedName function="false" hidden="false" name="Sens_Red" vbProcedure="false">Control_Panel!$C$49</definedName>
    <definedName function="false" hidden="false" name="Train_End" vbProcedure="false">Control_Panel!$C$53</definedName>
    <definedName function="false" hidden="false" name="Train_End_In" vbProcedure="false">Control_Panel!$C$21</definedName>
    <definedName function="false" hidden="false" name="Train_Start" vbProcedure="false">Control_Panel!$C$52</definedName>
    <definedName function="false" hidden="false" name="Train_Start_In" vbProcedure="false">Control_Panel!$C$20</definedName>
    <definedName function="false" hidden="false" name="Typology" vbProcedure="false">Control_Panel!$C$6</definedName>
    <definedName function="false" hidden="false" name="T_Comfort" vbProcedure="false">Control_Panel!$C$27</definedName>
    <definedName function="false" hidden="false" name="T_Day" vbProcedure="false">Control_Panel!$C$10</definedName>
    <definedName function="false" hidden="false" name="T_Mort" vbProcedure="false">Control_Panel!$C$14</definedName>
    <definedName function="false" hidden="false" name="T_Night" vbProcedure="false">Control_Panel!$C$12</definedName>
    <definedName function="false" hidden="false" name="T_Red" vbProcedure="false">Control_Panel!$C$13</definedName>
    <definedName function="false" hidden="false" name="UHI_Day_Base" vbProcedure="false">Control_Panel!$C$41</definedName>
    <definedName function="false" hidden="false" name="UHI_Day_Eff" vbProcedure="false">Control_Panel!$C$47</definedName>
    <definedName function="false" hidden="false" name="UHI_Night_Base" vbProcedure="false">Control_Panel!$C$42</definedName>
    <definedName function="false" hidden="false" name="UHI_Night_Eff" vbProcedure="false">Control_Panel!$C$48</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Measurement site; urban–rural uplifts below are relative to this station.</t>
        </r>
      </text>
    </comment>
    <comment ref="B7" authorId="0">
      <text>
        <r>
          <rPr>
            <sz val="10"/>
            <rFont val="Arial"/>
            <family val="2"/>
          </rPr>
          <t xml:space="preserve">GLA: UHI can add 5–6°C at night on calm clear nights, up to 10°C in 2003 (vs countryside). Heathrow is already semi-urban, so relative uplift set lower. Assumption.</t>
        </r>
      </text>
    </comment>
    <comment ref="B8" authorId="0">
      <text>
        <r>
          <rPr>
            <sz val="10"/>
            <rFont val="Arial"/>
            <family val="2"/>
          </rPr>
          <t xml:space="preserve">Assumption — students should challenge.</t>
        </r>
      </text>
    </comment>
    <comment ref="B9" authorId="0">
      <text>
        <r>
          <rPr>
            <sz val="10"/>
            <rFont val="Arial"/>
            <family val="2"/>
          </rPr>
          <t xml:space="preserve">Parks/rivers can be cooler than surroundings. Assumption.</t>
        </r>
      </text>
    </comment>
  </commentList>
</comments>
</file>

<file path=xl/sharedStrings.xml><?xml version="1.0" encoding="utf-8"?>
<sst xmlns="http://schemas.openxmlformats.org/spreadsheetml/2006/main" count="853" uniqueCount="763">
  <si>
    <t xml:space="preserve">Project HEATWISE — Urban Heat Islands and Heat Domes: a monitoring-and-control simulation</t>
  </si>
  <si>
    <t xml:space="preserve">SPCE0019 Project Simulation | Interactive what-if workbook | Open data: ECA&amp;D daily observations, London Heathrow, May–September 1979–2023</t>
  </si>
  <si>
    <t xml:space="preserve">Scenario</t>
  </si>
  <si>
    <t xml:space="preserve">It is spring 2026. A London heat resilience programme (fictional: Project HEATWISE) has completed risk identification, assessment and mitigation planning. Your group is the programme's Risk &amp; Assurance team, responsible for step 4: MONITORING AND CONTROL. Replay real summers — above all the July 2022 heat dome — as if they were live, decide when to act, and turn what monitoring reveals into new or changed requirements.</t>
  </si>
  <si>
    <t xml:space="preserve">Core idea</t>
  </si>
  <si>
    <t xml:space="preserve">Monitoring and control is not the end of the risk process — it is a feedback loop. Live key risk indicators detect new and changing risks; each detection is the first step of requirements engineering (elicit → analyse → specify → validate). New requirements are then modelled, simulated and optimised (thresholds, tipping points, algorithm drift) and fed back into identification.</t>
  </si>
  <si>
    <t xml:space="preserve">The loop</t>
  </si>
  <si>
    <t xml:space="preserve">1 IDENTIFY → 2 ASSESS → 3 MITIGATE → 4 MONITOR &amp; CONTROL → (trigger) → REQUIREMENTS ENGINEERING → MODEL · SIMULATE · OPTIMISE → back to 1 IDENTIFY</t>
  </si>
  <si>
    <t xml:space="preserve">Four lenses</t>
  </si>
  <si>
    <t xml:space="preserve">DATA: quality flags, sensor drift, single-station bias.  AI: a forecasting model that drifts as the climate shifts.  SUSTAINABILITY: cooling that adds carbon (maladaptation) vs nature-based solutions.  DIVERSITY &amp; INCLUSION: who is exposed, and who the monitoring misses.</t>
  </si>
  <si>
    <t xml:space="preserve">How to use</t>
  </si>
  <si>
    <t xml:space="preserve">1) Explore what-if scenarios in the HEATWISE dashboard: https://sbegucl.github.io/heatwise/  2) Press Record scenario and paste each row into Scenario_Log.  3) Shortlist, score and vote in Decision_Matrix, and record your decision.  4) Complete Risk_Register and Req_Feedback.  The other sheets hold the same model as the dashboard for checking figures, tracing formulas and running Solver on Optimise.</t>
  </si>
  <si>
    <t xml:space="preserve">Colour key</t>
  </si>
  <si>
    <t xml:space="preserve">Blue bold text on yellow = input you may change.  Black = formula.  Green = link from another sheet.  Red/amber/green fills = status.  Don't overwrite black cells — copy the workbook first if you want to experiment structurally.</t>
  </si>
  <si>
    <t xml:space="preserve">Spot the incident</t>
  </si>
  <si>
    <t xml:space="preserve">Look at 19 July 2022 on Monitor_Control with QA policy 'Use raw'. The recorded maximum is lower than the daily mean — physically impossible — and the source flags it as suspect. What would your monitoring system have done on the most dangerous day of the summer?</t>
  </si>
  <si>
    <t xml:space="preserve">Honesty about the model</t>
  </si>
  <si>
    <t xml:space="preserve">This is a teaching model. The UHI uplifts, group profiles, capacity and intervention effects are assumptions for groups to evidence or challenge. The alert logic is simplified: UKHSA's real heat-health alerts are impact-based. Heathrow is an airport station, not the city centre — that limitation is part of the exercise.</t>
  </si>
  <si>
    <t xml:space="preserve">Recalculation</t>
  </si>
  <si>
    <t xml:space="preserve">Excel recalculates automatically. If values look stale, press F9. The workbook uses only standard functions (no macros), so it also works in LibreOffice and most online spreadsheet tools that open .xlsx.</t>
  </si>
  <si>
    <t xml:space="preserve">Sheet map</t>
  </si>
  <si>
    <t xml:space="preserve">Scenario_Log</t>
  </si>
  <si>
    <t xml:space="preserve">Paste target for every scenario recorded from the dashboard, scored against the six board targets.</t>
  </si>
  <si>
    <t xml:space="preserve">Decision_Matrix</t>
  </si>
  <si>
    <t xml:space="preserve">Group weights, shortlist, scores, vote, final decision, relaxed target and dissent log.</t>
  </si>
  <si>
    <t xml:space="preserve">Control_Panel</t>
  </si>
  <si>
    <t xml:space="preserve">All what-if levers and the live KRI dashboard.</t>
  </si>
  <si>
    <t xml:space="preserve">Monitor_Control</t>
  </si>
  <si>
    <t xml:space="preserve">The daily feedback loop for the chosen year and neighbourhood: observe, QA, compare, detect, act.</t>
  </si>
  <si>
    <t xml:space="preserve">AI_Model</t>
  </si>
  <si>
    <t xml:space="preserve">Transparent OLS forecaster; training window; leakage check.</t>
  </si>
  <si>
    <t xml:space="preserve">Tipping_Points</t>
  </si>
  <si>
    <t xml:space="preserve">Threshold and climate-shift sweeps; stock-and-flow tipping model.</t>
  </si>
  <si>
    <t xml:space="preserve">Equity_Lens</t>
  </si>
  <si>
    <t xml:space="preserve">Neighbourhood typologies, representation gap, group exposure ranking.</t>
  </si>
  <si>
    <t xml:space="preserve">Sustainability</t>
  </si>
  <si>
    <t xml:space="preserve">Cooling degree-days, AC electricity, carbon and AI compute.</t>
  </si>
  <si>
    <t xml:space="preserve">Optimise</t>
  </si>
  <si>
    <t xml:space="preserve">Intervention portfolio, budget, deaths averted, carbon trade-off.</t>
  </si>
  <si>
    <t xml:space="preserve">Risk_Register</t>
  </si>
  <si>
    <t xml:space="preserve">Module template extended with KRIs, triggers and requirement links.</t>
  </si>
  <si>
    <t xml:space="preserve">Req_Feedback</t>
  </si>
  <si>
    <t xml:space="preserve">Change requests generated by triggers; disagreement log.</t>
  </si>
  <si>
    <t xml:space="preserve">Annual_Trend</t>
  </si>
  <si>
    <t xml:space="preserve">1979–2023 moving baseline and model drift by year.</t>
  </si>
  <si>
    <t xml:space="preserve">Student_Tasks</t>
  </si>
  <si>
    <t xml:space="preserve">Sprint tasks mapped to core-module frameworks and ILOs.</t>
  </si>
  <si>
    <t xml:space="preserve">Data_Heathrow</t>
  </si>
  <si>
    <t xml:space="preserve">Source observations (do not edit) plus helper columns.</t>
  </si>
  <si>
    <t xml:space="preserve">Sources_Licence</t>
  </si>
  <si>
    <t xml:space="preserve">Data provenance, licences and evidence for defaults.</t>
  </si>
  <si>
    <t xml:space="preserve">Scenario_Log — every what-if scenario your group tests</t>
  </si>
  <si>
    <t xml:space="preserve">Run scenarios in the HEATWISE dashboard (https://sbegucl.github.io/heatwise/). Press Record scenario, copy the row, then click the first empty cell in column B here and paste. Rows 5–6 are examples: keep them for comparison or delete them.</t>
  </si>
  <si>
    <t xml:space="preserve">SCENARIO</t>
  </si>
  <si>
    <t xml:space="preserve">SETTINGS</t>
  </si>
  <si>
    <t xml:space="preserve">INTERVENTION LEVELS (0–1)</t>
  </si>
  <si>
    <t xml:space="preserve">DEATHS (London-wide)</t>
  </si>
  <si>
    <t xml:space="preserve">COOLING CARBON</t>
  </si>
  <si>
    <t xml:space="preserve">REPRESENTATION GAP (Inner London)</t>
  </si>
  <si>
    <t xml:space="preserve">AI HOT-DAY RECALL %</t>
  </si>
  <si>
    <t xml:space="preserve">TIPPING DAYS (Inner London)</t>
  </si>
  <si>
    <t xml:space="preserve">TARGETS MET</t>
  </si>
  <si>
    <t xml:space="preserve">ID</t>
  </si>
  <si>
    <t xml:space="preserve">Recorded by</t>
  </si>
  <si>
    <t xml:space="preserve">Scenario name</t>
  </si>
  <si>
    <t xml:space="preserve">Year</t>
  </si>
  <si>
    <t xml:space="preserve">Mitigation</t>
  </si>
  <si>
    <t xml:space="preserve">Hot-day °C</t>
  </si>
  <si>
    <t xml:space="preserve">Warm-night °C</t>
  </si>
  <si>
    <t xml:space="preserve">Capacity °C·d</t>
  </si>
  <si>
    <t xml:space="preserve">QA policy</t>
  </si>
  <si>
    <t xml:space="preserve">Sensor drift °C/30d</t>
  </si>
  <si>
    <t xml:space="preserve">AI trained to</t>
  </si>
  <si>
    <t xml:space="preserve">Greening</t>
  </si>
  <si>
    <t xml:space="preserve">Cool roofs</t>
  </si>
  <si>
    <t xml:space="preserve">Cooling centres</t>
  </si>
  <si>
    <t xml:space="preserve">Sensors</t>
  </si>
  <si>
    <t xml:space="preserve">MLOps retrain</t>
  </si>
  <si>
    <t xml:space="preserve">AC subsidy</t>
  </si>
  <si>
    <t xml:space="preserve">Cost £m</t>
  </si>
  <si>
    <t xml:space="preserve">Deaths +0°C</t>
  </si>
  <si>
    <t xml:space="preserve">Deaths +1°C</t>
  </si>
  <si>
    <t xml:space="preserve">Deaths +2°C</t>
  </si>
  <si>
    <t xml:space="preserve">Carbon tCO₂e +0°C</t>
  </si>
  <si>
    <t xml:space="preserve">Carbon tCO₂e +1°C</t>
  </si>
  <si>
    <t xml:space="preserve">Carbon tCO₂e +2°C</t>
  </si>
  <si>
    <t xml:space="preserve">Rep. gap days +0°C</t>
  </si>
  <si>
    <t xml:space="preserve">Rep. gap days +1°C</t>
  </si>
  <si>
    <t xml:space="preserve">Rep. gap days +2°C</t>
  </si>
  <si>
    <t xml:space="preserve">AI recall % +0°C</t>
  </si>
  <si>
    <t xml:space="preserve">AI recall % +1°C</t>
  </si>
  <si>
    <t xml:space="preserve">AI recall % +2°C</t>
  </si>
  <si>
    <t xml:space="preserve">Tipping days +0°C</t>
  </si>
  <si>
    <t xml:space="preserve">Tipping days +1°C</t>
  </si>
  <si>
    <t xml:space="preserve">Tipping days +2°C</t>
  </si>
  <si>
    <t xml:space="preserve">Targets met +0°C</t>
  </si>
  <si>
    <t xml:space="preserve">Targets met +1°C</t>
  </si>
  <si>
    <t xml:space="preserve">Targets met +2°C</t>
  </si>
  <si>
    <t xml:space="preserve">Example</t>
  </si>
  <si>
    <t xml:space="preserve">Baseline: no portfolio</t>
  </si>
  <si>
    <t xml:space="preserve">Baseline</t>
  </si>
  <si>
    <t xml:space="preserve">Use raw</t>
  </si>
  <si>
    <t xml:space="preserve">Default portfolio: five measures at 50%, no AC</t>
  </si>
  <si>
    <t xml:space="preserve">With interventions</t>
  </si>
  <si>
    <t xml:space="preserve">Decision_Matrix — shortlist, score, vote and decide</t>
  </si>
  <si>
    <t xml:space="preserve">1) Agree weights.  2) Shortlist up to five scenario IDs from Scenario_Log.  3) Each member votes.  4) Record the decision, the target you relax and the dissent.</t>
  </si>
  <si>
    <t xml:space="preserve">1. Board targets and your group's weights</t>
  </si>
  <si>
    <t xml:space="preserve">Board target</t>
  </si>
  <si>
    <t xml:space="preserve">Limit</t>
  </si>
  <si>
    <t xml:space="preserve">Weight (0–5)</t>
  </si>
  <si>
    <t xml:space="preserve">Warming</t>
  </si>
  <si>
    <t xml:space="preserve">Weight</t>
  </si>
  <si>
    <t xml:space="preserve">Excess deaths (London-wide)</t>
  </si>
  <si>
    <t xml:space="preserve">+0°C</t>
  </si>
  <si>
    <t xml:space="preserve">Limits come from the Control_Panel risk-appetite cells. Weights are a group decision: say why in your recommendation.</t>
  </si>
  <si>
    <t xml:space="preserve">Portfolio cost £m</t>
  </si>
  <si>
    <t xml:space="preserve">+1°C</t>
  </si>
  <si>
    <t xml:space="preserve">Cooling carbon tCO₂e</t>
  </si>
  <si>
    <t xml:space="preserve">+2°C</t>
  </si>
  <si>
    <t xml:space="preserve">Representation gap days</t>
  </si>
  <si>
    <t xml:space="preserve">Total</t>
  </si>
  <si>
    <t xml:space="preserve">AI hot-day recall %</t>
  </si>
  <si>
    <t xml:space="preserve">Tipping days</t>
  </si>
  <si>
    <t xml:space="preserve">2. Shortlist (up to five scenarios)</t>
  </si>
  <si>
    <t xml:space="preserve">Scenario ID</t>
  </si>
  <si>
    <t xml:space="preserve">Name</t>
  </si>
  <si>
    <t xml:space="preserve">Deaths +0</t>
  </si>
  <si>
    <t xml:space="preserve">Deaths +1</t>
  </si>
  <si>
    <t xml:space="preserve">Deaths +2</t>
  </si>
  <si>
    <t xml:space="preserve">Carbon +0</t>
  </si>
  <si>
    <t xml:space="preserve">Carbon +1</t>
  </si>
  <si>
    <t xml:space="preserve">Carbon +2</t>
  </si>
  <si>
    <t xml:space="preserve">Gap +0</t>
  </si>
  <si>
    <t xml:space="preserve">Gap +1</t>
  </si>
  <si>
    <t xml:space="preserve">Gap +2</t>
  </si>
  <si>
    <t xml:space="preserve">Recall +0</t>
  </si>
  <si>
    <t xml:space="preserve">Recall +1</t>
  </si>
  <si>
    <t xml:space="preserve">Recall +2</t>
  </si>
  <si>
    <t xml:space="preserve">Tipping +0</t>
  </si>
  <si>
    <t xml:space="preserve">Tipping +1</t>
  </si>
  <si>
    <t xml:space="preserve">Tipping +2</t>
  </si>
  <si>
    <t xml:space="preserve">Met +0</t>
  </si>
  <si>
    <t xml:space="preserve">Met +1</t>
  </si>
  <si>
    <t xml:space="preserve">Met +2</t>
  </si>
  <si>
    <t xml:space="preserve">Weighted score</t>
  </si>
  <si>
    <t xml:space="preserve">Votes</t>
  </si>
  <si>
    <t xml:space="preserve">Rank</t>
  </si>
  <si>
    <t xml:space="preserve">S01</t>
  </si>
  <si>
    <t xml:space="preserve">S02</t>
  </si>
  <si>
    <t xml:space="preserve">No scenario meets every target at +2°C: the weighted score shows which trade-off your weights favour, not the right answer.</t>
  </si>
  <si>
    <t xml:space="preserve">3. Group vote</t>
  </si>
  <si>
    <t xml:space="preserve">Member (initials)</t>
  </si>
  <si>
    <t xml:space="preserve">Role this round</t>
  </si>
  <si>
    <t xml:space="preserve">Vote (scenario ID)</t>
  </si>
  <si>
    <t xml:space="preserve">Why</t>
  </si>
  <si>
    <t xml:space="preserve">4. Decision</t>
  </si>
  <si>
    <t xml:space="preserve">Chosen scenario ID</t>
  </si>
  <si>
    <t xml:space="preserve">Chosen scenario name</t>
  </si>
  <si>
    <t xml:space="preserve">Target we recommend relaxing</t>
  </si>
  <si>
    <t xml:space="preserve">Why this trade-off</t>
  </si>
  <si>
    <t xml:space="preserve">Residual risk and who carries it</t>
  </si>
  <si>
    <t xml:space="preserve">Copilot challenge: strongest objection and our response</t>
  </si>
  <si>
    <t xml:space="preserve">5. Dissent log (at least two entries)</t>
  </si>
  <si>
    <t xml:space="preserve">Who</t>
  </si>
  <si>
    <t xml:space="preserve">Disagreed about</t>
  </si>
  <si>
    <t xml:space="preserve">Evidence tested in the dashboard</t>
  </si>
  <si>
    <t xml:space="preserve">How it was resolved</t>
  </si>
  <si>
    <t xml:space="preserve">Control Panel — what-if levers (Project HEATWISE)</t>
  </si>
  <si>
    <t xml:space="preserve">Blue text on yellow = inputs you change. Black = formulas. Green = links from other sheets. Every output in the workbook recalculates from these levers.</t>
  </si>
  <si>
    <t xml:space="preserve">A. Scenario</t>
  </si>
  <si>
    <t xml:space="preserve">Live monitoring dashboard (selected year and area)</t>
  </si>
  <si>
    <t xml:space="preserve">Monitoring year (1979–2023)</t>
  </si>
  <si>
    <t xml:space="preserve">year</t>
  </si>
  <si>
    <t xml:space="preserve">2022 = July heat dome (40.2°C recorded at Heathrow on 18 Jul in this series).</t>
  </si>
  <si>
    <t xml:space="preserve">Key risk indicator</t>
  </si>
  <si>
    <t xml:space="preserve">Value</t>
  </si>
  <si>
    <t xml:space="preserve">Status</t>
  </si>
  <si>
    <t xml:space="preserve">Neighbourhood typology monitored</t>
  </si>
  <si>
    <t xml:space="preserve">Inner London: dense, low green</t>
  </si>
  <si>
    <t xml:space="preserve">Drives the urban heat island (UHI) uplift applied to the reference station. Edit uplifts on Equity_Lens.</t>
  </si>
  <si>
    <t xml:space="preserve">Hot days</t>
  </si>
  <si>
    <t xml:space="preserve">Mitigation scenario</t>
  </si>
  <si>
    <t xml:space="preserve">'With interventions' applies the levels set on the Optimise sheet.</t>
  </si>
  <si>
    <t xml:space="preserve">Heatwave days (Met Office-style)</t>
  </si>
  <si>
    <t xml:space="preserve">Climate shift added to observations</t>
  </si>
  <si>
    <t xml:space="preserve">°C</t>
  </si>
  <si>
    <t xml:space="preserve">What-if warming applied uniformly. Try 0.5–3.0 to probe tipping points.</t>
  </si>
  <si>
    <t xml:space="preserve">Longest hot-day run</t>
  </si>
  <si>
    <t xml:space="preserve">B. Hazard thresholds (key risk indicators)</t>
  </si>
  <si>
    <t xml:space="preserve">Warm nights (no recovery)</t>
  </si>
  <si>
    <t xml:space="preserve">Hot-day threshold (daily max)</t>
  </si>
  <si>
    <t xml:space="preserve">Met Office heatwave threshold for London = 28°C on ≥3 consecutive days.</t>
  </si>
  <si>
    <t xml:space="preserve">Amber-or-red alert days</t>
  </si>
  <si>
    <t xml:space="preserve">Consecutive hot days that define a heatwave</t>
  </si>
  <si>
    <t xml:space="preserve">days</t>
  </si>
  <si>
    <t xml:space="preserve">Met Office definition: at least three consecutive days.</t>
  </si>
  <si>
    <t xml:space="preserve">Peak adjusted daily max °C</t>
  </si>
  <si>
    <t xml:space="preserve">Warm-night threshold (daily min)</t>
  </si>
  <si>
    <t xml:space="preserve">Assumption: commonly cited legacy London night threshold — verify and justify.</t>
  </si>
  <si>
    <t xml:space="preserve">Peak heat-stress stock (°C·days)</t>
  </si>
  <si>
    <t xml:space="preserve">Red-alert daily max (with warm night)</t>
  </si>
  <si>
    <t xml:space="preserve">Teaching assumption: UKHSA alerts are impact-based, not a single temperature.</t>
  </si>
  <si>
    <t xml:space="preserve">Tipping days (capacity exceeded)</t>
  </si>
  <si>
    <t xml:space="preserve">Mean-temperature threshold for heat mortality</t>
  </si>
  <si>
    <t xml:space="preserve">UKHSA defines heat episodes partly by mean CET ≥ 20°C. Used here for the exposure–response model.</t>
  </si>
  <si>
    <t xml:space="preserve">First tipping date</t>
  </si>
  <si>
    <t xml:space="preserve">C. Data quality</t>
  </si>
  <si>
    <t xml:space="preserve">London-wide excess deaths (model)</t>
  </si>
  <si>
    <t xml:space="preserve">Suspect-observation policy</t>
  </si>
  <si>
    <t xml:space="preserve">Use raw | Exclude suspect | Impute with model. Suspect = ECA&amp;D flag ≠ 0 or TX &lt; TG.</t>
  </si>
  <si>
    <t xml:space="preserve">Suspect observations on hot/warm days</t>
  </si>
  <si>
    <t xml:space="preserve">Injected sensor drift</t>
  </si>
  <si>
    <t xml:space="preserve">°C/30d</t>
  </si>
  <si>
    <t xml:space="preserve">Simulates a degrading thermometer (data drift). 0 = off. Try 1.0.</t>
  </si>
  <si>
    <t xml:space="preserve">AI drift-alarm events</t>
  </si>
  <si>
    <t xml:space="preserve">Sensor drift starts on season day</t>
  </si>
  <si>
    <t xml:space="preserve">day</t>
  </si>
  <si>
    <t xml:space="preserve">Day 1 = 1 May; day 62 = 1 July; day 79 = 18 July.</t>
  </si>
  <si>
    <t xml:space="preserve">First drift alarm</t>
  </si>
  <si>
    <t xml:space="preserve">D. AI forecasting model and drift monitoring</t>
  </si>
  <si>
    <t xml:space="preserve">AI hot-day recall</t>
  </si>
  <si>
    <t xml:space="preserve">Training window start year</t>
  </si>
  <si>
    <t xml:space="preserve">Model: next-day max temperature from today's max and sea-level pressure (OLS).</t>
  </si>
  <si>
    <t xml:space="preserve">AI missed hot days</t>
  </si>
  <si>
    <t xml:space="preserve">Training window end year</t>
  </si>
  <si>
    <t xml:space="preserve">An old window bakes in a cooler climate → concept drift.</t>
  </si>
  <si>
    <t xml:space="preserve">Test year inside training window? (leak)</t>
  </si>
  <si>
    <t xml:space="preserve">CUSUM allowance k</t>
  </si>
  <si>
    <t xml:space="preserve">Slack per day before bias accumulates. Calibrated: ~0.5 false alarms per summer in-sample.</t>
  </si>
  <si>
    <t xml:space="preserve">Representation-gap days</t>
  </si>
  <si>
    <t xml:space="preserve">CUSUM decision interval h</t>
  </si>
  <si>
    <t xml:space="preserve">Alarm when cumulative bias exceeds h; CUSUM resets after each alarm.</t>
  </si>
  <si>
    <t xml:space="preserve">Cooling carbon tCO₂e (scenario)</t>
  </si>
  <si>
    <t xml:space="preserve">Rolling 7-day MAE tolerance</t>
  </si>
  <si>
    <t xml:space="preserve">Alarm when the model's recent error exceeds tolerance (typical MAE ≈ 2°C).</t>
  </si>
  <si>
    <t xml:space="preserve">Requirement change requests raised</t>
  </si>
  <si>
    <t xml:space="preserve">Required hot-day recall of the AI alert</t>
  </si>
  <si>
    <t xml:space="preserve">Share of actual hot days the model must flag (missed alerts harm people).</t>
  </si>
  <si>
    <t xml:space="preserve">E. Tipping-point model (stock and flow of heat stress)</t>
  </si>
  <si>
    <t xml:space="preserve">Daytime heat-load threshold</t>
  </si>
  <si>
    <t xml:space="preserve">Inflow to the heat-stress stock = max(0, TX_adj − this).</t>
  </si>
  <si>
    <t xml:space="preserve">Night-time recovery rate</t>
  </si>
  <si>
    <t xml:space="preserve">per °C</t>
  </si>
  <si>
    <t xml:space="preserve">Extra outflow = rate × max(0, T_Night − TN_adj). Warm nights → no extra recovery.</t>
  </si>
  <si>
    <t xml:space="preserve">Baseline daily recovery (decay)</t>
  </si>
  <si>
    <t xml:space="preserve">fraction/day</t>
  </si>
  <si>
    <t xml:space="preserve">Share of the stock that dissipates each day. Calibrated so inner London tips only in extreme summers (2003, 2020, 2022).</t>
  </si>
  <si>
    <t xml:space="preserve">System capacity (tipping threshold)</t>
  </si>
  <si>
    <t xml:space="preserve">°C·days</t>
  </si>
  <si>
    <t xml:space="preserve">Stock above this = services overwhelmed (tipping). Teaching calibration — challenge it.</t>
  </si>
  <si>
    <t xml:space="preserve">Steepness of failure curve</t>
  </si>
  <si>
    <t xml:space="preserve">P(failure) = 1/(1+exp(−k·(stock − capacity))).</t>
  </si>
  <si>
    <t xml:space="preserve">F. Health model calibration</t>
  </si>
  <si>
    <t xml:space="preserve">Calibration target: London excess deaths</t>
  </si>
  <si>
    <t xml:space="preserve">deaths</t>
  </si>
  <si>
    <t xml:space="preserve">UKHSA Heat mortality monitoring report 2022: London total 387 (95% CI 158–615).</t>
  </si>
  <si>
    <t xml:space="preserve">Calibration year</t>
  </si>
  <si>
    <t xml:space="preserve">β is re-derived so the reference-climate model reproduces the target.</t>
  </si>
  <si>
    <t xml:space="preserve">G. Risk appetite and constraints</t>
  </si>
  <si>
    <t xml:space="preserve">Excess-death appetite (London, per summer)</t>
  </si>
  <si>
    <t xml:space="preserve">Programme board appetite. Group decision — justify it.</t>
  </si>
  <si>
    <t xml:space="preserve">Cooling carbon budget</t>
  </si>
  <si>
    <t xml:space="preserve">tCO₂e</t>
  </si>
  <si>
    <t xml:space="preserve">Net cooling-related emissions allowed per summer.</t>
  </si>
  <si>
    <t xml:space="preserve">Intervention budget</t>
  </si>
  <si>
    <t xml:space="preserve">£m</t>
  </si>
  <si>
    <t xml:space="preserve">Capital + annual revenue envelope for the Optimise sheet.</t>
  </si>
  <si>
    <t xml:space="preserve">H. Derived values (formulas — do not edit)</t>
  </si>
  <si>
    <t xml:space="preserve">Base daytime UHI uplift (selected typology)</t>
  </si>
  <si>
    <t xml:space="preserve">Base night-time UHI uplift</t>
  </si>
  <si>
    <t xml:space="preserve">Population share of selected typology</t>
  </si>
  <si>
    <t xml:space="preserve">Interventions active? (1 = yes)</t>
  </si>
  <si>
    <t xml:space="preserve">Daytime UHI reduction fraction</t>
  </si>
  <si>
    <t xml:space="preserve">Night-time UHI reduction fraction</t>
  </si>
  <si>
    <t xml:space="preserve">Effective daytime UHI uplift</t>
  </si>
  <si>
    <t xml:space="preserve">Effective night-time UHI uplift</t>
  </si>
  <si>
    <t xml:space="preserve">Health sensitivity reduction</t>
  </si>
  <si>
    <t xml:space="preserve">Neighbourhood sensing active? (1 = yes)</t>
  </si>
  <si>
    <t xml:space="preserve">Rolling retraining governance active? (1 = yes)</t>
  </si>
  <si>
    <t xml:space="preserve">Effective training start year</t>
  </si>
  <si>
    <t xml:space="preserve">Effective training end year</t>
  </si>
  <si>
    <t xml:space="preserve">Calibrated β (excess deaths per °C·day, London-wide)</t>
  </si>
  <si>
    <t xml:space="preserve">Monitor_Control — step 4 of risk management as a live feedback loop</t>
  </si>
  <si>
    <t xml:space="preserve">Each day: observe → quality-check → compare with thresholds and model → detect drift and tipping → recommend control action → raise requirement change. Scroll right for AI drift columns.</t>
  </si>
  <si>
    <t xml:space="preserve">Year:</t>
  </si>
  <si>
    <t xml:space="preserve">Warm nights</t>
  </si>
  <si>
    <t xml:space="preserve">Heatwave days</t>
  </si>
  <si>
    <t xml:space="preserve">Longest hot run</t>
  </si>
  <si>
    <t xml:space="preserve">Amber+ days</t>
  </si>
  <si>
    <t xml:space="preserve">Red days</t>
  </si>
  <si>
    <t xml:space="preserve">Peak TX adjusted °C</t>
  </si>
  <si>
    <t xml:space="preserve">Peak heat-stress stock</t>
  </si>
  <si>
    <t xml:space="preserve">Area:</t>
  </si>
  <si>
    <t xml:space="preserve">QA:</t>
  </si>
  <si>
    <t xml:space="preserve">Suspect obs on hot/warm days</t>
  </si>
  <si>
    <t xml:space="preserve">Drift-alarm events</t>
  </si>
  <si>
    <t xml:space="preserve">AI false alarms</t>
  </si>
  <si>
    <t xml:space="preserve">Excess deaths (this typology)</t>
  </si>
  <si>
    <t xml:space="preserve">Time</t>
  </si>
  <si>
    <t xml:space="preserve">1. OBSERVE &amp; QUALITY-CHECK</t>
  </si>
  <si>
    <t xml:space="preserve">2. COMPARE WITH THRESHOLDS</t>
  </si>
  <si>
    <t xml:space="preserve">3. TIPPING POINT &amp; IMPACT</t>
  </si>
  <si>
    <t xml:space="preserve">4. AI MODEL MONITORING (DRIFT, RECALL, EQUITY)</t>
  </si>
  <si>
    <t xml:space="preserve">5. CONTROL</t>
  </si>
  <si>
    <t xml:space="preserve">Day</t>
  </si>
  <si>
    <t xml:space="preserve">Data row</t>
  </si>
  <si>
    <t xml:space="preserve">Date</t>
  </si>
  <si>
    <t xml:space="preserve">TX observed °C</t>
  </si>
  <si>
    <t xml:space="preserve">Suspect obs</t>
  </si>
  <si>
    <t xml:space="preserve">Model forecast (raw) °C</t>
  </si>
  <si>
    <t xml:space="preserve">Injected sensor drift °C</t>
  </si>
  <si>
    <t xml:space="preserve">TX used (after QA) °C</t>
  </si>
  <si>
    <t xml:space="preserve">TX adjusted °C</t>
  </si>
  <si>
    <t xml:space="preserve">TN observed °C</t>
  </si>
  <si>
    <t xml:space="preserve">TN adjusted °C</t>
  </si>
  <si>
    <t xml:space="preserve">TG observed °C</t>
  </si>
  <si>
    <t xml:space="preserve">TG adjusted °C</t>
  </si>
  <si>
    <t xml:space="preserve">Hot day</t>
  </si>
  <si>
    <t xml:space="preserve">Warm night</t>
  </si>
  <si>
    <t xml:space="preserve">Hot-day run</t>
  </si>
  <si>
    <t xml:space="preserve">Heatwave day</t>
  </si>
  <si>
    <t xml:space="preserve">Alert level</t>
  </si>
  <si>
    <t xml:space="preserve">Alert score</t>
  </si>
  <si>
    <t xml:space="preserve">Heat-stress stock °C·d</t>
  </si>
  <si>
    <t xml:space="preserve">Tipping (stock &gt; capacity)</t>
  </si>
  <si>
    <t xml:space="preserve">P(service failure)</t>
  </si>
  <si>
    <t xml:space="preserve">Model forecast (adjusted) °C</t>
  </si>
  <si>
    <t xml:space="preserve">Residual °C</t>
  </si>
  <si>
    <t xml:space="preserve">|Residual| °C</t>
  </si>
  <si>
    <t xml:space="preserve">Rolling 7-day MAE °C</t>
  </si>
  <si>
    <t xml:space="preserve">CUSUM+ (under-forecast)</t>
  </si>
  <si>
    <t xml:space="preserve">CUSUM− (over-forecast)</t>
  </si>
  <si>
    <t xml:space="preserve">Drift alarm</t>
  </si>
  <si>
    <t xml:space="preserve">AI flags hot day</t>
  </si>
  <si>
    <t xml:space="preserve">AI outcome</t>
  </si>
  <si>
    <t xml:space="preserve">Reference station hot</t>
  </si>
  <si>
    <t xml:space="preserve">Representation gap</t>
  </si>
  <si>
    <t xml:space="preserve">Recommended control action</t>
  </si>
  <si>
    <t xml:space="preserve">First trigger dates</t>
  </si>
  <si>
    <t xml:space="preserve">T_Day line</t>
  </si>
  <si>
    <t xml:space="preserve">Capacity line</t>
  </si>
  <si>
    <t xml:space="preserve">CUSUM h line</t>
  </si>
  <si>
    <t xml:space="preserve">First hot day</t>
  </si>
  <si>
    <t xml:space="preserve">First heatwave day</t>
  </si>
  <si>
    <t xml:space="preserve">First tipping day</t>
  </si>
  <si>
    <t xml:space="preserve">First representation gap</t>
  </si>
  <si>
    <t xml:space="preserve">AI_Model — next-day maximum-temperature forecaster and its training window</t>
  </si>
  <si>
    <t xml:space="preserve">Ordinary least squares, solved transparently from masked sums over Data_Heathrow. Model: TX(t) = a + b1·TX(t−1) + b2·PP(t−1). Change the training window on the Control Panel.</t>
  </si>
  <si>
    <t xml:space="preserve">Training window</t>
  </si>
  <si>
    <t xml:space="preserve">Effective training start</t>
  </si>
  <si>
    <t xml:space="preserve">Retraining governance (Optimise) can override the manual window.</t>
  </si>
  <si>
    <t xml:space="preserve">Effective training end</t>
  </si>
  <si>
    <t xml:space="preserve">Rolling retraining active? (1 = yes)</t>
  </si>
  <si>
    <t xml:space="preserve">Set on Optimise (MLOps lever) with scenario 'With interventions'.</t>
  </si>
  <si>
    <t xml:space="preserve">n (training days)</t>
  </si>
  <si>
    <t xml:space="preserve">Valid days only: suspect values and gaps excluded.</t>
  </si>
  <si>
    <t xml:space="preserve">Masked sums</t>
  </si>
  <si>
    <t xml:space="preserve">Σx1 (TX prev)</t>
  </si>
  <si>
    <t xml:space="preserve">Σx2 (PP prev)</t>
  </si>
  <si>
    <t xml:space="preserve">Σy (TX)</t>
  </si>
  <si>
    <t xml:space="preserve">Σx1²</t>
  </si>
  <si>
    <t xml:space="preserve">Σx2²</t>
  </si>
  <si>
    <t xml:space="preserve">Σx1x2</t>
  </si>
  <si>
    <t xml:space="preserve">Σx1y</t>
  </si>
  <si>
    <t xml:space="preserve">Σx2y</t>
  </si>
  <si>
    <t xml:space="preserve">Centred moments</t>
  </si>
  <si>
    <t xml:space="preserve">mean x1</t>
  </si>
  <si>
    <t xml:space="preserve">mean x2</t>
  </si>
  <si>
    <t xml:space="preserve">mean y</t>
  </si>
  <si>
    <t xml:space="preserve">var x1</t>
  </si>
  <si>
    <t xml:space="preserve">var x2</t>
  </si>
  <si>
    <t xml:space="preserve">cov x1x2</t>
  </si>
  <si>
    <t xml:space="preserve">cov x1y</t>
  </si>
  <si>
    <t xml:space="preserve">cov x2y</t>
  </si>
  <si>
    <t xml:space="preserve">determinant</t>
  </si>
  <si>
    <t xml:space="preserve">Coefficients</t>
  </si>
  <si>
    <t xml:space="preserve">b1 — persistence (TX prev)</t>
  </si>
  <si>
    <t xml:space="preserve">How much of yesterday's heat carries over.</t>
  </si>
  <si>
    <t xml:space="preserve">b2 — pressure (PP prev)</t>
  </si>
  <si>
    <t xml:space="preserve">Positive = high pressure (heat-dome blocking) raises tomorrow's max.</t>
  </si>
  <si>
    <t xml:space="preserve">a — intercept</t>
  </si>
  <si>
    <t xml:space="preserve">Model performance (from Annual_Trend and Monitor_Control)</t>
  </si>
  <si>
    <t xml:space="preserve">Mean residual inside training window (°C)</t>
  </si>
  <si>
    <t xml:space="preserve">≈ 0 by construction.</t>
  </si>
  <si>
    <t xml:space="preserve">Mean residual, selected year (°C)</t>
  </si>
  <si>
    <t xml:space="preserve">Positive = model under-forecasts (under-warns).</t>
  </si>
  <si>
    <t xml:space="preserve">MAE, selected year (°C)</t>
  </si>
  <si>
    <t xml:space="preserve">MAE on hot days, selected year (°C)</t>
  </si>
  <si>
    <t xml:space="preserve">Error where it matters most — at the threshold.</t>
  </si>
  <si>
    <t xml:space="preserve">Training data leaks the test year? (1 = yes)</t>
  </si>
  <si>
    <t xml:space="preserve">If 1, performance is optimistic — a classic MLOps pitfall.</t>
  </si>
  <si>
    <t xml:space="preserve">Discussion: a model with excellent average error can still fail at the tail (heat-dome onset), and a model trained on a cooler past drifts as the climate shifts. Monitoring must watch both bias (CUSUM) and tail error. Note: because the model uses yesterday's reading, it partly follows a slowly drifting sensor — residual monitoring alone can miss data drift. An independent reference (second station, satellite) is needed.</t>
  </si>
  <si>
    <t xml:space="preserve">Tipping_Points — thresholds, non-linearity and where the system flips</t>
  </si>
  <si>
    <t xml:space="preserve">Sweeps recompute the selected year and typology at many settings at once. Look for the knee of each curve: small changes in input, large changes in outcome.</t>
  </si>
  <si>
    <t xml:space="preserve">1. Threshold sweep — how alert design changes hot-day counts and AI recall</t>
  </si>
  <si>
    <t xml:space="preserve">2. Climate-shift sweep — non-linear growth of harm</t>
  </si>
  <si>
    <t xml:space="preserve">Hot-day threshold °C</t>
  </si>
  <si>
    <t xml:space="preserve">AI hits</t>
  </si>
  <si>
    <t xml:space="preserve">Actual (model-valid)</t>
  </si>
  <si>
    <t xml:space="preserve">AI recall</t>
  </si>
  <si>
    <t xml:space="preserve">Climate shift °C</t>
  </si>
  <si>
    <t xml:space="preserve">Hot days (area)</t>
  </si>
  <si>
    <t xml:space="preserve">London excess deaths</t>
  </si>
  <si>
    <t xml:space="preserve">Ratio: deaths at +2°C vs +0°C</t>
  </si>
  <si>
    <t xml:space="preserve">Linear expectation would be ≈ 1 + 2×(slope). Compare.</t>
  </si>
  <si>
    <t xml:space="preserve">3. Stock-and-flow tipping model (live from Monitor_Control)</t>
  </si>
  <si>
    <t xml:space="preserve">Heat-stress stock(t) = max(0, stock(t−1) × (1 − Decay) + inflow − night recovery)</t>
  </si>
  <si>
    <t xml:space="preserve">Inflow = max(0, TX_adj − T_Comfort): daytime heat load on people, buildings and infrastructure.</t>
  </si>
  <si>
    <t xml:space="preserve">Night recovery = Recovery_Rate × max(0, T_Night − TN_adj): cool nights accelerate recovery; the UHI suppresses it. Decay is slow background recovery.</t>
  </si>
  <si>
    <t xml:space="preserve">Tipping = stock &gt; Capacity: health, transport and energy services are overwhelmed (a regime shift, not a gradual decline).</t>
  </si>
  <si>
    <t xml:space="preserve">P(service failure) is logistic in (stock − capacity): the threshold is a zone of rising probability, not a cliff edge.</t>
  </si>
  <si>
    <t xml:space="preserve">Peak stock this year</t>
  </si>
  <si>
    <t xml:space="preserve">Capacity</t>
  </si>
  <si>
    <t xml:space="preserve">Headroom (capacity − peak)</t>
  </si>
  <si>
    <t xml:space="preserve">Try: raise Climate_Shift in 0.5°C steps and record the first shift at which Tipping days &gt; 0 (Goal Seek on Capacity headroom, or Excel Data ▸ What-If ▸ Data Table). That shift is your modelled tipping threshold — feed it into Req_Feedback as a design margin.</t>
  </si>
  <si>
    <t xml:space="preserve">Equity_Lens — who carries the heat, and who does the monitoring miss?</t>
  </si>
  <si>
    <t xml:space="preserve">Typology uplifts and group profiles are ILLUSTRATIVE ASSUMPTIONS for teaching. Groups must test, challenge and evidence them.</t>
  </si>
  <si>
    <t xml:space="preserve">1. Neighbourhood typologies (selected year, current scenario)</t>
  </si>
  <si>
    <t xml:space="preserve">Typology</t>
  </si>
  <si>
    <t xml:space="preserve">UHI day °C</t>
  </si>
  <si>
    <t xml:space="preserve">UHI night °C</t>
  </si>
  <si>
    <t xml:space="preserve">Pop. share</t>
  </si>
  <si>
    <t xml:space="preserve">Day eff °C</t>
  </si>
  <si>
    <t xml:space="preserve">Night eff °C</t>
  </si>
  <si>
    <t xml:space="preserve">Degree-days &gt; T_Mort</t>
  </si>
  <si>
    <t xml:space="preserve">Excess deaths</t>
  </si>
  <si>
    <t xml:space="preserve">Rep. gap days</t>
  </si>
  <si>
    <t xml:space="preserve">AI missed hot days (ref. only)</t>
  </si>
  <si>
    <t xml:space="preserve">AI missed (local sensing)</t>
  </si>
  <si>
    <t xml:space="preserve">Calibration °C·days</t>
  </si>
  <si>
    <t xml:space="preserve">Reference: Heathrow station</t>
  </si>
  <si>
    <t xml:space="preserve">Outer London: suburban</t>
  </si>
  <si>
    <t xml:space="preserve">Green &amp; blue corridors</t>
  </si>
  <si>
    <t xml:space="preserve">London-wide (population-weighted)</t>
  </si>
  <si>
    <t xml:space="preserve">← β denominator</t>
  </si>
  <si>
    <t xml:space="preserve">Rep. gap = days the neighbourhood is above the hot-day threshold but the reference station is not: a monitoring system sited at one station systematically under-warns the hottest, often most deprived, areas. Population shares must sum to 100% (check E10).</t>
  </si>
  <si>
    <t xml:space="preserve">2. Population groups — sensitivity, adaptive capacity and where people live (illustrative)</t>
  </si>
  <si>
    <t xml:space="preserve">Group</t>
  </si>
  <si>
    <t xml:space="preserve">Sensitivity ×</t>
  </si>
  <si>
    <t xml:space="preserve">Adaptive capacity (0–1)</t>
  </si>
  <si>
    <t xml:space="preserve">Share inner</t>
  </si>
  <si>
    <t xml:space="preserve">Share outer</t>
  </si>
  <si>
    <t xml:space="preserve">Share green</t>
  </si>
  <si>
    <t xml:space="preserve">Weighted °C·days</t>
  </si>
  <si>
    <t xml:space="preserve">Exposure index</t>
  </si>
  <si>
    <t xml:space="preserve">Rank (1 = most exposed)</t>
  </si>
  <si>
    <t xml:space="preserve">Relative to least exposed</t>
  </si>
  <si>
    <t xml:space="preserve">Adults aged 75+</t>
  </si>
  <si>
    <t xml:space="preserve">Long-term conditions or disability</t>
  </si>
  <si>
    <t xml:space="preserve">Outdoor and manual workers</t>
  </si>
  <si>
    <t xml:space="preserve">Low-income households in top-floor or single-aspect flats</t>
  </si>
  <si>
    <t xml:space="preserve">People experiencing homelessness</t>
  </si>
  <si>
    <t xml:space="preserve">Infants and children under 5</t>
  </si>
  <si>
    <t xml:space="preserve">Discussion (D&amp;I): structural factors — housing quality, green-space access, income, disability and racial inequality — shape exposure. Avoid treating any group as inherently 'vulnerable'; ask what the system does to them. Who was in the room when thresholds were set?</t>
  </si>
  <si>
    <t xml:space="preserve">Sustainability — the carbon cost of keeping cool</t>
  </si>
  <si>
    <t xml:space="preserve">Cooling degree-days (CDD) drive air-conditioning electricity. Adaptation that raises emissions is maladaptation. All factors are editable assumptions.</t>
  </si>
  <si>
    <t xml:space="preserve">1. Assumptions</t>
  </si>
  <si>
    <t xml:space="preserve">CDD base temperature (daily mean)</t>
  </si>
  <si>
    <t xml:space="preserve">Common comfort base for cooling demand. Assumption.</t>
  </si>
  <si>
    <t xml:space="preserve">London households</t>
  </si>
  <si>
    <t xml:space="preserve">households</t>
  </si>
  <si>
    <t xml:space="preserve">Order of magnitude from Census 2021; verify with ONS.</t>
  </si>
  <si>
    <t xml:space="preserve">Baseline share of households with AC</t>
  </si>
  <si>
    <t xml:space="preserve">UK domestic AC is uncommon; assumption to evidence.</t>
  </si>
  <si>
    <t xml:space="preserve">Electricity per AC household per CDD</t>
  </si>
  <si>
    <t xml:space="preserve">kWh</t>
  </si>
  <si>
    <t xml:space="preserve">Assumption.</t>
  </si>
  <si>
    <t xml:space="preserve">Grid carbon factor</t>
  </si>
  <si>
    <t xml:space="preserve">kgCO₂e/kWh</t>
  </si>
  <si>
    <t xml:space="preserve">Check the latest DESNZ GHG conversion factors (falling year on year).</t>
  </si>
  <si>
    <t xml:space="preserve">Greening sequestration at 100% level</t>
  </si>
  <si>
    <t xml:space="preserve">tCO₂e/yr</t>
  </si>
  <si>
    <t xml:space="preserve">Assumption; small relative to energy flows.</t>
  </si>
  <si>
    <t xml:space="preserve">Model retrains per summer (if MLOps on)</t>
  </si>
  <si>
    <t xml:space="preserve">per summer</t>
  </si>
  <si>
    <t xml:space="preserve">Fortnightly retraining.</t>
  </si>
  <si>
    <t xml:space="preserve">Compute energy per retrain</t>
  </si>
  <si>
    <t xml:space="preserve">Tiny model; contrast with large AI models (Green AI).</t>
  </si>
  <si>
    <t xml:space="preserve">2. Cooling degree-days by typology (selected year)</t>
  </si>
  <si>
    <t xml:space="preserve">Baseline CDD</t>
  </si>
  <si>
    <t xml:space="preserve">Portfolio CDD</t>
  </si>
  <si>
    <t xml:space="preserve">Population-weighted CDD</t>
  </si>
  <si>
    <t xml:space="preserve">3. Carbon</t>
  </si>
  <si>
    <t xml:space="preserve">Metric</t>
  </si>
  <si>
    <t xml:space="preserve">Portfolio</t>
  </si>
  <si>
    <t xml:space="preserve">AC households</t>
  </si>
  <si>
    <t xml:space="preserve">Cooling electricity (MWh)</t>
  </si>
  <si>
    <t xml:space="preserve">Net cooling emissions tCO₂e — baseline</t>
  </si>
  <si>
    <t xml:space="preserve">Net cooling emissions tCO₂e — portfolio (incl. sequestration, AI compute)</t>
  </si>
  <si>
    <t xml:space="preserve">AI/MLOps compute emissions tCO₂e</t>
  </si>
  <si>
    <t xml:space="preserve">Emissions in the scenario selected on the Control Panel</t>
  </si>
  <si>
    <t xml:space="preserve">Systems prompt: AC rejects heat outdoors, worsening the street-level UHI for people without AC — a reinforcing loop. Draw the causal loop diagram (DCP systems thinking) before choosing the portfolio.</t>
  </si>
  <si>
    <t xml:space="preserve">Optimise — choose an intervention portfolio within budget</t>
  </si>
  <si>
    <t xml:space="preserve">Set implementation levels (0–100%). Switch the Control Panel scenario to 'With interventions' to push these effects through every sheet. Solver-ready: maximise C33 subject to C29 ≤ Budget, levels between 0 and 1.</t>
  </si>
  <si>
    <t xml:space="preserve">1. Interventions</t>
  </si>
  <si>
    <t xml:space="preserve">Intervention</t>
  </si>
  <si>
    <t xml:space="preserve">Level (0–1)</t>
  </si>
  <si>
    <t xml:space="preserve">Day UHI cut at 100%</t>
  </si>
  <si>
    <t xml:space="preserve">Night UHI cut at 100%</t>
  </si>
  <si>
    <t xml:space="preserve">Sensitivity cut at 100%</t>
  </si>
  <si>
    <t xml:space="preserve">Cost at 100% £m</t>
  </si>
  <si>
    <t xml:space="preserve">What it represents</t>
  </si>
  <si>
    <t xml:space="preserve">Extra AC households at 100%</t>
  </si>
  <si>
    <t xml:space="preserve">Urban greening and tree canopy</t>
  </si>
  <si>
    <t xml:space="preserve">Nature-based solution; co-benefits for biodiversity and flood risk.</t>
  </si>
  <si>
    <t xml:space="preserve">Cool and reflective roofs (social housing)</t>
  </si>
  <si>
    <t xml:space="preserve">Reduces solar gain; strongest effect in dense housing.</t>
  </si>
  <si>
    <t xml:space="preserve">Cooling centres and community outreach</t>
  </si>
  <si>
    <t xml:space="preserve">Targets people with low adaptive capacity; relies on trusted community partners.</t>
  </si>
  <si>
    <t xml:space="preserve">Neighbourhood sensor network (local alerting)</t>
  </si>
  <si>
    <t xml:space="preserve">≥50% switches AI alerting from one reference station to local typology data.</t>
  </si>
  <si>
    <t xml:space="preserve">MLOps: rolling 20-year retraining with drift gates</t>
  </si>
  <si>
    <t xml:space="preserve">≥50% replaces the manual training window with a rolling one ending last year.</t>
  </si>
  <si>
    <t xml:space="preserve">Domestic air-conditioning subsidy</t>
  </si>
  <si>
    <t xml:space="preserve">Effective for health, but adds electricity demand, heat rejection and carbon.</t>
  </si>
  <si>
    <t xml:space="preserve">Effect-size and cost values are teaching assumptions — evidence or challenge them.</t>
  </si>
  <si>
    <t xml:space="preserve">2. Combined effects (feed Control Panel when scenario = 'With interventions')</t>
  </si>
  <si>
    <t xml:space="preserve">Sensor network level</t>
  </si>
  <si>
    <t xml:space="preserve">Retraining governance level</t>
  </si>
  <si>
    <t xml:space="preserve">Extra share of households with AC</t>
  </si>
  <si>
    <t xml:space="preserve">3. Outcomes — baseline vs this portfolio (selected year, London-wide)</t>
  </si>
  <si>
    <t xml:space="preserve">Base uplift (mean) °C</t>
  </si>
  <si>
    <t xml:space="preserve">Mitigated uplift °C</t>
  </si>
  <si>
    <t xml:space="preserve">Base °C·days</t>
  </si>
  <si>
    <t xml:space="preserve">Mitigated °C·days</t>
  </si>
  <si>
    <t xml:space="preserve">Total portfolio cost £m</t>
  </si>
  <si>
    <t xml:space="preserve">Within budget?</t>
  </si>
  <si>
    <t xml:space="preserve">Excess deaths — baseline</t>
  </si>
  <si>
    <t xml:space="preserve">Excess deaths — with portfolio</t>
  </si>
  <si>
    <t xml:space="preserve">Deaths averted (objective to maximise)</t>
  </si>
  <si>
    <t xml:space="preserve">Cost per death averted £m</t>
  </si>
  <si>
    <t xml:space="preserve">Net cooling carbon change tCO₂e (from Sustainability)</t>
  </si>
  <si>
    <t xml:space="preserve">Within carbon budget? (portfolio)</t>
  </si>
  <si>
    <t xml:space="preserve">Trade-off prompt (BE Finance; RRR decision making): rank portfolios by cost per death averted, carbon and equity (Equity_Lens rank changes). Is the 'optimal' answer acceptable to every stakeholder? Effectiveness = correctness × acceptance.</t>
  </si>
  <si>
    <t xml:space="preserve">Risk_Register — the Project Simulation template, extended for monitoring and control</t>
  </si>
  <si>
    <t xml:space="preserve">Columns B–L follow the module's Risk Register Template. Columns M–R make the register live: each risk has a KRI, a trigger and a link to the requirement it feeds.</t>
  </si>
  <si>
    <t xml:space="preserve">Risk no</t>
  </si>
  <si>
    <t xml:space="preserve">Risk description</t>
  </si>
  <si>
    <t xml:space="preserve">Date when occurred</t>
  </si>
  <si>
    <t xml:space="preserve">Probability</t>
  </si>
  <si>
    <t xml:space="preserve">Impact</t>
  </si>
  <si>
    <t xml:space="preserve">Severity (p x i)</t>
  </si>
  <si>
    <t xml:space="preserve">Owner</t>
  </si>
  <si>
    <t xml:space="preserve">Mitigation strategy</t>
  </si>
  <si>
    <t xml:space="preserve">Proability after mitigation</t>
  </si>
  <si>
    <t xml:space="preserve">Impact after mitigation</t>
  </si>
  <si>
    <t xml:space="preserve">Comments</t>
  </si>
  <si>
    <t xml:space="preserve">Key risk indicator (KRI)</t>
  </si>
  <si>
    <t xml:space="preserve">Trigger rule</t>
  </si>
  <si>
    <t xml:space="preserve">Current value</t>
  </si>
  <si>
    <t xml:space="preserve">Triggered?</t>
  </si>
  <si>
    <t xml:space="preserve">RAG</t>
  </si>
  <si>
    <t xml:space="preserve">Feeds requirement</t>
  </si>
  <si>
    <t xml:space="preserve">Residual severity</t>
  </si>
  <si>
    <t xml:space="preserve">R1</t>
  </si>
  <si>
    <t xml:space="preserve">Persistent anticyclone (heat dome) causes a prolonged heatwave across London</t>
  </si>
  <si>
    <t xml:space="preserve">Resilience lead</t>
  </si>
  <si>
    <t xml:space="preserve">Heat plan activation; cooling centres; greening</t>
  </si>
  <si>
    <t xml:space="preserve">Probability is data-driven: years in the last decade with ≥10 hot days.</t>
  </si>
  <si>
    <t xml:space="preserve">≥ HW_Days</t>
  </si>
  <si>
    <t xml:space="preserve">REQ-HAZ-01</t>
  </si>
  <si>
    <t xml:space="preserve">R2</t>
  </si>
  <si>
    <t xml:space="preserve">Warm nights (UHI) prevent recovery; heat stress accumulates until services tip</t>
  </si>
  <si>
    <t xml:space="preserve">Health &amp; social care lead</t>
  </si>
  <si>
    <t xml:space="preserve">Night-time cooling (roofs, greening); surge staffing</t>
  </si>
  <si>
    <t xml:space="preserve">Stock-and-flow model on Tipping_Points.</t>
  </si>
  <si>
    <t xml:space="preserve">&gt; 0</t>
  </si>
  <si>
    <t xml:space="preserve">REQ-RES-01</t>
  </si>
  <si>
    <t xml:space="preserve">R3</t>
  </si>
  <si>
    <t xml:space="preserve">Heat-related excess deaths exceed the board's risk appetite</t>
  </si>
  <si>
    <t xml:space="preserve">Director of Public Health</t>
  </si>
  <si>
    <t xml:space="preserve">Targeted outreach to people with low adaptive capacity</t>
  </si>
  <si>
    <t xml:space="preserve">Calibrated to UKHSA 2022 London estimate.</t>
  </si>
  <si>
    <t xml:space="preserve">London excess deaths (model)</t>
  </si>
  <si>
    <t xml:space="preserve">&gt; Deaths_Appetite</t>
  </si>
  <si>
    <t xml:space="preserve">REQ-HLT-01</t>
  </si>
  <si>
    <t xml:space="preserve">R4</t>
  </si>
  <si>
    <t xml:space="preserve">AI forecast drifts as the climate moves away from its training data, causing under-warning</t>
  </si>
  <si>
    <t xml:space="preserve">MLOps lead</t>
  </si>
  <si>
    <t xml:space="preserve">Drift gates (CUSUM, MAE); rolling retraining; human review</t>
  </si>
  <si>
    <t xml:space="preserve">Concept drift (climate) vs data drift (sensor). Which is it?</t>
  </si>
  <si>
    <t xml:space="preserve">REQ-AI-01</t>
  </si>
  <si>
    <t xml:space="preserve">R5</t>
  </si>
  <si>
    <t xml:space="preserve">AI misses actual hot days (low recall) at the alert threshold</t>
  </si>
  <si>
    <t xml:space="preserve">Product owner (alerts)</t>
  </si>
  <si>
    <t xml:space="preserve">Optimise threshold; tail-focused validation; local features</t>
  </si>
  <si>
    <t xml:space="preserve">Average accuracy hides tail failure.</t>
  </si>
  <si>
    <t xml:space="preserve">&lt; Recall_Target</t>
  </si>
  <si>
    <t xml:space="preserve">REQ-AI-02</t>
  </si>
  <si>
    <t xml:space="preserve">R6</t>
  </si>
  <si>
    <t xml:space="preserve">Sensor or data-quality failure at the peak of the event (e.g. 19 Jul 2022 suspect max)</t>
  </si>
  <si>
    <t xml:space="preserve">Data engineering lead</t>
  </si>
  <si>
    <t xml:space="preserve">Redundant stations; automated QA rules; imputation with flagging</t>
  </si>
  <si>
    <t xml:space="preserve">Compare QA policies on the Control Panel.</t>
  </si>
  <si>
    <t xml:space="preserve">REQ-DAT-01</t>
  </si>
  <si>
    <t xml:space="preserve">R7</t>
  </si>
  <si>
    <t xml:space="preserve">Single reference station under-warns dense, low-green, often deprived neighbourhoods</t>
  </si>
  <si>
    <t xml:space="preserve">Equality, diversity &amp; inclusion lead</t>
  </si>
  <si>
    <t xml:space="preserve">Neighbourhood sensor network; co-designed thresholds</t>
  </si>
  <si>
    <t xml:space="preserve">Representation bias in data = inequitable alerts.</t>
  </si>
  <si>
    <t xml:space="preserve">REQ-EQ-01</t>
  </si>
  <si>
    <t xml:space="preserve">R8</t>
  </si>
  <si>
    <t xml:space="preserve">Adaptation relies on air conditioning, increasing carbon and outdoor heat (maladaptation)</t>
  </si>
  <si>
    <t xml:space="preserve">Sustainability lead</t>
  </si>
  <si>
    <t xml:space="preserve">Prioritise nature-based and passive cooling</t>
  </si>
  <si>
    <t xml:space="preserve">See Sustainability sheet.</t>
  </si>
  <si>
    <t xml:space="preserve">&gt; Carbon_Budget</t>
  </si>
  <si>
    <t xml:space="preserve">REQ-SUS-01</t>
  </si>
  <si>
    <t xml:space="preserve">R9</t>
  </si>
  <si>
    <t xml:space="preserve">Intervention portfolio exceeds budget</t>
  </si>
  <si>
    <t xml:space="preserve">Programme manager</t>
  </si>
  <si>
    <t xml:space="preserve">Phase delivery; Solver-based portfolio selection</t>
  </si>
  <si>
    <t xml:space="preserve">Contract and incentive choice (ILO6).</t>
  </si>
  <si>
    <t xml:space="preserve">&gt; Budget</t>
  </si>
  <si>
    <t xml:space="preserve">REQ-PRG-01</t>
  </si>
  <si>
    <t xml:space="preserve">Scales: Probability and Impact 1 (very low) to 5 (very high). Row 5 is a worked example; students complete and challenge the rest.</t>
  </si>
  <si>
    <t xml:space="preserve">Template header 'Proability after mitigation' kept exactly as in the module template.</t>
  </si>
  <si>
    <t xml:space="preserve">Req_Feedback — monitoring and control as the first step of requirements engineering</t>
  </si>
  <si>
    <t xml:space="preserve">When a KRI triggers, the loop raises a change request. Requirement text regenerates with the current thresholds, so optimising a threshold rewrites the requirement.</t>
  </si>
  <si>
    <t xml:space="preserve">Req ID</t>
  </si>
  <si>
    <t xml:space="preserve">Source risk</t>
  </si>
  <si>
    <t xml:space="preserve">Trigger status</t>
  </si>
  <si>
    <t xml:space="preserve">Requirement statement (shall)</t>
  </si>
  <si>
    <t xml:space="preserve">Type</t>
  </si>
  <si>
    <t xml:space="preserve">Verification method</t>
  </si>
  <si>
    <t xml:space="preserve">Model / simulation link</t>
  </si>
  <si>
    <t xml:space="preserve">MoSCoW (group)</t>
  </si>
  <si>
    <t xml:space="preserve">Challenge raised (disagreeing well)</t>
  </si>
  <si>
    <t xml:space="preserve">Resolution and rationale</t>
  </si>
  <si>
    <t xml:space="preserve">Functional</t>
  </si>
  <si>
    <t xml:space="preserve">Back-test against 1979–2023 events; witness test</t>
  </si>
  <si>
    <t xml:space="preserve">Threshold sweep (Tipping_Points §1)</t>
  </si>
  <si>
    <t xml:space="preserve">Must</t>
  </si>
  <si>
    <t xml:space="preserve">e.g. Should the threshold be lower for inner London?</t>
  </si>
  <si>
    <t xml:space="preserve">e.g. Agreed typology-specific thresholds; evidence from rep. gap days</t>
  </si>
  <si>
    <t xml:space="preserve">Performance</t>
  </si>
  <si>
    <t xml:space="preserve">Simulation; exercise (table-top)</t>
  </si>
  <si>
    <t xml:space="preserve">Stock-and-flow tipping model</t>
  </si>
  <si>
    <t xml:space="preserve">Outcome</t>
  </si>
  <si>
    <t xml:space="preserve">Annual review vs UKHSA heat mortality reports</t>
  </si>
  <si>
    <t xml:space="preserve">Exposure–response model (Equity_Lens)</t>
  </si>
  <si>
    <t xml:space="preserve">AI/MLOps</t>
  </si>
  <si>
    <t xml:space="preserve">Monitoring dashboard; model card; audit log</t>
  </si>
  <si>
    <t xml:space="preserve">CUSUM drift detection (Monitor_Control)</t>
  </si>
  <si>
    <t xml:space="preserve">Hold-out test; confusion matrix</t>
  </si>
  <si>
    <t xml:space="preserve">Recall vs threshold sweep</t>
  </si>
  <si>
    <t xml:space="preserve">Data</t>
  </si>
  <si>
    <t xml:space="preserve">Data-quality tests in pipeline</t>
  </si>
  <si>
    <t xml:space="preserve">QA policy comparison</t>
  </si>
  <si>
    <t xml:space="preserve">Fairness / D&amp;I</t>
  </si>
  <si>
    <t xml:space="preserve">Equity audit with community partners</t>
  </si>
  <si>
    <t xml:space="preserve">Equity_Lens rep. gap and missed alerts</t>
  </si>
  <si>
    <t xml:space="preserve">Carbon accounting (DESNZ factors)</t>
  </si>
  <si>
    <t xml:space="preserve">Sustainability sheet</t>
  </si>
  <si>
    <t xml:space="preserve">Programme</t>
  </si>
  <si>
    <t xml:space="preserve">Earned value / cost reporting</t>
  </si>
  <si>
    <t xml:space="preserve">Optimise (Solver)</t>
  </si>
  <si>
    <t xml:space="preserve">Change requests raised:</t>
  </si>
  <si>
    <t xml:space="preserve">Row 5 shows example group entries in columns I–K. Each group logs at least two genuine disagreements and how they were resolved.</t>
  </si>
  <si>
    <t xml:space="preserve">Annual_Trend — the moving baseline (1979–2023), selected typology and thresholds</t>
  </si>
  <si>
    <t xml:space="preserve">Shows why yesterday's thresholds and models go stale: hot days rise and the model trained on a cooler past drifts.</t>
  </si>
  <si>
    <t xml:space="preserve">In training window</t>
  </si>
  <si>
    <t xml:space="preserve">Max TX °C</t>
  </si>
  <si>
    <t xml:space="preserve">Mean residual °C</t>
  </si>
  <si>
    <t xml:space="preserve">MAE °C</t>
  </si>
  <si>
    <t xml:space="preserve">MAE on hot days °C</t>
  </si>
  <si>
    <t xml:space="preserve">Years ≥10 hot days (rolling 10-yr)</t>
  </si>
  <si>
    <t xml:space="preserve">Heatwave probability band (1–5) for selected year:</t>
  </si>
  <si>
    <t xml:space="preserve">Student_Tasks — sprint brief</t>
  </si>
  <si>
    <t xml:space="preserve">Work in your project team. Rotate roles each task: chair, analyst, challenger (disagreeing well), scribe, stakeholder voice.</t>
  </si>
  <si>
    <t xml:space="preserve">Task</t>
  </si>
  <si>
    <t xml:space="preserve">Focus</t>
  </si>
  <si>
    <t xml:space="preserve">What to do</t>
  </si>
  <si>
    <t xml:space="preserve">Frameworks to apply (core modules)</t>
  </si>
  <si>
    <t xml:space="preserve">ILOs</t>
  </si>
  <si>
    <t xml:space="preserve">0</t>
  </si>
  <si>
    <t xml:space="preserve">Orientation (20 min)</t>
  </si>
  <si>
    <t xml:space="preserve">Set year 2022, Inner London, Baseline. Read the dashboard. Find 19 July on Monitor_Control and explain the anomaly. Switch QA policy and compare outcomes.</t>
  </si>
  <si>
    <t xml:space="preserve">RRR: decision making under uncertainty (VUCA). DCP: systems thinking — iceberg (events → patterns → structure → mental models).</t>
  </si>
  <si>
    <t xml:space="preserve">1</t>
  </si>
  <si>
    <t xml:space="preserve">Define the monitoring system</t>
  </si>
  <si>
    <t xml:space="preserve">Choose and justify KRIs, thresholds and trigger rules. Which thresholds are evidence-based and which are anchored on convention? Record choices on Risk_Register (M–N).</t>
  </si>
  <si>
    <t xml:space="preserve">RRR: risk management (risk register, probability × impact, margin); heuristics and biases (anchoring). STEM: measures of effectiveness.</t>
  </si>
  <si>
    <t xml:space="preserve">1, 2</t>
  </si>
  <si>
    <t xml:space="preserve">2</t>
  </si>
  <si>
    <t xml:space="preserve">Detect and diagnose algorithm drift</t>
  </si>
  <si>
    <t xml:space="preserve">Keep training window 1979–1998. Inspect CUSUM and Annual_Trend residuals. Then inject sensor drift (1°C/30 days from day 60). Distinguish concept drift, data drift and sensor fault. Fix the leak if the test year is in the training window.</t>
  </si>
  <si>
    <t xml:space="preserve">RRR: failure analysis — STAMP control loop (process model, feedback); reliability and robust design (redundancy). STEM: models throughout the lifecycle.</t>
  </si>
  <si>
    <t xml:space="preserve">1, 3, 7</t>
  </si>
  <si>
    <t xml:space="preserve">3</t>
  </si>
  <si>
    <t xml:space="preserve">Model tipping points and thresholds</t>
  </si>
  <si>
    <t xml:space="preserve">Use the sweeps to find the knee in AI recall and in deaths vs climate shift. Find the climate shift at which the stock first exceeds capacity. Argue for a design margin.</t>
  </si>
  <si>
    <t xml:space="preserve">DCP: stock-and-flow and causal loop diagrams; complexity (rugged and dancing landscapes). RRR: margin management and attitudes to risk.</t>
  </si>
  <si>
    <t xml:space="preserve">4</t>
  </si>
  <si>
    <t xml:space="preserve">Equity and inclusion audit</t>
  </si>
  <si>
    <t xml:space="preserve">Compare representation-gap days and AI misses with and without neighbourhood sensing. Who carries the most exposure? Whose voice set the thresholds? Challenge at least two illustrative assumptions on Equity_Lens.</t>
  </si>
  <si>
    <t xml:space="preserve">RRR: group decision making — diversity, conflict and group performance. LEAD: bias and decision making; developing relationships with key partners. BE: stakeholders, value and business ethics.</t>
  </si>
  <si>
    <t xml:space="preserve">4, 5</t>
  </si>
  <si>
    <t xml:space="preserve">5</t>
  </si>
  <si>
    <t xml:space="preserve">Optimise and decide</t>
  </si>
  <si>
    <t xml:space="preserve">Each member records at least two scenarios in Scenario_Log; between you include one that minimises deaths, one within the carbon budget and one that closes the representation gap. Agree weights, shortlist, vote and record the decision in Decision_Matrix.</t>
  </si>
  <si>
    <t xml:space="preserve">BE: finance (cost–benefit), procurement and negotiation (contract incentives). RRR: trade studies and decision trees. Sustainability: maladaptation.</t>
  </si>
  <si>
    <t xml:space="preserve">2, 6, 7</t>
  </si>
  <si>
    <t xml:space="preserve">6</t>
  </si>
  <si>
    <t xml:space="preserve">Close the loop</t>
  </si>
  <si>
    <t xml:space="preserve">Switch to 'With interventions'. Review Req_Feedback: which change requests are raised, and are the generated 'shall' statements verifiable? Edit, prioritise (MoSCoW) and log disagreements and resolutions. Update residual risk.</t>
  </si>
  <si>
    <t xml:space="preserve">DCP: requirements management and change control. STEM: requirements elaboration (statement of need → user → system requirements). LEAD: communicating a compelling vision.</t>
  </si>
  <si>
    <t xml:space="preserve">2, 5, 7</t>
  </si>
  <si>
    <t xml:space="preserve">7</t>
  </si>
  <si>
    <t xml:space="preserve">Present lessons learnt</t>
  </si>
  <si>
    <t xml:space="preserve">Five-minute group briefing to the programme board: one insight on data, AI, sustainability and inclusion each, and the single requirement change you would fight for.</t>
  </si>
  <si>
    <t xml:space="preserve">LEAD: communicating a compelling vision. RRR: understanding and responding to failure.</t>
  </si>
  <si>
    <t xml:space="preserve">8, 9</t>
  </si>
  <si>
    <t xml:space="preserve">Project Simulation ILOs (SPCE0019 MDD)</t>
  </si>
  <si>
    <t xml:space="preserve">1 Analyse data to extract key information</t>
  </si>
  <si>
    <t xml:space="preserve">2 Conduct a comprehensive risk assessment, including mitigation strategies and residual risk</t>
  </si>
  <si>
    <t xml:space="preserve">3 Understand optimism bias in estimation and risks of low-maturity technologies</t>
  </si>
  <si>
    <t xml:space="preserve">4 Perform a stakeholder analysis in a complex environment</t>
  </si>
  <si>
    <t xml:space="preserve">5 Understand team roles and exercise initiative as member and leader</t>
  </si>
  <si>
    <t xml:space="preserve">6 Understand contract types and incentives for contractor performance</t>
  </si>
  <si>
    <t xml:space="preserve">7 Make decisions to control risk, cost, schedule and technical performance in a time-limited context</t>
  </si>
  <si>
    <t xml:space="preserve">8 Write a research report in an academic style</t>
  </si>
  <si>
    <t xml:space="preserve">9 Present lessons learnt and respond to questions</t>
  </si>
  <si>
    <t xml:space="preserve">Deliverable (formative, upload to Moodle)</t>
  </si>
  <si>
    <t xml:space="preserve">This workbook with Scenario_Log, Decision_Matrix, Risk_Register (all nine risks) and Req_Feedback (MoSCoW) completed, plus a two-page recommendation to the board, a one-page monitoring-and-control plan, a causal loop diagram of the UHI–AC–emissions loop, and a five-minute briefing.</t>
  </si>
  <si>
    <t xml:space="preserve">Month</t>
  </si>
  <si>
    <t xml:space="preserve">Season day</t>
  </si>
  <si>
    <t xml:space="preserve">TX max °C</t>
  </si>
  <si>
    <t xml:space="preserve">Q_TX</t>
  </si>
  <si>
    <t xml:space="preserve">TN min °C</t>
  </si>
  <si>
    <t xml:space="preserve">Q_TN</t>
  </si>
  <si>
    <t xml:space="preserve">TG mean °C</t>
  </si>
  <si>
    <t xml:space="preserve">Q_TG</t>
  </si>
  <si>
    <t xml:space="preserve">Sea-level pressure hPa</t>
  </si>
  <si>
    <t xml:space="preserve">Q_PP</t>
  </si>
  <si>
    <t xml:space="preserve">Rel. humidity %</t>
  </si>
  <si>
    <t xml:space="preserve">Sunshine h</t>
  </si>
  <si>
    <t xml:space="preserve">TX previous day</t>
  </si>
  <si>
    <t xml:space="preserve">PP previous day</t>
  </si>
  <si>
    <t xml:space="preserve">Suspect obs (1=yes)</t>
  </si>
  <si>
    <t xml:space="preserve">Valid for model</t>
  </si>
  <si>
    <t xml:space="preserve">Model prediction °C</t>
  </si>
  <si>
    <t xml:space="preserve">Model residual °C</t>
  </si>
  <si>
    <t xml:space="preserve">Prediction (numeric helper)</t>
  </si>
  <si>
    <t xml:space="preserve">Sources, licences and provenance</t>
  </si>
  <si>
    <t xml:space="preserve">Observations</t>
  </si>
  <si>
    <t xml:space="preserve">European Climate Assessment &amp; Dataset (ECA&amp;D), station London Heathrow (STAID 1860), daily TX, TN, TG, PP, HU, SS, 1979–2023. Klein Tank, A.M.G. et al. (2002) Daily dataset of 20th-century surface air temperature and precipitation series for the European Climate Assessment. Int. J. Climatol., 22, 1441–1453. Data and metadata: https://www.ecad.eu. Accessed via the MIT-licensed repository https://github.com/pc1991/London-Weather-Data-From-1979-To-2023 (cloned 19 Oct 2026). Subset used: 1 May–30 Sep each year (6,885 days). Units converted from 0.1°C and 0.1 hPa. Quality codes retained (0 valid, 1 suspect, 9 missing).</t>
  </si>
  <si>
    <t xml:space="preserve">Monthly cross-check</t>
  </si>
  <si>
    <t xml:space="preserve">Met Office historic station data, Heathrow: https://www.metoffice.gov.uk/pub/data/weather/uk/climate/stationdata/heathrowdata.txt (July 2022 mean daily max 27.2°C). Open Government Licence.</t>
  </si>
  <si>
    <t xml:space="preserve">Heatwave threshold</t>
  </si>
  <si>
    <t xml:space="preserve">Met Office heatwave definition: ≥3 consecutive days at or above a county threshold; 28°C for Greater London (as reported in UK press coverage of the Met Office definition).</t>
  </si>
  <si>
    <t xml:space="preserve">Heat mortality</t>
  </si>
  <si>
    <t xml:space="preserve">UKHSA (2023) Heat mortality monitoring report: 2022. https://www.gov.uk/government/publications/heat-mortality-monitoring-reports/heat-mortality-monitoring-report-2022 — England 2,985 excess deaths (95% CI 2,258–3,712); London 387 (158–615); episode definition includes mean CET ≥ 20°C.</t>
  </si>
  <si>
    <t xml:space="preserve">Heat-health alerting</t>
  </si>
  <si>
    <t xml:space="preserve">UKHSA Heat-Health Alerting system guidance: https://www.gov.uk/guidance/heat-health-alerting-system — impact-based Green/Yellow/Amber/Red alerts.</t>
  </si>
  <si>
    <t xml:space="preserve">Urban heat island</t>
  </si>
  <si>
    <t xml:space="preserve">Climate London / GLA: London's UHI can add 5–6°C to night-time temperatures, with up to 10°C measured in the 2003 heatwave. https://climatelondon.org/?p=253</t>
  </si>
  <si>
    <t xml:space="preserve">Carbon factor</t>
  </si>
  <si>
    <t xml:space="preserve">Default 0.15 kgCO₂e/kWh is a rounded placeholder; replace with the current DESNZ greenhouse gas conversion factor for UK electricity.</t>
  </si>
  <si>
    <t xml:space="preserve">Assumptions</t>
  </si>
  <si>
    <t xml:space="preserve">Typology uplifts, population shares, group sensitivity and adaptive capacity, heat-stress capacity, intervention effects and costs are illustrative teaching assumptions.</t>
  </si>
  <si>
    <t xml:space="preserve">Frameworks</t>
  </si>
  <si>
    <t xml:space="preserve">Core-module themes referenced from project files: SPCE0025 Risk, Reliability and Resilience (6 themes); Delivering Complex Projects; Systems Engineering Management (STEM); Leadership (LEAD); The Business Environment (BE); SPCE0019 Project Simulation MDD ILOs 1–9.</t>
  </si>
</sst>
</file>

<file path=xl/styles.xml><?xml version="1.0" encoding="utf-8"?>
<styleSheet xmlns="http://schemas.openxmlformats.org/spreadsheetml/2006/main">
  <numFmts count="13">
    <numFmt numFmtId="164" formatCode="General"/>
    <numFmt numFmtId="165" formatCode="0%"/>
    <numFmt numFmtId="166" formatCode="0.0"/>
    <numFmt numFmtId="167" formatCode="#,##0"/>
    <numFmt numFmtId="168" formatCode="General"/>
    <numFmt numFmtId="169" formatCode="0"/>
    <numFmt numFmtId="170" formatCode="0.00"/>
    <numFmt numFmtId="171" formatCode="dd\-mmm\-yyyy"/>
    <numFmt numFmtId="172" formatCode="0.000"/>
    <numFmt numFmtId="173" formatCode="dd\-mmm"/>
    <numFmt numFmtId="174" formatCode="#,##0.0"/>
    <numFmt numFmtId="175" formatCode="0.0000"/>
    <numFmt numFmtId="176" formatCode="0.0\×"/>
  </numFmts>
  <fonts count="20">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55555"/>
      <name val="Arial"/>
      <family val="0"/>
      <charset val="1"/>
    </font>
    <font>
      <b val="true"/>
      <sz val="11"/>
      <color rgb="FF1F3A5F"/>
      <name val="Arial"/>
      <family val="0"/>
      <charset val="1"/>
    </font>
    <font>
      <sz val="10"/>
      <name val="Arial"/>
      <family val="0"/>
      <charset val="1"/>
    </font>
    <font>
      <b val="true"/>
      <sz val="10"/>
      <name val="Arial"/>
      <family val="0"/>
      <charset val="1"/>
    </font>
    <font>
      <b val="true"/>
      <sz val="9"/>
      <color rgb="FF1F3A5F"/>
      <name val="Arial"/>
      <family val="0"/>
      <charset val="1"/>
    </font>
    <font>
      <b val="true"/>
      <sz val="10"/>
      <color rgb="FFFFFFFF"/>
      <name val="Arial"/>
      <family val="0"/>
      <charset val="1"/>
    </font>
    <font>
      <i val="true"/>
      <sz val="10"/>
      <color rgb="FF0000FF"/>
      <name val="Arial"/>
      <family val="0"/>
      <charset val="1"/>
    </font>
    <font>
      <sz val="10"/>
      <color rgb="FF008000"/>
      <name val="Arial"/>
      <family val="0"/>
      <charset val="1"/>
    </font>
    <font>
      <b val="true"/>
      <sz val="10"/>
      <color rgb="FF0000FF"/>
      <name val="Arial"/>
      <family val="0"/>
      <charset val="1"/>
    </font>
    <font>
      <b val="true"/>
      <sz val="8"/>
      <color rgb="FF1F3A5F"/>
      <name val="Arial"/>
      <family val="0"/>
      <charset val="1"/>
    </font>
    <font>
      <b val="true"/>
      <sz val="12"/>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s>
  <fills count="6">
    <fill>
      <patternFill patternType="none"/>
    </fill>
    <fill>
      <patternFill patternType="gray125"/>
    </fill>
    <fill>
      <patternFill patternType="solid">
        <fgColor rgb="FFDCE6F1"/>
        <bgColor rgb="FFD9D9D9"/>
      </patternFill>
    </fill>
    <fill>
      <patternFill patternType="solid">
        <fgColor rgb="FF1F3A5F"/>
        <bgColor rgb="FF333399"/>
      </patternFill>
    </fill>
    <fill>
      <patternFill patternType="solid">
        <fgColor rgb="FFFFF59D"/>
        <bgColor rgb="FFFFE699"/>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9" fontId="13"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6" fontId="13" fillId="4"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71" fontId="12"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7" fontId="12" fillId="0" borderId="1" xfId="0" applyFont="true" applyBorder="true" applyAlignment="true" applyProtection="false">
      <alignment horizontal="center" vertical="bottom" textRotation="0" wrapText="false" indent="0" shrinkToFit="false"/>
      <protection locked="true" hidden="false"/>
    </xf>
    <xf numFmtId="165" fontId="13" fillId="4" borderId="1" xfId="0" applyFont="true" applyBorder="true" applyAlignment="true" applyProtection="false">
      <alignment horizontal="center" vertical="bottom" textRotation="0" wrapText="false" indent="0" shrinkToFit="false"/>
      <protection locked="true" hidden="false"/>
    </xf>
    <xf numFmtId="170" fontId="13" fillId="4" borderId="1" xfId="0" applyFont="true" applyBorder="true" applyAlignment="true" applyProtection="false">
      <alignment horizontal="center" vertical="bottom" textRotation="0" wrapText="false" indent="0" shrinkToFit="false"/>
      <protection locked="true" hidden="false"/>
    </xf>
    <xf numFmtId="167" fontId="13" fillId="4"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72"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5" fillId="5" borderId="0" xfId="0" applyFont="true" applyBorder="true" applyAlignment="true" applyProtection="false">
      <alignment horizontal="center" vertical="center" textRotation="0" wrapText="true" indent="0" shrinkToFit="false"/>
      <protection locked="true" hidden="false"/>
    </xf>
    <xf numFmtId="166" fontId="15" fillId="5" borderId="0" xfId="0" applyFont="true" applyBorder="true" applyAlignment="true" applyProtection="false">
      <alignment horizontal="center" vertical="center" textRotation="0" wrapText="true" indent="0" shrinkToFit="false"/>
      <protection locked="true" hidden="false"/>
    </xf>
    <xf numFmtId="165" fontId="15" fillId="5"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74" fontId="7" fillId="0" borderId="1" xfId="0" applyFont="true" applyBorder="true" applyAlignment="true" applyProtection="false">
      <alignment horizontal="right" vertical="bottom" textRotation="0" wrapText="false" indent="0" shrinkToFit="false"/>
      <protection locked="true" hidden="false"/>
    </xf>
    <xf numFmtId="172" fontId="7" fillId="0" borderId="1" xfId="0" applyFont="true" applyBorder="true" applyAlignment="true" applyProtection="false">
      <alignment horizontal="right" vertical="bottom" textRotation="0" wrapText="false" indent="0" shrinkToFit="false"/>
      <protection locked="true" hidden="false"/>
    </xf>
    <xf numFmtId="175" fontId="7" fillId="0" borderId="1" xfId="0" applyFont="true" applyBorder="true" applyAlignment="true" applyProtection="false">
      <alignment horizontal="right"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76" fontId="8"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72" fontId="13"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8CBAD"/>
        </patternFill>
      </fill>
    </dxf>
    <dxf>
      <fill>
        <patternFill>
          <bgColor rgb="FFC6EFCE"/>
        </patternFill>
      </fill>
    </dxf>
    <dxf>
      <fill>
        <patternFill>
          <bgColor rgb="FFFFE699"/>
        </patternFill>
      </fill>
    </dxf>
    <dxf>
      <fill>
        <patternFill>
          <bgColor rgb="FFFFFFCC"/>
        </patternFill>
      </fill>
    </dxf>
    <dxf>
      <fill>
        <patternFill>
          <bgColor rgb="FFDCE6F1"/>
        </patternFill>
      </fill>
    </dxf>
  </dxfs>
  <colors>
    <indexedColors>
      <rgbColor rgb="FF000000"/>
      <rgbColor rgb="FFFFFFFF"/>
      <rgbColor rgb="FFC00000"/>
      <rgbColor rgb="FF00FF00"/>
      <rgbColor rgb="FF0000FF"/>
      <rgbColor rgb="FFFFE699"/>
      <rgbColor rgb="FFFF00FF"/>
      <rgbColor rgb="FF00FFFF"/>
      <rgbColor rgb="FF800000"/>
      <rgbColor rgb="FF008000"/>
      <rgbColor rgb="FF000080"/>
      <rgbColor rgb="FF808000"/>
      <rgbColor rgb="FF800080"/>
      <rgbColor rgb="FF4F81BD"/>
      <rgbColor rgb="FFBFBFBF"/>
      <rgbColor rgb="FF7F7F7F"/>
      <rgbColor rgb="FFA6A6A6"/>
      <rgbColor rgb="FFBE4B48"/>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F59D"/>
      <rgbColor rgb="FF99CCFF"/>
      <rgbColor rgb="FFFF99CC"/>
      <rgbColor rgb="FFCC99FF"/>
      <rgbColor rgb="FFF8CBAD"/>
      <rgbColor rgb="FF2F75B5"/>
      <rgbColor rgb="FF33CCCC"/>
      <rgbColor rgb="FF98B855"/>
      <rgbColor rgb="FFFFCC00"/>
      <rgbColor rgb="FFFF9900"/>
      <rgbColor rgb="FFED7D31"/>
      <rgbColor rgb="FF4A7EBB"/>
      <rgbColor rgb="FF878787"/>
      <rgbColor rgb="FF1F3A5F"/>
      <rgbColor rgb="FF00B050"/>
      <rgbColor rgb="FF003300"/>
      <rgbColor rgb="FF333300"/>
      <rgbColor rgb="FF993300"/>
      <rgbColor rgb="FF7030A0"/>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Temperature vs threshold and AI forecast</a:t>
            </a:r>
          </a:p>
        </c:rich>
      </c:tx>
      <c:overlay val="0"/>
      <c:spPr>
        <a:noFill/>
        <a:ln w="0">
          <a:noFill/>
        </a:ln>
      </c:spPr>
    </c:title>
    <c:autoTitleDeleted val="0"/>
    <c:plotArea>
      <c:lineChart>
        <c:grouping val="standard"/>
        <c:varyColors val="0"/>
        <c:ser>
          <c:idx val="0"/>
          <c:order val="0"/>
          <c:tx>
            <c:strRef>
              <c:f>Monitor_Control!I8</c:f>
              <c:strCache>
                <c:ptCount val="1"/>
                <c:pt idx="0">
                  <c:v>TX adjusted °C</c:v>
                </c:pt>
              </c:strCache>
            </c:strRef>
          </c:tx>
          <c:spPr>
            <a:solidFill>
              <a:srgbClr val="4a7ebb"/>
            </a:solidFill>
            <a:ln w="15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Monitor_Control!$I$9:$I$161</c:f>
              <c:numCache>
                <c:formatCode>0.0</c:formatCode>
                <c:ptCount val="153"/>
                <c:pt idx="0">
                  <c:v>19.1</c:v>
                </c:pt>
                <c:pt idx="1">
                  <c:v>18.1</c:v>
                </c:pt>
                <c:pt idx="2">
                  <c:v>22</c:v>
                </c:pt>
                <c:pt idx="3">
                  <c:v>21.9</c:v>
                </c:pt>
                <c:pt idx="4">
                  <c:v>25.3</c:v>
                </c:pt>
                <c:pt idx="5">
                  <c:v>22.3</c:v>
                </c:pt>
                <c:pt idx="6">
                  <c:v>22.6</c:v>
                </c:pt>
                <c:pt idx="7">
                  <c:v>25.4</c:v>
                </c:pt>
                <c:pt idx="8">
                  <c:v>22.9</c:v>
                </c:pt>
                <c:pt idx="9">
                  <c:v>18.1</c:v>
                </c:pt>
                <c:pt idx="10">
                  <c:v>20.9</c:v>
                </c:pt>
                <c:pt idx="11">
                  <c:v>23.4</c:v>
                </c:pt>
                <c:pt idx="12">
                  <c:v>25.4</c:v>
                </c:pt>
                <c:pt idx="13">
                  <c:v>20.9</c:v>
                </c:pt>
                <c:pt idx="14">
                  <c:v>25.1</c:v>
                </c:pt>
                <c:pt idx="15">
                  <c:v>29.5</c:v>
                </c:pt>
                <c:pt idx="16">
                  <c:v>25.1</c:v>
                </c:pt>
                <c:pt idx="17">
                  <c:v>24.4</c:v>
                </c:pt>
                <c:pt idx="18">
                  <c:v>21</c:v>
                </c:pt>
                <c:pt idx="19">
                  <c:v>24</c:v>
                </c:pt>
                <c:pt idx="20">
                  <c:v>25.8</c:v>
                </c:pt>
                <c:pt idx="21">
                  <c:v>22.7</c:v>
                </c:pt>
                <c:pt idx="22">
                  <c:v>21.8</c:v>
                </c:pt>
                <c:pt idx="23">
                  <c:v>21.1</c:v>
                </c:pt>
                <c:pt idx="24">
                  <c:v>23.8</c:v>
                </c:pt>
                <c:pt idx="25">
                  <c:v>22.8</c:v>
                </c:pt>
                <c:pt idx="26">
                  <c:v>21.1</c:v>
                </c:pt>
                <c:pt idx="27">
                  <c:v>19</c:v>
                </c:pt>
                <c:pt idx="28">
                  <c:v>18.1</c:v>
                </c:pt>
                <c:pt idx="29">
                  <c:v>18.4</c:v>
                </c:pt>
                <c:pt idx="30">
                  <c:v>20.7</c:v>
                </c:pt>
                <c:pt idx="31">
                  <c:v>24.3</c:v>
                </c:pt>
                <c:pt idx="32">
                  <c:v>25.3</c:v>
                </c:pt>
                <c:pt idx="33">
                  <c:v>23.6</c:v>
                </c:pt>
                <c:pt idx="34">
                  <c:v>17.2</c:v>
                </c:pt>
                <c:pt idx="35">
                  <c:v>21</c:v>
                </c:pt>
                <c:pt idx="36">
                  <c:v>24.4</c:v>
                </c:pt>
                <c:pt idx="37">
                  <c:v>25.5</c:v>
                </c:pt>
                <c:pt idx="38">
                  <c:v>23</c:v>
                </c:pt>
                <c:pt idx="39">
                  <c:v>26.5</c:v>
                </c:pt>
                <c:pt idx="40">
                  <c:v>25.8</c:v>
                </c:pt>
                <c:pt idx="41">
                  <c:v>24.9</c:v>
                </c:pt>
                <c:pt idx="42">
                  <c:v>23.7</c:v>
                </c:pt>
                <c:pt idx="43">
                  <c:v>26.9</c:v>
                </c:pt>
                <c:pt idx="44">
                  <c:v>29.9</c:v>
                </c:pt>
                <c:pt idx="45">
                  <c:v>31.4</c:v>
                </c:pt>
                <c:pt idx="46">
                  <c:v>34.7</c:v>
                </c:pt>
                <c:pt idx="47">
                  <c:v>26.8</c:v>
                </c:pt>
                <c:pt idx="48">
                  <c:v>21.7</c:v>
                </c:pt>
                <c:pt idx="49">
                  <c:v>24.5</c:v>
                </c:pt>
                <c:pt idx="50">
                  <c:v>28.2</c:v>
                </c:pt>
                <c:pt idx="51">
                  <c:v>29.9</c:v>
                </c:pt>
                <c:pt idx="52">
                  <c:v>28.7</c:v>
                </c:pt>
                <c:pt idx="53">
                  <c:v>24.5</c:v>
                </c:pt>
                <c:pt idx="54">
                  <c:v>24.3</c:v>
                </c:pt>
                <c:pt idx="55">
                  <c:v>24.8</c:v>
                </c:pt>
                <c:pt idx="56">
                  <c:v>23</c:v>
                </c:pt>
                <c:pt idx="57">
                  <c:v>25.2</c:v>
                </c:pt>
                <c:pt idx="58">
                  <c:v>24</c:v>
                </c:pt>
                <c:pt idx="59">
                  <c:v>22.7</c:v>
                </c:pt>
                <c:pt idx="60">
                  <c:v>24.1</c:v>
                </c:pt>
                <c:pt idx="61">
                  <c:v>25.8</c:v>
                </c:pt>
                <c:pt idx="62">
                  <c:v>26.2</c:v>
                </c:pt>
                <c:pt idx="63">
                  <c:v>25.3</c:v>
                </c:pt>
                <c:pt idx="64">
                  <c:v>24.3</c:v>
                </c:pt>
                <c:pt idx="65">
                  <c:v>27.3</c:v>
                </c:pt>
                <c:pt idx="66">
                  <c:v>27.2</c:v>
                </c:pt>
                <c:pt idx="67">
                  <c:v>30.7</c:v>
                </c:pt>
                <c:pt idx="68">
                  <c:v>29.5</c:v>
                </c:pt>
                <c:pt idx="69">
                  <c:v>31.7</c:v>
                </c:pt>
                <c:pt idx="70">
                  <c:v>33.8</c:v>
                </c:pt>
                <c:pt idx="71">
                  <c:v>33.3</c:v>
                </c:pt>
                <c:pt idx="72">
                  <c:v>30.7</c:v>
                </c:pt>
                <c:pt idx="73">
                  <c:v>27.3</c:v>
                </c:pt>
                <c:pt idx="74">
                  <c:v>29.2</c:v>
                </c:pt>
                <c:pt idx="75">
                  <c:v>31.1</c:v>
                </c:pt>
                <c:pt idx="76">
                  <c:v>32.8</c:v>
                </c:pt>
                <c:pt idx="77">
                  <c:v>39.1</c:v>
                </c:pt>
                <c:pt idx="78">
                  <c:v>42.2</c:v>
                </c:pt>
                <c:pt idx="79">
                  <c:v>29.2</c:v>
                </c:pt>
                <c:pt idx="80">
                  <c:v>26.2</c:v>
                </c:pt>
                <c:pt idx="81">
                  <c:v>25</c:v>
                </c:pt>
                <c:pt idx="82">
                  <c:v>29.9</c:v>
                </c:pt>
                <c:pt idx="83">
                  <c:v>31</c:v>
                </c:pt>
                <c:pt idx="84">
                  <c:v>26.9</c:v>
                </c:pt>
                <c:pt idx="85">
                  <c:v>24.8</c:v>
                </c:pt>
                <c:pt idx="86">
                  <c:v>24.1</c:v>
                </c:pt>
                <c:pt idx="87">
                  <c:v>27.2</c:v>
                </c:pt>
                <c:pt idx="88">
                  <c:v>30.4</c:v>
                </c:pt>
                <c:pt idx="89">
                  <c:v>29</c:v>
                </c:pt>
                <c:pt idx="90">
                  <c:v>29.6</c:v>
                </c:pt>
                <c:pt idx="91">
                  <c:v>29.8</c:v>
                </c:pt>
                <c:pt idx="92">
                  <c:v>28.9</c:v>
                </c:pt>
                <c:pt idx="93">
                  <c:v>29.2</c:v>
                </c:pt>
                <c:pt idx="94">
                  <c:v>27.5</c:v>
                </c:pt>
                <c:pt idx="95">
                  <c:v>25.3</c:v>
                </c:pt>
                <c:pt idx="96">
                  <c:v>26.8</c:v>
                </c:pt>
                <c:pt idx="97">
                  <c:v>29.6</c:v>
                </c:pt>
                <c:pt idx="98">
                  <c:v>31.7</c:v>
                </c:pt>
                <c:pt idx="99">
                  <c:v>31.1</c:v>
                </c:pt>
                <c:pt idx="100">
                  <c:v>32.9</c:v>
                </c:pt>
                <c:pt idx="101">
                  <c:v>35.3</c:v>
                </c:pt>
                <c:pt idx="102">
                  <c:v>35.9</c:v>
                </c:pt>
                <c:pt idx="103">
                  <c:v>36.2</c:v>
                </c:pt>
                <c:pt idx="104">
                  <c:v>35.1</c:v>
                </c:pt>
                <c:pt idx="105">
                  <c:v>31.5</c:v>
                </c:pt>
                <c:pt idx="106">
                  <c:v>25.6</c:v>
                </c:pt>
                <c:pt idx="107">
                  <c:v>26.4</c:v>
                </c:pt>
                <c:pt idx="108">
                  <c:v>29.8</c:v>
                </c:pt>
                <c:pt idx="109">
                  <c:v>27.2</c:v>
                </c:pt>
                <c:pt idx="110">
                  <c:v>28</c:v>
                </c:pt>
                <c:pt idx="111">
                  <c:v>27.4</c:v>
                </c:pt>
                <c:pt idx="112">
                  <c:v>25.4</c:v>
                </c:pt>
                <c:pt idx="113">
                  <c:v>28.5</c:v>
                </c:pt>
                <c:pt idx="114">
                  <c:v>31.1</c:v>
                </c:pt>
                <c:pt idx="115">
                  <c:v>23.8</c:v>
                </c:pt>
                <c:pt idx="116">
                  <c:v>27.2</c:v>
                </c:pt>
                <c:pt idx="117">
                  <c:v>27.3</c:v>
                </c:pt>
                <c:pt idx="118">
                  <c:v>26.4</c:v>
                </c:pt>
                <c:pt idx="119">
                  <c:v>25.3</c:v>
                </c:pt>
                <c:pt idx="120">
                  <c:v>26.4</c:v>
                </c:pt>
                <c:pt idx="121">
                  <c:v>26.7</c:v>
                </c:pt>
                <c:pt idx="122">
                  <c:v>25.7</c:v>
                </c:pt>
                <c:pt idx="123">
                  <c:v>26.2</c:v>
                </c:pt>
                <c:pt idx="124">
                  <c:v>25.7</c:v>
                </c:pt>
                <c:pt idx="125">
                  <c:v>26.6</c:v>
                </c:pt>
                <c:pt idx="126">
                  <c:v>24.8</c:v>
                </c:pt>
                <c:pt idx="127">
                  <c:v>24.2</c:v>
                </c:pt>
                <c:pt idx="128">
                  <c:v>23.3</c:v>
                </c:pt>
                <c:pt idx="129">
                  <c:v>22.1</c:v>
                </c:pt>
                <c:pt idx="130">
                  <c:v>24.1</c:v>
                </c:pt>
                <c:pt idx="131">
                  <c:v>24.5</c:v>
                </c:pt>
                <c:pt idx="132">
                  <c:v>25.4</c:v>
                </c:pt>
                <c:pt idx="133">
                  <c:v>28.2</c:v>
                </c:pt>
                <c:pt idx="134">
                  <c:v>20.8</c:v>
                </c:pt>
                <c:pt idx="135">
                  <c:v>24</c:v>
                </c:pt>
                <c:pt idx="136">
                  <c:v>21.1</c:v>
                </c:pt>
                <c:pt idx="137">
                  <c:v>19.7</c:v>
                </c:pt>
                <c:pt idx="138">
                  <c:v>19.6</c:v>
                </c:pt>
                <c:pt idx="139">
                  <c:v>20</c:v>
                </c:pt>
                <c:pt idx="140">
                  <c:v>20.6</c:v>
                </c:pt>
                <c:pt idx="141">
                  <c:v>21.8</c:v>
                </c:pt>
                <c:pt idx="142">
                  <c:v>23.2</c:v>
                </c:pt>
                <c:pt idx="143">
                  <c:v>22.7</c:v>
                </c:pt>
                <c:pt idx="144">
                  <c:v>20.9</c:v>
                </c:pt>
                <c:pt idx="145">
                  <c:v>20.9</c:v>
                </c:pt>
                <c:pt idx="146">
                  <c:v>18.7</c:v>
                </c:pt>
                <c:pt idx="147">
                  <c:v>17.7</c:v>
                </c:pt>
                <c:pt idx="148">
                  <c:v>17</c:v>
                </c:pt>
                <c:pt idx="149">
                  <c:v>17.6</c:v>
                </c:pt>
                <c:pt idx="150">
                  <c:v>18.9</c:v>
                </c:pt>
                <c:pt idx="151">
                  <c:v>18.7</c:v>
                </c:pt>
                <c:pt idx="152">
                  <c:v>21.4</c:v>
                </c:pt>
              </c:numCache>
            </c:numRef>
          </c:val>
          <c:smooth val="0"/>
        </c:ser>
        <c:ser>
          <c:idx val="1"/>
          <c:order val="1"/>
          <c:tx>
            <c:strRef>
              <c:f>Monitor_Control!X8</c:f>
              <c:strCache>
                <c:ptCount val="1"/>
                <c:pt idx="0">
                  <c:v>Model forecast (adjusted) °C</c:v>
                </c:pt>
              </c:strCache>
            </c:strRef>
          </c:tx>
          <c:spPr>
            <a:solidFill>
              <a:srgbClr val="be4b48"/>
            </a:solidFill>
            <a:ln w="15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Monitor_Control!$X$9:$X$161</c:f>
              <c:numCache>
                <c:formatCode>0.0</c:formatCode>
                <c:ptCount val="153"/>
                <c:pt idx="1">
                  <c:v>18.2016257914499</c:v>
                </c:pt>
                <c:pt idx="2">
                  <c:v>17.3101358407491</c:v>
                </c:pt>
                <c:pt idx="3">
                  <c:v>20.5055586936154</c:v>
                </c:pt>
                <c:pt idx="4">
                  <c:v>20.36715896397</c:v>
                </c:pt>
                <c:pt idx="5">
                  <c:v>23.294076746168</c:v>
                </c:pt>
                <c:pt idx="6">
                  <c:v>20.8768400300642</c:v>
                </c:pt>
                <c:pt idx="7">
                  <c:v>21.138326735294</c:v>
                </c:pt>
                <c:pt idx="8">
                  <c:v>23.5265861597154</c:v>
                </c:pt>
                <c:pt idx="9">
                  <c:v>21.299429777695</c:v>
                </c:pt>
                <c:pt idx="10">
                  <c:v>17.1125055045549</c:v>
                </c:pt>
                <c:pt idx="11">
                  <c:v>19.2717646981482</c:v>
                </c:pt>
                <c:pt idx="12">
                  <c:v>21.5647978589</c:v>
                </c:pt>
                <c:pt idx="13">
                  <c:v>23.2536680763997</c:v>
                </c:pt>
                <c:pt idx="14">
                  <c:v>19.5917376234149</c:v>
                </c:pt>
                <c:pt idx="15">
                  <c:v>22.8572908242437</c:v>
                </c:pt>
                <c:pt idx="16">
                  <c:v>26.4404243473876</c:v>
                </c:pt>
                <c:pt idx="17">
                  <c:v>22.9200306135117</c:v>
                </c:pt>
                <c:pt idx="18">
                  <c:v>22.3966850097962</c:v>
                </c:pt>
                <c:pt idx="19">
                  <c:v>19.5952468061342</c:v>
                </c:pt>
                <c:pt idx="20">
                  <c:v>22.0689493325792</c:v>
                </c:pt>
                <c:pt idx="21">
                  <c:v>23.6064996693239</c:v>
                </c:pt>
                <c:pt idx="22">
                  <c:v>20.8344109506002</c:v>
                </c:pt>
                <c:pt idx="23">
                  <c:v>19.7613478042781</c:v>
                </c:pt>
                <c:pt idx="24">
                  <c:v>19.3007419898306</c:v>
                </c:pt>
                <c:pt idx="25">
                  <c:v>21.7482320208007</c:v>
                </c:pt>
                <c:pt idx="26">
                  <c:v>21.1673040269763</c:v>
                </c:pt>
                <c:pt idx="27">
                  <c:v>19.8716740721692</c:v>
                </c:pt>
                <c:pt idx="28">
                  <c:v>18.1667467140966</c:v>
                </c:pt>
                <c:pt idx="29">
                  <c:v>17.2536700304079</c:v>
                </c:pt>
                <c:pt idx="30">
                  <c:v>17.3206633889069</c:v>
                </c:pt>
                <c:pt idx="31">
                  <c:v>19.1706366488077</c:v>
                </c:pt>
                <c:pt idx="32">
                  <c:v>22.2645592590776</c:v>
                </c:pt>
                <c:pt idx="33">
                  <c:v>23.1717341570954</c:v>
                </c:pt>
                <c:pt idx="34">
                  <c:v>21.7161177396549</c:v>
                </c:pt>
                <c:pt idx="35">
                  <c:v>16.5350866934499</c:v>
                </c:pt>
                <c:pt idx="36">
                  <c:v>19.5293700274028</c:v>
                </c:pt>
                <c:pt idx="37">
                  <c:v>22.2649314523335</c:v>
                </c:pt>
                <c:pt idx="38">
                  <c:v>23.0752318702418</c:v>
                </c:pt>
                <c:pt idx="39">
                  <c:v>20.8480754882214</c:v>
                </c:pt>
                <c:pt idx="40">
                  <c:v>24.0106396734302</c:v>
                </c:pt>
                <c:pt idx="41">
                  <c:v>23.5343489116657</c:v>
                </c:pt>
                <c:pt idx="42">
                  <c:v>22.8973273007561</c:v>
                </c:pt>
                <c:pt idx="43">
                  <c:v>21.9737230689095</c:v>
                </c:pt>
                <c:pt idx="44">
                  <c:v>24.62697838128</c:v>
                </c:pt>
                <c:pt idx="45">
                  <c:v>26.9657903607988</c:v>
                </c:pt>
                <c:pt idx="46">
                  <c:v>28.125785382168</c:v>
                </c:pt>
                <c:pt idx="47">
                  <c:v>30.9237144031108</c:v>
                </c:pt>
                <c:pt idx="48">
                  <c:v>24.3913319782692</c:v>
                </c:pt>
                <c:pt idx="49">
                  <c:v>20.1562362834105</c:v>
                </c:pt>
                <c:pt idx="50">
                  <c:v>22.3656873084181</c:v>
                </c:pt>
                <c:pt idx="51">
                  <c:v>25.5038999644315</c:v>
                </c:pt>
                <c:pt idx="52">
                  <c:v>26.7775709929949</c:v>
                </c:pt>
                <c:pt idx="53">
                  <c:v>25.7504461088561</c:v>
                </c:pt>
                <c:pt idx="54">
                  <c:v>22.1931528879312</c:v>
                </c:pt>
                <c:pt idx="55">
                  <c:v>21.8755725656161</c:v>
                </c:pt>
                <c:pt idx="56">
                  <c:v>22.3793518460394</c:v>
                </c:pt>
                <c:pt idx="57">
                  <c:v>21.0425688349522</c:v>
                </c:pt>
                <c:pt idx="58">
                  <c:v>22.9737316276454</c:v>
                </c:pt>
                <c:pt idx="59">
                  <c:v>22.0313054590184</c:v>
                </c:pt>
                <c:pt idx="60">
                  <c:v>20.793630087576</c:v>
                </c:pt>
                <c:pt idx="61">
                  <c:v>21.9407049578357</c:v>
                </c:pt>
                <c:pt idx="62">
                  <c:v>23.4747461118612</c:v>
                </c:pt>
                <c:pt idx="63">
                  <c:v>23.8589475994194</c:v>
                </c:pt>
                <c:pt idx="64">
                  <c:v>23.1560492097784</c:v>
                </c:pt>
                <c:pt idx="65">
                  <c:v>22.3994498060037</c:v>
                </c:pt>
                <c:pt idx="66">
                  <c:v>24.9735359952775</c:v>
                </c:pt>
                <c:pt idx="67">
                  <c:v>24.9386569179242</c:v>
                </c:pt>
                <c:pt idx="68">
                  <c:v>27.8722208723049</c:v>
                </c:pt>
                <c:pt idx="69">
                  <c:v>26.9768495456288</c:v>
                </c:pt>
                <c:pt idx="70">
                  <c:v>28.7354779178351</c:v>
                </c:pt>
                <c:pt idx="71">
                  <c:v>30.3462955920057</c:v>
                </c:pt>
                <c:pt idx="72">
                  <c:v>29.8268313642654</c:v>
                </c:pt>
                <c:pt idx="73">
                  <c:v>27.6620425782571</c:v>
                </c:pt>
                <c:pt idx="74">
                  <c:v>24.8574673851317</c:v>
                </c:pt>
                <c:pt idx="75">
                  <c:v>26.4581297044003</c:v>
                </c:pt>
                <c:pt idx="76">
                  <c:v>28.0493810552788</c:v>
                </c:pt>
                <c:pt idx="77">
                  <c:v>29.4736275780853</c:v>
                </c:pt>
                <c:pt idx="78">
                  <c:v>34.6323275047906</c:v>
                </c:pt>
                <c:pt idx="79">
                  <c:v>36.9934706038091</c:v>
                </c:pt>
                <c:pt idx="80">
                  <c:v>26.1130608634264</c:v>
                </c:pt>
                <c:pt idx="81">
                  <c:v>23.7805228628344</c:v>
                </c:pt>
                <c:pt idx="82">
                  <c:v>22.9729872411336</c:v>
                </c:pt>
                <c:pt idx="83">
                  <c:v>26.943831434555</c:v>
                </c:pt>
                <c:pt idx="84">
                  <c:v>27.8011866944144</c:v>
                </c:pt>
                <c:pt idx="85">
                  <c:v>24.2881835192329</c:v>
                </c:pt>
                <c:pt idx="86">
                  <c:v>22.4765985194048</c:v>
                </c:pt>
                <c:pt idx="87">
                  <c:v>22.1697051886638</c:v>
                </c:pt>
                <c:pt idx="88">
                  <c:v>24.7347526028032</c:v>
                </c:pt>
                <c:pt idx="89">
                  <c:v>27.271939305028</c:v>
                </c:pt>
                <c:pt idx="90">
                  <c:v>26.1562343294023</c:v>
                </c:pt>
                <c:pt idx="91">
                  <c:v>26.6415638663011</c:v>
                </c:pt>
                <c:pt idx="92">
                  <c:v>26.7426919156416</c:v>
                </c:pt>
                <c:pt idx="93">
                  <c:v>26.0617524522444</c:v>
                </c:pt>
                <c:pt idx="94">
                  <c:v>26.219718505182</c:v>
                </c:pt>
                <c:pt idx="95">
                  <c:v>24.7735130561317</c:v>
                </c:pt>
                <c:pt idx="96">
                  <c:v>23.0305696312425</c:v>
                </c:pt>
                <c:pt idx="97">
                  <c:v>24.4854416621712</c:v>
                </c:pt>
                <c:pt idx="98">
                  <c:v>26.9583998021043</c:v>
                </c:pt>
                <c:pt idx="99">
                  <c:v>28.6005873709089</c:v>
                </c:pt>
                <c:pt idx="100">
                  <c:v>28.1309427813271</c:v>
                </c:pt>
                <c:pt idx="101">
                  <c:v>29.6684931180719</c:v>
                </c:pt>
                <c:pt idx="102">
                  <c:v>31.5376605080089</c:v>
                </c:pt>
                <c:pt idx="103">
                  <c:v>31.9037844452986</c:v>
                </c:pt>
                <c:pt idx="104">
                  <c:v>32.0429285614558</c:v>
                </c:pt>
                <c:pt idx="105">
                  <c:v>31.0067649021827</c:v>
                </c:pt>
                <c:pt idx="106">
                  <c:v>27.8375545447912</c:v>
                </c:pt>
                <c:pt idx="107">
                  <c:v>22.8873846956938</c:v>
                </c:pt>
                <c:pt idx="108">
                  <c:v>23.6808835865175</c:v>
                </c:pt>
                <c:pt idx="109">
                  <c:v>26.6078013687154</c:v>
                </c:pt>
                <c:pt idx="110">
                  <c:v>24.5433962455359</c:v>
                </c:pt>
                <c:pt idx="111">
                  <c:v>25.2239635156772</c:v>
                </c:pt>
                <c:pt idx="112">
                  <c:v>24.8076477469732</c:v>
                </c:pt>
                <c:pt idx="113">
                  <c:v>23.1250515084003</c:v>
                </c:pt>
                <c:pt idx="114">
                  <c:v>25.6022632175646</c:v>
                </c:pt>
                <c:pt idx="115">
                  <c:v>27.7388190984023</c:v>
                </c:pt>
                <c:pt idx="116">
                  <c:v>21.8266567573857</c:v>
                </c:pt>
                <c:pt idx="117">
                  <c:v>24.6531908767549</c:v>
                </c:pt>
                <c:pt idx="118">
                  <c:v>24.7884536169369</c:v>
                </c:pt>
                <c:pt idx="119">
                  <c:v>24.0447743642717</c:v>
                </c:pt>
                <c:pt idx="120">
                  <c:v>23.2313369569</c:v>
                </c:pt>
                <c:pt idx="121">
                  <c:v>24.1639799638809</c:v>
                </c:pt>
                <c:pt idx="122">
                  <c:v>24.4160557007205</c:v>
                </c:pt>
                <c:pt idx="123">
                  <c:v>23.6155384444582</c:v>
                </c:pt>
                <c:pt idx="124">
                  <c:v>23.88718050459</c:v>
                </c:pt>
                <c:pt idx="125">
                  <c:v>23.2673326140209</c:v>
                </c:pt>
                <c:pt idx="126">
                  <c:v>23.9106282038574</c:v>
                </c:pt>
                <c:pt idx="127">
                  <c:v>22.5863931506237</c:v>
                </c:pt>
                <c:pt idx="128">
                  <c:v>22.1230225399687</c:v>
                </c:pt>
                <c:pt idx="129">
                  <c:v>21.272685645548</c:v>
                </c:pt>
                <c:pt idx="130">
                  <c:v>20.189094951068</c:v>
                </c:pt>
                <c:pt idx="131">
                  <c:v>21.6928827902272</c:v>
                </c:pt>
                <c:pt idx="132">
                  <c:v>22.089632235639</c:v>
                </c:pt>
                <c:pt idx="133">
                  <c:v>23.1156405400101</c:v>
                </c:pt>
                <c:pt idx="134">
                  <c:v>25.4850780276511</c:v>
                </c:pt>
                <c:pt idx="135">
                  <c:v>19.2337486313315</c:v>
                </c:pt>
                <c:pt idx="136">
                  <c:v>21.8148531860438</c:v>
                </c:pt>
                <c:pt idx="137">
                  <c:v>19.3477968317816</c:v>
                </c:pt>
                <c:pt idx="138">
                  <c:v>18.3638454136186</c:v>
                </c:pt>
                <c:pt idx="139">
                  <c:v>18.4481719358745</c:v>
                </c:pt>
                <c:pt idx="140">
                  <c:v>18.9107981600177</c:v>
                </c:pt>
                <c:pt idx="141">
                  <c:v>19.3741687706727</c:v>
                </c:pt>
                <c:pt idx="142">
                  <c:v>20.4514854862259</c:v>
                </c:pt>
                <c:pt idx="143">
                  <c:v>21.6487521879</c:v>
                </c:pt>
                <c:pt idx="144">
                  <c:v>21.2202606545982</c:v>
                </c:pt>
                <c:pt idx="145">
                  <c:v>19.5666417077077</c:v>
                </c:pt>
                <c:pt idx="146">
                  <c:v>19.419203202928</c:v>
                </c:pt>
                <c:pt idx="147">
                  <c:v>17.6762597780387</c:v>
                </c:pt>
                <c:pt idx="148">
                  <c:v>16.88829047963</c:v>
                </c:pt>
                <c:pt idx="149">
                  <c:v>15.8504786039171</c:v>
                </c:pt>
                <c:pt idx="150">
                  <c:v>16.2918902883283</c:v>
                </c:pt>
                <c:pt idx="151">
                  <c:v>17.3162503762596</c:v>
                </c:pt>
                <c:pt idx="152">
                  <c:v>17.2684511477968</c:v>
                </c:pt>
              </c:numCache>
            </c:numRef>
          </c:val>
          <c:smooth val="0"/>
        </c:ser>
        <c:ser>
          <c:idx val="2"/>
          <c:order val="2"/>
          <c:tx>
            <c:strRef>
              <c:f>Monitor_Control!AN8</c:f>
              <c:strCache>
                <c:ptCount val="1"/>
                <c:pt idx="0">
                  <c:v>T_Day line</c:v>
                </c:pt>
              </c:strCache>
            </c:strRef>
          </c:tx>
          <c:spPr>
            <a:solidFill>
              <a:srgbClr val="98b855"/>
            </a:solidFill>
            <a:ln w="151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Monitor_Control!$AN$9:$AN$161</c:f>
              <c:numCache>
                <c:formatCode>0.0</c:formatCode>
                <c:ptCount val="153"/>
                <c:pt idx="0">
                  <c:v>28</c:v>
                </c:pt>
                <c:pt idx="1">
                  <c:v>28</c:v>
                </c:pt>
                <c:pt idx="2">
                  <c:v>28</c:v>
                </c:pt>
                <c:pt idx="3">
                  <c:v>28</c:v>
                </c:pt>
                <c:pt idx="4">
                  <c:v>28</c:v>
                </c:pt>
                <c:pt idx="5">
                  <c:v>28</c:v>
                </c:pt>
                <c:pt idx="6">
                  <c:v>28</c:v>
                </c:pt>
                <c:pt idx="7">
                  <c:v>28</c:v>
                </c:pt>
                <c:pt idx="8">
                  <c:v>28</c:v>
                </c:pt>
                <c:pt idx="9">
                  <c:v>28</c:v>
                </c:pt>
                <c:pt idx="10">
                  <c:v>28</c:v>
                </c:pt>
                <c:pt idx="11">
                  <c:v>28</c:v>
                </c:pt>
                <c:pt idx="12">
                  <c:v>28</c:v>
                </c:pt>
                <c:pt idx="13">
                  <c:v>28</c:v>
                </c:pt>
                <c:pt idx="14">
                  <c:v>28</c:v>
                </c:pt>
                <c:pt idx="15">
                  <c:v>28</c:v>
                </c:pt>
                <c:pt idx="16">
                  <c:v>28</c:v>
                </c:pt>
                <c:pt idx="17">
                  <c:v>28</c:v>
                </c:pt>
                <c:pt idx="18">
                  <c:v>28</c:v>
                </c:pt>
                <c:pt idx="19">
                  <c:v>28</c:v>
                </c:pt>
                <c:pt idx="20">
                  <c:v>28</c:v>
                </c:pt>
                <c:pt idx="21">
                  <c:v>28</c:v>
                </c:pt>
                <c:pt idx="22">
                  <c:v>28</c:v>
                </c:pt>
                <c:pt idx="23">
                  <c:v>28</c:v>
                </c:pt>
                <c:pt idx="24">
                  <c:v>28</c:v>
                </c:pt>
                <c:pt idx="25">
                  <c:v>28</c:v>
                </c:pt>
                <c:pt idx="26">
                  <c:v>28</c:v>
                </c:pt>
                <c:pt idx="27">
                  <c:v>28</c:v>
                </c:pt>
                <c:pt idx="28">
                  <c:v>28</c:v>
                </c:pt>
                <c:pt idx="29">
                  <c:v>28</c:v>
                </c:pt>
                <c:pt idx="30">
                  <c:v>28</c:v>
                </c:pt>
                <c:pt idx="31">
                  <c:v>28</c:v>
                </c:pt>
                <c:pt idx="32">
                  <c:v>28</c:v>
                </c:pt>
                <c:pt idx="33">
                  <c:v>28</c:v>
                </c:pt>
                <c:pt idx="34">
                  <c:v>28</c:v>
                </c:pt>
                <c:pt idx="35">
                  <c:v>28</c:v>
                </c:pt>
                <c:pt idx="36">
                  <c:v>28</c:v>
                </c:pt>
                <c:pt idx="37">
                  <c:v>28</c:v>
                </c:pt>
                <c:pt idx="38">
                  <c:v>28</c:v>
                </c:pt>
                <c:pt idx="39">
                  <c:v>28</c:v>
                </c:pt>
                <c:pt idx="40">
                  <c:v>28</c:v>
                </c:pt>
                <c:pt idx="41">
                  <c:v>28</c:v>
                </c:pt>
                <c:pt idx="42">
                  <c:v>28</c:v>
                </c:pt>
                <c:pt idx="43">
                  <c:v>28</c:v>
                </c:pt>
                <c:pt idx="44">
                  <c:v>28</c:v>
                </c:pt>
                <c:pt idx="45">
                  <c:v>28</c:v>
                </c:pt>
                <c:pt idx="46">
                  <c:v>28</c:v>
                </c:pt>
                <c:pt idx="47">
                  <c:v>28</c:v>
                </c:pt>
                <c:pt idx="48">
                  <c:v>28</c:v>
                </c:pt>
                <c:pt idx="49">
                  <c:v>28</c:v>
                </c:pt>
                <c:pt idx="50">
                  <c:v>28</c:v>
                </c:pt>
                <c:pt idx="51">
                  <c:v>28</c:v>
                </c:pt>
                <c:pt idx="52">
                  <c:v>28</c:v>
                </c:pt>
                <c:pt idx="53">
                  <c:v>28</c:v>
                </c:pt>
                <c:pt idx="54">
                  <c:v>28</c:v>
                </c:pt>
                <c:pt idx="55">
                  <c:v>28</c:v>
                </c:pt>
                <c:pt idx="56">
                  <c:v>28</c:v>
                </c:pt>
                <c:pt idx="57">
                  <c:v>28</c:v>
                </c:pt>
                <c:pt idx="58">
                  <c:v>28</c:v>
                </c:pt>
                <c:pt idx="59">
                  <c:v>28</c:v>
                </c:pt>
                <c:pt idx="60">
                  <c:v>28</c:v>
                </c:pt>
                <c:pt idx="61">
                  <c:v>28</c:v>
                </c:pt>
                <c:pt idx="62">
                  <c:v>28</c:v>
                </c:pt>
                <c:pt idx="63">
                  <c:v>28</c:v>
                </c:pt>
                <c:pt idx="64">
                  <c:v>28</c:v>
                </c:pt>
                <c:pt idx="65">
                  <c:v>28</c:v>
                </c:pt>
                <c:pt idx="66">
                  <c:v>28</c:v>
                </c:pt>
                <c:pt idx="67">
                  <c:v>28</c:v>
                </c:pt>
                <c:pt idx="68">
                  <c:v>28</c:v>
                </c:pt>
                <c:pt idx="69">
                  <c:v>28</c:v>
                </c:pt>
                <c:pt idx="70">
                  <c:v>28</c:v>
                </c:pt>
                <c:pt idx="71">
                  <c:v>28</c:v>
                </c:pt>
                <c:pt idx="72">
                  <c:v>28</c:v>
                </c:pt>
                <c:pt idx="73">
                  <c:v>28</c:v>
                </c:pt>
                <c:pt idx="74">
                  <c:v>28</c:v>
                </c:pt>
                <c:pt idx="75">
                  <c:v>28</c:v>
                </c:pt>
                <c:pt idx="76">
                  <c:v>28</c:v>
                </c:pt>
                <c:pt idx="77">
                  <c:v>28</c:v>
                </c:pt>
                <c:pt idx="78">
                  <c:v>28</c:v>
                </c:pt>
                <c:pt idx="79">
                  <c:v>28</c:v>
                </c:pt>
                <c:pt idx="80">
                  <c:v>28</c:v>
                </c:pt>
                <c:pt idx="81">
                  <c:v>28</c:v>
                </c:pt>
                <c:pt idx="82">
                  <c:v>28</c:v>
                </c:pt>
                <c:pt idx="83">
                  <c:v>28</c:v>
                </c:pt>
                <c:pt idx="84">
                  <c:v>28</c:v>
                </c:pt>
                <c:pt idx="85">
                  <c:v>28</c:v>
                </c:pt>
                <c:pt idx="86">
                  <c:v>28</c:v>
                </c:pt>
                <c:pt idx="87">
                  <c:v>28</c:v>
                </c:pt>
                <c:pt idx="88">
                  <c:v>28</c:v>
                </c:pt>
                <c:pt idx="89">
                  <c:v>28</c:v>
                </c:pt>
                <c:pt idx="90">
                  <c:v>28</c:v>
                </c:pt>
                <c:pt idx="91">
                  <c:v>28</c:v>
                </c:pt>
                <c:pt idx="92">
                  <c:v>28</c:v>
                </c:pt>
                <c:pt idx="93">
                  <c:v>28</c:v>
                </c:pt>
                <c:pt idx="94">
                  <c:v>28</c:v>
                </c:pt>
                <c:pt idx="95">
                  <c:v>28</c:v>
                </c:pt>
                <c:pt idx="96">
                  <c:v>28</c:v>
                </c:pt>
                <c:pt idx="97">
                  <c:v>28</c:v>
                </c:pt>
                <c:pt idx="98">
                  <c:v>28</c:v>
                </c:pt>
                <c:pt idx="99">
                  <c:v>28</c:v>
                </c:pt>
                <c:pt idx="100">
                  <c:v>28</c:v>
                </c:pt>
                <c:pt idx="101">
                  <c:v>28</c:v>
                </c:pt>
                <c:pt idx="102">
                  <c:v>28</c:v>
                </c:pt>
                <c:pt idx="103">
                  <c:v>28</c:v>
                </c:pt>
                <c:pt idx="104">
                  <c:v>28</c:v>
                </c:pt>
                <c:pt idx="105">
                  <c:v>28</c:v>
                </c:pt>
                <c:pt idx="106">
                  <c:v>28</c:v>
                </c:pt>
                <c:pt idx="107">
                  <c:v>28</c:v>
                </c:pt>
                <c:pt idx="108">
                  <c:v>28</c:v>
                </c:pt>
                <c:pt idx="109">
                  <c:v>28</c:v>
                </c:pt>
                <c:pt idx="110">
                  <c:v>28</c:v>
                </c:pt>
                <c:pt idx="111">
                  <c:v>28</c:v>
                </c:pt>
                <c:pt idx="112">
                  <c:v>28</c:v>
                </c:pt>
                <c:pt idx="113">
                  <c:v>28</c:v>
                </c:pt>
                <c:pt idx="114">
                  <c:v>28</c:v>
                </c:pt>
                <c:pt idx="115">
                  <c:v>28</c:v>
                </c:pt>
                <c:pt idx="116">
                  <c:v>28</c:v>
                </c:pt>
                <c:pt idx="117">
                  <c:v>28</c:v>
                </c:pt>
                <c:pt idx="118">
                  <c:v>28</c:v>
                </c:pt>
                <c:pt idx="119">
                  <c:v>28</c:v>
                </c:pt>
                <c:pt idx="120">
                  <c:v>28</c:v>
                </c:pt>
                <c:pt idx="121">
                  <c:v>28</c:v>
                </c:pt>
                <c:pt idx="122">
                  <c:v>28</c:v>
                </c:pt>
                <c:pt idx="123">
                  <c:v>28</c:v>
                </c:pt>
                <c:pt idx="124">
                  <c:v>28</c:v>
                </c:pt>
                <c:pt idx="125">
                  <c:v>28</c:v>
                </c:pt>
                <c:pt idx="126">
                  <c:v>28</c:v>
                </c:pt>
                <c:pt idx="127">
                  <c:v>28</c:v>
                </c:pt>
                <c:pt idx="128">
                  <c:v>28</c:v>
                </c:pt>
                <c:pt idx="129">
                  <c:v>28</c:v>
                </c:pt>
                <c:pt idx="130">
                  <c:v>28</c:v>
                </c:pt>
                <c:pt idx="131">
                  <c:v>28</c:v>
                </c:pt>
                <c:pt idx="132">
                  <c:v>28</c:v>
                </c:pt>
                <c:pt idx="133">
                  <c:v>28</c:v>
                </c:pt>
                <c:pt idx="134">
                  <c:v>28</c:v>
                </c:pt>
                <c:pt idx="135">
                  <c:v>28</c:v>
                </c:pt>
                <c:pt idx="136">
                  <c:v>28</c:v>
                </c:pt>
                <c:pt idx="137">
                  <c:v>28</c:v>
                </c:pt>
                <c:pt idx="138">
                  <c:v>28</c:v>
                </c:pt>
                <c:pt idx="139">
                  <c:v>28</c:v>
                </c:pt>
                <c:pt idx="140">
                  <c:v>28</c:v>
                </c:pt>
                <c:pt idx="141">
                  <c:v>28</c:v>
                </c:pt>
                <c:pt idx="142">
                  <c:v>28</c:v>
                </c:pt>
                <c:pt idx="143">
                  <c:v>28</c:v>
                </c:pt>
                <c:pt idx="144">
                  <c:v>28</c:v>
                </c:pt>
                <c:pt idx="145">
                  <c:v>28</c:v>
                </c:pt>
                <c:pt idx="146">
                  <c:v>28</c:v>
                </c:pt>
                <c:pt idx="147">
                  <c:v>28</c:v>
                </c:pt>
                <c:pt idx="148">
                  <c:v>28</c:v>
                </c:pt>
                <c:pt idx="149">
                  <c:v>28</c:v>
                </c:pt>
                <c:pt idx="150">
                  <c:v>28</c:v>
                </c:pt>
                <c:pt idx="151">
                  <c:v>28</c:v>
                </c:pt>
                <c:pt idx="152">
                  <c:v>28</c:v>
                </c:pt>
              </c:numCache>
            </c:numRef>
          </c:val>
          <c:smooth val="0"/>
        </c:ser>
        <c:hiLowLines>
          <c:spPr>
            <a:ln w="0">
              <a:noFill/>
            </a:ln>
          </c:spPr>
        </c:hiLowLines>
        <c:marker val="0"/>
        <c:axId val="44396206"/>
        <c:axId val="65891805"/>
      </c:lineChart>
      <c:catAx>
        <c:axId val="443962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891805"/>
        <c:crosses val="autoZero"/>
        <c:auto val="1"/>
        <c:lblAlgn val="ctr"/>
        <c:lblOffset val="100"/>
        <c:noMultiLvlLbl val="0"/>
      </c:catAx>
      <c:valAx>
        <c:axId val="6589180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3962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Heat-stress stock vs capacity (tipping point)</a:t>
            </a:r>
          </a:p>
        </c:rich>
      </c:tx>
      <c:overlay val="0"/>
      <c:spPr>
        <a:noFill/>
        <a:ln w="0">
          <a:noFill/>
        </a:ln>
      </c:spPr>
    </c:title>
    <c:autoTitleDeleted val="0"/>
    <c:plotArea>
      <c:lineChart>
        <c:grouping val="standard"/>
        <c:varyColors val="0"/>
        <c:ser>
          <c:idx val="0"/>
          <c:order val="0"/>
          <c:tx>
            <c:strRef>
              <c:f>Monitor_Control!T8</c:f>
              <c:strCache>
                <c:ptCount val="1"/>
                <c:pt idx="0">
                  <c:v>Heat-stress stock °C·d</c:v>
                </c:pt>
              </c:strCache>
            </c:strRef>
          </c:tx>
          <c:spPr>
            <a:solidFill>
              <a:srgbClr val="4a7ebb"/>
            </a:solidFill>
            <a:ln w="15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Monitor_Control!$T$9:$T$161</c:f>
              <c:numCache>
                <c:formatCode>0.0</c:formatCode>
                <c:ptCount val="1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3.6</c:v>
                </c:pt>
                <c:pt idx="16">
                  <c:v>1.43</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0.800000000000001</c:v>
                </c:pt>
                <c:pt idx="41">
                  <c:v>0</c:v>
                </c:pt>
                <c:pt idx="42">
                  <c:v>0</c:v>
                </c:pt>
                <c:pt idx="43">
                  <c:v>0</c:v>
                </c:pt>
                <c:pt idx="44">
                  <c:v>2.8</c:v>
                </c:pt>
                <c:pt idx="45">
                  <c:v>7.29</c:v>
                </c:pt>
                <c:pt idx="46">
                  <c:v>15.432</c:v>
                </c:pt>
                <c:pt idx="47">
                  <c:v>14.1456</c:v>
                </c:pt>
                <c:pt idx="48">
                  <c:v>11.31648</c:v>
                </c:pt>
                <c:pt idx="49">
                  <c:v>6.903184</c:v>
                </c:pt>
                <c:pt idx="50">
                  <c:v>7.4225472</c:v>
                </c:pt>
                <c:pt idx="51">
                  <c:v>9.13803776</c:v>
                </c:pt>
                <c:pt idx="52">
                  <c:v>10.260430208</c:v>
                </c:pt>
                <c:pt idx="53">
                  <c:v>8.1583441664</c:v>
                </c:pt>
                <c:pt idx="54">
                  <c:v>6.52667533312</c:v>
                </c:pt>
                <c:pt idx="55">
                  <c:v>4.421340266496</c:v>
                </c:pt>
                <c:pt idx="56">
                  <c:v>2.0370722131968</c:v>
                </c:pt>
                <c:pt idx="57">
                  <c:v>0.679657770557439</c:v>
                </c:pt>
                <c:pt idx="58">
                  <c:v>0</c:v>
                </c:pt>
                <c:pt idx="59">
                  <c:v>0</c:v>
                </c:pt>
                <c:pt idx="60">
                  <c:v>0</c:v>
                </c:pt>
                <c:pt idx="61">
                  <c:v>0</c:v>
                </c:pt>
                <c:pt idx="62">
                  <c:v>0.0999999999999996</c:v>
                </c:pt>
                <c:pt idx="63">
                  <c:v>0</c:v>
                </c:pt>
                <c:pt idx="64">
                  <c:v>0</c:v>
                </c:pt>
                <c:pt idx="65">
                  <c:v>0.700000000000001</c:v>
                </c:pt>
                <c:pt idx="66">
                  <c:v>2.01</c:v>
                </c:pt>
                <c:pt idx="67">
                  <c:v>7.308</c:v>
                </c:pt>
                <c:pt idx="68">
                  <c:v>10.2464</c:v>
                </c:pt>
                <c:pt idx="69">
                  <c:v>14.89712</c:v>
                </c:pt>
                <c:pt idx="70">
                  <c:v>20.717696</c:v>
                </c:pt>
                <c:pt idx="71">
                  <c:v>24.8741568</c:v>
                </c:pt>
                <c:pt idx="72">
                  <c:v>25.59932544</c:v>
                </c:pt>
                <c:pt idx="73">
                  <c:v>22.779460352</c:v>
                </c:pt>
                <c:pt idx="74">
                  <c:v>22.4235682816</c:v>
                </c:pt>
                <c:pt idx="75">
                  <c:v>23.63885462528</c:v>
                </c:pt>
                <c:pt idx="76">
                  <c:v>26.711083700224</c:v>
                </c:pt>
                <c:pt idx="77">
                  <c:v>35.4688669601792</c:v>
                </c:pt>
                <c:pt idx="78">
                  <c:v>45.5750935681434</c:v>
                </c:pt>
                <c:pt idx="79">
                  <c:v>40.6600748545147</c:v>
                </c:pt>
                <c:pt idx="80">
                  <c:v>33.7280598836118</c:v>
                </c:pt>
                <c:pt idx="81">
                  <c:v>26.9824479068894</c:v>
                </c:pt>
                <c:pt idx="82">
                  <c:v>26.4859583255115</c:v>
                </c:pt>
                <c:pt idx="83">
                  <c:v>27.1887666604092</c:v>
                </c:pt>
                <c:pt idx="84">
                  <c:v>23.6510133283274</c:v>
                </c:pt>
                <c:pt idx="85">
                  <c:v>18.9208106626619</c:v>
                </c:pt>
                <c:pt idx="86">
                  <c:v>15.1366485301295</c:v>
                </c:pt>
                <c:pt idx="87">
                  <c:v>14.1593188241036</c:v>
                </c:pt>
                <c:pt idx="88">
                  <c:v>16.7274550592829</c:v>
                </c:pt>
                <c:pt idx="89">
                  <c:v>17.3819640474263</c:v>
                </c:pt>
                <c:pt idx="90">
                  <c:v>18.5055712379411</c:v>
                </c:pt>
                <c:pt idx="91">
                  <c:v>19.6044569903528</c:v>
                </c:pt>
                <c:pt idx="92">
                  <c:v>19.5835655922823</c:v>
                </c:pt>
                <c:pt idx="93">
                  <c:v>19.8668524738258</c:v>
                </c:pt>
                <c:pt idx="94">
                  <c:v>18.3934819790607</c:v>
                </c:pt>
                <c:pt idx="95">
                  <c:v>15.0147855832485</c:v>
                </c:pt>
                <c:pt idx="96">
                  <c:v>13.8118284665988</c:v>
                </c:pt>
                <c:pt idx="97">
                  <c:v>13.8994627732791</c:v>
                </c:pt>
                <c:pt idx="98">
                  <c:v>17.1195702186233</c:v>
                </c:pt>
                <c:pt idx="99">
                  <c:v>19.7956561748986</c:v>
                </c:pt>
                <c:pt idx="100">
                  <c:v>23.7365249399189</c:v>
                </c:pt>
                <c:pt idx="101">
                  <c:v>29.2892199519351</c:v>
                </c:pt>
                <c:pt idx="102">
                  <c:v>34.3313759615481</c:v>
                </c:pt>
                <c:pt idx="103">
                  <c:v>38.6651007692385</c:v>
                </c:pt>
                <c:pt idx="104">
                  <c:v>41.0320806153908</c:v>
                </c:pt>
                <c:pt idx="105">
                  <c:v>39.3256644923126</c:v>
                </c:pt>
                <c:pt idx="106">
                  <c:v>32.0605315938501</c:v>
                </c:pt>
                <c:pt idx="107">
                  <c:v>27.0484252750801</c:v>
                </c:pt>
                <c:pt idx="108">
                  <c:v>26.4387402200641</c:v>
                </c:pt>
                <c:pt idx="109">
                  <c:v>23.3509921760513</c:v>
                </c:pt>
                <c:pt idx="110">
                  <c:v>21.680793740841</c:v>
                </c:pt>
                <c:pt idx="111">
                  <c:v>19.3946349926728</c:v>
                </c:pt>
                <c:pt idx="112">
                  <c:v>15.9157079941382</c:v>
                </c:pt>
                <c:pt idx="113">
                  <c:v>16.2325663953106</c:v>
                </c:pt>
                <c:pt idx="114">
                  <c:v>19.0860531162485</c:v>
                </c:pt>
                <c:pt idx="115">
                  <c:v>15.2688424929988</c:v>
                </c:pt>
                <c:pt idx="116">
                  <c:v>14.415073994399</c:v>
                </c:pt>
                <c:pt idx="117">
                  <c:v>12.4820591955192</c:v>
                </c:pt>
                <c:pt idx="118">
                  <c:v>11.3856473564154</c:v>
                </c:pt>
                <c:pt idx="119">
                  <c:v>9.3085178851323</c:v>
                </c:pt>
                <c:pt idx="120">
                  <c:v>8.84681430810584</c:v>
                </c:pt>
                <c:pt idx="121">
                  <c:v>8.52745144648467</c:v>
                </c:pt>
                <c:pt idx="122">
                  <c:v>7.42196115718774</c:v>
                </c:pt>
                <c:pt idx="123">
                  <c:v>7.13756892575019</c:v>
                </c:pt>
                <c:pt idx="124">
                  <c:v>6.41005514060015</c:v>
                </c:pt>
                <c:pt idx="125">
                  <c:v>6.72804411248012</c:v>
                </c:pt>
                <c:pt idx="126">
                  <c:v>5.3824352899841</c:v>
                </c:pt>
                <c:pt idx="127">
                  <c:v>4.30594823198728</c:v>
                </c:pt>
                <c:pt idx="128">
                  <c:v>3.44475858558982</c:v>
                </c:pt>
                <c:pt idx="129">
                  <c:v>2.75580686847186</c:v>
                </c:pt>
                <c:pt idx="130">
                  <c:v>1.70464549477749</c:v>
                </c:pt>
                <c:pt idx="131">
                  <c:v>1.36371639582199</c:v>
                </c:pt>
                <c:pt idx="132">
                  <c:v>0.69097311665759</c:v>
                </c:pt>
                <c:pt idx="133">
                  <c:v>2.95277849332607</c:v>
                </c:pt>
                <c:pt idx="134">
                  <c:v>2.36222279466086</c:v>
                </c:pt>
                <c:pt idx="135">
                  <c:v>1.88977823572869</c:v>
                </c:pt>
                <c:pt idx="136">
                  <c:v>1.51182258858295</c:v>
                </c:pt>
                <c:pt idx="137">
                  <c:v>0.509458070866359</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numCache>
            </c:numRef>
          </c:val>
          <c:smooth val="0"/>
        </c:ser>
        <c:ser>
          <c:idx val="1"/>
          <c:order val="1"/>
          <c:tx>
            <c:strRef>
              <c:f>Monitor_Control!AO8</c:f>
              <c:strCache>
                <c:ptCount val="1"/>
                <c:pt idx="0">
                  <c:v>Capacity line</c:v>
                </c:pt>
              </c:strCache>
            </c:strRef>
          </c:tx>
          <c:spPr>
            <a:solidFill>
              <a:srgbClr val="be4b48"/>
            </a:solidFill>
            <a:ln w="15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Monitor_Control!$AO$9:$AO$161</c:f>
              <c:numCache>
                <c:formatCode>0.0</c:formatCode>
                <c:ptCount val="153"/>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pt idx="29">
                  <c:v>40</c:v>
                </c:pt>
                <c:pt idx="30">
                  <c:v>40</c:v>
                </c:pt>
                <c:pt idx="31">
                  <c:v>40</c:v>
                </c:pt>
                <c:pt idx="32">
                  <c:v>40</c:v>
                </c:pt>
                <c:pt idx="33">
                  <c:v>40</c:v>
                </c:pt>
                <c:pt idx="34">
                  <c:v>40</c:v>
                </c:pt>
                <c:pt idx="35">
                  <c:v>40</c:v>
                </c:pt>
                <c:pt idx="36">
                  <c:v>40</c:v>
                </c:pt>
                <c:pt idx="37">
                  <c:v>40</c:v>
                </c:pt>
                <c:pt idx="38">
                  <c:v>40</c:v>
                </c:pt>
                <c:pt idx="39">
                  <c:v>40</c:v>
                </c:pt>
                <c:pt idx="40">
                  <c:v>40</c:v>
                </c:pt>
                <c:pt idx="41">
                  <c:v>40</c:v>
                </c:pt>
                <c:pt idx="42">
                  <c:v>40</c:v>
                </c:pt>
                <c:pt idx="43">
                  <c:v>40</c:v>
                </c:pt>
                <c:pt idx="44">
                  <c:v>40</c:v>
                </c:pt>
                <c:pt idx="45">
                  <c:v>40</c:v>
                </c:pt>
                <c:pt idx="46">
                  <c:v>40</c:v>
                </c:pt>
                <c:pt idx="47">
                  <c:v>40</c:v>
                </c:pt>
                <c:pt idx="48">
                  <c:v>40</c:v>
                </c:pt>
                <c:pt idx="49">
                  <c:v>40</c:v>
                </c:pt>
                <c:pt idx="50">
                  <c:v>40</c:v>
                </c:pt>
                <c:pt idx="51">
                  <c:v>40</c:v>
                </c:pt>
                <c:pt idx="52">
                  <c:v>40</c:v>
                </c:pt>
                <c:pt idx="53">
                  <c:v>40</c:v>
                </c:pt>
                <c:pt idx="54">
                  <c:v>40</c:v>
                </c:pt>
                <c:pt idx="55">
                  <c:v>40</c:v>
                </c:pt>
                <c:pt idx="56">
                  <c:v>40</c:v>
                </c:pt>
                <c:pt idx="57">
                  <c:v>40</c:v>
                </c:pt>
                <c:pt idx="58">
                  <c:v>40</c:v>
                </c:pt>
                <c:pt idx="59">
                  <c:v>40</c:v>
                </c:pt>
                <c:pt idx="60">
                  <c:v>40</c:v>
                </c:pt>
                <c:pt idx="61">
                  <c:v>40</c:v>
                </c:pt>
                <c:pt idx="62">
                  <c:v>40</c:v>
                </c:pt>
                <c:pt idx="63">
                  <c:v>40</c:v>
                </c:pt>
                <c:pt idx="64">
                  <c:v>40</c:v>
                </c:pt>
                <c:pt idx="65">
                  <c:v>40</c:v>
                </c:pt>
                <c:pt idx="66">
                  <c:v>40</c:v>
                </c:pt>
                <c:pt idx="67">
                  <c:v>40</c:v>
                </c:pt>
                <c:pt idx="68">
                  <c:v>40</c:v>
                </c:pt>
                <c:pt idx="69">
                  <c:v>40</c:v>
                </c:pt>
                <c:pt idx="70">
                  <c:v>40</c:v>
                </c:pt>
                <c:pt idx="71">
                  <c:v>40</c:v>
                </c:pt>
                <c:pt idx="72">
                  <c:v>40</c:v>
                </c:pt>
                <c:pt idx="73">
                  <c:v>40</c:v>
                </c:pt>
                <c:pt idx="74">
                  <c:v>40</c:v>
                </c:pt>
                <c:pt idx="75">
                  <c:v>40</c:v>
                </c:pt>
                <c:pt idx="76">
                  <c:v>40</c:v>
                </c:pt>
                <c:pt idx="77">
                  <c:v>40</c:v>
                </c:pt>
                <c:pt idx="78">
                  <c:v>40</c:v>
                </c:pt>
                <c:pt idx="79">
                  <c:v>40</c:v>
                </c:pt>
                <c:pt idx="80">
                  <c:v>40</c:v>
                </c:pt>
                <c:pt idx="81">
                  <c:v>40</c:v>
                </c:pt>
                <c:pt idx="82">
                  <c:v>40</c:v>
                </c:pt>
                <c:pt idx="83">
                  <c:v>40</c:v>
                </c:pt>
                <c:pt idx="84">
                  <c:v>40</c:v>
                </c:pt>
                <c:pt idx="85">
                  <c:v>40</c:v>
                </c:pt>
                <c:pt idx="86">
                  <c:v>40</c:v>
                </c:pt>
                <c:pt idx="87">
                  <c:v>40</c:v>
                </c:pt>
                <c:pt idx="88">
                  <c:v>40</c:v>
                </c:pt>
                <c:pt idx="89">
                  <c:v>40</c:v>
                </c:pt>
                <c:pt idx="90">
                  <c:v>40</c:v>
                </c:pt>
                <c:pt idx="91">
                  <c:v>40</c:v>
                </c:pt>
                <c:pt idx="92">
                  <c:v>40</c:v>
                </c:pt>
                <c:pt idx="93">
                  <c:v>40</c:v>
                </c:pt>
                <c:pt idx="94">
                  <c:v>40</c:v>
                </c:pt>
                <c:pt idx="95">
                  <c:v>40</c:v>
                </c:pt>
                <c:pt idx="96">
                  <c:v>40</c:v>
                </c:pt>
                <c:pt idx="97">
                  <c:v>40</c:v>
                </c:pt>
                <c:pt idx="98">
                  <c:v>40</c:v>
                </c:pt>
                <c:pt idx="99">
                  <c:v>40</c:v>
                </c:pt>
                <c:pt idx="100">
                  <c:v>40</c:v>
                </c:pt>
                <c:pt idx="101">
                  <c:v>40</c:v>
                </c:pt>
                <c:pt idx="102">
                  <c:v>40</c:v>
                </c:pt>
                <c:pt idx="103">
                  <c:v>40</c:v>
                </c:pt>
                <c:pt idx="104">
                  <c:v>40</c:v>
                </c:pt>
                <c:pt idx="105">
                  <c:v>40</c:v>
                </c:pt>
                <c:pt idx="106">
                  <c:v>40</c:v>
                </c:pt>
                <c:pt idx="107">
                  <c:v>40</c:v>
                </c:pt>
                <c:pt idx="108">
                  <c:v>40</c:v>
                </c:pt>
                <c:pt idx="109">
                  <c:v>40</c:v>
                </c:pt>
                <c:pt idx="110">
                  <c:v>40</c:v>
                </c:pt>
                <c:pt idx="111">
                  <c:v>40</c:v>
                </c:pt>
                <c:pt idx="112">
                  <c:v>40</c:v>
                </c:pt>
                <c:pt idx="113">
                  <c:v>40</c:v>
                </c:pt>
                <c:pt idx="114">
                  <c:v>40</c:v>
                </c:pt>
                <c:pt idx="115">
                  <c:v>40</c:v>
                </c:pt>
                <c:pt idx="116">
                  <c:v>40</c:v>
                </c:pt>
                <c:pt idx="117">
                  <c:v>40</c:v>
                </c:pt>
                <c:pt idx="118">
                  <c:v>40</c:v>
                </c:pt>
                <c:pt idx="119">
                  <c:v>40</c:v>
                </c:pt>
                <c:pt idx="120">
                  <c:v>40</c:v>
                </c:pt>
                <c:pt idx="121">
                  <c:v>40</c:v>
                </c:pt>
                <c:pt idx="122">
                  <c:v>40</c:v>
                </c:pt>
                <c:pt idx="123">
                  <c:v>40</c:v>
                </c:pt>
                <c:pt idx="124">
                  <c:v>40</c:v>
                </c:pt>
                <c:pt idx="125">
                  <c:v>40</c:v>
                </c:pt>
                <c:pt idx="126">
                  <c:v>40</c:v>
                </c:pt>
                <c:pt idx="127">
                  <c:v>40</c:v>
                </c:pt>
                <c:pt idx="128">
                  <c:v>40</c:v>
                </c:pt>
                <c:pt idx="129">
                  <c:v>40</c:v>
                </c:pt>
                <c:pt idx="130">
                  <c:v>40</c:v>
                </c:pt>
                <c:pt idx="131">
                  <c:v>40</c:v>
                </c:pt>
                <c:pt idx="132">
                  <c:v>40</c:v>
                </c:pt>
                <c:pt idx="133">
                  <c:v>40</c:v>
                </c:pt>
                <c:pt idx="134">
                  <c:v>40</c:v>
                </c:pt>
                <c:pt idx="135">
                  <c:v>40</c:v>
                </c:pt>
                <c:pt idx="136">
                  <c:v>40</c:v>
                </c:pt>
                <c:pt idx="137">
                  <c:v>40</c:v>
                </c:pt>
                <c:pt idx="138">
                  <c:v>40</c:v>
                </c:pt>
                <c:pt idx="139">
                  <c:v>40</c:v>
                </c:pt>
                <c:pt idx="140">
                  <c:v>40</c:v>
                </c:pt>
                <c:pt idx="141">
                  <c:v>40</c:v>
                </c:pt>
                <c:pt idx="142">
                  <c:v>40</c:v>
                </c:pt>
                <c:pt idx="143">
                  <c:v>40</c:v>
                </c:pt>
                <c:pt idx="144">
                  <c:v>40</c:v>
                </c:pt>
                <c:pt idx="145">
                  <c:v>40</c:v>
                </c:pt>
                <c:pt idx="146">
                  <c:v>40</c:v>
                </c:pt>
                <c:pt idx="147">
                  <c:v>40</c:v>
                </c:pt>
                <c:pt idx="148">
                  <c:v>40</c:v>
                </c:pt>
                <c:pt idx="149">
                  <c:v>40</c:v>
                </c:pt>
                <c:pt idx="150">
                  <c:v>40</c:v>
                </c:pt>
                <c:pt idx="151">
                  <c:v>40</c:v>
                </c:pt>
                <c:pt idx="152">
                  <c:v>40</c:v>
                </c:pt>
              </c:numCache>
            </c:numRef>
          </c:val>
          <c:smooth val="0"/>
        </c:ser>
        <c:hiLowLines>
          <c:spPr>
            <a:ln w="0">
              <a:noFill/>
            </a:ln>
          </c:spPr>
        </c:hiLowLines>
        <c:marker val="0"/>
        <c:axId val="24677306"/>
        <c:axId val="2838441"/>
      </c:lineChart>
      <c:catAx>
        <c:axId val="246773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8441"/>
        <c:crosses val="autoZero"/>
        <c:auto val="1"/>
        <c:lblAlgn val="ctr"/>
        <c:lblOffset val="100"/>
        <c:noMultiLvlLbl val="0"/>
      </c:catAx>
      <c:valAx>
        <c:axId val="28384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°C·days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6773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Drift detection: CUSUM vs decision interval</a:t>
            </a:r>
          </a:p>
        </c:rich>
      </c:tx>
      <c:overlay val="0"/>
      <c:spPr>
        <a:noFill/>
        <a:ln w="0">
          <a:noFill/>
        </a:ln>
      </c:spPr>
    </c:title>
    <c:autoTitleDeleted val="0"/>
    <c:plotArea>
      <c:lineChart>
        <c:grouping val="standard"/>
        <c:varyColors val="0"/>
        <c:ser>
          <c:idx val="0"/>
          <c:order val="0"/>
          <c:tx>
            <c:strRef>
              <c:f>Monitor_Control!AB8</c:f>
              <c:strCache>
                <c:ptCount val="1"/>
                <c:pt idx="0">
                  <c:v>CUSUM+ (under-forecast)</c:v>
                </c:pt>
              </c:strCache>
            </c:strRef>
          </c:tx>
          <c:spPr>
            <a:solidFill>
              <a:srgbClr val="4a7ebb"/>
            </a:solidFill>
            <a:ln w="15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Monitor_Control!$AB$9:$AB$161</c:f>
              <c:numCache>
                <c:formatCode>0.0</c:formatCode>
                <c:ptCount val="153"/>
                <c:pt idx="0">
                  <c:v>0</c:v>
                </c:pt>
                <c:pt idx="1">
                  <c:v>0</c:v>
                </c:pt>
                <c:pt idx="2">
                  <c:v>1.68986415925095</c:v>
                </c:pt>
                <c:pt idx="3">
                  <c:v>0.0843054656355271</c:v>
                </c:pt>
                <c:pt idx="4">
                  <c:v>2.01714650166556</c:v>
                </c:pt>
                <c:pt idx="5">
                  <c:v>0</c:v>
                </c:pt>
                <c:pt idx="6">
                  <c:v>0</c:v>
                </c:pt>
                <c:pt idx="7">
                  <c:v>1.26167326470603</c:v>
                </c:pt>
                <c:pt idx="8">
                  <c:v>0</c:v>
                </c:pt>
                <c:pt idx="9">
                  <c:v>0</c:v>
                </c:pt>
                <c:pt idx="10">
                  <c:v>0.787494495445078</c:v>
                </c:pt>
                <c:pt idx="11">
                  <c:v>1.91572979729687</c:v>
                </c:pt>
                <c:pt idx="12">
                  <c:v>2.7509319383969</c:v>
                </c:pt>
                <c:pt idx="13">
                  <c:v>0</c:v>
                </c:pt>
                <c:pt idx="14">
                  <c:v>2.5082623765851</c:v>
                </c:pt>
                <c:pt idx="15">
                  <c:v>6.15097155234138</c:v>
                </c:pt>
                <c:pt idx="16">
                  <c:v>1.81054720495376</c:v>
                </c:pt>
                <c:pt idx="17">
                  <c:v>0.290516591442056</c:v>
                </c:pt>
                <c:pt idx="18">
                  <c:v>0</c:v>
                </c:pt>
                <c:pt idx="19">
                  <c:v>1.40475319386581</c:v>
                </c:pt>
                <c:pt idx="20">
                  <c:v>2.13580386128665</c:v>
                </c:pt>
                <c:pt idx="21">
                  <c:v>0</c:v>
                </c:pt>
                <c:pt idx="22">
                  <c:v>0</c:v>
                </c:pt>
                <c:pt idx="23">
                  <c:v>0</c:v>
                </c:pt>
                <c:pt idx="24">
                  <c:v>1.49925801016941</c:v>
                </c:pt>
                <c:pt idx="25">
                  <c:v>0</c:v>
                </c:pt>
                <c:pt idx="26">
                  <c:v>0</c:v>
                </c:pt>
                <c:pt idx="27">
                  <c:v>0</c:v>
                </c:pt>
                <c:pt idx="28">
                  <c:v>0</c:v>
                </c:pt>
                <c:pt idx="29">
                  <c:v>0</c:v>
                </c:pt>
                <c:pt idx="30">
                  <c:v>0.37933661109307</c:v>
                </c:pt>
                <c:pt idx="31">
                  <c:v>2.50869996228542</c:v>
                </c:pt>
                <c:pt idx="32">
                  <c:v>2.54414070320784</c:v>
                </c:pt>
                <c:pt idx="33">
                  <c:v>0</c:v>
                </c:pt>
                <c:pt idx="34">
                  <c:v>0</c:v>
                </c:pt>
                <c:pt idx="35">
                  <c:v>1.46491330655013</c:v>
                </c:pt>
                <c:pt idx="36">
                  <c:v>3.33554327914732</c:v>
                </c:pt>
                <c:pt idx="37">
                  <c:v>3.57061182681385</c:v>
                </c:pt>
                <c:pt idx="38">
                  <c:v>0.495379956572034</c:v>
                </c:pt>
                <c:pt idx="39">
                  <c:v>3.1473044683506</c:v>
                </c:pt>
                <c:pt idx="40">
                  <c:v>1.93666479492036</c:v>
                </c:pt>
                <c:pt idx="41">
                  <c:v>0.302315883254614</c:v>
                </c:pt>
                <c:pt idx="42">
                  <c:v>0</c:v>
                </c:pt>
                <c:pt idx="43">
                  <c:v>1.92627693109048</c:v>
                </c:pt>
                <c:pt idx="44">
                  <c:v>4.19929854981048</c:v>
                </c:pt>
                <c:pt idx="45">
                  <c:v>5.63350818901166</c:v>
                </c:pt>
                <c:pt idx="46">
                  <c:v>9.20772280684364</c:v>
                </c:pt>
                <c:pt idx="47">
                  <c:v>2.08400840373287</c:v>
                </c:pt>
                <c:pt idx="48">
                  <c:v>0</c:v>
                </c:pt>
                <c:pt idx="49">
                  <c:v>1.34376371658955</c:v>
                </c:pt>
                <c:pt idx="50">
                  <c:v>4.17807640817142</c:v>
                </c:pt>
                <c:pt idx="51">
                  <c:v>5.57417644373989</c:v>
                </c:pt>
                <c:pt idx="52">
                  <c:v>4.49660545074501</c:v>
                </c:pt>
                <c:pt idx="53">
                  <c:v>0.246159341888909</c:v>
                </c:pt>
                <c:pt idx="54">
                  <c:v>0</c:v>
                </c:pt>
                <c:pt idx="55">
                  <c:v>0</c:v>
                </c:pt>
                <c:pt idx="56">
                  <c:v>0</c:v>
                </c:pt>
                <c:pt idx="57">
                  <c:v>1.15743116504783</c:v>
                </c:pt>
                <c:pt idx="58">
                  <c:v>0</c:v>
                </c:pt>
                <c:pt idx="59">
                  <c:v>0</c:v>
                </c:pt>
                <c:pt idx="60">
                  <c:v>0.306369912424028</c:v>
                </c:pt>
                <c:pt idx="61">
                  <c:v>1.16566495458833</c:v>
                </c:pt>
                <c:pt idx="62">
                  <c:v>0.890918842727167</c:v>
                </c:pt>
                <c:pt idx="63">
                  <c:v>0</c:v>
                </c:pt>
                <c:pt idx="64">
                  <c:v>0</c:v>
                </c:pt>
                <c:pt idx="65">
                  <c:v>1.90055019399627</c:v>
                </c:pt>
                <c:pt idx="66">
                  <c:v>1.12701419871881</c:v>
                </c:pt>
                <c:pt idx="67">
                  <c:v>3.88835728079464</c:v>
                </c:pt>
                <c:pt idx="68">
                  <c:v>2.51613640848978</c:v>
                </c:pt>
                <c:pt idx="69">
                  <c:v>4.23928686286094</c:v>
                </c:pt>
                <c:pt idx="70">
                  <c:v>6.30380894502585</c:v>
                </c:pt>
                <c:pt idx="71">
                  <c:v>6.25751335302013</c:v>
                </c:pt>
                <c:pt idx="72">
                  <c:v>4.1306819887547</c:v>
                </c:pt>
                <c:pt idx="73">
                  <c:v>0.768639410497574</c:v>
                </c:pt>
                <c:pt idx="74">
                  <c:v>2.11117202536587</c:v>
                </c:pt>
                <c:pt idx="75">
                  <c:v>3.75304232096554</c:v>
                </c:pt>
                <c:pt idx="76">
                  <c:v>5.50366126568677</c:v>
                </c:pt>
                <c:pt idx="77">
                  <c:v>12.1300336876015</c:v>
                </c:pt>
                <c:pt idx="78">
                  <c:v>16.6977061828109</c:v>
                </c:pt>
                <c:pt idx="79">
                  <c:v>0</c:v>
                </c:pt>
                <c:pt idx="80">
                  <c:v>0</c:v>
                </c:pt>
                <c:pt idx="81">
                  <c:v>0</c:v>
                </c:pt>
                <c:pt idx="82">
                  <c:v>3.92701275886641</c:v>
                </c:pt>
                <c:pt idx="83">
                  <c:v>0</c:v>
                </c:pt>
                <c:pt idx="84">
                  <c:v>0</c:v>
                </c:pt>
                <c:pt idx="85">
                  <c:v>0</c:v>
                </c:pt>
                <c:pt idx="86">
                  <c:v>0</c:v>
                </c:pt>
                <c:pt idx="87">
                  <c:v>2.03029481133618</c:v>
                </c:pt>
                <c:pt idx="88">
                  <c:v>4.69554220853294</c:v>
                </c:pt>
                <c:pt idx="89">
                  <c:v>3.42360290350495</c:v>
                </c:pt>
                <c:pt idx="90">
                  <c:v>3.86736857410271</c:v>
                </c:pt>
                <c:pt idx="91">
                  <c:v>4.02580470780166</c:v>
                </c:pt>
                <c:pt idx="92">
                  <c:v>3.18311279216005</c:v>
                </c:pt>
                <c:pt idx="93">
                  <c:v>3.32136033991566</c:v>
                </c:pt>
                <c:pt idx="94">
                  <c:v>1.60164183473365</c:v>
                </c:pt>
                <c:pt idx="95">
                  <c:v>0</c:v>
                </c:pt>
                <c:pt idx="96">
                  <c:v>0.769430368757551</c:v>
                </c:pt>
                <c:pt idx="97">
                  <c:v>2.88398870658639</c:v>
                </c:pt>
                <c:pt idx="98">
                  <c:v>4.62558890448205</c:v>
                </c:pt>
                <c:pt idx="99">
                  <c:v>4.12500153357311</c:v>
                </c:pt>
                <c:pt idx="100">
                  <c:v>5.89405875224596</c:v>
                </c:pt>
                <c:pt idx="101">
                  <c:v>8.52556563417406</c:v>
                </c:pt>
                <c:pt idx="102">
                  <c:v>9.88790512616514</c:v>
                </c:pt>
                <c:pt idx="103">
                  <c:v>11.1841206808666</c:v>
                </c:pt>
                <c:pt idx="104">
                  <c:v>11.2411921194108</c:v>
                </c:pt>
                <c:pt idx="105">
                  <c:v>8.73442721722808</c:v>
                </c:pt>
                <c:pt idx="106">
                  <c:v>3.49687267243686</c:v>
                </c:pt>
                <c:pt idx="107">
                  <c:v>4.00948797674308</c:v>
                </c:pt>
                <c:pt idx="108">
                  <c:v>7.12860439022562</c:v>
                </c:pt>
                <c:pt idx="109">
                  <c:v>4.72080302151018</c:v>
                </c:pt>
                <c:pt idx="110">
                  <c:v>5.17740677597427</c:v>
                </c:pt>
                <c:pt idx="111">
                  <c:v>4.35344326029703</c:v>
                </c:pt>
                <c:pt idx="112">
                  <c:v>1.94579551332382</c:v>
                </c:pt>
                <c:pt idx="113">
                  <c:v>4.32074400492351</c:v>
                </c:pt>
                <c:pt idx="114">
                  <c:v>6.81848078735894</c:v>
                </c:pt>
                <c:pt idx="115">
                  <c:v>0</c:v>
                </c:pt>
                <c:pt idx="116">
                  <c:v>2.37334324261434</c:v>
                </c:pt>
                <c:pt idx="117">
                  <c:v>2.02015236585947</c:v>
                </c:pt>
                <c:pt idx="118">
                  <c:v>0.631698748922542</c:v>
                </c:pt>
                <c:pt idx="119">
                  <c:v>0</c:v>
                </c:pt>
                <c:pt idx="120">
                  <c:v>0.168663043100018</c:v>
                </c:pt>
                <c:pt idx="121">
                  <c:v>0</c:v>
                </c:pt>
                <c:pt idx="122">
                  <c:v>0</c:v>
                </c:pt>
                <c:pt idx="123">
                  <c:v>0</c:v>
                </c:pt>
                <c:pt idx="124">
                  <c:v>0</c:v>
                </c:pt>
                <c:pt idx="125">
                  <c:v>0.332667385979061</c:v>
                </c:pt>
                <c:pt idx="126">
                  <c:v>0</c:v>
                </c:pt>
                <c:pt idx="127">
                  <c:v>0</c:v>
                </c:pt>
                <c:pt idx="128">
                  <c:v>0</c:v>
                </c:pt>
                <c:pt idx="129">
                  <c:v>0</c:v>
                </c:pt>
                <c:pt idx="130">
                  <c:v>0.91090504893198</c:v>
                </c:pt>
                <c:pt idx="131">
                  <c:v>0.718022258704799</c:v>
                </c:pt>
                <c:pt idx="132">
                  <c:v>1.02839002306578</c:v>
                </c:pt>
                <c:pt idx="133">
                  <c:v>3.11274948305567</c:v>
                </c:pt>
                <c:pt idx="134">
                  <c:v>0</c:v>
                </c:pt>
                <c:pt idx="135">
                  <c:v>1.76625136866847</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1.13154885220317</c:v>
                </c:pt>
              </c:numCache>
            </c:numRef>
          </c:val>
          <c:smooth val="0"/>
        </c:ser>
        <c:ser>
          <c:idx val="1"/>
          <c:order val="1"/>
          <c:tx>
            <c:strRef>
              <c:f>Monitor_Control!AC8</c:f>
              <c:strCache>
                <c:ptCount val="1"/>
                <c:pt idx="0">
                  <c:v>CUSUM− (over-forecast)</c:v>
                </c:pt>
              </c:strCache>
            </c:strRef>
          </c:tx>
          <c:spPr>
            <a:solidFill>
              <a:srgbClr val="be4b48"/>
            </a:solidFill>
            <a:ln w="15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Monitor_Control!$AC$9:$AC$161</c:f>
              <c:numCache>
                <c:formatCode>0.0</c:formatCode>
                <c:ptCount val="153"/>
                <c:pt idx="0">
                  <c:v>0</c:v>
                </c:pt>
                <c:pt idx="1">
                  <c:v>1.10162579144989</c:v>
                </c:pt>
                <c:pt idx="2">
                  <c:v>0</c:v>
                </c:pt>
                <c:pt idx="3">
                  <c:v>0</c:v>
                </c:pt>
                <c:pt idx="4">
                  <c:v>0</c:v>
                </c:pt>
                <c:pt idx="5">
                  <c:v>1.99407674616796</c:v>
                </c:pt>
                <c:pt idx="6">
                  <c:v>1.27091677623212</c:v>
                </c:pt>
                <c:pt idx="7">
                  <c:v>0</c:v>
                </c:pt>
                <c:pt idx="8">
                  <c:v>1.62658615971537</c:v>
                </c:pt>
                <c:pt idx="9">
                  <c:v>5.82601593741036</c:v>
                </c:pt>
                <c:pt idx="10">
                  <c:v>3.03852144196528</c:v>
                </c:pt>
                <c:pt idx="11">
                  <c:v>0</c:v>
                </c:pt>
                <c:pt idx="12">
                  <c:v>0</c:v>
                </c:pt>
                <c:pt idx="13">
                  <c:v>3.35366807639966</c:v>
                </c:pt>
                <c:pt idx="14">
                  <c:v>0</c:v>
                </c:pt>
                <c:pt idx="15">
                  <c:v>0</c:v>
                </c:pt>
                <c:pt idx="16">
                  <c:v>2.34042434738762</c:v>
                </c:pt>
                <c:pt idx="17">
                  <c:v>1.86045496089932</c:v>
                </c:pt>
                <c:pt idx="18">
                  <c:v>4.25713997069554</c:v>
                </c:pt>
                <c:pt idx="19">
                  <c:v>0.852386776829736</c:v>
                </c:pt>
                <c:pt idx="20">
                  <c:v>0</c:v>
                </c:pt>
                <c:pt idx="21">
                  <c:v>1.90649966932392</c:v>
                </c:pt>
                <c:pt idx="22">
                  <c:v>1.94091061992408</c:v>
                </c:pt>
                <c:pt idx="23">
                  <c:v>1.60225842420217</c:v>
                </c:pt>
                <c:pt idx="24">
                  <c:v>0</c:v>
                </c:pt>
                <c:pt idx="25">
                  <c:v>0</c:v>
                </c:pt>
                <c:pt idx="26">
                  <c:v>1.06730402697634</c:v>
                </c:pt>
                <c:pt idx="27">
                  <c:v>2.93897809914554</c:v>
                </c:pt>
                <c:pt idx="28">
                  <c:v>4.00572481324214</c:v>
                </c:pt>
                <c:pt idx="29">
                  <c:v>3.85939484365001</c:v>
                </c:pt>
                <c:pt idx="30">
                  <c:v>1.48005823255694</c:v>
                </c:pt>
                <c:pt idx="31">
                  <c:v>0</c:v>
                </c:pt>
                <c:pt idx="32">
                  <c:v>0</c:v>
                </c:pt>
                <c:pt idx="33">
                  <c:v>0.571734157095399</c:v>
                </c:pt>
                <c:pt idx="34">
                  <c:v>6.08785189675031</c:v>
                </c:pt>
                <c:pt idx="35">
                  <c:v>2.62293859020017</c:v>
                </c:pt>
                <c:pt idx="36">
                  <c:v>0</c:v>
                </c:pt>
                <c:pt idx="37">
                  <c:v>0</c:v>
                </c:pt>
                <c:pt idx="38">
                  <c:v>1.07523187024182</c:v>
                </c:pt>
                <c:pt idx="39">
                  <c:v>0</c:v>
                </c:pt>
                <c:pt idx="40">
                  <c:v>0</c:v>
                </c:pt>
                <c:pt idx="41">
                  <c:v>0</c:v>
                </c:pt>
                <c:pt idx="42">
                  <c:v>0.197327300756122</c:v>
                </c:pt>
                <c:pt idx="43">
                  <c:v>0</c:v>
                </c:pt>
                <c:pt idx="44">
                  <c:v>0</c:v>
                </c:pt>
                <c:pt idx="45">
                  <c:v>0</c:v>
                </c:pt>
                <c:pt idx="46">
                  <c:v>0</c:v>
                </c:pt>
                <c:pt idx="47">
                  <c:v>5.12371440311077</c:v>
                </c:pt>
                <c:pt idx="48">
                  <c:v>8.81504638137996</c:v>
                </c:pt>
                <c:pt idx="49">
                  <c:v>5.47128266479041</c:v>
                </c:pt>
                <c:pt idx="50">
                  <c:v>0.63696997320854</c:v>
                </c:pt>
                <c:pt idx="51">
                  <c:v>0</c:v>
                </c:pt>
                <c:pt idx="52">
                  <c:v>0</c:v>
                </c:pt>
                <c:pt idx="53">
                  <c:v>2.2504461088561</c:v>
                </c:pt>
                <c:pt idx="54">
                  <c:v>1.14359899678729</c:v>
                </c:pt>
                <c:pt idx="55">
                  <c:v>0</c:v>
                </c:pt>
                <c:pt idx="56">
                  <c:v>0.379351846039405</c:v>
                </c:pt>
                <c:pt idx="57">
                  <c:v>0</c:v>
                </c:pt>
                <c:pt idx="58">
                  <c:v>0</c:v>
                </c:pt>
                <c:pt idx="59">
                  <c:v>0.331305459018374</c:v>
                </c:pt>
                <c:pt idx="60">
                  <c:v>0</c:v>
                </c:pt>
                <c:pt idx="61">
                  <c:v>0</c:v>
                </c:pt>
                <c:pt idx="62">
                  <c:v>0</c:v>
                </c:pt>
                <c:pt idx="63">
                  <c:v>0</c:v>
                </c:pt>
                <c:pt idx="64">
                  <c:v>0</c:v>
                </c:pt>
                <c:pt idx="65">
                  <c:v>0</c:v>
                </c:pt>
                <c:pt idx="66">
                  <c:v>0</c:v>
                </c:pt>
                <c:pt idx="67">
                  <c:v>0</c:v>
                </c:pt>
                <c:pt idx="68">
                  <c:v>0</c:v>
                </c:pt>
                <c:pt idx="69">
                  <c:v>0</c:v>
                </c:pt>
                <c:pt idx="70">
                  <c:v>0</c:v>
                </c:pt>
                <c:pt idx="71">
                  <c:v>0</c:v>
                </c:pt>
                <c:pt idx="72">
                  <c:v>0.126831364265428</c:v>
                </c:pt>
                <c:pt idx="73">
                  <c:v>1.48887394252256</c:v>
                </c:pt>
                <c:pt idx="74">
                  <c:v>0</c:v>
                </c:pt>
                <c:pt idx="75">
                  <c:v>0</c:v>
                </c:pt>
                <c:pt idx="76">
                  <c:v>0</c:v>
                </c:pt>
                <c:pt idx="77">
                  <c:v>0</c:v>
                </c:pt>
                <c:pt idx="78">
                  <c:v>0</c:v>
                </c:pt>
                <c:pt idx="79">
                  <c:v>0</c:v>
                </c:pt>
                <c:pt idx="80">
                  <c:v>0</c:v>
                </c:pt>
                <c:pt idx="81">
                  <c:v>0</c:v>
                </c:pt>
                <c:pt idx="82">
                  <c:v>0</c:v>
                </c:pt>
                <c:pt idx="83">
                  <c:v>0</c:v>
                </c:pt>
                <c:pt idx="84">
                  <c:v>0</c:v>
                </c:pt>
                <c:pt idx="85">
                  <c:v>0.488183519232919</c:v>
                </c:pt>
                <c:pt idx="86">
                  <c:v>0</c:v>
                </c:pt>
                <c:pt idx="87">
                  <c:v>0</c:v>
                </c:pt>
                <c:pt idx="88">
                  <c:v>0</c:v>
                </c:pt>
                <c:pt idx="89">
                  <c:v>0</c:v>
                </c:pt>
                <c:pt idx="90">
                  <c:v>0</c:v>
                </c:pt>
                <c:pt idx="91">
                  <c:v>0</c:v>
                </c:pt>
                <c:pt idx="92">
                  <c:v>0</c:v>
                </c:pt>
                <c:pt idx="93">
                  <c:v>0</c:v>
                </c:pt>
                <c:pt idx="94">
                  <c:v>0</c:v>
                </c:pt>
                <c:pt idx="95">
                  <c:v>0.473513056131715</c:v>
                </c:pt>
                <c:pt idx="96">
                  <c:v>0</c:v>
                </c:pt>
                <c:pt idx="97">
                  <c:v>0</c:v>
                </c:pt>
                <c:pt idx="98">
                  <c:v>0</c:v>
                </c:pt>
                <c:pt idx="99">
                  <c:v>0</c:v>
                </c:pt>
                <c:pt idx="100">
                  <c:v>0</c:v>
                </c:pt>
                <c:pt idx="101">
                  <c:v>0</c:v>
                </c:pt>
                <c:pt idx="102">
                  <c:v>0</c:v>
                </c:pt>
                <c:pt idx="103">
                  <c:v>0</c:v>
                </c:pt>
                <c:pt idx="104">
                  <c:v>0</c:v>
                </c:pt>
                <c:pt idx="105">
                  <c:v>0.506764902182713</c:v>
                </c:pt>
                <c:pt idx="106">
                  <c:v>3.74431944697393</c:v>
                </c:pt>
                <c:pt idx="107">
                  <c:v>1.23170414266771</c:v>
                </c:pt>
                <c:pt idx="108">
                  <c:v>0</c:v>
                </c:pt>
                <c:pt idx="109">
                  <c:v>0.407801368715443</c:v>
                </c:pt>
                <c:pt idx="110">
                  <c:v>0</c:v>
                </c:pt>
                <c:pt idx="111">
                  <c:v>0</c:v>
                </c:pt>
                <c:pt idx="112">
                  <c:v>0.407647746973215</c:v>
                </c:pt>
                <c:pt idx="113">
                  <c:v>0</c:v>
                </c:pt>
                <c:pt idx="114">
                  <c:v>0</c:v>
                </c:pt>
                <c:pt idx="115">
                  <c:v>4.93881909840228</c:v>
                </c:pt>
                <c:pt idx="116">
                  <c:v>0.565475855787934</c:v>
                </c:pt>
                <c:pt idx="117">
                  <c:v>0</c:v>
                </c:pt>
                <c:pt idx="118">
                  <c:v>0</c:v>
                </c:pt>
                <c:pt idx="119">
                  <c:v>0</c:v>
                </c:pt>
                <c:pt idx="120">
                  <c:v>0</c:v>
                </c:pt>
                <c:pt idx="121">
                  <c:v>0</c:v>
                </c:pt>
                <c:pt idx="122">
                  <c:v>0</c:v>
                </c:pt>
                <c:pt idx="123">
                  <c:v>0</c:v>
                </c:pt>
                <c:pt idx="124">
                  <c:v>0</c:v>
                </c:pt>
                <c:pt idx="125">
                  <c:v>0</c:v>
                </c:pt>
                <c:pt idx="126">
                  <c:v>0.110628203857363</c:v>
                </c:pt>
                <c:pt idx="127">
                  <c:v>0</c:v>
                </c:pt>
                <c:pt idx="128">
                  <c:v>0</c:v>
                </c:pt>
                <c:pt idx="129">
                  <c:v>0.172685645547972</c:v>
                </c:pt>
                <c:pt idx="130">
                  <c:v>0</c:v>
                </c:pt>
                <c:pt idx="131">
                  <c:v>0</c:v>
                </c:pt>
                <c:pt idx="132">
                  <c:v>0</c:v>
                </c:pt>
                <c:pt idx="133">
                  <c:v>0</c:v>
                </c:pt>
                <c:pt idx="134">
                  <c:v>5.68507802765113</c:v>
                </c:pt>
                <c:pt idx="135">
                  <c:v>1.91882665898265</c:v>
                </c:pt>
                <c:pt idx="136">
                  <c:v>3.6336798450265</c:v>
                </c:pt>
                <c:pt idx="137">
                  <c:v>4.28147667680807</c:v>
                </c:pt>
                <c:pt idx="138">
                  <c:v>4.04532209042666</c:v>
                </c:pt>
                <c:pt idx="139">
                  <c:v>3.49349402630114</c:v>
                </c:pt>
                <c:pt idx="140">
                  <c:v>2.80429218631883</c:v>
                </c:pt>
                <c:pt idx="141">
                  <c:v>1.37846095699152</c:v>
                </c:pt>
                <c:pt idx="142">
                  <c:v>0</c:v>
                </c:pt>
                <c:pt idx="143">
                  <c:v>0</c:v>
                </c:pt>
                <c:pt idx="144">
                  <c:v>1.32026065459823</c:v>
                </c:pt>
                <c:pt idx="145">
                  <c:v>0.986902362305933</c:v>
                </c:pt>
                <c:pt idx="146">
                  <c:v>2.70610556523389</c:v>
                </c:pt>
                <c:pt idx="147">
                  <c:v>3.68236534327259</c:v>
                </c:pt>
                <c:pt idx="148">
                  <c:v>4.57065582290261</c:v>
                </c:pt>
                <c:pt idx="149">
                  <c:v>3.82113442681973</c:v>
                </c:pt>
                <c:pt idx="150">
                  <c:v>2.21302471514806</c:v>
                </c:pt>
                <c:pt idx="151">
                  <c:v>1.82927509140766</c:v>
                </c:pt>
                <c:pt idx="152">
                  <c:v>0</c:v>
                </c:pt>
              </c:numCache>
            </c:numRef>
          </c:val>
          <c:smooth val="0"/>
        </c:ser>
        <c:ser>
          <c:idx val="2"/>
          <c:order val="2"/>
          <c:tx>
            <c:strRef>
              <c:f>Monitor_Control!AP8</c:f>
              <c:strCache>
                <c:ptCount val="1"/>
                <c:pt idx="0">
                  <c:v>CUSUM h line</c:v>
                </c:pt>
              </c:strCache>
            </c:strRef>
          </c:tx>
          <c:spPr>
            <a:solidFill>
              <a:srgbClr val="98b855"/>
            </a:solidFill>
            <a:ln w="151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Monitor_Control!$A$9:$A$161</c:f>
              <c:strCache>
                <c:ptCount val="1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strCache>
            </c:strRef>
          </c:cat>
          <c:val>
            <c:numRef>
              <c:f>Monitor_Control!$AP$9:$AP$161</c:f>
              <c:numCache>
                <c:formatCode>0.0</c:formatCode>
                <c:ptCount val="153"/>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pt idx="48">
                  <c:v>15</c:v>
                </c:pt>
                <c:pt idx="49">
                  <c:v>15</c:v>
                </c:pt>
                <c:pt idx="50">
                  <c:v>15</c:v>
                </c:pt>
                <c:pt idx="51">
                  <c:v>15</c:v>
                </c:pt>
                <c:pt idx="52">
                  <c:v>15</c:v>
                </c:pt>
                <c:pt idx="53">
                  <c:v>15</c:v>
                </c:pt>
                <c:pt idx="54">
                  <c:v>15</c:v>
                </c:pt>
                <c:pt idx="55">
                  <c:v>15</c:v>
                </c:pt>
                <c:pt idx="56">
                  <c:v>15</c:v>
                </c:pt>
                <c:pt idx="57">
                  <c:v>15</c:v>
                </c:pt>
                <c:pt idx="58">
                  <c:v>15</c:v>
                </c:pt>
                <c:pt idx="59">
                  <c:v>15</c:v>
                </c:pt>
                <c:pt idx="60">
                  <c:v>15</c:v>
                </c:pt>
                <c:pt idx="61">
                  <c:v>15</c:v>
                </c:pt>
                <c:pt idx="62">
                  <c:v>15</c:v>
                </c:pt>
                <c:pt idx="63">
                  <c:v>15</c:v>
                </c:pt>
                <c:pt idx="64">
                  <c:v>15</c:v>
                </c:pt>
                <c:pt idx="65">
                  <c:v>15</c:v>
                </c:pt>
                <c:pt idx="66">
                  <c:v>15</c:v>
                </c:pt>
                <c:pt idx="67">
                  <c:v>15</c:v>
                </c:pt>
                <c:pt idx="68">
                  <c:v>15</c:v>
                </c:pt>
                <c:pt idx="69">
                  <c:v>15</c:v>
                </c:pt>
                <c:pt idx="70">
                  <c:v>15</c:v>
                </c:pt>
                <c:pt idx="71">
                  <c:v>15</c:v>
                </c:pt>
                <c:pt idx="72">
                  <c:v>15</c:v>
                </c:pt>
                <c:pt idx="73">
                  <c:v>15</c:v>
                </c:pt>
                <c:pt idx="74">
                  <c:v>15</c:v>
                </c:pt>
                <c:pt idx="75">
                  <c:v>15</c:v>
                </c:pt>
                <c:pt idx="76">
                  <c:v>15</c:v>
                </c:pt>
                <c:pt idx="77">
                  <c:v>15</c:v>
                </c:pt>
                <c:pt idx="78">
                  <c:v>15</c:v>
                </c:pt>
                <c:pt idx="79">
                  <c:v>15</c:v>
                </c:pt>
                <c:pt idx="80">
                  <c:v>15</c:v>
                </c:pt>
                <c:pt idx="81">
                  <c:v>15</c:v>
                </c:pt>
                <c:pt idx="82">
                  <c:v>15</c:v>
                </c:pt>
                <c:pt idx="83">
                  <c:v>15</c:v>
                </c:pt>
                <c:pt idx="84">
                  <c:v>15</c:v>
                </c:pt>
                <c:pt idx="85">
                  <c:v>15</c:v>
                </c:pt>
                <c:pt idx="86">
                  <c:v>15</c:v>
                </c:pt>
                <c:pt idx="87">
                  <c:v>15</c:v>
                </c:pt>
                <c:pt idx="88">
                  <c:v>15</c:v>
                </c:pt>
                <c:pt idx="89">
                  <c:v>15</c:v>
                </c:pt>
                <c:pt idx="90">
                  <c:v>15</c:v>
                </c:pt>
                <c:pt idx="91">
                  <c:v>15</c:v>
                </c:pt>
                <c:pt idx="92">
                  <c:v>15</c:v>
                </c:pt>
                <c:pt idx="93">
                  <c:v>15</c:v>
                </c:pt>
                <c:pt idx="94">
                  <c:v>15</c:v>
                </c:pt>
                <c:pt idx="95">
                  <c:v>15</c:v>
                </c:pt>
                <c:pt idx="96">
                  <c:v>15</c:v>
                </c:pt>
                <c:pt idx="97">
                  <c:v>15</c:v>
                </c:pt>
                <c:pt idx="98">
                  <c:v>15</c:v>
                </c:pt>
                <c:pt idx="99">
                  <c:v>15</c:v>
                </c:pt>
                <c:pt idx="100">
                  <c:v>15</c:v>
                </c:pt>
                <c:pt idx="101">
                  <c:v>15</c:v>
                </c:pt>
                <c:pt idx="102">
                  <c:v>15</c:v>
                </c:pt>
                <c:pt idx="103">
                  <c:v>15</c:v>
                </c:pt>
                <c:pt idx="104">
                  <c:v>15</c:v>
                </c:pt>
                <c:pt idx="105">
                  <c:v>15</c:v>
                </c:pt>
                <c:pt idx="106">
                  <c:v>15</c:v>
                </c:pt>
                <c:pt idx="107">
                  <c:v>15</c:v>
                </c:pt>
                <c:pt idx="108">
                  <c:v>15</c:v>
                </c:pt>
                <c:pt idx="109">
                  <c:v>15</c:v>
                </c:pt>
                <c:pt idx="110">
                  <c:v>15</c:v>
                </c:pt>
                <c:pt idx="111">
                  <c:v>15</c:v>
                </c:pt>
                <c:pt idx="112">
                  <c:v>15</c:v>
                </c:pt>
                <c:pt idx="113">
                  <c:v>15</c:v>
                </c:pt>
                <c:pt idx="114">
                  <c:v>15</c:v>
                </c:pt>
                <c:pt idx="115">
                  <c:v>15</c:v>
                </c:pt>
                <c:pt idx="116">
                  <c:v>15</c:v>
                </c:pt>
                <c:pt idx="117">
                  <c:v>15</c:v>
                </c:pt>
                <c:pt idx="118">
                  <c:v>15</c:v>
                </c:pt>
                <c:pt idx="119">
                  <c:v>15</c:v>
                </c:pt>
                <c:pt idx="120">
                  <c:v>15</c:v>
                </c:pt>
                <c:pt idx="121">
                  <c:v>15</c:v>
                </c:pt>
                <c:pt idx="122">
                  <c:v>15</c:v>
                </c:pt>
                <c:pt idx="123">
                  <c:v>15</c:v>
                </c:pt>
                <c:pt idx="124">
                  <c:v>15</c:v>
                </c:pt>
                <c:pt idx="125">
                  <c:v>15</c:v>
                </c:pt>
                <c:pt idx="126">
                  <c:v>15</c:v>
                </c:pt>
                <c:pt idx="127">
                  <c:v>15</c:v>
                </c:pt>
                <c:pt idx="128">
                  <c:v>15</c:v>
                </c:pt>
                <c:pt idx="129">
                  <c:v>15</c:v>
                </c:pt>
                <c:pt idx="130">
                  <c:v>15</c:v>
                </c:pt>
                <c:pt idx="131">
                  <c:v>15</c:v>
                </c:pt>
                <c:pt idx="132">
                  <c:v>15</c:v>
                </c:pt>
                <c:pt idx="133">
                  <c:v>15</c:v>
                </c:pt>
                <c:pt idx="134">
                  <c:v>15</c:v>
                </c:pt>
                <c:pt idx="135">
                  <c:v>15</c:v>
                </c:pt>
                <c:pt idx="136">
                  <c:v>15</c:v>
                </c:pt>
                <c:pt idx="137">
                  <c:v>15</c:v>
                </c:pt>
                <c:pt idx="138">
                  <c:v>15</c:v>
                </c:pt>
                <c:pt idx="139">
                  <c:v>15</c:v>
                </c:pt>
                <c:pt idx="140">
                  <c:v>15</c:v>
                </c:pt>
                <c:pt idx="141">
                  <c:v>15</c:v>
                </c:pt>
                <c:pt idx="142">
                  <c:v>15</c:v>
                </c:pt>
                <c:pt idx="143">
                  <c:v>15</c:v>
                </c:pt>
                <c:pt idx="144">
                  <c:v>15</c:v>
                </c:pt>
                <c:pt idx="145">
                  <c:v>15</c:v>
                </c:pt>
                <c:pt idx="146">
                  <c:v>15</c:v>
                </c:pt>
                <c:pt idx="147">
                  <c:v>15</c:v>
                </c:pt>
                <c:pt idx="148">
                  <c:v>15</c:v>
                </c:pt>
                <c:pt idx="149">
                  <c:v>15</c:v>
                </c:pt>
                <c:pt idx="150">
                  <c:v>15</c:v>
                </c:pt>
                <c:pt idx="151">
                  <c:v>15</c:v>
                </c:pt>
                <c:pt idx="152">
                  <c:v>15</c:v>
                </c:pt>
              </c:numCache>
            </c:numRef>
          </c:val>
          <c:smooth val="0"/>
        </c:ser>
        <c:hiLowLines>
          <c:spPr>
            <a:ln w="0">
              <a:noFill/>
            </a:ln>
          </c:spPr>
        </c:hiLowLines>
        <c:marker val="0"/>
        <c:axId val="19949591"/>
        <c:axId val="43732404"/>
      </c:lineChart>
      <c:catAx>
        <c:axId val="199495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732404"/>
        <c:crosses val="autoZero"/>
        <c:auto val="1"/>
        <c:lblAlgn val="ctr"/>
        <c:lblOffset val="100"/>
        <c:noMultiLvlLbl val="0"/>
      </c:catAx>
      <c:valAx>
        <c:axId val="437324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495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recall vs alert threshold</a:t>
            </a:r>
          </a:p>
        </c:rich>
      </c:tx>
      <c:overlay val="0"/>
      <c:spPr>
        <a:noFill/>
        <a:ln w="0">
          <a:noFill/>
        </a:ln>
      </c:spPr>
    </c:title>
    <c:autoTitleDeleted val="0"/>
    <c:plotArea>
      <c:lineChart>
        <c:grouping val="standard"/>
        <c:varyColors val="0"/>
        <c:ser>
          <c:idx val="0"/>
          <c:order val="0"/>
          <c:tx>
            <c:strRef>
              <c:f>Tipping_Points!F5</c:f>
              <c:strCache>
                <c:ptCount val="1"/>
                <c:pt idx="0">
                  <c:v>AI recall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Tipping_Points!$B$6:$B$22</c:f>
              <c:strCache>
                <c:ptCount val="17"/>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strCache>
            </c:strRef>
          </c:cat>
          <c:val>
            <c:numRef>
              <c:f>Tipping_Points!$F$6:$F$22</c:f>
              <c:numCache>
                <c:formatCode>0%</c:formatCode>
                <c:ptCount val="17"/>
                <c:pt idx="0">
                  <c:v>0.547368421052632</c:v>
                </c:pt>
                <c:pt idx="1">
                  <c:v>0.448717948717949</c:v>
                </c:pt>
                <c:pt idx="2">
                  <c:v>0.525423728813559</c:v>
                </c:pt>
                <c:pt idx="3">
                  <c:v>0.354166666666667</c:v>
                </c:pt>
                <c:pt idx="4">
                  <c:v>0.35</c:v>
                </c:pt>
                <c:pt idx="5">
                  <c:v>0.264705882352941</c:v>
                </c:pt>
                <c:pt idx="6">
                  <c:v>0.272727272727273</c:v>
                </c:pt>
                <c:pt idx="7">
                  <c:v>0.263157894736842</c:v>
                </c:pt>
                <c:pt idx="8">
                  <c:v>0.181818181818182</c:v>
                </c:pt>
                <c:pt idx="9">
                  <c:v>0.111111111111111</c:v>
                </c:pt>
                <c:pt idx="10">
                  <c:v>0.142857142857143</c:v>
                </c:pt>
                <c:pt idx="11">
                  <c:v>0</c:v>
                </c:pt>
                <c:pt idx="12">
                  <c:v>0</c:v>
                </c:pt>
                <c:pt idx="13">
                  <c:v>0</c:v>
                </c:pt>
                <c:pt idx="14">
                  <c:v>0</c:v>
                </c:pt>
                <c:pt idx="15">
                  <c:v>0</c:v>
                </c:pt>
                <c:pt idx="16">
                  <c:v>0</c:v>
                </c:pt>
              </c:numCache>
            </c:numRef>
          </c:val>
          <c:smooth val="1"/>
        </c:ser>
        <c:hiLowLines>
          <c:spPr>
            <a:ln w="0">
              <a:noFill/>
            </a:ln>
          </c:spPr>
        </c:hiLowLines>
        <c:marker val="0"/>
        <c:axId val="87704333"/>
        <c:axId val="84727872"/>
      </c:lineChart>
      <c:catAx>
        <c:axId val="87704333"/>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27872"/>
        <c:crosses val="autoZero"/>
        <c:auto val="1"/>
        <c:lblAlgn val="ctr"/>
        <c:lblOffset val="100"/>
        <c:noMultiLvlLbl val="0"/>
      </c:catAx>
      <c:valAx>
        <c:axId val="847278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recall</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043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Excess deaths vs climate shift</a:t>
            </a:r>
          </a:p>
        </c:rich>
      </c:tx>
      <c:overlay val="0"/>
      <c:spPr>
        <a:noFill/>
        <a:ln w="0">
          <a:noFill/>
        </a:ln>
      </c:spPr>
    </c:title>
    <c:autoTitleDeleted val="0"/>
    <c:plotArea>
      <c:lineChart>
        <c:grouping val="standard"/>
        <c:varyColors val="0"/>
        <c:ser>
          <c:idx val="0"/>
          <c:order val="0"/>
          <c:tx>
            <c:strRef>
              <c:f>Tipping_Points!J5</c:f>
              <c:strCache>
                <c:ptCount val="1"/>
                <c:pt idx="0">
                  <c:v>London excess deaths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Tipping_Points!$H$6:$H$14</c:f>
              <c:strCache>
                <c:ptCount val="9"/>
                <c:pt idx="0">
                  <c:v>0.0</c:v>
                </c:pt>
                <c:pt idx="1">
                  <c:v>0.5</c:v>
                </c:pt>
                <c:pt idx="2">
                  <c:v>1.0</c:v>
                </c:pt>
                <c:pt idx="3">
                  <c:v>1.5</c:v>
                </c:pt>
                <c:pt idx="4">
                  <c:v>2.0</c:v>
                </c:pt>
                <c:pt idx="5">
                  <c:v>2.5</c:v>
                </c:pt>
                <c:pt idx="6">
                  <c:v>3.0</c:v>
                </c:pt>
                <c:pt idx="7">
                  <c:v>3.5</c:v>
                </c:pt>
                <c:pt idx="8">
                  <c:v>4.0</c:v>
                </c:pt>
              </c:strCache>
            </c:strRef>
          </c:cat>
          <c:val>
            <c:numRef>
              <c:f>Tipping_Points!$J$6:$J$14</c:f>
              <c:numCache>
                <c:formatCode>0</c:formatCode>
                <c:ptCount val="9"/>
                <c:pt idx="0">
                  <c:v>387</c:v>
                </c:pt>
                <c:pt idx="1">
                  <c:v>454.013167336395</c:v>
                </c:pt>
                <c:pt idx="2">
                  <c:v>527.718857634902</c:v>
                </c:pt>
                <c:pt idx="3">
                  <c:v>607.885655855339</c:v>
                </c:pt>
                <c:pt idx="4">
                  <c:v>694.717207233065</c:v>
                </c:pt>
                <c:pt idx="5">
                  <c:v>790.106486796785</c:v>
                </c:pt>
                <c:pt idx="6">
                  <c:v>891.628264925373</c:v>
                </c:pt>
                <c:pt idx="7">
                  <c:v>999.328824626866</c:v>
                </c:pt>
                <c:pt idx="8">
                  <c:v>1113.18502439724</c:v>
                </c:pt>
              </c:numCache>
            </c:numRef>
          </c:val>
          <c:smooth val="1"/>
        </c:ser>
        <c:hiLowLines>
          <c:spPr>
            <a:ln w="0">
              <a:noFill/>
            </a:ln>
          </c:spPr>
        </c:hiLowLines>
        <c:marker val="0"/>
        <c:axId val="77581924"/>
        <c:axId val="57883766"/>
      </c:lineChart>
      <c:catAx>
        <c:axId val="77581924"/>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83766"/>
        <c:crosses val="autoZero"/>
        <c:auto val="1"/>
        <c:lblAlgn val="ctr"/>
        <c:lblOffset val="100"/>
        <c:noMultiLvlLbl val="0"/>
      </c:catAx>
      <c:valAx>
        <c:axId val="5788376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5819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Hot days per summer (selected typology)</a:t>
            </a:r>
          </a:p>
        </c:rich>
      </c:tx>
      <c:overlay val="0"/>
      <c:spPr>
        <a:noFill/>
        <a:ln w="0">
          <a:noFill/>
        </a:ln>
      </c:spPr>
    </c:title>
    <c:autoTitleDeleted val="0"/>
    <c:plotArea>
      <c:barChart>
        <c:barDir val="col"/>
        <c:grouping val="clustered"/>
        <c:varyColors val="0"/>
        <c:ser>
          <c:idx val="0"/>
          <c:order val="0"/>
          <c:tx>
            <c:strRef>
              <c:f>Annual_Trend!D4</c:f>
              <c:strCache>
                <c:ptCount val="1"/>
                <c:pt idx="0">
                  <c:v>Hot days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Annual_Trend!$B$5:$B$49</c:f>
              <c:strCache>
                <c:ptCount val="45"/>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strCache>
            </c:strRef>
          </c:cat>
          <c:val>
            <c:numRef>
              <c:f>Annual_Trend!$D$5:$D$49</c:f>
              <c:numCache>
                <c:formatCode>0</c:formatCode>
                <c:ptCount val="45"/>
                <c:pt idx="0">
                  <c:v>8</c:v>
                </c:pt>
                <c:pt idx="1">
                  <c:v>4</c:v>
                </c:pt>
                <c:pt idx="2">
                  <c:v>11</c:v>
                </c:pt>
                <c:pt idx="3">
                  <c:v>18</c:v>
                </c:pt>
                <c:pt idx="4">
                  <c:v>34</c:v>
                </c:pt>
                <c:pt idx="5">
                  <c:v>23</c:v>
                </c:pt>
                <c:pt idx="6">
                  <c:v>8</c:v>
                </c:pt>
                <c:pt idx="7">
                  <c:v>12</c:v>
                </c:pt>
                <c:pt idx="8">
                  <c:v>9</c:v>
                </c:pt>
                <c:pt idx="9">
                  <c:v>5</c:v>
                </c:pt>
                <c:pt idx="10">
                  <c:v>39</c:v>
                </c:pt>
                <c:pt idx="11">
                  <c:v>34</c:v>
                </c:pt>
                <c:pt idx="12">
                  <c:v>14</c:v>
                </c:pt>
                <c:pt idx="13">
                  <c:v>19</c:v>
                </c:pt>
                <c:pt idx="14">
                  <c:v>9</c:v>
                </c:pt>
                <c:pt idx="15">
                  <c:v>25</c:v>
                </c:pt>
                <c:pt idx="16">
                  <c:v>43</c:v>
                </c:pt>
                <c:pt idx="17">
                  <c:v>20</c:v>
                </c:pt>
                <c:pt idx="18">
                  <c:v>25</c:v>
                </c:pt>
                <c:pt idx="19">
                  <c:v>10</c:v>
                </c:pt>
                <c:pt idx="20">
                  <c:v>25</c:v>
                </c:pt>
                <c:pt idx="21">
                  <c:v>7</c:v>
                </c:pt>
                <c:pt idx="22">
                  <c:v>23</c:v>
                </c:pt>
                <c:pt idx="23">
                  <c:v>9</c:v>
                </c:pt>
                <c:pt idx="24">
                  <c:v>34</c:v>
                </c:pt>
                <c:pt idx="25">
                  <c:v>20</c:v>
                </c:pt>
                <c:pt idx="26">
                  <c:v>28</c:v>
                </c:pt>
                <c:pt idx="27">
                  <c:v>38</c:v>
                </c:pt>
                <c:pt idx="28">
                  <c:v>3</c:v>
                </c:pt>
                <c:pt idx="29">
                  <c:v>11</c:v>
                </c:pt>
                <c:pt idx="30">
                  <c:v>13</c:v>
                </c:pt>
                <c:pt idx="31">
                  <c:v>23</c:v>
                </c:pt>
                <c:pt idx="32">
                  <c:v>10</c:v>
                </c:pt>
                <c:pt idx="33">
                  <c:v>18</c:v>
                </c:pt>
                <c:pt idx="34">
                  <c:v>30</c:v>
                </c:pt>
                <c:pt idx="35">
                  <c:v>23</c:v>
                </c:pt>
                <c:pt idx="36">
                  <c:v>15</c:v>
                </c:pt>
                <c:pt idx="37">
                  <c:v>22</c:v>
                </c:pt>
                <c:pt idx="38">
                  <c:v>20</c:v>
                </c:pt>
                <c:pt idx="39">
                  <c:v>48</c:v>
                </c:pt>
                <c:pt idx="40">
                  <c:v>25</c:v>
                </c:pt>
                <c:pt idx="41">
                  <c:v>31</c:v>
                </c:pt>
                <c:pt idx="42">
                  <c:v>18</c:v>
                </c:pt>
                <c:pt idx="43">
                  <c:v>41</c:v>
                </c:pt>
                <c:pt idx="44">
                  <c:v>31</c:v>
                </c:pt>
              </c:numCache>
            </c:numRef>
          </c:val>
        </c:ser>
        <c:gapWidth val="150"/>
        <c:overlap val="0"/>
        <c:axId val="75397394"/>
        <c:axId val="44172035"/>
      </c:barChart>
      <c:catAx>
        <c:axId val="7539739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172035"/>
        <c:crosses val="autoZero"/>
        <c:auto val="1"/>
        <c:lblAlgn val="ctr"/>
        <c:lblOffset val="100"/>
        <c:noMultiLvlLbl val="0"/>
      </c:catAx>
      <c:valAx>
        <c:axId val="4417203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3973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Model drift: mean residual per year (positive = under-forecast)</a:t>
            </a:r>
          </a:p>
        </c:rich>
      </c:tx>
      <c:overlay val="0"/>
      <c:spPr>
        <a:noFill/>
        <a:ln w="0">
          <a:noFill/>
        </a:ln>
      </c:spPr>
    </c:title>
    <c:autoTitleDeleted val="0"/>
    <c:plotArea>
      <c:lineChart>
        <c:grouping val="standard"/>
        <c:varyColors val="0"/>
        <c:ser>
          <c:idx val="0"/>
          <c:order val="0"/>
          <c:tx>
            <c:strRef>
              <c:f>Annual_Trend!G4</c:f>
              <c:strCache>
                <c:ptCount val="1"/>
                <c:pt idx="0">
                  <c:v>Mean residual °C</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Annual_Trend!$B$5:$B$49</c:f>
              <c:strCache>
                <c:ptCount val="45"/>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strCache>
            </c:strRef>
          </c:cat>
          <c:val>
            <c:numRef>
              <c:f>Annual_Trend!$G$5:$G$49</c:f>
              <c:numCache>
                <c:formatCode>0.00</c:formatCode>
                <c:ptCount val="45"/>
                <c:pt idx="0">
                  <c:v>-0.290948664980937</c:v>
                </c:pt>
                <c:pt idx="1">
                  <c:v>-0.158163678116953</c:v>
                </c:pt>
                <c:pt idx="2">
                  <c:v>-0.0537535422293665</c:v>
                </c:pt>
                <c:pt idx="3">
                  <c:v>0.0320594163396219</c:v>
                </c:pt>
                <c:pt idx="4">
                  <c:v>0.147981324545888</c:v>
                </c:pt>
                <c:pt idx="5">
                  <c:v>0.0866039636472855</c:v>
                </c:pt>
                <c:pt idx="6">
                  <c:v>-0.0852482361815004</c:v>
                </c:pt>
                <c:pt idx="7">
                  <c:v>-0.273715644777291</c:v>
                </c:pt>
                <c:pt idx="8">
                  <c:v>-0.247047516358506</c:v>
                </c:pt>
                <c:pt idx="9">
                  <c:v>-0.211308164614518</c:v>
                </c:pt>
                <c:pt idx="10">
                  <c:v>0.432394799210297</c:v>
                </c:pt>
                <c:pt idx="11">
                  <c:v>0.305231053521726</c:v>
                </c:pt>
                <c:pt idx="12">
                  <c:v>-0.0152942092151067</c:v>
                </c:pt>
                <c:pt idx="13">
                  <c:v>0.0505267088785833</c:v>
                </c:pt>
                <c:pt idx="14">
                  <c:v>-0.0829101947857656</c:v>
                </c:pt>
                <c:pt idx="15">
                  <c:v>-0.0267007311104887</c:v>
                </c:pt>
                <c:pt idx="16">
                  <c:v>0.250034978637623</c:v>
                </c:pt>
                <c:pt idx="17">
                  <c:v>0.0515580036821478</c:v>
                </c:pt>
                <c:pt idx="18">
                  <c:v>0.136994334059684</c:v>
                </c:pt>
                <c:pt idx="19">
                  <c:v>-0.012486264554161</c:v>
                </c:pt>
                <c:pt idx="20">
                  <c:v>0.172679333451704</c:v>
                </c:pt>
                <c:pt idx="21">
                  <c:v>0.222098649235296</c:v>
                </c:pt>
                <c:pt idx="22">
                  <c:v>0.16718577060573</c:v>
                </c:pt>
                <c:pt idx="23">
                  <c:v>-0.015558508226417</c:v>
                </c:pt>
                <c:pt idx="24">
                  <c:v>0.292886059017662</c:v>
                </c:pt>
                <c:pt idx="25">
                  <c:v>0.190678662547939</c:v>
                </c:pt>
                <c:pt idx="26">
                  <c:v>-0.106663723280647</c:v>
                </c:pt>
                <c:pt idx="27">
                  <c:v>0.238009172543535</c:v>
                </c:pt>
                <c:pt idx="28">
                  <c:v>-0.231758260211245</c:v>
                </c:pt>
                <c:pt idx="29">
                  <c:v>-0.171706500752731</c:v>
                </c:pt>
                <c:pt idx="30">
                  <c:v>-0.0140710097330244</c:v>
                </c:pt>
                <c:pt idx="31">
                  <c:v>0.128020281296828</c:v>
                </c:pt>
                <c:pt idx="32">
                  <c:v>0.121602214242149</c:v>
                </c:pt>
                <c:pt idx="33">
                  <c:v>-0.0404946820861822</c:v>
                </c:pt>
                <c:pt idx="34">
                  <c:v>0.177173305036933</c:v>
                </c:pt>
                <c:pt idx="35">
                  <c:v>0.16642979675417</c:v>
                </c:pt>
                <c:pt idx="36">
                  <c:v>0.0389237184265488</c:v>
                </c:pt>
                <c:pt idx="37">
                  <c:v>0.321971601687034</c:v>
                </c:pt>
                <c:pt idx="38">
                  <c:v>0.368211445127756</c:v>
                </c:pt>
                <c:pt idx="39">
                  <c:v>0.72451786937791</c:v>
                </c:pt>
                <c:pt idx="40">
                  <c:v>0.222503065276594</c:v>
                </c:pt>
                <c:pt idx="41">
                  <c:v>0.478547401202919</c:v>
                </c:pt>
                <c:pt idx="42">
                  <c:v>0.184144988142422</c:v>
                </c:pt>
                <c:pt idx="43">
                  <c:v>0.535421135074359</c:v>
                </c:pt>
                <c:pt idx="44">
                  <c:v>0.321974642081624</c:v>
                </c:pt>
              </c:numCache>
            </c:numRef>
          </c:val>
          <c:smooth val="1"/>
        </c:ser>
        <c:ser>
          <c:idx val="1"/>
          <c:order val="1"/>
          <c:tx>
            <c:strRef>
              <c:f>Annual_Trend!I4</c:f>
              <c:strCache>
                <c:ptCount val="1"/>
                <c:pt idx="0">
                  <c:v>MAE on hot days °C</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Annual_Trend!$B$5:$B$49</c:f>
              <c:strCache>
                <c:ptCount val="45"/>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strCache>
            </c:strRef>
          </c:cat>
          <c:val>
            <c:numRef>
              <c:f>Annual_Trend!$I$5:$I$49</c:f>
              <c:numCache>
                <c:formatCode>0.00</c:formatCode>
                <c:ptCount val="45"/>
                <c:pt idx="0">
                  <c:v>3.65555777236668</c:v>
                </c:pt>
                <c:pt idx="1">
                  <c:v>3.79948418359014</c:v>
                </c:pt>
                <c:pt idx="2">
                  <c:v>2.36771059781864</c:v>
                </c:pt>
                <c:pt idx="3">
                  <c:v>3.3828012287074</c:v>
                </c:pt>
                <c:pt idx="4">
                  <c:v>2.53149983165863</c:v>
                </c:pt>
                <c:pt idx="5">
                  <c:v>2.50767601624595</c:v>
                </c:pt>
                <c:pt idx="6">
                  <c:v>4.33004717436352</c:v>
                </c:pt>
                <c:pt idx="7">
                  <c:v>2.13603530024573</c:v>
                </c:pt>
                <c:pt idx="8">
                  <c:v>2.73019482640323</c:v>
                </c:pt>
                <c:pt idx="9">
                  <c:v>2.54074224625912</c:v>
                </c:pt>
                <c:pt idx="10">
                  <c:v>2.87283239181174</c:v>
                </c:pt>
                <c:pt idx="11">
                  <c:v>3.27949182721502</c:v>
                </c:pt>
                <c:pt idx="12">
                  <c:v>3.54609430078204</c:v>
                </c:pt>
                <c:pt idx="13">
                  <c:v>2.14167919189453</c:v>
                </c:pt>
                <c:pt idx="14">
                  <c:v>2.00260687953123</c:v>
                </c:pt>
                <c:pt idx="15">
                  <c:v>3.80329956560816</c:v>
                </c:pt>
                <c:pt idx="16">
                  <c:v>2.67127274027736</c:v>
                </c:pt>
                <c:pt idx="17">
                  <c:v>2.76075651402446</c:v>
                </c:pt>
                <c:pt idx="18">
                  <c:v>2.42001451745171</c:v>
                </c:pt>
                <c:pt idx="19">
                  <c:v>2.75739376646166</c:v>
                </c:pt>
                <c:pt idx="20">
                  <c:v>3.05828581936437</c:v>
                </c:pt>
                <c:pt idx="21">
                  <c:v>3.58042462399145</c:v>
                </c:pt>
                <c:pt idx="22">
                  <c:v>2.85586786168852</c:v>
                </c:pt>
                <c:pt idx="23">
                  <c:v>4.20321290473954</c:v>
                </c:pt>
                <c:pt idx="24">
                  <c:v>3.10896445125217</c:v>
                </c:pt>
                <c:pt idx="25">
                  <c:v>2.90610796525099</c:v>
                </c:pt>
                <c:pt idx="26">
                  <c:v>3.90817446531631</c:v>
                </c:pt>
                <c:pt idx="27">
                  <c:v>2.48689723862557</c:v>
                </c:pt>
                <c:pt idx="28">
                  <c:v>3.4427712146907</c:v>
                </c:pt>
                <c:pt idx="29">
                  <c:v>2.40076274074309</c:v>
                </c:pt>
                <c:pt idx="30">
                  <c:v>3.49261629700142</c:v>
                </c:pt>
                <c:pt idx="31">
                  <c:v>2.20294765540226</c:v>
                </c:pt>
                <c:pt idx="32">
                  <c:v>2.73310793933956</c:v>
                </c:pt>
                <c:pt idx="33">
                  <c:v>2.85619990385512</c:v>
                </c:pt>
                <c:pt idx="34">
                  <c:v>2.88025893573523</c:v>
                </c:pt>
                <c:pt idx="35">
                  <c:v>2.0972777114177</c:v>
                </c:pt>
                <c:pt idx="36">
                  <c:v>6.02006758299218</c:v>
                </c:pt>
                <c:pt idx="37">
                  <c:v>4.1325177704065</c:v>
                </c:pt>
                <c:pt idx="38">
                  <c:v>3.18072175523427</c:v>
                </c:pt>
                <c:pt idx="39">
                  <c:v>2.41355984832092</c:v>
                </c:pt>
                <c:pt idx="40">
                  <c:v>4.49569170625224</c:v>
                </c:pt>
                <c:pt idx="41">
                  <c:v>3.86410891645884</c:v>
                </c:pt>
                <c:pt idx="42">
                  <c:v>2.18942847932621</c:v>
                </c:pt>
                <c:pt idx="43">
                  <c:v>2.87761958479246</c:v>
                </c:pt>
                <c:pt idx="44">
                  <c:v>2.58068112529429</c:v>
                </c:pt>
              </c:numCache>
            </c:numRef>
          </c:val>
          <c:smooth val="1"/>
        </c:ser>
        <c:hiLowLines>
          <c:spPr>
            <a:ln w="0">
              <a:noFill/>
            </a:ln>
          </c:spPr>
        </c:hiLowLines>
        <c:marker val="0"/>
        <c:axId val="85410673"/>
        <c:axId val="11361186"/>
      </c:lineChart>
      <c:catAx>
        <c:axId val="85410673"/>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361186"/>
        <c:crosses val="autoZero"/>
        <c:auto val="1"/>
        <c:lblAlgn val="ctr"/>
        <c:lblOffset val="100"/>
        <c:noMultiLvlLbl val="0"/>
      </c:catAx>
      <c:valAx>
        <c:axId val="11361186"/>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106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43</xdr:col>
      <xdr:colOff>0</xdr:colOff>
      <xdr:row>1</xdr:row>
      <xdr:rowOff>130680</xdr:rowOff>
    </xdr:from>
    <xdr:to>
      <xdr:col>57</xdr:col>
      <xdr:colOff>78840</xdr:colOff>
      <xdr:row>13</xdr:row>
      <xdr:rowOff>117360</xdr:rowOff>
    </xdr:to>
    <xdr:graphicFrame>
      <xdr:nvGraphicFramePr>
        <xdr:cNvPr id="0" name="Chart 1"/>
        <xdr:cNvGraphicFramePr/>
      </xdr:nvGraphicFramePr>
      <xdr:xfrm>
        <a:off x="29396160" y="380880"/>
        <a:ext cx="86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43</xdr:col>
      <xdr:colOff>0</xdr:colOff>
      <xdr:row>19</xdr:row>
      <xdr:rowOff>19080</xdr:rowOff>
    </xdr:from>
    <xdr:to>
      <xdr:col>57</xdr:col>
      <xdr:colOff>78840</xdr:colOff>
      <xdr:row>34</xdr:row>
      <xdr:rowOff>41040</xdr:rowOff>
    </xdr:to>
    <xdr:graphicFrame>
      <xdr:nvGraphicFramePr>
        <xdr:cNvPr id="1" name="Chart 2"/>
        <xdr:cNvGraphicFramePr/>
      </xdr:nvGraphicFramePr>
      <xdr:xfrm>
        <a:off x="29396160" y="4305240"/>
        <a:ext cx="86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43</xdr:col>
      <xdr:colOff>0</xdr:colOff>
      <xdr:row>37</xdr:row>
      <xdr:rowOff>19080</xdr:rowOff>
    </xdr:from>
    <xdr:to>
      <xdr:col>57</xdr:col>
      <xdr:colOff>78840</xdr:colOff>
      <xdr:row>52</xdr:row>
      <xdr:rowOff>41040</xdr:rowOff>
    </xdr:to>
    <xdr:graphicFrame>
      <xdr:nvGraphicFramePr>
        <xdr:cNvPr id="2" name="Chart 3"/>
        <xdr:cNvGraphicFramePr/>
      </xdr:nvGraphicFramePr>
      <xdr:xfrm>
        <a:off x="29396160" y="7734240"/>
        <a:ext cx="86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131040</xdr:rowOff>
    </xdr:from>
    <xdr:to>
      <xdr:col>18</xdr:col>
      <xdr:colOff>398880</xdr:colOff>
      <xdr:row>15</xdr:row>
      <xdr:rowOff>61560</xdr:rowOff>
    </xdr:to>
    <xdr:graphicFrame>
      <xdr:nvGraphicFramePr>
        <xdr:cNvPr id="3" name="Chart 1"/>
        <xdr:cNvGraphicFramePr/>
      </xdr:nvGraphicFramePr>
      <xdr:xfrm>
        <a:off x="8858160" y="57168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17</xdr:row>
      <xdr:rowOff>18360</xdr:rowOff>
    </xdr:from>
    <xdr:to>
      <xdr:col>18</xdr:col>
      <xdr:colOff>398880</xdr:colOff>
      <xdr:row>30</xdr:row>
      <xdr:rowOff>61560</xdr:rowOff>
    </xdr:to>
    <xdr:graphicFrame>
      <xdr:nvGraphicFramePr>
        <xdr:cNvPr id="4" name="Chart 2"/>
        <xdr:cNvGraphicFramePr/>
      </xdr:nvGraphicFramePr>
      <xdr:xfrm>
        <a:off x="8858160" y="3429000"/>
        <a:ext cx="46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131040</xdr:rowOff>
    </xdr:from>
    <xdr:to>
      <xdr:col>24</xdr:col>
      <xdr:colOff>581400</xdr:colOff>
      <xdr:row>16</xdr:row>
      <xdr:rowOff>88920</xdr:rowOff>
    </xdr:to>
    <xdr:graphicFrame>
      <xdr:nvGraphicFramePr>
        <xdr:cNvPr id="5" name="Chart 1"/>
        <xdr:cNvGraphicFramePr/>
      </xdr:nvGraphicFramePr>
      <xdr:xfrm>
        <a:off x="7589520" y="57168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66960</xdr:rowOff>
    </xdr:from>
    <xdr:to>
      <xdr:col>24</xdr:col>
      <xdr:colOff>581400</xdr:colOff>
      <xdr:row>34</xdr:row>
      <xdr:rowOff>88920</xdr:rowOff>
    </xdr:to>
    <xdr:graphicFrame>
      <xdr:nvGraphicFramePr>
        <xdr:cNvPr id="6" name="Chart 2"/>
        <xdr:cNvGraphicFramePr/>
      </xdr:nvGraphicFramePr>
      <xdr:xfrm>
        <a:off x="7589520" y="4000680"/>
        <a:ext cx="79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C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75" hidden="false" customHeight="true" outlineLevel="0" collapsed="false">
      <c r="B4" s="3" t="s">
        <v>2</v>
      </c>
      <c r="C4" s="4" t="s">
        <v>3</v>
      </c>
    </row>
    <row r="5" customFormat="false" ht="75" hidden="false" customHeight="true" outlineLevel="0" collapsed="false">
      <c r="B5" s="3" t="s">
        <v>4</v>
      </c>
      <c r="C5" s="4" t="s">
        <v>5</v>
      </c>
    </row>
    <row r="6" customFormat="false" ht="30" hidden="false" customHeight="true" outlineLevel="0" collapsed="false">
      <c r="B6" s="3" t="s">
        <v>6</v>
      </c>
      <c r="C6" s="4" t="s">
        <v>7</v>
      </c>
    </row>
    <row r="7" customFormat="false" ht="45" hidden="false" customHeight="true" outlineLevel="0" collapsed="false">
      <c r="B7" s="3" t="s">
        <v>8</v>
      </c>
      <c r="C7" s="4" t="s">
        <v>9</v>
      </c>
    </row>
    <row r="8" customFormat="false" ht="75" hidden="false" customHeight="true" outlineLevel="0" collapsed="false">
      <c r="B8" s="3" t="s">
        <v>10</v>
      </c>
      <c r="C8" s="4" t="s">
        <v>11</v>
      </c>
    </row>
    <row r="9" customFormat="false" ht="45" hidden="false" customHeight="true" outlineLevel="0" collapsed="false">
      <c r="B9" s="3" t="s">
        <v>12</v>
      </c>
      <c r="C9" s="4" t="s">
        <v>13</v>
      </c>
    </row>
    <row r="10" customFormat="false" ht="45" hidden="false" customHeight="true" outlineLevel="0" collapsed="false">
      <c r="B10" s="3" t="s">
        <v>14</v>
      </c>
      <c r="C10" s="4" t="s">
        <v>15</v>
      </c>
    </row>
    <row r="11" customFormat="false" ht="60" hidden="false" customHeight="true" outlineLevel="0" collapsed="false">
      <c r="B11" s="3" t="s">
        <v>16</v>
      </c>
      <c r="C11" s="4" t="s">
        <v>17</v>
      </c>
    </row>
    <row r="12" customFormat="false" ht="45" hidden="false" customHeight="true" outlineLevel="0" collapsed="false">
      <c r="B12" s="3" t="s">
        <v>18</v>
      </c>
      <c r="C12" s="4" t="s">
        <v>19</v>
      </c>
    </row>
    <row r="14" customFormat="false" ht="15" hidden="false" customHeight="false" outlineLevel="0" collapsed="false">
      <c r="B14" s="5" t="s">
        <v>20</v>
      </c>
      <c r="C14" s="6"/>
    </row>
    <row r="15" customFormat="false" ht="15" hidden="false" customHeight="false" outlineLevel="0" collapsed="false">
      <c r="B15" s="7" t="s">
        <v>21</v>
      </c>
      <c r="C15" s="4" t="s">
        <v>22</v>
      </c>
    </row>
    <row r="16" customFormat="false" ht="15" hidden="false" customHeight="false" outlineLevel="0" collapsed="false">
      <c r="B16" s="7" t="s">
        <v>23</v>
      </c>
      <c r="C16" s="4" t="s">
        <v>24</v>
      </c>
    </row>
    <row r="17" customFormat="false" ht="15" hidden="false" customHeight="false" outlineLevel="0" collapsed="false">
      <c r="B17" s="7" t="s">
        <v>25</v>
      </c>
      <c r="C17" s="4" t="s">
        <v>26</v>
      </c>
    </row>
    <row r="18" customFormat="false" ht="15" hidden="false" customHeight="false" outlineLevel="0" collapsed="false">
      <c r="B18" s="7" t="s">
        <v>27</v>
      </c>
      <c r="C18" s="4" t="s">
        <v>28</v>
      </c>
    </row>
    <row r="19" customFormat="false" ht="15" hidden="false" customHeight="false" outlineLevel="0" collapsed="false">
      <c r="B19" s="7" t="s">
        <v>29</v>
      </c>
      <c r="C19" s="4" t="s">
        <v>30</v>
      </c>
    </row>
    <row r="20" customFormat="false" ht="15" hidden="false" customHeight="false" outlineLevel="0" collapsed="false">
      <c r="B20" s="7" t="s">
        <v>31</v>
      </c>
      <c r="C20" s="4" t="s">
        <v>32</v>
      </c>
    </row>
    <row r="21" customFormat="false" ht="15" hidden="false" customHeight="false" outlineLevel="0" collapsed="false">
      <c r="B21" s="7" t="s">
        <v>33</v>
      </c>
      <c r="C21" s="4" t="s">
        <v>34</v>
      </c>
    </row>
    <row r="22" customFormat="false" ht="15" hidden="false" customHeight="false" outlineLevel="0" collapsed="false">
      <c r="B22" s="7" t="s">
        <v>35</v>
      </c>
      <c r="C22" s="4" t="s">
        <v>36</v>
      </c>
    </row>
    <row r="23" customFormat="false" ht="15" hidden="false" customHeight="false" outlineLevel="0" collapsed="false">
      <c r="B23" s="7" t="s">
        <v>37</v>
      </c>
      <c r="C23" s="4" t="s">
        <v>38</v>
      </c>
    </row>
    <row r="24" customFormat="false" ht="15" hidden="false" customHeight="false" outlineLevel="0" collapsed="false">
      <c r="B24" s="7" t="s">
        <v>39</v>
      </c>
      <c r="C24" s="4" t="s">
        <v>40</v>
      </c>
    </row>
    <row r="25" customFormat="false" ht="15" hidden="false" customHeight="false" outlineLevel="0" collapsed="false">
      <c r="B25" s="7" t="s">
        <v>41</v>
      </c>
      <c r="C25" s="4" t="s">
        <v>42</v>
      </c>
    </row>
    <row r="26" customFormat="false" ht="15" hidden="false" customHeight="false" outlineLevel="0" collapsed="false">
      <c r="B26" s="7" t="s">
        <v>43</v>
      </c>
      <c r="C26" s="4" t="s">
        <v>44</v>
      </c>
    </row>
    <row r="27" customFormat="false" ht="15" hidden="false" customHeight="false" outlineLevel="0" collapsed="false">
      <c r="B27" s="7" t="s">
        <v>45</v>
      </c>
      <c r="C27" s="4" t="s">
        <v>46</v>
      </c>
    </row>
    <row r="28" customFormat="false" ht="15" hidden="false" customHeight="false" outlineLevel="0" collapsed="false">
      <c r="B28" s="7" t="s">
        <v>47</v>
      </c>
      <c r="C28" s="4" t="s">
        <v>48</v>
      </c>
    </row>
    <row r="29" customFormat="false" ht="15" hidden="false" customHeight="false" outlineLevel="0" collapsed="false">
      <c r="B29" s="7" t="s">
        <v>49</v>
      </c>
      <c r="C29" s="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AJ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30"/>
    <col collapsed="false" customWidth="true" hidden="false" outlineLevel="0" max="4" min="4" style="0" width="7"/>
    <col collapsed="false" customWidth="true" hidden="false" outlineLevel="0" max="5" min="5" style="0" width="16"/>
    <col collapsed="false" customWidth="true" hidden="false" outlineLevel="0" max="8" min="6" style="0" width="8"/>
    <col collapsed="false" customWidth="true" hidden="false" outlineLevel="0" max="9" min="9" style="0" width="14"/>
    <col collapsed="false" customWidth="true" hidden="false" outlineLevel="0" max="18" min="10" style="0" width="8"/>
    <col collapsed="false" customWidth="true" hidden="false" outlineLevel="0" max="36" min="19" style="0" width="9"/>
  </cols>
  <sheetData>
    <row r="1" customFormat="false" ht="19.7"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B3" s="8" t="s">
        <v>53</v>
      </c>
      <c r="E3" s="8" t="s">
        <v>54</v>
      </c>
      <c r="L3" s="8" t="s">
        <v>55</v>
      </c>
      <c r="S3" s="8" t="s">
        <v>56</v>
      </c>
      <c r="V3" s="8" t="s">
        <v>57</v>
      </c>
      <c r="Y3" s="8" t="s">
        <v>58</v>
      </c>
      <c r="AB3" s="8" t="s">
        <v>59</v>
      </c>
      <c r="AE3" s="8" t="s">
        <v>60</v>
      </c>
      <c r="AH3" s="8" t="s">
        <v>61</v>
      </c>
    </row>
    <row r="4" customFormat="false" ht="43.5" hidden="false" customHeight="true" outlineLevel="0" collapsed="false">
      <c r="A4" s="9" t="s">
        <v>62</v>
      </c>
      <c r="B4" s="9" t="s">
        <v>63</v>
      </c>
      <c r="C4" s="9" t="s">
        <v>64</v>
      </c>
      <c r="D4" s="9" t="s">
        <v>65</v>
      </c>
      <c r="E4" s="9" t="s">
        <v>66</v>
      </c>
      <c r="F4" s="9" t="s">
        <v>67</v>
      </c>
      <c r="G4" s="9" t="s">
        <v>68</v>
      </c>
      <c r="H4" s="9" t="s">
        <v>69</v>
      </c>
      <c r="I4" s="9" t="s">
        <v>70</v>
      </c>
      <c r="J4" s="9" t="s">
        <v>71</v>
      </c>
      <c r="K4" s="9" t="s">
        <v>72</v>
      </c>
      <c r="L4" s="9" t="s">
        <v>73</v>
      </c>
      <c r="M4" s="9" t="s">
        <v>74</v>
      </c>
      <c r="N4" s="9" t="s">
        <v>75</v>
      </c>
      <c r="O4" s="9" t="s">
        <v>76</v>
      </c>
      <c r="P4" s="9" t="s">
        <v>77</v>
      </c>
      <c r="Q4" s="9" t="s">
        <v>78</v>
      </c>
      <c r="R4" s="9" t="s">
        <v>79</v>
      </c>
      <c r="S4" s="9" t="s">
        <v>80</v>
      </c>
      <c r="T4" s="9" t="s">
        <v>81</v>
      </c>
      <c r="U4" s="9" t="s">
        <v>82</v>
      </c>
      <c r="V4" s="9" t="s">
        <v>83</v>
      </c>
      <c r="W4" s="9" t="s">
        <v>84</v>
      </c>
      <c r="X4" s="9" t="s">
        <v>85</v>
      </c>
      <c r="Y4" s="9" t="s">
        <v>86</v>
      </c>
      <c r="Z4" s="9" t="s">
        <v>87</v>
      </c>
      <c r="AA4" s="9" t="s">
        <v>88</v>
      </c>
      <c r="AB4" s="9" t="s">
        <v>89</v>
      </c>
      <c r="AC4" s="9" t="s">
        <v>90</v>
      </c>
      <c r="AD4" s="9" t="s">
        <v>91</v>
      </c>
      <c r="AE4" s="9" t="s">
        <v>92</v>
      </c>
      <c r="AF4" s="9" t="s">
        <v>93</v>
      </c>
      <c r="AG4" s="9" t="s">
        <v>94</v>
      </c>
      <c r="AH4" s="9" t="s">
        <v>95</v>
      </c>
      <c r="AI4" s="9" t="s">
        <v>96</v>
      </c>
      <c r="AJ4" s="9" t="s">
        <v>97</v>
      </c>
    </row>
    <row r="5" customFormat="false" ht="15" hidden="false" customHeight="false" outlineLevel="0" collapsed="false">
      <c r="A5" s="7" t="str">
        <f aca="false">IF(B5="","","S"&amp;TEXT(ROW()-4,"00"))</f>
        <v>S01</v>
      </c>
      <c r="B5" s="10" t="s">
        <v>98</v>
      </c>
      <c r="C5" s="10" t="s">
        <v>99</v>
      </c>
      <c r="D5" s="10" t="n">
        <v>2022</v>
      </c>
      <c r="E5" s="10" t="s">
        <v>100</v>
      </c>
      <c r="F5" s="10" t="n">
        <v>28</v>
      </c>
      <c r="G5" s="10" t="n">
        <v>18</v>
      </c>
      <c r="H5" s="10" t="n">
        <v>40</v>
      </c>
      <c r="I5" s="10" t="s">
        <v>101</v>
      </c>
      <c r="J5" s="10" t="n">
        <v>0</v>
      </c>
      <c r="K5" s="10" t="n">
        <v>1998</v>
      </c>
      <c r="L5" s="11" t="n">
        <v>0</v>
      </c>
      <c r="M5" s="11" t="n">
        <v>0</v>
      </c>
      <c r="N5" s="11" t="n">
        <v>0</v>
      </c>
      <c r="O5" s="11" t="n">
        <v>0</v>
      </c>
      <c r="P5" s="11" t="n">
        <v>0</v>
      </c>
      <c r="Q5" s="11" t="n">
        <v>0</v>
      </c>
      <c r="R5" s="12" t="n">
        <v>0</v>
      </c>
      <c r="S5" s="10" t="n">
        <v>387</v>
      </c>
      <c r="T5" s="10" t="n">
        <v>528</v>
      </c>
      <c r="U5" s="10" t="n">
        <v>695</v>
      </c>
      <c r="V5" s="13" t="n">
        <v>4160</v>
      </c>
      <c r="W5" s="13" t="n">
        <v>6016</v>
      </c>
      <c r="X5" s="13" t="n">
        <v>8466</v>
      </c>
      <c r="Y5" s="10" t="n">
        <v>19</v>
      </c>
      <c r="Z5" s="10" t="n">
        <v>15</v>
      </c>
      <c r="AA5" s="10" t="n">
        <v>22</v>
      </c>
      <c r="AB5" s="10" t="n">
        <v>37</v>
      </c>
      <c r="AC5" s="10" t="n">
        <v>36</v>
      </c>
      <c r="AD5" s="10" t="n">
        <v>46</v>
      </c>
      <c r="AE5" s="10" t="n">
        <v>3</v>
      </c>
      <c r="AF5" s="10" t="n">
        <v>6</v>
      </c>
      <c r="AG5" s="10" t="n">
        <v>10</v>
      </c>
      <c r="AH5" s="14" t="n">
        <f aca="false">IF(B5="","",(R5&lt;=Budget)+(S5&lt;Deaths_Appetite)+(V5&lt;=Carbon_Budget)+(Y5=0)+(AB5&gt;=Recall_Target*100)+(AE5=0))</f>
        <v>2</v>
      </c>
      <c r="AI5" s="14" t="n">
        <f aca="false">IF(B5="","",(R5&lt;=Budget)+(T5&lt;Deaths_Appetite)+(W5&lt;=Carbon_Budget)+(Z5=0)+(AC5&gt;=Recall_Target*100)+(AF5=0))</f>
        <v>2</v>
      </c>
      <c r="AJ5" s="14" t="n">
        <f aca="false">IF(B5="","",(R5&lt;=Budget)+(U5&lt;Deaths_Appetite)+(X5&lt;=Carbon_Budget)+(AA5=0)+(AD5&gt;=Recall_Target*100)+(AG5=0))</f>
        <v>2</v>
      </c>
    </row>
    <row r="6" customFormat="false" ht="15" hidden="false" customHeight="false" outlineLevel="0" collapsed="false">
      <c r="A6" s="7" t="str">
        <f aca="false">IF(B6="","","S"&amp;TEXT(ROW()-4,"00"))</f>
        <v>S02</v>
      </c>
      <c r="B6" s="10" t="s">
        <v>98</v>
      </c>
      <c r="C6" s="10" t="s">
        <v>102</v>
      </c>
      <c r="D6" s="10" t="n">
        <v>2022</v>
      </c>
      <c r="E6" s="10" t="s">
        <v>103</v>
      </c>
      <c r="F6" s="10" t="n">
        <v>28</v>
      </c>
      <c r="G6" s="10" t="n">
        <v>18</v>
      </c>
      <c r="H6" s="10" t="n">
        <v>40</v>
      </c>
      <c r="I6" s="10" t="s">
        <v>101</v>
      </c>
      <c r="J6" s="10" t="n">
        <v>0</v>
      </c>
      <c r="K6" s="10" t="n">
        <v>1998</v>
      </c>
      <c r="L6" s="11" t="n">
        <v>0.5</v>
      </c>
      <c r="M6" s="11" t="n">
        <v>0.5</v>
      </c>
      <c r="N6" s="11" t="n">
        <v>0.5</v>
      </c>
      <c r="O6" s="11" t="n">
        <v>0.5</v>
      </c>
      <c r="P6" s="11" t="n">
        <v>0.5</v>
      </c>
      <c r="Q6" s="11" t="n">
        <v>0</v>
      </c>
      <c r="R6" s="12" t="n">
        <v>35.3</v>
      </c>
      <c r="S6" s="10" t="n">
        <v>292</v>
      </c>
      <c r="T6" s="10" t="n">
        <v>404</v>
      </c>
      <c r="U6" s="10" t="n">
        <v>541</v>
      </c>
      <c r="V6" s="13" t="n">
        <v>2413</v>
      </c>
      <c r="W6" s="13" t="n">
        <v>4082</v>
      </c>
      <c r="X6" s="13" t="n">
        <v>6294</v>
      </c>
      <c r="Y6" s="10" t="n">
        <v>15</v>
      </c>
      <c r="Z6" s="10" t="n">
        <v>6</v>
      </c>
      <c r="AA6" s="10" t="n">
        <v>15</v>
      </c>
      <c r="AB6" s="10" t="n">
        <v>65</v>
      </c>
      <c r="AC6" s="10" t="n">
        <v>66</v>
      </c>
      <c r="AD6" s="10" t="n">
        <v>66</v>
      </c>
      <c r="AE6" s="10" t="n">
        <v>1</v>
      </c>
      <c r="AF6" s="10" t="n">
        <v>5</v>
      </c>
      <c r="AG6" s="10" t="n">
        <v>8</v>
      </c>
      <c r="AH6" s="14" t="n">
        <f aca="false">IF(B6="","",(R6&lt;=Budget)+(S6&lt;Deaths_Appetite)+(V6&lt;=Carbon_Budget)+(Y6=0)+(AB6&gt;=Recall_Target*100)+(AE6=0))</f>
        <v>2</v>
      </c>
      <c r="AI6" s="14" t="n">
        <f aca="false">IF(B6="","",(R6&lt;=Budget)+(T6&lt;Deaths_Appetite)+(W6&lt;=Carbon_Budget)+(Z6=0)+(AC6&gt;=Recall_Target*100)+(AF6=0))</f>
        <v>2</v>
      </c>
      <c r="AJ6" s="14" t="n">
        <f aca="false">IF(B6="","",(R6&lt;=Budget)+(U6&lt;Deaths_Appetite)+(X6&lt;=Carbon_Budget)+(AA6=0)+(AD6&gt;=Recall_Target*100)+(AG6=0))</f>
        <v>2</v>
      </c>
    </row>
    <row r="7" customFormat="false" ht="15" hidden="false" customHeight="false" outlineLevel="0" collapsed="false">
      <c r="A7" s="7" t="str">
        <f aca="false">IF(B7="","","S"&amp;TEXT(ROW()-4,"00"))</f>
        <v/>
      </c>
      <c r="B7" s="14"/>
      <c r="C7" s="14"/>
      <c r="D7" s="14"/>
      <c r="E7" s="14"/>
      <c r="F7" s="14"/>
      <c r="G7" s="14"/>
      <c r="H7" s="14"/>
      <c r="I7" s="14"/>
      <c r="J7" s="14"/>
      <c r="K7" s="14"/>
      <c r="L7" s="15"/>
      <c r="M7" s="15"/>
      <c r="N7" s="15"/>
      <c r="O7" s="15"/>
      <c r="P7" s="15"/>
      <c r="Q7" s="15"/>
      <c r="R7" s="16"/>
      <c r="S7" s="17"/>
      <c r="T7" s="17"/>
      <c r="U7" s="17"/>
      <c r="V7" s="18"/>
      <c r="W7" s="18"/>
      <c r="X7" s="18"/>
      <c r="Y7" s="17"/>
      <c r="Z7" s="17"/>
      <c r="AA7" s="17"/>
      <c r="AB7" s="17"/>
      <c r="AC7" s="17"/>
      <c r="AD7" s="17"/>
      <c r="AE7" s="17"/>
      <c r="AF7" s="17"/>
      <c r="AG7" s="17"/>
      <c r="AH7" s="14" t="str">
        <f aca="false">IF(B7="","",(R7&lt;=Budget)+(S7&lt;Deaths_Appetite)+(V7&lt;=Carbon_Budget)+(Y7=0)+(AB7&gt;=Recall_Target*100)+(AE7=0))</f>
        <v/>
      </c>
      <c r="AI7" s="14" t="str">
        <f aca="false">IF(B7="","",(R7&lt;=Budget)+(T7&lt;Deaths_Appetite)+(W7&lt;=Carbon_Budget)+(Z7=0)+(AC7&gt;=Recall_Target*100)+(AF7=0))</f>
        <v/>
      </c>
      <c r="AJ7" s="14" t="str">
        <f aca="false">IF(B7="","",(R7&lt;=Budget)+(U7&lt;Deaths_Appetite)+(X7&lt;=Carbon_Budget)+(AA7=0)+(AD7&gt;=Recall_Target*100)+(AG7=0))</f>
        <v/>
      </c>
    </row>
    <row r="8" customFormat="false" ht="15" hidden="false" customHeight="false" outlineLevel="0" collapsed="false">
      <c r="A8" s="7" t="str">
        <f aca="false">IF(B8="","","S"&amp;TEXT(ROW()-4,"00"))</f>
        <v/>
      </c>
      <c r="B8" s="14"/>
      <c r="C8" s="14"/>
      <c r="D8" s="14"/>
      <c r="E8" s="14"/>
      <c r="F8" s="14"/>
      <c r="G8" s="14"/>
      <c r="H8" s="14"/>
      <c r="I8" s="14"/>
      <c r="J8" s="14"/>
      <c r="K8" s="14"/>
      <c r="L8" s="15"/>
      <c r="M8" s="15"/>
      <c r="N8" s="15"/>
      <c r="O8" s="15"/>
      <c r="P8" s="15"/>
      <c r="Q8" s="15"/>
      <c r="R8" s="16"/>
      <c r="S8" s="17"/>
      <c r="T8" s="17"/>
      <c r="U8" s="17"/>
      <c r="V8" s="18"/>
      <c r="W8" s="18"/>
      <c r="X8" s="18"/>
      <c r="Y8" s="17"/>
      <c r="Z8" s="17"/>
      <c r="AA8" s="17"/>
      <c r="AB8" s="17"/>
      <c r="AC8" s="17"/>
      <c r="AD8" s="17"/>
      <c r="AE8" s="17"/>
      <c r="AF8" s="17"/>
      <c r="AG8" s="17"/>
      <c r="AH8" s="14" t="str">
        <f aca="false">IF(B8="","",(R8&lt;=Budget)+(S8&lt;Deaths_Appetite)+(V8&lt;=Carbon_Budget)+(Y8=0)+(AB8&gt;=Recall_Target*100)+(AE8=0))</f>
        <v/>
      </c>
      <c r="AI8" s="14" t="str">
        <f aca="false">IF(B8="","",(R8&lt;=Budget)+(T8&lt;Deaths_Appetite)+(W8&lt;=Carbon_Budget)+(Z8=0)+(AC8&gt;=Recall_Target*100)+(AF8=0))</f>
        <v/>
      </c>
      <c r="AJ8" s="14" t="str">
        <f aca="false">IF(B8="","",(R8&lt;=Budget)+(U8&lt;Deaths_Appetite)+(X8&lt;=Carbon_Budget)+(AA8=0)+(AD8&gt;=Recall_Target*100)+(AG8=0))</f>
        <v/>
      </c>
    </row>
    <row r="9" customFormat="false" ht="15" hidden="false" customHeight="false" outlineLevel="0" collapsed="false">
      <c r="A9" s="7" t="str">
        <f aca="false">IF(B9="","","S"&amp;TEXT(ROW()-4,"00"))</f>
        <v/>
      </c>
      <c r="B9" s="14"/>
      <c r="C9" s="14"/>
      <c r="D9" s="14"/>
      <c r="E9" s="14"/>
      <c r="F9" s="14"/>
      <c r="G9" s="14"/>
      <c r="H9" s="14"/>
      <c r="I9" s="14"/>
      <c r="J9" s="14"/>
      <c r="K9" s="14"/>
      <c r="L9" s="15"/>
      <c r="M9" s="15"/>
      <c r="N9" s="15"/>
      <c r="O9" s="15"/>
      <c r="P9" s="15"/>
      <c r="Q9" s="15"/>
      <c r="R9" s="16"/>
      <c r="S9" s="17"/>
      <c r="T9" s="17"/>
      <c r="U9" s="17"/>
      <c r="V9" s="18"/>
      <c r="W9" s="18"/>
      <c r="X9" s="18"/>
      <c r="Y9" s="17"/>
      <c r="Z9" s="17"/>
      <c r="AA9" s="17"/>
      <c r="AB9" s="17"/>
      <c r="AC9" s="17"/>
      <c r="AD9" s="17"/>
      <c r="AE9" s="17"/>
      <c r="AF9" s="17"/>
      <c r="AG9" s="17"/>
      <c r="AH9" s="14" t="str">
        <f aca="false">IF(B9="","",(R9&lt;=Budget)+(S9&lt;Deaths_Appetite)+(V9&lt;=Carbon_Budget)+(Y9=0)+(AB9&gt;=Recall_Target*100)+(AE9=0))</f>
        <v/>
      </c>
      <c r="AI9" s="14" t="str">
        <f aca="false">IF(B9="","",(R9&lt;=Budget)+(T9&lt;Deaths_Appetite)+(W9&lt;=Carbon_Budget)+(Z9=0)+(AC9&gt;=Recall_Target*100)+(AF9=0))</f>
        <v/>
      </c>
      <c r="AJ9" s="14" t="str">
        <f aca="false">IF(B9="","",(R9&lt;=Budget)+(U9&lt;Deaths_Appetite)+(X9&lt;=Carbon_Budget)+(AA9=0)+(AD9&gt;=Recall_Target*100)+(AG9=0))</f>
        <v/>
      </c>
    </row>
    <row r="10" customFormat="false" ht="15" hidden="false" customHeight="false" outlineLevel="0" collapsed="false">
      <c r="A10" s="7" t="str">
        <f aca="false">IF(B10="","","S"&amp;TEXT(ROW()-4,"00"))</f>
        <v/>
      </c>
      <c r="B10" s="14"/>
      <c r="C10" s="14"/>
      <c r="D10" s="14"/>
      <c r="E10" s="14"/>
      <c r="F10" s="14"/>
      <c r="G10" s="14"/>
      <c r="H10" s="14"/>
      <c r="I10" s="14"/>
      <c r="J10" s="14"/>
      <c r="K10" s="14"/>
      <c r="L10" s="15"/>
      <c r="M10" s="15"/>
      <c r="N10" s="15"/>
      <c r="O10" s="15"/>
      <c r="P10" s="15"/>
      <c r="Q10" s="15"/>
      <c r="R10" s="16"/>
      <c r="S10" s="17"/>
      <c r="T10" s="17"/>
      <c r="U10" s="17"/>
      <c r="V10" s="18"/>
      <c r="W10" s="18"/>
      <c r="X10" s="18"/>
      <c r="Y10" s="17"/>
      <c r="Z10" s="17"/>
      <c r="AA10" s="17"/>
      <c r="AB10" s="17"/>
      <c r="AC10" s="17"/>
      <c r="AD10" s="17"/>
      <c r="AE10" s="17"/>
      <c r="AF10" s="17"/>
      <c r="AG10" s="17"/>
      <c r="AH10" s="14" t="str">
        <f aca="false">IF(B10="","",(R10&lt;=Budget)+(S10&lt;Deaths_Appetite)+(V10&lt;=Carbon_Budget)+(Y10=0)+(AB10&gt;=Recall_Target*100)+(AE10=0))</f>
        <v/>
      </c>
      <c r="AI10" s="14" t="str">
        <f aca="false">IF(B10="","",(R10&lt;=Budget)+(T10&lt;Deaths_Appetite)+(W10&lt;=Carbon_Budget)+(Z10=0)+(AC10&gt;=Recall_Target*100)+(AF10=0))</f>
        <v/>
      </c>
      <c r="AJ10" s="14" t="str">
        <f aca="false">IF(B10="","",(R10&lt;=Budget)+(U10&lt;Deaths_Appetite)+(X10&lt;=Carbon_Budget)+(AA10=0)+(AD10&gt;=Recall_Target*100)+(AG10=0))</f>
        <v/>
      </c>
    </row>
    <row r="11" customFormat="false" ht="15" hidden="false" customHeight="false" outlineLevel="0" collapsed="false">
      <c r="A11" s="7" t="str">
        <f aca="false">IF(B11="","","S"&amp;TEXT(ROW()-4,"00"))</f>
        <v/>
      </c>
      <c r="B11" s="14"/>
      <c r="C11" s="14"/>
      <c r="D11" s="14"/>
      <c r="E11" s="14"/>
      <c r="F11" s="14"/>
      <c r="G11" s="14"/>
      <c r="H11" s="14"/>
      <c r="I11" s="14"/>
      <c r="J11" s="14"/>
      <c r="K11" s="14"/>
      <c r="L11" s="15"/>
      <c r="M11" s="15"/>
      <c r="N11" s="15"/>
      <c r="O11" s="15"/>
      <c r="P11" s="15"/>
      <c r="Q11" s="15"/>
      <c r="R11" s="16"/>
      <c r="S11" s="17"/>
      <c r="T11" s="17"/>
      <c r="U11" s="17"/>
      <c r="V11" s="18"/>
      <c r="W11" s="18"/>
      <c r="X11" s="18"/>
      <c r="Y11" s="17"/>
      <c r="Z11" s="17"/>
      <c r="AA11" s="17"/>
      <c r="AB11" s="17"/>
      <c r="AC11" s="17"/>
      <c r="AD11" s="17"/>
      <c r="AE11" s="17"/>
      <c r="AF11" s="17"/>
      <c r="AG11" s="17"/>
      <c r="AH11" s="14" t="str">
        <f aca="false">IF(B11="","",(R11&lt;=Budget)+(S11&lt;Deaths_Appetite)+(V11&lt;=Carbon_Budget)+(Y11=0)+(AB11&gt;=Recall_Target*100)+(AE11=0))</f>
        <v/>
      </c>
      <c r="AI11" s="14" t="str">
        <f aca="false">IF(B11="","",(R11&lt;=Budget)+(T11&lt;Deaths_Appetite)+(W11&lt;=Carbon_Budget)+(Z11=0)+(AC11&gt;=Recall_Target*100)+(AF11=0))</f>
        <v/>
      </c>
      <c r="AJ11" s="14" t="str">
        <f aca="false">IF(B11="","",(R11&lt;=Budget)+(U11&lt;Deaths_Appetite)+(X11&lt;=Carbon_Budget)+(AA11=0)+(AD11&gt;=Recall_Target*100)+(AG11=0))</f>
        <v/>
      </c>
    </row>
    <row r="12" customFormat="false" ht="15" hidden="false" customHeight="false" outlineLevel="0" collapsed="false">
      <c r="A12" s="7" t="str">
        <f aca="false">IF(B12="","","S"&amp;TEXT(ROW()-4,"00"))</f>
        <v/>
      </c>
      <c r="B12" s="14"/>
      <c r="C12" s="14"/>
      <c r="D12" s="14"/>
      <c r="E12" s="14"/>
      <c r="F12" s="14"/>
      <c r="G12" s="14"/>
      <c r="H12" s="14"/>
      <c r="I12" s="14"/>
      <c r="J12" s="14"/>
      <c r="K12" s="14"/>
      <c r="L12" s="15"/>
      <c r="M12" s="15"/>
      <c r="N12" s="15"/>
      <c r="O12" s="15"/>
      <c r="P12" s="15"/>
      <c r="Q12" s="15"/>
      <c r="R12" s="16"/>
      <c r="S12" s="17"/>
      <c r="T12" s="17"/>
      <c r="U12" s="17"/>
      <c r="V12" s="18"/>
      <c r="W12" s="18"/>
      <c r="X12" s="18"/>
      <c r="Y12" s="17"/>
      <c r="Z12" s="17"/>
      <c r="AA12" s="17"/>
      <c r="AB12" s="17"/>
      <c r="AC12" s="17"/>
      <c r="AD12" s="17"/>
      <c r="AE12" s="17"/>
      <c r="AF12" s="17"/>
      <c r="AG12" s="17"/>
      <c r="AH12" s="14" t="str">
        <f aca="false">IF(B12="","",(R12&lt;=Budget)+(S12&lt;Deaths_Appetite)+(V12&lt;=Carbon_Budget)+(Y12=0)+(AB12&gt;=Recall_Target*100)+(AE12=0))</f>
        <v/>
      </c>
      <c r="AI12" s="14" t="str">
        <f aca="false">IF(B12="","",(R12&lt;=Budget)+(T12&lt;Deaths_Appetite)+(W12&lt;=Carbon_Budget)+(Z12=0)+(AC12&gt;=Recall_Target*100)+(AF12=0))</f>
        <v/>
      </c>
      <c r="AJ12" s="14" t="str">
        <f aca="false">IF(B12="","",(R12&lt;=Budget)+(U12&lt;Deaths_Appetite)+(X12&lt;=Carbon_Budget)+(AA12=0)+(AD12&gt;=Recall_Target*100)+(AG12=0))</f>
        <v/>
      </c>
    </row>
    <row r="13" customFormat="false" ht="15" hidden="false" customHeight="false" outlineLevel="0" collapsed="false">
      <c r="A13" s="7" t="str">
        <f aca="false">IF(B13="","","S"&amp;TEXT(ROW()-4,"00"))</f>
        <v/>
      </c>
      <c r="B13" s="14"/>
      <c r="C13" s="14"/>
      <c r="D13" s="14"/>
      <c r="E13" s="14"/>
      <c r="F13" s="14"/>
      <c r="G13" s="14"/>
      <c r="H13" s="14"/>
      <c r="I13" s="14"/>
      <c r="J13" s="14"/>
      <c r="K13" s="14"/>
      <c r="L13" s="15"/>
      <c r="M13" s="15"/>
      <c r="N13" s="15"/>
      <c r="O13" s="15"/>
      <c r="P13" s="15"/>
      <c r="Q13" s="15"/>
      <c r="R13" s="16"/>
      <c r="S13" s="17"/>
      <c r="T13" s="17"/>
      <c r="U13" s="17"/>
      <c r="V13" s="18"/>
      <c r="W13" s="18"/>
      <c r="X13" s="18"/>
      <c r="Y13" s="17"/>
      <c r="Z13" s="17"/>
      <c r="AA13" s="17"/>
      <c r="AB13" s="17"/>
      <c r="AC13" s="17"/>
      <c r="AD13" s="17"/>
      <c r="AE13" s="17"/>
      <c r="AF13" s="17"/>
      <c r="AG13" s="17"/>
      <c r="AH13" s="14" t="str">
        <f aca="false">IF(B13="","",(R13&lt;=Budget)+(S13&lt;Deaths_Appetite)+(V13&lt;=Carbon_Budget)+(Y13=0)+(AB13&gt;=Recall_Target*100)+(AE13=0))</f>
        <v/>
      </c>
      <c r="AI13" s="14" t="str">
        <f aca="false">IF(B13="","",(R13&lt;=Budget)+(T13&lt;Deaths_Appetite)+(W13&lt;=Carbon_Budget)+(Z13=0)+(AC13&gt;=Recall_Target*100)+(AF13=0))</f>
        <v/>
      </c>
      <c r="AJ13" s="14" t="str">
        <f aca="false">IF(B13="","",(R13&lt;=Budget)+(U13&lt;Deaths_Appetite)+(X13&lt;=Carbon_Budget)+(AA13=0)+(AD13&gt;=Recall_Target*100)+(AG13=0))</f>
        <v/>
      </c>
    </row>
    <row r="14" customFormat="false" ht="15" hidden="false" customHeight="false" outlineLevel="0" collapsed="false">
      <c r="A14" s="7" t="str">
        <f aca="false">IF(B14="","","S"&amp;TEXT(ROW()-4,"00"))</f>
        <v/>
      </c>
      <c r="B14" s="14"/>
      <c r="C14" s="14"/>
      <c r="D14" s="14"/>
      <c r="E14" s="14"/>
      <c r="F14" s="14"/>
      <c r="G14" s="14"/>
      <c r="H14" s="14"/>
      <c r="I14" s="14"/>
      <c r="J14" s="14"/>
      <c r="K14" s="14"/>
      <c r="L14" s="15"/>
      <c r="M14" s="15"/>
      <c r="N14" s="15"/>
      <c r="O14" s="15"/>
      <c r="P14" s="15"/>
      <c r="Q14" s="15"/>
      <c r="R14" s="16"/>
      <c r="S14" s="17"/>
      <c r="T14" s="17"/>
      <c r="U14" s="17"/>
      <c r="V14" s="18"/>
      <c r="W14" s="18"/>
      <c r="X14" s="18"/>
      <c r="Y14" s="17"/>
      <c r="Z14" s="17"/>
      <c r="AA14" s="17"/>
      <c r="AB14" s="17"/>
      <c r="AC14" s="17"/>
      <c r="AD14" s="17"/>
      <c r="AE14" s="17"/>
      <c r="AF14" s="17"/>
      <c r="AG14" s="17"/>
      <c r="AH14" s="14" t="str">
        <f aca="false">IF(B14="","",(R14&lt;=Budget)+(S14&lt;Deaths_Appetite)+(V14&lt;=Carbon_Budget)+(Y14=0)+(AB14&gt;=Recall_Target*100)+(AE14=0))</f>
        <v/>
      </c>
      <c r="AI14" s="14" t="str">
        <f aca="false">IF(B14="","",(R14&lt;=Budget)+(T14&lt;Deaths_Appetite)+(W14&lt;=Carbon_Budget)+(Z14=0)+(AC14&gt;=Recall_Target*100)+(AF14=0))</f>
        <v/>
      </c>
      <c r="AJ14" s="14" t="str">
        <f aca="false">IF(B14="","",(R14&lt;=Budget)+(U14&lt;Deaths_Appetite)+(X14&lt;=Carbon_Budget)+(AA14=0)+(AD14&gt;=Recall_Target*100)+(AG14=0))</f>
        <v/>
      </c>
    </row>
    <row r="15" customFormat="false" ht="15" hidden="false" customHeight="false" outlineLevel="0" collapsed="false">
      <c r="A15" s="7" t="str">
        <f aca="false">IF(B15="","","S"&amp;TEXT(ROW()-4,"00"))</f>
        <v/>
      </c>
      <c r="B15" s="14"/>
      <c r="C15" s="14"/>
      <c r="D15" s="14"/>
      <c r="E15" s="14"/>
      <c r="F15" s="14"/>
      <c r="G15" s="14"/>
      <c r="H15" s="14"/>
      <c r="I15" s="14"/>
      <c r="J15" s="14"/>
      <c r="K15" s="14"/>
      <c r="L15" s="15"/>
      <c r="M15" s="15"/>
      <c r="N15" s="15"/>
      <c r="O15" s="15"/>
      <c r="P15" s="15"/>
      <c r="Q15" s="15"/>
      <c r="R15" s="16"/>
      <c r="S15" s="17"/>
      <c r="T15" s="17"/>
      <c r="U15" s="17"/>
      <c r="V15" s="18"/>
      <c r="W15" s="18"/>
      <c r="X15" s="18"/>
      <c r="Y15" s="17"/>
      <c r="Z15" s="17"/>
      <c r="AA15" s="17"/>
      <c r="AB15" s="17"/>
      <c r="AC15" s="17"/>
      <c r="AD15" s="17"/>
      <c r="AE15" s="17"/>
      <c r="AF15" s="17"/>
      <c r="AG15" s="17"/>
      <c r="AH15" s="14" t="str">
        <f aca="false">IF(B15="","",(R15&lt;=Budget)+(S15&lt;Deaths_Appetite)+(V15&lt;=Carbon_Budget)+(Y15=0)+(AB15&gt;=Recall_Target*100)+(AE15=0))</f>
        <v/>
      </c>
      <c r="AI15" s="14" t="str">
        <f aca="false">IF(B15="","",(R15&lt;=Budget)+(T15&lt;Deaths_Appetite)+(W15&lt;=Carbon_Budget)+(Z15=0)+(AC15&gt;=Recall_Target*100)+(AF15=0))</f>
        <v/>
      </c>
      <c r="AJ15" s="14" t="str">
        <f aca="false">IF(B15="","",(R15&lt;=Budget)+(U15&lt;Deaths_Appetite)+(X15&lt;=Carbon_Budget)+(AA15=0)+(AD15&gt;=Recall_Target*100)+(AG15=0))</f>
        <v/>
      </c>
    </row>
    <row r="16" customFormat="false" ht="15" hidden="false" customHeight="false" outlineLevel="0" collapsed="false">
      <c r="A16" s="7" t="str">
        <f aca="false">IF(B16="","","S"&amp;TEXT(ROW()-4,"00"))</f>
        <v/>
      </c>
      <c r="B16" s="14"/>
      <c r="C16" s="14"/>
      <c r="D16" s="14"/>
      <c r="E16" s="14"/>
      <c r="F16" s="14"/>
      <c r="G16" s="14"/>
      <c r="H16" s="14"/>
      <c r="I16" s="14"/>
      <c r="J16" s="14"/>
      <c r="K16" s="14"/>
      <c r="L16" s="15"/>
      <c r="M16" s="15"/>
      <c r="N16" s="15"/>
      <c r="O16" s="15"/>
      <c r="P16" s="15"/>
      <c r="Q16" s="15"/>
      <c r="R16" s="16"/>
      <c r="S16" s="17"/>
      <c r="T16" s="17"/>
      <c r="U16" s="17"/>
      <c r="V16" s="18"/>
      <c r="W16" s="18"/>
      <c r="X16" s="18"/>
      <c r="Y16" s="17"/>
      <c r="Z16" s="17"/>
      <c r="AA16" s="17"/>
      <c r="AB16" s="17"/>
      <c r="AC16" s="17"/>
      <c r="AD16" s="17"/>
      <c r="AE16" s="17"/>
      <c r="AF16" s="17"/>
      <c r="AG16" s="17"/>
      <c r="AH16" s="14" t="str">
        <f aca="false">IF(B16="","",(R16&lt;=Budget)+(S16&lt;Deaths_Appetite)+(V16&lt;=Carbon_Budget)+(Y16=0)+(AB16&gt;=Recall_Target*100)+(AE16=0))</f>
        <v/>
      </c>
      <c r="AI16" s="14" t="str">
        <f aca="false">IF(B16="","",(R16&lt;=Budget)+(T16&lt;Deaths_Appetite)+(W16&lt;=Carbon_Budget)+(Z16=0)+(AC16&gt;=Recall_Target*100)+(AF16=0))</f>
        <v/>
      </c>
      <c r="AJ16" s="14" t="str">
        <f aca="false">IF(B16="","",(R16&lt;=Budget)+(U16&lt;Deaths_Appetite)+(X16&lt;=Carbon_Budget)+(AA16=0)+(AD16&gt;=Recall_Target*100)+(AG16=0))</f>
        <v/>
      </c>
    </row>
    <row r="17" customFormat="false" ht="15" hidden="false" customHeight="false" outlineLevel="0" collapsed="false">
      <c r="A17" s="7" t="str">
        <f aca="false">IF(B17="","","S"&amp;TEXT(ROW()-4,"00"))</f>
        <v/>
      </c>
      <c r="B17" s="14"/>
      <c r="C17" s="14"/>
      <c r="D17" s="14"/>
      <c r="E17" s="14"/>
      <c r="F17" s="14"/>
      <c r="G17" s="14"/>
      <c r="H17" s="14"/>
      <c r="I17" s="14"/>
      <c r="J17" s="14"/>
      <c r="K17" s="14"/>
      <c r="L17" s="15"/>
      <c r="M17" s="15"/>
      <c r="N17" s="15"/>
      <c r="O17" s="15"/>
      <c r="P17" s="15"/>
      <c r="Q17" s="15"/>
      <c r="R17" s="16"/>
      <c r="S17" s="17"/>
      <c r="T17" s="17"/>
      <c r="U17" s="17"/>
      <c r="V17" s="18"/>
      <c r="W17" s="18"/>
      <c r="X17" s="18"/>
      <c r="Y17" s="17"/>
      <c r="Z17" s="17"/>
      <c r="AA17" s="17"/>
      <c r="AB17" s="17"/>
      <c r="AC17" s="17"/>
      <c r="AD17" s="17"/>
      <c r="AE17" s="17"/>
      <c r="AF17" s="17"/>
      <c r="AG17" s="17"/>
      <c r="AH17" s="14" t="str">
        <f aca="false">IF(B17="","",(R17&lt;=Budget)+(S17&lt;Deaths_Appetite)+(V17&lt;=Carbon_Budget)+(Y17=0)+(AB17&gt;=Recall_Target*100)+(AE17=0))</f>
        <v/>
      </c>
      <c r="AI17" s="14" t="str">
        <f aca="false">IF(B17="","",(R17&lt;=Budget)+(T17&lt;Deaths_Appetite)+(W17&lt;=Carbon_Budget)+(Z17=0)+(AC17&gt;=Recall_Target*100)+(AF17=0))</f>
        <v/>
      </c>
      <c r="AJ17" s="14" t="str">
        <f aca="false">IF(B17="","",(R17&lt;=Budget)+(U17&lt;Deaths_Appetite)+(X17&lt;=Carbon_Budget)+(AA17=0)+(AD17&gt;=Recall_Target*100)+(AG17=0))</f>
        <v/>
      </c>
    </row>
    <row r="18" customFormat="false" ht="15" hidden="false" customHeight="false" outlineLevel="0" collapsed="false">
      <c r="A18" s="7" t="str">
        <f aca="false">IF(B18="","","S"&amp;TEXT(ROW()-4,"00"))</f>
        <v/>
      </c>
      <c r="B18" s="14"/>
      <c r="C18" s="14"/>
      <c r="D18" s="14"/>
      <c r="E18" s="14"/>
      <c r="F18" s="14"/>
      <c r="G18" s="14"/>
      <c r="H18" s="14"/>
      <c r="I18" s="14"/>
      <c r="J18" s="14"/>
      <c r="K18" s="14"/>
      <c r="L18" s="15"/>
      <c r="M18" s="15"/>
      <c r="N18" s="15"/>
      <c r="O18" s="15"/>
      <c r="P18" s="15"/>
      <c r="Q18" s="15"/>
      <c r="R18" s="16"/>
      <c r="S18" s="17"/>
      <c r="T18" s="17"/>
      <c r="U18" s="17"/>
      <c r="V18" s="18"/>
      <c r="W18" s="18"/>
      <c r="X18" s="18"/>
      <c r="Y18" s="17"/>
      <c r="Z18" s="17"/>
      <c r="AA18" s="17"/>
      <c r="AB18" s="17"/>
      <c r="AC18" s="17"/>
      <c r="AD18" s="17"/>
      <c r="AE18" s="17"/>
      <c r="AF18" s="17"/>
      <c r="AG18" s="17"/>
      <c r="AH18" s="14" t="str">
        <f aca="false">IF(B18="","",(R18&lt;=Budget)+(S18&lt;Deaths_Appetite)+(V18&lt;=Carbon_Budget)+(Y18=0)+(AB18&gt;=Recall_Target*100)+(AE18=0))</f>
        <v/>
      </c>
      <c r="AI18" s="14" t="str">
        <f aca="false">IF(B18="","",(R18&lt;=Budget)+(T18&lt;Deaths_Appetite)+(W18&lt;=Carbon_Budget)+(Z18=0)+(AC18&gt;=Recall_Target*100)+(AF18=0))</f>
        <v/>
      </c>
      <c r="AJ18" s="14" t="str">
        <f aca="false">IF(B18="","",(R18&lt;=Budget)+(U18&lt;Deaths_Appetite)+(X18&lt;=Carbon_Budget)+(AA18=0)+(AD18&gt;=Recall_Target*100)+(AG18=0))</f>
        <v/>
      </c>
    </row>
    <row r="19" customFormat="false" ht="15" hidden="false" customHeight="false" outlineLevel="0" collapsed="false">
      <c r="A19" s="7" t="str">
        <f aca="false">IF(B19="","","S"&amp;TEXT(ROW()-4,"00"))</f>
        <v/>
      </c>
      <c r="B19" s="14"/>
      <c r="C19" s="14"/>
      <c r="D19" s="14"/>
      <c r="E19" s="14"/>
      <c r="F19" s="14"/>
      <c r="G19" s="14"/>
      <c r="H19" s="14"/>
      <c r="I19" s="14"/>
      <c r="J19" s="14"/>
      <c r="K19" s="14"/>
      <c r="L19" s="15"/>
      <c r="M19" s="15"/>
      <c r="N19" s="15"/>
      <c r="O19" s="15"/>
      <c r="P19" s="15"/>
      <c r="Q19" s="15"/>
      <c r="R19" s="16"/>
      <c r="S19" s="17"/>
      <c r="T19" s="17"/>
      <c r="U19" s="17"/>
      <c r="V19" s="18"/>
      <c r="W19" s="18"/>
      <c r="X19" s="18"/>
      <c r="Y19" s="17"/>
      <c r="Z19" s="17"/>
      <c r="AA19" s="17"/>
      <c r="AB19" s="17"/>
      <c r="AC19" s="17"/>
      <c r="AD19" s="17"/>
      <c r="AE19" s="17"/>
      <c r="AF19" s="17"/>
      <c r="AG19" s="17"/>
      <c r="AH19" s="14" t="str">
        <f aca="false">IF(B19="","",(R19&lt;=Budget)+(S19&lt;Deaths_Appetite)+(V19&lt;=Carbon_Budget)+(Y19=0)+(AB19&gt;=Recall_Target*100)+(AE19=0))</f>
        <v/>
      </c>
      <c r="AI19" s="14" t="str">
        <f aca="false">IF(B19="","",(R19&lt;=Budget)+(T19&lt;Deaths_Appetite)+(W19&lt;=Carbon_Budget)+(Z19=0)+(AC19&gt;=Recall_Target*100)+(AF19=0))</f>
        <v/>
      </c>
      <c r="AJ19" s="14" t="str">
        <f aca="false">IF(B19="","",(R19&lt;=Budget)+(U19&lt;Deaths_Appetite)+(X19&lt;=Carbon_Budget)+(AA19=0)+(AD19&gt;=Recall_Target*100)+(AG19=0))</f>
        <v/>
      </c>
    </row>
    <row r="20" customFormat="false" ht="15" hidden="false" customHeight="false" outlineLevel="0" collapsed="false">
      <c r="A20" s="7" t="str">
        <f aca="false">IF(B20="","","S"&amp;TEXT(ROW()-4,"00"))</f>
        <v/>
      </c>
      <c r="B20" s="14"/>
      <c r="C20" s="14"/>
      <c r="D20" s="14"/>
      <c r="E20" s="14"/>
      <c r="F20" s="14"/>
      <c r="G20" s="14"/>
      <c r="H20" s="14"/>
      <c r="I20" s="14"/>
      <c r="J20" s="14"/>
      <c r="K20" s="14"/>
      <c r="L20" s="15"/>
      <c r="M20" s="15"/>
      <c r="N20" s="15"/>
      <c r="O20" s="15"/>
      <c r="P20" s="15"/>
      <c r="Q20" s="15"/>
      <c r="R20" s="16"/>
      <c r="S20" s="17"/>
      <c r="T20" s="17"/>
      <c r="U20" s="17"/>
      <c r="V20" s="18"/>
      <c r="W20" s="18"/>
      <c r="X20" s="18"/>
      <c r="Y20" s="17"/>
      <c r="Z20" s="17"/>
      <c r="AA20" s="17"/>
      <c r="AB20" s="17"/>
      <c r="AC20" s="17"/>
      <c r="AD20" s="17"/>
      <c r="AE20" s="17"/>
      <c r="AF20" s="17"/>
      <c r="AG20" s="17"/>
      <c r="AH20" s="14" t="str">
        <f aca="false">IF(B20="","",(R20&lt;=Budget)+(S20&lt;Deaths_Appetite)+(V20&lt;=Carbon_Budget)+(Y20=0)+(AB20&gt;=Recall_Target*100)+(AE20=0))</f>
        <v/>
      </c>
      <c r="AI20" s="14" t="str">
        <f aca="false">IF(B20="","",(R20&lt;=Budget)+(T20&lt;Deaths_Appetite)+(W20&lt;=Carbon_Budget)+(Z20=0)+(AC20&gt;=Recall_Target*100)+(AF20=0))</f>
        <v/>
      </c>
      <c r="AJ20" s="14" t="str">
        <f aca="false">IF(B20="","",(R20&lt;=Budget)+(U20&lt;Deaths_Appetite)+(X20&lt;=Carbon_Budget)+(AA20=0)+(AD20&gt;=Recall_Target*100)+(AG20=0))</f>
        <v/>
      </c>
    </row>
    <row r="21" customFormat="false" ht="15" hidden="false" customHeight="false" outlineLevel="0" collapsed="false">
      <c r="A21" s="7" t="str">
        <f aca="false">IF(B21="","","S"&amp;TEXT(ROW()-4,"00"))</f>
        <v/>
      </c>
      <c r="B21" s="14"/>
      <c r="C21" s="14"/>
      <c r="D21" s="14"/>
      <c r="E21" s="14"/>
      <c r="F21" s="14"/>
      <c r="G21" s="14"/>
      <c r="H21" s="14"/>
      <c r="I21" s="14"/>
      <c r="J21" s="14"/>
      <c r="K21" s="14"/>
      <c r="L21" s="15"/>
      <c r="M21" s="15"/>
      <c r="N21" s="15"/>
      <c r="O21" s="15"/>
      <c r="P21" s="15"/>
      <c r="Q21" s="15"/>
      <c r="R21" s="16"/>
      <c r="S21" s="17"/>
      <c r="T21" s="17"/>
      <c r="U21" s="17"/>
      <c r="V21" s="18"/>
      <c r="W21" s="18"/>
      <c r="X21" s="18"/>
      <c r="Y21" s="17"/>
      <c r="Z21" s="17"/>
      <c r="AA21" s="17"/>
      <c r="AB21" s="17"/>
      <c r="AC21" s="17"/>
      <c r="AD21" s="17"/>
      <c r="AE21" s="17"/>
      <c r="AF21" s="17"/>
      <c r="AG21" s="17"/>
      <c r="AH21" s="14" t="str">
        <f aca="false">IF(B21="","",(R21&lt;=Budget)+(S21&lt;Deaths_Appetite)+(V21&lt;=Carbon_Budget)+(Y21=0)+(AB21&gt;=Recall_Target*100)+(AE21=0))</f>
        <v/>
      </c>
      <c r="AI21" s="14" t="str">
        <f aca="false">IF(B21="","",(R21&lt;=Budget)+(T21&lt;Deaths_Appetite)+(W21&lt;=Carbon_Budget)+(Z21=0)+(AC21&gt;=Recall_Target*100)+(AF21=0))</f>
        <v/>
      </c>
      <c r="AJ21" s="14" t="str">
        <f aca="false">IF(B21="","",(R21&lt;=Budget)+(U21&lt;Deaths_Appetite)+(X21&lt;=Carbon_Budget)+(AA21=0)+(AD21&gt;=Recall_Target*100)+(AG21=0))</f>
        <v/>
      </c>
    </row>
    <row r="22" customFormat="false" ht="15" hidden="false" customHeight="false" outlineLevel="0" collapsed="false">
      <c r="A22" s="7" t="str">
        <f aca="false">IF(B22="","","S"&amp;TEXT(ROW()-4,"00"))</f>
        <v/>
      </c>
      <c r="B22" s="14"/>
      <c r="C22" s="14"/>
      <c r="D22" s="14"/>
      <c r="E22" s="14"/>
      <c r="F22" s="14"/>
      <c r="G22" s="14"/>
      <c r="H22" s="14"/>
      <c r="I22" s="14"/>
      <c r="J22" s="14"/>
      <c r="K22" s="14"/>
      <c r="L22" s="15"/>
      <c r="M22" s="15"/>
      <c r="N22" s="15"/>
      <c r="O22" s="15"/>
      <c r="P22" s="15"/>
      <c r="Q22" s="15"/>
      <c r="R22" s="16"/>
      <c r="S22" s="17"/>
      <c r="T22" s="17"/>
      <c r="U22" s="17"/>
      <c r="V22" s="18"/>
      <c r="W22" s="18"/>
      <c r="X22" s="18"/>
      <c r="Y22" s="17"/>
      <c r="Z22" s="17"/>
      <c r="AA22" s="17"/>
      <c r="AB22" s="17"/>
      <c r="AC22" s="17"/>
      <c r="AD22" s="17"/>
      <c r="AE22" s="17"/>
      <c r="AF22" s="17"/>
      <c r="AG22" s="17"/>
      <c r="AH22" s="14" t="str">
        <f aca="false">IF(B22="","",(R22&lt;=Budget)+(S22&lt;Deaths_Appetite)+(V22&lt;=Carbon_Budget)+(Y22=0)+(AB22&gt;=Recall_Target*100)+(AE22=0))</f>
        <v/>
      </c>
      <c r="AI22" s="14" t="str">
        <f aca="false">IF(B22="","",(R22&lt;=Budget)+(T22&lt;Deaths_Appetite)+(W22&lt;=Carbon_Budget)+(Z22=0)+(AC22&gt;=Recall_Target*100)+(AF22=0))</f>
        <v/>
      </c>
      <c r="AJ22" s="14" t="str">
        <f aca="false">IF(B22="","",(R22&lt;=Budget)+(U22&lt;Deaths_Appetite)+(X22&lt;=Carbon_Budget)+(AA22=0)+(AD22&gt;=Recall_Target*100)+(AG22=0))</f>
        <v/>
      </c>
    </row>
    <row r="23" customFormat="false" ht="15" hidden="false" customHeight="false" outlineLevel="0" collapsed="false">
      <c r="A23" s="7" t="str">
        <f aca="false">IF(B23="","","S"&amp;TEXT(ROW()-4,"00"))</f>
        <v/>
      </c>
      <c r="B23" s="14"/>
      <c r="C23" s="14"/>
      <c r="D23" s="14"/>
      <c r="E23" s="14"/>
      <c r="F23" s="14"/>
      <c r="G23" s="14"/>
      <c r="H23" s="14"/>
      <c r="I23" s="14"/>
      <c r="J23" s="14"/>
      <c r="K23" s="14"/>
      <c r="L23" s="15"/>
      <c r="M23" s="15"/>
      <c r="N23" s="15"/>
      <c r="O23" s="15"/>
      <c r="P23" s="15"/>
      <c r="Q23" s="15"/>
      <c r="R23" s="16"/>
      <c r="S23" s="17"/>
      <c r="T23" s="17"/>
      <c r="U23" s="17"/>
      <c r="V23" s="18"/>
      <c r="W23" s="18"/>
      <c r="X23" s="18"/>
      <c r="Y23" s="17"/>
      <c r="Z23" s="17"/>
      <c r="AA23" s="17"/>
      <c r="AB23" s="17"/>
      <c r="AC23" s="17"/>
      <c r="AD23" s="17"/>
      <c r="AE23" s="17"/>
      <c r="AF23" s="17"/>
      <c r="AG23" s="17"/>
      <c r="AH23" s="14" t="str">
        <f aca="false">IF(B23="","",(R23&lt;=Budget)+(S23&lt;Deaths_Appetite)+(V23&lt;=Carbon_Budget)+(Y23=0)+(AB23&gt;=Recall_Target*100)+(AE23=0))</f>
        <v/>
      </c>
      <c r="AI23" s="14" t="str">
        <f aca="false">IF(B23="","",(R23&lt;=Budget)+(T23&lt;Deaths_Appetite)+(W23&lt;=Carbon_Budget)+(Z23=0)+(AC23&gt;=Recall_Target*100)+(AF23=0))</f>
        <v/>
      </c>
      <c r="AJ23" s="14" t="str">
        <f aca="false">IF(B23="","",(R23&lt;=Budget)+(U23&lt;Deaths_Appetite)+(X23&lt;=Carbon_Budget)+(AA23=0)+(AD23&gt;=Recall_Target*100)+(AG23=0))</f>
        <v/>
      </c>
    </row>
    <row r="24" customFormat="false" ht="15" hidden="false" customHeight="false" outlineLevel="0" collapsed="false">
      <c r="A24" s="7" t="str">
        <f aca="false">IF(B24="","","S"&amp;TEXT(ROW()-4,"00"))</f>
        <v/>
      </c>
      <c r="B24" s="14"/>
      <c r="C24" s="14"/>
      <c r="D24" s="14"/>
      <c r="E24" s="14"/>
      <c r="F24" s="14"/>
      <c r="G24" s="14"/>
      <c r="H24" s="14"/>
      <c r="I24" s="14"/>
      <c r="J24" s="14"/>
      <c r="K24" s="14"/>
      <c r="L24" s="15"/>
      <c r="M24" s="15"/>
      <c r="N24" s="15"/>
      <c r="O24" s="15"/>
      <c r="P24" s="15"/>
      <c r="Q24" s="15"/>
      <c r="R24" s="16"/>
      <c r="S24" s="17"/>
      <c r="T24" s="17"/>
      <c r="U24" s="17"/>
      <c r="V24" s="18"/>
      <c r="W24" s="18"/>
      <c r="X24" s="18"/>
      <c r="Y24" s="17"/>
      <c r="Z24" s="17"/>
      <c r="AA24" s="17"/>
      <c r="AB24" s="17"/>
      <c r="AC24" s="17"/>
      <c r="AD24" s="17"/>
      <c r="AE24" s="17"/>
      <c r="AF24" s="17"/>
      <c r="AG24" s="17"/>
      <c r="AH24" s="14" t="str">
        <f aca="false">IF(B24="","",(R24&lt;=Budget)+(S24&lt;Deaths_Appetite)+(V24&lt;=Carbon_Budget)+(Y24=0)+(AB24&gt;=Recall_Target*100)+(AE24=0))</f>
        <v/>
      </c>
      <c r="AI24" s="14" t="str">
        <f aca="false">IF(B24="","",(R24&lt;=Budget)+(T24&lt;Deaths_Appetite)+(W24&lt;=Carbon_Budget)+(Z24=0)+(AC24&gt;=Recall_Target*100)+(AF24=0))</f>
        <v/>
      </c>
      <c r="AJ24" s="14" t="str">
        <f aca="false">IF(B24="","",(R24&lt;=Budget)+(U24&lt;Deaths_Appetite)+(X24&lt;=Carbon_Budget)+(AA24=0)+(AD24&gt;=Recall_Target*100)+(AG24=0))</f>
        <v/>
      </c>
    </row>
    <row r="25" customFormat="false" ht="15" hidden="false" customHeight="false" outlineLevel="0" collapsed="false">
      <c r="A25" s="7" t="str">
        <f aca="false">IF(B25="","","S"&amp;TEXT(ROW()-4,"00"))</f>
        <v/>
      </c>
      <c r="B25" s="14"/>
      <c r="C25" s="14"/>
      <c r="D25" s="14"/>
      <c r="E25" s="14"/>
      <c r="F25" s="14"/>
      <c r="G25" s="14"/>
      <c r="H25" s="14"/>
      <c r="I25" s="14"/>
      <c r="J25" s="14"/>
      <c r="K25" s="14"/>
      <c r="L25" s="15"/>
      <c r="M25" s="15"/>
      <c r="N25" s="15"/>
      <c r="O25" s="15"/>
      <c r="P25" s="15"/>
      <c r="Q25" s="15"/>
      <c r="R25" s="16"/>
      <c r="S25" s="17"/>
      <c r="T25" s="17"/>
      <c r="U25" s="17"/>
      <c r="V25" s="18"/>
      <c r="W25" s="18"/>
      <c r="X25" s="18"/>
      <c r="Y25" s="17"/>
      <c r="Z25" s="17"/>
      <c r="AA25" s="17"/>
      <c r="AB25" s="17"/>
      <c r="AC25" s="17"/>
      <c r="AD25" s="17"/>
      <c r="AE25" s="17"/>
      <c r="AF25" s="17"/>
      <c r="AG25" s="17"/>
      <c r="AH25" s="14" t="str">
        <f aca="false">IF(B25="","",(R25&lt;=Budget)+(S25&lt;Deaths_Appetite)+(V25&lt;=Carbon_Budget)+(Y25=0)+(AB25&gt;=Recall_Target*100)+(AE25=0))</f>
        <v/>
      </c>
      <c r="AI25" s="14" t="str">
        <f aca="false">IF(B25="","",(R25&lt;=Budget)+(T25&lt;Deaths_Appetite)+(W25&lt;=Carbon_Budget)+(Z25=0)+(AC25&gt;=Recall_Target*100)+(AF25=0))</f>
        <v/>
      </c>
      <c r="AJ25" s="14" t="str">
        <f aca="false">IF(B25="","",(R25&lt;=Budget)+(U25&lt;Deaths_Appetite)+(X25&lt;=Carbon_Budget)+(AA25=0)+(AD25&gt;=Recall_Target*100)+(AG25=0))</f>
        <v/>
      </c>
    </row>
    <row r="26" customFormat="false" ht="15" hidden="false" customHeight="false" outlineLevel="0" collapsed="false">
      <c r="A26" s="7" t="str">
        <f aca="false">IF(B26="","","S"&amp;TEXT(ROW()-4,"00"))</f>
        <v/>
      </c>
      <c r="B26" s="14"/>
      <c r="C26" s="14"/>
      <c r="D26" s="14"/>
      <c r="E26" s="14"/>
      <c r="F26" s="14"/>
      <c r="G26" s="14"/>
      <c r="H26" s="14"/>
      <c r="I26" s="14"/>
      <c r="J26" s="14"/>
      <c r="K26" s="14"/>
      <c r="L26" s="15"/>
      <c r="M26" s="15"/>
      <c r="N26" s="15"/>
      <c r="O26" s="15"/>
      <c r="P26" s="15"/>
      <c r="Q26" s="15"/>
      <c r="R26" s="16"/>
      <c r="S26" s="17"/>
      <c r="T26" s="17"/>
      <c r="U26" s="17"/>
      <c r="V26" s="18"/>
      <c r="W26" s="18"/>
      <c r="X26" s="18"/>
      <c r="Y26" s="17"/>
      <c r="Z26" s="17"/>
      <c r="AA26" s="17"/>
      <c r="AB26" s="17"/>
      <c r="AC26" s="17"/>
      <c r="AD26" s="17"/>
      <c r="AE26" s="17"/>
      <c r="AF26" s="17"/>
      <c r="AG26" s="17"/>
      <c r="AH26" s="14" t="str">
        <f aca="false">IF(B26="","",(R26&lt;=Budget)+(S26&lt;Deaths_Appetite)+(V26&lt;=Carbon_Budget)+(Y26=0)+(AB26&gt;=Recall_Target*100)+(AE26=0))</f>
        <v/>
      </c>
      <c r="AI26" s="14" t="str">
        <f aca="false">IF(B26="","",(R26&lt;=Budget)+(T26&lt;Deaths_Appetite)+(W26&lt;=Carbon_Budget)+(Z26=0)+(AC26&gt;=Recall_Target*100)+(AF26=0))</f>
        <v/>
      </c>
      <c r="AJ26" s="14" t="str">
        <f aca="false">IF(B26="","",(R26&lt;=Budget)+(U26&lt;Deaths_Appetite)+(X26&lt;=Carbon_Budget)+(AA26=0)+(AD26&gt;=Recall_Target*100)+(AG26=0))</f>
        <v/>
      </c>
    </row>
    <row r="27" customFormat="false" ht="15" hidden="false" customHeight="false" outlineLevel="0" collapsed="false">
      <c r="A27" s="7" t="str">
        <f aca="false">IF(B27="","","S"&amp;TEXT(ROW()-4,"00"))</f>
        <v/>
      </c>
      <c r="B27" s="14"/>
      <c r="C27" s="14"/>
      <c r="D27" s="14"/>
      <c r="E27" s="14"/>
      <c r="F27" s="14"/>
      <c r="G27" s="14"/>
      <c r="H27" s="14"/>
      <c r="I27" s="14"/>
      <c r="J27" s="14"/>
      <c r="K27" s="14"/>
      <c r="L27" s="15"/>
      <c r="M27" s="15"/>
      <c r="N27" s="15"/>
      <c r="O27" s="15"/>
      <c r="P27" s="15"/>
      <c r="Q27" s="15"/>
      <c r="R27" s="16"/>
      <c r="S27" s="17"/>
      <c r="T27" s="17"/>
      <c r="U27" s="17"/>
      <c r="V27" s="18"/>
      <c r="W27" s="18"/>
      <c r="X27" s="18"/>
      <c r="Y27" s="17"/>
      <c r="Z27" s="17"/>
      <c r="AA27" s="17"/>
      <c r="AB27" s="17"/>
      <c r="AC27" s="17"/>
      <c r="AD27" s="17"/>
      <c r="AE27" s="17"/>
      <c r="AF27" s="17"/>
      <c r="AG27" s="17"/>
      <c r="AH27" s="14" t="str">
        <f aca="false">IF(B27="","",(R27&lt;=Budget)+(S27&lt;Deaths_Appetite)+(V27&lt;=Carbon_Budget)+(Y27=0)+(AB27&gt;=Recall_Target*100)+(AE27=0))</f>
        <v/>
      </c>
      <c r="AI27" s="14" t="str">
        <f aca="false">IF(B27="","",(R27&lt;=Budget)+(T27&lt;Deaths_Appetite)+(W27&lt;=Carbon_Budget)+(Z27=0)+(AC27&gt;=Recall_Target*100)+(AF27=0))</f>
        <v/>
      </c>
      <c r="AJ27" s="14" t="str">
        <f aca="false">IF(B27="","",(R27&lt;=Budget)+(U27&lt;Deaths_Appetite)+(X27&lt;=Carbon_Budget)+(AA27=0)+(AD27&gt;=Recall_Target*100)+(AG27=0))</f>
        <v/>
      </c>
    </row>
    <row r="28" customFormat="false" ht="15" hidden="false" customHeight="false" outlineLevel="0" collapsed="false">
      <c r="A28" s="7" t="str">
        <f aca="false">IF(B28="","","S"&amp;TEXT(ROW()-4,"00"))</f>
        <v/>
      </c>
      <c r="B28" s="14"/>
      <c r="C28" s="14"/>
      <c r="D28" s="14"/>
      <c r="E28" s="14"/>
      <c r="F28" s="14"/>
      <c r="G28" s="14"/>
      <c r="H28" s="14"/>
      <c r="I28" s="14"/>
      <c r="J28" s="14"/>
      <c r="K28" s="14"/>
      <c r="L28" s="15"/>
      <c r="M28" s="15"/>
      <c r="N28" s="15"/>
      <c r="O28" s="15"/>
      <c r="P28" s="15"/>
      <c r="Q28" s="15"/>
      <c r="R28" s="16"/>
      <c r="S28" s="17"/>
      <c r="T28" s="17"/>
      <c r="U28" s="17"/>
      <c r="V28" s="18"/>
      <c r="W28" s="18"/>
      <c r="X28" s="18"/>
      <c r="Y28" s="17"/>
      <c r="Z28" s="17"/>
      <c r="AA28" s="17"/>
      <c r="AB28" s="17"/>
      <c r="AC28" s="17"/>
      <c r="AD28" s="17"/>
      <c r="AE28" s="17"/>
      <c r="AF28" s="17"/>
      <c r="AG28" s="17"/>
      <c r="AH28" s="14" t="str">
        <f aca="false">IF(B28="","",(R28&lt;=Budget)+(S28&lt;Deaths_Appetite)+(V28&lt;=Carbon_Budget)+(Y28=0)+(AB28&gt;=Recall_Target*100)+(AE28=0))</f>
        <v/>
      </c>
      <c r="AI28" s="14" t="str">
        <f aca="false">IF(B28="","",(R28&lt;=Budget)+(T28&lt;Deaths_Appetite)+(W28&lt;=Carbon_Budget)+(Z28=0)+(AC28&gt;=Recall_Target*100)+(AF28=0))</f>
        <v/>
      </c>
      <c r="AJ28" s="14" t="str">
        <f aca="false">IF(B28="","",(R28&lt;=Budget)+(U28&lt;Deaths_Appetite)+(X28&lt;=Carbon_Budget)+(AA28=0)+(AD28&gt;=Recall_Target*100)+(AG28=0))</f>
        <v/>
      </c>
    </row>
    <row r="29" customFormat="false" ht="15" hidden="false" customHeight="false" outlineLevel="0" collapsed="false">
      <c r="A29" s="7" t="str">
        <f aca="false">IF(B29="","","S"&amp;TEXT(ROW()-4,"00"))</f>
        <v/>
      </c>
      <c r="B29" s="14"/>
      <c r="C29" s="14"/>
      <c r="D29" s="14"/>
      <c r="E29" s="14"/>
      <c r="F29" s="14"/>
      <c r="G29" s="14"/>
      <c r="H29" s="14"/>
      <c r="I29" s="14"/>
      <c r="J29" s="14"/>
      <c r="K29" s="14"/>
      <c r="L29" s="15"/>
      <c r="M29" s="15"/>
      <c r="N29" s="15"/>
      <c r="O29" s="15"/>
      <c r="P29" s="15"/>
      <c r="Q29" s="15"/>
      <c r="R29" s="16"/>
      <c r="S29" s="17"/>
      <c r="T29" s="17"/>
      <c r="U29" s="17"/>
      <c r="V29" s="18"/>
      <c r="W29" s="18"/>
      <c r="X29" s="18"/>
      <c r="Y29" s="17"/>
      <c r="Z29" s="17"/>
      <c r="AA29" s="17"/>
      <c r="AB29" s="17"/>
      <c r="AC29" s="17"/>
      <c r="AD29" s="17"/>
      <c r="AE29" s="17"/>
      <c r="AF29" s="17"/>
      <c r="AG29" s="17"/>
      <c r="AH29" s="14" t="str">
        <f aca="false">IF(B29="","",(R29&lt;=Budget)+(S29&lt;Deaths_Appetite)+(V29&lt;=Carbon_Budget)+(Y29=0)+(AB29&gt;=Recall_Target*100)+(AE29=0))</f>
        <v/>
      </c>
      <c r="AI29" s="14" t="str">
        <f aca="false">IF(B29="","",(R29&lt;=Budget)+(T29&lt;Deaths_Appetite)+(W29&lt;=Carbon_Budget)+(Z29=0)+(AC29&gt;=Recall_Target*100)+(AF29=0))</f>
        <v/>
      </c>
      <c r="AJ29" s="14" t="str">
        <f aca="false">IF(B29="","",(R29&lt;=Budget)+(U29&lt;Deaths_Appetite)+(X29&lt;=Carbon_Budget)+(AA29=0)+(AD29&gt;=Recall_Target*100)+(AG29=0))</f>
        <v/>
      </c>
    </row>
    <row r="30" customFormat="false" ht="15" hidden="false" customHeight="false" outlineLevel="0" collapsed="false">
      <c r="A30" s="7" t="str">
        <f aca="false">IF(B30="","","S"&amp;TEXT(ROW()-4,"00"))</f>
        <v/>
      </c>
      <c r="B30" s="14"/>
      <c r="C30" s="14"/>
      <c r="D30" s="14"/>
      <c r="E30" s="14"/>
      <c r="F30" s="14"/>
      <c r="G30" s="14"/>
      <c r="H30" s="14"/>
      <c r="I30" s="14"/>
      <c r="J30" s="14"/>
      <c r="K30" s="14"/>
      <c r="L30" s="15"/>
      <c r="M30" s="15"/>
      <c r="N30" s="15"/>
      <c r="O30" s="15"/>
      <c r="P30" s="15"/>
      <c r="Q30" s="15"/>
      <c r="R30" s="16"/>
      <c r="S30" s="17"/>
      <c r="T30" s="17"/>
      <c r="U30" s="17"/>
      <c r="V30" s="18"/>
      <c r="W30" s="18"/>
      <c r="X30" s="18"/>
      <c r="Y30" s="17"/>
      <c r="Z30" s="17"/>
      <c r="AA30" s="17"/>
      <c r="AB30" s="17"/>
      <c r="AC30" s="17"/>
      <c r="AD30" s="17"/>
      <c r="AE30" s="17"/>
      <c r="AF30" s="17"/>
      <c r="AG30" s="17"/>
      <c r="AH30" s="14" t="str">
        <f aca="false">IF(B30="","",(R30&lt;=Budget)+(S30&lt;Deaths_Appetite)+(V30&lt;=Carbon_Budget)+(Y30=0)+(AB30&gt;=Recall_Target*100)+(AE30=0))</f>
        <v/>
      </c>
      <c r="AI30" s="14" t="str">
        <f aca="false">IF(B30="","",(R30&lt;=Budget)+(T30&lt;Deaths_Appetite)+(W30&lt;=Carbon_Budget)+(Z30=0)+(AC30&gt;=Recall_Target*100)+(AF30=0))</f>
        <v/>
      </c>
      <c r="AJ30" s="14" t="str">
        <f aca="false">IF(B30="","",(R30&lt;=Budget)+(U30&lt;Deaths_Appetite)+(X30&lt;=Carbon_Budget)+(AA30=0)+(AD30&gt;=Recall_Target*100)+(AG30=0))</f>
        <v/>
      </c>
    </row>
    <row r="31" customFormat="false" ht="15" hidden="false" customHeight="false" outlineLevel="0" collapsed="false">
      <c r="A31" s="7" t="str">
        <f aca="false">IF(B31="","","S"&amp;TEXT(ROW()-4,"00"))</f>
        <v/>
      </c>
      <c r="B31" s="14"/>
      <c r="C31" s="14"/>
      <c r="D31" s="14"/>
      <c r="E31" s="14"/>
      <c r="F31" s="14"/>
      <c r="G31" s="14"/>
      <c r="H31" s="14"/>
      <c r="I31" s="14"/>
      <c r="J31" s="14"/>
      <c r="K31" s="14"/>
      <c r="L31" s="15"/>
      <c r="M31" s="15"/>
      <c r="N31" s="15"/>
      <c r="O31" s="15"/>
      <c r="P31" s="15"/>
      <c r="Q31" s="15"/>
      <c r="R31" s="16"/>
      <c r="S31" s="17"/>
      <c r="T31" s="17"/>
      <c r="U31" s="17"/>
      <c r="V31" s="18"/>
      <c r="W31" s="18"/>
      <c r="X31" s="18"/>
      <c r="Y31" s="17"/>
      <c r="Z31" s="17"/>
      <c r="AA31" s="17"/>
      <c r="AB31" s="17"/>
      <c r="AC31" s="17"/>
      <c r="AD31" s="17"/>
      <c r="AE31" s="17"/>
      <c r="AF31" s="17"/>
      <c r="AG31" s="17"/>
      <c r="AH31" s="14" t="str">
        <f aca="false">IF(B31="","",(R31&lt;=Budget)+(S31&lt;Deaths_Appetite)+(V31&lt;=Carbon_Budget)+(Y31=0)+(AB31&gt;=Recall_Target*100)+(AE31=0))</f>
        <v/>
      </c>
      <c r="AI31" s="14" t="str">
        <f aca="false">IF(B31="","",(R31&lt;=Budget)+(T31&lt;Deaths_Appetite)+(W31&lt;=Carbon_Budget)+(Z31=0)+(AC31&gt;=Recall_Target*100)+(AF31=0))</f>
        <v/>
      </c>
      <c r="AJ31" s="14" t="str">
        <f aca="false">IF(B31="","",(R31&lt;=Budget)+(U31&lt;Deaths_Appetite)+(X31&lt;=Carbon_Budget)+(AA31=0)+(AD31&gt;=Recall_Target*100)+(AG31=0))</f>
        <v/>
      </c>
    </row>
    <row r="32" customFormat="false" ht="15" hidden="false" customHeight="false" outlineLevel="0" collapsed="false">
      <c r="A32" s="7" t="str">
        <f aca="false">IF(B32="","","S"&amp;TEXT(ROW()-4,"00"))</f>
        <v/>
      </c>
      <c r="B32" s="14"/>
      <c r="C32" s="14"/>
      <c r="D32" s="14"/>
      <c r="E32" s="14"/>
      <c r="F32" s="14"/>
      <c r="G32" s="14"/>
      <c r="H32" s="14"/>
      <c r="I32" s="14"/>
      <c r="J32" s="14"/>
      <c r="K32" s="14"/>
      <c r="L32" s="15"/>
      <c r="M32" s="15"/>
      <c r="N32" s="15"/>
      <c r="O32" s="15"/>
      <c r="P32" s="15"/>
      <c r="Q32" s="15"/>
      <c r="R32" s="16"/>
      <c r="S32" s="17"/>
      <c r="T32" s="17"/>
      <c r="U32" s="17"/>
      <c r="V32" s="18"/>
      <c r="W32" s="18"/>
      <c r="X32" s="18"/>
      <c r="Y32" s="17"/>
      <c r="Z32" s="17"/>
      <c r="AA32" s="17"/>
      <c r="AB32" s="17"/>
      <c r="AC32" s="17"/>
      <c r="AD32" s="17"/>
      <c r="AE32" s="17"/>
      <c r="AF32" s="17"/>
      <c r="AG32" s="17"/>
      <c r="AH32" s="14" t="str">
        <f aca="false">IF(B32="","",(R32&lt;=Budget)+(S32&lt;Deaths_Appetite)+(V32&lt;=Carbon_Budget)+(Y32=0)+(AB32&gt;=Recall_Target*100)+(AE32=0))</f>
        <v/>
      </c>
      <c r="AI32" s="14" t="str">
        <f aca="false">IF(B32="","",(R32&lt;=Budget)+(T32&lt;Deaths_Appetite)+(W32&lt;=Carbon_Budget)+(Z32=0)+(AC32&gt;=Recall_Target*100)+(AF32=0))</f>
        <v/>
      </c>
      <c r="AJ32" s="14" t="str">
        <f aca="false">IF(B32="","",(R32&lt;=Budget)+(U32&lt;Deaths_Appetite)+(X32&lt;=Carbon_Budget)+(AA32=0)+(AD32&gt;=Recall_Target*100)+(AG32=0))</f>
        <v/>
      </c>
    </row>
    <row r="33" customFormat="false" ht="15" hidden="false" customHeight="false" outlineLevel="0" collapsed="false">
      <c r="A33" s="7" t="str">
        <f aca="false">IF(B33="","","S"&amp;TEXT(ROW()-4,"00"))</f>
        <v/>
      </c>
      <c r="B33" s="14"/>
      <c r="C33" s="14"/>
      <c r="D33" s="14"/>
      <c r="E33" s="14"/>
      <c r="F33" s="14"/>
      <c r="G33" s="14"/>
      <c r="H33" s="14"/>
      <c r="I33" s="14"/>
      <c r="J33" s="14"/>
      <c r="K33" s="14"/>
      <c r="L33" s="15"/>
      <c r="M33" s="15"/>
      <c r="N33" s="15"/>
      <c r="O33" s="15"/>
      <c r="P33" s="15"/>
      <c r="Q33" s="15"/>
      <c r="R33" s="16"/>
      <c r="S33" s="17"/>
      <c r="T33" s="17"/>
      <c r="U33" s="17"/>
      <c r="V33" s="18"/>
      <c r="W33" s="18"/>
      <c r="X33" s="18"/>
      <c r="Y33" s="17"/>
      <c r="Z33" s="17"/>
      <c r="AA33" s="17"/>
      <c r="AB33" s="17"/>
      <c r="AC33" s="17"/>
      <c r="AD33" s="17"/>
      <c r="AE33" s="17"/>
      <c r="AF33" s="17"/>
      <c r="AG33" s="17"/>
      <c r="AH33" s="14" t="str">
        <f aca="false">IF(B33="","",(R33&lt;=Budget)+(S33&lt;Deaths_Appetite)+(V33&lt;=Carbon_Budget)+(Y33=0)+(AB33&gt;=Recall_Target*100)+(AE33=0))</f>
        <v/>
      </c>
      <c r="AI33" s="14" t="str">
        <f aca="false">IF(B33="","",(R33&lt;=Budget)+(T33&lt;Deaths_Appetite)+(W33&lt;=Carbon_Budget)+(Z33=0)+(AC33&gt;=Recall_Target*100)+(AF33=0))</f>
        <v/>
      </c>
      <c r="AJ33" s="14" t="str">
        <f aca="false">IF(B33="","",(R33&lt;=Budget)+(U33&lt;Deaths_Appetite)+(X33&lt;=Carbon_Budget)+(AA33=0)+(AD33&gt;=Recall_Target*100)+(AG33=0))</f>
        <v/>
      </c>
    </row>
    <row r="34" customFormat="false" ht="15" hidden="false" customHeight="false" outlineLevel="0" collapsed="false">
      <c r="A34" s="7" t="str">
        <f aca="false">IF(B34="","","S"&amp;TEXT(ROW()-4,"00"))</f>
        <v/>
      </c>
      <c r="B34" s="14"/>
      <c r="C34" s="14"/>
      <c r="D34" s="14"/>
      <c r="E34" s="14"/>
      <c r="F34" s="14"/>
      <c r="G34" s="14"/>
      <c r="H34" s="14"/>
      <c r="I34" s="14"/>
      <c r="J34" s="14"/>
      <c r="K34" s="14"/>
      <c r="L34" s="15"/>
      <c r="M34" s="15"/>
      <c r="N34" s="15"/>
      <c r="O34" s="15"/>
      <c r="P34" s="15"/>
      <c r="Q34" s="15"/>
      <c r="R34" s="16"/>
      <c r="S34" s="17"/>
      <c r="T34" s="17"/>
      <c r="U34" s="17"/>
      <c r="V34" s="18"/>
      <c r="W34" s="18"/>
      <c r="X34" s="18"/>
      <c r="Y34" s="17"/>
      <c r="Z34" s="17"/>
      <c r="AA34" s="17"/>
      <c r="AB34" s="17"/>
      <c r="AC34" s="17"/>
      <c r="AD34" s="17"/>
      <c r="AE34" s="17"/>
      <c r="AF34" s="17"/>
      <c r="AG34" s="17"/>
      <c r="AH34" s="14" t="str">
        <f aca="false">IF(B34="","",(R34&lt;=Budget)+(S34&lt;Deaths_Appetite)+(V34&lt;=Carbon_Budget)+(Y34=0)+(AB34&gt;=Recall_Target*100)+(AE34=0))</f>
        <v/>
      </c>
      <c r="AI34" s="14" t="str">
        <f aca="false">IF(B34="","",(R34&lt;=Budget)+(T34&lt;Deaths_Appetite)+(W34&lt;=Carbon_Budget)+(Z34=0)+(AC34&gt;=Recall_Target*100)+(AF34=0))</f>
        <v/>
      </c>
      <c r="AJ34" s="14" t="str">
        <f aca="false">IF(B34="","",(R34&lt;=Budget)+(U34&lt;Deaths_Appetite)+(X34&lt;=Carbon_Budget)+(AA34=0)+(AD34&gt;=Recall_Target*100)+(AG34=0))</f>
        <v/>
      </c>
    </row>
    <row r="35" customFormat="false" ht="15" hidden="false" customHeight="false" outlineLevel="0" collapsed="false">
      <c r="A35" s="7" t="str">
        <f aca="false">IF(B35="","","S"&amp;TEXT(ROW()-4,"00"))</f>
        <v/>
      </c>
      <c r="B35" s="14"/>
      <c r="C35" s="14"/>
      <c r="D35" s="14"/>
      <c r="E35" s="14"/>
      <c r="F35" s="14"/>
      <c r="G35" s="14"/>
      <c r="H35" s="14"/>
      <c r="I35" s="14"/>
      <c r="J35" s="14"/>
      <c r="K35" s="14"/>
      <c r="L35" s="15"/>
      <c r="M35" s="15"/>
      <c r="N35" s="15"/>
      <c r="O35" s="15"/>
      <c r="P35" s="15"/>
      <c r="Q35" s="15"/>
      <c r="R35" s="16"/>
      <c r="S35" s="17"/>
      <c r="T35" s="17"/>
      <c r="U35" s="17"/>
      <c r="V35" s="18"/>
      <c r="W35" s="18"/>
      <c r="X35" s="18"/>
      <c r="Y35" s="17"/>
      <c r="Z35" s="17"/>
      <c r="AA35" s="17"/>
      <c r="AB35" s="17"/>
      <c r="AC35" s="17"/>
      <c r="AD35" s="17"/>
      <c r="AE35" s="17"/>
      <c r="AF35" s="17"/>
      <c r="AG35" s="17"/>
      <c r="AH35" s="14" t="str">
        <f aca="false">IF(B35="","",(R35&lt;=Budget)+(S35&lt;Deaths_Appetite)+(V35&lt;=Carbon_Budget)+(Y35=0)+(AB35&gt;=Recall_Target*100)+(AE35=0))</f>
        <v/>
      </c>
      <c r="AI35" s="14" t="str">
        <f aca="false">IF(B35="","",(R35&lt;=Budget)+(T35&lt;Deaths_Appetite)+(W35&lt;=Carbon_Budget)+(Z35=0)+(AC35&gt;=Recall_Target*100)+(AF35=0))</f>
        <v/>
      </c>
      <c r="AJ35" s="14" t="str">
        <f aca="false">IF(B35="","",(R35&lt;=Budget)+(U35&lt;Deaths_Appetite)+(X35&lt;=Carbon_Budget)+(AA35=0)+(AD35&gt;=Recall_Target*100)+(AG35=0))</f>
        <v/>
      </c>
    </row>
    <row r="36" customFormat="false" ht="15" hidden="false" customHeight="false" outlineLevel="0" collapsed="false">
      <c r="A36" s="7" t="str">
        <f aca="false">IF(B36="","","S"&amp;TEXT(ROW()-4,"00"))</f>
        <v/>
      </c>
      <c r="B36" s="14"/>
      <c r="C36" s="14"/>
      <c r="D36" s="14"/>
      <c r="E36" s="14"/>
      <c r="F36" s="14"/>
      <c r="G36" s="14"/>
      <c r="H36" s="14"/>
      <c r="I36" s="14"/>
      <c r="J36" s="14"/>
      <c r="K36" s="14"/>
      <c r="L36" s="15"/>
      <c r="M36" s="15"/>
      <c r="N36" s="15"/>
      <c r="O36" s="15"/>
      <c r="P36" s="15"/>
      <c r="Q36" s="15"/>
      <c r="R36" s="16"/>
      <c r="S36" s="17"/>
      <c r="T36" s="17"/>
      <c r="U36" s="17"/>
      <c r="V36" s="18"/>
      <c r="W36" s="18"/>
      <c r="X36" s="18"/>
      <c r="Y36" s="17"/>
      <c r="Z36" s="17"/>
      <c r="AA36" s="17"/>
      <c r="AB36" s="17"/>
      <c r="AC36" s="17"/>
      <c r="AD36" s="17"/>
      <c r="AE36" s="17"/>
      <c r="AF36" s="17"/>
      <c r="AG36" s="17"/>
      <c r="AH36" s="14" t="str">
        <f aca="false">IF(B36="","",(R36&lt;=Budget)+(S36&lt;Deaths_Appetite)+(V36&lt;=Carbon_Budget)+(Y36=0)+(AB36&gt;=Recall_Target*100)+(AE36=0))</f>
        <v/>
      </c>
      <c r="AI36" s="14" t="str">
        <f aca="false">IF(B36="","",(R36&lt;=Budget)+(T36&lt;Deaths_Appetite)+(W36&lt;=Carbon_Budget)+(Z36=0)+(AC36&gt;=Recall_Target*100)+(AF36=0))</f>
        <v/>
      </c>
      <c r="AJ36" s="14" t="str">
        <f aca="false">IF(B36="","",(R36&lt;=Budget)+(U36&lt;Deaths_Appetite)+(X36&lt;=Carbon_Budget)+(AA36=0)+(AD36&gt;=Recall_Target*100)+(AG36=0))</f>
        <v/>
      </c>
    </row>
    <row r="37" customFormat="false" ht="15" hidden="false" customHeight="false" outlineLevel="0" collapsed="false">
      <c r="A37" s="7" t="str">
        <f aca="false">IF(B37="","","S"&amp;TEXT(ROW()-4,"00"))</f>
        <v/>
      </c>
      <c r="B37" s="14"/>
      <c r="C37" s="14"/>
      <c r="D37" s="14"/>
      <c r="E37" s="14"/>
      <c r="F37" s="14"/>
      <c r="G37" s="14"/>
      <c r="H37" s="14"/>
      <c r="I37" s="14"/>
      <c r="J37" s="14"/>
      <c r="K37" s="14"/>
      <c r="L37" s="15"/>
      <c r="M37" s="15"/>
      <c r="N37" s="15"/>
      <c r="O37" s="15"/>
      <c r="P37" s="15"/>
      <c r="Q37" s="15"/>
      <c r="R37" s="16"/>
      <c r="S37" s="17"/>
      <c r="T37" s="17"/>
      <c r="U37" s="17"/>
      <c r="V37" s="18"/>
      <c r="W37" s="18"/>
      <c r="X37" s="18"/>
      <c r="Y37" s="17"/>
      <c r="Z37" s="17"/>
      <c r="AA37" s="17"/>
      <c r="AB37" s="17"/>
      <c r="AC37" s="17"/>
      <c r="AD37" s="17"/>
      <c r="AE37" s="17"/>
      <c r="AF37" s="17"/>
      <c r="AG37" s="17"/>
      <c r="AH37" s="14" t="str">
        <f aca="false">IF(B37="","",(R37&lt;=Budget)+(S37&lt;Deaths_Appetite)+(V37&lt;=Carbon_Budget)+(Y37=0)+(AB37&gt;=Recall_Target*100)+(AE37=0))</f>
        <v/>
      </c>
      <c r="AI37" s="14" t="str">
        <f aca="false">IF(B37="","",(R37&lt;=Budget)+(T37&lt;Deaths_Appetite)+(W37&lt;=Carbon_Budget)+(Z37=0)+(AC37&gt;=Recall_Target*100)+(AF37=0))</f>
        <v/>
      </c>
      <c r="AJ37" s="14" t="str">
        <f aca="false">IF(B37="","",(R37&lt;=Budget)+(U37&lt;Deaths_Appetite)+(X37&lt;=Carbon_Budget)+(AA37=0)+(AD37&gt;=Recall_Target*100)+(AG37=0))</f>
        <v/>
      </c>
    </row>
    <row r="38" customFormat="false" ht="15" hidden="false" customHeight="false" outlineLevel="0" collapsed="false">
      <c r="A38" s="7" t="str">
        <f aca="false">IF(B38="","","S"&amp;TEXT(ROW()-4,"00"))</f>
        <v/>
      </c>
      <c r="B38" s="14"/>
      <c r="C38" s="14"/>
      <c r="D38" s="14"/>
      <c r="E38" s="14"/>
      <c r="F38" s="14"/>
      <c r="G38" s="14"/>
      <c r="H38" s="14"/>
      <c r="I38" s="14"/>
      <c r="J38" s="14"/>
      <c r="K38" s="14"/>
      <c r="L38" s="15"/>
      <c r="M38" s="15"/>
      <c r="N38" s="15"/>
      <c r="O38" s="15"/>
      <c r="P38" s="15"/>
      <c r="Q38" s="15"/>
      <c r="R38" s="16"/>
      <c r="S38" s="17"/>
      <c r="T38" s="17"/>
      <c r="U38" s="17"/>
      <c r="V38" s="18"/>
      <c r="W38" s="18"/>
      <c r="X38" s="18"/>
      <c r="Y38" s="17"/>
      <c r="Z38" s="17"/>
      <c r="AA38" s="17"/>
      <c r="AB38" s="17"/>
      <c r="AC38" s="17"/>
      <c r="AD38" s="17"/>
      <c r="AE38" s="17"/>
      <c r="AF38" s="17"/>
      <c r="AG38" s="17"/>
      <c r="AH38" s="14" t="str">
        <f aca="false">IF(B38="","",(R38&lt;=Budget)+(S38&lt;Deaths_Appetite)+(V38&lt;=Carbon_Budget)+(Y38=0)+(AB38&gt;=Recall_Target*100)+(AE38=0))</f>
        <v/>
      </c>
      <c r="AI38" s="14" t="str">
        <f aca="false">IF(B38="","",(R38&lt;=Budget)+(T38&lt;Deaths_Appetite)+(W38&lt;=Carbon_Budget)+(Z38=0)+(AC38&gt;=Recall_Target*100)+(AF38=0))</f>
        <v/>
      </c>
      <c r="AJ38" s="14" t="str">
        <f aca="false">IF(B38="","",(R38&lt;=Budget)+(U38&lt;Deaths_Appetite)+(X38&lt;=Carbon_Budget)+(AA38=0)+(AD38&gt;=Recall_Target*100)+(AG38=0))</f>
        <v/>
      </c>
    </row>
    <row r="39" customFormat="false" ht="15" hidden="false" customHeight="false" outlineLevel="0" collapsed="false">
      <c r="A39" s="7" t="str">
        <f aca="false">IF(B39="","","S"&amp;TEXT(ROW()-4,"00"))</f>
        <v/>
      </c>
      <c r="B39" s="14"/>
      <c r="C39" s="14"/>
      <c r="D39" s="14"/>
      <c r="E39" s="14"/>
      <c r="F39" s="14"/>
      <c r="G39" s="14"/>
      <c r="H39" s="14"/>
      <c r="I39" s="14"/>
      <c r="J39" s="14"/>
      <c r="K39" s="14"/>
      <c r="L39" s="15"/>
      <c r="M39" s="15"/>
      <c r="N39" s="15"/>
      <c r="O39" s="15"/>
      <c r="P39" s="15"/>
      <c r="Q39" s="15"/>
      <c r="R39" s="16"/>
      <c r="S39" s="17"/>
      <c r="T39" s="17"/>
      <c r="U39" s="17"/>
      <c r="V39" s="18"/>
      <c r="W39" s="18"/>
      <c r="X39" s="18"/>
      <c r="Y39" s="17"/>
      <c r="Z39" s="17"/>
      <c r="AA39" s="17"/>
      <c r="AB39" s="17"/>
      <c r="AC39" s="17"/>
      <c r="AD39" s="17"/>
      <c r="AE39" s="17"/>
      <c r="AF39" s="17"/>
      <c r="AG39" s="17"/>
      <c r="AH39" s="14" t="str">
        <f aca="false">IF(B39="","",(R39&lt;=Budget)+(S39&lt;Deaths_Appetite)+(V39&lt;=Carbon_Budget)+(Y39=0)+(AB39&gt;=Recall_Target*100)+(AE39=0))</f>
        <v/>
      </c>
      <c r="AI39" s="14" t="str">
        <f aca="false">IF(B39="","",(R39&lt;=Budget)+(T39&lt;Deaths_Appetite)+(W39&lt;=Carbon_Budget)+(Z39=0)+(AC39&gt;=Recall_Target*100)+(AF39=0))</f>
        <v/>
      </c>
      <c r="AJ39" s="14" t="str">
        <f aca="false">IF(B39="","",(R39&lt;=Budget)+(U39&lt;Deaths_Appetite)+(X39&lt;=Carbon_Budget)+(AA39=0)+(AD39&gt;=Recall_Target*100)+(AG39=0))</f>
        <v/>
      </c>
    </row>
    <row r="40" customFormat="false" ht="15" hidden="false" customHeight="false" outlineLevel="0" collapsed="false">
      <c r="A40" s="7" t="str">
        <f aca="false">IF(B40="","","S"&amp;TEXT(ROW()-4,"00"))</f>
        <v/>
      </c>
      <c r="B40" s="14"/>
      <c r="C40" s="14"/>
      <c r="D40" s="14"/>
      <c r="E40" s="14"/>
      <c r="F40" s="14"/>
      <c r="G40" s="14"/>
      <c r="H40" s="14"/>
      <c r="I40" s="14"/>
      <c r="J40" s="14"/>
      <c r="K40" s="14"/>
      <c r="L40" s="15"/>
      <c r="M40" s="15"/>
      <c r="N40" s="15"/>
      <c r="O40" s="15"/>
      <c r="P40" s="15"/>
      <c r="Q40" s="15"/>
      <c r="R40" s="16"/>
      <c r="S40" s="17"/>
      <c r="T40" s="17"/>
      <c r="U40" s="17"/>
      <c r="V40" s="18"/>
      <c r="W40" s="18"/>
      <c r="X40" s="18"/>
      <c r="Y40" s="17"/>
      <c r="Z40" s="17"/>
      <c r="AA40" s="17"/>
      <c r="AB40" s="17"/>
      <c r="AC40" s="17"/>
      <c r="AD40" s="17"/>
      <c r="AE40" s="17"/>
      <c r="AF40" s="17"/>
      <c r="AG40" s="17"/>
      <c r="AH40" s="14" t="str">
        <f aca="false">IF(B40="","",(R40&lt;=Budget)+(S40&lt;Deaths_Appetite)+(V40&lt;=Carbon_Budget)+(Y40=0)+(AB40&gt;=Recall_Target*100)+(AE40=0))</f>
        <v/>
      </c>
      <c r="AI40" s="14" t="str">
        <f aca="false">IF(B40="","",(R40&lt;=Budget)+(T40&lt;Deaths_Appetite)+(W40&lt;=Carbon_Budget)+(Z40=0)+(AC40&gt;=Recall_Target*100)+(AF40=0))</f>
        <v/>
      </c>
      <c r="AJ40" s="14" t="str">
        <f aca="false">IF(B40="","",(R40&lt;=Budget)+(U40&lt;Deaths_Appetite)+(X40&lt;=Carbon_Budget)+(AA40=0)+(AD40&gt;=Recall_Target*100)+(AG40=0))</f>
        <v/>
      </c>
    </row>
    <row r="41" customFormat="false" ht="15" hidden="false" customHeight="false" outlineLevel="0" collapsed="false">
      <c r="A41" s="7" t="str">
        <f aca="false">IF(B41="","","S"&amp;TEXT(ROW()-4,"00"))</f>
        <v/>
      </c>
      <c r="B41" s="14"/>
      <c r="C41" s="14"/>
      <c r="D41" s="14"/>
      <c r="E41" s="14"/>
      <c r="F41" s="14"/>
      <c r="G41" s="14"/>
      <c r="H41" s="14"/>
      <c r="I41" s="14"/>
      <c r="J41" s="14"/>
      <c r="K41" s="14"/>
      <c r="L41" s="15"/>
      <c r="M41" s="15"/>
      <c r="N41" s="15"/>
      <c r="O41" s="15"/>
      <c r="P41" s="15"/>
      <c r="Q41" s="15"/>
      <c r="R41" s="16"/>
      <c r="S41" s="17"/>
      <c r="T41" s="17"/>
      <c r="U41" s="17"/>
      <c r="V41" s="18"/>
      <c r="W41" s="18"/>
      <c r="X41" s="18"/>
      <c r="Y41" s="17"/>
      <c r="Z41" s="17"/>
      <c r="AA41" s="17"/>
      <c r="AB41" s="17"/>
      <c r="AC41" s="17"/>
      <c r="AD41" s="17"/>
      <c r="AE41" s="17"/>
      <c r="AF41" s="17"/>
      <c r="AG41" s="17"/>
      <c r="AH41" s="14" t="str">
        <f aca="false">IF(B41="","",(R41&lt;=Budget)+(S41&lt;Deaths_Appetite)+(V41&lt;=Carbon_Budget)+(Y41=0)+(AB41&gt;=Recall_Target*100)+(AE41=0))</f>
        <v/>
      </c>
      <c r="AI41" s="14" t="str">
        <f aca="false">IF(B41="","",(R41&lt;=Budget)+(T41&lt;Deaths_Appetite)+(W41&lt;=Carbon_Budget)+(Z41=0)+(AC41&gt;=Recall_Target*100)+(AF41=0))</f>
        <v/>
      </c>
      <c r="AJ41" s="14" t="str">
        <f aca="false">IF(B41="","",(R41&lt;=Budget)+(U41&lt;Deaths_Appetite)+(X41&lt;=Carbon_Budget)+(AA41=0)+(AD41&gt;=Recall_Target*100)+(AG41=0))</f>
        <v/>
      </c>
    </row>
    <row r="42" customFormat="false" ht="15" hidden="false" customHeight="false" outlineLevel="0" collapsed="false">
      <c r="A42" s="7" t="str">
        <f aca="false">IF(B42="","","S"&amp;TEXT(ROW()-4,"00"))</f>
        <v/>
      </c>
      <c r="B42" s="14"/>
      <c r="C42" s="14"/>
      <c r="D42" s="14"/>
      <c r="E42" s="14"/>
      <c r="F42" s="14"/>
      <c r="G42" s="14"/>
      <c r="H42" s="14"/>
      <c r="I42" s="14"/>
      <c r="J42" s="14"/>
      <c r="K42" s="14"/>
      <c r="L42" s="15"/>
      <c r="M42" s="15"/>
      <c r="N42" s="15"/>
      <c r="O42" s="15"/>
      <c r="P42" s="15"/>
      <c r="Q42" s="15"/>
      <c r="R42" s="16"/>
      <c r="S42" s="17"/>
      <c r="T42" s="17"/>
      <c r="U42" s="17"/>
      <c r="V42" s="18"/>
      <c r="W42" s="18"/>
      <c r="X42" s="18"/>
      <c r="Y42" s="17"/>
      <c r="Z42" s="17"/>
      <c r="AA42" s="17"/>
      <c r="AB42" s="17"/>
      <c r="AC42" s="17"/>
      <c r="AD42" s="17"/>
      <c r="AE42" s="17"/>
      <c r="AF42" s="17"/>
      <c r="AG42" s="17"/>
      <c r="AH42" s="14" t="str">
        <f aca="false">IF(B42="","",(R42&lt;=Budget)+(S42&lt;Deaths_Appetite)+(V42&lt;=Carbon_Budget)+(Y42=0)+(AB42&gt;=Recall_Target*100)+(AE42=0))</f>
        <v/>
      </c>
      <c r="AI42" s="14" t="str">
        <f aca="false">IF(B42="","",(R42&lt;=Budget)+(T42&lt;Deaths_Appetite)+(W42&lt;=Carbon_Budget)+(Z42=0)+(AC42&gt;=Recall_Target*100)+(AF42=0))</f>
        <v/>
      </c>
      <c r="AJ42" s="14" t="str">
        <f aca="false">IF(B42="","",(R42&lt;=Budget)+(U42&lt;Deaths_Appetite)+(X42&lt;=Carbon_Budget)+(AA42=0)+(AD42&gt;=Recall_Target*100)+(AG42=0))</f>
        <v/>
      </c>
    </row>
    <row r="43" customFormat="false" ht="15" hidden="false" customHeight="false" outlineLevel="0" collapsed="false">
      <c r="A43" s="7" t="str">
        <f aca="false">IF(B43="","","S"&amp;TEXT(ROW()-4,"00"))</f>
        <v/>
      </c>
      <c r="B43" s="14"/>
      <c r="C43" s="14"/>
      <c r="D43" s="14"/>
      <c r="E43" s="14"/>
      <c r="F43" s="14"/>
      <c r="G43" s="14"/>
      <c r="H43" s="14"/>
      <c r="I43" s="14"/>
      <c r="J43" s="14"/>
      <c r="K43" s="14"/>
      <c r="L43" s="15"/>
      <c r="M43" s="15"/>
      <c r="N43" s="15"/>
      <c r="O43" s="15"/>
      <c r="P43" s="15"/>
      <c r="Q43" s="15"/>
      <c r="R43" s="16"/>
      <c r="S43" s="17"/>
      <c r="T43" s="17"/>
      <c r="U43" s="17"/>
      <c r="V43" s="18"/>
      <c r="W43" s="18"/>
      <c r="X43" s="18"/>
      <c r="Y43" s="17"/>
      <c r="Z43" s="17"/>
      <c r="AA43" s="17"/>
      <c r="AB43" s="17"/>
      <c r="AC43" s="17"/>
      <c r="AD43" s="17"/>
      <c r="AE43" s="17"/>
      <c r="AF43" s="17"/>
      <c r="AG43" s="17"/>
      <c r="AH43" s="14" t="str">
        <f aca="false">IF(B43="","",(R43&lt;=Budget)+(S43&lt;Deaths_Appetite)+(V43&lt;=Carbon_Budget)+(Y43=0)+(AB43&gt;=Recall_Target*100)+(AE43=0))</f>
        <v/>
      </c>
      <c r="AI43" s="14" t="str">
        <f aca="false">IF(B43="","",(R43&lt;=Budget)+(T43&lt;Deaths_Appetite)+(W43&lt;=Carbon_Budget)+(Z43=0)+(AC43&gt;=Recall_Target*100)+(AF43=0))</f>
        <v/>
      </c>
      <c r="AJ43" s="14" t="str">
        <f aca="false">IF(B43="","",(R43&lt;=Budget)+(U43&lt;Deaths_Appetite)+(X43&lt;=Carbon_Budget)+(AA43=0)+(AD43&gt;=Recall_Target*100)+(AG43=0))</f>
        <v/>
      </c>
    </row>
    <row r="44" customFormat="false" ht="15" hidden="false" customHeight="false" outlineLevel="0" collapsed="false">
      <c r="A44" s="7" t="str">
        <f aca="false">IF(B44="","","S"&amp;TEXT(ROW()-4,"00"))</f>
        <v/>
      </c>
      <c r="B44" s="14"/>
      <c r="C44" s="14"/>
      <c r="D44" s="14"/>
      <c r="E44" s="14"/>
      <c r="F44" s="14"/>
      <c r="G44" s="14"/>
      <c r="H44" s="14"/>
      <c r="I44" s="14"/>
      <c r="J44" s="14"/>
      <c r="K44" s="14"/>
      <c r="L44" s="15"/>
      <c r="M44" s="15"/>
      <c r="N44" s="15"/>
      <c r="O44" s="15"/>
      <c r="P44" s="15"/>
      <c r="Q44" s="15"/>
      <c r="R44" s="16"/>
      <c r="S44" s="17"/>
      <c r="T44" s="17"/>
      <c r="U44" s="17"/>
      <c r="V44" s="18"/>
      <c r="W44" s="18"/>
      <c r="X44" s="18"/>
      <c r="Y44" s="17"/>
      <c r="Z44" s="17"/>
      <c r="AA44" s="17"/>
      <c r="AB44" s="17"/>
      <c r="AC44" s="17"/>
      <c r="AD44" s="17"/>
      <c r="AE44" s="17"/>
      <c r="AF44" s="17"/>
      <c r="AG44" s="17"/>
      <c r="AH44" s="14" t="str">
        <f aca="false">IF(B44="","",(R44&lt;=Budget)+(S44&lt;Deaths_Appetite)+(V44&lt;=Carbon_Budget)+(Y44=0)+(AB44&gt;=Recall_Target*100)+(AE44=0))</f>
        <v/>
      </c>
      <c r="AI44" s="14" t="str">
        <f aca="false">IF(B44="","",(R44&lt;=Budget)+(T44&lt;Deaths_Appetite)+(W44&lt;=Carbon_Budget)+(Z44=0)+(AC44&gt;=Recall_Target*100)+(AF44=0))</f>
        <v/>
      </c>
      <c r="AJ44" s="14" t="str">
        <f aca="false">IF(B44="","",(R44&lt;=Budget)+(U44&lt;Deaths_Appetite)+(X44&lt;=Carbon_Budget)+(AA44=0)+(AD44&gt;=Recall_Target*100)+(AG44=0))</f>
        <v/>
      </c>
    </row>
    <row r="45" customFormat="false" ht="15" hidden="false" customHeight="false" outlineLevel="0" collapsed="false">
      <c r="A45" s="7" t="str">
        <f aca="false">IF(B45="","","S"&amp;TEXT(ROW()-4,"00"))</f>
        <v/>
      </c>
      <c r="B45" s="14"/>
      <c r="C45" s="14"/>
      <c r="D45" s="14"/>
      <c r="E45" s="14"/>
      <c r="F45" s="14"/>
      <c r="G45" s="14"/>
      <c r="H45" s="14"/>
      <c r="I45" s="14"/>
      <c r="J45" s="14"/>
      <c r="K45" s="14"/>
      <c r="L45" s="15"/>
      <c r="M45" s="15"/>
      <c r="N45" s="15"/>
      <c r="O45" s="15"/>
      <c r="P45" s="15"/>
      <c r="Q45" s="15"/>
      <c r="R45" s="16"/>
      <c r="S45" s="17"/>
      <c r="T45" s="17"/>
      <c r="U45" s="17"/>
      <c r="V45" s="18"/>
      <c r="W45" s="18"/>
      <c r="X45" s="18"/>
      <c r="Y45" s="17"/>
      <c r="Z45" s="17"/>
      <c r="AA45" s="17"/>
      <c r="AB45" s="17"/>
      <c r="AC45" s="17"/>
      <c r="AD45" s="17"/>
      <c r="AE45" s="17"/>
      <c r="AF45" s="17"/>
      <c r="AG45" s="17"/>
      <c r="AH45" s="14" t="str">
        <f aca="false">IF(B45="","",(R45&lt;=Budget)+(S45&lt;Deaths_Appetite)+(V45&lt;=Carbon_Budget)+(Y45=0)+(AB45&gt;=Recall_Target*100)+(AE45=0))</f>
        <v/>
      </c>
      <c r="AI45" s="14" t="str">
        <f aca="false">IF(B45="","",(R45&lt;=Budget)+(T45&lt;Deaths_Appetite)+(W45&lt;=Carbon_Budget)+(Z45=0)+(AC45&gt;=Recall_Target*100)+(AF45=0))</f>
        <v/>
      </c>
      <c r="AJ45" s="14" t="str">
        <f aca="false">IF(B45="","",(R45&lt;=Budget)+(U45&lt;Deaths_Appetite)+(X45&lt;=Carbon_Budget)+(AA45=0)+(AD45&gt;=Recall_Target*100)+(AG45=0))</f>
        <v/>
      </c>
    </row>
    <row r="46" customFormat="false" ht="15" hidden="false" customHeight="false" outlineLevel="0" collapsed="false">
      <c r="A46" s="7" t="str">
        <f aca="false">IF(B46="","","S"&amp;TEXT(ROW()-4,"00"))</f>
        <v/>
      </c>
      <c r="B46" s="14"/>
      <c r="C46" s="14"/>
      <c r="D46" s="14"/>
      <c r="E46" s="14"/>
      <c r="F46" s="14"/>
      <c r="G46" s="14"/>
      <c r="H46" s="14"/>
      <c r="I46" s="14"/>
      <c r="J46" s="14"/>
      <c r="K46" s="14"/>
      <c r="L46" s="15"/>
      <c r="M46" s="15"/>
      <c r="N46" s="15"/>
      <c r="O46" s="15"/>
      <c r="P46" s="15"/>
      <c r="Q46" s="15"/>
      <c r="R46" s="16"/>
      <c r="S46" s="17"/>
      <c r="T46" s="17"/>
      <c r="U46" s="17"/>
      <c r="V46" s="18"/>
      <c r="W46" s="18"/>
      <c r="X46" s="18"/>
      <c r="Y46" s="17"/>
      <c r="Z46" s="17"/>
      <c r="AA46" s="17"/>
      <c r="AB46" s="17"/>
      <c r="AC46" s="17"/>
      <c r="AD46" s="17"/>
      <c r="AE46" s="17"/>
      <c r="AF46" s="17"/>
      <c r="AG46" s="17"/>
      <c r="AH46" s="14" t="str">
        <f aca="false">IF(B46="","",(R46&lt;=Budget)+(S46&lt;Deaths_Appetite)+(V46&lt;=Carbon_Budget)+(Y46=0)+(AB46&gt;=Recall_Target*100)+(AE46=0))</f>
        <v/>
      </c>
      <c r="AI46" s="14" t="str">
        <f aca="false">IF(B46="","",(R46&lt;=Budget)+(T46&lt;Deaths_Appetite)+(W46&lt;=Carbon_Budget)+(Z46=0)+(AC46&gt;=Recall_Target*100)+(AF46=0))</f>
        <v/>
      </c>
      <c r="AJ46" s="14" t="str">
        <f aca="false">IF(B46="","",(R46&lt;=Budget)+(U46&lt;Deaths_Appetite)+(X46&lt;=Carbon_Budget)+(AA46=0)+(AD46&gt;=Recall_Target*100)+(AG46=0))</f>
        <v/>
      </c>
    </row>
    <row r="47" customFormat="false" ht="15" hidden="false" customHeight="false" outlineLevel="0" collapsed="false">
      <c r="A47" s="7" t="str">
        <f aca="false">IF(B47="","","S"&amp;TEXT(ROW()-4,"00"))</f>
        <v/>
      </c>
      <c r="B47" s="14"/>
      <c r="C47" s="14"/>
      <c r="D47" s="14"/>
      <c r="E47" s="14"/>
      <c r="F47" s="14"/>
      <c r="G47" s="14"/>
      <c r="H47" s="14"/>
      <c r="I47" s="14"/>
      <c r="J47" s="14"/>
      <c r="K47" s="14"/>
      <c r="L47" s="15"/>
      <c r="M47" s="15"/>
      <c r="N47" s="15"/>
      <c r="O47" s="15"/>
      <c r="P47" s="15"/>
      <c r="Q47" s="15"/>
      <c r="R47" s="16"/>
      <c r="S47" s="17"/>
      <c r="T47" s="17"/>
      <c r="U47" s="17"/>
      <c r="V47" s="18"/>
      <c r="W47" s="18"/>
      <c r="X47" s="18"/>
      <c r="Y47" s="17"/>
      <c r="Z47" s="17"/>
      <c r="AA47" s="17"/>
      <c r="AB47" s="17"/>
      <c r="AC47" s="17"/>
      <c r="AD47" s="17"/>
      <c r="AE47" s="17"/>
      <c r="AF47" s="17"/>
      <c r="AG47" s="17"/>
      <c r="AH47" s="14" t="str">
        <f aca="false">IF(B47="","",(R47&lt;=Budget)+(S47&lt;Deaths_Appetite)+(V47&lt;=Carbon_Budget)+(Y47=0)+(AB47&gt;=Recall_Target*100)+(AE47=0))</f>
        <v/>
      </c>
      <c r="AI47" s="14" t="str">
        <f aca="false">IF(B47="","",(R47&lt;=Budget)+(T47&lt;Deaths_Appetite)+(W47&lt;=Carbon_Budget)+(Z47=0)+(AC47&gt;=Recall_Target*100)+(AF47=0))</f>
        <v/>
      </c>
      <c r="AJ47" s="14" t="str">
        <f aca="false">IF(B47="","",(R47&lt;=Budget)+(U47&lt;Deaths_Appetite)+(X47&lt;=Carbon_Budget)+(AA47=0)+(AD47&gt;=Recall_Target*100)+(AG47=0))</f>
        <v/>
      </c>
    </row>
    <row r="48" customFormat="false" ht="15" hidden="false" customHeight="false" outlineLevel="0" collapsed="false">
      <c r="A48" s="7" t="str">
        <f aca="false">IF(B48="","","S"&amp;TEXT(ROW()-4,"00"))</f>
        <v/>
      </c>
      <c r="B48" s="14"/>
      <c r="C48" s="14"/>
      <c r="D48" s="14"/>
      <c r="E48" s="14"/>
      <c r="F48" s="14"/>
      <c r="G48" s="14"/>
      <c r="H48" s="14"/>
      <c r="I48" s="14"/>
      <c r="J48" s="14"/>
      <c r="K48" s="14"/>
      <c r="L48" s="15"/>
      <c r="M48" s="15"/>
      <c r="N48" s="15"/>
      <c r="O48" s="15"/>
      <c r="P48" s="15"/>
      <c r="Q48" s="15"/>
      <c r="R48" s="16"/>
      <c r="S48" s="17"/>
      <c r="T48" s="17"/>
      <c r="U48" s="17"/>
      <c r="V48" s="18"/>
      <c r="W48" s="18"/>
      <c r="X48" s="18"/>
      <c r="Y48" s="17"/>
      <c r="Z48" s="17"/>
      <c r="AA48" s="17"/>
      <c r="AB48" s="17"/>
      <c r="AC48" s="17"/>
      <c r="AD48" s="17"/>
      <c r="AE48" s="17"/>
      <c r="AF48" s="17"/>
      <c r="AG48" s="17"/>
      <c r="AH48" s="14" t="str">
        <f aca="false">IF(B48="","",(R48&lt;=Budget)+(S48&lt;Deaths_Appetite)+(V48&lt;=Carbon_Budget)+(Y48=0)+(AB48&gt;=Recall_Target*100)+(AE48=0))</f>
        <v/>
      </c>
      <c r="AI48" s="14" t="str">
        <f aca="false">IF(B48="","",(R48&lt;=Budget)+(T48&lt;Deaths_Appetite)+(W48&lt;=Carbon_Budget)+(Z48=0)+(AC48&gt;=Recall_Target*100)+(AF48=0))</f>
        <v/>
      </c>
      <c r="AJ48" s="14" t="str">
        <f aca="false">IF(B48="","",(R48&lt;=Budget)+(U48&lt;Deaths_Appetite)+(X48&lt;=Carbon_Budget)+(AA48=0)+(AD48&gt;=Recall_Target*100)+(AG48=0))</f>
        <v/>
      </c>
    </row>
    <row r="49" customFormat="false" ht="15" hidden="false" customHeight="false" outlineLevel="0" collapsed="false">
      <c r="A49" s="7" t="str">
        <f aca="false">IF(B49="","","S"&amp;TEXT(ROW()-4,"00"))</f>
        <v/>
      </c>
      <c r="B49" s="14"/>
      <c r="C49" s="14"/>
      <c r="D49" s="14"/>
      <c r="E49" s="14"/>
      <c r="F49" s="14"/>
      <c r="G49" s="14"/>
      <c r="H49" s="14"/>
      <c r="I49" s="14"/>
      <c r="J49" s="14"/>
      <c r="K49" s="14"/>
      <c r="L49" s="15"/>
      <c r="M49" s="15"/>
      <c r="N49" s="15"/>
      <c r="O49" s="15"/>
      <c r="P49" s="15"/>
      <c r="Q49" s="15"/>
      <c r="R49" s="16"/>
      <c r="S49" s="17"/>
      <c r="T49" s="17"/>
      <c r="U49" s="17"/>
      <c r="V49" s="18"/>
      <c r="W49" s="18"/>
      <c r="X49" s="18"/>
      <c r="Y49" s="17"/>
      <c r="Z49" s="17"/>
      <c r="AA49" s="17"/>
      <c r="AB49" s="17"/>
      <c r="AC49" s="17"/>
      <c r="AD49" s="17"/>
      <c r="AE49" s="17"/>
      <c r="AF49" s="17"/>
      <c r="AG49" s="17"/>
      <c r="AH49" s="14" t="str">
        <f aca="false">IF(B49="","",(R49&lt;=Budget)+(S49&lt;Deaths_Appetite)+(V49&lt;=Carbon_Budget)+(Y49=0)+(AB49&gt;=Recall_Target*100)+(AE49=0))</f>
        <v/>
      </c>
      <c r="AI49" s="14" t="str">
        <f aca="false">IF(B49="","",(R49&lt;=Budget)+(T49&lt;Deaths_Appetite)+(W49&lt;=Carbon_Budget)+(Z49=0)+(AC49&gt;=Recall_Target*100)+(AF49=0))</f>
        <v/>
      </c>
      <c r="AJ49" s="14" t="str">
        <f aca="false">IF(B49="","",(R49&lt;=Budget)+(U49&lt;Deaths_Appetite)+(X49&lt;=Carbon_Budget)+(AA49=0)+(AD49&gt;=Recall_Target*100)+(AG49=0))</f>
        <v/>
      </c>
    </row>
    <row r="50" customFormat="false" ht="15" hidden="false" customHeight="false" outlineLevel="0" collapsed="false">
      <c r="A50" s="7" t="str">
        <f aca="false">IF(B50="","","S"&amp;TEXT(ROW()-4,"00"))</f>
        <v/>
      </c>
      <c r="B50" s="14"/>
      <c r="C50" s="14"/>
      <c r="D50" s="14"/>
      <c r="E50" s="14"/>
      <c r="F50" s="14"/>
      <c r="G50" s="14"/>
      <c r="H50" s="14"/>
      <c r="I50" s="14"/>
      <c r="J50" s="14"/>
      <c r="K50" s="14"/>
      <c r="L50" s="15"/>
      <c r="M50" s="15"/>
      <c r="N50" s="15"/>
      <c r="O50" s="15"/>
      <c r="P50" s="15"/>
      <c r="Q50" s="15"/>
      <c r="R50" s="16"/>
      <c r="S50" s="17"/>
      <c r="T50" s="17"/>
      <c r="U50" s="17"/>
      <c r="V50" s="18"/>
      <c r="W50" s="18"/>
      <c r="X50" s="18"/>
      <c r="Y50" s="17"/>
      <c r="Z50" s="17"/>
      <c r="AA50" s="17"/>
      <c r="AB50" s="17"/>
      <c r="AC50" s="17"/>
      <c r="AD50" s="17"/>
      <c r="AE50" s="17"/>
      <c r="AF50" s="17"/>
      <c r="AG50" s="17"/>
      <c r="AH50" s="14" t="str">
        <f aca="false">IF(B50="","",(R50&lt;=Budget)+(S50&lt;Deaths_Appetite)+(V50&lt;=Carbon_Budget)+(Y50=0)+(AB50&gt;=Recall_Target*100)+(AE50=0))</f>
        <v/>
      </c>
      <c r="AI50" s="14" t="str">
        <f aca="false">IF(B50="","",(R50&lt;=Budget)+(T50&lt;Deaths_Appetite)+(W50&lt;=Carbon_Budget)+(Z50=0)+(AC50&gt;=Recall_Target*100)+(AF50=0))</f>
        <v/>
      </c>
      <c r="AJ50" s="14" t="str">
        <f aca="false">IF(B50="","",(R50&lt;=Budget)+(U50&lt;Deaths_Appetite)+(X50&lt;=Carbon_Budget)+(AA50=0)+(AD50&gt;=Recall_Target*100)+(AG50=0))</f>
        <v/>
      </c>
    </row>
    <row r="51" customFormat="false" ht="15" hidden="false" customHeight="false" outlineLevel="0" collapsed="false">
      <c r="A51" s="7" t="str">
        <f aca="false">IF(B51="","","S"&amp;TEXT(ROW()-4,"00"))</f>
        <v/>
      </c>
      <c r="B51" s="14"/>
      <c r="C51" s="14"/>
      <c r="D51" s="14"/>
      <c r="E51" s="14"/>
      <c r="F51" s="14"/>
      <c r="G51" s="14"/>
      <c r="H51" s="14"/>
      <c r="I51" s="14"/>
      <c r="J51" s="14"/>
      <c r="K51" s="14"/>
      <c r="L51" s="15"/>
      <c r="M51" s="15"/>
      <c r="N51" s="15"/>
      <c r="O51" s="15"/>
      <c r="P51" s="15"/>
      <c r="Q51" s="15"/>
      <c r="R51" s="16"/>
      <c r="S51" s="17"/>
      <c r="T51" s="17"/>
      <c r="U51" s="17"/>
      <c r="V51" s="18"/>
      <c r="W51" s="18"/>
      <c r="X51" s="18"/>
      <c r="Y51" s="17"/>
      <c r="Z51" s="17"/>
      <c r="AA51" s="17"/>
      <c r="AB51" s="17"/>
      <c r="AC51" s="17"/>
      <c r="AD51" s="17"/>
      <c r="AE51" s="17"/>
      <c r="AF51" s="17"/>
      <c r="AG51" s="17"/>
      <c r="AH51" s="14" t="str">
        <f aca="false">IF(B51="","",(R51&lt;=Budget)+(S51&lt;Deaths_Appetite)+(V51&lt;=Carbon_Budget)+(Y51=0)+(AB51&gt;=Recall_Target*100)+(AE51=0))</f>
        <v/>
      </c>
      <c r="AI51" s="14" t="str">
        <f aca="false">IF(B51="","",(R51&lt;=Budget)+(T51&lt;Deaths_Appetite)+(W51&lt;=Carbon_Budget)+(Z51=0)+(AC51&gt;=Recall_Target*100)+(AF51=0))</f>
        <v/>
      </c>
      <c r="AJ51" s="14" t="str">
        <f aca="false">IF(B51="","",(R51&lt;=Budget)+(U51&lt;Deaths_Appetite)+(X51&lt;=Carbon_Budget)+(AA51=0)+(AD51&gt;=Recall_Target*100)+(AG51=0))</f>
        <v/>
      </c>
    </row>
    <row r="52" customFormat="false" ht="15" hidden="false" customHeight="false" outlineLevel="0" collapsed="false">
      <c r="A52" s="7" t="str">
        <f aca="false">IF(B52="","","S"&amp;TEXT(ROW()-4,"00"))</f>
        <v/>
      </c>
      <c r="B52" s="14"/>
      <c r="C52" s="14"/>
      <c r="D52" s="14"/>
      <c r="E52" s="14"/>
      <c r="F52" s="14"/>
      <c r="G52" s="14"/>
      <c r="H52" s="14"/>
      <c r="I52" s="14"/>
      <c r="J52" s="14"/>
      <c r="K52" s="14"/>
      <c r="L52" s="15"/>
      <c r="M52" s="15"/>
      <c r="N52" s="15"/>
      <c r="O52" s="15"/>
      <c r="P52" s="15"/>
      <c r="Q52" s="15"/>
      <c r="R52" s="16"/>
      <c r="S52" s="17"/>
      <c r="T52" s="17"/>
      <c r="U52" s="17"/>
      <c r="V52" s="18"/>
      <c r="W52" s="18"/>
      <c r="X52" s="18"/>
      <c r="Y52" s="17"/>
      <c r="Z52" s="17"/>
      <c r="AA52" s="17"/>
      <c r="AB52" s="17"/>
      <c r="AC52" s="17"/>
      <c r="AD52" s="17"/>
      <c r="AE52" s="17"/>
      <c r="AF52" s="17"/>
      <c r="AG52" s="17"/>
      <c r="AH52" s="14" t="str">
        <f aca="false">IF(B52="","",(R52&lt;=Budget)+(S52&lt;Deaths_Appetite)+(V52&lt;=Carbon_Budget)+(Y52=0)+(AB52&gt;=Recall_Target*100)+(AE52=0))</f>
        <v/>
      </c>
      <c r="AI52" s="14" t="str">
        <f aca="false">IF(B52="","",(R52&lt;=Budget)+(T52&lt;Deaths_Appetite)+(W52&lt;=Carbon_Budget)+(Z52=0)+(AC52&gt;=Recall_Target*100)+(AF52=0))</f>
        <v/>
      </c>
      <c r="AJ52" s="14" t="str">
        <f aca="false">IF(B52="","",(R52&lt;=Budget)+(U52&lt;Deaths_Appetite)+(X52&lt;=Carbon_Budget)+(AA52=0)+(AD52&gt;=Recall_Target*100)+(AG52=0))</f>
        <v/>
      </c>
    </row>
    <row r="53" customFormat="false" ht="15" hidden="false" customHeight="false" outlineLevel="0" collapsed="false">
      <c r="A53" s="7" t="str">
        <f aca="false">IF(B53="","","S"&amp;TEXT(ROW()-4,"00"))</f>
        <v/>
      </c>
      <c r="B53" s="14"/>
      <c r="C53" s="14"/>
      <c r="D53" s="14"/>
      <c r="E53" s="14"/>
      <c r="F53" s="14"/>
      <c r="G53" s="14"/>
      <c r="H53" s="14"/>
      <c r="I53" s="14"/>
      <c r="J53" s="14"/>
      <c r="K53" s="14"/>
      <c r="L53" s="15"/>
      <c r="M53" s="15"/>
      <c r="N53" s="15"/>
      <c r="O53" s="15"/>
      <c r="P53" s="15"/>
      <c r="Q53" s="15"/>
      <c r="R53" s="16"/>
      <c r="S53" s="17"/>
      <c r="T53" s="17"/>
      <c r="U53" s="17"/>
      <c r="V53" s="18"/>
      <c r="W53" s="18"/>
      <c r="X53" s="18"/>
      <c r="Y53" s="17"/>
      <c r="Z53" s="17"/>
      <c r="AA53" s="17"/>
      <c r="AB53" s="17"/>
      <c r="AC53" s="17"/>
      <c r="AD53" s="17"/>
      <c r="AE53" s="17"/>
      <c r="AF53" s="17"/>
      <c r="AG53" s="17"/>
      <c r="AH53" s="14" t="str">
        <f aca="false">IF(B53="","",(R53&lt;=Budget)+(S53&lt;Deaths_Appetite)+(V53&lt;=Carbon_Budget)+(Y53=0)+(AB53&gt;=Recall_Target*100)+(AE53=0))</f>
        <v/>
      </c>
      <c r="AI53" s="14" t="str">
        <f aca="false">IF(B53="","",(R53&lt;=Budget)+(T53&lt;Deaths_Appetite)+(W53&lt;=Carbon_Budget)+(Z53=0)+(AC53&gt;=Recall_Target*100)+(AF53=0))</f>
        <v/>
      </c>
      <c r="AJ53" s="14" t="str">
        <f aca="false">IF(B53="","",(R53&lt;=Budget)+(U53&lt;Deaths_Appetite)+(X53&lt;=Carbon_Budget)+(AA53=0)+(AD53&gt;=Recall_Target*100)+(AG53=0))</f>
        <v/>
      </c>
    </row>
    <row r="54" customFormat="false" ht="15" hidden="false" customHeight="false" outlineLevel="0" collapsed="false">
      <c r="A54" s="7" t="str">
        <f aca="false">IF(B54="","","S"&amp;TEXT(ROW()-4,"00"))</f>
        <v/>
      </c>
      <c r="B54" s="14"/>
      <c r="C54" s="14"/>
      <c r="D54" s="14"/>
      <c r="E54" s="14"/>
      <c r="F54" s="14"/>
      <c r="G54" s="14"/>
      <c r="H54" s="14"/>
      <c r="I54" s="14"/>
      <c r="J54" s="14"/>
      <c r="K54" s="14"/>
      <c r="L54" s="15"/>
      <c r="M54" s="15"/>
      <c r="N54" s="15"/>
      <c r="O54" s="15"/>
      <c r="P54" s="15"/>
      <c r="Q54" s="15"/>
      <c r="R54" s="16"/>
      <c r="S54" s="17"/>
      <c r="T54" s="17"/>
      <c r="U54" s="17"/>
      <c r="V54" s="18"/>
      <c r="W54" s="18"/>
      <c r="X54" s="18"/>
      <c r="Y54" s="17"/>
      <c r="Z54" s="17"/>
      <c r="AA54" s="17"/>
      <c r="AB54" s="17"/>
      <c r="AC54" s="17"/>
      <c r="AD54" s="17"/>
      <c r="AE54" s="17"/>
      <c r="AF54" s="17"/>
      <c r="AG54" s="17"/>
      <c r="AH54" s="14" t="str">
        <f aca="false">IF(B54="","",(R54&lt;=Budget)+(S54&lt;Deaths_Appetite)+(V54&lt;=Carbon_Budget)+(Y54=0)+(AB54&gt;=Recall_Target*100)+(AE54=0))</f>
        <v/>
      </c>
      <c r="AI54" s="14" t="str">
        <f aca="false">IF(B54="","",(R54&lt;=Budget)+(T54&lt;Deaths_Appetite)+(W54&lt;=Carbon_Budget)+(Z54=0)+(AC54&gt;=Recall_Target*100)+(AF54=0))</f>
        <v/>
      </c>
      <c r="AJ54" s="14" t="str">
        <f aca="false">IF(B54="","",(R54&lt;=Budget)+(U54&lt;Deaths_Appetite)+(X54&lt;=Carbon_Budget)+(AA54=0)+(AD54&gt;=Recall_Target*100)+(AG54=0))</f>
        <v/>
      </c>
    </row>
    <row r="55" customFormat="false" ht="15" hidden="false" customHeight="false" outlineLevel="0" collapsed="false">
      <c r="A55" s="7" t="str">
        <f aca="false">IF(B55="","","S"&amp;TEXT(ROW()-4,"00"))</f>
        <v/>
      </c>
      <c r="B55" s="14"/>
      <c r="C55" s="14"/>
      <c r="D55" s="14"/>
      <c r="E55" s="14"/>
      <c r="F55" s="14"/>
      <c r="G55" s="14"/>
      <c r="H55" s="14"/>
      <c r="I55" s="14"/>
      <c r="J55" s="14"/>
      <c r="K55" s="14"/>
      <c r="L55" s="15"/>
      <c r="M55" s="15"/>
      <c r="N55" s="15"/>
      <c r="O55" s="15"/>
      <c r="P55" s="15"/>
      <c r="Q55" s="15"/>
      <c r="R55" s="16"/>
      <c r="S55" s="17"/>
      <c r="T55" s="17"/>
      <c r="U55" s="17"/>
      <c r="V55" s="18"/>
      <c r="W55" s="18"/>
      <c r="X55" s="18"/>
      <c r="Y55" s="17"/>
      <c r="Z55" s="17"/>
      <c r="AA55" s="17"/>
      <c r="AB55" s="17"/>
      <c r="AC55" s="17"/>
      <c r="AD55" s="17"/>
      <c r="AE55" s="17"/>
      <c r="AF55" s="17"/>
      <c r="AG55" s="17"/>
      <c r="AH55" s="14" t="str">
        <f aca="false">IF(B55="","",(R55&lt;=Budget)+(S55&lt;Deaths_Appetite)+(V55&lt;=Carbon_Budget)+(Y55=0)+(AB55&gt;=Recall_Target*100)+(AE55=0))</f>
        <v/>
      </c>
      <c r="AI55" s="14" t="str">
        <f aca="false">IF(B55="","",(R55&lt;=Budget)+(T55&lt;Deaths_Appetite)+(W55&lt;=Carbon_Budget)+(Z55=0)+(AC55&gt;=Recall_Target*100)+(AF55=0))</f>
        <v/>
      </c>
      <c r="AJ55" s="14" t="str">
        <f aca="false">IF(B55="","",(R55&lt;=Budget)+(U55&lt;Deaths_Appetite)+(X55&lt;=Carbon_Budget)+(AA55=0)+(AD55&gt;=Recall_Target*100)+(AG55=0))</f>
        <v/>
      </c>
    </row>
    <row r="56" customFormat="false" ht="15" hidden="false" customHeight="false" outlineLevel="0" collapsed="false">
      <c r="A56" s="7" t="str">
        <f aca="false">IF(B56="","","S"&amp;TEXT(ROW()-4,"00"))</f>
        <v/>
      </c>
      <c r="B56" s="14"/>
      <c r="C56" s="14"/>
      <c r="D56" s="14"/>
      <c r="E56" s="14"/>
      <c r="F56" s="14"/>
      <c r="G56" s="14"/>
      <c r="H56" s="14"/>
      <c r="I56" s="14"/>
      <c r="J56" s="14"/>
      <c r="K56" s="14"/>
      <c r="L56" s="15"/>
      <c r="M56" s="15"/>
      <c r="N56" s="15"/>
      <c r="O56" s="15"/>
      <c r="P56" s="15"/>
      <c r="Q56" s="15"/>
      <c r="R56" s="16"/>
      <c r="S56" s="17"/>
      <c r="T56" s="17"/>
      <c r="U56" s="17"/>
      <c r="V56" s="18"/>
      <c r="W56" s="18"/>
      <c r="X56" s="18"/>
      <c r="Y56" s="17"/>
      <c r="Z56" s="17"/>
      <c r="AA56" s="17"/>
      <c r="AB56" s="17"/>
      <c r="AC56" s="17"/>
      <c r="AD56" s="17"/>
      <c r="AE56" s="17"/>
      <c r="AF56" s="17"/>
      <c r="AG56" s="17"/>
      <c r="AH56" s="14" t="str">
        <f aca="false">IF(B56="","",(R56&lt;=Budget)+(S56&lt;Deaths_Appetite)+(V56&lt;=Carbon_Budget)+(Y56=0)+(AB56&gt;=Recall_Target*100)+(AE56=0))</f>
        <v/>
      </c>
      <c r="AI56" s="14" t="str">
        <f aca="false">IF(B56="","",(R56&lt;=Budget)+(T56&lt;Deaths_Appetite)+(W56&lt;=Carbon_Budget)+(Z56=0)+(AC56&gt;=Recall_Target*100)+(AF56=0))</f>
        <v/>
      </c>
      <c r="AJ56" s="14" t="str">
        <f aca="false">IF(B56="","",(R56&lt;=Budget)+(U56&lt;Deaths_Appetite)+(X56&lt;=Carbon_Budget)+(AA56=0)+(AD56&gt;=Recall_Target*100)+(AG56=0))</f>
        <v/>
      </c>
    </row>
    <row r="57" customFormat="false" ht="15" hidden="false" customHeight="false" outlineLevel="0" collapsed="false">
      <c r="A57" s="7" t="str">
        <f aca="false">IF(B57="","","S"&amp;TEXT(ROW()-4,"00"))</f>
        <v/>
      </c>
      <c r="B57" s="14"/>
      <c r="C57" s="14"/>
      <c r="D57" s="14"/>
      <c r="E57" s="14"/>
      <c r="F57" s="14"/>
      <c r="G57" s="14"/>
      <c r="H57" s="14"/>
      <c r="I57" s="14"/>
      <c r="J57" s="14"/>
      <c r="K57" s="14"/>
      <c r="L57" s="15"/>
      <c r="M57" s="15"/>
      <c r="N57" s="15"/>
      <c r="O57" s="15"/>
      <c r="P57" s="15"/>
      <c r="Q57" s="15"/>
      <c r="R57" s="16"/>
      <c r="S57" s="17"/>
      <c r="T57" s="17"/>
      <c r="U57" s="17"/>
      <c r="V57" s="18"/>
      <c r="W57" s="18"/>
      <c r="X57" s="18"/>
      <c r="Y57" s="17"/>
      <c r="Z57" s="17"/>
      <c r="AA57" s="17"/>
      <c r="AB57" s="17"/>
      <c r="AC57" s="17"/>
      <c r="AD57" s="17"/>
      <c r="AE57" s="17"/>
      <c r="AF57" s="17"/>
      <c r="AG57" s="17"/>
      <c r="AH57" s="14" t="str">
        <f aca="false">IF(B57="","",(R57&lt;=Budget)+(S57&lt;Deaths_Appetite)+(V57&lt;=Carbon_Budget)+(Y57=0)+(AB57&gt;=Recall_Target*100)+(AE57=0))</f>
        <v/>
      </c>
      <c r="AI57" s="14" t="str">
        <f aca="false">IF(B57="","",(R57&lt;=Budget)+(T57&lt;Deaths_Appetite)+(W57&lt;=Carbon_Budget)+(Z57=0)+(AC57&gt;=Recall_Target*100)+(AF57=0))</f>
        <v/>
      </c>
      <c r="AJ57" s="14" t="str">
        <f aca="false">IF(B57="","",(R57&lt;=Budget)+(U57&lt;Deaths_Appetite)+(X57&lt;=Carbon_Budget)+(AA57=0)+(AD57&gt;=Recall_Target*100)+(AG57=0))</f>
        <v/>
      </c>
    </row>
    <row r="58" customFormat="false" ht="15" hidden="false" customHeight="false" outlineLevel="0" collapsed="false">
      <c r="A58" s="7" t="str">
        <f aca="false">IF(B58="","","S"&amp;TEXT(ROW()-4,"00"))</f>
        <v/>
      </c>
      <c r="B58" s="14"/>
      <c r="C58" s="14"/>
      <c r="D58" s="14"/>
      <c r="E58" s="14"/>
      <c r="F58" s="14"/>
      <c r="G58" s="14"/>
      <c r="H58" s="14"/>
      <c r="I58" s="14"/>
      <c r="J58" s="14"/>
      <c r="K58" s="14"/>
      <c r="L58" s="15"/>
      <c r="M58" s="15"/>
      <c r="N58" s="15"/>
      <c r="O58" s="15"/>
      <c r="P58" s="15"/>
      <c r="Q58" s="15"/>
      <c r="R58" s="16"/>
      <c r="S58" s="17"/>
      <c r="T58" s="17"/>
      <c r="U58" s="17"/>
      <c r="V58" s="18"/>
      <c r="W58" s="18"/>
      <c r="X58" s="18"/>
      <c r="Y58" s="17"/>
      <c r="Z58" s="17"/>
      <c r="AA58" s="17"/>
      <c r="AB58" s="17"/>
      <c r="AC58" s="17"/>
      <c r="AD58" s="17"/>
      <c r="AE58" s="17"/>
      <c r="AF58" s="17"/>
      <c r="AG58" s="17"/>
      <c r="AH58" s="14" t="str">
        <f aca="false">IF(B58="","",(R58&lt;=Budget)+(S58&lt;Deaths_Appetite)+(V58&lt;=Carbon_Budget)+(Y58=0)+(AB58&gt;=Recall_Target*100)+(AE58=0))</f>
        <v/>
      </c>
      <c r="AI58" s="14" t="str">
        <f aca="false">IF(B58="","",(R58&lt;=Budget)+(T58&lt;Deaths_Appetite)+(W58&lt;=Carbon_Budget)+(Z58=0)+(AC58&gt;=Recall_Target*100)+(AF58=0))</f>
        <v/>
      </c>
      <c r="AJ58" s="14" t="str">
        <f aca="false">IF(B58="","",(R58&lt;=Budget)+(U58&lt;Deaths_Appetite)+(X58&lt;=Carbon_Budget)+(AA58=0)+(AD58&gt;=Recall_Target*100)+(AG58=0))</f>
        <v/>
      </c>
    </row>
    <row r="59" customFormat="false" ht="15" hidden="false" customHeight="false" outlineLevel="0" collapsed="false">
      <c r="A59" s="7" t="str">
        <f aca="false">IF(B59="","","S"&amp;TEXT(ROW()-4,"00"))</f>
        <v/>
      </c>
      <c r="B59" s="14"/>
      <c r="C59" s="14"/>
      <c r="D59" s="14"/>
      <c r="E59" s="14"/>
      <c r="F59" s="14"/>
      <c r="G59" s="14"/>
      <c r="H59" s="14"/>
      <c r="I59" s="14"/>
      <c r="J59" s="14"/>
      <c r="K59" s="14"/>
      <c r="L59" s="15"/>
      <c r="M59" s="15"/>
      <c r="N59" s="15"/>
      <c r="O59" s="15"/>
      <c r="P59" s="15"/>
      <c r="Q59" s="15"/>
      <c r="R59" s="16"/>
      <c r="S59" s="17"/>
      <c r="T59" s="17"/>
      <c r="U59" s="17"/>
      <c r="V59" s="18"/>
      <c r="W59" s="18"/>
      <c r="X59" s="18"/>
      <c r="Y59" s="17"/>
      <c r="Z59" s="17"/>
      <c r="AA59" s="17"/>
      <c r="AB59" s="17"/>
      <c r="AC59" s="17"/>
      <c r="AD59" s="17"/>
      <c r="AE59" s="17"/>
      <c r="AF59" s="17"/>
      <c r="AG59" s="17"/>
      <c r="AH59" s="14" t="str">
        <f aca="false">IF(B59="","",(R59&lt;=Budget)+(S59&lt;Deaths_Appetite)+(V59&lt;=Carbon_Budget)+(Y59=0)+(AB59&gt;=Recall_Target*100)+(AE59=0))</f>
        <v/>
      </c>
      <c r="AI59" s="14" t="str">
        <f aca="false">IF(B59="","",(R59&lt;=Budget)+(T59&lt;Deaths_Appetite)+(W59&lt;=Carbon_Budget)+(Z59=0)+(AC59&gt;=Recall_Target*100)+(AF59=0))</f>
        <v/>
      </c>
      <c r="AJ59" s="14" t="str">
        <f aca="false">IF(B59="","",(R59&lt;=Budget)+(U59&lt;Deaths_Appetite)+(X59&lt;=Carbon_Budget)+(AA59=0)+(AD59&gt;=Recall_Target*100)+(AG59=0))</f>
        <v/>
      </c>
    </row>
    <row r="60" customFormat="false" ht="15" hidden="false" customHeight="false" outlineLevel="0" collapsed="false">
      <c r="A60" s="7" t="str">
        <f aca="false">IF(B60="","","S"&amp;TEXT(ROW()-4,"00"))</f>
        <v/>
      </c>
      <c r="B60" s="14"/>
      <c r="C60" s="14"/>
      <c r="D60" s="14"/>
      <c r="E60" s="14"/>
      <c r="F60" s="14"/>
      <c r="G60" s="14"/>
      <c r="H60" s="14"/>
      <c r="I60" s="14"/>
      <c r="J60" s="14"/>
      <c r="K60" s="14"/>
      <c r="L60" s="15"/>
      <c r="M60" s="15"/>
      <c r="N60" s="15"/>
      <c r="O60" s="15"/>
      <c r="P60" s="15"/>
      <c r="Q60" s="15"/>
      <c r="R60" s="16"/>
      <c r="S60" s="17"/>
      <c r="T60" s="17"/>
      <c r="U60" s="17"/>
      <c r="V60" s="18"/>
      <c r="W60" s="18"/>
      <c r="X60" s="18"/>
      <c r="Y60" s="17"/>
      <c r="Z60" s="17"/>
      <c r="AA60" s="17"/>
      <c r="AB60" s="17"/>
      <c r="AC60" s="17"/>
      <c r="AD60" s="17"/>
      <c r="AE60" s="17"/>
      <c r="AF60" s="17"/>
      <c r="AG60" s="17"/>
      <c r="AH60" s="14" t="str">
        <f aca="false">IF(B60="","",(R60&lt;=Budget)+(S60&lt;Deaths_Appetite)+(V60&lt;=Carbon_Budget)+(Y60=0)+(AB60&gt;=Recall_Target*100)+(AE60=0))</f>
        <v/>
      </c>
      <c r="AI60" s="14" t="str">
        <f aca="false">IF(B60="","",(R60&lt;=Budget)+(T60&lt;Deaths_Appetite)+(W60&lt;=Carbon_Budget)+(Z60=0)+(AC60&gt;=Recall_Target*100)+(AF60=0))</f>
        <v/>
      </c>
      <c r="AJ60" s="14" t="str">
        <f aca="false">IF(B60="","",(R60&lt;=Budget)+(U60&lt;Deaths_Appetite)+(X60&lt;=Carbon_Budget)+(AA60=0)+(AD60&gt;=Recall_Target*100)+(AG60=0))</f>
        <v/>
      </c>
    </row>
    <row r="61" customFormat="false" ht="15" hidden="false" customHeight="false" outlineLevel="0" collapsed="false">
      <c r="A61" s="7" t="str">
        <f aca="false">IF(B61="","","S"&amp;TEXT(ROW()-4,"00"))</f>
        <v/>
      </c>
      <c r="B61" s="14"/>
      <c r="C61" s="14"/>
      <c r="D61" s="14"/>
      <c r="E61" s="14"/>
      <c r="F61" s="14"/>
      <c r="G61" s="14"/>
      <c r="H61" s="14"/>
      <c r="I61" s="14"/>
      <c r="J61" s="14"/>
      <c r="K61" s="14"/>
      <c r="L61" s="15"/>
      <c r="M61" s="15"/>
      <c r="N61" s="15"/>
      <c r="O61" s="15"/>
      <c r="P61" s="15"/>
      <c r="Q61" s="15"/>
      <c r="R61" s="16"/>
      <c r="S61" s="17"/>
      <c r="T61" s="17"/>
      <c r="U61" s="17"/>
      <c r="V61" s="18"/>
      <c r="W61" s="18"/>
      <c r="X61" s="18"/>
      <c r="Y61" s="17"/>
      <c r="Z61" s="17"/>
      <c r="AA61" s="17"/>
      <c r="AB61" s="17"/>
      <c r="AC61" s="17"/>
      <c r="AD61" s="17"/>
      <c r="AE61" s="17"/>
      <c r="AF61" s="17"/>
      <c r="AG61" s="17"/>
      <c r="AH61" s="14" t="str">
        <f aca="false">IF(B61="","",(R61&lt;=Budget)+(S61&lt;Deaths_Appetite)+(V61&lt;=Carbon_Budget)+(Y61=0)+(AB61&gt;=Recall_Target*100)+(AE61=0))</f>
        <v/>
      </c>
      <c r="AI61" s="14" t="str">
        <f aca="false">IF(B61="","",(R61&lt;=Budget)+(T61&lt;Deaths_Appetite)+(W61&lt;=Carbon_Budget)+(Z61=0)+(AC61&gt;=Recall_Target*100)+(AF61=0))</f>
        <v/>
      </c>
      <c r="AJ61" s="14" t="str">
        <f aca="false">IF(B61="","",(R61&lt;=Budget)+(U61&lt;Deaths_Appetite)+(X61&lt;=Carbon_Budget)+(AA61=0)+(AD61&gt;=Recall_Target*100)+(AG61=0))</f>
        <v/>
      </c>
    </row>
    <row r="62" customFormat="false" ht="15" hidden="false" customHeight="false" outlineLevel="0" collapsed="false">
      <c r="A62" s="7" t="str">
        <f aca="false">IF(B62="","","S"&amp;TEXT(ROW()-4,"00"))</f>
        <v/>
      </c>
      <c r="B62" s="14"/>
      <c r="C62" s="14"/>
      <c r="D62" s="14"/>
      <c r="E62" s="14"/>
      <c r="F62" s="14"/>
      <c r="G62" s="14"/>
      <c r="H62" s="14"/>
      <c r="I62" s="14"/>
      <c r="J62" s="14"/>
      <c r="K62" s="14"/>
      <c r="L62" s="15"/>
      <c r="M62" s="15"/>
      <c r="N62" s="15"/>
      <c r="O62" s="15"/>
      <c r="P62" s="15"/>
      <c r="Q62" s="15"/>
      <c r="R62" s="16"/>
      <c r="S62" s="17"/>
      <c r="T62" s="17"/>
      <c r="U62" s="17"/>
      <c r="V62" s="18"/>
      <c r="W62" s="18"/>
      <c r="X62" s="18"/>
      <c r="Y62" s="17"/>
      <c r="Z62" s="17"/>
      <c r="AA62" s="17"/>
      <c r="AB62" s="17"/>
      <c r="AC62" s="17"/>
      <c r="AD62" s="17"/>
      <c r="AE62" s="17"/>
      <c r="AF62" s="17"/>
      <c r="AG62" s="17"/>
      <c r="AH62" s="14" t="str">
        <f aca="false">IF(B62="","",(R62&lt;=Budget)+(S62&lt;Deaths_Appetite)+(V62&lt;=Carbon_Budget)+(Y62=0)+(AB62&gt;=Recall_Target*100)+(AE62=0))</f>
        <v/>
      </c>
      <c r="AI62" s="14" t="str">
        <f aca="false">IF(B62="","",(R62&lt;=Budget)+(T62&lt;Deaths_Appetite)+(W62&lt;=Carbon_Budget)+(Z62=0)+(AC62&gt;=Recall_Target*100)+(AF62=0))</f>
        <v/>
      </c>
      <c r="AJ62" s="14" t="str">
        <f aca="false">IF(B62="","",(R62&lt;=Budget)+(U62&lt;Deaths_Appetite)+(X62&lt;=Carbon_Budget)+(AA62=0)+(AD62&gt;=Recall_Target*100)+(AG62=0))</f>
        <v/>
      </c>
    </row>
    <row r="63" customFormat="false" ht="15" hidden="false" customHeight="false" outlineLevel="0" collapsed="false">
      <c r="A63" s="7" t="str">
        <f aca="false">IF(B63="","","S"&amp;TEXT(ROW()-4,"00"))</f>
        <v/>
      </c>
      <c r="B63" s="14"/>
      <c r="C63" s="14"/>
      <c r="D63" s="14"/>
      <c r="E63" s="14"/>
      <c r="F63" s="14"/>
      <c r="G63" s="14"/>
      <c r="H63" s="14"/>
      <c r="I63" s="14"/>
      <c r="J63" s="14"/>
      <c r="K63" s="14"/>
      <c r="L63" s="15"/>
      <c r="M63" s="15"/>
      <c r="N63" s="15"/>
      <c r="O63" s="15"/>
      <c r="P63" s="15"/>
      <c r="Q63" s="15"/>
      <c r="R63" s="16"/>
      <c r="S63" s="17"/>
      <c r="T63" s="17"/>
      <c r="U63" s="17"/>
      <c r="V63" s="18"/>
      <c r="W63" s="18"/>
      <c r="X63" s="18"/>
      <c r="Y63" s="17"/>
      <c r="Z63" s="17"/>
      <c r="AA63" s="17"/>
      <c r="AB63" s="17"/>
      <c r="AC63" s="17"/>
      <c r="AD63" s="17"/>
      <c r="AE63" s="17"/>
      <c r="AF63" s="17"/>
      <c r="AG63" s="17"/>
      <c r="AH63" s="14" t="str">
        <f aca="false">IF(B63="","",(R63&lt;=Budget)+(S63&lt;Deaths_Appetite)+(V63&lt;=Carbon_Budget)+(Y63=0)+(AB63&gt;=Recall_Target*100)+(AE63=0))</f>
        <v/>
      </c>
      <c r="AI63" s="14" t="str">
        <f aca="false">IF(B63="","",(R63&lt;=Budget)+(T63&lt;Deaths_Appetite)+(W63&lt;=Carbon_Budget)+(Z63=0)+(AC63&gt;=Recall_Target*100)+(AF63=0))</f>
        <v/>
      </c>
      <c r="AJ63" s="14" t="str">
        <f aca="false">IF(B63="","",(R63&lt;=Budget)+(U63&lt;Deaths_Appetite)+(X63&lt;=Carbon_Budget)+(AA63=0)+(AD63&gt;=Recall_Target*100)+(AG63=0))</f>
        <v/>
      </c>
    </row>
    <row r="64" customFormat="false" ht="15" hidden="false" customHeight="false" outlineLevel="0" collapsed="false">
      <c r="A64" s="7" t="str">
        <f aca="false">IF(B64="","","S"&amp;TEXT(ROW()-4,"00"))</f>
        <v/>
      </c>
      <c r="B64" s="14"/>
      <c r="C64" s="14"/>
      <c r="D64" s="14"/>
      <c r="E64" s="14"/>
      <c r="F64" s="14"/>
      <c r="G64" s="14"/>
      <c r="H64" s="14"/>
      <c r="I64" s="14"/>
      <c r="J64" s="14"/>
      <c r="K64" s="14"/>
      <c r="L64" s="15"/>
      <c r="M64" s="15"/>
      <c r="N64" s="15"/>
      <c r="O64" s="15"/>
      <c r="P64" s="15"/>
      <c r="Q64" s="15"/>
      <c r="R64" s="16"/>
      <c r="S64" s="17"/>
      <c r="T64" s="17"/>
      <c r="U64" s="17"/>
      <c r="V64" s="18"/>
      <c r="W64" s="18"/>
      <c r="X64" s="18"/>
      <c r="Y64" s="17"/>
      <c r="Z64" s="17"/>
      <c r="AA64" s="17"/>
      <c r="AB64" s="17"/>
      <c r="AC64" s="17"/>
      <c r="AD64" s="17"/>
      <c r="AE64" s="17"/>
      <c r="AF64" s="17"/>
      <c r="AG64" s="17"/>
      <c r="AH64" s="14" t="str">
        <f aca="false">IF(B64="","",(R64&lt;=Budget)+(S64&lt;Deaths_Appetite)+(V64&lt;=Carbon_Budget)+(Y64=0)+(AB64&gt;=Recall_Target*100)+(AE64=0))</f>
        <v/>
      </c>
      <c r="AI64" s="14" t="str">
        <f aca="false">IF(B64="","",(R64&lt;=Budget)+(T64&lt;Deaths_Appetite)+(W64&lt;=Carbon_Budget)+(Z64=0)+(AC64&gt;=Recall_Target*100)+(AF64=0))</f>
        <v/>
      </c>
      <c r="AJ64" s="14" t="str">
        <f aca="false">IF(B64="","",(R64&lt;=Budget)+(U64&lt;Deaths_Appetite)+(X64&lt;=Carbon_Budget)+(AA64=0)+(AD64&gt;=Recall_Target*100)+(AG64=0))</f>
        <v/>
      </c>
    </row>
    <row r="65" customFormat="false" ht="15" hidden="false" customHeight="false" outlineLevel="0" collapsed="false">
      <c r="A65" s="7" t="str">
        <f aca="false">IF(B65="","","S"&amp;TEXT(ROW()-4,"00"))</f>
        <v/>
      </c>
      <c r="B65" s="14"/>
      <c r="C65" s="14"/>
      <c r="D65" s="14"/>
      <c r="E65" s="14"/>
      <c r="F65" s="14"/>
      <c r="G65" s="14"/>
      <c r="H65" s="14"/>
      <c r="I65" s="14"/>
      <c r="J65" s="14"/>
      <c r="K65" s="14"/>
      <c r="L65" s="15"/>
      <c r="M65" s="15"/>
      <c r="N65" s="15"/>
      <c r="O65" s="15"/>
      <c r="P65" s="15"/>
      <c r="Q65" s="15"/>
      <c r="R65" s="16"/>
      <c r="S65" s="17"/>
      <c r="T65" s="17"/>
      <c r="U65" s="17"/>
      <c r="V65" s="18"/>
      <c r="W65" s="18"/>
      <c r="X65" s="18"/>
      <c r="Y65" s="17"/>
      <c r="Z65" s="17"/>
      <c r="AA65" s="17"/>
      <c r="AB65" s="17"/>
      <c r="AC65" s="17"/>
      <c r="AD65" s="17"/>
      <c r="AE65" s="17"/>
      <c r="AF65" s="17"/>
      <c r="AG65" s="17"/>
      <c r="AH65" s="14" t="str">
        <f aca="false">IF(B65="","",(R65&lt;=Budget)+(S65&lt;Deaths_Appetite)+(V65&lt;=Carbon_Budget)+(Y65=0)+(AB65&gt;=Recall_Target*100)+(AE65=0))</f>
        <v/>
      </c>
      <c r="AI65" s="14" t="str">
        <f aca="false">IF(B65="","",(R65&lt;=Budget)+(T65&lt;Deaths_Appetite)+(W65&lt;=Carbon_Budget)+(Z65=0)+(AC65&gt;=Recall_Target*100)+(AF65=0))</f>
        <v/>
      </c>
      <c r="AJ65" s="14" t="str">
        <f aca="false">IF(B65="","",(R65&lt;=Budget)+(U65&lt;Deaths_Appetite)+(X65&lt;=Carbon_Budget)+(AA65=0)+(AD65&gt;=Recall_Target*100)+(AG65=0))</f>
        <v/>
      </c>
    </row>
    <row r="66" customFormat="false" ht="15" hidden="false" customHeight="false" outlineLevel="0" collapsed="false">
      <c r="A66" s="7" t="str">
        <f aca="false">IF(B66="","","S"&amp;TEXT(ROW()-4,"00"))</f>
        <v/>
      </c>
      <c r="B66" s="14"/>
      <c r="C66" s="14"/>
      <c r="D66" s="14"/>
      <c r="E66" s="14"/>
      <c r="F66" s="14"/>
      <c r="G66" s="14"/>
      <c r="H66" s="14"/>
      <c r="I66" s="14"/>
      <c r="J66" s="14"/>
      <c r="K66" s="14"/>
      <c r="L66" s="15"/>
      <c r="M66" s="15"/>
      <c r="N66" s="15"/>
      <c r="O66" s="15"/>
      <c r="P66" s="15"/>
      <c r="Q66" s="15"/>
      <c r="R66" s="16"/>
      <c r="S66" s="17"/>
      <c r="T66" s="17"/>
      <c r="U66" s="17"/>
      <c r="V66" s="18"/>
      <c r="W66" s="18"/>
      <c r="X66" s="18"/>
      <c r="Y66" s="17"/>
      <c r="Z66" s="17"/>
      <c r="AA66" s="17"/>
      <c r="AB66" s="17"/>
      <c r="AC66" s="17"/>
      <c r="AD66" s="17"/>
      <c r="AE66" s="17"/>
      <c r="AF66" s="17"/>
      <c r="AG66" s="17"/>
      <c r="AH66" s="14" t="str">
        <f aca="false">IF(B66="","",(R66&lt;=Budget)+(S66&lt;Deaths_Appetite)+(V66&lt;=Carbon_Budget)+(Y66=0)+(AB66&gt;=Recall_Target*100)+(AE66=0))</f>
        <v/>
      </c>
      <c r="AI66" s="14" t="str">
        <f aca="false">IF(B66="","",(R66&lt;=Budget)+(T66&lt;Deaths_Appetite)+(W66&lt;=Carbon_Budget)+(Z66=0)+(AC66&gt;=Recall_Target*100)+(AF66=0))</f>
        <v/>
      </c>
      <c r="AJ66" s="14" t="str">
        <f aca="false">IF(B66="","",(R66&lt;=Budget)+(U66&lt;Deaths_Appetite)+(X66&lt;=Carbon_Budget)+(AA66=0)+(AD66&gt;=Recall_Target*100)+(AG66=0))</f>
        <v/>
      </c>
    </row>
    <row r="67" customFormat="false" ht="15" hidden="false" customHeight="false" outlineLevel="0" collapsed="false">
      <c r="A67" s="7" t="str">
        <f aca="false">IF(B67="","","S"&amp;TEXT(ROW()-4,"00"))</f>
        <v/>
      </c>
      <c r="B67" s="14"/>
      <c r="C67" s="14"/>
      <c r="D67" s="14"/>
      <c r="E67" s="14"/>
      <c r="F67" s="14"/>
      <c r="G67" s="14"/>
      <c r="H67" s="14"/>
      <c r="I67" s="14"/>
      <c r="J67" s="14"/>
      <c r="K67" s="14"/>
      <c r="L67" s="15"/>
      <c r="M67" s="15"/>
      <c r="N67" s="15"/>
      <c r="O67" s="15"/>
      <c r="P67" s="15"/>
      <c r="Q67" s="15"/>
      <c r="R67" s="16"/>
      <c r="S67" s="17"/>
      <c r="T67" s="17"/>
      <c r="U67" s="17"/>
      <c r="V67" s="18"/>
      <c r="W67" s="18"/>
      <c r="X67" s="18"/>
      <c r="Y67" s="17"/>
      <c r="Z67" s="17"/>
      <c r="AA67" s="17"/>
      <c r="AB67" s="17"/>
      <c r="AC67" s="17"/>
      <c r="AD67" s="17"/>
      <c r="AE67" s="17"/>
      <c r="AF67" s="17"/>
      <c r="AG67" s="17"/>
      <c r="AH67" s="14" t="str">
        <f aca="false">IF(B67="","",(R67&lt;=Budget)+(S67&lt;Deaths_Appetite)+(V67&lt;=Carbon_Budget)+(Y67=0)+(AB67&gt;=Recall_Target*100)+(AE67=0))</f>
        <v/>
      </c>
      <c r="AI67" s="14" t="str">
        <f aca="false">IF(B67="","",(R67&lt;=Budget)+(T67&lt;Deaths_Appetite)+(W67&lt;=Carbon_Budget)+(Z67=0)+(AC67&gt;=Recall_Target*100)+(AF67=0))</f>
        <v/>
      </c>
      <c r="AJ67" s="14" t="str">
        <f aca="false">IF(B67="","",(R67&lt;=Budget)+(U67&lt;Deaths_Appetite)+(X67&lt;=Carbon_Budget)+(AA67=0)+(AD67&gt;=Recall_Target*100)+(AG67=0))</f>
        <v/>
      </c>
    </row>
    <row r="68" customFormat="false" ht="15" hidden="false" customHeight="false" outlineLevel="0" collapsed="false">
      <c r="A68" s="7" t="str">
        <f aca="false">IF(B68="","","S"&amp;TEXT(ROW()-4,"00"))</f>
        <v/>
      </c>
      <c r="B68" s="14"/>
      <c r="C68" s="14"/>
      <c r="D68" s="14"/>
      <c r="E68" s="14"/>
      <c r="F68" s="14"/>
      <c r="G68" s="14"/>
      <c r="H68" s="14"/>
      <c r="I68" s="14"/>
      <c r="J68" s="14"/>
      <c r="K68" s="14"/>
      <c r="L68" s="15"/>
      <c r="M68" s="15"/>
      <c r="N68" s="15"/>
      <c r="O68" s="15"/>
      <c r="P68" s="15"/>
      <c r="Q68" s="15"/>
      <c r="R68" s="16"/>
      <c r="S68" s="17"/>
      <c r="T68" s="17"/>
      <c r="U68" s="17"/>
      <c r="V68" s="18"/>
      <c r="W68" s="18"/>
      <c r="X68" s="18"/>
      <c r="Y68" s="17"/>
      <c r="Z68" s="17"/>
      <c r="AA68" s="17"/>
      <c r="AB68" s="17"/>
      <c r="AC68" s="17"/>
      <c r="AD68" s="17"/>
      <c r="AE68" s="17"/>
      <c r="AF68" s="17"/>
      <c r="AG68" s="17"/>
      <c r="AH68" s="14" t="str">
        <f aca="false">IF(B68="","",(R68&lt;=Budget)+(S68&lt;Deaths_Appetite)+(V68&lt;=Carbon_Budget)+(Y68=0)+(AB68&gt;=Recall_Target*100)+(AE68=0))</f>
        <v/>
      </c>
      <c r="AI68" s="14" t="str">
        <f aca="false">IF(B68="","",(R68&lt;=Budget)+(T68&lt;Deaths_Appetite)+(W68&lt;=Carbon_Budget)+(Z68=0)+(AC68&gt;=Recall_Target*100)+(AF68=0))</f>
        <v/>
      </c>
      <c r="AJ68" s="14" t="str">
        <f aca="false">IF(B68="","",(R68&lt;=Budget)+(U68&lt;Deaths_Appetite)+(X68&lt;=Carbon_Budget)+(AA68=0)+(AD68&gt;=Recall_Target*100)+(AG68=0))</f>
        <v/>
      </c>
    </row>
    <row r="69" customFormat="false" ht="15" hidden="false" customHeight="false" outlineLevel="0" collapsed="false">
      <c r="A69" s="7" t="str">
        <f aca="false">IF(B69="","","S"&amp;TEXT(ROW()-4,"00"))</f>
        <v/>
      </c>
      <c r="B69" s="14"/>
      <c r="C69" s="14"/>
      <c r="D69" s="14"/>
      <c r="E69" s="14"/>
      <c r="F69" s="14"/>
      <c r="G69" s="14"/>
      <c r="H69" s="14"/>
      <c r="I69" s="14"/>
      <c r="J69" s="14"/>
      <c r="K69" s="14"/>
      <c r="L69" s="15"/>
      <c r="M69" s="15"/>
      <c r="N69" s="15"/>
      <c r="O69" s="15"/>
      <c r="P69" s="15"/>
      <c r="Q69" s="15"/>
      <c r="R69" s="16"/>
      <c r="S69" s="17"/>
      <c r="T69" s="17"/>
      <c r="U69" s="17"/>
      <c r="V69" s="18"/>
      <c r="W69" s="18"/>
      <c r="X69" s="18"/>
      <c r="Y69" s="17"/>
      <c r="Z69" s="17"/>
      <c r="AA69" s="17"/>
      <c r="AB69" s="17"/>
      <c r="AC69" s="17"/>
      <c r="AD69" s="17"/>
      <c r="AE69" s="17"/>
      <c r="AF69" s="17"/>
      <c r="AG69" s="17"/>
      <c r="AH69" s="14" t="str">
        <f aca="false">IF(B69="","",(R69&lt;=Budget)+(S69&lt;Deaths_Appetite)+(V69&lt;=Carbon_Budget)+(Y69=0)+(AB69&gt;=Recall_Target*100)+(AE69=0))</f>
        <v/>
      </c>
      <c r="AI69" s="14" t="str">
        <f aca="false">IF(B69="","",(R69&lt;=Budget)+(T69&lt;Deaths_Appetite)+(W69&lt;=Carbon_Budget)+(Z69=0)+(AC69&gt;=Recall_Target*100)+(AF69=0))</f>
        <v/>
      </c>
      <c r="AJ69" s="14" t="str">
        <f aca="false">IF(B69="","",(R69&lt;=Budget)+(U69&lt;Deaths_Appetite)+(X69&lt;=Carbon_Budget)+(AA69=0)+(AD69&gt;=Recall_Target*100)+(AG69=0))</f>
        <v/>
      </c>
    </row>
    <row r="70" customFormat="false" ht="15" hidden="false" customHeight="false" outlineLevel="0" collapsed="false">
      <c r="A70" s="7" t="str">
        <f aca="false">IF(B70="","","S"&amp;TEXT(ROW()-4,"00"))</f>
        <v/>
      </c>
      <c r="B70" s="14"/>
      <c r="C70" s="14"/>
      <c r="D70" s="14"/>
      <c r="E70" s="14"/>
      <c r="F70" s="14"/>
      <c r="G70" s="14"/>
      <c r="H70" s="14"/>
      <c r="I70" s="14"/>
      <c r="J70" s="14"/>
      <c r="K70" s="14"/>
      <c r="L70" s="15"/>
      <c r="M70" s="15"/>
      <c r="N70" s="15"/>
      <c r="O70" s="15"/>
      <c r="P70" s="15"/>
      <c r="Q70" s="15"/>
      <c r="R70" s="16"/>
      <c r="S70" s="17"/>
      <c r="T70" s="17"/>
      <c r="U70" s="17"/>
      <c r="V70" s="18"/>
      <c r="W70" s="18"/>
      <c r="X70" s="18"/>
      <c r="Y70" s="17"/>
      <c r="Z70" s="17"/>
      <c r="AA70" s="17"/>
      <c r="AB70" s="17"/>
      <c r="AC70" s="17"/>
      <c r="AD70" s="17"/>
      <c r="AE70" s="17"/>
      <c r="AF70" s="17"/>
      <c r="AG70" s="17"/>
      <c r="AH70" s="14" t="str">
        <f aca="false">IF(B70="","",(R70&lt;=Budget)+(S70&lt;Deaths_Appetite)+(V70&lt;=Carbon_Budget)+(Y70=0)+(AB70&gt;=Recall_Target*100)+(AE70=0))</f>
        <v/>
      </c>
      <c r="AI70" s="14" t="str">
        <f aca="false">IF(B70="","",(R70&lt;=Budget)+(T70&lt;Deaths_Appetite)+(W70&lt;=Carbon_Budget)+(Z70=0)+(AC70&gt;=Recall_Target*100)+(AF70=0))</f>
        <v/>
      </c>
      <c r="AJ70" s="14" t="str">
        <f aca="false">IF(B70="","",(R70&lt;=Budget)+(U70&lt;Deaths_Appetite)+(X70&lt;=Carbon_Budget)+(AA70=0)+(AD70&gt;=Recall_Target*100)+(AG70=0))</f>
        <v/>
      </c>
    </row>
    <row r="71" customFormat="false" ht="15" hidden="false" customHeight="false" outlineLevel="0" collapsed="false">
      <c r="A71" s="7" t="str">
        <f aca="false">IF(B71="","","S"&amp;TEXT(ROW()-4,"00"))</f>
        <v/>
      </c>
      <c r="B71" s="14"/>
      <c r="C71" s="14"/>
      <c r="D71" s="14"/>
      <c r="E71" s="14"/>
      <c r="F71" s="14"/>
      <c r="G71" s="14"/>
      <c r="H71" s="14"/>
      <c r="I71" s="14"/>
      <c r="J71" s="14"/>
      <c r="K71" s="14"/>
      <c r="L71" s="15"/>
      <c r="M71" s="15"/>
      <c r="N71" s="15"/>
      <c r="O71" s="15"/>
      <c r="P71" s="15"/>
      <c r="Q71" s="15"/>
      <c r="R71" s="16"/>
      <c r="S71" s="17"/>
      <c r="T71" s="17"/>
      <c r="U71" s="17"/>
      <c r="V71" s="18"/>
      <c r="W71" s="18"/>
      <c r="X71" s="18"/>
      <c r="Y71" s="17"/>
      <c r="Z71" s="17"/>
      <c r="AA71" s="17"/>
      <c r="AB71" s="17"/>
      <c r="AC71" s="17"/>
      <c r="AD71" s="17"/>
      <c r="AE71" s="17"/>
      <c r="AF71" s="17"/>
      <c r="AG71" s="17"/>
      <c r="AH71" s="14" t="str">
        <f aca="false">IF(B71="","",(R71&lt;=Budget)+(S71&lt;Deaths_Appetite)+(V71&lt;=Carbon_Budget)+(Y71=0)+(AB71&gt;=Recall_Target*100)+(AE71=0))</f>
        <v/>
      </c>
      <c r="AI71" s="14" t="str">
        <f aca="false">IF(B71="","",(R71&lt;=Budget)+(T71&lt;Deaths_Appetite)+(W71&lt;=Carbon_Budget)+(Z71=0)+(AC71&gt;=Recall_Target*100)+(AF71=0))</f>
        <v/>
      </c>
      <c r="AJ71" s="14" t="str">
        <f aca="false">IF(B71="","",(R71&lt;=Budget)+(U71&lt;Deaths_Appetite)+(X71&lt;=Carbon_Budget)+(AA71=0)+(AD71&gt;=Recall_Target*100)+(AG71=0))</f>
        <v/>
      </c>
    </row>
    <row r="72" customFormat="false" ht="15" hidden="false" customHeight="false" outlineLevel="0" collapsed="false">
      <c r="A72" s="7" t="str">
        <f aca="false">IF(B72="","","S"&amp;TEXT(ROW()-4,"00"))</f>
        <v/>
      </c>
      <c r="B72" s="14"/>
      <c r="C72" s="14"/>
      <c r="D72" s="14"/>
      <c r="E72" s="14"/>
      <c r="F72" s="14"/>
      <c r="G72" s="14"/>
      <c r="H72" s="14"/>
      <c r="I72" s="14"/>
      <c r="J72" s="14"/>
      <c r="K72" s="14"/>
      <c r="L72" s="15"/>
      <c r="M72" s="15"/>
      <c r="N72" s="15"/>
      <c r="O72" s="15"/>
      <c r="P72" s="15"/>
      <c r="Q72" s="15"/>
      <c r="R72" s="16"/>
      <c r="S72" s="17"/>
      <c r="T72" s="17"/>
      <c r="U72" s="17"/>
      <c r="V72" s="18"/>
      <c r="W72" s="18"/>
      <c r="X72" s="18"/>
      <c r="Y72" s="17"/>
      <c r="Z72" s="17"/>
      <c r="AA72" s="17"/>
      <c r="AB72" s="17"/>
      <c r="AC72" s="17"/>
      <c r="AD72" s="17"/>
      <c r="AE72" s="17"/>
      <c r="AF72" s="17"/>
      <c r="AG72" s="17"/>
      <c r="AH72" s="14" t="str">
        <f aca="false">IF(B72="","",(R72&lt;=Budget)+(S72&lt;Deaths_Appetite)+(V72&lt;=Carbon_Budget)+(Y72=0)+(AB72&gt;=Recall_Target*100)+(AE72=0))</f>
        <v/>
      </c>
      <c r="AI72" s="14" t="str">
        <f aca="false">IF(B72="","",(R72&lt;=Budget)+(T72&lt;Deaths_Appetite)+(W72&lt;=Carbon_Budget)+(Z72=0)+(AC72&gt;=Recall_Target*100)+(AF72=0))</f>
        <v/>
      </c>
      <c r="AJ72" s="14" t="str">
        <f aca="false">IF(B72="","",(R72&lt;=Budget)+(U72&lt;Deaths_Appetite)+(X72&lt;=Carbon_Budget)+(AA72=0)+(AD72&gt;=Recall_Target*100)+(AG72=0))</f>
        <v/>
      </c>
    </row>
    <row r="73" customFormat="false" ht="15" hidden="false" customHeight="false" outlineLevel="0" collapsed="false">
      <c r="A73" s="7" t="str">
        <f aca="false">IF(B73="","","S"&amp;TEXT(ROW()-4,"00"))</f>
        <v/>
      </c>
      <c r="B73" s="14"/>
      <c r="C73" s="14"/>
      <c r="D73" s="14"/>
      <c r="E73" s="14"/>
      <c r="F73" s="14"/>
      <c r="G73" s="14"/>
      <c r="H73" s="14"/>
      <c r="I73" s="14"/>
      <c r="J73" s="14"/>
      <c r="K73" s="14"/>
      <c r="L73" s="15"/>
      <c r="M73" s="15"/>
      <c r="N73" s="15"/>
      <c r="O73" s="15"/>
      <c r="P73" s="15"/>
      <c r="Q73" s="15"/>
      <c r="R73" s="16"/>
      <c r="S73" s="17"/>
      <c r="T73" s="17"/>
      <c r="U73" s="17"/>
      <c r="V73" s="18"/>
      <c r="W73" s="18"/>
      <c r="X73" s="18"/>
      <c r="Y73" s="17"/>
      <c r="Z73" s="17"/>
      <c r="AA73" s="17"/>
      <c r="AB73" s="17"/>
      <c r="AC73" s="17"/>
      <c r="AD73" s="17"/>
      <c r="AE73" s="17"/>
      <c r="AF73" s="17"/>
      <c r="AG73" s="17"/>
      <c r="AH73" s="14" t="str">
        <f aca="false">IF(B73="","",(R73&lt;=Budget)+(S73&lt;Deaths_Appetite)+(V73&lt;=Carbon_Budget)+(Y73=0)+(AB73&gt;=Recall_Target*100)+(AE73=0))</f>
        <v/>
      </c>
      <c r="AI73" s="14" t="str">
        <f aca="false">IF(B73="","",(R73&lt;=Budget)+(T73&lt;Deaths_Appetite)+(W73&lt;=Carbon_Budget)+(Z73=0)+(AC73&gt;=Recall_Target*100)+(AF73=0))</f>
        <v/>
      </c>
      <c r="AJ73" s="14" t="str">
        <f aca="false">IF(B73="","",(R73&lt;=Budget)+(U73&lt;Deaths_Appetite)+(X73&lt;=Carbon_Budget)+(AA73=0)+(AD73&gt;=Recall_Target*100)+(AG73=0))</f>
        <v/>
      </c>
    </row>
    <row r="74" customFormat="false" ht="15" hidden="false" customHeight="false" outlineLevel="0" collapsed="false">
      <c r="A74" s="7" t="str">
        <f aca="false">IF(B74="","","S"&amp;TEXT(ROW()-4,"00"))</f>
        <v/>
      </c>
      <c r="B74" s="14"/>
      <c r="C74" s="14"/>
      <c r="D74" s="14"/>
      <c r="E74" s="14"/>
      <c r="F74" s="14"/>
      <c r="G74" s="14"/>
      <c r="H74" s="14"/>
      <c r="I74" s="14"/>
      <c r="J74" s="14"/>
      <c r="K74" s="14"/>
      <c r="L74" s="15"/>
      <c r="M74" s="15"/>
      <c r="N74" s="15"/>
      <c r="O74" s="15"/>
      <c r="P74" s="15"/>
      <c r="Q74" s="15"/>
      <c r="R74" s="16"/>
      <c r="S74" s="17"/>
      <c r="T74" s="17"/>
      <c r="U74" s="17"/>
      <c r="V74" s="18"/>
      <c r="W74" s="18"/>
      <c r="X74" s="18"/>
      <c r="Y74" s="17"/>
      <c r="Z74" s="17"/>
      <c r="AA74" s="17"/>
      <c r="AB74" s="17"/>
      <c r="AC74" s="17"/>
      <c r="AD74" s="17"/>
      <c r="AE74" s="17"/>
      <c r="AF74" s="17"/>
      <c r="AG74" s="17"/>
      <c r="AH74" s="14" t="str">
        <f aca="false">IF(B74="","",(R74&lt;=Budget)+(S74&lt;Deaths_Appetite)+(V74&lt;=Carbon_Budget)+(Y74=0)+(AB74&gt;=Recall_Target*100)+(AE74=0))</f>
        <v/>
      </c>
      <c r="AI74" s="14" t="str">
        <f aca="false">IF(B74="","",(R74&lt;=Budget)+(T74&lt;Deaths_Appetite)+(W74&lt;=Carbon_Budget)+(Z74=0)+(AC74&gt;=Recall_Target*100)+(AF74=0))</f>
        <v/>
      </c>
      <c r="AJ74" s="14" t="str">
        <f aca="false">IF(B74="","",(R74&lt;=Budget)+(U74&lt;Deaths_Appetite)+(X74&lt;=Carbon_Budget)+(AA74=0)+(AD74&gt;=Recall_Target*100)+(AG74=0))</f>
        <v/>
      </c>
    </row>
    <row r="75" customFormat="false" ht="15" hidden="false" customHeight="false" outlineLevel="0" collapsed="false">
      <c r="A75" s="7" t="str">
        <f aca="false">IF(B75="","","S"&amp;TEXT(ROW()-4,"00"))</f>
        <v/>
      </c>
      <c r="B75" s="14"/>
      <c r="C75" s="14"/>
      <c r="D75" s="14"/>
      <c r="E75" s="14"/>
      <c r="F75" s="14"/>
      <c r="G75" s="14"/>
      <c r="H75" s="14"/>
      <c r="I75" s="14"/>
      <c r="J75" s="14"/>
      <c r="K75" s="14"/>
      <c r="L75" s="15"/>
      <c r="M75" s="15"/>
      <c r="N75" s="15"/>
      <c r="O75" s="15"/>
      <c r="P75" s="15"/>
      <c r="Q75" s="15"/>
      <c r="R75" s="16"/>
      <c r="S75" s="17"/>
      <c r="T75" s="17"/>
      <c r="U75" s="17"/>
      <c r="V75" s="18"/>
      <c r="W75" s="18"/>
      <c r="X75" s="18"/>
      <c r="Y75" s="17"/>
      <c r="Z75" s="17"/>
      <c r="AA75" s="17"/>
      <c r="AB75" s="17"/>
      <c r="AC75" s="17"/>
      <c r="AD75" s="17"/>
      <c r="AE75" s="17"/>
      <c r="AF75" s="17"/>
      <c r="AG75" s="17"/>
      <c r="AH75" s="14" t="str">
        <f aca="false">IF(B75="","",(R75&lt;=Budget)+(S75&lt;Deaths_Appetite)+(V75&lt;=Carbon_Budget)+(Y75=0)+(AB75&gt;=Recall_Target*100)+(AE75=0))</f>
        <v/>
      </c>
      <c r="AI75" s="14" t="str">
        <f aca="false">IF(B75="","",(R75&lt;=Budget)+(T75&lt;Deaths_Appetite)+(W75&lt;=Carbon_Budget)+(Z75=0)+(AC75&gt;=Recall_Target*100)+(AF75=0))</f>
        <v/>
      </c>
      <c r="AJ75" s="14" t="str">
        <f aca="false">IF(B75="","",(R75&lt;=Budget)+(U75&lt;Deaths_Appetite)+(X75&lt;=Carbon_Budget)+(AA75=0)+(AD75&gt;=Recall_Target*100)+(AG75=0))</f>
        <v/>
      </c>
    </row>
    <row r="76" customFormat="false" ht="15" hidden="false" customHeight="false" outlineLevel="0" collapsed="false">
      <c r="A76" s="7" t="str">
        <f aca="false">IF(B76="","","S"&amp;TEXT(ROW()-4,"00"))</f>
        <v/>
      </c>
      <c r="B76" s="14"/>
      <c r="C76" s="14"/>
      <c r="D76" s="14"/>
      <c r="E76" s="14"/>
      <c r="F76" s="14"/>
      <c r="G76" s="14"/>
      <c r="H76" s="14"/>
      <c r="I76" s="14"/>
      <c r="J76" s="14"/>
      <c r="K76" s="14"/>
      <c r="L76" s="15"/>
      <c r="M76" s="15"/>
      <c r="N76" s="15"/>
      <c r="O76" s="15"/>
      <c r="P76" s="15"/>
      <c r="Q76" s="15"/>
      <c r="R76" s="16"/>
      <c r="S76" s="17"/>
      <c r="T76" s="17"/>
      <c r="U76" s="17"/>
      <c r="V76" s="18"/>
      <c r="W76" s="18"/>
      <c r="X76" s="18"/>
      <c r="Y76" s="17"/>
      <c r="Z76" s="17"/>
      <c r="AA76" s="17"/>
      <c r="AB76" s="17"/>
      <c r="AC76" s="17"/>
      <c r="AD76" s="17"/>
      <c r="AE76" s="17"/>
      <c r="AF76" s="17"/>
      <c r="AG76" s="17"/>
      <c r="AH76" s="14" t="str">
        <f aca="false">IF(B76="","",(R76&lt;=Budget)+(S76&lt;Deaths_Appetite)+(V76&lt;=Carbon_Budget)+(Y76=0)+(AB76&gt;=Recall_Target*100)+(AE76=0))</f>
        <v/>
      </c>
      <c r="AI76" s="14" t="str">
        <f aca="false">IF(B76="","",(R76&lt;=Budget)+(T76&lt;Deaths_Appetite)+(W76&lt;=Carbon_Budget)+(Z76=0)+(AC76&gt;=Recall_Target*100)+(AF76=0))</f>
        <v/>
      </c>
      <c r="AJ76" s="14" t="str">
        <f aca="false">IF(B76="","",(R76&lt;=Budget)+(U76&lt;Deaths_Appetite)+(X76&lt;=Carbon_Budget)+(AA76=0)+(AD76&gt;=Recall_Target*100)+(AG76=0))</f>
        <v/>
      </c>
    </row>
    <row r="77" customFormat="false" ht="15" hidden="false" customHeight="false" outlineLevel="0" collapsed="false">
      <c r="A77" s="7" t="str">
        <f aca="false">IF(B77="","","S"&amp;TEXT(ROW()-4,"00"))</f>
        <v/>
      </c>
      <c r="B77" s="14"/>
      <c r="C77" s="14"/>
      <c r="D77" s="14"/>
      <c r="E77" s="14"/>
      <c r="F77" s="14"/>
      <c r="G77" s="14"/>
      <c r="H77" s="14"/>
      <c r="I77" s="14"/>
      <c r="J77" s="14"/>
      <c r="K77" s="14"/>
      <c r="L77" s="15"/>
      <c r="M77" s="15"/>
      <c r="N77" s="15"/>
      <c r="O77" s="15"/>
      <c r="P77" s="15"/>
      <c r="Q77" s="15"/>
      <c r="R77" s="16"/>
      <c r="S77" s="17"/>
      <c r="T77" s="17"/>
      <c r="U77" s="17"/>
      <c r="V77" s="18"/>
      <c r="W77" s="18"/>
      <c r="X77" s="18"/>
      <c r="Y77" s="17"/>
      <c r="Z77" s="17"/>
      <c r="AA77" s="17"/>
      <c r="AB77" s="17"/>
      <c r="AC77" s="17"/>
      <c r="AD77" s="17"/>
      <c r="AE77" s="17"/>
      <c r="AF77" s="17"/>
      <c r="AG77" s="17"/>
      <c r="AH77" s="14" t="str">
        <f aca="false">IF(B77="","",(R77&lt;=Budget)+(S77&lt;Deaths_Appetite)+(V77&lt;=Carbon_Budget)+(Y77=0)+(AB77&gt;=Recall_Target*100)+(AE77=0))</f>
        <v/>
      </c>
      <c r="AI77" s="14" t="str">
        <f aca="false">IF(B77="","",(R77&lt;=Budget)+(T77&lt;Deaths_Appetite)+(W77&lt;=Carbon_Budget)+(Z77=0)+(AC77&gt;=Recall_Target*100)+(AF77=0))</f>
        <v/>
      </c>
      <c r="AJ77" s="14" t="str">
        <f aca="false">IF(B77="","",(R77&lt;=Budget)+(U77&lt;Deaths_Appetite)+(X77&lt;=Carbon_Budget)+(AA77=0)+(AD77&gt;=Recall_Target*100)+(AG77=0))</f>
        <v/>
      </c>
    </row>
    <row r="78" customFormat="false" ht="15" hidden="false" customHeight="false" outlineLevel="0" collapsed="false">
      <c r="A78" s="7" t="str">
        <f aca="false">IF(B78="","","S"&amp;TEXT(ROW()-4,"00"))</f>
        <v/>
      </c>
      <c r="B78" s="14"/>
      <c r="C78" s="14"/>
      <c r="D78" s="14"/>
      <c r="E78" s="14"/>
      <c r="F78" s="14"/>
      <c r="G78" s="14"/>
      <c r="H78" s="14"/>
      <c r="I78" s="14"/>
      <c r="J78" s="14"/>
      <c r="K78" s="14"/>
      <c r="L78" s="15"/>
      <c r="M78" s="15"/>
      <c r="N78" s="15"/>
      <c r="O78" s="15"/>
      <c r="P78" s="15"/>
      <c r="Q78" s="15"/>
      <c r="R78" s="16"/>
      <c r="S78" s="17"/>
      <c r="T78" s="17"/>
      <c r="U78" s="17"/>
      <c r="V78" s="18"/>
      <c r="W78" s="18"/>
      <c r="X78" s="18"/>
      <c r="Y78" s="17"/>
      <c r="Z78" s="17"/>
      <c r="AA78" s="17"/>
      <c r="AB78" s="17"/>
      <c r="AC78" s="17"/>
      <c r="AD78" s="17"/>
      <c r="AE78" s="17"/>
      <c r="AF78" s="17"/>
      <c r="AG78" s="17"/>
      <c r="AH78" s="14" t="str">
        <f aca="false">IF(B78="","",(R78&lt;=Budget)+(S78&lt;Deaths_Appetite)+(V78&lt;=Carbon_Budget)+(Y78=0)+(AB78&gt;=Recall_Target*100)+(AE78=0))</f>
        <v/>
      </c>
      <c r="AI78" s="14" t="str">
        <f aca="false">IF(B78="","",(R78&lt;=Budget)+(T78&lt;Deaths_Appetite)+(W78&lt;=Carbon_Budget)+(Z78=0)+(AC78&gt;=Recall_Target*100)+(AF78=0))</f>
        <v/>
      </c>
      <c r="AJ78" s="14" t="str">
        <f aca="false">IF(B78="","",(R78&lt;=Budget)+(U78&lt;Deaths_Appetite)+(X78&lt;=Carbon_Budget)+(AA78=0)+(AD78&gt;=Recall_Target*100)+(AG78=0))</f>
        <v/>
      </c>
    </row>
    <row r="79" customFormat="false" ht="15" hidden="false" customHeight="false" outlineLevel="0" collapsed="false">
      <c r="A79" s="7" t="str">
        <f aca="false">IF(B79="","","S"&amp;TEXT(ROW()-4,"00"))</f>
        <v/>
      </c>
      <c r="B79" s="14"/>
      <c r="C79" s="14"/>
      <c r="D79" s="14"/>
      <c r="E79" s="14"/>
      <c r="F79" s="14"/>
      <c r="G79" s="14"/>
      <c r="H79" s="14"/>
      <c r="I79" s="14"/>
      <c r="J79" s="14"/>
      <c r="K79" s="14"/>
      <c r="L79" s="15"/>
      <c r="M79" s="15"/>
      <c r="N79" s="15"/>
      <c r="O79" s="15"/>
      <c r="P79" s="15"/>
      <c r="Q79" s="15"/>
      <c r="R79" s="16"/>
      <c r="S79" s="17"/>
      <c r="T79" s="17"/>
      <c r="U79" s="17"/>
      <c r="V79" s="18"/>
      <c r="W79" s="18"/>
      <c r="X79" s="18"/>
      <c r="Y79" s="17"/>
      <c r="Z79" s="17"/>
      <c r="AA79" s="17"/>
      <c r="AB79" s="17"/>
      <c r="AC79" s="17"/>
      <c r="AD79" s="17"/>
      <c r="AE79" s="17"/>
      <c r="AF79" s="17"/>
      <c r="AG79" s="17"/>
      <c r="AH79" s="14" t="str">
        <f aca="false">IF(B79="","",(R79&lt;=Budget)+(S79&lt;Deaths_Appetite)+(V79&lt;=Carbon_Budget)+(Y79=0)+(AB79&gt;=Recall_Target*100)+(AE79=0))</f>
        <v/>
      </c>
      <c r="AI79" s="14" t="str">
        <f aca="false">IF(B79="","",(R79&lt;=Budget)+(T79&lt;Deaths_Appetite)+(W79&lt;=Carbon_Budget)+(Z79=0)+(AC79&gt;=Recall_Target*100)+(AF79=0))</f>
        <v/>
      </c>
      <c r="AJ79" s="14" t="str">
        <f aca="false">IF(B79="","",(R79&lt;=Budget)+(U79&lt;Deaths_Appetite)+(X79&lt;=Carbon_Budget)+(AA79=0)+(AD79&gt;=Recall_Target*100)+(AG79=0))</f>
        <v/>
      </c>
    </row>
    <row r="80" customFormat="false" ht="15" hidden="false" customHeight="false" outlineLevel="0" collapsed="false">
      <c r="A80" s="7" t="str">
        <f aca="false">IF(B80="","","S"&amp;TEXT(ROW()-4,"00"))</f>
        <v/>
      </c>
      <c r="B80" s="14"/>
      <c r="C80" s="14"/>
      <c r="D80" s="14"/>
      <c r="E80" s="14"/>
      <c r="F80" s="14"/>
      <c r="G80" s="14"/>
      <c r="H80" s="14"/>
      <c r="I80" s="14"/>
      <c r="J80" s="14"/>
      <c r="K80" s="14"/>
      <c r="L80" s="15"/>
      <c r="M80" s="15"/>
      <c r="N80" s="15"/>
      <c r="O80" s="15"/>
      <c r="P80" s="15"/>
      <c r="Q80" s="15"/>
      <c r="R80" s="16"/>
      <c r="S80" s="17"/>
      <c r="T80" s="17"/>
      <c r="U80" s="17"/>
      <c r="V80" s="18"/>
      <c r="W80" s="18"/>
      <c r="X80" s="18"/>
      <c r="Y80" s="17"/>
      <c r="Z80" s="17"/>
      <c r="AA80" s="17"/>
      <c r="AB80" s="17"/>
      <c r="AC80" s="17"/>
      <c r="AD80" s="17"/>
      <c r="AE80" s="17"/>
      <c r="AF80" s="17"/>
      <c r="AG80" s="17"/>
      <c r="AH80" s="14" t="str">
        <f aca="false">IF(B80="","",(R80&lt;=Budget)+(S80&lt;Deaths_Appetite)+(V80&lt;=Carbon_Budget)+(Y80=0)+(AB80&gt;=Recall_Target*100)+(AE80=0))</f>
        <v/>
      </c>
      <c r="AI80" s="14" t="str">
        <f aca="false">IF(B80="","",(R80&lt;=Budget)+(T80&lt;Deaths_Appetite)+(W80&lt;=Carbon_Budget)+(Z80=0)+(AC80&gt;=Recall_Target*100)+(AF80=0))</f>
        <v/>
      </c>
      <c r="AJ80" s="14" t="str">
        <f aca="false">IF(B80="","",(R80&lt;=Budget)+(U80&lt;Deaths_Appetite)+(X80&lt;=Carbon_Budget)+(AA80=0)+(AD80&gt;=Recall_Target*100)+(AG80=0))</f>
        <v/>
      </c>
    </row>
    <row r="81" customFormat="false" ht="15" hidden="false" customHeight="false" outlineLevel="0" collapsed="false">
      <c r="A81" s="7" t="str">
        <f aca="false">IF(B81="","","S"&amp;TEXT(ROW()-4,"00"))</f>
        <v/>
      </c>
      <c r="B81" s="14"/>
      <c r="C81" s="14"/>
      <c r="D81" s="14"/>
      <c r="E81" s="14"/>
      <c r="F81" s="14"/>
      <c r="G81" s="14"/>
      <c r="H81" s="14"/>
      <c r="I81" s="14"/>
      <c r="J81" s="14"/>
      <c r="K81" s="14"/>
      <c r="L81" s="15"/>
      <c r="M81" s="15"/>
      <c r="N81" s="15"/>
      <c r="O81" s="15"/>
      <c r="P81" s="15"/>
      <c r="Q81" s="15"/>
      <c r="R81" s="16"/>
      <c r="S81" s="17"/>
      <c r="T81" s="17"/>
      <c r="U81" s="17"/>
      <c r="V81" s="18"/>
      <c r="W81" s="18"/>
      <c r="X81" s="18"/>
      <c r="Y81" s="17"/>
      <c r="Z81" s="17"/>
      <c r="AA81" s="17"/>
      <c r="AB81" s="17"/>
      <c r="AC81" s="17"/>
      <c r="AD81" s="17"/>
      <c r="AE81" s="17"/>
      <c r="AF81" s="17"/>
      <c r="AG81" s="17"/>
      <c r="AH81" s="14" t="str">
        <f aca="false">IF(B81="","",(R81&lt;=Budget)+(S81&lt;Deaths_Appetite)+(V81&lt;=Carbon_Budget)+(Y81=0)+(AB81&gt;=Recall_Target*100)+(AE81=0))</f>
        <v/>
      </c>
      <c r="AI81" s="14" t="str">
        <f aca="false">IF(B81="","",(R81&lt;=Budget)+(T81&lt;Deaths_Appetite)+(W81&lt;=Carbon_Budget)+(Z81=0)+(AC81&gt;=Recall_Target*100)+(AF81=0))</f>
        <v/>
      </c>
      <c r="AJ81" s="14" t="str">
        <f aca="false">IF(B81="","",(R81&lt;=Budget)+(U81&lt;Deaths_Appetite)+(X81&lt;=Carbon_Budget)+(AA81=0)+(AD81&gt;=Recall_Target*100)+(AG81=0))</f>
        <v/>
      </c>
    </row>
    <row r="82" customFormat="false" ht="15" hidden="false" customHeight="false" outlineLevel="0" collapsed="false">
      <c r="A82" s="7" t="str">
        <f aca="false">IF(B82="","","S"&amp;TEXT(ROW()-4,"00"))</f>
        <v/>
      </c>
      <c r="B82" s="14"/>
      <c r="C82" s="14"/>
      <c r="D82" s="14"/>
      <c r="E82" s="14"/>
      <c r="F82" s="14"/>
      <c r="G82" s="14"/>
      <c r="H82" s="14"/>
      <c r="I82" s="14"/>
      <c r="J82" s="14"/>
      <c r="K82" s="14"/>
      <c r="L82" s="15"/>
      <c r="M82" s="15"/>
      <c r="N82" s="15"/>
      <c r="O82" s="15"/>
      <c r="P82" s="15"/>
      <c r="Q82" s="15"/>
      <c r="R82" s="16"/>
      <c r="S82" s="17"/>
      <c r="T82" s="17"/>
      <c r="U82" s="17"/>
      <c r="V82" s="18"/>
      <c r="W82" s="18"/>
      <c r="X82" s="18"/>
      <c r="Y82" s="17"/>
      <c r="Z82" s="17"/>
      <c r="AA82" s="17"/>
      <c r="AB82" s="17"/>
      <c r="AC82" s="17"/>
      <c r="AD82" s="17"/>
      <c r="AE82" s="17"/>
      <c r="AF82" s="17"/>
      <c r="AG82" s="17"/>
      <c r="AH82" s="14" t="str">
        <f aca="false">IF(B82="","",(R82&lt;=Budget)+(S82&lt;Deaths_Appetite)+(V82&lt;=Carbon_Budget)+(Y82=0)+(AB82&gt;=Recall_Target*100)+(AE82=0))</f>
        <v/>
      </c>
      <c r="AI82" s="14" t="str">
        <f aca="false">IF(B82="","",(R82&lt;=Budget)+(T82&lt;Deaths_Appetite)+(W82&lt;=Carbon_Budget)+(Z82=0)+(AC82&gt;=Recall_Target*100)+(AF82=0))</f>
        <v/>
      </c>
      <c r="AJ82" s="14" t="str">
        <f aca="false">IF(B82="","",(R82&lt;=Budget)+(U82&lt;Deaths_Appetite)+(X82&lt;=Carbon_Budget)+(AA82=0)+(AD82&gt;=Recall_Target*100)+(AG82=0))</f>
        <v/>
      </c>
    </row>
    <row r="83" customFormat="false" ht="15" hidden="false" customHeight="false" outlineLevel="0" collapsed="false">
      <c r="A83" s="7" t="str">
        <f aca="false">IF(B83="","","S"&amp;TEXT(ROW()-4,"00"))</f>
        <v/>
      </c>
      <c r="B83" s="14"/>
      <c r="C83" s="14"/>
      <c r="D83" s="14"/>
      <c r="E83" s="14"/>
      <c r="F83" s="14"/>
      <c r="G83" s="14"/>
      <c r="H83" s="14"/>
      <c r="I83" s="14"/>
      <c r="J83" s="14"/>
      <c r="K83" s="14"/>
      <c r="L83" s="15"/>
      <c r="M83" s="15"/>
      <c r="N83" s="15"/>
      <c r="O83" s="15"/>
      <c r="P83" s="15"/>
      <c r="Q83" s="15"/>
      <c r="R83" s="16"/>
      <c r="S83" s="17"/>
      <c r="T83" s="17"/>
      <c r="U83" s="17"/>
      <c r="V83" s="18"/>
      <c r="W83" s="18"/>
      <c r="X83" s="18"/>
      <c r="Y83" s="17"/>
      <c r="Z83" s="17"/>
      <c r="AA83" s="17"/>
      <c r="AB83" s="17"/>
      <c r="AC83" s="17"/>
      <c r="AD83" s="17"/>
      <c r="AE83" s="17"/>
      <c r="AF83" s="17"/>
      <c r="AG83" s="17"/>
      <c r="AH83" s="14" t="str">
        <f aca="false">IF(B83="","",(R83&lt;=Budget)+(S83&lt;Deaths_Appetite)+(V83&lt;=Carbon_Budget)+(Y83=0)+(AB83&gt;=Recall_Target*100)+(AE83=0))</f>
        <v/>
      </c>
      <c r="AI83" s="14" t="str">
        <f aca="false">IF(B83="","",(R83&lt;=Budget)+(T83&lt;Deaths_Appetite)+(W83&lt;=Carbon_Budget)+(Z83=0)+(AC83&gt;=Recall_Target*100)+(AF83=0))</f>
        <v/>
      </c>
      <c r="AJ83" s="14" t="str">
        <f aca="false">IF(B83="","",(R83&lt;=Budget)+(U83&lt;Deaths_Appetite)+(X83&lt;=Carbon_Budget)+(AA83=0)+(AD83&gt;=Recall_Target*100)+(AG83=0))</f>
        <v/>
      </c>
    </row>
    <row r="84" customFormat="false" ht="15" hidden="false" customHeight="false" outlineLevel="0" collapsed="false">
      <c r="A84" s="7" t="str">
        <f aca="false">IF(B84="","","S"&amp;TEXT(ROW()-4,"00"))</f>
        <v/>
      </c>
      <c r="B84" s="14"/>
      <c r="C84" s="14"/>
      <c r="D84" s="14"/>
      <c r="E84" s="14"/>
      <c r="F84" s="14"/>
      <c r="G84" s="14"/>
      <c r="H84" s="14"/>
      <c r="I84" s="14"/>
      <c r="J84" s="14"/>
      <c r="K84" s="14"/>
      <c r="L84" s="15"/>
      <c r="M84" s="15"/>
      <c r="N84" s="15"/>
      <c r="O84" s="15"/>
      <c r="P84" s="15"/>
      <c r="Q84" s="15"/>
      <c r="R84" s="16"/>
      <c r="S84" s="17"/>
      <c r="T84" s="17"/>
      <c r="U84" s="17"/>
      <c r="V84" s="18"/>
      <c r="W84" s="18"/>
      <c r="X84" s="18"/>
      <c r="Y84" s="17"/>
      <c r="Z84" s="17"/>
      <c r="AA84" s="17"/>
      <c r="AB84" s="17"/>
      <c r="AC84" s="17"/>
      <c r="AD84" s="17"/>
      <c r="AE84" s="17"/>
      <c r="AF84" s="17"/>
      <c r="AG84" s="17"/>
      <c r="AH84" s="14" t="str">
        <f aca="false">IF(B84="","",(R84&lt;=Budget)+(S84&lt;Deaths_Appetite)+(V84&lt;=Carbon_Budget)+(Y84=0)+(AB84&gt;=Recall_Target*100)+(AE84=0))</f>
        <v/>
      </c>
      <c r="AI84" s="14" t="str">
        <f aca="false">IF(B84="","",(R84&lt;=Budget)+(T84&lt;Deaths_Appetite)+(W84&lt;=Carbon_Budget)+(Z84=0)+(AC84&gt;=Recall_Target*100)+(AF84=0))</f>
        <v/>
      </c>
      <c r="AJ84" s="14" t="str">
        <f aca="false">IF(B84="","",(R84&lt;=Budget)+(U84&lt;Deaths_Appetite)+(X84&lt;=Carbon_Budget)+(AA84=0)+(AD84&gt;=Recall_Target*100)+(AG84=0))</f>
        <v/>
      </c>
    </row>
    <row r="85" customFormat="false" ht="15" hidden="false" customHeight="false" outlineLevel="0" collapsed="false">
      <c r="A85" s="7" t="str">
        <f aca="false">IF(B85="","","S"&amp;TEXT(ROW()-4,"00"))</f>
        <v/>
      </c>
      <c r="B85" s="14"/>
      <c r="C85" s="14"/>
      <c r="D85" s="14"/>
      <c r="E85" s="14"/>
      <c r="F85" s="14"/>
      <c r="G85" s="14"/>
      <c r="H85" s="14"/>
      <c r="I85" s="14"/>
      <c r="J85" s="14"/>
      <c r="K85" s="14"/>
      <c r="L85" s="15"/>
      <c r="M85" s="15"/>
      <c r="N85" s="15"/>
      <c r="O85" s="15"/>
      <c r="P85" s="15"/>
      <c r="Q85" s="15"/>
      <c r="R85" s="16"/>
      <c r="S85" s="17"/>
      <c r="T85" s="17"/>
      <c r="U85" s="17"/>
      <c r="V85" s="18"/>
      <c r="W85" s="18"/>
      <c r="X85" s="18"/>
      <c r="Y85" s="17"/>
      <c r="Z85" s="17"/>
      <c r="AA85" s="17"/>
      <c r="AB85" s="17"/>
      <c r="AC85" s="17"/>
      <c r="AD85" s="17"/>
      <c r="AE85" s="17"/>
      <c r="AF85" s="17"/>
      <c r="AG85" s="17"/>
      <c r="AH85" s="14" t="str">
        <f aca="false">IF(B85="","",(R85&lt;=Budget)+(S85&lt;Deaths_Appetite)+(V85&lt;=Carbon_Budget)+(Y85=0)+(AB85&gt;=Recall_Target*100)+(AE85=0))</f>
        <v/>
      </c>
      <c r="AI85" s="14" t="str">
        <f aca="false">IF(B85="","",(R85&lt;=Budget)+(T85&lt;Deaths_Appetite)+(W85&lt;=Carbon_Budget)+(Z85=0)+(AC85&gt;=Recall_Target*100)+(AF85=0))</f>
        <v/>
      </c>
      <c r="AJ85" s="14" t="str">
        <f aca="false">IF(B85="","",(R85&lt;=Budget)+(U85&lt;Deaths_Appetite)+(X85&lt;=Carbon_Budget)+(AA85=0)+(AD85&gt;=Recall_Target*100)+(AG85=0))</f>
        <v/>
      </c>
    </row>
    <row r="86" customFormat="false" ht="15" hidden="false" customHeight="false" outlineLevel="0" collapsed="false">
      <c r="A86" s="7" t="str">
        <f aca="false">IF(B86="","","S"&amp;TEXT(ROW()-4,"00"))</f>
        <v/>
      </c>
      <c r="B86" s="14"/>
      <c r="C86" s="14"/>
      <c r="D86" s="14"/>
      <c r="E86" s="14"/>
      <c r="F86" s="14"/>
      <c r="G86" s="14"/>
      <c r="H86" s="14"/>
      <c r="I86" s="14"/>
      <c r="J86" s="14"/>
      <c r="K86" s="14"/>
      <c r="L86" s="15"/>
      <c r="M86" s="15"/>
      <c r="N86" s="15"/>
      <c r="O86" s="15"/>
      <c r="P86" s="15"/>
      <c r="Q86" s="15"/>
      <c r="R86" s="16"/>
      <c r="S86" s="17"/>
      <c r="T86" s="17"/>
      <c r="U86" s="17"/>
      <c r="V86" s="18"/>
      <c r="W86" s="18"/>
      <c r="X86" s="18"/>
      <c r="Y86" s="17"/>
      <c r="Z86" s="17"/>
      <c r="AA86" s="17"/>
      <c r="AB86" s="17"/>
      <c r="AC86" s="17"/>
      <c r="AD86" s="17"/>
      <c r="AE86" s="17"/>
      <c r="AF86" s="17"/>
      <c r="AG86" s="17"/>
      <c r="AH86" s="14" t="str">
        <f aca="false">IF(B86="","",(R86&lt;=Budget)+(S86&lt;Deaths_Appetite)+(V86&lt;=Carbon_Budget)+(Y86=0)+(AB86&gt;=Recall_Target*100)+(AE86=0))</f>
        <v/>
      </c>
      <c r="AI86" s="14" t="str">
        <f aca="false">IF(B86="","",(R86&lt;=Budget)+(T86&lt;Deaths_Appetite)+(W86&lt;=Carbon_Budget)+(Z86=0)+(AC86&gt;=Recall_Target*100)+(AF86=0))</f>
        <v/>
      </c>
      <c r="AJ86" s="14" t="str">
        <f aca="false">IF(B86="","",(R86&lt;=Budget)+(U86&lt;Deaths_Appetite)+(X86&lt;=Carbon_Budget)+(AA86=0)+(AD86&gt;=Recall_Target*100)+(AG86=0))</f>
        <v/>
      </c>
    </row>
    <row r="87" customFormat="false" ht="15" hidden="false" customHeight="false" outlineLevel="0" collapsed="false">
      <c r="A87" s="7" t="str">
        <f aca="false">IF(B87="","","S"&amp;TEXT(ROW()-4,"00"))</f>
        <v/>
      </c>
      <c r="B87" s="14"/>
      <c r="C87" s="14"/>
      <c r="D87" s="14"/>
      <c r="E87" s="14"/>
      <c r="F87" s="14"/>
      <c r="G87" s="14"/>
      <c r="H87" s="14"/>
      <c r="I87" s="14"/>
      <c r="J87" s="14"/>
      <c r="K87" s="14"/>
      <c r="L87" s="15"/>
      <c r="M87" s="15"/>
      <c r="N87" s="15"/>
      <c r="O87" s="15"/>
      <c r="P87" s="15"/>
      <c r="Q87" s="15"/>
      <c r="R87" s="16"/>
      <c r="S87" s="17"/>
      <c r="T87" s="17"/>
      <c r="U87" s="17"/>
      <c r="V87" s="18"/>
      <c r="W87" s="18"/>
      <c r="X87" s="18"/>
      <c r="Y87" s="17"/>
      <c r="Z87" s="17"/>
      <c r="AA87" s="17"/>
      <c r="AB87" s="17"/>
      <c r="AC87" s="17"/>
      <c r="AD87" s="17"/>
      <c r="AE87" s="17"/>
      <c r="AF87" s="17"/>
      <c r="AG87" s="17"/>
      <c r="AH87" s="14" t="str">
        <f aca="false">IF(B87="","",(R87&lt;=Budget)+(S87&lt;Deaths_Appetite)+(V87&lt;=Carbon_Budget)+(Y87=0)+(AB87&gt;=Recall_Target*100)+(AE87=0))</f>
        <v/>
      </c>
      <c r="AI87" s="14" t="str">
        <f aca="false">IF(B87="","",(R87&lt;=Budget)+(T87&lt;Deaths_Appetite)+(W87&lt;=Carbon_Budget)+(Z87=0)+(AC87&gt;=Recall_Target*100)+(AF87=0))</f>
        <v/>
      </c>
      <c r="AJ87" s="14" t="str">
        <f aca="false">IF(B87="","",(R87&lt;=Budget)+(U87&lt;Deaths_Appetite)+(X87&lt;=Carbon_Budget)+(AA87=0)+(AD87&gt;=Recall_Target*100)+(AG87=0))</f>
        <v/>
      </c>
    </row>
    <row r="88" customFormat="false" ht="15" hidden="false" customHeight="false" outlineLevel="0" collapsed="false">
      <c r="A88" s="7" t="str">
        <f aca="false">IF(B88="","","S"&amp;TEXT(ROW()-4,"00"))</f>
        <v/>
      </c>
      <c r="B88" s="14"/>
      <c r="C88" s="14"/>
      <c r="D88" s="14"/>
      <c r="E88" s="14"/>
      <c r="F88" s="14"/>
      <c r="G88" s="14"/>
      <c r="H88" s="14"/>
      <c r="I88" s="14"/>
      <c r="J88" s="14"/>
      <c r="K88" s="14"/>
      <c r="L88" s="15"/>
      <c r="M88" s="15"/>
      <c r="N88" s="15"/>
      <c r="O88" s="15"/>
      <c r="P88" s="15"/>
      <c r="Q88" s="15"/>
      <c r="R88" s="16"/>
      <c r="S88" s="17"/>
      <c r="T88" s="17"/>
      <c r="U88" s="17"/>
      <c r="V88" s="18"/>
      <c r="W88" s="18"/>
      <c r="X88" s="18"/>
      <c r="Y88" s="17"/>
      <c r="Z88" s="17"/>
      <c r="AA88" s="17"/>
      <c r="AB88" s="17"/>
      <c r="AC88" s="17"/>
      <c r="AD88" s="17"/>
      <c r="AE88" s="17"/>
      <c r="AF88" s="17"/>
      <c r="AG88" s="17"/>
      <c r="AH88" s="14" t="str">
        <f aca="false">IF(B88="","",(R88&lt;=Budget)+(S88&lt;Deaths_Appetite)+(V88&lt;=Carbon_Budget)+(Y88=0)+(AB88&gt;=Recall_Target*100)+(AE88=0))</f>
        <v/>
      </c>
      <c r="AI88" s="14" t="str">
        <f aca="false">IF(B88="","",(R88&lt;=Budget)+(T88&lt;Deaths_Appetite)+(W88&lt;=Carbon_Budget)+(Z88=0)+(AC88&gt;=Recall_Target*100)+(AF88=0))</f>
        <v/>
      </c>
      <c r="AJ88" s="14" t="str">
        <f aca="false">IF(B88="","",(R88&lt;=Budget)+(U88&lt;Deaths_Appetite)+(X88&lt;=Carbon_Budget)+(AA88=0)+(AD88&gt;=Recall_Target*100)+(AG88=0))</f>
        <v/>
      </c>
    </row>
    <row r="89" customFormat="false" ht="15" hidden="false" customHeight="false" outlineLevel="0" collapsed="false">
      <c r="A89" s="7" t="str">
        <f aca="false">IF(B89="","","S"&amp;TEXT(ROW()-4,"00"))</f>
        <v/>
      </c>
      <c r="B89" s="14"/>
      <c r="C89" s="14"/>
      <c r="D89" s="14"/>
      <c r="E89" s="14"/>
      <c r="F89" s="14"/>
      <c r="G89" s="14"/>
      <c r="H89" s="14"/>
      <c r="I89" s="14"/>
      <c r="J89" s="14"/>
      <c r="K89" s="14"/>
      <c r="L89" s="15"/>
      <c r="M89" s="15"/>
      <c r="N89" s="15"/>
      <c r="O89" s="15"/>
      <c r="P89" s="15"/>
      <c r="Q89" s="15"/>
      <c r="R89" s="16"/>
      <c r="S89" s="17"/>
      <c r="T89" s="17"/>
      <c r="U89" s="17"/>
      <c r="V89" s="18"/>
      <c r="W89" s="18"/>
      <c r="X89" s="18"/>
      <c r="Y89" s="17"/>
      <c r="Z89" s="17"/>
      <c r="AA89" s="17"/>
      <c r="AB89" s="17"/>
      <c r="AC89" s="17"/>
      <c r="AD89" s="17"/>
      <c r="AE89" s="17"/>
      <c r="AF89" s="17"/>
      <c r="AG89" s="17"/>
      <c r="AH89" s="14" t="str">
        <f aca="false">IF(B89="","",(R89&lt;=Budget)+(S89&lt;Deaths_Appetite)+(V89&lt;=Carbon_Budget)+(Y89=0)+(AB89&gt;=Recall_Target*100)+(AE89=0))</f>
        <v/>
      </c>
      <c r="AI89" s="14" t="str">
        <f aca="false">IF(B89="","",(R89&lt;=Budget)+(T89&lt;Deaths_Appetite)+(W89&lt;=Carbon_Budget)+(Z89=0)+(AC89&gt;=Recall_Target*100)+(AF89=0))</f>
        <v/>
      </c>
      <c r="AJ89" s="14" t="str">
        <f aca="false">IF(B89="","",(R89&lt;=Budget)+(U89&lt;Deaths_Appetite)+(X89&lt;=Carbon_Budget)+(AA89=0)+(AD89&gt;=Recall_Target*100)+(AG89=0))</f>
        <v/>
      </c>
    </row>
    <row r="90" customFormat="false" ht="15" hidden="false" customHeight="false" outlineLevel="0" collapsed="false">
      <c r="A90" s="7" t="str">
        <f aca="false">IF(B90="","","S"&amp;TEXT(ROW()-4,"00"))</f>
        <v/>
      </c>
      <c r="B90" s="14"/>
      <c r="C90" s="14"/>
      <c r="D90" s="14"/>
      <c r="E90" s="14"/>
      <c r="F90" s="14"/>
      <c r="G90" s="14"/>
      <c r="H90" s="14"/>
      <c r="I90" s="14"/>
      <c r="J90" s="14"/>
      <c r="K90" s="14"/>
      <c r="L90" s="15"/>
      <c r="M90" s="15"/>
      <c r="N90" s="15"/>
      <c r="O90" s="15"/>
      <c r="P90" s="15"/>
      <c r="Q90" s="15"/>
      <c r="R90" s="16"/>
      <c r="S90" s="17"/>
      <c r="T90" s="17"/>
      <c r="U90" s="17"/>
      <c r="V90" s="18"/>
      <c r="W90" s="18"/>
      <c r="X90" s="18"/>
      <c r="Y90" s="17"/>
      <c r="Z90" s="17"/>
      <c r="AA90" s="17"/>
      <c r="AB90" s="17"/>
      <c r="AC90" s="17"/>
      <c r="AD90" s="17"/>
      <c r="AE90" s="17"/>
      <c r="AF90" s="17"/>
      <c r="AG90" s="17"/>
      <c r="AH90" s="14" t="str">
        <f aca="false">IF(B90="","",(R90&lt;=Budget)+(S90&lt;Deaths_Appetite)+(V90&lt;=Carbon_Budget)+(Y90=0)+(AB90&gt;=Recall_Target*100)+(AE90=0))</f>
        <v/>
      </c>
      <c r="AI90" s="14" t="str">
        <f aca="false">IF(B90="","",(R90&lt;=Budget)+(T90&lt;Deaths_Appetite)+(W90&lt;=Carbon_Budget)+(Z90=0)+(AC90&gt;=Recall_Target*100)+(AF90=0))</f>
        <v/>
      </c>
      <c r="AJ90" s="14" t="str">
        <f aca="false">IF(B90="","",(R90&lt;=Budget)+(U90&lt;Deaths_Appetite)+(X90&lt;=Carbon_Budget)+(AA90=0)+(AD90&gt;=Recall_Target*100)+(AG90=0))</f>
        <v/>
      </c>
    </row>
    <row r="91" customFormat="false" ht="15" hidden="false" customHeight="false" outlineLevel="0" collapsed="false">
      <c r="A91" s="7" t="str">
        <f aca="false">IF(B91="","","S"&amp;TEXT(ROW()-4,"00"))</f>
        <v/>
      </c>
      <c r="B91" s="14"/>
      <c r="C91" s="14"/>
      <c r="D91" s="14"/>
      <c r="E91" s="14"/>
      <c r="F91" s="14"/>
      <c r="G91" s="14"/>
      <c r="H91" s="14"/>
      <c r="I91" s="14"/>
      <c r="J91" s="14"/>
      <c r="K91" s="14"/>
      <c r="L91" s="15"/>
      <c r="M91" s="15"/>
      <c r="N91" s="15"/>
      <c r="O91" s="15"/>
      <c r="P91" s="15"/>
      <c r="Q91" s="15"/>
      <c r="R91" s="16"/>
      <c r="S91" s="17"/>
      <c r="T91" s="17"/>
      <c r="U91" s="17"/>
      <c r="V91" s="18"/>
      <c r="W91" s="18"/>
      <c r="X91" s="18"/>
      <c r="Y91" s="17"/>
      <c r="Z91" s="17"/>
      <c r="AA91" s="17"/>
      <c r="AB91" s="17"/>
      <c r="AC91" s="17"/>
      <c r="AD91" s="17"/>
      <c r="AE91" s="17"/>
      <c r="AF91" s="17"/>
      <c r="AG91" s="17"/>
      <c r="AH91" s="14" t="str">
        <f aca="false">IF(B91="","",(R91&lt;=Budget)+(S91&lt;Deaths_Appetite)+(V91&lt;=Carbon_Budget)+(Y91=0)+(AB91&gt;=Recall_Target*100)+(AE91=0))</f>
        <v/>
      </c>
      <c r="AI91" s="14" t="str">
        <f aca="false">IF(B91="","",(R91&lt;=Budget)+(T91&lt;Deaths_Appetite)+(W91&lt;=Carbon_Budget)+(Z91=0)+(AC91&gt;=Recall_Target*100)+(AF91=0))</f>
        <v/>
      </c>
      <c r="AJ91" s="14" t="str">
        <f aca="false">IF(B91="","",(R91&lt;=Budget)+(U91&lt;Deaths_Appetite)+(X91&lt;=Carbon_Budget)+(AA91=0)+(AD91&gt;=Recall_Target*100)+(AG91=0))</f>
        <v/>
      </c>
    </row>
    <row r="92" customFormat="false" ht="15" hidden="false" customHeight="false" outlineLevel="0" collapsed="false">
      <c r="A92" s="7" t="str">
        <f aca="false">IF(B92="","","S"&amp;TEXT(ROW()-4,"00"))</f>
        <v/>
      </c>
      <c r="B92" s="14"/>
      <c r="C92" s="14"/>
      <c r="D92" s="14"/>
      <c r="E92" s="14"/>
      <c r="F92" s="14"/>
      <c r="G92" s="14"/>
      <c r="H92" s="14"/>
      <c r="I92" s="14"/>
      <c r="J92" s="14"/>
      <c r="K92" s="14"/>
      <c r="L92" s="15"/>
      <c r="M92" s="15"/>
      <c r="N92" s="15"/>
      <c r="O92" s="15"/>
      <c r="P92" s="15"/>
      <c r="Q92" s="15"/>
      <c r="R92" s="16"/>
      <c r="S92" s="17"/>
      <c r="T92" s="17"/>
      <c r="U92" s="17"/>
      <c r="V92" s="18"/>
      <c r="W92" s="18"/>
      <c r="X92" s="18"/>
      <c r="Y92" s="17"/>
      <c r="Z92" s="17"/>
      <c r="AA92" s="17"/>
      <c r="AB92" s="17"/>
      <c r="AC92" s="17"/>
      <c r="AD92" s="17"/>
      <c r="AE92" s="17"/>
      <c r="AF92" s="17"/>
      <c r="AG92" s="17"/>
      <c r="AH92" s="14" t="str">
        <f aca="false">IF(B92="","",(R92&lt;=Budget)+(S92&lt;Deaths_Appetite)+(V92&lt;=Carbon_Budget)+(Y92=0)+(AB92&gt;=Recall_Target*100)+(AE92=0))</f>
        <v/>
      </c>
      <c r="AI92" s="14" t="str">
        <f aca="false">IF(B92="","",(R92&lt;=Budget)+(T92&lt;Deaths_Appetite)+(W92&lt;=Carbon_Budget)+(Z92=0)+(AC92&gt;=Recall_Target*100)+(AF92=0))</f>
        <v/>
      </c>
      <c r="AJ92" s="14" t="str">
        <f aca="false">IF(B92="","",(R92&lt;=Budget)+(U92&lt;Deaths_Appetite)+(X92&lt;=Carbon_Budget)+(AA92=0)+(AD92&gt;=Recall_Target*100)+(AG92=0))</f>
        <v/>
      </c>
    </row>
    <row r="93" customFormat="false" ht="15" hidden="false" customHeight="false" outlineLevel="0" collapsed="false">
      <c r="A93" s="7" t="str">
        <f aca="false">IF(B93="","","S"&amp;TEXT(ROW()-4,"00"))</f>
        <v/>
      </c>
      <c r="B93" s="14"/>
      <c r="C93" s="14"/>
      <c r="D93" s="14"/>
      <c r="E93" s="14"/>
      <c r="F93" s="14"/>
      <c r="G93" s="14"/>
      <c r="H93" s="14"/>
      <c r="I93" s="14"/>
      <c r="J93" s="14"/>
      <c r="K93" s="14"/>
      <c r="L93" s="15"/>
      <c r="M93" s="15"/>
      <c r="N93" s="15"/>
      <c r="O93" s="15"/>
      <c r="P93" s="15"/>
      <c r="Q93" s="15"/>
      <c r="R93" s="16"/>
      <c r="S93" s="17"/>
      <c r="T93" s="17"/>
      <c r="U93" s="17"/>
      <c r="V93" s="18"/>
      <c r="W93" s="18"/>
      <c r="X93" s="18"/>
      <c r="Y93" s="17"/>
      <c r="Z93" s="17"/>
      <c r="AA93" s="17"/>
      <c r="AB93" s="17"/>
      <c r="AC93" s="17"/>
      <c r="AD93" s="17"/>
      <c r="AE93" s="17"/>
      <c r="AF93" s="17"/>
      <c r="AG93" s="17"/>
      <c r="AH93" s="14" t="str">
        <f aca="false">IF(B93="","",(R93&lt;=Budget)+(S93&lt;Deaths_Appetite)+(V93&lt;=Carbon_Budget)+(Y93=0)+(AB93&gt;=Recall_Target*100)+(AE93=0))</f>
        <v/>
      </c>
      <c r="AI93" s="14" t="str">
        <f aca="false">IF(B93="","",(R93&lt;=Budget)+(T93&lt;Deaths_Appetite)+(W93&lt;=Carbon_Budget)+(Z93=0)+(AC93&gt;=Recall_Target*100)+(AF93=0))</f>
        <v/>
      </c>
      <c r="AJ93" s="14" t="str">
        <f aca="false">IF(B93="","",(R93&lt;=Budget)+(U93&lt;Deaths_Appetite)+(X93&lt;=Carbon_Budget)+(AA93=0)+(AD93&gt;=Recall_Target*100)+(AG93=0))</f>
        <v/>
      </c>
    </row>
    <row r="94" customFormat="false" ht="15" hidden="false" customHeight="false" outlineLevel="0" collapsed="false">
      <c r="A94" s="7" t="str">
        <f aca="false">IF(B94="","","S"&amp;TEXT(ROW()-4,"00"))</f>
        <v/>
      </c>
      <c r="B94" s="14"/>
      <c r="C94" s="14"/>
      <c r="D94" s="14"/>
      <c r="E94" s="14"/>
      <c r="F94" s="14"/>
      <c r="G94" s="14"/>
      <c r="H94" s="14"/>
      <c r="I94" s="14"/>
      <c r="J94" s="14"/>
      <c r="K94" s="14"/>
      <c r="L94" s="15"/>
      <c r="M94" s="15"/>
      <c r="N94" s="15"/>
      <c r="O94" s="15"/>
      <c r="P94" s="15"/>
      <c r="Q94" s="15"/>
      <c r="R94" s="16"/>
      <c r="S94" s="17"/>
      <c r="T94" s="17"/>
      <c r="U94" s="17"/>
      <c r="V94" s="18"/>
      <c r="W94" s="18"/>
      <c r="X94" s="18"/>
      <c r="Y94" s="17"/>
      <c r="Z94" s="17"/>
      <c r="AA94" s="17"/>
      <c r="AB94" s="17"/>
      <c r="AC94" s="17"/>
      <c r="AD94" s="17"/>
      <c r="AE94" s="17"/>
      <c r="AF94" s="17"/>
      <c r="AG94" s="17"/>
      <c r="AH94" s="14" t="str">
        <f aca="false">IF(B94="","",(R94&lt;=Budget)+(S94&lt;Deaths_Appetite)+(V94&lt;=Carbon_Budget)+(Y94=0)+(AB94&gt;=Recall_Target*100)+(AE94=0))</f>
        <v/>
      </c>
      <c r="AI94" s="14" t="str">
        <f aca="false">IF(B94="","",(R94&lt;=Budget)+(T94&lt;Deaths_Appetite)+(W94&lt;=Carbon_Budget)+(Z94=0)+(AC94&gt;=Recall_Target*100)+(AF94=0))</f>
        <v/>
      </c>
      <c r="AJ94" s="14" t="str">
        <f aca="false">IF(B94="","",(R94&lt;=Budget)+(U94&lt;Deaths_Appetite)+(X94&lt;=Carbon_Budget)+(AA94=0)+(AD94&gt;=Recall_Target*100)+(AG94=0))</f>
        <v/>
      </c>
    </row>
    <row r="95" customFormat="false" ht="15" hidden="false" customHeight="false" outlineLevel="0" collapsed="false">
      <c r="A95" s="7" t="str">
        <f aca="false">IF(B95="","","S"&amp;TEXT(ROW()-4,"00"))</f>
        <v/>
      </c>
      <c r="B95" s="14"/>
      <c r="C95" s="14"/>
      <c r="D95" s="14"/>
      <c r="E95" s="14"/>
      <c r="F95" s="14"/>
      <c r="G95" s="14"/>
      <c r="H95" s="14"/>
      <c r="I95" s="14"/>
      <c r="J95" s="14"/>
      <c r="K95" s="14"/>
      <c r="L95" s="15"/>
      <c r="M95" s="15"/>
      <c r="N95" s="15"/>
      <c r="O95" s="15"/>
      <c r="P95" s="15"/>
      <c r="Q95" s="15"/>
      <c r="R95" s="16"/>
      <c r="S95" s="17"/>
      <c r="T95" s="17"/>
      <c r="U95" s="17"/>
      <c r="V95" s="18"/>
      <c r="W95" s="18"/>
      <c r="X95" s="18"/>
      <c r="Y95" s="17"/>
      <c r="Z95" s="17"/>
      <c r="AA95" s="17"/>
      <c r="AB95" s="17"/>
      <c r="AC95" s="17"/>
      <c r="AD95" s="17"/>
      <c r="AE95" s="17"/>
      <c r="AF95" s="17"/>
      <c r="AG95" s="17"/>
      <c r="AH95" s="14" t="str">
        <f aca="false">IF(B95="","",(R95&lt;=Budget)+(S95&lt;Deaths_Appetite)+(V95&lt;=Carbon_Budget)+(Y95=0)+(AB95&gt;=Recall_Target*100)+(AE95=0))</f>
        <v/>
      </c>
      <c r="AI95" s="14" t="str">
        <f aca="false">IF(B95="","",(R95&lt;=Budget)+(T95&lt;Deaths_Appetite)+(W95&lt;=Carbon_Budget)+(Z95=0)+(AC95&gt;=Recall_Target*100)+(AF95=0))</f>
        <v/>
      </c>
      <c r="AJ95" s="14" t="str">
        <f aca="false">IF(B95="","",(R95&lt;=Budget)+(U95&lt;Deaths_Appetite)+(X95&lt;=Carbon_Budget)+(AA95=0)+(AD95&gt;=Recall_Target*100)+(AG95=0))</f>
        <v/>
      </c>
    </row>
    <row r="96" customFormat="false" ht="15" hidden="false" customHeight="false" outlineLevel="0" collapsed="false">
      <c r="A96" s="7" t="str">
        <f aca="false">IF(B96="","","S"&amp;TEXT(ROW()-4,"00"))</f>
        <v/>
      </c>
      <c r="B96" s="14"/>
      <c r="C96" s="14"/>
      <c r="D96" s="14"/>
      <c r="E96" s="14"/>
      <c r="F96" s="14"/>
      <c r="G96" s="14"/>
      <c r="H96" s="14"/>
      <c r="I96" s="14"/>
      <c r="J96" s="14"/>
      <c r="K96" s="14"/>
      <c r="L96" s="15"/>
      <c r="M96" s="15"/>
      <c r="N96" s="15"/>
      <c r="O96" s="15"/>
      <c r="P96" s="15"/>
      <c r="Q96" s="15"/>
      <c r="R96" s="16"/>
      <c r="S96" s="17"/>
      <c r="T96" s="17"/>
      <c r="U96" s="17"/>
      <c r="V96" s="18"/>
      <c r="W96" s="18"/>
      <c r="X96" s="18"/>
      <c r="Y96" s="17"/>
      <c r="Z96" s="17"/>
      <c r="AA96" s="17"/>
      <c r="AB96" s="17"/>
      <c r="AC96" s="17"/>
      <c r="AD96" s="17"/>
      <c r="AE96" s="17"/>
      <c r="AF96" s="17"/>
      <c r="AG96" s="17"/>
      <c r="AH96" s="14" t="str">
        <f aca="false">IF(B96="","",(R96&lt;=Budget)+(S96&lt;Deaths_Appetite)+(V96&lt;=Carbon_Budget)+(Y96=0)+(AB96&gt;=Recall_Target*100)+(AE96=0))</f>
        <v/>
      </c>
      <c r="AI96" s="14" t="str">
        <f aca="false">IF(B96="","",(R96&lt;=Budget)+(T96&lt;Deaths_Appetite)+(W96&lt;=Carbon_Budget)+(Z96=0)+(AC96&gt;=Recall_Target*100)+(AF96=0))</f>
        <v/>
      </c>
      <c r="AJ96" s="14" t="str">
        <f aca="false">IF(B96="","",(R96&lt;=Budget)+(U96&lt;Deaths_Appetite)+(X96&lt;=Carbon_Budget)+(AA96=0)+(AD96&gt;=Recall_Target*100)+(AG96=0))</f>
        <v/>
      </c>
    </row>
    <row r="97" customFormat="false" ht="15" hidden="false" customHeight="false" outlineLevel="0" collapsed="false">
      <c r="A97" s="7" t="str">
        <f aca="false">IF(B97="","","S"&amp;TEXT(ROW()-4,"00"))</f>
        <v/>
      </c>
      <c r="B97" s="14"/>
      <c r="C97" s="14"/>
      <c r="D97" s="14"/>
      <c r="E97" s="14"/>
      <c r="F97" s="14"/>
      <c r="G97" s="14"/>
      <c r="H97" s="14"/>
      <c r="I97" s="14"/>
      <c r="J97" s="14"/>
      <c r="K97" s="14"/>
      <c r="L97" s="15"/>
      <c r="M97" s="15"/>
      <c r="N97" s="15"/>
      <c r="O97" s="15"/>
      <c r="P97" s="15"/>
      <c r="Q97" s="15"/>
      <c r="R97" s="16"/>
      <c r="S97" s="17"/>
      <c r="T97" s="17"/>
      <c r="U97" s="17"/>
      <c r="V97" s="18"/>
      <c r="W97" s="18"/>
      <c r="X97" s="18"/>
      <c r="Y97" s="17"/>
      <c r="Z97" s="17"/>
      <c r="AA97" s="17"/>
      <c r="AB97" s="17"/>
      <c r="AC97" s="17"/>
      <c r="AD97" s="17"/>
      <c r="AE97" s="17"/>
      <c r="AF97" s="17"/>
      <c r="AG97" s="17"/>
      <c r="AH97" s="14" t="str">
        <f aca="false">IF(B97="","",(R97&lt;=Budget)+(S97&lt;Deaths_Appetite)+(V97&lt;=Carbon_Budget)+(Y97=0)+(AB97&gt;=Recall_Target*100)+(AE97=0))</f>
        <v/>
      </c>
      <c r="AI97" s="14" t="str">
        <f aca="false">IF(B97="","",(R97&lt;=Budget)+(T97&lt;Deaths_Appetite)+(W97&lt;=Carbon_Budget)+(Z97=0)+(AC97&gt;=Recall_Target*100)+(AF97=0))</f>
        <v/>
      </c>
      <c r="AJ97" s="14" t="str">
        <f aca="false">IF(B97="","",(R97&lt;=Budget)+(U97&lt;Deaths_Appetite)+(X97&lt;=Carbon_Budget)+(AA97=0)+(AD97&gt;=Recall_Target*100)+(AG97=0))</f>
        <v/>
      </c>
    </row>
    <row r="98" customFormat="false" ht="15" hidden="false" customHeight="false" outlineLevel="0" collapsed="false">
      <c r="A98" s="7" t="str">
        <f aca="false">IF(B98="","","S"&amp;TEXT(ROW()-4,"00"))</f>
        <v/>
      </c>
      <c r="B98" s="14"/>
      <c r="C98" s="14"/>
      <c r="D98" s="14"/>
      <c r="E98" s="14"/>
      <c r="F98" s="14"/>
      <c r="G98" s="14"/>
      <c r="H98" s="14"/>
      <c r="I98" s="14"/>
      <c r="J98" s="14"/>
      <c r="K98" s="14"/>
      <c r="L98" s="15"/>
      <c r="M98" s="15"/>
      <c r="N98" s="15"/>
      <c r="O98" s="15"/>
      <c r="P98" s="15"/>
      <c r="Q98" s="15"/>
      <c r="R98" s="16"/>
      <c r="S98" s="17"/>
      <c r="T98" s="17"/>
      <c r="U98" s="17"/>
      <c r="V98" s="18"/>
      <c r="W98" s="18"/>
      <c r="X98" s="18"/>
      <c r="Y98" s="17"/>
      <c r="Z98" s="17"/>
      <c r="AA98" s="17"/>
      <c r="AB98" s="17"/>
      <c r="AC98" s="17"/>
      <c r="AD98" s="17"/>
      <c r="AE98" s="17"/>
      <c r="AF98" s="17"/>
      <c r="AG98" s="17"/>
      <c r="AH98" s="14" t="str">
        <f aca="false">IF(B98="","",(R98&lt;=Budget)+(S98&lt;Deaths_Appetite)+(V98&lt;=Carbon_Budget)+(Y98=0)+(AB98&gt;=Recall_Target*100)+(AE98=0))</f>
        <v/>
      </c>
      <c r="AI98" s="14" t="str">
        <f aca="false">IF(B98="","",(R98&lt;=Budget)+(T98&lt;Deaths_Appetite)+(W98&lt;=Carbon_Budget)+(Z98=0)+(AC98&gt;=Recall_Target*100)+(AF98=0))</f>
        <v/>
      </c>
      <c r="AJ98" s="14" t="str">
        <f aca="false">IF(B98="","",(R98&lt;=Budget)+(U98&lt;Deaths_Appetite)+(X98&lt;=Carbon_Budget)+(AA98=0)+(AD98&gt;=Recall_Target*100)+(AG98=0))</f>
        <v/>
      </c>
    </row>
    <row r="99" customFormat="false" ht="15" hidden="false" customHeight="false" outlineLevel="0" collapsed="false">
      <c r="A99" s="7" t="str">
        <f aca="false">IF(B99="","","S"&amp;TEXT(ROW()-4,"00"))</f>
        <v/>
      </c>
      <c r="B99" s="14"/>
      <c r="C99" s="14"/>
      <c r="D99" s="14"/>
      <c r="E99" s="14"/>
      <c r="F99" s="14"/>
      <c r="G99" s="14"/>
      <c r="H99" s="14"/>
      <c r="I99" s="14"/>
      <c r="J99" s="14"/>
      <c r="K99" s="14"/>
      <c r="L99" s="15"/>
      <c r="M99" s="15"/>
      <c r="N99" s="15"/>
      <c r="O99" s="15"/>
      <c r="P99" s="15"/>
      <c r="Q99" s="15"/>
      <c r="R99" s="16"/>
      <c r="S99" s="17"/>
      <c r="T99" s="17"/>
      <c r="U99" s="17"/>
      <c r="V99" s="18"/>
      <c r="W99" s="18"/>
      <c r="X99" s="18"/>
      <c r="Y99" s="17"/>
      <c r="Z99" s="17"/>
      <c r="AA99" s="17"/>
      <c r="AB99" s="17"/>
      <c r="AC99" s="17"/>
      <c r="AD99" s="17"/>
      <c r="AE99" s="17"/>
      <c r="AF99" s="17"/>
      <c r="AG99" s="17"/>
      <c r="AH99" s="14" t="str">
        <f aca="false">IF(B99="","",(R99&lt;=Budget)+(S99&lt;Deaths_Appetite)+(V99&lt;=Carbon_Budget)+(Y99=0)+(AB99&gt;=Recall_Target*100)+(AE99=0))</f>
        <v/>
      </c>
      <c r="AI99" s="14" t="str">
        <f aca="false">IF(B99="","",(R99&lt;=Budget)+(T99&lt;Deaths_Appetite)+(W99&lt;=Carbon_Budget)+(Z99=0)+(AC99&gt;=Recall_Target*100)+(AF99=0))</f>
        <v/>
      </c>
      <c r="AJ99" s="14" t="str">
        <f aca="false">IF(B99="","",(R99&lt;=Budget)+(U99&lt;Deaths_Appetite)+(X99&lt;=Carbon_Budget)+(AA99=0)+(AD99&gt;=Recall_Target*100)+(AG99=0))</f>
        <v/>
      </c>
    </row>
    <row r="100" customFormat="false" ht="15" hidden="false" customHeight="false" outlineLevel="0" collapsed="false">
      <c r="A100" s="7" t="str">
        <f aca="false">IF(B100="","","S"&amp;TEXT(ROW()-4,"00"))</f>
        <v/>
      </c>
      <c r="B100" s="14"/>
      <c r="C100" s="14"/>
      <c r="D100" s="14"/>
      <c r="E100" s="14"/>
      <c r="F100" s="14"/>
      <c r="G100" s="14"/>
      <c r="H100" s="14"/>
      <c r="I100" s="14"/>
      <c r="J100" s="14"/>
      <c r="K100" s="14"/>
      <c r="L100" s="15"/>
      <c r="M100" s="15"/>
      <c r="N100" s="15"/>
      <c r="O100" s="15"/>
      <c r="P100" s="15"/>
      <c r="Q100" s="15"/>
      <c r="R100" s="16"/>
      <c r="S100" s="17"/>
      <c r="T100" s="17"/>
      <c r="U100" s="17"/>
      <c r="V100" s="18"/>
      <c r="W100" s="18"/>
      <c r="X100" s="18"/>
      <c r="Y100" s="17"/>
      <c r="Z100" s="17"/>
      <c r="AA100" s="17"/>
      <c r="AB100" s="17"/>
      <c r="AC100" s="17"/>
      <c r="AD100" s="17"/>
      <c r="AE100" s="17"/>
      <c r="AF100" s="17"/>
      <c r="AG100" s="17"/>
      <c r="AH100" s="14" t="str">
        <f aca="false">IF(B100="","",(R100&lt;=Budget)+(S100&lt;Deaths_Appetite)+(V100&lt;=Carbon_Budget)+(Y100=0)+(AB100&gt;=Recall_Target*100)+(AE100=0))</f>
        <v/>
      </c>
      <c r="AI100" s="14" t="str">
        <f aca="false">IF(B100="","",(R100&lt;=Budget)+(T100&lt;Deaths_Appetite)+(W100&lt;=Carbon_Budget)+(Z100=0)+(AC100&gt;=Recall_Target*100)+(AF100=0))</f>
        <v/>
      </c>
      <c r="AJ100" s="14" t="str">
        <f aca="false">IF(B100="","",(R100&lt;=Budget)+(U100&lt;Deaths_Appetite)+(X100&lt;=Carbon_Budget)+(AA100=0)+(AD100&gt;=Recall_Target*100)+(AG100=0))</f>
        <v/>
      </c>
    </row>
    <row r="101" customFormat="false" ht="15" hidden="false" customHeight="false" outlineLevel="0" collapsed="false">
      <c r="A101" s="7" t="str">
        <f aca="false">IF(B101="","","S"&amp;TEXT(ROW()-4,"00"))</f>
        <v/>
      </c>
      <c r="B101" s="14"/>
      <c r="C101" s="14"/>
      <c r="D101" s="14"/>
      <c r="E101" s="14"/>
      <c r="F101" s="14"/>
      <c r="G101" s="14"/>
      <c r="H101" s="14"/>
      <c r="I101" s="14"/>
      <c r="J101" s="14"/>
      <c r="K101" s="14"/>
      <c r="L101" s="15"/>
      <c r="M101" s="15"/>
      <c r="N101" s="15"/>
      <c r="O101" s="15"/>
      <c r="P101" s="15"/>
      <c r="Q101" s="15"/>
      <c r="R101" s="16"/>
      <c r="S101" s="17"/>
      <c r="T101" s="17"/>
      <c r="U101" s="17"/>
      <c r="V101" s="18"/>
      <c r="W101" s="18"/>
      <c r="X101" s="18"/>
      <c r="Y101" s="17"/>
      <c r="Z101" s="17"/>
      <c r="AA101" s="17"/>
      <c r="AB101" s="17"/>
      <c r="AC101" s="17"/>
      <c r="AD101" s="17"/>
      <c r="AE101" s="17"/>
      <c r="AF101" s="17"/>
      <c r="AG101" s="17"/>
      <c r="AH101" s="14" t="str">
        <f aca="false">IF(B101="","",(R101&lt;=Budget)+(S101&lt;Deaths_Appetite)+(V101&lt;=Carbon_Budget)+(Y101=0)+(AB101&gt;=Recall_Target*100)+(AE101=0))</f>
        <v/>
      </c>
      <c r="AI101" s="14" t="str">
        <f aca="false">IF(B101="","",(R101&lt;=Budget)+(T101&lt;Deaths_Appetite)+(W101&lt;=Carbon_Budget)+(Z101=0)+(AC101&gt;=Recall_Target*100)+(AF101=0))</f>
        <v/>
      </c>
      <c r="AJ101" s="14" t="str">
        <f aca="false">IF(B101="","",(R101&lt;=Budget)+(U101&lt;Deaths_Appetite)+(X101&lt;=Carbon_Budget)+(AA101=0)+(AD101&gt;=Recall_Target*100)+(AG101=0))</f>
        <v/>
      </c>
    </row>
    <row r="102" customFormat="false" ht="15" hidden="false" customHeight="false" outlineLevel="0" collapsed="false">
      <c r="A102" s="7" t="str">
        <f aca="false">IF(B102="","","S"&amp;TEXT(ROW()-4,"00"))</f>
        <v/>
      </c>
      <c r="B102" s="14"/>
      <c r="C102" s="14"/>
      <c r="D102" s="14"/>
      <c r="E102" s="14"/>
      <c r="F102" s="14"/>
      <c r="G102" s="14"/>
      <c r="H102" s="14"/>
      <c r="I102" s="14"/>
      <c r="J102" s="14"/>
      <c r="K102" s="14"/>
      <c r="L102" s="15"/>
      <c r="M102" s="15"/>
      <c r="N102" s="15"/>
      <c r="O102" s="15"/>
      <c r="P102" s="15"/>
      <c r="Q102" s="15"/>
      <c r="R102" s="16"/>
      <c r="S102" s="17"/>
      <c r="T102" s="17"/>
      <c r="U102" s="17"/>
      <c r="V102" s="18"/>
      <c r="W102" s="18"/>
      <c r="X102" s="18"/>
      <c r="Y102" s="17"/>
      <c r="Z102" s="17"/>
      <c r="AA102" s="17"/>
      <c r="AB102" s="17"/>
      <c r="AC102" s="17"/>
      <c r="AD102" s="17"/>
      <c r="AE102" s="17"/>
      <c r="AF102" s="17"/>
      <c r="AG102" s="17"/>
      <c r="AH102" s="14" t="str">
        <f aca="false">IF(B102="","",(R102&lt;=Budget)+(S102&lt;Deaths_Appetite)+(V102&lt;=Carbon_Budget)+(Y102=0)+(AB102&gt;=Recall_Target*100)+(AE102=0))</f>
        <v/>
      </c>
      <c r="AI102" s="14" t="str">
        <f aca="false">IF(B102="","",(R102&lt;=Budget)+(T102&lt;Deaths_Appetite)+(W102&lt;=Carbon_Budget)+(Z102=0)+(AC102&gt;=Recall_Target*100)+(AF102=0))</f>
        <v/>
      </c>
      <c r="AJ102" s="14" t="str">
        <f aca="false">IF(B102="","",(R102&lt;=Budget)+(U102&lt;Deaths_Appetite)+(X102&lt;=Carbon_Budget)+(AA102=0)+(AD102&gt;=Recall_Target*100)+(AG102=0))</f>
        <v/>
      </c>
    </row>
    <row r="103" customFormat="false" ht="15" hidden="false" customHeight="false" outlineLevel="0" collapsed="false">
      <c r="A103" s="7" t="str">
        <f aca="false">IF(B103="","","S"&amp;TEXT(ROW()-4,"00"))</f>
        <v/>
      </c>
      <c r="B103" s="14"/>
      <c r="C103" s="14"/>
      <c r="D103" s="14"/>
      <c r="E103" s="14"/>
      <c r="F103" s="14"/>
      <c r="G103" s="14"/>
      <c r="H103" s="14"/>
      <c r="I103" s="14"/>
      <c r="J103" s="14"/>
      <c r="K103" s="14"/>
      <c r="L103" s="15"/>
      <c r="M103" s="15"/>
      <c r="N103" s="15"/>
      <c r="O103" s="15"/>
      <c r="P103" s="15"/>
      <c r="Q103" s="15"/>
      <c r="R103" s="16"/>
      <c r="S103" s="17"/>
      <c r="T103" s="17"/>
      <c r="U103" s="17"/>
      <c r="V103" s="18"/>
      <c r="W103" s="18"/>
      <c r="X103" s="18"/>
      <c r="Y103" s="17"/>
      <c r="Z103" s="17"/>
      <c r="AA103" s="17"/>
      <c r="AB103" s="17"/>
      <c r="AC103" s="17"/>
      <c r="AD103" s="17"/>
      <c r="AE103" s="17"/>
      <c r="AF103" s="17"/>
      <c r="AG103" s="17"/>
      <c r="AH103" s="14" t="str">
        <f aca="false">IF(B103="","",(R103&lt;=Budget)+(S103&lt;Deaths_Appetite)+(V103&lt;=Carbon_Budget)+(Y103=0)+(AB103&gt;=Recall_Target*100)+(AE103=0))</f>
        <v/>
      </c>
      <c r="AI103" s="14" t="str">
        <f aca="false">IF(B103="","",(R103&lt;=Budget)+(T103&lt;Deaths_Appetite)+(W103&lt;=Carbon_Budget)+(Z103=0)+(AC103&gt;=Recall_Target*100)+(AF103=0))</f>
        <v/>
      </c>
      <c r="AJ103" s="14" t="str">
        <f aca="false">IF(B103="","",(R103&lt;=Budget)+(U103&lt;Deaths_Appetite)+(X103&lt;=Carbon_Budget)+(AA103=0)+(AD103&gt;=Recall_Target*100)+(AG103=0))</f>
        <v/>
      </c>
    </row>
    <row r="104" customFormat="false" ht="15" hidden="false" customHeight="false" outlineLevel="0" collapsed="false">
      <c r="A104" s="7" t="str">
        <f aca="false">IF(B104="","","S"&amp;TEXT(ROW()-4,"00"))</f>
        <v/>
      </c>
      <c r="B104" s="14"/>
      <c r="C104" s="14"/>
      <c r="D104" s="14"/>
      <c r="E104" s="14"/>
      <c r="F104" s="14"/>
      <c r="G104" s="14"/>
      <c r="H104" s="14"/>
      <c r="I104" s="14"/>
      <c r="J104" s="14"/>
      <c r="K104" s="14"/>
      <c r="L104" s="15"/>
      <c r="M104" s="15"/>
      <c r="N104" s="15"/>
      <c r="O104" s="15"/>
      <c r="P104" s="15"/>
      <c r="Q104" s="15"/>
      <c r="R104" s="16"/>
      <c r="S104" s="17"/>
      <c r="T104" s="17"/>
      <c r="U104" s="17"/>
      <c r="V104" s="18"/>
      <c r="W104" s="18"/>
      <c r="X104" s="18"/>
      <c r="Y104" s="17"/>
      <c r="Z104" s="17"/>
      <c r="AA104" s="17"/>
      <c r="AB104" s="17"/>
      <c r="AC104" s="17"/>
      <c r="AD104" s="17"/>
      <c r="AE104" s="17"/>
      <c r="AF104" s="17"/>
      <c r="AG104" s="17"/>
      <c r="AH104" s="14" t="str">
        <f aca="false">IF(B104="","",(R104&lt;=Budget)+(S104&lt;Deaths_Appetite)+(V104&lt;=Carbon_Budget)+(Y104=0)+(AB104&gt;=Recall_Target*100)+(AE104=0))</f>
        <v/>
      </c>
      <c r="AI104" s="14" t="str">
        <f aca="false">IF(B104="","",(R104&lt;=Budget)+(T104&lt;Deaths_Appetite)+(W104&lt;=Carbon_Budget)+(Z104=0)+(AC104&gt;=Recall_Target*100)+(AF104=0))</f>
        <v/>
      </c>
      <c r="AJ104" s="14" t="str">
        <f aca="false">IF(B104="","",(R104&lt;=Budget)+(U104&lt;Deaths_Appetite)+(X104&lt;=Carbon_Budget)+(AA104=0)+(AD104&gt;=Recall_Target*100)+(AG104=0))</f>
        <v/>
      </c>
    </row>
    <row r="105" customFormat="false" ht="15" hidden="false" customHeight="false" outlineLevel="0" collapsed="false">
      <c r="A105" s="7" t="str">
        <f aca="false">IF(B105="","","S"&amp;TEXT(ROW()-4,"00"))</f>
        <v/>
      </c>
      <c r="B105" s="14"/>
      <c r="C105" s="14"/>
      <c r="D105" s="14"/>
      <c r="E105" s="14"/>
      <c r="F105" s="14"/>
      <c r="G105" s="14"/>
      <c r="H105" s="14"/>
      <c r="I105" s="14"/>
      <c r="J105" s="14"/>
      <c r="K105" s="14"/>
      <c r="L105" s="15"/>
      <c r="M105" s="15"/>
      <c r="N105" s="15"/>
      <c r="O105" s="15"/>
      <c r="P105" s="15"/>
      <c r="Q105" s="15"/>
      <c r="R105" s="16"/>
      <c r="S105" s="17"/>
      <c r="T105" s="17"/>
      <c r="U105" s="17"/>
      <c r="V105" s="18"/>
      <c r="W105" s="18"/>
      <c r="X105" s="18"/>
      <c r="Y105" s="17"/>
      <c r="Z105" s="17"/>
      <c r="AA105" s="17"/>
      <c r="AB105" s="17"/>
      <c r="AC105" s="17"/>
      <c r="AD105" s="17"/>
      <c r="AE105" s="17"/>
      <c r="AF105" s="17"/>
      <c r="AG105" s="17"/>
      <c r="AH105" s="14" t="str">
        <f aca="false">IF(B105="","",(R105&lt;=Budget)+(S105&lt;Deaths_Appetite)+(V105&lt;=Carbon_Budget)+(Y105=0)+(AB105&gt;=Recall_Target*100)+(AE105=0))</f>
        <v/>
      </c>
      <c r="AI105" s="14" t="str">
        <f aca="false">IF(B105="","",(R105&lt;=Budget)+(T105&lt;Deaths_Appetite)+(W105&lt;=Carbon_Budget)+(Z105=0)+(AC105&gt;=Recall_Target*100)+(AF105=0))</f>
        <v/>
      </c>
      <c r="AJ105" s="14" t="str">
        <f aca="false">IF(B105="","",(R105&lt;=Budget)+(U105&lt;Deaths_Appetite)+(X105&lt;=Carbon_Budget)+(AA105=0)+(AD105&gt;=Recall_Target*100)+(AG105=0))</f>
        <v/>
      </c>
    </row>
    <row r="106" customFormat="false" ht="15" hidden="false" customHeight="false" outlineLevel="0" collapsed="false">
      <c r="A106" s="7" t="str">
        <f aca="false">IF(B106="","","S"&amp;TEXT(ROW()-4,"00"))</f>
        <v/>
      </c>
      <c r="B106" s="14"/>
      <c r="C106" s="14"/>
      <c r="D106" s="14"/>
      <c r="E106" s="14"/>
      <c r="F106" s="14"/>
      <c r="G106" s="14"/>
      <c r="H106" s="14"/>
      <c r="I106" s="14"/>
      <c r="J106" s="14"/>
      <c r="K106" s="14"/>
      <c r="L106" s="15"/>
      <c r="M106" s="15"/>
      <c r="N106" s="15"/>
      <c r="O106" s="15"/>
      <c r="P106" s="15"/>
      <c r="Q106" s="15"/>
      <c r="R106" s="16"/>
      <c r="S106" s="17"/>
      <c r="T106" s="17"/>
      <c r="U106" s="17"/>
      <c r="V106" s="18"/>
      <c r="W106" s="18"/>
      <c r="X106" s="18"/>
      <c r="Y106" s="17"/>
      <c r="Z106" s="17"/>
      <c r="AA106" s="17"/>
      <c r="AB106" s="17"/>
      <c r="AC106" s="17"/>
      <c r="AD106" s="17"/>
      <c r="AE106" s="17"/>
      <c r="AF106" s="17"/>
      <c r="AG106" s="17"/>
      <c r="AH106" s="14" t="str">
        <f aca="false">IF(B106="","",(R106&lt;=Budget)+(S106&lt;Deaths_Appetite)+(V106&lt;=Carbon_Budget)+(Y106=0)+(AB106&gt;=Recall_Target*100)+(AE106=0))</f>
        <v/>
      </c>
      <c r="AI106" s="14" t="str">
        <f aca="false">IF(B106="","",(R106&lt;=Budget)+(T106&lt;Deaths_Appetite)+(W106&lt;=Carbon_Budget)+(Z106=0)+(AC106&gt;=Recall_Target*100)+(AF106=0))</f>
        <v/>
      </c>
      <c r="AJ106" s="14" t="str">
        <f aca="false">IF(B106="","",(R106&lt;=Budget)+(U106&lt;Deaths_Appetite)+(X106&lt;=Carbon_Budget)+(AA106=0)+(AD106&gt;=Recall_Target*100)+(AG106=0))</f>
        <v/>
      </c>
    </row>
    <row r="107" customFormat="false" ht="15" hidden="false" customHeight="false" outlineLevel="0" collapsed="false">
      <c r="A107" s="7" t="str">
        <f aca="false">IF(B107="","","S"&amp;TEXT(ROW()-4,"00"))</f>
        <v/>
      </c>
      <c r="B107" s="14"/>
      <c r="C107" s="14"/>
      <c r="D107" s="14"/>
      <c r="E107" s="14"/>
      <c r="F107" s="14"/>
      <c r="G107" s="14"/>
      <c r="H107" s="14"/>
      <c r="I107" s="14"/>
      <c r="J107" s="14"/>
      <c r="K107" s="14"/>
      <c r="L107" s="15"/>
      <c r="M107" s="15"/>
      <c r="N107" s="15"/>
      <c r="O107" s="15"/>
      <c r="P107" s="15"/>
      <c r="Q107" s="15"/>
      <c r="R107" s="16"/>
      <c r="S107" s="17"/>
      <c r="T107" s="17"/>
      <c r="U107" s="17"/>
      <c r="V107" s="18"/>
      <c r="W107" s="18"/>
      <c r="X107" s="18"/>
      <c r="Y107" s="17"/>
      <c r="Z107" s="17"/>
      <c r="AA107" s="17"/>
      <c r="AB107" s="17"/>
      <c r="AC107" s="17"/>
      <c r="AD107" s="17"/>
      <c r="AE107" s="17"/>
      <c r="AF107" s="17"/>
      <c r="AG107" s="17"/>
      <c r="AH107" s="14" t="str">
        <f aca="false">IF(B107="","",(R107&lt;=Budget)+(S107&lt;Deaths_Appetite)+(V107&lt;=Carbon_Budget)+(Y107=0)+(AB107&gt;=Recall_Target*100)+(AE107=0))</f>
        <v/>
      </c>
      <c r="AI107" s="14" t="str">
        <f aca="false">IF(B107="","",(R107&lt;=Budget)+(T107&lt;Deaths_Appetite)+(W107&lt;=Carbon_Budget)+(Z107=0)+(AC107&gt;=Recall_Target*100)+(AF107=0))</f>
        <v/>
      </c>
      <c r="AJ107" s="14" t="str">
        <f aca="false">IF(B107="","",(R107&lt;=Budget)+(U107&lt;Deaths_Appetite)+(X107&lt;=Carbon_Budget)+(AA107=0)+(AD107&gt;=Recall_Target*100)+(AG107=0))</f>
        <v/>
      </c>
    </row>
    <row r="108" customFormat="false" ht="15" hidden="false" customHeight="false" outlineLevel="0" collapsed="false">
      <c r="A108" s="7" t="str">
        <f aca="false">IF(B108="","","S"&amp;TEXT(ROW()-4,"00"))</f>
        <v/>
      </c>
      <c r="B108" s="14"/>
      <c r="C108" s="14"/>
      <c r="D108" s="14"/>
      <c r="E108" s="14"/>
      <c r="F108" s="14"/>
      <c r="G108" s="14"/>
      <c r="H108" s="14"/>
      <c r="I108" s="14"/>
      <c r="J108" s="14"/>
      <c r="K108" s="14"/>
      <c r="L108" s="15"/>
      <c r="M108" s="15"/>
      <c r="N108" s="15"/>
      <c r="O108" s="15"/>
      <c r="P108" s="15"/>
      <c r="Q108" s="15"/>
      <c r="R108" s="16"/>
      <c r="S108" s="17"/>
      <c r="T108" s="17"/>
      <c r="U108" s="17"/>
      <c r="V108" s="18"/>
      <c r="W108" s="18"/>
      <c r="X108" s="18"/>
      <c r="Y108" s="17"/>
      <c r="Z108" s="17"/>
      <c r="AA108" s="17"/>
      <c r="AB108" s="17"/>
      <c r="AC108" s="17"/>
      <c r="AD108" s="17"/>
      <c r="AE108" s="17"/>
      <c r="AF108" s="17"/>
      <c r="AG108" s="17"/>
      <c r="AH108" s="14" t="str">
        <f aca="false">IF(B108="","",(R108&lt;=Budget)+(S108&lt;Deaths_Appetite)+(V108&lt;=Carbon_Budget)+(Y108=0)+(AB108&gt;=Recall_Target*100)+(AE108=0))</f>
        <v/>
      </c>
      <c r="AI108" s="14" t="str">
        <f aca="false">IF(B108="","",(R108&lt;=Budget)+(T108&lt;Deaths_Appetite)+(W108&lt;=Carbon_Budget)+(Z108=0)+(AC108&gt;=Recall_Target*100)+(AF108=0))</f>
        <v/>
      </c>
      <c r="AJ108" s="14" t="str">
        <f aca="false">IF(B108="","",(R108&lt;=Budget)+(U108&lt;Deaths_Appetite)+(X108&lt;=Carbon_Budget)+(AA108=0)+(AD108&gt;=Recall_Target*100)+(AG108=0))</f>
        <v/>
      </c>
    </row>
    <row r="109" customFormat="false" ht="15" hidden="false" customHeight="false" outlineLevel="0" collapsed="false">
      <c r="A109" s="7" t="str">
        <f aca="false">IF(B109="","","S"&amp;TEXT(ROW()-4,"00"))</f>
        <v/>
      </c>
      <c r="B109" s="14"/>
      <c r="C109" s="14"/>
      <c r="D109" s="14"/>
      <c r="E109" s="14"/>
      <c r="F109" s="14"/>
      <c r="G109" s="14"/>
      <c r="H109" s="14"/>
      <c r="I109" s="14"/>
      <c r="J109" s="14"/>
      <c r="K109" s="14"/>
      <c r="L109" s="15"/>
      <c r="M109" s="15"/>
      <c r="N109" s="15"/>
      <c r="O109" s="15"/>
      <c r="P109" s="15"/>
      <c r="Q109" s="15"/>
      <c r="R109" s="16"/>
      <c r="S109" s="17"/>
      <c r="T109" s="17"/>
      <c r="U109" s="17"/>
      <c r="V109" s="18"/>
      <c r="W109" s="18"/>
      <c r="X109" s="18"/>
      <c r="Y109" s="17"/>
      <c r="Z109" s="17"/>
      <c r="AA109" s="17"/>
      <c r="AB109" s="17"/>
      <c r="AC109" s="17"/>
      <c r="AD109" s="17"/>
      <c r="AE109" s="17"/>
      <c r="AF109" s="17"/>
      <c r="AG109" s="17"/>
      <c r="AH109" s="14" t="str">
        <f aca="false">IF(B109="","",(R109&lt;=Budget)+(S109&lt;Deaths_Appetite)+(V109&lt;=Carbon_Budget)+(Y109=0)+(AB109&gt;=Recall_Target*100)+(AE109=0))</f>
        <v/>
      </c>
      <c r="AI109" s="14" t="str">
        <f aca="false">IF(B109="","",(R109&lt;=Budget)+(T109&lt;Deaths_Appetite)+(W109&lt;=Carbon_Budget)+(Z109=0)+(AC109&gt;=Recall_Target*100)+(AF109=0))</f>
        <v/>
      </c>
      <c r="AJ109" s="14" t="str">
        <f aca="false">IF(B109="","",(R109&lt;=Budget)+(U109&lt;Deaths_Appetite)+(X109&lt;=Carbon_Budget)+(AA109=0)+(AD109&gt;=Recall_Target*100)+(AG109=0))</f>
        <v/>
      </c>
    </row>
    <row r="110" customFormat="false" ht="15" hidden="false" customHeight="false" outlineLevel="0" collapsed="false">
      <c r="A110" s="7" t="str">
        <f aca="false">IF(B110="","","S"&amp;TEXT(ROW()-4,"00"))</f>
        <v/>
      </c>
      <c r="B110" s="14"/>
      <c r="C110" s="14"/>
      <c r="D110" s="14"/>
      <c r="E110" s="14"/>
      <c r="F110" s="14"/>
      <c r="G110" s="14"/>
      <c r="H110" s="14"/>
      <c r="I110" s="14"/>
      <c r="J110" s="14"/>
      <c r="K110" s="14"/>
      <c r="L110" s="15"/>
      <c r="M110" s="15"/>
      <c r="N110" s="15"/>
      <c r="O110" s="15"/>
      <c r="P110" s="15"/>
      <c r="Q110" s="15"/>
      <c r="R110" s="16"/>
      <c r="S110" s="17"/>
      <c r="T110" s="17"/>
      <c r="U110" s="17"/>
      <c r="V110" s="18"/>
      <c r="W110" s="18"/>
      <c r="X110" s="18"/>
      <c r="Y110" s="17"/>
      <c r="Z110" s="17"/>
      <c r="AA110" s="17"/>
      <c r="AB110" s="17"/>
      <c r="AC110" s="17"/>
      <c r="AD110" s="17"/>
      <c r="AE110" s="17"/>
      <c r="AF110" s="17"/>
      <c r="AG110" s="17"/>
      <c r="AH110" s="14" t="str">
        <f aca="false">IF(B110="","",(R110&lt;=Budget)+(S110&lt;Deaths_Appetite)+(V110&lt;=Carbon_Budget)+(Y110=0)+(AB110&gt;=Recall_Target*100)+(AE110=0))</f>
        <v/>
      </c>
      <c r="AI110" s="14" t="str">
        <f aca="false">IF(B110="","",(R110&lt;=Budget)+(T110&lt;Deaths_Appetite)+(W110&lt;=Carbon_Budget)+(Z110=0)+(AC110&gt;=Recall_Target*100)+(AF110=0))</f>
        <v/>
      </c>
      <c r="AJ110" s="14" t="str">
        <f aca="false">IF(B110="","",(R110&lt;=Budget)+(U110&lt;Deaths_Appetite)+(X110&lt;=Carbon_Budget)+(AA110=0)+(AD110&gt;=Recall_Target*100)+(AG110=0))</f>
        <v/>
      </c>
    </row>
    <row r="111" customFormat="false" ht="15" hidden="false" customHeight="false" outlineLevel="0" collapsed="false">
      <c r="A111" s="7" t="str">
        <f aca="false">IF(B111="","","S"&amp;TEXT(ROW()-4,"00"))</f>
        <v/>
      </c>
      <c r="B111" s="14"/>
      <c r="C111" s="14"/>
      <c r="D111" s="14"/>
      <c r="E111" s="14"/>
      <c r="F111" s="14"/>
      <c r="G111" s="14"/>
      <c r="H111" s="14"/>
      <c r="I111" s="14"/>
      <c r="J111" s="14"/>
      <c r="K111" s="14"/>
      <c r="L111" s="15"/>
      <c r="M111" s="15"/>
      <c r="N111" s="15"/>
      <c r="O111" s="15"/>
      <c r="P111" s="15"/>
      <c r="Q111" s="15"/>
      <c r="R111" s="16"/>
      <c r="S111" s="17"/>
      <c r="T111" s="17"/>
      <c r="U111" s="17"/>
      <c r="V111" s="18"/>
      <c r="W111" s="18"/>
      <c r="X111" s="18"/>
      <c r="Y111" s="17"/>
      <c r="Z111" s="17"/>
      <c r="AA111" s="17"/>
      <c r="AB111" s="17"/>
      <c r="AC111" s="17"/>
      <c r="AD111" s="17"/>
      <c r="AE111" s="17"/>
      <c r="AF111" s="17"/>
      <c r="AG111" s="17"/>
      <c r="AH111" s="14" t="str">
        <f aca="false">IF(B111="","",(R111&lt;=Budget)+(S111&lt;Deaths_Appetite)+(V111&lt;=Carbon_Budget)+(Y111=0)+(AB111&gt;=Recall_Target*100)+(AE111=0))</f>
        <v/>
      </c>
      <c r="AI111" s="14" t="str">
        <f aca="false">IF(B111="","",(R111&lt;=Budget)+(T111&lt;Deaths_Appetite)+(W111&lt;=Carbon_Budget)+(Z111=0)+(AC111&gt;=Recall_Target*100)+(AF111=0))</f>
        <v/>
      </c>
      <c r="AJ111" s="14" t="str">
        <f aca="false">IF(B111="","",(R111&lt;=Budget)+(U111&lt;Deaths_Appetite)+(X111&lt;=Carbon_Budget)+(AA111=0)+(AD111&gt;=Recall_Target*100)+(AG111=0))</f>
        <v/>
      </c>
    </row>
    <row r="112" customFormat="false" ht="15" hidden="false" customHeight="false" outlineLevel="0" collapsed="false">
      <c r="A112" s="7" t="str">
        <f aca="false">IF(B112="","","S"&amp;TEXT(ROW()-4,"00"))</f>
        <v/>
      </c>
      <c r="B112" s="14"/>
      <c r="C112" s="14"/>
      <c r="D112" s="14"/>
      <c r="E112" s="14"/>
      <c r="F112" s="14"/>
      <c r="G112" s="14"/>
      <c r="H112" s="14"/>
      <c r="I112" s="14"/>
      <c r="J112" s="14"/>
      <c r="K112" s="14"/>
      <c r="L112" s="15"/>
      <c r="M112" s="15"/>
      <c r="N112" s="15"/>
      <c r="O112" s="15"/>
      <c r="P112" s="15"/>
      <c r="Q112" s="15"/>
      <c r="R112" s="16"/>
      <c r="S112" s="17"/>
      <c r="T112" s="17"/>
      <c r="U112" s="17"/>
      <c r="V112" s="18"/>
      <c r="W112" s="18"/>
      <c r="X112" s="18"/>
      <c r="Y112" s="17"/>
      <c r="Z112" s="17"/>
      <c r="AA112" s="17"/>
      <c r="AB112" s="17"/>
      <c r="AC112" s="17"/>
      <c r="AD112" s="17"/>
      <c r="AE112" s="17"/>
      <c r="AF112" s="17"/>
      <c r="AG112" s="17"/>
      <c r="AH112" s="14" t="str">
        <f aca="false">IF(B112="","",(R112&lt;=Budget)+(S112&lt;Deaths_Appetite)+(V112&lt;=Carbon_Budget)+(Y112=0)+(AB112&gt;=Recall_Target*100)+(AE112=0))</f>
        <v/>
      </c>
      <c r="AI112" s="14" t="str">
        <f aca="false">IF(B112="","",(R112&lt;=Budget)+(T112&lt;Deaths_Appetite)+(W112&lt;=Carbon_Budget)+(Z112=0)+(AC112&gt;=Recall_Target*100)+(AF112=0))</f>
        <v/>
      </c>
      <c r="AJ112" s="14" t="str">
        <f aca="false">IF(B112="","",(R112&lt;=Budget)+(U112&lt;Deaths_Appetite)+(X112&lt;=Carbon_Budget)+(AA112=0)+(AD112&gt;=Recall_Target*100)+(AG112=0))</f>
        <v/>
      </c>
    </row>
    <row r="113" customFormat="false" ht="15" hidden="false" customHeight="false" outlineLevel="0" collapsed="false">
      <c r="A113" s="7" t="str">
        <f aca="false">IF(B113="","","S"&amp;TEXT(ROW()-4,"00"))</f>
        <v/>
      </c>
      <c r="B113" s="14"/>
      <c r="C113" s="14"/>
      <c r="D113" s="14"/>
      <c r="E113" s="14"/>
      <c r="F113" s="14"/>
      <c r="G113" s="14"/>
      <c r="H113" s="14"/>
      <c r="I113" s="14"/>
      <c r="J113" s="14"/>
      <c r="K113" s="14"/>
      <c r="L113" s="15"/>
      <c r="M113" s="15"/>
      <c r="N113" s="15"/>
      <c r="O113" s="15"/>
      <c r="P113" s="15"/>
      <c r="Q113" s="15"/>
      <c r="R113" s="16"/>
      <c r="S113" s="17"/>
      <c r="T113" s="17"/>
      <c r="U113" s="17"/>
      <c r="V113" s="18"/>
      <c r="W113" s="18"/>
      <c r="X113" s="18"/>
      <c r="Y113" s="17"/>
      <c r="Z113" s="17"/>
      <c r="AA113" s="17"/>
      <c r="AB113" s="17"/>
      <c r="AC113" s="17"/>
      <c r="AD113" s="17"/>
      <c r="AE113" s="17"/>
      <c r="AF113" s="17"/>
      <c r="AG113" s="17"/>
      <c r="AH113" s="14" t="str">
        <f aca="false">IF(B113="","",(R113&lt;=Budget)+(S113&lt;Deaths_Appetite)+(V113&lt;=Carbon_Budget)+(Y113=0)+(AB113&gt;=Recall_Target*100)+(AE113=0))</f>
        <v/>
      </c>
      <c r="AI113" s="14" t="str">
        <f aca="false">IF(B113="","",(R113&lt;=Budget)+(T113&lt;Deaths_Appetite)+(W113&lt;=Carbon_Budget)+(Z113=0)+(AC113&gt;=Recall_Target*100)+(AF113=0))</f>
        <v/>
      </c>
      <c r="AJ113" s="14" t="str">
        <f aca="false">IF(B113="","",(R113&lt;=Budget)+(U113&lt;Deaths_Appetite)+(X113&lt;=Carbon_Budget)+(AA113=0)+(AD113&gt;=Recall_Target*100)+(AG113=0))</f>
        <v/>
      </c>
    </row>
    <row r="114" customFormat="false" ht="15" hidden="false" customHeight="false" outlineLevel="0" collapsed="false">
      <c r="A114" s="7" t="str">
        <f aca="false">IF(B114="","","S"&amp;TEXT(ROW()-4,"00"))</f>
        <v/>
      </c>
      <c r="B114" s="14"/>
      <c r="C114" s="14"/>
      <c r="D114" s="14"/>
      <c r="E114" s="14"/>
      <c r="F114" s="14"/>
      <c r="G114" s="14"/>
      <c r="H114" s="14"/>
      <c r="I114" s="14"/>
      <c r="J114" s="14"/>
      <c r="K114" s="14"/>
      <c r="L114" s="15"/>
      <c r="M114" s="15"/>
      <c r="N114" s="15"/>
      <c r="O114" s="15"/>
      <c r="P114" s="15"/>
      <c r="Q114" s="15"/>
      <c r="R114" s="16"/>
      <c r="S114" s="17"/>
      <c r="T114" s="17"/>
      <c r="U114" s="17"/>
      <c r="V114" s="18"/>
      <c r="W114" s="18"/>
      <c r="X114" s="18"/>
      <c r="Y114" s="17"/>
      <c r="Z114" s="17"/>
      <c r="AA114" s="17"/>
      <c r="AB114" s="17"/>
      <c r="AC114" s="17"/>
      <c r="AD114" s="17"/>
      <c r="AE114" s="17"/>
      <c r="AF114" s="17"/>
      <c r="AG114" s="17"/>
      <c r="AH114" s="14" t="str">
        <f aca="false">IF(B114="","",(R114&lt;=Budget)+(S114&lt;Deaths_Appetite)+(V114&lt;=Carbon_Budget)+(Y114=0)+(AB114&gt;=Recall_Target*100)+(AE114=0))</f>
        <v/>
      </c>
      <c r="AI114" s="14" t="str">
        <f aca="false">IF(B114="","",(R114&lt;=Budget)+(T114&lt;Deaths_Appetite)+(W114&lt;=Carbon_Budget)+(Z114=0)+(AC114&gt;=Recall_Target*100)+(AF114=0))</f>
        <v/>
      </c>
      <c r="AJ114" s="14" t="str">
        <f aca="false">IF(B114="","",(R114&lt;=Budget)+(U114&lt;Deaths_Appetite)+(X114&lt;=Carbon_Budget)+(AA114=0)+(AD114&gt;=Recall_Target*100)+(AG114=0))</f>
        <v/>
      </c>
    </row>
    <row r="115" customFormat="false" ht="15" hidden="false" customHeight="false" outlineLevel="0" collapsed="false">
      <c r="A115" s="7" t="str">
        <f aca="false">IF(B115="","","S"&amp;TEXT(ROW()-4,"00"))</f>
        <v/>
      </c>
      <c r="B115" s="14"/>
      <c r="C115" s="14"/>
      <c r="D115" s="14"/>
      <c r="E115" s="14"/>
      <c r="F115" s="14"/>
      <c r="G115" s="14"/>
      <c r="H115" s="14"/>
      <c r="I115" s="14"/>
      <c r="J115" s="14"/>
      <c r="K115" s="14"/>
      <c r="L115" s="15"/>
      <c r="M115" s="15"/>
      <c r="N115" s="15"/>
      <c r="O115" s="15"/>
      <c r="P115" s="15"/>
      <c r="Q115" s="15"/>
      <c r="R115" s="16"/>
      <c r="S115" s="17"/>
      <c r="T115" s="17"/>
      <c r="U115" s="17"/>
      <c r="V115" s="18"/>
      <c r="W115" s="18"/>
      <c r="X115" s="18"/>
      <c r="Y115" s="17"/>
      <c r="Z115" s="17"/>
      <c r="AA115" s="17"/>
      <c r="AB115" s="17"/>
      <c r="AC115" s="17"/>
      <c r="AD115" s="17"/>
      <c r="AE115" s="17"/>
      <c r="AF115" s="17"/>
      <c r="AG115" s="17"/>
      <c r="AH115" s="14" t="str">
        <f aca="false">IF(B115="","",(R115&lt;=Budget)+(S115&lt;Deaths_Appetite)+(V115&lt;=Carbon_Budget)+(Y115=0)+(AB115&gt;=Recall_Target*100)+(AE115=0))</f>
        <v/>
      </c>
      <c r="AI115" s="14" t="str">
        <f aca="false">IF(B115="","",(R115&lt;=Budget)+(T115&lt;Deaths_Appetite)+(W115&lt;=Carbon_Budget)+(Z115=0)+(AC115&gt;=Recall_Target*100)+(AF115=0))</f>
        <v/>
      </c>
      <c r="AJ115" s="14" t="str">
        <f aca="false">IF(B115="","",(R115&lt;=Budget)+(U115&lt;Deaths_Appetite)+(X115&lt;=Carbon_Budget)+(AA115=0)+(AD115&gt;=Recall_Target*100)+(AG115=0))</f>
        <v/>
      </c>
    </row>
    <row r="116" customFormat="false" ht="15" hidden="false" customHeight="false" outlineLevel="0" collapsed="false">
      <c r="A116" s="7" t="str">
        <f aca="false">IF(B116="","","S"&amp;TEXT(ROW()-4,"00"))</f>
        <v/>
      </c>
      <c r="B116" s="14"/>
      <c r="C116" s="14"/>
      <c r="D116" s="14"/>
      <c r="E116" s="14"/>
      <c r="F116" s="14"/>
      <c r="G116" s="14"/>
      <c r="H116" s="14"/>
      <c r="I116" s="14"/>
      <c r="J116" s="14"/>
      <c r="K116" s="14"/>
      <c r="L116" s="15"/>
      <c r="M116" s="15"/>
      <c r="N116" s="15"/>
      <c r="O116" s="15"/>
      <c r="P116" s="15"/>
      <c r="Q116" s="15"/>
      <c r="R116" s="16"/>
      <c r="S116" s="17"/>
      <c r="T116" s="17"/>
      <c r="U116" s="17"/>
      <c r="V116" s="18"/>
      <c r="W116" s="18"/>
      <c r="X116" s="18"/>
      <c r="Y116" s="17"/>
      <c r="Z116" s="17"/>
      <c r="AA116" s="17"/>
      <c r="AB116" s="17"/>
      <c r="AC116" s="17"/>
      <c r="AD116" s="17"/>
      <c r="AE116" s="17"/>
      <c r="AF116" s="17"/>
      <c r="AG116" s="17"/>
      <c r="AH116" s="14" t="str">
        <f aca="false">IF(B116="","",(R116&lt;=Budget)+(S116&lt;Deaths_Appetite)+(V116&lt;=Carbon_Budget)+(Y116=0)+(AB116&gt;=Recall_Target*100)+(AE116=0))</f>
        <v/>
      </c>
      <c r="AI116" s="14" t="str">
        <f aca="false">IF(B116="","",(R116&lt;=Budget)+(T116&lt;Deaths_Appetite)+(W116&lt;=Carbon_Budget)+(Z116=0)+(AC116&gt;=Recall_Target*100)+(AF116=0))</f>
        <v/>
      </c>
      <c r="AJ116" s="14" t="str">
        <f aca="false">IF(B116="","",(R116&lt;=Budget)+(U116&lt;Deaths_Appetite)+(X116&lt;=Carbon_Budget)+(AA116=0)+(AD116&gt;=Recall_Target*100)+(AG116=0))</f>
        <v/>
      </c>
    </row>
    <row r="117" customFormat="false" ht="15" hidden="false" customHeight="false" outlineLevel="0" collapsed="false">
      <c r="A117" s="7" t="str">
        <f aca="false">IF(B117="","","S"&amp;TEXT(ROW()-4,"00"))</f>
        <v/>
      </c>
      <c r="B117" s="14"/>
      <c r="C117" s="14"/>
      <c r="D117" s="14"/>
      <c r="E117" s="14"/>
      <c r="F117" s="14"/>
      <c r="G117" s="14"/>
      <c r="H117" s="14"/>
      <c r="I117" s="14"/>
      <c r="J117" s="14"/>
      <c r="K117" s="14"/>
      <c r="L117" s="15"/>
      <c r="M117" s="15"/>
      <c r="N117" s="15"/>
      <c r="O117" s="15"/>
      <c r="P117" s="15"/>
      <c r="Q117" s="15"/>
      <c r="R117" s="16"/>
      <c r="S117" s="17"/>
      <c r="T117" s="17"/>
      <c r="U117" s="17"/>
      <c r="V117" s="18"/>
      <c r="W117" s="18"/>
      <c r="X117" s="18"/>
      <c r="Y117" s="17"/>
      <c r="Z117" s="17"/>
      <c r="AA117" s="17"/>
      <c r="AB117" s="17"/>
      <c r="AC117" s="17"/>
      <c r="AD117" s="17"/>
      <c r="AE117" s="17"/>
      <c r="AF117" s="17"/>
      <c r="AG117" s="17"/>
      <c r="AH117" s="14" t="str">
        <f aca="false">IF(B117="","",(R117&lt;=Budget)+(S117&lt;Deaths_Appetite)+(V117&lt;=Carbon_Budget)+(Y117=0)+(AB117&gt;=Recall_Target*100)+(AE117=0))</f>
        <v/>
      </c>
      <c r="AI117" s="14" t="str">
        <f aca="false">IF(B117="","",(R117&lt;=Budget)+(T117&lt;Deaths_Appetite)+(W117&lt;=Carbon_Budget)+(Z117=0)+(AC117&gt;=Recall_Target*100)+(AF117=0))</f>
        <v/>
      </c>
      <c r="AJ117" s="14" t="str">
        <f aca="false">IF(B117="","",(R117&lt;=Budget)+(U117&lt;Deaths_Appetite)+(X117&lt;=Carbon_Budget)+(AA117=0)+(AD117&gt;=Recall_Target*100)+(AG117=0))</f>
        <v/>
      </c>
    </row>
    <row r="118" customFormat="false" ht="15" hidden="false" customHeight="false" outlineLevel="0" collapsed="false">
      <c r="A118" s="7" t="str">
        <f aca="false">IF(B118="","","S"&amp;TEXT(ROW()-4,"00"))</f>
        <v/>
      </c>
      <c r="B118" s="14"/>
      <c r="C118" s="14"/>
      <c r="D118" s="14"/>
      <c r="E118" s="14"/>
      <c r="F118" s="14"/>
      <c r="G118" s="14"/>
      <c r="H118" s="14"/>
      <c r="I118" s="14"/>
      <c r="J118" s="14"/>
      <c r="K118" s="14"/>
      <c r="L118" s="15"/>
      <c r="M118" s="15"/>
      <c r="N118" s="15"/>
      <c r="O118" s="15"/>
      <c r="P118" s="15"/>
      <c r="Q118" s="15"/>
      <c r="R118" s="16"/>
      <c r="S118" s="17"/>
      <c r="T118" s="17"/>
      <c r="U118" s="17"/>
      <c r="V118" s="18"/>
      <c r="W118" s="18"/>
      <c r="X118" s="18"/>
      <c r="Y118" s="17"/>
      <c r="Z118" s="17"/>
      <c r="AA118" s="17"/>
      <c r="AB118" s="17"/>
      <c r="AC118" s="17"/>
      <c r="AD118" s="17"/>
      <c r="AE118" s="17"/>
      <c r="AF118" s="17"/>
      <c r="AG118" s="17"/>
      <c r="AH118" s="14" t="str">
        <f aca="false">IF(B118="","",(R118&lt;=Budget)+(S118&lt;Deaths_Appetite)+(V118&lt;=Carbon_Budget)+(Y118=0)+(AB118&gt;=Recall_Target*100)+(AE118=0))</f>
        <v/>
      </c>
      <c r="AI118" s="14" t="str">
        <f aca="false">IF(B118="","",(R118&lt;=Budget)+(T118&lt;Deaths_Appetite)+(W118&lt;=Carbon_Budget)+(Z118=0)+(AC118&gt;=Recall_Target*100)+(AF118=0))</f>
        <v/>
      </c>
      <c r="AJ118" s="14" t="str">
        <f aca="false">IF(B118="","",(R118&lt;=Budget)+(U118&lt;Deaths_Appetite)+(X118&lt;=Carbon_Budget)+(AA118=0)+(AD118&gt;=Recall_Target*100)+(AG118=0))</f>
        <v/>
      </c>
    </row>
    <row r="119" customFormat="false" ht="15" hidden="false" customHeight="false" outlineLevel="0" collapsed="false">
      <c r="A119" s="7" t="str">
        <f aca="false">IF(B119="","","S"&amp;TEXT(ROW()-4,"00"))</f>
        <v/>
      </c>
      <c r="B119" s="14"/>
      <c r="C119" s="14"/>
      <c r="D119" s="14"/>
      <c r="E119" s="14"/>
      <c r="F119" s="14"/>
      <c r="G119" s="14"/>
      <c r="H119" s="14"/>
      <c r="I119" s="14"/>
      <c r="J119" s="14"/>
      <c r="K119" s="14"/>
      <c r="L119" s="15"/>
      <c r="M119" s="15"/>
      <c r="N119" s="15"/>
      <c r="O119" s="15"/>
      <c r="P119" s="15"/>
      <c r="Q119" s="15"/>
      <c r="R119" s="16"/>
      <c r="S119" s="17"/>
      <c r="T119" s="17"/>
      <c r="U119" s="17"/>
      <c r="V119" s="18"/>
      <c r="W119" s="18"/>
      <c r="X119" s="18"/>
      <c r="Y119" s="17"/>
      <c r="Z119" s="17"/>
      <c r="AA119" s="17"/>
      <c r="AB119" s="17"/>
      <c r="AC119" s="17"/>
      <c r="AD119" s="17"/>
      <c r="AE119" s="17"/>
      <c r="AF119" s="17"/>
      <c r="AG119" s="17"/>
      <c r="AH119" s="14" t="str">
        <f aca="false">IF(B119="","",(R119&lt;=Budget)+(S119&lt;Deaths_Appetite)+(V119&lt;=Carbon_Budget)+(Y119=0)+(AB119&gt;=Recall_Target*100)+(AE119=0))</f>
        <v/>
      </c>
      <c r="AI119" s="14" t="str">
        <f aca="false">IF(B119="","",(R119&lt;=Budget)+(T119&lt;Deaths_Appetite)+(W119&lt;=Carbon_Budget)+(Z119=0)+(AC119&gt;=Recall_Target*100)+(AF119=0))</f>
        <v/>
      </c>
      <c r="AJ119" s="14" t="str">
        <f aca="false">IF(B119="","",(R119&lt;=Budget)+(U119&lt;Deaths_Appetite)+(X119&lt;=Carbon_Budget)+(AA119=0)+(AD119&gt;=Recall_Target*100)+(AG119=0))</f>
        <v/>
      </c>
    </row>
    <row r="120" customFormat="false" ht="15" hidden="false" customHeight="false" outlineLevel="0" collapsed="false">
      <c r="A120" s="7" t="str">
        <f aca="false">IF(B120="","","S"&amp;TEXT(ROW()-4,"00"))</f>
        <v/>
      </c>
      <c r="B120" s="14"/>
      <c r="C120" s="14"/>
      <c r="D120" s="14"/>
      <c r="E120" s="14"/>
      <c r="F120" s="14"/>
      <c r="G120" s="14"/>
      <c r="H120" s="14"/>
      <c r="I120" s="14"/>
      <c r="J120" s="14"/>
      <c r="K120" s="14"/>
      <c r="L120" s="15"/>
      <c r="M120" s="15"/>
      <c r="N120" s="15"/>
      <c r="O120" s="15"/>
      <c r="P120" s="15"/>
      <c r="Q120" s="15"/>
      <c r="R120" s="16"/>
      <c r="S120" s="17"/>
      <c r="T120" s="17"/>
      <c r="U120" s="17"/>
      <c r="V120" s="18"/>
      <c r="W120" s="18"/>
      <c r="X120" s="18"/>
      <c r="Y120" s="17"/>
      <c r="Z120" s="17"/>
      <c r="AA120" s="17"/>
      <c r="AB120" s="17"/>
      <c r="AC120" s="17"/>
      <c r="AD120" s="17"/>
      <c r="AE120" s="17"/>
      <c r="AF120" s="17"/>
      <c r="AG120" s="17"/>
      <c r="AH120" s="14" t="str">
        <f aca="false">IF(B120="","",(R120&lt;=Budget)+(S120&lt;Deaths_Appetite)+(V120&lt;=Carbon_Budget)+(Y120=0)+(AB120&gt;=Recall_Target*100)+(AE120=0))</f>
        <v/>
      </c>
      <c r="AI120" s="14" t="str">
        <f aca="false">IF(B120="","",(R120&lt;=Budget)+(T120&lt;Deaths_Appetite)+(W120&lt;=Carbon_Budget)+(Z120=0)+(AC120&gt;=Recall_Target*100)+(AF120=0))</f>
        <v/>
      </c>
      <c r="AJ120" s="14" t="str">
        <f aca="false">IF(B120="","",(R120&lt;=Budget)+(U120&lt;Deaths_Appetite)+(X120&lt;=Carbon_Budget)+(AA120=0)+(AD120&gt;=Recall_Target*100)+(AG120=0))</f>
        <v/>
      </c>
    </row>
    <row r="121" customFormat="false" ht="15" hidden="false" customHeight="false" outlineLevel="0" collapsed="false">
      <c r="A121" s="7" t="str">
        <f aca="false">IF(B121="","","S"&amp;TEXT(ROW()-4,"00"))</f>
        <v/>
      </c>
      <c r="B121" s="14"/>
      <c r="C121" s="14"/>
      <c r="D121" s="14"/>
      <c r="E121" s="14"/>
      <c r="F121" s="14"/>
      <c r="G121" s="14"/>
      <c r="H121" s="14"/>
      <c r="I121" s="14"/>
      <c r="J121" s="14"/>
      <c r="K121" s="14"/>
      <c r="L121" s="15"/>
      <c r="M121" s="15"/>
      <c r="N121" s="15"/>
      <c r="O121" s="15"/>
      <c r="P121" s="15"/>
      <c r="Q121" s="15"/>
      <c r="R121" s="16"/>
      <c r="S121" s="17"/>
      <c r="T121" s="17"/>
      <c r="U121" s="17"/>
      <c r="V121" s="18"/>
      <c r="W121" s="18"/>
      <c r="X121" s="18"/>
      <c r="Y121" s="17"/>
      <c r="Z121" s="17"/>
      <c r="AA121" s="17"/>
      <c r="AB121" s="17"/>
      <c r="AC121" s="17"/>
      <c r="AD121" s="17"/>
      <c r="AE121" s="17"/>
      <c r="AF121" s="17"/>
      <c r="AG121" s="17"/>
      <c r="AH121" s="14" t="str">
        <f aca="false">IF(B121="","",(R121&lt;=Budget)+(S121&lt;Deaths_Appetite)+(V121&lt;=Carbon_Budget)+(Y121=0)+(AB121&gt;=Recall_Target*100)+(AE121=0))</f>
        <v/>
      </c>
      <c r="AI121" s="14" t="str">
        <f aca="false">IF(B121="","",(R121&lt;=Budget)+(T121&lt;Deaths_Appetite)+(W121&lt;=Carbon_Budget)+(Z121=0)+(AC121&gt;=Recall_Target*100)+(AF121=0))</f>
        <v/>
      </c>
      <c r="AJ121" s="14" t="str">
        <f aca="false">IF(B121="","",(R121&lt;=Budget)+(U121&lt;Deaths_Appetite)+(X121&lt;=Carbon_Budget)+(AA121=0)+(AD121&gt;=Recall_Target*100)+(AG121=0))</f>
        <v/>
      </c>
    </row>
    <row r="122" customFormat="false" ht="15" hidden="false" customHeight="false" outlineLevel="0" collapsed="false">
      <c r="A122" s="7" t="str">
        <f aca="false">IF(B122="","","S"&amp;TEXT(ROW()-4,"00"))</f>
        <v/>
      </c>
      <c r="B122" s="14"/>
      <c r="C122" s="14"/>
      <c r="D122" s="14"/>
      <c r="E122" s="14"/>
      <c r="F122" s="14"/>
      <c r="G122" s="14"/>
      <c r="H122" s="14"/>
      <c r="I122" s="14"/>
      <c r="J122" s="14"/>
      <c r="K122" s="14"/>
      <c r="L122" s="15"/>
      <c r="M122" s="15"/>
      <c r="N122" s="15"/>
      <c r="O122" s="15"/>
      <c r="P122" s="15"/>
      <c r="Q122" s="15"/>
      <c r="R122" s="16"/>
      <c r="S122" s="17"/>
      <c r="T122" s="17"/>
      <c r="U122" s="17"/>
      <c r="V122" s="18"/>
      <c r="W122" s="18"/>
      <c r="X122" s="18"/>
      <c r="Y122" s="17"/>
      <c r="Z122" s="17"/>
      <c r="AA122" s="17"/>
      <c r="AB122" s="17"/>
      <c r="AC122" s="17"/>
      <c r="AD122" s="17"/>
      <c r="AE122" s="17"/>
      <c r="AF122" s="17"/>
      <c r="AG122" s="17"/>
      <c r="AH122" s="14" t="str">
        <f aca="false">IF(B122="","",(R122&lt;=Budget)+(S122&lt;Deaths_Appetite)+(V122&lt;=Carbon_Budget)+(Y122=0)+(AB122&gt;=Recall_Target*100)+(AE122=0))</f>
        <v/>
      </c>
      <c r="AI122" s="14" t="str">
        <f aca="false">IF(B122="","",(R122&lt;=Budget)+(T122&lt;Deaths_Appetite)+(W122&lt;=Carbon_Budget)+(Z122=0)+(AC122&gt;=Recall_Target*100)+(AF122=0))</f>
        <v/>
      </c>
      <c r="AJ122" s="14" t="str">
        <f aca="false">IF(B122="","",(R122&lt;=Budget)+(U122&lt;Deaths_Appetite)+(X122&lt;=Carbon_Budget)+(AA122=0)+(AD122&gt;=Recall_Target*100)+(AG122=0))</f>
        <v/>
      </c>
    </row>
    <row r="123" customFormat="false" ht="15" hidden="false" customHeight="false" outlineLevel="0" collapsed="false">
      <c r="A123" s="7" t="str">
        <f aca="false">IF(B123="","","S"&amp;TEXT(ROW()-4,"00"))</f>
        <v/>
      </c>
      <c r="B123" s="14"/>
      <c r="C123" s="14"/>
      <c r="D123" s="14"/>
      <c r="E123" s="14"/>
      <c r="F123" s="14"/>
      <c r="G123" s="14"/>
      <c r="H123" s="14"/>
      <c r="I123" s="14"/>
      <c r="J123" s="14"/>
      <c r="K123" s="14"/>
      <c r="L123" s="15"/>
      <c r="M123" s="15"/>
      <c r="N123" s="15"/>
      <c r="O123" s="15"/>
      <c r="P123" s="15"/>
      <c r="Q123" s="15"/>
      <c r="R123" s="16"/>
      <c r="S123" s="17"/>
      <c r="T123" s="17"/>
      <c r="U123" s="17"/>
      <c r="V123" s="18"/>
      <c r="W123" s="18"/>
      <c r="X123" s="18"/>
      <c r="Y123" s="17"/>
      <c r="Z123" s="17"/>
      <c r="AA123" s="17"/>
      <c r="AB123" s="17"/>
      <c r="AC123" s="17"/>
      <c r="AD123" s="17"/>
      <c r="AE123" s="17"/>
      <c r="AF123" s="17"/>
      <c r="AG123" s="17"/>
      <c r="AH123" s="14" t="str">
        <f aca="false">IF(B123="","",(R123&lt;=Budget)+(S123&lt;Deaths_Appetite)+(V123&lt;=Carbon_Budget)+(Y123=0)+(AB123&gt;=Recall_Target*100)+(AE123=0))</f>
        <v/>
      </c>
      <c r="AI123" s="14" t="str">
        <f aca="false">IF(B123="","",(R123&lt;=Budget)+(T123&lt;Deaths_Appetite)+(W123&lt;=Carbon_Budget)+(Z123=0)+(AC123&gt;=Recall_Target*100)+(AF123=0))</f>
        <v/>
      </c>
      <c r="AJ123" s="14" t="str">
        <f aca="false">IF(B123="","",(R123&lt;=Budget)+(U123&lt;Deaths_Appetite)+(X123&lt;=Carbon_Budget)+(AA123=0)+(AD123&gt;=Recall_Target*100)+(AG123=0))</f>
        <v/>
      </c>
    </row>
    <row r="124" customFormat="false" ht="15" hidden="false" customHeight="false" outlineLevel="0" collapsed="false">
      <c r="A124" s="7" t="str">
        <f aca="false">IF(B124="","","S"&amp;TEXT(ROW()-4,"00"))</f>
        <v/>
      </c>
      <c r="B124" s="14"/>
      <c r="C124" s="14"/>
      <c r="D124" s="14"/>
      <c r="E124" s="14"/>
      <c r="F124" s="14"/>
      <c r="G124" s="14"/>
      <c r="H124" s="14"/>
      <c r="I124" s="14"/>
      <c r="J124" s="14"/>
      <c r="K124" s="14"/>
      <c r="L124" s="15"/>
      <c r="M124" s="15"/>
      <c r="N124" s="15"/>
      <c r="O124" s="15"/>
      <c r="P124" s="15"/>
      <c r="Q124" s="15"/>
      <c r="R124" s="16"/>
      <c r="S124" s="17"/>
      <c r="T124" s="17"/>
      <c r="U124" s="17"/>
      <c r="V124" s="18"/>
      <c r="W124" s="18"/>
      <c r="X124" s="18"/>
      <c r="Y124" s="17"/>
      <c r="Z124" s="17"/>
      <c r="AA124" s="17"/>
      <c r="AB124" s="17"/>
      <c r="AC124" s="17"/>
      <c r="AD124" s="17"/>
      <c r="AE124" s="17"/>
      <c r="AF124" s="17"/>
      <c r="AG124" s="17"/>
      <c r="AH124" s="14" t="str">
        <f aca="false">IF(B124="","",(R124&lt;=Budget)+(S124&lt;Deaths_Appetite)+(V124&lt;=Carbon_Budget)+(Y124=0)+(AB124&gt;=Recall_Target*100)+(AE124=0))</f>
        <v/>
      </c>
      <c r="AI124" s="14" t="str">
        <f aca="false">IF(B124="","",(R124&lt;=Budget)+(T124&lt;Deaths_Appetite)+(W124&lt;=Carbon_Budget)+(Z124=0)+(AC124&gt;=Recall_Target*100)+(AF124=0))</f>
        <v/>
      </c>
      <c r="AJ124" s="14" t="str">
        <f aca="false">IF(B124="","",(R124&lt;=Budget)+(U124&lt;Deaths_Appetite)+(X124&lt;=Carbon_Budget)+(AA124=0)+(AD124&gt;=Recall_Target*100)+(AG124=0))</f>
        <v/>
      </c>
    </row>
    <row r="125" customFormat="false" ht="15" hidden="false" customHeight="false" outlineLevel="0" collapsed="false">
      <c r="A125" s="7" t="str">
        <f aca="false">IF(B125="","","S"&amp;TEXT(ROW()-4,"00"))</f>
        <v/>
      </c>
      <c r="B125" s="14"/>
      <c r="C125" s="14"/>
      <c r="D125" s="14"/>
      <c r="E125" s="14"/>
      <c r="F125" s="14"/>
      <c r="G125" s="14"/>
      <c r="H125" s="14"/>
      <c r="I125" s="14"/>
      <c r="J125" s="14"/>
      <c r="K125" s="14"/>
      <c r="L125" s="15"/>
      <c r="M125" s="15"/>
      <c r="N125" s="15"/>
      <c r="O125" s="15"/>
      <c r="P125" s="15"/>
      <c r="Q125" s="15"/>
      <c r="R125" s="16"/>
      <c r="S125" s="17"/>
      <c r="T125" s="17"/>
      <c r="U125" s="17"/>
      <c r="V125" s="18"/>
      <c r="W125" s="18"/>
      <c r="X125" s="18"/>
      <c r="Y125" s="17"/>
      <c r="Z125" s="17"/>
      <c r="AA125" s="17"/>
      <c r="AB125" s="17"/>
      <c r="AC125" s="17"/>
      <c r="AD125" s="17"/>
      <c r="AE125" s="17"/>
      <c r="AF125" s="17"/>
      <c r="AG125" s="17"/>
      <c r="AH125" s="14" t="str">
        <f aca="false">IF(B125="","",(R125&lt;=Budget)+(S125&lt;Deaths_Appetite)+(V125&lt;=Carbon_Budget)+(Y125=0)+(AB125&gt;=Recall_Target*100)+(AE125=0))</f>
        <v/>
      </c>
      <c r="AI125" s="14" t="str">
        <f aca="false">IF(B125="","",(R125&lt;=Budget)+(T125&lt;Deaths_Appetite)+(W125&lt;=Carbon_Budget)+(Z125=0)+(AC125&gt;=Recall_Target*100)+(AF125=0))</f>
        <v/>
      </c>
      <c r="AJ125" s="14" t="str">
        <f aca="false">IF(B125="","",(R125&lt;=Budget)+(U125&lt;Deaths_Appetite)+(X125&lt;=Carbon_Budget)+(AA125=0)+(AD125&gt;=Recall_Target*100)+(AG125=0))</f>
        <v/>
      </c>
    </row>
    <row r="126" customFormat="false" ht="15" hidden="false" customHeight="false" outlineLevel="0" collapsed="false">
      <c r="A126" s="7" t="str">
        <f aca="false">IF(B126="","","S"&amp;TEXT(ROW()-4,"00"))</f>
        <v/>
      </c>
      <c r="B126" s="14"/>
      <c r="C126" s="14"/>
      <c r="D126" s="14"/>
      <c r="E126" s="14"/>
      <c r="F126" s="14"/>
      <c r="G126" s="14"/>
      <c r="H126" s="14"/>
      <c r="I126" s="14"/>
      <c r="J126" s="14"/>
      <c r="K126" s="14"/>
      <c r="L126" s="15"/>
      <c r="M126" s="15"/>
      <c r="N126" s="15"/>
      <c r="O126" s="15"/>
      <c r="P126" s="15"/>
      <c r="Q126" s="15"/>
      <c r="R126" s="16"/>
      <c r="S126" s="17"/>
      <c r="T126" s="17"/>
      <c r="U126" s="17"/>
      <c r="V126" s="18"/>
      <c r="W126" s="18"/>
      <c r="X126" s="18"/>
      <c r="Y126" s="17"/>
      <c r="Z126" s="17"/>
      <c r="AA126" s="17"/>
      <c r="AB126" s="17"/>
      <c r="AC126" s="17"/>
      <c r="AD126" s="17"/>
      <c r="AE126" s="17"/>
      <c r="AF126" s="17"/>
      <c r="AG126" s="17"/>
      <c r="AH126" s="14" t="str">
        <f aca="false">IF(B126="","",(R126&lt;=Budget)+(S126&lt;Deaths_Appetite)+(V126&lt;=Carbon_Budget)+(Y126=0)+(AB126&gt;=Recall_Target*100)+(AE126=0))</f>
        <v/>
      </c>
      <c r="AI126" s="14" t="str">
        <f aca="false">IF(B126="","",(R126&lt;=Budget)+(T126&lt;Deaths_Appetite)+(W126&lt;=Carbon_Budget)+(Z126=0)+(AC126&gt;=Recall_Target*100)+(AF126=0))</f>
        <v/>
      </c>
      <c r="AJ126" s="14" t="str">
        <f aca="false">IF(B126="","",(R126&lt;=Budget)+(U126&lt;Deaths_Appetite)+(X126&lt;=Carbon_Budget)+(AA126=0)+(AD126&gt;=Recall_Target*100)+(AG126=0))</f>
        <v/>
      </c>
    </row>
    <row r="127" customFormat="false" ht="15" hidden="false" customHeight="false" outlineLevel="0" collapsed="false">
      <c r="A127" s="7" t="str">
        <f aca="false">IF(B127="","","S"&amp;TEXT(ROW()-4,"00"))</f>
        <v/>
      </c>
      <c r="B127" s="14"/>
      <c r="C127" s="14"/>
      <c r="D127" s="14"/>
      <c r="E127" s="14"/>
      <c r="F127" s="14"/>
      <c r="G127" s="14"/>
      <c r="H127" s="14"/>
      <c r="I127" s="14"/>
      <c r="J127" s="14"/>
      <c r="K127" s="14"/>
      <c r="L127" s="15"/>
      <c r="M127" s="15"/>
      <c r="N127" s="15"/>
      <c r="O127" s="15"/>
      <c r="P127" s="15"/>
      <c r="Q127" s="15"/>
      <c r="R127" s="16"/>
      <c r="S127" s="17"/>
      <c r="T127" s="17"/>
      <c r="U127" s="17"/>
      <c r="V127" s="18"/>
      <c r="W127" s="18"/>
      <c r="X127" s="18"/>
      <c r="Y127" s="17"/>
      <c r="Z127" s="17"/>
      <c r="AA127" s="17"/>
      <c r="AB127" s="17"/>
      <c r="AC127" s="17"/>
      <c r="AD127" s="17"/>
      <c r="AE127" s="17"/>
      <c r="AF127" s="17"/>
      <c r="AG127" s="17"/>
      <c r="AH127" s="14" t="str">
        <f aca="false">IF(B127="","",(R127&lt;=Budget)+(S127&lt;Deaths_Appetite)+(V127&lt;=Carbon_Budget)+(Y127=0)+(AB127&gt;=Recall_Target*100)+(AE127=0))</f>
        <v/>
      </c>
      <c r="AI127" s="14" t="str">
        <f aca="false">IF(B127="","",(R127&lt;=Budget)+(T127&lt;Deaths_Appetite)+(W127&lt;=Carbon_Budget)+(Z127=0)+(AC127&gt;=Recall_Target*100)+(AF127=0))</f>
        <v/>
      </c>
      <c r="AJ127" s="14" t="str">
        <f aca="false">IF(B127="","",(R127&lt;=Budget)+(U127&lt;Deaths_Appetite)+(X127&lt;=Carbon_Budget)+(AA127=0)+(AD127&gt;=Recall_Target*100)+(AG127=0))</f>
        <v/>
      </c>
    </row>
    <row r="128" customFormat="false" ht="15" hidden="false" customHeight="false" outlineLevel="0" collapsed="false">
      <c r="A128" s="7" t="str">
        <f aca="false">IF(B128="","","S"&amp;TEXT(ROW()-4,"00"))</f>
        <v/>
      </c>
      <c r="B128" s="14"/>
      <c r="C128" s="14"/>
      <c r="D128" s="14"/>
      <c r="E128" s="14"/>
      <c r="F128" s="14"/>
      <c r="G128" s="14"/>
      <c r="H128" s="14"/>
      <c r="I128" s="14"/>
      <c r="J128" s="14"/>
      <c r="K128" s="14"/>
      <c r="L128" s="15"/>
      <c r="M128" s="15"/>
      <c r="N128" s="15"/>
      <c r="O128" s="15"/>
      <c r="P128" s="15"/>
      <c r="Q128" s="15"/>
      <c r="R128" s="16"/>
      <c r="S128" s="17"/>
      <c r="T128" s="17"/>
      <c r="U128" s="17"/>
      <c r="V128" s="18"/>
      <c r="W128" s="18"/>
      <c r="X128" s="18"/>
      <c r="Y128" s="17"/>
      <c r="Z128" s="17"/>
      <c r="AA128" s="17"/>
      <c r="AB128" s="17"/>
      <c r="AC128" s="17"/>
      <c r="AD128" s="17"/>
      <c r="AE128" s="17"/>
      <c r="AF128" s="17"/>
      <c r="AG128" s="17"/>
      <c r="AH128" s="14" t="str">
        <f aca="false">IF(B128="","",(R128&lt;=Budget)+(S128&lt;Deaths_Appetite)+(V128&lt;=Carbon_Budget)+(Y128=0)+(AB128&gt;=Recall_Target*100)+(AE128=0))</f>
        <v/>
      </c>
      <c r="AI128" s="14" t="str">
        <f aca="false">IF(B128="","",(R128&lt;=Budget)+(T128&lt;Deaths_Appetite)+(W128&lt;=Carbon_Budget)+(Z128=0)+(AC128&gt;=Recall_Target*100)+(AF128=0))</f>
        <v/>
      </c>
      <c r="AJ128" s="14" t="str">
        <f aca="false">IF(B128="","",(R128&lt;=Budget)+(U128&lt;Deaths_Appetite)+(X128&lt;=Carbon_Budget)+(AA128=0)+(AD128&gt;=Recall_Target*100)+(AG128=0))</f>
        <v/>
      </c>
    </row>
    <row r="129" customFormat="false" ht="15" hidden="false" customHeight="false" outlineLevel="0" collapsed="false">
      <c r="A129" s="7" t="str">
        <f aca="false">IF(B129="","","S"&amp;TEXT(ROW()-4,"00"))</f>
        <v/>
      </c>
      <c r="B129" s="14"/>
      <c r="C129" s="14"/>
      <c r="D129" s="14"/>
      <c r="E129" s="14"/>
      <c r="F129" s="14"/>
      <c r="G129" s="14"/>
      <c r="H129" s="14"/>
      <c r="I129" s="14"/>
      <c r="J129" s="14"/>
      <c r="K129" s="14"/>
      <c r="L129" s="15"/>
      <c r="M129" s="15"/>
      <c r="N129" s="15"/>
      <c r="O129" s="15"/>
      <c r="P129" s="15"/>
      <c r="Q129" s="15"/>
      <c r="R129" s="16"/>
      <c r="S129" s="17"/>
      <c r="T129" s="17"/>
      <c r="U129" s="17"/>
      <c r="V129" s="18"/>
      <c r="W129" s="18"/>
      <c r="X129" s="18"/>
      <c r="Y129" s="17"/>
      <c r="Z129" s="17"/>
      <c r="AA129" s="17"/>
      <c r="AB129" s="17"/>
      <c r="AC129" s="17"/>
      <c r="AD129" s="17"/>
      <c r="AE129" s="17"/>
      <c r="AF129" s="17"/>
      <c r="AG129" s="17"/>
      <c r="AH129" s="14" t="str">
        <f aca="false">IF(B129="","",(R129&lt;=Budget)+(S129&lt;Deaths_Appetite)+(V129&lt;=Carbon_Budget)+(Y129=0)+(AB129&gt;=Recall_Target*100)+(AE129=0))</f>
        <v/>
      </c>
      <c r="AI129" s="14" t="str">
        <f aca="false">IF(B129="","",(R129&lt;=Budget)+(T129&lt;Deaths_Appetite)+(W129&lt;=Carbon_Budget)+(Z129=0)+(AC129&gt;=Recall_Target*100)+(AF129=0))</f>
        <v/>
      </c>
      <c r="AJ129" s="14" t="str">
        <f aca="false">IF(B129="","",(R129&lt;=Budget)+(U129&lt;Deaths_Appetite)+(X129&lt;=Carbon_Budget)+(AA129=0)+(AD129&gt;=Recall_Target*100)+(AG129=0))</f>
        <v/>
      </c>
    </row>
    <row r="130" customFormat="false" ht="15" hidden="false" customHeight="false" outlineLevel="0" collapsed="false">
      <c r="A130" s="7" t="str">
        <f aca="false">IF(B130="","","S"&amp;TEXT(ROW()-4,"00"))</f>
        <v/>
      </c>
      <c r="B130" s="14"/>
      <c r="C130" s="14"/>
      <c r="D130" s="14"/>
      <c r="E130" s="14"/>
      <c r="F130" s="14"/>
      <c r="G130" s="14"/>
      <c r="H130" s="14"/>
      <c r="I130" s="14"/>
      <c r="J130" s="14"/>
      <c r="K130" s="14"/>
      <c r="L130" s="15"/>
      <c r="M130" s="15"/>
      <c r="N130" s="15"/>
      <c r="O130" s="15"/>
      <c r="P130" s="15"/>
      <c r="Q130" s="15"/>
      <c r="R130" s="16"/>
      <c r="S130" s="17"/>
      <c r="T130" s="17"/>
      <c r="U130" s="17"/>
      <c r="V130" s="18"/>
      <c r="W130" s="18"/>
      <c r="X130" s="18"/>
      <c r="Y130" s="17"/>
      <c r="Z130" s="17"/>
      <c r="AA130" s="17"/>
      <c r="AB130" s="17"/>
      <c r="AC130" s="17"/>
      <c r="AD130" s="17"/>
      <c r="AE130" s="17"/>
      <c r="AF130" s="17"/>
      <c r="AG130" s="17"/>
      <c r="AH130" s="14" t="str">
        <f aca="false">IF(B130="","",(R130&lt;=Budget)+(S130&lt;Deaths_Appetite)+(V130&lt;=Carbon_Budget)+(Y130=0)+(AB130&gt;=Recall_Target*100)+(AE130=0))</f>
        <v/>
      </c>
      <c r="AI130" s="14" t="str">
        <f aca="false">IF(B130="","",(R130&lt;=Budget)+(T130&lt;Deaths_Appetite)+(W130&lt;=Carbon_Budget)+(Z130=0)+(AC130&gt;=Recall_Target*100)+(AF130=0))</f>
        <v/>
      </c>
      <c r="AJ130" s="14" t="str">
        <f aca="false">IF(B130="","",(R130&lt;=Budget)+(U130&lt;Deaths_Appetite)+(X130&lt;=Carbon_Budget)+(AA130=0)+(AD130&gt;=Recall_Target*100)+(AG130=0))</f>
        <v/>
      </c>
    </row>
    <row r="131" customFormat="false" ht="15" hidden="false" customHeight="false" outlineLevel="0" collapsed="false">
      <c r="A131" s="7" t="str">
        <f aca="false">IF(B131="","","S"&amp;TEXT(ROW()-4,"00"))</f>
        <v/>
      </c>
      <c r="B131" s="14"/>
      <c r="C131" s="14"/>
      <c r="D131" s="14"/>
      <c r="E131" s="14"/>
      <c r="F131" s="14"/>
      <c r="G131" s="14"/>
      <c r="H131" s="14"/>
      <c r="I131" s="14"/>
      <c r="J131" s="14"/>
      <c r="K131" s="14"/>
      <c r="L131" s="15"/>
      <c r="M131" s="15"/>
      <c r="N131" s="15"/>
      <c r="O131" s="15"/>
      <c r="P131" s="15"/>
      <c r="Q131" s="15"/>
      <c r="R131" s="16"/>
      <c r="S131" s="17"/>
      <c r="T131" s="17"/>
      <c r="U131" s="17"/>
      <c r="V131" s="18"/>
      <c r="W131" s="18"/>
      <c r="X131" s="18"/>
      <c r="Y131" s="17"/>
      <c r="Z131" s="17"/>
      <c r="AA131" s="17"/>
      <c r="AB131" s="17"/>
      <c r="AC131" s="17"/>
      <c r="AD131" s="17"/>
      <c r="AE131" s="17"/>
      <c r="AF131" s="17"/>
      <c r="AG131" s="17"/>
      <c r="AH131" s="14" t="str">
        <f aca="false">IF(B131="","",(R131&lt;=Budget)+(S131&lt;Deaths_Appetite)+(V131&lt;=Carbon_Budget)+(Y131=0)+(AB131&gt;=Recall_Target*100)+(AE131=0))</f>
        <v/>
      </c>
      <c r="AI131" s="14" t="str">
        <f aca="false">IF(B131="","",(R131&lt;=Budget)+(T131&lt;Deaths_Appetite)+(W131&lt;=Carbon_Budget)+(Z131=0)+(AC131&gt;=Recall_Target*100)+(AF131=0))</f>
        <v/>
      </c>
      <c r="AJ131" s="14" t="str">
        <f aca="false">IF(B131="","",(R131&lt;=Budget)+(U131&lt;Deaths_Appetite)+(X131&lt;=Carbon_Budget)+(AA131=0)+(AD131&gt;=Recall_Target*100)+(AG131=0))</f>
        <v/>
      </c>
    </row>
    <row r="132" customFormat="false" ht="15" hidden="false" customHeight="false" outlineLevel="0" collapsed="false">
      <c r="A132" s="7" t="str">
        <f aca="false">IF(B132="","","S"&amp;TEXT(ROW()-4,"00"))</f>
        <v/>
      </c>
      <c r="B132" s="14"/>
      <c r="C132" s="14"/>
      <c r="D132" s="14"/>
      <c r="E132" s="14"/>
      <c r="F132" s="14"/>
      <c r="G132" s="14"/>
      <c r="H132" s="14"/>
      <c r="I132" s="14"/>
      <c r="J132" s="14"/>
      <c r="K132" s="14"/>
      <c r="L132" s="15"/>
      <c r="M132" s="15"/>
      <c r="N132" s="15"/>
      <c r="O132" s="15"/>
      <c r="P132" s="15"/>
      <c r="Q132" s="15"/>
      <c r="R132" s="16"/>
      <c r="S132" s="17"/>
      <c r="T132" s="17"/>
      <c r="U132" s="17"/>
      <c r="V132" s="18"/>
      <c r="W132" s="18"/>
      <c r="X132" s="18"/>
      <c r="Y132" s="17"/>
      <c r="Z132" s="17"/>
      <c r="AA132" s="17"/>
      <c r="AB132" s="17"/>
      <c r="AC132" s="17"/>
      <c r="AD132" s="17"/>
      <c r="AE132" s="17"/>
      <c r="AF132" s="17"/>
      <c r="AG132" s="17"/>
      <c r="AH132" s="14" t="str">
        <f aca="false">IF(B132="","",(R132&lt;=Budget)+(S132&lt;Deaths_Appetite)+(V132&lt;=Carbon_Budget)+(Y132=0)+(AB132&gt;=Recall_Target*100)+(AE132=0))</f>
        <v/>
      </c>
      <c r="AI132" s="14" t="str">
        <f aca="false">IF(B132="","",(R132&lt;=Budget)+(T132&lt;Deaths_Appetite)+(W132&lt;=Carbon_Budget)+(Z132=0)+(AC132&gt;=Recall_Target*100)+(AF132=0))</f>
        <v/>
      </c>
      <c r="AJ132" s="14" t="str">
        <f aca="false">IF(B132="","",(R132&lt;=Budget)+(U132&lt;Deaths_Appetite)+(X132&lt;=Carbon_Budget)+(AA132=0)+(AD132&gt;=Recall_Target*100)+(AG132=0))</f>
        <v/>
      </c>
    </row>
    <row r="133" customFormat="false" ht="15" hidden="false" customHeight="false" outlineLevel="0" collapsed="false">
      <c r="A133" s="7" t="str">
        <f aca="false">IF(B133="","","S"&amp;TEXT(ROW()-4,"00"))</f>
        <v/>
      </c>
      <c r="B133" s="14"/>
      <c r="C133" s="14"/>
      <c r="D133" s="14"/>
      <c r="E133" s="14"/>
      <c r="F133" s="14"/>
      <c r="G133" s="14"/>
      <c r="H133" s="14"/>
      <c r="I133" s="14"/>
      <c r="J133" s="14"/>
      <c r="K133" s="14"/>
      <c r="L133" s="15"/>
      <c r="M133" s="15"/>
      <c r="N133" s="15"/>
      <c r="O133" s="15"/>
      <c r="P133" s="15"/>
      <c r="Q133" s="15"/>
      <c r="R133" s="16"/>
      <c r="S133" s="17"/>
      <c r="T133" s="17"/>
      <c r="U133" s="17"/>
      <c r="V133" s="18"/>
      <c r="W133" s="18"/>
      <c r="X133" s="18"/>
      <c r="Y133" s="17"/>
      <c r="Z133" s="17"/>
      <c r="AA133" s="17"/>
      <c r="AB133" s="17"/>
      <c r="AC133" s="17"/>
      <c r="AD133" s="17"/>
      <c r="AE133" s="17"/>
      <c r="AF133" s="17"/>
      <c r="AG133" s="17"/>
      <c r="AH133" s="14" t="str">
        <f aca="false">IF(B133="","",(R133&lt;=Budget)+(S133&lt;Deaths_Appetite)+(V133&lt;=Carbon_Budget)+(Y133=0)+(AB133&gt;=Recall_Target*100)+(AE133=0))</f>
        <v/>
      </c>
      <c r="AI133" s="14" t="str">
        <f aca="false">IF(B133="","",(R133&lt;=Budget)+(T133&lt;Deaths_Appetite)+(W133&lt;=Carbon_Budget)+(Z133=0)+(AC133&gt;=Recall_Target*100)+(AF133=0))</f>
        <v/>
      </c>
      <c r="AJ133" s="14" t="str">
        <f aca="false">IF(B133="","",(R133&lt;=Budget)+(U133&lt;Deaths_Appetite)+(X133&lt;=Carbon_Budget)+(AA133=0)+(AD133&gt;=Recall_Target*100)+(AG133=0))</f>
        <v/>
      </c>
    </row>
    <row r="134" customFormat="false" ht="15" hidden="false" customHeight="false" outlineLevel="0" collapsed="false">
      <c r="A134" s="7" t="str">
        <f aca="false">IF(B134="","","S"&amp;TEXT(ROW()-4,"00"))</f>
        <v/>
      </c>
      <c r="B134" s="14"/>
      <c r="C134" s="14"/>
      <c r="D134" s="14"/>
      <c r="E134" s="14"/>
      <c r="F134" s="14"/>
      <c r="G134" s="14"/>
      <c r="H134" s="14"/>
      <c r="I134" s="14"/>
      <c r="J134" s="14"/>
      <c r="K134" s="14"/>
      <c r="L134" s="15"/>
      <c r="M134" s="15"/>
      <c r="N134" s="15"/>
      <c r="O134" s="15"/>
      <c r="P134" s="15"/>
      <c r="Q134" s="15"/>
      <c r="R134" s="16"/>
      <c r="S134" s="17"/>
      <c r="T134" s="17"/>
      <c r="U134" s="17"/>
      <c r="V134" s="18"/>
      <c r="W134" s="18"/>
      <c r="X134" s="18"/>
      <c r="Y134" s="17"/>
      <c r="Z134" s="17"/>
      <c r="AA134" s="17"/>
      <c r="AB134" s="17"/>
      <c r="AC134" s="17"/>
      <c r="AD134" s="17"/>
      <c r="AE134" s="17"/>
      <c r="AF134" s="17"/>
      <c r="AG134" s="17"/>
      <c r="AH134" s="14" t="str">
        <f aca="false">IF(B134="","",(R134&lt;=Budget)+(S134&lt;Deaths_Appetite)+(V134&lt;=Carbon_Budget)+(Y134=0)+(AB134&gt;=Recall_Target*100)+(AE134=0))</f>
        <v/>
      </c>
      <c r="AI134" s="14" t="str">
        <f aca="false">IF(B134="","",(R134&lt;=Budget)+(T134&lt;Deaths_Appetite)+(W134&lt;=Carbon_Budget)+(Z134=0)+(AC134&gt;=Recall_Target*100)+(AF134=0))</f>
        <v/>
      </c>
      <c r="AJ134" s="14" t="str">
        <f aca="false">IF(B134="","",(R134&lt;=Budget)+(U134&lt;Deaths_Appetite)+(X134&lt;=Carbon_Budget)+(AA134=0)+(AD134&gt;=Recall_Target*100)+(AG134=0))</f>
        <v/>
      </c>
    </row>
    <row r="135" customFormat="false" ht="15" hidden="false" customHeight="false" outlineLevel="0" collapsed="false">
      <c r="A135" s="7" t="str">
        <f aca="false">IF(B135="","","S"&amp;TEXT(ROW()-4,"00"))</f>
        <v/>
      </c>
      <c r="B135" s="14"/>
      <c r="C135" s="14"/>
      <c r="D135" s="14"/>
      <c r="E135" s="14"/>
      <c r="F135" s="14"/>
      <c r="G135" s="14"/>
      <c r="H135" s="14"/>
      <c r="I135" s="14"/>
      <c r="J135" s="14"/>
      <c r="K135" s="14"/>
      <c r="L135" s="15"/>
      <c r="M135" s="15"/>
      <c r="N135" s="15"/>
      <c r="O135" s="15"/>
      <c r="P135" s="15"/>
      <c r="Q135" s="15"/>
      <c r="R135" s="16"/>
      <c r="S135" s="17"/>
      <c r="T135" s="17"/>
      <c r="U135" s="17"/>
      <c r="V135" s="18"/>
      <c r="W135" s="18"/>
      <c r="X135" s="18"/>
      <c r="Y135" s="17"/>
      <c r="Z135" s="17"/>
      <c r="AA135" s="17"/>
      <c r="AB135" s="17"/>
      <c r="AC135" s="17"/>
      <c r="AD135" s="17"/>
      <c r="AE135" s="17"/>
      <c r="AF135" s="17"/>
      <c r="AG135" s="17"/>
      <c r="AH135" s="14" t="str">
        <f aca="false">IF(B135="","",(R135&lt;=Budget)+(S135&lt;Deaths_Appetite)+(V135&lt;=Carbon_Budget)+(Y135=0)+(AB135&gt;=Recall_Target*100)+(AE135=0))</f>
        <v/>
      </c>
      <c r="AI135" s="14" t="str">
        <f aca="false">IF(B135="","",(R135&lt;=Budget)+(T135&lt;Deaths_Appetite)+(W135&lt;=Carbon_Budget)+(Z135=0)+(AC135&gt;=Recall_Target*100)+(AF135=0))</f>
        <v/>
      </c>
      <c r="AJ135" s="14" t="str">
        <f aca="false">IF(B135="","",(R135&lt;=Budget)+(U135&lt;Deaths_Appetite)+(X135&lt;=Carbon_Budget)+(AA135=0)+(AD135&gt;=Recall_Target*100)+(AG135=0))</f>
        <v/>
      </c>
    </row>
    <row r="136" customFormat="false" ht="15" hidden="false" customHeight="false" outlineLevel="0" collapsed="false">
      <c r="A136" s="7" t="str">
        <f aca="false">IF(B136="","","S"&amp;TEXT(ROW()-4,"00"))</f>
        <v/>
      </c>
      <c r="B136" s="14"/>
      <c r="C136" s="14"/>
      <c r="D136" s="14"/>
      <c r="E136" s="14"/>
      <c r="F136" s="14"/>
      <c r="G136" s="14"/>
      <c r="H136" s="14"/>
      <c r="I136" s="14"/>
      <c r="J136" s="14"/>
      <c r="K136" s="14"/>
      <c r="L136" s="15"/>
      <c r="M136" s="15"/>
      <c r="N136" s="15"/>
      <c r="O136" s="15"/>
      <c r="P136" s="15"/>
      <c r="Q136" s="15"/>
      <c r="R136" s="16"/>
      <c r="S136" s="17"/>
      <c r="T136" s="17"/>
      <c r="U136" s="17"/>
      <c r="V136" s="18"/>
      <c r="W136" s="18"/>
      <c r="X136" s="18"/>
      <c r="Y136" s="17"/>
      <c r="Z136" s="17"/>
      <c r="AA136" s="17"/>
      <c r="AB136" s="17"/>
      <c r="AC136" s="17"/>
      <c r="AD136" s="17"/>
      <c r="AE136" s="17"/>
      <c r="AF136" s="17"/>
      <c r="AG136" s="17"/>
      <c r="AH136" s="14" t="str">
        <f aca="false">IF(B136="","",(R136&lt;=Budget)+(S136&lt;Deaths_Appetite)+(V136&lt;=Carbon_Budget)+(Y136=0)+(AB136&gt;=Recall_Target*100)+(AE136=0))</f>
        <v/>
      </c>
      <c r="AI136" s="14" t="str">
        <f aca="false">IF(B136="","",(R136&lt;=Budget)+(T136&lt;Deaths_Appetite)+(W136&lt;=Carbon_Budget)+(Z136=0)+(AC136&gt;=Recall_Target*100)+(AF136=0))</f>
        <v/>
      </c>
      <c r="AJ136" s="14" t="str">
        <f aca="false">IF(B136="","",(R136&lt;=Budget)+(U136&lt;Deaths_Appetite)+(X136&lt;=Carbon_Budget)+(AA136=0)+(AD136&gt;=Recall_Target*100)+(AG136=0))</f>
        <v/>
      </c>
    </row>
    <row r="137" customFormat="false" ht="15" hidden="false" customHeight="false" outlineLevel="0" collapsed="false">
      <c r="A137" s="7" t="str">
        <f aca="false">IF(B137="","","S"&amp;TEXT(ROW()-4,"00"))</f>
        <v/>
      </c>
      <c r="B137" s="14"/>
      <c r="C137" s="14"/>
      <c r="D137" s="14"/>
      <c r="E137" s="14"/>
      <c r="F137" s="14"/>
      <c r="G137" s="14"/>
      <c r="H137" s="14"/>
      <c r="I137" s="14"/>
      <c r="J137" s="14"/>
      <c r="K137" s="14"/>
      <c r="L137" s="15"/>
      <c r="M137" s="15"/>
      <c r="N137" s="15"/>
      <c r="O137" s="15"/>
      <c r="P137" s="15"/>
      <c r="Q137" s="15"/>
      <c r="R137" s="16"/>
      <c r="S137" s="17"/>
      <c r="T137" s="17"/>
      <c r="U137" s="17"/>
      <c r="V137" s="18"/>
      <c r="W137" s="18"/>
      <c r="X137" s="18"/>
      <c r="Y137" s="17"/>
      <c r="Z137" s="17"/>
      <c r="AA137" s="17"/>
      <c r="AB137" s="17"/>
      <c r="AC137" s="17"/>
      <c r="AD137" s="17"/>
      <c r="AE137" s="17"/>
      <c r="AF137" s="17"/>
      <c r="AG137" s="17"/>
      <c r="AH137" s="14" t="str">
        <f aca="false">IF(B137="","",(R137&lt;=Budget)+(S137&lt;Deaths_Appetite)+(V137&lt;=Carbon_Budget)+(Y137=0)+(AB137&gt;=Recall_Target*100)+(AE137=0))</f>
        <v/>
      </c>
      <c r="AI137" s="14" t="str">
        <f aca="false">IF(B137="","",(R137&lt;=Budget)+(T137&lt;Deaths_Appetite)+(W137&lt;=Carbon_Budget)+(Z137=0)+(AC137&gt;=Recall_Target*100)+(AF137=0))</f>
        <v/>
      </c>
      <c r="AJ137" s="14" t="str">
        <f aca="false">IF(B137="","",(R137&lt;=Budget)+(U137&lt;Deaths_Appetite)+(X137&lt;=Carbon_Budget)+(AA137=0)+(AD137&gt;=Recall_Target*100)+(AG137=0))</f>
        <v/>
      </c>
    </row>
    <row r="138" customFormat="false" ht="15" hidden="false" customHeight="false" outlineLevel="0" collapsed="false">
      <c r="A138" s="7" t="str">
        <f aca="false">IF(B138="","","S"&amp;TEXT(ROW()-4,"00"))</f>
        <v/>
      </c>
      <c r="B138" s="14"/>
      <c r="C138" s="14"/>
      <c r="D138" s="14"/>
      <c r="E138" s="14"/>
      <c r="F138" s="14"/>
      <c r="G138" s="14"/>
      <c r="H138" s="14"/>
      <c r="I138" s="14"/>
      <c r="J138" s="14"/>
      <c r="K138" s="14"/>
      <c r="L138" s="15"/>
      <c r="M138" s="15"/>
      <c r="N138" s="15"/>
      <c r="O138" s="15"/>
      <c r="P138" s="15"/>
      <c r="Q138" s="15"/>
      <c r="R138" s="16"/>
      <c r="S138" s="17"/>
      <c r="T138" s="17"/>
      <c r="U138" s="17"/>
      <c r="V138" s="18"/>
      <c r="W138" s="18"/>
      <c r="X138" s="18"/>
      <c r="Y138" s="17"/>
      <c r="Z138" s="17"/>
      <c r="AA138" s="17"/>
      <c r="AB138" s="17"/>
      <c r="AC138" s="17"/>
      <c r="AD138" s="17"/>
      <c r="AE138" s="17"/>
      <c r="AF138" s="17"/>
      <c r="AG138" s="17"/>
      <c r="AH138" s="14" t="str">
        <f aca="false">IF(B138="","",(R138&lt;=Budget)+(S138&lt;Deaths_Appetite)+(V138&lt;=Carbon_Budget)+(Y138=0)+(AB138&gt;=Recall_Target*100)+(AE138=0))</f>
        <v/>
      </c>
      <c r="AI138" s="14" t="str">
        <f aca="false">IF(B138="","",(R138&lt;=Budget)+(T138&lt;Deaths_Appetite)+(W138&lt;=Carbon_Budget)+(Z138=0)+(AC138&gt;=Recall_Target*100)+(AF138=0))</f>
        <v/>
      </c>
      <c r="AJ138" s="14" t="str">
        <f aca="false">IF(B138="","",(R138&lt;=Budget)+(U138&lt;Deaths_Appetite)+(X138&lt;=Carbon_Budget)+(AA138=0)+(AD138&gt;=Recall_Target*100)+(AG138=0))</f>
        <v/>
      </c>
    </row>
    <row r="139" customFormat="false" ht="15" hidden="false" customHeight="false" outlineLevel="0" collapsed="false">
      <c r="A139" s="7" t="str">
        <f aca="false">IF(B139="","","S"&amp;TEXT(ROW()-4,"00"))</f>
        <v/>
      </c>
      <c r="B139" s="14"/>
      <c r="C139" s="14"/>
      <c r="D139" s="14"/>
      <c r="E139" s="14"/>
      <c r="F139" s="14"/>
      <c r="G139" s="14"/>
      <c r="H139" s="14"/>
      <c r="I139" s="14"/>
      <c r="J139" s="14"/>
      <c r="K139" s="14"/>
      <c r="L139" s="15"/>
      <c r="M139" s="15"/>
      <c r="N139" s="15"/>
      <c r="O139" s="15"/>
      <c r="P139" s="15"/>
      <c r="Q139" s="15"/>
      <c r="R139" s="16"/>
      <c r="S139" s="17"/>
      <c r="T139" s="17"/>
      <c r="U139" s="17"/>
      <c r="V139" s="18"/>
      <c r="W139" s="18"/>
      <c r="X139" s="18"/>
      <c r="Y139" s="17"/>
      <c r="Z139" s="17"/>
      <c r="AA139" s="17"/>
      <c r="AB139" s="17"/>
      <c r="AC139" s="17"/>
      <c r="AD139" s="17"/>
      <c r="AE139" s="17"/>
      <c r="AF139" s="17"/>
      <c r="AG139" s="17"/>
      <c r="AH139" s="14" t="str">
        <f aca="false">IF(B139="","",(R139&lt;=Budget)+(S139&lt;Deaths_Appetite)+(V139&lt;=Carbon_Budget)+(Y139=0)+(AB139&gt;=Recall_Target*100)+(AE139=0))</f>
        <v/>
      </c>
      <c r="AI139" s="14" t="str">
        <f aca="false">IF(B139="","",(R139&lt;=Budget)+(T139&lt;Deaths_Appetite)+(W139&lt;=Carbon_Budget)+(Z139=0)+(AC139&gt;=Recall_Target*100)+(AF139=0))</f>
        <v/>
      </c>
      <c r="AJ139" s="14" t="str">
        <f aca="false">IF(B139="","",(R139&lt;=Budget)+(U139&lt;Deaths_Appetite)+(X139&lt;=Carbon_Budget)+(AA139=0)+(AD139&gt;=Recall_Target*100)+(AG139=0))</f>
        <v/>
      </c>
    </row>
    <row r="140" customFormat="false" ht="15" hidden="false" customHeight="false" outlineLevel="0" collapsed="false">
      <c r="A140" s="7" t="str">
        <f aca="false">IF(B140="","","S"&amp;TEXT(ROW()-4,"00"))</f>
        <v/>
      </c>
      <c r="B140" s="14"/>
      <c r="C140" s="14"/>
      <c r="D140" s="14"/>
      <c r="E140" s="14"/>
      <c r="F140" s="14"/>
      <c r="G140" s="14"/>
      <c r="H140" s="14"/>
      <c r="I140" s="14"/>
      <c r="J140" s="14"/>
      <c r="K140" s="14"/>
      <c r="L140" s="15"/>
      <c r="M140" s="15"/>
      <c r="N140" s="15"/>
      <c r="O140" s="15"/>
      <c r="P140" s="15"/>
      <c r="Q140" s="15"/>
      <c r="R140" s="16"/>
      <c r="S140" s="17"/>
      <c r="T140" s="17"/>
      <c r="U140" s="17"/>
      <c r="V140" s="18"/>
      <c r="W140" s="18"/>
      <c r="X140" s="18"/>
      <c r="Y140" s="17"/>
      <c r="Z140" s="17"/>
      <c r="AA140" s="17"/>
      <c r="AB140" s="17"/>
      <c r="AC140" s="17"/>
      <c r="AD140" s="17"/>
      <c r="AE140" s="17"/>
      <c r="AF140" s="17"/>
      <c r="AG140" s="17"/>
      <c r="AH140" s="14" t="str">
        <f aca="false">IF(B140="","",(R140&lt;=Budget)+(S140&lt;Deaths_Appetite)+(V140&lt;=Carbon_Budget)+(Y140=0)+(AB140&gt;=Recall_Target*100)+(AE140=0))</f>
        <v/>
      </c>
      <c r="AI140" s="14" t="str">
        <f aca="false">IF(B140="","",(R140&lt;=Budget)+(T140&lt;Deaths_Appetite)+(W140&lt;=Carbon_Budget)+(Z140=0)+(AC140&gt;=Recall_Target*100)+(AF140=0))</f>
        <v/>
      </c>
      <c r="AJ140" s="14" t="str">
        <f aca="false">IF(B140="","",(R140&lt;=Budget)+(U140&lt;Deaths_Appetite)+(X140&lt;=Carbon_Budget)+(AA140=0)+(AD140&gt;=Recall_Target*100)+(AG140=0))</f>
        <v/>
      </c>
    </row>
    <row r="141" customFormat="false" ht="15" hidden="false" customHeight="false" outlineLevel="0" collapsed="false">
      <c r="A141" s="7" t="str">
        <f aca="false">IF(B141="","","S"&amp;TEXT(ROW()-4,"00"))</f>
        <v/>
      </c>
      <c r="B141" s="14"/>
      <c r="C141" s="14"/>
      <c r="D141" s="14"/>
      <c r="E141" s="14"/>
      <c r="F141" s="14"/>
      <c r="G141" s="14"/>
      <c r="H141" s="14"/>
      <c r="I141" s="14"/>
      <c r="J141" s="14"/>
      <c r="K141" s="14"/>
      <c r="L141" s="15"/>
      <c r="M141" s="15"/>
      <c r="N141" s="15"/>
      <c r="O141" s="15"/>
      <c r="P141" s="15"/>
      <c r="Q141" s="15"/>
      <c r="R141" s="16"/>
      <c r="S141" s="17"/>
      <c r="T141" s="17"/>
      <c r="U141" s="17"/>
      <c r="V141" s="18"/>
      <c r="W141" s="18"/>
      <c r="X141" s="18"/>
      <c r="Y141" s="17"/>
      <c r="Z141" s="17"/>
      <c r="AA141" s="17"/>
      <c r="AB141" s="17"/>
      <c r="AC141" s="17"/>
      <c r="AD141" s="17"/>
      <c r="AE141" s="17"/>
      <c r="AF141" s="17"/>
      <c r="AG141" s="17"/>
      <c r="AH141" s="14" t="str">
        <f aca="false">IF(B141="","",(R141&lt;=Budget)+(S141&lt;Deaths_Appetite)+(V141&lt;=Carbon_Budget)+(Y141=0)+(AB141&gt;=Recall_Target*100)+(AE141=0))</f>
        <v/>
      </c>
      <c r="AI141" s="14" t="str">
        <f aca="false">IF(B141="","",(R141&lt;=Budget)+(T141&lt;Deaths_Appetite)+(W141&lt;=Carbon_Budget)+(Z141=0)+(AC141&gt;=Recall_Target*100)+(AF141=0))</f>
        <v/>
      </c>
      <c r="AJ141" s="14" t="str">
        <f aca="false">IF(B141="","",(R141&lt;=Budget)+(U141&lt;Deaths_Appetite)+(X141&lt;=Carbon_Budget)+(AA141=0)+(AD141&gt;=Recall_Target*100)+(AG141=0))</f>
        <v/>
      </c>
    </row>
    <row r="142" customFormat="false" ht="15" hidden="false" customHeight="false" outlineLevel="0" collapsed="false">
      <c r="A142" s="7" t="str">
        <f aca="false">IF(B142="","","S"&amp;TEXT(ROW()-4,"00"))</f>
        <v/>
      </c>
      <c r="B142" s="14"/>
      <c r="C142" s="14"/>
      <c r="D142" s="14"/>
      <c r="E142" s="14"/>
      <c r="F142" s="14"/>
      <c r="G142" s="14"/>
      <c r="H142" s="14"/>
      <c r="I142" s="14"/>
      <c r="J142" s="14"/>
      <c r="K142" s="14"/>
      <c r="L142" s="15"/>
      <c r="M142" s="15"/>
      <c r="N142" s="15"/>
      <c r="O142" s="15"/>
      <c r="P142" s="15"/>
      <c r="Q142" s="15"/>
      <c r="R142" s="16"/>
      <c r="S142" s="17"/>
      <c r="T142" s="17"/>
      <c r="U142" s="17"/>
      <c r="V142" s="18"/>
      <c r="W142" s="18"/>
      <c r="X142" s="18"/>
      <c r="Y142" s="17"/>
      <c r="Z142" s="17"/>
      <c r="AA142" s="17"/>
      <c r="AB142" s="17"/>
      <c r="AC142" s="17"/>
      <c r="AD142" s="17"/>
      <c r="AE142" s="17"/>
      <c r="AF142" s="17"/>
      <c r="AG142" s="17"/>
      <c r="AH142" s="14" t="str">
        <f aca="false">IF(B142="","",(R142&lt;=Budget)+(S142&lt;Deaths_Appetite)+(V142&lt;=Carbon_Budget)+(Y142=0)+(AB142&gt;=Recall_Target*100)+(AE142=0))</f>
        <v/>
      </c>
      <c r="AI142" s="14" t="str">
        <f aca="false">IF(B142="","",(R142&lt;=Budget)+(T142&lt;Deaths_Appetite)+(W142&lt;=Carbon_Budget)+(Z142=0)+(AC142&gt;=Recall_Target*100)+(AF142=0))</f>
        <v/>
      </c>
      <c r="AJ142" s="14" t="str">
        <f aca="false">IF(B142="","",(R142&lt;=Budget)+(U142&lt;Deaths_Appetite)+(X142&lt;=Carbon_Budget)+(AA142=0)+(AD142&gt;=Recall_Target*100)+(AG142=0))</f>
        <v/>
      </c>
    </row>
    <row r="143" customFormat="false" ht="15" hidden="false" customHeight="false" outlineLevel="0" collapsed="false">
      <c r="A143" s="7" t="str">
        <f aca="false">IF(B143="","","S"&amp;TEXT(ROW()-4,"00"))</f>
        <v/>
      </c>
      <c r="B143" s="14"/>
      <c r="C143" s="14"/>
      <c r="D143" s="14"/>
      <c r="E143" s="14"/>
      <c r="F143" s="14"/>
      <c r="G143" s="14"/>
      <c r="H143" s="14"/>
      <c r="I143" s="14"/>
      <c r="J143" s="14"/>
      <c r="K143" s="14"/>
      <c r="L143" s="15"/>
      <c r="M143" s="15"/>
      <c r="N143" s="15"/>
      <c r="O143" s="15"/>
      <c r="P143" s="15"/>
      <c r="Q143" s="15"/>
      <c r="R143" s="16"/>
      <c r="S143" s="17"/>
      <c r="T143" s="17"/>
      <c r="U143" s="17"/>
      <c r="V143" s="18"/>
      <c r="W143" s="18"/>
      <c r="X143" s="18"/>
      <c r="Y143" s="17"/>
      <c r="Z143" s="17"/>
      <c r="AA143" s="17"/>
      <c r="AB143" s="17"/>
      <c r="AC143" s="17"/>
      <c r="AD143" s="17"/>
      <c r="AE143" s="17"/>
      <c r="AF143" s="17"/>
      <c r="AG143" s="17"/>
      <c r="AH143" s="14" t="str">
        <f aca="false">IF(B143="","",(R143&lt;=Budget)+(S143&lt;Deaths_Appetite)+(V143&lt;=Carbon_Budget)+(Y143=0)+(AB143&gt;=Recall_Target*100)+(AE143=0))</f>
        <v/>
      </c>
      <c r="AI143" s="14" t="str">
        <f aca="false">IF(B143="","",(R143&lt;=Budget)+(T143&lt;Deaths_Appetite)+(W143&lt;=Carbon_Budget)+(Z143=0)+(AC143&gt;=Recall_Target*100)+(AF143=0))</f>
        <v/>
      </c>
      <c r="AJ143" s="14" t="str">
        <f aca="false">IF(B143="","",(R143&lt;=Budget)+(U143&lt;Deaths_Appetite)+(X143&lt;=Carbon_Budget)+(AA143=0)+(AD143&gt;=Recall_Target*100)+(AG143=0))</f>
        <v/>
      </c>
    </row>
    <row r="144" customFormat="false" ht="15" hidden="false" customHeight="false" outlineLevel="0" collapsed="false">
      <c r="A144" s="7" t="str">
        <f aca="false">IF(B144="","","S"&amp;TEXT(ROW()-4,"00"))</f>
        <v/>
      </c>
      <c r="B144" s="14"/>
      <c r="C144" s="14"/>
      <c r="D144" s="14"/>
      <c r="E144" s="14"/>
      <c r="F144" s="14"/>
      <c r="G144" s="14"/>
      <c r="H144" s="14"/>
      <c r="I144" s="14"/>
      <c r="J144" s="14"/>
      <c r="K144" s="14"/>
      <c r="L144" s="15"/>
      <c r="M144" s="15"/>
      <c r="N144" s="15"/>
      <c r="O144" s="15"/>
      <c r="P144" s="15"/>
      <c r="Q144" s="15"/>
      <c r="R144" s="16"/>
      <c r="S144" s="17"/>
      <c r="T144" s="17"/>
      <c r="U144" s="17"/>
      <c r="V144" s="18"/>
      <c r="W144" s="18"/>
      <c r="X144" s="18"/>
      <c r="Y144" s="17"/>
      <c r="Z144" s="17"/>
      <c r="AA144" s="17"/>
      <c r="AB144" s="17"/>
      <c r="AC144" s="17"/>
      <c r="AD144" s="17"/>
      <c r="AE144" s="17"/>
      <c r="AF144" s="17"/>
      <c r="AG144" s="17"/>
      <c r="AH144" s="14" t="str">
        <f aca="false">IF(B144="","",(R144&lt;=Budget)+(S144&lt;Deaths_Appetite)+(V144&lt;=Carbon_Budget)+(Y144=0)+(AB144&gt;=Recall_Target*100)+(AE144=0))</f>
        <v/>
      </c>
      <c r="AI144" s="14" t="str">
        <f aca="false">IF(B144="","",(R144&lt;=Budget)+(T144&lt;Deaths_Appetite)+(W144&lt;=Carbon_Budget)+(Z144=0)+(AC144&gt;=Recall_Target*100)+(AF144=0))</f>
        <v/>
      </c>
      <c r="AJ144" s="14" t="str">
        <f aca="false">IF(B144="","",(R144&lt;=Budget)+(U144&lt;Deaths_Appetite)+(X144&lt;=Carbon_Budget)+(AA144=0)+(AD144&gt;=Recall_Target*100)+(AG144=0))</f>
        <v/>
      </c>
    </row>
    <row r="145" customFormat="false" ht="15" hidden="false" customHeight="false" outlineLevel="0" collapsed="false">
      <c r="A145" s="7" t="str">
        <f aca="false">IF(B145="","","S"&amp;TEXT(ROW()-4,"00"))</f>
        <v/>
      </c>
      <c r="B145" s="14"/>
      <c r="C145" s="14"/>
      <c r="D145" s="14"/>
      <c r="E145" s="14"/>
      <c r="F145" s="14"/>
      <c r="G145" s="14"/>
      <c r="H145" s="14"/>
      <c r="I145" s="14"/>
      <c r="J145" s="14"/>
      <c r="K145" s="14"/>
      <c r="L145" s="15"/>
      <c r="M145" s="15"/>
      <c r="N145" s="15"/>
      <c r="O145" s="15"/>
      <c r="P145" s="15"/>
      <c r="Q145" s="15"/>
      <c r="R145" s="16"/>
      <c r="S145" s="17"/>
      <c r="T145" s="17"/>
      <c r="U145" s="17"/>
      <c r="V145" s="18"/>
      <c r="W145" s="18"/>
      <c r="X145" s="18"/>
      <c r="Y145" s="17"/>
      <c r="Z145" s="17"/>
      <c r="AA145" s="17"/>
      <c r="AB145" s="17"/>
      <c r="AC145" s="17"/>
      <c r="AD145" s="17"/>
      <c r="AE145" s="17"/>
      <c r="AF145" s="17"/>
      <c r="AG145" s="17"/>
      <c r="AH145" s="14" t="str">
        <f aca="false">IF(B145="","",(R145&lt;=Budget)+(S145&lt;Deaths_Appetite)+(V145&lt;=Carbon_Budget)+(Y145=0)+(AB145&gt;=Recall_Target*100)+(AE145=0))</f>
        <v/>
      </c>
      <c r="AI145" s="14" t="str">
        <f aca="false">IF(B145="","",(R145&lt;=Budget)+(T145&lt;Deaths_Appetite)+(W145&lt;=Carbon_Budget)+(Z145=0)+(AC145&gt;=Recall_Target*100)+(AF145=0))</f>
        <v/>
      </c>
      <c r="AJ145" s="14" t="str">
        <f aca="false">IF(B145="","",(R145&lt;=Budget)+(U145&lt;Deaths_Appetite)+(X145&lt;=Carbon_Budget)+(AA145=0)+(AD145&gt;=Recall_Target*100)+(AG145=0))</f>
        <v/>
      </c>
    </row>
    <row r="146" customFormat="false" ht="15" hidden="false" customHeight="false" outlineLevel="0" collapsed="false">
      <c r="A146" s="7" t="str">
        <f aca="false">IF(B146="","","S"&amp;TEXT(ROW()-4,"00"))</f>
        <v/>
      </c>
      <c r="B146" s="14"/>
      <c r="C146" s="14"/>
      <c r="D146" s="14"/>
      <c r="E146" s="14"/>
      <c r="F146" s="14"/>
      <c r="G146" s="14"/>
      <c r="H146" s="14"/>
      <c r="I146" s="14"/>
      <c r="J146" s="14"/>
      <c r="K146" s="14"/>
      <c r="L146" s="15"/>
      <c r="M146" s="15"/>
      <c r="N146" s="15"/>
      <c r="O146" s="15"/>
      <c r="P146" s="15"/>
      <c r="Q146" s="15"/>
      <c r="R146" s="16"/>
      <c r="S146" s="17"/>
      <c r="T146" s="17"/>
      <c r="U146" s="17"/>
      <c r="V146" s="18"/>
      <c r="W146" s="18"/>
      <c r="X146" s="18"/>
      <c r="Y146" s="17"/>
      <c r="Z146" s="17"/>
      <c r="AA146" s="17"/>
      <c r="AB146" s="17"/>
      <c r="AC146" s="17"/>
      <c r="AD146" s="17"/>
      <c r="AE146" s="17"/>
      <c r="AF146" s="17"/>
      <c r="AG146" s="17"/>
      <c r="AH146" s="14" t="str">
        <f aca="false">IF(B146="","",(R146&lt;=Budget)+(S146&lt;Deaths_Appetite)+(V146&lt;=Carbon_Budget)+(Y146=0)+(AB146&gt;=Recall_Target*100)+(AE146=0))</f>
        <v/>
      </c>
      <c r="AI146" s="14" t="str">
        <f aca="false">IF(B146="","",(R146&lt;=Budget)+(T146&lt;Deaths_Appetite)+(W146&lt;=Carbon_Budget)+(Z146=0)+(AC146&gt;=Recall_Target*100)+(AF146=0))</f>
        <v/>
      </c>
      <c r="AJ146" s="14" t="str">
        <f aca="false">IF(B146="","",(R146&lt;=Budget)+(U146&lt;Deaths_Appetite)+(X146&lt;=Carbon_Budget)+(AA146=0)+(AD146&gt;=Recall_Target*100)+(AG146=0))</f>
        <v/>
      </c>
    </row>
    <row r="147" customFormat="false" ht="15" hidden="false" customHeight="false" outlineLevel="0" collapsed="false">
      <c r="A147" s="7" t="str">
        <f aca="false">IF(B147="","","S"&amp;TEXT(ROW()-4,"00"))</f>
        <v/>
      </c>
      <c r="B147" s="14"/>
      <c r="C147" s="14"/>
      <c r="D147" s="14"/>
      <c r="E147" s="14"/>
      <c r="F147" s="14"/>
      <c r="G147" s="14"/>
      <c r="H147" s="14"/>
      <c r="I147" s="14"/>
      <c r="J147" s="14"/>
      <c r="K147" s="14"/>
      <c r="L147" s="15"/>
      <c r="M147" s="15"/>
      <c r="N147" s="15"/>
      <c r="O147" s="15"/>
      <c r="P147" s="15"/>
      <c r="Q147" s="15"/>
      <c r="R147" s="16"/>
      <c r="S147" s="17"/>
      <c r="T147" s="17"/>
      <c r="U147" s="17"/>
      <c r="V147" s="18"/>
      <c r="W147" s="18"/>
      <c r="X147" s="18"/>
      <c r="Y147" s="17"/>
      <c r="Z147" s="17"/>
      <c r="AA147" s="17"/>
      <c r="AB147" s="17"/>
      <c r="AC147" s="17"/>
      <c r="AD147" s="17"/>
      <c r="AE147" s="17"/>
      <c r="AF147" s="17"/>
      <c r="AG147" s="17"/>
      <c r="AH147" s="14" t="str">
        <f aca="false">IF(B147="","",(R147&lt;=Budget)+(S147&lt;Deaths_Appetite)+(V147&lt;=Carbon_Budget)+(Y147=0)+(AB147&gt;=Recall_Target*100)+(AE147=0))</f>
        <v/>
      </c>
      <c r="AI147" s="14" t="str">
        <f aca="false">IF(B147="","",(R147&lt;=Budget)+(T147&lt;Deaths_Appetite)+(W147&lt;=Carbon_Budget)+(Z147=0)+(AC147&gt;=Recall_Target*100)+(AF147=0))</f>
        <v/>
      </c>
      <c r="AJ147" s="14" t="str">
        <f aca="false">IF(B147="","",(R147&lt;=Budget)+(U147&lt;Deaths_Appetite)+(X147&lt;=Carbon_Budget)+(AA147=0)+(AD147&gt;=Recall_Target*100)+(AG147=0))</f>
        <v/>
      </c>
    </row>
    <row r="148" customFormat="false" ht="15" hidden="false" customHeight="false" outlineLevel="0" collapsed="false">
      <c r="A148" s="7" t="str">
        <f aca="false">IF(B148="","","S"&amp;TEXT(ROW()-4,"00"))</f>
        <v/>
      </c>
      <c r="B148" s="14"/>
      <c r="C148" s="14"/>
      <c r="D148" s="14"/>
      <c r="E148" s="14"/>
      <c r="F148" s="14"/>
      <c r="G148" s="14"/>
      <c r="H148" s="14"/>
      <c r="I148" s="14"/>
      <c r="J148" s="14"/>
      <c r="K148" s="14"/>
      <c r="L148" s="15"/>
      <c r="M148" s="15"/>
      <c r="N148" s="15"/>
      <c r="O148" s="15"/>
      <c r="P148" s="15"/>
      <c r="Q148" s="15"/>
      <c r="R148" s="16"/>
      <c r="S148" s="17"/>
      <c r="T148" s="17"/>
      <c r="U148" s="17"/>
      <c r="V148" s="18"/>
      <c r="W148" s="18"/>
      <c r="X148" s="18"/>
      <c r="Y148" s="17"/>
      <c r="Z148" s="17"/>
      <c r="AA148" s="17"/>
      <c r="AB148" s="17"/>
      <c r="AC148" s="17"/>
      <c r="AD148" s="17"/>
      <c r="AE148" s="17"/>
      <c r="AF148" s="17"/>
      <c r="AG148" s="17"/>
      <c r="AH148" s="14" t="str">
        <f aca="false">IF(B148="","",(R148&lt;=Budget)+(S148&lt;Deaths_Appetite)+(V148&lt;=Carbon_Budget)+(Y148=0)+(AB148&gt;=Recall_Target*100)+(AE148=0))</f>
        <v/>
      </c>
      <c r="AI148" s="14" t="str">
        <f aca="false">IF(B148="","",(R148&lt;=Budget)+(T148&lt;Deaths_Appetite)+(W148&lt;=Carbon_Budget)+(Z148=0)+(AC148&gt;=Recall_Target*100)+(AF148=0))</f>
        <v/>
      </c>
      <c r="AJ148" s="14" t="str">
        <f aca="false">IF(B148="","",(R148&lt;=Budget)+(U148&lt;Deaths_Appetite)+(X148&lt;=Carbon_Budget)+(AA148=0)+(AD148&gt;=Recall_Target*100)+(AG148=0))</f>
        <v/>
      </c>
    </row>
    <row r="149" customFormat="false" ht="15" hidden="false" customHeight="false" outlineLevel="0" collapsed="false">
      <c r="A149" s="7" t="str">
        <f aca="false">IF(B149="","","S"&amp;TEXT(ROW()-4,"00"))</f>
        <v/>
      </c>
      <c r="B149" s="14"/>
      <c r="C149" s="14"/>
      <c r="D149" s="14"/>
      <c r="E149" s="14"/>
      <c r="F149" s="14"/>
      <c r="G149" s="14"/>
      <c r="H149" s="14"/>
      <c r="I149" s="14"/>
      <c r="J149" s="14"/>
      <c r="K149" s="14"/>
      <c r="L149" s="15"/>
      <c r="M149" s="15"/>
      <c r="N149" s="15"/>
      <c r="O149" s="15"/>
      <c r="P149" s="15"/>
      <c r="Q149" s="15"/>
      <c r="R149" s="16"/>
      <c r="S149" s="17"/>
      <c r="T149" s="17"/>
      <c r="U149" s="17"/>
      <c r="V149" s="18"/>
      <c r="W149" s="18"/>
      <c r="X149" s="18"/>
      <c r="Y149" s="17"/>
      <c r="Z149" s="17"/>
      <c r="AA149" s="17"/>
      <c r="AB149" s="17"/>
      <c r="AC149" s="17"/>
      <c r="AD149" s="17"/>
      <c r="AE149" s="17"/>
      <c r="AF149" s="17"/>
      <c r="AG149" s="17"/>
      <c r="AH149" s="14" t="str">
        <f aca="false">IF(B149="","",(R149&lt;=Budget)+(S149&lt;Deaths_Appetite)+(V149&lt;=Carbon_Budget)+(Y149=0)+(AB149&gt;=Recall_Target*100)+(AE149=0))</f>
        <v/>
      </c>
      <c r="AI149" s="14" t="str">
        <f aca="false">IF(B149="","",(R149&lt;=Budget)+(T149&lt;Deaths_Appetite)+(W149&lt;=Carbon_Budget)+(Z149=0)+(AC149&gt;=Recall_Target*100)+(AF149=0))</f>
        <v/>
      </c>
      <c r="AJ149" s="14" t="str">
        <f aca="false">IF(B149="","",(R149&lt;=Budget)+(U149&lt;Deaths_Appetite)+(X149&lt;=Carbon_Budget)+(AA149=0)+(AD149&gt;=Recall_Target*100)+(AG149=0))</f>
        <v/>
      </c>
    </row>
    <row r="150" customFormat="false" ht="15" hidden="false" customHeight="false" outlineLevel="0" collapsed="false">
      <c r="A150" s="7" t="str">
        <f aca="false">IF(B150="","","S"&amp;TEXT(ROW()-4,"00"))</f>
        <v/>
      </c>
      <c r="B150" s="14"/>
      <c r="C150" s="14"/>
      <c r="D150" s="14"/>
      <c r="E150" s="14"/>
      <c r="F150" s="14"/>
      <c r="G150" s="14"/>
      <c r="H150" s="14"/>
      <c r="I150" s="14"/>
      <c r="J150" s="14"/>
      <c r="K150" s="14"/>
      <c r="L150" s="15"/>
      <c r="M150" s="15"/>
      <c r="N150" s="15"/>
      <c r="O150" s="15"/>
      <c r="P150" s="15"/>
      <c r="Q150" s="15"/>
      <c r="R150" s="16"/>
      <c r="S150" s="17"/>
      <c r="T150" s="17"/>
      <c r="U150" s="17"/>
      <c r="V150" s="18"/>
      <c r="W150" s="18"/>
      <c r="X150" s="18"/>
      <c r="Y150" s="17"/>
      <c r="Z150" s="17"/>
      <c r="AA150" s="17"/>
      <c r="AB150" s="17"/>
      <c r="AC150" s="17"/>
      <c r="AD150" s="17"/>
      <c r="AE150" s="17"/>
      <c r="AF150" s="17"/>
      <c r="AG150" s="17"/>
      <c r="AH150" s="14" t="str">
        <f aca="false">IF(B150="","",(R150&lt;=Budget)+(S150&lt;Deaths_Appetite)+(V150&lt;=Carbon_Budget)+(Y150=0)+(AB150&gt;=Recall_Target*100)+(AE150=0))</f>
        <v/>
      </c>
      <c r="AI150" s="14" t="str">
        <f aca="false">IF(B150="","",(R150&lt;=Budget)+(T150&lt;Deaths_Appetite)+(W150&lt;=Carbon_Budget)+(Z150=0)+(AC150&gt;=Recall_Target*100)+(AF150=0))</f>
        <v/>
      </c>
      <c r="AJ150" s="14" t="str">
        <f aca="false">IF(B150="","",(R150&lt;=Budget)+(U150&lt;Deaths_Appetite)+(X150&lt;=Carbon_Budget)+(AA150=0)+(AD150&gt;=Recall_Target*100)+(AG150=0))</f>
        <v/>
      </c>
    </row>
    <row r="151" customFormat="false" ht="15" hidden="false" customHeight="false" outlineLevel="0" collapsed="false">
      <c r="A151" s="7" t="str">
        <f aca="false">IF(B151="","","S"&amp;TEXT(ROW()-4,"00"))</f>
        <v/>
      </c>
      <c r="B151" s="14"/>
      <c r="C151" s="14"/>
      <c r="D151" s="14"/>
      <c r="E151" s="14"/>
      <c r="F151" s="14"/>
      <c r="G151" s="14"/>
      <c r="H151" s="14"/>
      <c r="I151" s="14"/>
      <c r="J151" s="14"/>
      <c r="K151" s="14"/>
      <c r="L151" s="15"/>
      <c r="M151" s="15"/>
      <c r="N151" s="15"/>
      <c r="O151" s="15"/>
      <c r="P151" s="15"/>
      <c r="Q151" s="15"/>
      <c r="R151" s="16"/>
      <c r="S151" s="17"/>
      <c r="T151" s="17"/>
      <c r="U151" s="17"/>
      <c r="V151" s="18"/>
      <c r="W151" s="18"/>
      <c r="X151" s="18"/>
      <c r="Y151" s="17"/>
      <c r="Z151" s="17"/>
      <c r="AA151" s="17"/>
      <c r="AB151" s="17"/>
      <c r="AC151" s="17"/>
      <c r="AD151" s="17"/>
      <c r="AE151" s="17"/>
      <c r="AF151" s="17"/>
      <c r="AG151" s="17"/>
      <c r="AH151" s="14" t="str">
        <f aca="false">IF(B151="","",(R151&lt;=Budget)+(S151&lt;Deaths_Appetite)+(V151&lt;=Carbon_Budget)+(Y151=0)+(AB151&gt;=Recall_Target*100)+(AE151=0))</f>
        <v/>
      </c>
      <c r="AI151" s="14" t="str">
        <f aca="false">IF(B151="","",(R151&lt;=Budget)+(T151&lt;Deaths_Appetite)+(W151&lt;=Carbon_Budget)+(Z151=0)+(AC151&gt;=Recall_Target*100)+(AF151=0))</f>
        <v/>
      </c>
      <c r="AJ151" s="14" t="str">
        <f aca="false">IF(B151="","",(R151&lt;=Budget)+(U151&lt;Deaths_Appetite)+(X151&lt;=Carbon_Budget)+(AA151=0)+(AD151&gt;=Recall_Target*100)+(AG151=0))</f>
        <v/>
      </c>
    </row>
    <row r="152" customFormat="false" ht="15" hidden="false" customHeight="false" outlineLevel="0" collapsed="false">
      <c r="A152" s="7" t="str">
        <f aca="false">IF(B152="","","S"&amp;TEXT(ROW()-4,"00"))</f>
        <v/>
      </c>
      <c r="B152" s="14"/>
      <c r="C152" s="14"/>
      <c r="D152" s="14"/>
      <c r="E152" s="14"/>
      <c r="F152" s="14"/>
      <c r="G152" s="14"/>
      <c r="H152" s="14"/>
      <c r="I152" s="14"/>
      <c r="J152" s="14"/>
      <c r="K152" s="14"/>
      <c r="L152" s="15"/>
      <c r="M152" s="15"/>
      <c r="N152" s="15"/>
      <c r="O152" s="15"/>
      <c r="P152" s="15"/>
      <c r="Q152" s="15"/>
      <c r="R152" s="16"/>
      <c r="S152" s="17"/>
      <c r="T152" s="17"/>
      <c r="U152" s="17"/>
      <c r="V152" s="18"/>
      <c r="W152" s="18"/>
      <c r="X152" s="18"/>
      <c r="Y152" s="17"/>
      <c r="Z152" s="17"/>
      <c r="AA152" s="17"/>
      <c r="AB152" s="17"/>
      <c r="AC152" s="17"/>
      <c r="AD152" s="17"/>
      <c r="AE152" s="17"/>
      <c r="AF152" s="17"/>
      <c r="AG152" s="17"/>
      <c r="AH152" s="14" t="str">
        <f aca="false">IF(B152="","",(R152&lt;=Budget)+(S152&lt;Deaths_Appetite)+(V152&lt;=Carbon_Budget)+(Y152=0)+(AB152&gt;=Recall_Target*100)+(AE152=0))</f>
        <v/>
      </c>
      <c r="AI152" s="14" t="str">
        <f aca="false">IF(B152="","",(R152&lt;=Budget)+(T152&lt;Deaths_Appetite)+(W152&lt;=Carbon_Budget)+(Z152=0)+(AC152&gt;=Recall_Target*100)+(AF152=0))</f>
        <v/>
      </c>
      <c r="AJ152" s="14" t="str">
        <f aca="false">IF(B152="","",(R152&lt;=Budget)+(U152&lt;Deaths_Appetite)+(X152&lt;=Carbon_Budget)+(AA152=0)+(AD152&gt;=Recall_Target*100)+(AG152=0))</f>
        <v/>
      </c>
    </row>
    <row r="153" customFormat="false" ht="15" hidden="false" customHeight="false" outlineLevel="0" collapsed="false">
      <c r="A153" s="7" t="str">
        <f aca="false">IF(B153="","","S"&amp;TEXT(ROW()-4,"00"))</f>
        <v/>
      </c>
      <c r="B153" s="14"/>
      <c r="C153" s="14"/>
      <c r="D153" s="14"/>
      <c r="E153" s="14"/>
      <c r="F153" s="14"/>
      <c r="G153" s="14"/>
      <c r="H153" s="14"/>
      <c r="I153" s="14"/>
      <c r="J153" s="14"/>
      <c r="K153" s="14"/>
      <c r="L153" s="15"/>
      <c r="M153" s="15"/>
      <c r="N153" s="15"/>
      <c r="O153" s="15"/>
      <c r="P153" s="15"/>
      <c r="Q153" s="15"/>
      <c r="R153" s="16"/>
      <c r="S153" s="17"/>
      <c r="T153" s="17"/>
      <c r="U153" s="17"/>
      <c r="V153" s="18"/>
      <c r="W153" s="18"/>
      <c r="X153" s="18"/>
      <c r="Y153" s="17"/>
      <c r="Z153" s="17"/>
      <c r="AA153" s="17"/>
      <c r="AB153" s="17"/>
      <c r="AC153" s="17"/>
      <c r="AD153" s="17"/>
      <c r="AE153" s="17"/>
      <c r="AF153" s="17"/>
      <c r="AG153" s="17"/>
      <c r="AH153" s="14" t="str">
        <f aca="false">IF(B153="","",(R153&lt;=Budget)+(S153&lt;Deaths_Appetite)+(V153&lt;=Carbon_Budget)+(Y153=0)+(AB153&gt;=Recall_Target*100)+(AE153=0))</f>
        <v/>
      </c>
      <c r="AI153" s="14" t="str">
        <f aca="false">IF(B153="","",(R153&lt;=Budget)+(T153&lt;Deaths_Appetite)+(W153&lt;=Carbon_Budget)+(Z153=0)+(AC153&gt;=Recall_Target*100)+(AF153=0))</f>
        <v/>
      </c>
      <c r="AJ153" s="14" t="str">
        <f aca="false">IF(B153="","",(R153&lt;=Budget)+(U153&lt;Deaths_Appetite)+(X153&lt;=Carbon_Budget)+(AA153=0)+(AD153&gt;=Recall_Target*100)+(AG153=0))</f>
        <v/>
      </c>
    </row>
    <row r="154" customFormat="false" ht="15" hidden="false" customHeight="false" outlineLevel="0" collapsed="false">
      <c r="A154" s="7" t="str">
        <f aca="false">IF(B154="","","S"&amp;TEXT(ROW()-4,"00"))</f>
        <v/>
      </c>
      <c r="B154" s="14"/>
      <c r="C154" s="14"/>
      <c r="D154" s="14"/>
      <c r="E154" s="14"/>
      <c r="F154" s="14"/>
      <c r="G154" s="14"/>
      <c r="H154" s="14"/>
      <c r="I154" s="14"/>
      <c r="J154" s="14"/>
      <c r="K154" s="14"/>
      <c r="L154" s="15"/>
      <c r="M154" s="15"/>
      <c r="N154" s="15"/>
      <c r="O154" s="15"/>
      <c r="P154" s="15"/>
      <c r="Q154" s="15"/>
      <c r="R154" s="16"/>
      <c r="S154" s="17"/>
      <c r="T154" s="17"/>
      <c r="U154" s="17"/>
      <c r="V154" s="18"/>
      <c r="W154" s="18"/>
      <c r="X154" s="18"/>
      <c r="Y154" s="17"/>
      <c r="Z154" s="17"/>
      <c r="AA154" s="17"/>
      <c r="AB154" s="17"/>
      <c r="AC154" s="17"/>
      <c r="AD154" s="17"/>
      <c r="AE154" s="17"/>
      <c r="AF154" s="17"/>
      <c r="AG154" s="17"/>
      <c r="AH154" s="14" t="str">
        <f aca="false">IF(B154="","",(R154&lt;=Budget)+(S154&lt;Deaths_Appetite)+(V154&lt;=Carbon_Budget)+(Y154=0)+(AB154&gt;=Recall_Target*100)+(AE154=0))</f>
        <v/>
      </c>
      <c r="AI154" s="14" t="str">
        <f aca="false">IF(B154="","",(R154&lt;=Budget)+(T154&lt;Deaths_Appetite)+(W154&lt;=Carbon_Budget)+(Z154=0)+(AC154&gt;=Recall_Target*100)+(AF154=0))</f>
        <v/>
      </c>
      <c r="AJ154" s="14" t="str">
        <f aca="false">IF(B154="","",(R154&lt;=Budget)+(U154&lt;Deaths_Appetite)+(X154&lt;=Carbon_Budget)+(AA154=0)+(AD154&gt;=Recall_Target*100)+(AG154=0))</f>
        <v/>
      </c>
    </row>
    <row r="155" customFormat="false" ht="15" hidden="false" customHeight="false" outlineLevel="0" collapsed="false">
      <c r="A155" s="7" t="str">
        <f aca="false">IF(B155="","","S"&amp;TEXT(ROW()-4,"00"))</f>
        <v/>
      </c>
      <c r="B155" s="14"/>
      <c r="C155" s="14"/>
      <c r="D155" s="14"/>
      <c r="E155" s="14"/>
      <c r="F155" s="14"/>
      <c r="G155" s="14"/>
      <c r="H155" s="14"/>
      <c r="I155" s="14"/>
      <c r="J155" s="14"/>
      <c r="K155" s="14"/>
      <c r="L155" s="15"/>
      <c r="M155" s="15"/>
      <c r="N155" s="15"/>
      <c r="O155" s="15"/>
      <c r="P155" s="15"/>
      <c r="Q155" s="15"/>
      <c r="R155" s="16"/>
      <c r="S155" s="17"/>
      <c r="T155" s="17"/>
      <c r="U155" s="17"/>
      <c r="V155" s="18"/>
      <c r="W155" s="18"/>
      <c r="X155" s="18"/>
      <c r="Y155" s="17"/>
      <c r="Z155" s="17"/>
      <c r="AA155" s="17"/>
      <c r="AB155" s="17"/>
      <c r="AC155" s="17"/>
      <c r="AD155" s="17"/>
      <c r="AE155" s="17"/>
      <c r="AF155" s="17"/>
      <c r="AG155" s="17"/>
      <c r="AH155" s="14" t="str">
        <f aca="false">IF(B155="","",(R155&lt;=Budget)+(S155&lt;Deaths_Appetite)+(V155&lt;=Carbon_Budget)+(Y155=0)+(AB155&gt;=Recall_Target*100)+(AE155=0))</f>
        <v/>
      </c>
      <c r="AI155" s="14" t="str">
        <f aca="false">IF(B155="","",(R155&lt;=Budget)+(T155&lt;Deaths_Appetite)+(W155&lt;=Carbon_Budget)+(Z155=0)+(AC155&gt;=Recall_Target*100)+(AF155=0))</f>
        <v/>
      </c>
      <c r="AJ155" s="14" t="str">
        <f aca="false">IF(B155="","",(R155&lt;=Budget)+(U155&lt;Deaths_Appetite)+(X155&lt;=Carbon_Budget)+(AA155=0)+(AD155&gt;=Recall_Target*100)+(AG155=0))</f>
        <v/>
      </c>
    </row>
    <row r="156" customFormat="false" ht="15" hidden="false" customHeight="false" outlineLevel="0" collapsed="false">
      <c r="A156" s="7" t="str">
        <f aca="false">IF(B156="","","S"&amp;TEXT(ROW()-4,"00"))</f>
        <v/>
      </c>
      <c r="B156" s="14"/>
      <c r="C156" s="14"/>
      <c r="D156" s="14"/>
      <c r="E156" s="14"/>
      <c r="F156" s="14"/>
      <c r="G156" s="14"/>
      <c r="H156" s="14"/>
      <c r="I156" s="14"/>
      <c r="J156" s="14"/>
      <c r="K156" s="14"/>
      <c r="L156" s="15"/>
      <c r="M156" s="15"/>
      <c r="N156" s="15"/>
      <c r="O156" s="15"/>
      <c r="P156" s="15"/>
      <c r="Q156" s="15"/>
      <c r="R156" s="16"/>
      <c r="S156" s="17"/>
      <c r="T156" s="17"/>
      <c r="U156" s="17"/>
      <c r="V156" s="18"/>
      <c r="W156" s="18"/>
      <c r="X156" s="18"/>
      <c r="Y156" s="17"/>
      <c r="Z156" s="17"/>
      <c r="AA156" s="17"/>
      <c r="AB156" s="17"/>
      <c r="AC156" s="17"/>
      <c r="AD156" s="17"/>
      <c r="AE156" s="17"/>
      <c r="AF156" s="17"/>
      <c r="AG156" s="17"/>
      <c r="AH156" s="14" t="str">
        <f aca="false">IF(B156="","",(R156&lt;=Budget)+(S156&lt;Deaths_Appetite)+(V156&lt;=Carbon_Budget)+(Y156=0)+(AB156&gt;=Recall_Target*100)+(AE156=0))</f>
        <v/>
      </c>
      <c r="AI156" s="14" t="str">
        <f aca="false">IF(B156="","",(R156&lt;=Budget)+(T156&lt;Deaths_Appetite)+(W156&lt;=Carbon_Budget)+(Z156=0)+(AC156&gt;=Recall_Target*100)+(AF156=0))</f>
        <v/>
      </c>
      <c r="AJ156" s="14" t="str">
        <f aca="false">IF(B156="","",(R156&lt;=Budget)+(U156&lt;Deaths_Appetite)+(X156&lt;=Carbon_Budget)+(AA156=0)+(AD156&gt;=Recall_Target*100)+(AG156=0))</f>
        <v/>
      </c>
    </row>
    <row r="157" customFormat="false" ht="15" hidden="false" customHeight="false" outlineLevel="0" collapsed="false">
      <c r="A157" s="7" t="str">
        <f aca="false">IF(B157="","","S"&amp;TEXT(ROW()-4,"00"))</f>
        <v/>
      </c>
      <c r="B157" s="14"/>
      <c r="C157" s="14"/>
      <c r="D157" s="14"/>
      <c r="E157" s="14"/>
      <c r="F157" s="14"/>
      <c r="G157" s="14"/>
      <c r="H157" s="14"/>
      <c r="I157" s="14"/>
      <c r="J157" s="14"/>
      <c r="K157" s="14"/>
      <c r="L157" s="15"/>
      <c r="M157" s="15"/>
      <c r="N157" s="15"/>
      <c r="O157" s="15"/>
      <c r="P157" s="15"/>
      <c r="Q157" s="15"/>
      <c r="R157" s="16"/>
      <c r="S157" s="17"/>
      <c r="T157" s="17"/>
      <c r="U157" s="17"/>
      <c r="V157" s="18"/>
      <c r="W157" s="18"/>
      <c r="X157" s="18"/>
      <c r="Y157" s="17"/>
      <c r="Z157" s="17"/>
      <c r="AA157" s="17"/>
      <c r="AB157" s="17"/>
      <c r="AC157" s="17"/>
      <c r="AD157" s="17"/>
      <c r="AE157" s="17"/>
      <c r="AF157" s="17"/>
      <c r="AG157" s="17"/>
      <c r="AH157" s="14" t="str">
        <f aca="false">IF(B157="","",(R157&lt;=Budget)+(S157&lt;Deaths_Appetite)+(V157&lt;=Carbon_Budget)+(Y157=0)+(AB157&gt;=Recall_Target*100)+(AE157=0))</f>
        <v/>
      </c>
      <c r="AI157" s="14" t="str">
        <f aca="false">IF(B157="","",(R157&lt;=Budget)+(T157&lt;Deaths_Appetite)+(W157&lt;=Carbon_Budget)+(Z157=0)+(AC157&gt;=Recall_Target*100)+(AF157=0))</f>
        <v/>
      </c>
      <c r="AJ157" s="14" t="str">
        <f aca="false">IF(B157="","",(R157&lt;=Budget)+(U157&lt;Deaths_Appetite)+(X157&lt;=Carbon_Budget)+(AA157=0)+(AD157&gt;=Recall_Target*100)+(AG157=0))</f>
        <v/>
      </c>
    </row>
    <row r="158" customFormat="false" ht="15" hidden="false" customHeight="false" outlineLevel="0" collapsed="false">
      <c r="A158" s="7" t="str">
        <f aca="false">IF(B158="","","S"&amp;TEXT(ROW()-4,"00"))</f>
        <v/>
      </c>
      <c r="B158" s="14"/>
      <c r="C158" s="14"/>
      <c r="D158" s="14"/>
      <c r="E158" s="14"/>
      <c r="F158" s="14"/>
      <c r="G158" s="14"/>
      <c r="H158" s="14"/>
      <c r="I158" s="14"/>
      <c r="J158" s="14"/>
      <c r="K158" s="14"/>
      <c r="L158" s="15"/>
      <c r="M158" s="15"/>
      <c r="N158" s="15"/>
      <c r="O158" s="15"/>
      <c r="P158" s="15"/>
      <c r="Q158" s="15"/>
      <c r="R158" s="16"/>
      <c r="S158" s="17"/>
      <c r="T158" s="17"/>
      <c r="U158" s="17"/>
      <c r="V158" s="18"/>
      <c r="W158" s="18"/>
      <c r="X158" s="18"/>
      <c r="Y158" s="17"/>
      <c r="Z158" s="17"/>
      <c r="AA158" s="17"/>
      <c r="AB158" s="17"/>
      <c r="AC158" s="17"/>
      <c r="AD158" s="17"/>
      <c r="AE158" s="17"/>
      <c r="AF158" s="17"/>
      <c r="AG158" s="17"/>
      <c r="AH158" s="14" t="str">
        <f aca="false">IF(B158="","",(R158&lt;=Budget)+(S158&lt;Deaths_Appetite)+(V158&lt;=Carbon_Budget)+(Y158=0)+(AB158&gt;=Recall_Target*100)+(AE158=0))</f>
        <v/>
      </c>
      <c r="AI158" s="14" t="str">
        <f aca="false">IF(B158="","",(R158&lt;=Budget)+(T158&lt;Deaths_Appetite)+(W158&lt;=Carbon_Budget)+(Z158=0)+(AC158&gt;=Recall_Target*100)+(AF158=0))</f>
        <v/>
      </c>
      <c r="AJ158" s="14" t="str">
        <f aca="false">IF(B158="","",(R158&lt;=Budget)+(U158&lt;Deaths_Appetite)+(X158&lt;=Carbon_Budget)+(AA158=0)+(AD158&gt;=Recall_Target*100)+(AG158=0))</f>
        <v/>
      </c>
    </row>
    <row r="159" customFormat="false" ht="15" hidden="false" customHeight="false" outlineLevel="0" collapsed="false">
      <c r="A159" s="7" t="str">
        <f aca="false">IF(B159="","","S"&amp;TEXT(ROW()-4,"00"))</f>
        <v/>
      </c>
      <c r="B159" s="14"/>
      <c r="C159" s="14"/>
      <c r="D159" s="14"/>
      <c r="E159" s="14"/>
      <c r="F159" s="14"/>
      <c r="G159" s="14"/>
      <c r="H159" s="14"/>
      <c r="I159" s="14"/>
      <c r="J159" s="14"/>
      <c r="K159" s="14"/>
      <c r="L159" s="15"/>
      <c r="M159" s="15"/>
      <c r="N159" s="15"/>
      <c r="O159" s="15"/>
      <c r="P159" s="15"/>
      <c r="Q159" s="15"/>
      <c r="R159" s="16"/>
      <c r="S159" s="17"/>
      <c r="T159" s="17"/>
      <c r="U159" s="17"/>
      <c r="V159" s="18"/>
      <c r="W159" s="18"/>
      <c r="X159" s="18"/>
      <c r="Y159" s="17"/>
      <c r="Z159" s="17"/>
      <c r="AA159" s="17"/>
      <c r="AB159" s="17"/>
      <c r="AC159" s="17"/>
      <c r="AD159" s="17"/>
      <c r="AE159" s="17"/>
      <c r="AF159" s="17"/>
      <c r="AG159" s="17"/>
      <c r="AH159" s="14" t="str">
        <f aca="false">IF(B159="","",(R159&lt;=Budget)+(S159&lt;Deaths_Appetite)+(V159&lt;=Carbon_Budget)+(Y159=0)+(AB159&gt;=Recall_Target*100)+(AE159=0))</f>
        <v/>
      </c>
      <c r="AI159" s="14" t="str">
        <f aca="false">IF(B159="","",(R159&lt;=Budget)+(T159&lt;Deaths_Appetite)+(W159&lt;=Carbon_Budget)+(Z159=0)+(AC159&gt;=Recall_Target*100)+(AF159=0))</f>
        <v/>
      </c>
      <c r="AJ159" s="14" t="str">
        <f aca="false">IF(B159="","",(R159&lt;=Budget)+(U159&lt;Deaths_Appetite)+(X159&lt;=Carbon_Budget)+(AA159=0)+(AD159&gt;=Recall_Target*100)+(AG159=0))</f>
        <v/>
      </c>
    </row>
    <row r="160" customFormat="false" ht="15" hidden="false" customHeight="false" outlineLevel="0" collapsed="false">
      <c r="A160" s="7" t="str">
        <f aca="false">IF(B160="","","S"&amp;TEXT(ROW()-4,"00"))</f>
        <v/>
      </c>
      <c r="B160" s="14"/>
      <c r="C160" s="14"/>
      <c r="D160" s="14"/>
      <c r="E160" s="14"/>
      <c r="F160" s="14"/>
      <c r="G160" s="14"/>
      <c r="H160" s="14"/>
      <c r="I160" s="14"/>
      <c r="J160" s="14"/>
      <c r="K160" s="14"/>
      <c r="L160" s="15"/>
      <c r="M160" s="15"/>
      <c r="N160" s="15"/>
      <c r="O160" s="15"/>
      <c r="P160" s="15"/>
      <c r="Q160" s="15"/>
      <c r="R160" s="16"/>
      <c r="S160" s="17"/>
      <c r="T160" s="17"/>
      <c r="U160" s="17"/>
      <c r="V160" s="18"/>
      <c r="W160" s="18"/>
      <c r="X160" s="18"/>
      <c r="Y160" s="17"/>
      <c r="Z160" s="17"/>
      <c r="AA160" s="17"/>
      <c r="AB160" s="17"/>
      <c r="AC160" s="17"/>
      <c r="AD160" s="17"/>
      <c r="AE160" s="17"/>
      <c r="AF160" s="17"/>
      <c r="AG160" s="17"/>
      <c r="AH160" s="14" t="str">
        <f aca="false">IF(B160="","",(R160&lt;=Budget)+(S160&lt;Deaths_Appetite)+(V160&lt;=Carbon_Budget)+(Y160=0)+(AB160&gt;=Recall_Target*100)+(AE160=0))</f>
        <v/>
      </c>
      <c r="AI160" s="14" t="str">
        <f aca="false">IF(B160="","",(R160&lt;=Budget)+(T160&lt;Deaths_Appetite)+(W160&lt;=Carbon_Budget)+(Z160=0)+(AC160&gt;=Recall_Target*100)+(AF160=0))</f>
        <v/>
      </c>
      <c r="AJ160" s="14" t="str">
        <f aca="false">IF(B160="","",(R160&lt;=Budget)+(U160&lt;Deaths_Appetite)+(X160&lt;=Carbon_Budget)+(AA160=0)+(AD160&gt;=Recall_Target*100)+(AG160=0))</f>
        <v/>
      </c>
    </row>
    <row r="161" customFormat="false" ht="15" hidden="false" customHeight="false" outlineLevel="0" collapsed="false">
      <c r="A161" s="7" t="str">
        <f aca="false">IF(B161="","","S"&amp;TEXT(ROW()-4,"00"))</f>
        <v/>
      </c>
      <c r="B161" s="14"/>
      <c r="C161" s="14"/>
      <c r="D161" s="14"/>
      <c r="E161" s="14"/>
      <c r="F161" s="14"/>
      <c r="G161" s="14"/>
      <c r="H161" s="14"/>
      <c r="I161" s="14"/>
      <c r="J161" s="14"/>
      <c r="K161" s="14"/>
      <c r="L161" s="15"/>
      <c r="M161" s="15"/>
      <c r="N161" s="15"/>
      <c r="O161" s="15"/>
      <c r="P161" s="15"/>
      <c r="Q161" s="15"/>
      <c r="R161" s="16"/>
      <c r="S161" s="17"/>
      <c r="T161" s="17"/>
      <c r="U161" s="17"/>
      <c r="V161" s="18"/>
      <c r="W161" s="18"/>
      <c r="X161" s="18"/>
      <c r="Y161" s="17"/>
      <c r="Z161" s="17"/>
      <c r="AA161" s="17"/>
      <c r="AB161" s="17"/>
      <c r="AC161" s="17"/>
      <c r="AD161" s="17"/>
      <c r="AE161" s="17"/>
      <c r="AF161" s="17"/>
      <c r="AG161" s="17"/>
      <c r="AH161" s="14" t="str">
        <f aca="false">IF(B161="","",(R161&lt;=Budget)+(S161&lt;Deaths_Appetite)+(V161&lt;=Carbon_Budget)+(Y161=0)+(AB161&gt;=Recall_Target*100)+(AE161=0))</f>
        <v/>
      </c>
      <c r="AI161" s="14" t="str">
        <f aca="false">IF(B161="","",(R161&lt;=Budget)+(T161&lt;Deaths_Appetite)+(W161&lt;=Carbon_Budget)+(Z161=0)+(AC161&gt;=Recall_Target*100)+(AF161=0))</f>
        <v/>
      </c>
      <c r="AJ161" s="14" t="str">
        <f aca="false">IF(B161="","",(R161&lt;=Budget)+(U161&lt;Deaths_Appetite)+(X161&lt;=Carbon_Budget)+(AA161=0)+(AD161&gt;=Recall_Target*100)+(AG161=0))</f>
        <v/>
      </c>
    </row>
    <row r="162" customFormat="false" ht="15" hidden="false" customHeight="false" outlineLevel="0" collapsed="false">
      <c r="A162" s="7" t="str">
        <f aca="false">IF(B162="","","S"&amp;TEXT(ROW()-4,"00"))</f>
        <v/>
      </c>
      <c r="B162" s="14"/>
      <c r="C162" s="14"/>
      <c r="D162" s="14"/>
      <c r="E162" s="14"/>
      <c r="F162" s="14"/>
      <c r="G162" s="14"/>
      <c r="H162" s="14"/>
      <c r="I162" s="14"/>
      <c r="J162" s="14"/>
      <c r="K162" s="14"/>
      <c r="L162" s="15"/>
      <c r="M162" s="15"/>
      <c r="N162" s="15"/>
      <c r="O162" s="15"/>
      <c r="P162" s="15"/>
      <c r="Q162" s="15"/>
      <c r="R162" s="16"/>
      <c r="S162" s="17"/>
      <c r="T162" s="17"/>
      <c r="U162" s="17"/>
      <c r="V162" s="18"/>
      <c r="W162" s="18"/>
      <c r="X162" s="18"/>
      <c r="Y162" s="17"/>
      <c r="Z162" s="17"/>
      <c r="AA162" s="17"/>
      <c r="AB162" s="17"/>
      <c r="AC162" s="17"/>
      <c r="AD162" s="17"/>
      <c r="AE162" s="17"/>
      <c r="AF162" s="17"/>
      <c r="AG162" s="17"/>
      <c r="AH162" s="14" t="str">
        <f aca="false">IF(B162="","",(R162&lt;=Budget)+(S162&lt;Deaths_Appetite)+(V162&lt;=Carbon_Budget)+(Y162=0)+(AB162&gt;=Recall_Target*100)+(AE162=0))</f>
        <v/>
      </c>
      <c r="AI162" s="14" t="str">
        <f aca="false">IF(B162="","",(R162&lt;=Budget)+(T162&lt;Deaths_Appetite)+(W162&lt;=Carbon_Budget)+(Z162=0)+(AC162&gt;=Recall_Target*100)+(AF162=0))</f>
        <v/>
      </c>
      <c r="AJ162" s="14" t="str">
        <f aca="false">IF(B162="","",(R162&lt;=Budget)+(U162&lt;Deaths_Appetite)+(X162&lt;=Carbon_Budget)+(AA162=0)+(AD162&gt;=Recall_Target*100)+(AG162=0))</f>
        <v/>
      </c>
    </row>
    <row r="163" customFormat="false" ht="15" hidden="false" customHeight="false" outlineLevel="0" collapsed="false">
      <c r="A163" s="7" t="str">
        <f aca="false">IF(B163="","","S"&amp;TEXT(ROW()-4,"00"))</f>
        <v/>
      </c>
      <c r="B163" s="14"/>
      <c r="C163" s="14"/>
      <c r="D163" s="14"/>
      <c r="E163" s="14"/>
      <c r="F163" s="14"/>
      <c r="G163" s="14"/>
      <c r="H163" s="14"/>
      <c r="I163" s="14"/>
      <c r="J163" s="14"/>
      <c r="K163" s="14"/>
      <c r="L163" s="15"/>
      <c r="M163" s="15"/>
      <c r="N163" s="15"/>
      <c r="O163" s="15"/>
      <c r="P163" s="15"/>
      <c r="Q163" s="15"/>
      <c r="R163" s="16"/>
      <c r="S163" s="17"/>
      <c r="T163" s="17"/>
      <c r="U163" s="17"/>
      <c r="V163" s="18"/>
      <c r="W163" s="18"/>
      <c r="X163" s="18"/>
      <c r="Y163" s="17"/>
      <c r="Z163" s="17"/>
      <c r="AA163" s="17"/>
      <c r="AB163" s="17"/>
      <c r="AC163" s="17"/>
      <c r="AD163" s="17"/>
      <c r="AE163" s="17"/>
      <c r="AF163" s="17"/>
      <c r="AG163" s="17"/>
      <c r="AH163" s="14" t="str">
        <f aca="false">IF(B163="","",(R163&lt;=Budget)+(S163&lt;Deaths_Appetite)+(V163&lt;=Carbon_Budget)+(Y163=0)+(AB163&gt;=Recall_Target*100)+(AE163=0))</f>
        <v/>
      </c>
      <c r="AI163" s="14" t="str">
        <f aca="false">IF(B163="","",(R163&lt;=Budget)+(T163&lt;Deaths_Appetite)+(W163&lt;=Carbon_Budget)+(Z163=0)+(AC163&gt;=Recall_Target*100)+(AF163=0))</f>
        <v/>
      </c>
      <c r="AJ163" s="14" t="str">
        <f aca="false">IF(B163="","",(R163&lt;=Budget)+(U163&lt;Deaths_Appetite)+(X163&lt;=Carbon_Budget)+(AA163=0)+(AD163&gt;=Recall_Target*100)+(AG163=0))</f>
        <v/>
      </c>
    </row>
    <row r="164" customFormat="false" ht="15" hidden="false" customHeight="false" outlineLevel="0" collapsed="false">
      <c r="A164" s="7" t="str">
        <f aca="false">IF(B164="","","S"&amp;TEXT(ROW()-4,"00"))</f>
        <v/>
      </c>
      <c r="B164" s="14"/>
      <c r="C164" s="14"/>
      <c r="D164" s="14"/>
      <c r="E164" s="14"/>
      <c r="F164" s="14"/>
      <c r="G164" s="14"/>
      <c r="H164" s="14"/>
      <c r="I164" s="14"/>
      <c r="J164" s="14"/>
      <c r="K164" s="14"/>
      <c r="L164" s="15"/>
      <c r="M164" s="15"/>
      <c r="N164" s="15"/>
      <c r="O164" s="15"/>
      <c r="P164" s="15"/>
      <c r="Q164" s="15"/>
      <c r="R164" s="16"/>
      <c r="S164" s="17"/>
      <c r="T164" s="17"/>
      <c r="U164" s="17"/>
      <c r="V164" s="18"/>
      <c r="W164" s="18"/>
      <c r="X164" s="18"/>
      <c r="Y164" s="17"/>
      <c r="Z164" s="17"/>
      <c r="AA164" s="17"/>
      <c r="AB164" s="17"/>
      <c r="AC164" s="17"/>
      <c r="AD164" s="17"/>
      <c r="AE164" s="17"/>
      <c r="AF164" s="17"/>
      <c r="AG164" s="17"/>
      <c r="AH164" s="14" t="str">
        <f aca="false">IF(B164="","",(R164&lt;=Budget)+(S164&lt;Deaths_Appetite)+(V164&lt;=Carbon_Budget)+(Y164=0)+(AB164&gt;=Recall_Target*100)+(AE164=0))</f>
        <v/>
      </c>
      <c r="AI164" s="14" t="str">
        <f aca="false">IF(B164="","",(R164&lt;=Budget)+(T164&lt;Deaths_Appetite)+(W164&lt;=Carbon_Budget)+(Z164=0)+(AC164&gt;=Recall_Target*100)+(AF164=0))</f>
        <v/>
      </c>
      <c r="AJ164" s="14" t="str">
        <f aca="false">IF(B164="","",(R164&lt;=Budget)+(U164&lt;Deaths_Appetite)+(X164&lt;=Carbon_Budget)+(AA164=0)+(AD164&gt;=Recall_Target*100)+(AG164=0))</f>
        <v/>
      </c>
    </row>
    <row r="165" customFormat="false" ht="15" hidden="false" customHeight="false" outlineLevel="0" collapsed="false">
      <c r="A165" s="7" t="str">
        <f aca="false">IF(B165="","","S"&amp;TEXT(ROW()-4,"00"))</f>
        <v/>
      </c>
      <c r="B165" s="14"/>
      <c r="C165" s="14"/>
      <c r="D165" s="14"/>
      <c r="E165" s="14"/>
      <c r="F165" s="14"/>
      <c r="G165" s="14"/>
      <c r="H165" s="14"/>
      <c r="I165" s="14"/>
      <c r="J165" s="14"/>
      <c r="K165" s="14"/>
      <c r="L165" s="15"/>
      <c r="M165" s="15"/>
      <c r="N165" s="15"/>
      <c r="O165" s="15"/>
      <c r="P165" s="15"/>
      <c r="Q165" s="15"/>
      <c r="R165" s="16"/>
      <c r="S165" s="17"/>
      <c r="T165" s="17"/>
      <c r="U165" s="17"/>
      <c r="V165" s="18"/>
      <c r="W165" s="18"/>
      <c r="X165" s="18"/>
      <c r="Y165" s="17"/>
      <c r="Z165" s="17"/>
      <c r="AA165" s="17"/>
      <c r="AB165" s="17"/>
      <c r="AC165" s="17"/>
      <c r="AD165" s="17"/>
      <c r="AE165" s="17"/>
      <c r="AF165" s="17"/>
      <c r="AG165" s="17"/>
      <c r="AH165" s="14" t="str">
        <f aca="false">IF(B165="","",(R165&lt;=Budget)+(S165&lt;Deaths_Appetite)+(V165&lt;=Carbon_Budget)+(Y165=0)+(AB165&gt;=Recall_Target*100)+(AE165=0))</f>
        <v/>
      </c>
      <c r="AI165" s="14" t="str">
        <f aca="false">IF(B165="","",(R165&lt;=Budget)+(T165&lt;Deaths_Appetite)+(W165&lt;=Carbon_Budget)+(Z165=0)+(AC165&gt;=Recall_Target*100)+(AF165=0))</f>
        <v/>
      </c>
      <c r="AJ165" s="14" t="str">
        <f aca="false">IF(B165="","",(R165&lt;=Budget)+(U165&lt;Deaths_Appetite)+(X165&lt;=Carbon_Budget)+(AA165=0)+(AD165&gt;=Recall_Target*100)+(AG165=0))</f>
        <v/>
      </c>
    </row>
    <row r="166" customFormat="false" ht="15" hidden="false" customHeight="false" outlineLevel="0" collapsed="false">
      <c r="A166" s="7" t="str">
        <f aca="false">IF(B166="","","S"&amp;TEXT(ROW()-4,"00"))</f>
        <v/>
      </c>
      <c r="B166" s="14"/>
      <c r="C166" s="14"/>
      <c r="D166" s="14"/>
      <c r="E166" s="14"/>
      <c r="F166" s="14"/>
      <c r="G166" s="14"/>
      <c r="H166" s="14"/>
      <c r="I166" s="14"/>
      <c r="J166" s="14"/>
      <c r="K166" s="14"/>
      <c r="L166" s="15"/>
      <c r="M166" s="15"/>
      <c r="N166" s="15"/>
      <c r="O166" s="15"/>
      <c r="P166" s="15"/>
      <c r="Q166" s="15"/>
      <c r="R166" s="16"/>
      <c r="S166" s="17"/>
      <c r="T166" s="17"/>
      <c r="U166" s="17"/>
      <c r="V166" s="18"/>
      <c r="W166" s="18"/>
      <c r="X166" s="18"/>
      <c r="Y166" s="17"/>
      <c r="Z166" s="17"/>
      <c r="AA166" s="17"/>
      <c r="AB166" s="17"/>
      <c r="AC166" s="17"/>
      <c r="AD166" s="17"/>
      <c r="AE166" s="17"/>
      <c r="AF166" s="17"/>
      <c r="AG166" s="17"/>
      <c r="AH166" s="14" t="str">
        <f aca="false">IF(B166="","",(R166&lt;=Budget)+(S166&lt;Deaths_Appetite)+(V166&lt;=Carbon_Budget)+(Y166=0)+(AB166&gt;=Recall_Target*100)+(AE166=0))</f>
        <v/>
      </c>
      <c r="AI166" s="14" t="str">
        <f aca="false">IF(B166="","",(R166&lt;=Budget)+(T166&lt;Deaths_Appetite)+(W166&lt;=Carbon_Budget)+(Z166=0)+(AC166&gt;=Recall_Target*100)+(AF166=0))</f>
        <v/>
      </c>
      <c r="AJ166" s="14" t="str">
        <f aca="false">IF(B166="","",(R166&lt;=Budget)+(U166&lt;Deaths_Appetite)+(X166&lt;=Carbon_Budget)+(AA166=0)+(AD166&gt;=Recall_Target*100)+(AG166=0))</f>
        <v/>
      </c>
    </row>
    <row r="167" customFormat="false" ht="15" hidden="false" customHeight="false" outlineLevel="0" collapsed="false">
      <c r="A167" s="7" t="str">
        <f aca="false">IF(B167="","","S"&amp;TEXT(ROW()-4,"00"))</f>
        <v/>
      </c>
      <c r="B167" s="14"/>
      <c r="C167" s="14"/>
      <c r="D167" s="14"/>
      <c r="E167" s="14"/>
      <c r="F167" s="14"/>
      <c r="G167" s="14"/>
      <c r="H167" s="14"/>
      <c r="I167" s="14"/>
      <c r="J167" s="14"/>
      <c r="K167" s="14"/>
      <c r="L167" s="15"/>
      <c r="M167" s="15"/>
      <c r="N167" s="15"/>
      <c r="O167" s="15"/>
      <c r="P167" s="15"/>
      <c r="Q167" s="15"/>
      <c r="R167" s="16"/>
      <c r="S167" s="17"/>
      <c r="T167" s="17"/>
      <c r="U167" s="17"/>
      <c r="V167" s="18"/>
      <c r="W167" s="18"/>
      <c r="X167" s="18"/>
      <c r="Y167" s="17"/>
      <c r="Z167" s="17"/>
      <c r="AA167" s="17"/>
      <c r="AB167" s="17"/>
      <c r="AC167" s="17"/>
      <c r="AD167" s="17"/>
      <c r="AE167" s="17"/>
      <c r="AF167" s="17"/>
      <c r="AG167" s="17"/>
      <c r="AH167" s="14" t="str">
        <f aca="false">IF(B167="","",(R167&lt;=Budget)+(S167&lt;Deaths_Appetite)+(V167&lt;=Carbon_Budget)+(Y167=0)+(AB167&gt;=Recall_Target*100)+(AE167=0))</f>
        <v/>
      </c>
      <c r="AI167" s="14" t="str">
        <f aca="false">IF(B167="","",(R167&lt;=Budget)+(T167&lt;Deaths_Appetite)+(W167&lt;=Carbon_Budget)+(Z167=0)+(AC167&gt;=Recall_Target*100)+(AF167=0))</f>
        <v/>
      </c>
      <c r="AJ167" s="14" t="str">
        <f aca="false">IF(B167="","",(R167&lt;=Budget)+(U167&lt;Deaths_Appetite)+(X167&lt;=Carbon_Budget)+(AA167=0)+(AD167&gt;=Recall_Target*100)+(AG167=0))</f>
        <v/>
      </c>
    </row>
    <row r="168" customFormat="false" ht="15" hidden="false" customHeight="false" outlineLevel="0" collapsed="false">
      <c r="A168" s="7" t="str">
        <f aca="false">IF(B168="","","S"&amp;TEXT(ROW()-4,"00"))</f>
        <v/>
      </c>
      <c r="B168" s="14"/>
      <c r="C168" s="14"/>
      <c r="D168" s="14"/>
      <c r="E168" s="14"/>
      <c r="F168" s="14"/>
      <c r="G168" s="14"/>
      <c r="H168" s="14"/>
      <c r="I168" s="14"/>
      <c r="J168" s="14"/>
      <c r="K168" s="14"/>
      <c r="L168" s="15"/>
      <c r="M168" s="15"/>
      <c r="N168" s="15"/>
      <c r="O168" s="15"/>
      <c r="P168" s="15"/>
      <c r="Q168" s="15"/>
      <c r="R168" s="16"/>
      <c r="S168" s="17"/>
      <c r="T168" s="17"/>
      <c r="U168" s="17"/>
      <c r="V168" s="18"/>
      <c r="W168" s="18"/>
      <c r="X168" s="18"/>
      <c r="Y168" s="17"/>
      <c r="Z168" s="17"/>
      <c r="AA168" s="17"/>
      <c r="AB168" s="17"/>
      <c r="AC168" s="17"/>
      <c r="AD168" s="17"/>
      <c r="AE168" s="17"/>
      <c r="AF168" s="17"/>
      <c r="AG168" s="17"/>
      <c r="AH168" s="14" t="str">
        <f aca="false">IF(B168="","",(R168&lt;=Budget)+(S168&lt;Deaths_Appetite)+(V168&lt;=Carbon_Budget)+(Y168=0)+(AB168&gt;=Recall_Target*100)+(AE168=0))</f>
        <v/>
      </c>
      <c r="AI168" s="14" t="str">
        <f aca="false">IF(B168="","",(R168&lt;=Budget)+(T168&lt;Deaths_Appetite)+(W168&lt;=Carbon_Budget)+(Z168=0)+(AC168&gt;=Recall_Target*100)+(AF168=0))</f>
        <v/>
      </c>
      <c r="AJ168" s="14" t="str">
        <f aca="false">IF(B168="","",(R168&lt;=Budget)+(U168&lt;Deaths_Appetite)+(X168&lt;=Carbon_Budget)+(AA168=0)+(AD168&gt;=Recall_Target*100)+(AG168=0))</f>
        <v/>
      </c>
    </row>
    <row r="169" customFormat="false" ht="15" hidden="false" customHeight="false" outlineLevel="0" collapsed="false">
      <c r="A169" s="7" t="str">
        <f aca="false">IF(B169="","","S"&amp;TEXT(ROW()-4,"00"))</f>
        <v/>
      </c>
      <c r="B169" s="14"/>
      <c r="C169" s="14"/>
      <c r="D169" s="14"/>
      <c r="E169" s="14"/>
      <c r="F169" s="14"/>
      <c r="G169" s="14"/>
      <c r="H169" s="14"/>
      <c r="I169" s="14"/>
      <c r="J169" s="14"/>
      <c r="K169" s="14"/>
      <c r="L169" s="15"/>
      <c r="M169" s="15"/>
      <c r="N169" s="15"/>
      <c r="O169" s="15"/>
      <c r="P169" s="15"/>
      <c r="Q169" s="15"/>
      <c r="R169" s="16"/>
      <c r="S169" s="17"/>
      <c r="T169" s="17"/>
      <c r="U169" s="17"/>
      <c r="V169" s="18"/>
      <c r="W169" s="18"/>
      <c r="X169" s="18"/>
      <c r="Y169" s="17"/>
      <c r="Z169" s="17"/>
      <c r="AA169" s="17"/>
      <c r="AB169" s="17"/>
      <c r="AC169" s="17"/>
      <c r="AD169" s="17"/>
      <c r="AE169" s="17"/>
      <c r="AF169" s="17"/>
      <c r="AG169" s="17"/>
      <c r="AH169" s="14" t="str">
        <f aca="false">IF(B169="","",(R169&lt;=Budget)+(S169&lt;Deaths_Appetite)+(V169&lt;=Carbon_Budget)+(Y169=0)+(AB169&gt;=Recall_Target*100)+(AE169=0))</f>
        <v/>
      </c>
      <c r="AI169" s="14" t="str">
        <f aca="false">IF(B169="","",(R169&lt;=Budget)+(T169&lt;Deaths_Appetite)+(W169&lt;=Carbon_Budget)+(Z169=0)+(AC169&gt;=Recall_Target*100)+(AF169=0))</f>
        <v/>
      </c>
      <c r="AJ169" s="14" t="str">
        <f aca="false">IF(B169="","",(R169&lt;=Budget)+(U169&lt;Deaths_Appetite)+(X169&lt;=Carbon_Budget)+(AA169=0)+(AD169&gt;=Recall_Target*100)+(AG169=0))</f>
        <v/>
      </c>
    </row>
    <row r="170" customFormat="false" ht="15" hidden="false" customHeight="false" outlineLevel="0" collapsed="false">
      <c r="A170" s="7" t="str">
        <f aca="false">IF(B170="","","S"&amp;TEXT(ROW()-4,"00"))</f>
        <v/>
      </c>
      <c r="B170" s="14"/>
      <c r="C170" s="14"/>
      <c r="D170" s="14"/>
      <c r="E170" s="14"/>
      <c r="F170" s="14"/>
      <c r="G170" s="14"/>
      <c r="H170" s="14"/>
      <c r="I170" s="14"/>
      <c r="J170" s="14"/>
      <c r="K170" s="14"/>
      <c r="L170" s="15"/>
      <c r="M170" s="15"/>
      <c r="N170" s="15"/>
      <c r="O170" s="15"/>
      <c r="P170" s="15"/>
      <c r="Q170" s="15"/>
      <c r="R170" s="16"/>
      <c r="S170" s="17"/>
      <c r="T170" s="17"/>
      <c r="U170" s="17"/>
      <c r="V170" s="18"/>
      <c r="W170" s="18"/>
      <c r="X170" s="18"/>
      <c r="Y170" s="17"/>
      <c r="Z170" s="17"/>
      <c r="AA170" s="17"/>
      <c r="AB170" s="17"/>
      <c r="AC170" s="17"/>
      <c r="AD170" s="17"/>
      <c r="AE170" s="17"/>
      <c r="AF170" s="17"/>
      <c r="AG170" s="17"/>
      <c r="AH170" s="14" t="str">
        <f aca="false">IF(B170="","",(R170&lt;=Budget)+(S170&lt;Deaths_Appetite)+(V170&lt;=Carbon_Budget)+(Y170=0)+(AB170&gt;=Recall_Target*100)+(AE170=0))</f>
        <v/>
      </c>
      <c r="AI170" s="14" t="str">
        <f aca="false">IF(B170="","",(R170&lt;=Budget)+(T170&lt;Deaths_Appetite)+(W170&lt;=Carbon_Budget)+(Z170=0)+(AC170&gt;=Recall_Target*100)+(AF170=0))</f>
        <v/>
      </c>
      <c r="AJ170" s="14" t="str">
        <f aca="false">IF(B170="","",(R170&lt;=Budget)+(U170&lt;Deaths_Appetite)+(X170&lt;=Carbon_Budget)+(AA170=0)+(AD170&gt;=Recall_Target*100)+(AG170=0))</f>
        <v/>
      </c>
    </row>
    <row r="171" customFormat="false" ht="15" hidden="false" customHeight="false" outlineLevel="0" collapsed="false">
      <c r="A171" s="7" t="str">
        <f aca="false">IF(B171="","","S"&amp;TEXT(ROW()-4,"00"))</f>
        <v/>
      </c>
      <c r="B171" s="14"/>
      <c r="C171" s="14"/>
      <c r="D171" s="14"/>
      <c r="E171" s="14"/>
      <c r="F171" s="14"/>
      <c r="G171" s="14"/>
      <c r="H171" s="14"/>
      <c r="I171" s="14"/>
      <c r="J171" s="14"/>
      <c r="K171" s="14"/>
      <c r="L171" s="15"/>
      <c r="M171" s="15"/>
      <c r="N171" s="15"/>
      <c r="O171" s="15"/>
      <c r="P171" s="15"/>
      <c r="Q171" s="15"/>
      <c r="R171" s="16"/>
      <c r="S171" s="17"/>
      <c r="T171" s="17"/>
      <c r="U171" s="17"/>
      <c r="V171" s="18"/>
      <c r="W171" s="18"/>
      <c r="X171" s="18"/>
      <c r="Y171" s="17"/>
      <c r="Z171" s="17"/>
      <c r="AA171" s="17"/>
      <c r="AB171" s="17"/>
      <c r="AC171" s="17"/>
      <c r="AD171" s="17"/>
      <c r="AE171" s="17"/>
      <c r="AF171" s="17"/>
      <c r="AG171" s="17"/>
      <c r="AH171" s="14" t="str">
        <f aca="false">IF(B171="","",(R171&lt;=Budget)+(S171&lt;Deaths_Appetite)+(V171&lt;=Carbon_Budget)+(Y171=0)+(AB171&gt;=Recall_Target*100)+(AE171=0))</f>
        <v/>
      </c>
      <c r="AI171" s="14" t="str">
        <f aca="false">IF(B171="","",(R171&lt;=Budget)+(T171&lt;Deaths_Appetite)+(W171&lt;=Carbon_Budget)+(Z171=0)+(AC171&gt;=Recall_Target*100)+(AF171=0))</f>
        <v/>
      </c>
      <c r="AJ171" s="14" t="str">
        <f aca="false">IF(B171="","",(R171&lt;=Budget)+(U171&lt;Deaths_Appetite)+(X171&lt;=Carbon_Budget)+(AA171=0)+(AD171&gt;=Recall_Target*100)+(AG171=0))</f>
        <v/>
      </c>
    </row>
    <row r="172" customFormat="false" ht="15" hidden="false" customHeight="false" outlineLevel="0" collapsed="false">
      <c r="A172" s="7" t="str">
        <f aca="false">IF(B172="","","S"&amp;TEXT(ROW()-4,"00"))</f>
        <v/>
      </c>
      <c r="B172" s="14"/>
      <c r="C172" s="14"/>
      <c r="D172" s="14"/>
      <c r="E172" s="14"/>
      <c r="F172" s="14"/>
      <c r="G172" s="14"/>
      <c r="H172" s="14"/>
      <c r="I172" s="14"/>
      <c r="J172" s="14"/>
      <c r="K172" s="14"/>
      <c r="L172" s="15"/>
      <c r="M172" s="15"/>
      <c r="N172" s="15"/>
      <c r="O172" s="15"/>
      <c r="P172" s="15"/>
      <c r="Q172" s="15"/>
      <c r="R172" s="16"/>
      <c r="S172" s="17"/>
      <c r="T172" s="17"/>
      <c r="U172" s="17"/>
      <c r="V172" s="18"/>
      <c r="W172" s="18"/>
      <c r="X172" s="18"/>
      <c r="Y172" s="17"/>
      <c r="Z172" s="17"/>
      <c r="AA172" s="17"/>
      <c r="AB172" s="17"/>
      <c r="AC172" s="17"/>
      <c r="AD172" s="17"/>
      <c r="AE172" s="17"/>
      <c r="AF172" s="17"/>
      <c r="AG172" s="17"/>
      <c r="AH172" s="14" t="str">
        <f aca="false">IF(B172="","",(R172&lt;=Budget)+(S172&lt;Deaths_Appetite)+(V172&lt;=Carbon_Budget)+(Y172=0)+(AB172&gt;=Recall_Target*100)+(AE172=0))</f>
        <v/>
      </c>
      <c r="AI172" s="14" t="str">
        <f aca="false">IF(B172="","",(R172&lt;=Budget)+(T172&lt;Deaths_Appetite)+(W172&lt;=Carbon_Budget)+(Z172=0)+(AC172&gt;=Recall_Target*100)+(AF172=0))</f>
        <v/>
      </c>
      <c r="AJ172" s="14" t="str">
        <f aca="false">IF(B172="","",(R172&lt;=Budget)+(U172&lt;Deaths_Appetite)+(X172&lt;=Carbon_Budget)+(AA172=0)+(AD172&gt;=Recall_Target*100)+(AG172=0))</f>
        <v/>
      </c>
    </row>
    <row r="173" customFormat="false" ht="15" hidden="false" customHeight="false" outlineLevel="0" collapsed="false">
      <c r="A173" s="7" t="str">
        <f aca="false">IF(B173="","","S"&amp;TEXT(ROW()-4,"00"))</f>
        <v/>
      </c>
      <c r="B173" s="14"/>
      <c r="C173" s="14"/>
      <c r="D173" s="14"/>
      <c r="E173" s="14"/>
      <c r="F173" s="14"/>
      <c r="G173" s="14"/>
      <c r="H173" s="14"/>
      <c r="I173" s="14"/>
      <c r="J173" s="14"/>
      <c r="K173" s="14"/>
      <c r="L173" s="15"/>
      <c r="M173" s="15"/>
      <c r="N173" s="15"/>
      <c r="O173" s="15"/>
      <c r="P173" s="15"/>
      <c r="Q173" s="15"/>
      <c r="R173" s="16"/>
      <c r="S173" s="17"/>
      <c r="T173" s="17"/>
      <c r="U173" s="17"/>
      <c r="V173" s="18"/>
      <c r="W173" s="18"/>
      <c r="X173" s="18"/>
      <c r="Y173" s="17"/>
      <c r="Z173" s="17"/>
      <c r="AA173" s="17"/>
      <c r="AB173" s="17"/>
      <c r="AC173" s="17"/>
      <c r="AD173" s="17"/>
      <c r="AE173" s="17"/>
      <c r="AF173" s="17"/>
      <c r="AG173" s="17"/>
      <c r="AH173" s="14" t="str">
        <f aca="false">IF(B173="","",(R173&lt;=Budget)+(S173&lt;Deaths_Appetite)+(V173&lt;=Carbon_Budget)+(Y173=0)+(AB173&gt;=Recall_Target*100)+(AE173=0))</f>
        <v/>
      </c>
      <c r="AI173" s="14" t="str">
        <f aca="false">IF(B173="","",(R173&lt;=Budget)+(T173&lt;Deaths_Appetite)+(W173&lt;=Carbon_Budget)+(Z173=0)+(AC173&gt;=Recall_Target*100)+(AF173=0))</f>
        <v/>
      </c>
      <c r="AJ173" s="14" t="str">
        <f aca="false">IF(B173="","",(R173&lt;=Budget)+(U173&lt;Deaths_Appetite)+(X173&lt;=Carbon_Budget)+(AA173=0)+(AD173&gt;=Recall_Target*100)+(AG173=0))</f>
        <v/>
      </c>
    </row>
    <row r="174" customFormat="false" ht="15" hidden="false" customHeight="false" outlineLevel="0" collapsed="false">
      <c r="A174" s="7" t="str">
        <f aca="false">IF(B174="","","S"&amp;TEXT(ROW()-4,"00"))</f>
        <v/>
      </c>
      <c r="B174" s="14"/>
      <c r="C174" s="14"/>
      <c r="D174" s="14"/>
      <c r="E174" s="14"/>
      <c r="F174" s="14"/>
      <c r="G174" s="14"/>
      <c r="H174" s="14"/>
      <c r="I174" s="14"/>
      <c r="J174" s="14"/>
      <c r="K174" s="14"/>
      <c r="L174" s="15"/>
      <c r="M174" s="15"/>
      <c r="N174" s="15"/>
      <c r="O174" s="15"/>
      <c r="P174" s="15"/>
      <c r="Q174" s="15"/>
      <c r="R174" s="16"/>
      <c r="S174" s="17"/>
      <c r="T174" s="17"/>
      <c r="U174" s="17"/>
      <c r="V174" s="18"/>
      <c r="W174" s="18"/>
      <c r="X174" s="18"/>
      <c r="Y174" s="17"/>
      <c r="Z174" s="17"/>
      <c r="AA174" s="17"/>
      <c r="AB174" s="17"/>
      <c r="AC174" s="17"/>
      <c r="AD174" s="17"/>
      <c r="AE174" s="17"/>
      <c r="AF174" s="17"/>
      <c r="AG174" s="17"/>
      <c r="AH174" s="14" t="str">
        <f aca="false">IF(B174="","",(R174&lt;=Budget)+(S174&lt;Deaths_Appetite)+(V174&lt;=Carbon_Budget)+(Y174=0)+(AB174&gt;=Recall_Target*100)+(AE174=0))</f>
        <v/>
      </c>
      <c r="AI174" s="14" t="str">
        <f aca="false">IF(B174="","",(R174&lt;=Budget)+(T174&lt;Deaths_Appetite)+(W174&lt;=Carbon_Budget)+(Z174=0)+(AC174&gt;=Recall_Target*100)+(AF174=0))</f>
        <v/>
      </c>
      <c r="AJ174" s="14" t="str">
        <f aca="false">IF(B174="","",(R174&lt;=Budget)+(U174&lt;Deaths_Appetite)+(X174&lt;=Carbon_Budget)+(AA174=0)+(AD174&gt;=Recall_Target*100)+(AG174=0))</f>
        <v/>
      </c>
    </row>
    <row r="175" customFormat="false" ht="15" hidden="false" customHeight="false" outlineLevel="0" collapsed="false">
      <c r="A175" s="7" t="str">
        <f aca="false">IF(B175="","","S"&amp;TEXT(ROW()-4,"00"))</f>
        <v/>
      </c>
      <c r="B175" s="14"/>
      <c r="C175" s="14"/>
      <c r="D175" s="14"/>
      <c r="E175" s="14"/>
      <c r="F175" s="14"/>
      <c r="G175" s="14"/>
      <c r="H175" s="14"/>
      <c r="I175" s="14"/>
      <c r="J175" s="14"/>
      <c r="K175" s="14"/>
      <c r="L175" s="15"/>
      <c r="M175" s="15"/>
      <c r="N175" s="15"/>
      <c r="O175" s="15"/>
      <c r="P175" s="15"/>
      <c r="Q175" s="15"/>
      <c r="R175" s="16"/>
      <c r="S175" s="17"/>
      <c r="T175" s="17"/>
      <c r="U175" s="17"/>
      <c r="V175" s="18"/>
      <c r="W175" s="18"/>
      <c r="X175" s="18"/>
      <c r="Y175" s="17"/>
      <c r="Z175" s="17"/>
      <c r="AA175" s="17"/>
      <c r="AB175" s="17"/>
      <c r="AC175" s="17"/>
      <c r="AD175" s="17"/>
      <c r="AE175" s="17"/>
      <c r="AF175" s="17"/>
      <c r="AG175" s="17"/>
      <c r="AH175" s="14" t="str">
        <f aca="false">IF(B175="","",(R175&lt;=Budget)+(S175&lt;Deaths_Appetite)+(V175&lt;=Carbon_Budget)+(Y175=0)+(AB175&gt;=Recall_Target*100)+(AE175=0))</f>
        <v/>
      </c>
      <c r="AI175" s="14" t="str">
        <f aca="false">IF(B175="","",(R175&lt;=Budget)+(T175&lt;Deaths_Appetite)+(W175&lt;=Carbon_Budget)+(Z175=0)+(AC175&gt;=Recall_Target*100)+(AF175=0))</f>
        <v/>
      </c>
      <c r="AJ175" s="14" t="str">
        <f aca="false">IF(B175="","",(R175&lt;=Budget)+(U175&lt;Deaths_Appetite)+(X175&lt;=Carbon_Budget)+(AA175=0)+(AD175&gt;=Recall_Target*100)+(AG175=0))</f>
        <v/>
      </c>
    </row>
    <row r="176" customFormat="false" ht="15" hidden="false" customHeight="false" outlineLevel="0" collapsed="false">
      <c r="A176" s="7" t="str">
        <f aca="false">IF(B176="","","S"&amp;TEXT(ROW()-4,"00"))</f>
        <v/>
      </c>
      <c r="B176" s="14"/>
      <c r="C176" s="14"/>
      <c r="D176" s="14"/>
      <c r="E176" s="14"/>
      <c r="F176" s="14"/>
      <c r="G176" s="14"/>
      <c r="H176" s="14"/>
      <c r="I176" s="14"/>
      <c r="J176" s="14"/>
      <c r="K176" s="14"/>
      <c r="L176" s="15"/>
      <c r="M176" s="15"/>
      <c r="N176" s="15"/>
      <c r="O176" s="15"/>
      <c r="P176" s="15"/>
      <c r="Q176" s="15"/>
      <c r="R176" s="16"/>
      <c r="S176" s="17"/>
      <c r="T176" s="17"/>
      <c r="U176" s="17"/>
      <c r="V176" s="18"/>
      <c r="W176" s="18"/>
      <c r="X176" s="18"/>
      <c r="Y176" s="17"/>
      <c r="Z176" s="17"/>
      <c r="AA176" s="17"/>
      <c r="AB176" s="17"/>
      <c r="AC176" s="17"/>
      <c r="AD176" s="17"/>
      <c r="AE176" s="17"/>
      <c r="AF176" s="17"/>
      <c r="AG176" s="17"/>
      <c r="AH176" s="14" t="str">
        <f aca="false">IF(B176="","",(R176&lt;=Budget)+(S176&lt;Deaths_Appetite)+(V176&lt;=Carbon_Budget)+(Y176=0)+(AB176&gt;=Recall_Target*100)+(AE176=0))</f>
        <v/>
      </c>
      <c r="AI176" s="14" t="str">
        <f aca="false">IF(B176="","",(R176&lt;=Budget)+(T176&lt;Deaths_Appetite)+(W176&lt;=Carbon_Budget)+(Z176=0)+(AC176&gt;=Recall_Target*100)+(AF176=0))</f>
        <v/>
      </c>
      <c r="AJ176" s="14" t="str">
        <f aca="false">IF(B176="","",(R176&lt;=Budget)+(U176&lt;Deaths_Appetite)+(X176&lt;=Carbon_Budget)+(AA176=0)+(AD176&gt;=Recall_Target*100)+(AG176=0))</f>
        <v/>
      </c>
    </row>
    <row r="177" customFormat="false" ht="15" hidden="false" customHeight="false" outlineLevel="0" collapsed="false">
      <c r="A177" s="7" t="str">
        <f aca="false">IF(B177="","","S"&amp;TEXT(ROW()-4,"00"))</f>
        <v/>
      </c>
      <c r="B177" s="14"/>
      <c r="C177" s="14"/>
      <c r="D177" s="14"/>
      <c r="E177" s="14"/>
      <c r="F177" s="14"/>
      <c r="G177" s="14"/>
      <c r="H177" s="14"/>
      <c r="I177" s="14"/>
      <c r="J177" s="14"/>
      <c r="K177" s="14"/>
      <c r="L177" s="15"/>
      <c r="M177" s="15"/>
      <c r="N177" s="15"/>
      <c r="O177" s="15"/>
      <c r="P177" s="15"/>
      <c r="Q177" s="15"/>
      <c r="R177" s="16"/>
      <c r="S177" s="17"/>
      <c r="T177" s="17"/>
      <c r="U177" s="17"/>
      <c r="V177" s="18"/>
      <c r="W177" s="18"/>
      <c r="X177" s="18"/>
      <c r="Y177" s="17"/>
      <c r="Z177" s="17"/>
      <c r="AA177" s="17"/>
      <c r="AB177" s="17"/>
      <c r="AC177" s="17"/>
      <c r="AD177" s="17"/>
      <c r="AE177" s="17"/>
      <c r="AF177" s="17"/>
      <c r="AG177" s="17"/>
      <c r="AH177" s="14" t="str">
        <f aca="false">IF(B177="","",(R177&lt;=Budget)+(S177&lt;Deaths_Appetite)+(V177&lt;=Carbon_Budget)+(Y177=0)+(AB177&gt;=Recall_Target*100)+(AE177=0))</f>
        <v/>
      </c>
      <c r="AI177" s="14" t="str">
        <f aca="false">IF(B177="","",(R177&lt;=Budget)+(T177&lt;Deaths_Appetite)+(W177&lt;=Carbon_Budget)+(Z177=0)+(AC177&gt;=Recall_Target*100)+(AF177=0))</f>
        <v/>
      </c>
      <c r="AJ177" s="14" t="str">
        <f aca="false">IF(B177="","",(R177&lt;=Budget)+(U177&lt;Deaths_Appetite)+(X177&lt;=Carbon_Budget)+(AA177=0)+(AD177&gt;=Recall_Target*100)+(AG177=0))</f>
        <v/>
      </c>
    </row>
    <row r="178" customFormat="false" ht="15" hidden="false" customHeight="false" outlineLevel="0" collapsed="false">
      <c r="A178" s="7" t="str">
        <f aca="false">IF(B178="","","S"&amp;TEXT(ROW()-4,"00"))</f>
        <v/>
      </c>
      <c r="B178" s="14"/>
      <c r="C178" s="14"/>
      <c r="D178" s="14"/>
      <c r="E178" s="14"/>
      <c r="F178" s="14"/>
      <c r="G178" s="14"/>
      <c r="H178" s="14"/>
      <c r="I178" s="14"/>
      <c r="J178" s="14"/>
      <c r="K178" s="14"/>
      <c r="L178" s="15"/>
      <c r="M178" s="15"/>
      <c r="N178" s="15"/>
      <c r="O178" s="15"/>
      <c r="P178" s="15"/>
      <c r="Q178" s="15"/>
      <c r="R178" s="16"/>
      <c r="S178" s="17"/>
      <c r="T178" s="17"/>
      <c r="U178" s="17"/>
      <c r="V178" s="18"/>
      <c r="W178" s="18"/>
      <c r="X178" s="18"/>
      <c r="Y178" s="17"/>
      <c r="Z178" s="17"/>
      <c r="AA178" s="17"/>
      <c r="AB178" s="17"/>
      <c r="AC178" s="17"/>
      <c r="AD178" s="17"/>
      <c r="AE178" s="17"/>
      <c r="AF178" s="17"/>
      <c r="AG178" s="17"/>
      <c r="AH178" s="14" t="str">
        <f aca="false">IF(B178="","",(R178&lt;=Budget)+(S178&lt;Deaths_Appetite)+(V178&lt;=Carbon_Budget)+(Y178=0)+(AB178&gt;=Recall_Target*100)+(AE178=0))</f>
        <v/>
      </c>
      <c r="AI178" s="14" t="str">
        <f aca="false">IF(B178="","",(R178&lt;=Budget)+(T178&lt;Deaths_Appetite)+(W178&lt;=Carbon_Budget)+(Z178=0)+(AC178&gt;=Recall_Target*100)+(AF178=0))</f>
        <v/>
      </c>
      <c r="AJ178" s="14" t="str">
        <f aca="false">IF(B178="","",(R178&lt;=Budget)+(U178&lt;Deaths_Appetite)+(X178&lt;=Carbon_Budget)+(AA178=0)+(AD178&gt;=Recall_Target*100)+(AG178=0))</f>
        <v/>
      </c>
    </row>
    <row r="179" customFormat="false" ht="15" hidden="false" customHeight="false" outlineLevel="0" collapsed="false">
      <c r="A179" s="7" t="str">
        <f aca="false">IF(B179="","","S"&amp;TEXT(ROW()-4,"00"))</f>
        <v/>
      </c>
      <c r="B179" s="14"/>
      <c r="C179" s="14"/>
      <c r="D179" s="14"/>
      <c r="E179" s="14"/>
      <c r="F179" s="14"/>
      <c r="G179" s="14"/>
      <c r="H179" s="14"/>
      <c r="I179" s="14"/>
      <c r="J179" s="14"/>
      <c r="K179" s="14"/>
      <c r="L179" s="15"/>
      <c r="M179" s="15"/>
      <c r="N179" s="15"/>
      <c r="O179" s="15"/>
      <c r="P179" s="15"/>
      <c r="Q179" s="15"/>
      <c r="R179" s="16"/>
      <c r="S179" s="17"/>
      <c r="T179" s="17"/>
      <c r="U179" s="17"/>
      <c r="V179" s="18"/>
      <c r="W179" s="18"/>
      <c r="X179" s="18"/>
      <c r="Y179" s="17"/>
      <c r="Z179" s="17"/>
      <c r="AA179" s="17"/>
      <c r="AB179" s="17"/>
      <c r="AC179" s="17"/>
      <c r="AD179" s="17"/>
      <c r="AE179" s="17"/>
      <c r="AF179" s="17"/>
      <c r="AG179" s="17"/>
      <c r="AH179" s="14" t="str">
        <f aca="false">IF(B179="","",(R179&lt;=Budget)+(S179&lt;Deaths_Appetite)+(V179&lt;=Carbon_Budget)+(Y179=0)+(AB179&gt;=Recall_Target*100)+(AE179=0))</f>
        <v/>
      </c>
      <c r="AI179" s="14" t="str">
        <f aca="false">IF(B179="","",(R179&lt;=Budget)+(T179&lt;Deaths_Appetite)+(W179&lt;=Carbon_Budget)+(Z179=0)+(AC179&gt;=Recall_Target*100)+(AF179=0))</f>
        <v/>
      </c>
      <c r="AJ179" s="14" t="str">
        <f aca="false">IF(B179="","",(R179&lt;=Budget)+(U179&lt;Deaths_Appetite)+(X179&lt;=Carbon_Budget)+(AA179=0)+(AD179&gt;=Recall_Target*100)+(AG179=0))</f>
        <v/>
      </c>
    </row>
    <row r="180" customFormat="false" ht="15" hidden="false" customHeight="false" outlineLevel="0" collapsed="false">
      <c r="A180" s="7" t="str">
        <f aca="false">IF(B180="","","S"&amp;TEXT(ROW()-4,"00"))</f>
        <v/>
      </c>
      <c r="B180" s="14"/>
      <c r="C180" s="14"/>
      <c r="D180" s="14"/>
      <c r="E180" s="14"/>
      <c r="F180" s="14"/>
      <c r="G180" s="14"/>
      <c r="H180" s="14"/>
      <c r="I180" s="14"/>
      <c r="J180" s="14"/>
      <c r="K180" s="14"/>
      <c r="L180" s="15"/>
      <c r="M180" s="15"/>
      <c r="N180" s="15"/>
      <c r="O180" s="15"/>
      <c r="P180" s="15"/>
      <c r="Q180" s="15"/>
      <c r="R180" s="16"/>
      <c r="S180" s="17"/>
      <c r="T180" s="17"/>
      <c r="U180" s="17"/>
      <c r="V180" s="18"/>
      <c r="W180" s="18"/>
      <c r="X180" s="18"/>
      <c r="Y180" s="17"/>
      <c r="Z180" s="17"/>
      <c r="AA180" s="17"/>
      <c r="AB180" s="17"/>
      <c r="AC180" s="17"/>
      <c r="AD180" s="17"/>
      <c r="AE180" s="17"/>
      <c r="AF180" s="17"/>
      <c r="AG180" s="17"/>
      <c r="AH180" s="14" t="str">
        <f aca="false">IF(B180="","",(R180&lt;=Budget)+(S180&lt;Deaths_Appetite)+(V180&lt;=Carbon_Budget)+(Y180=0)+(AB180&gt;=Recall_Target*100)+(AE180=0))</f>
        <v/>
      </c>
      <c r="AI180" s="14" t="str">
        <f aca="false">IF(B180="","",(R180&lt;=Budget)+(T180&lt;Deaths_Appetite)+(W180&lt;=Carbon_Budget)+(Z180=0)+(AC180&gt;=Recall_Target*100)+(AF180=0))</f>
        <v/>
      </c>
      <c r="AJ180" s="14" t="str">
        <f aca="false">IF(B180="","",(R180&lt;=Budget)+(U180&lt;Deaths_Appetite)+(X180&lt;=Carbon_Budget)+(AA180=0)+(AD180&gt;=Recall_Target*100)+(AG180=0))</f>
        <v/>
      </c>
    </row>
    <row r="181" customFormat="false" ht="15" hidden="false" customHeight="false" outlineLevel="0" collapsed="false">
      <c r="A181" s="7" t="str">
        <f aca="false">IF(B181="","","S"&amp;TEXT(ROW()-4,"00"))</f>
        <v/>
      </c>
      <c r="B181" s="14"/>
      <c r="C181" s="14"/>
      <c r="D181" s="14"/>
      <c r="E181" s="14"/>
      <c r="F181" s="14"/>
      <c r="G181" s="14"/>
      <c r="H181" s="14"/>
      <c r="I181" s="14"/>
      <c r="J181" s="14"/>
      <c r="K181" s="14"/>
      <c r="L181" s="15"/>
      <c r="M181" s="15"/>
      <c r="N181" s="15"/>
      <c r="O181" s="15"/>
      <c r="P181" s="15"/>
      <c r="Q181" s="15"/>
      <c r="R181" s="16"/>
      <c r="S181" s="17"/>
      <c r="T181" s="17"/>
      <c r="U181" s="17"/>
      <c r="V181" s="18"/>
      <c r="W181" s="18"/>
      <c r="X181" s="18"/>
      <c r="Y181" s="17"/>
      <c r="Z181" s="17"/>
      <c r="AA181" s="17"/>
      <c r="AB181" s="17"/>
      <c r="AC181" s="17"/>
      <c r="AD181" s="17"/>
      <c r="AE181" s="17"/>
      <c r="AF181" s="17"/>
      <c r="AG181" s="17"/>
      <c r="AH181" s="14" t="str">
        <f aca="false">IF(B181="","",(R181&lt;=Budget)+(S181&lt;Deaths_Appetite)+(V181&lt;=Carbon_Budget)+(Y181=0)+(AB181&gt;=Recall_Target*100)+(AE181=0))</f>
        <v/>
      </c>
      <c r="AI181" s="14" t="str">
        <f aca="false">IF(B181="","",(R181&lt;=Budget)+(T181&lt;Deaths_Appetite)+(W181&lt;=Carbon_Budget)+(Z181=0)+(AC181&gt;=Recall_Target*100)+(AF181=0))</f>
        <v/>
      </c>
      <c r="AJ181" s="14" t="str">
        <f aca="false">IF(B181="","",(R181&lt;=Budget)+(U181&lt;Deaths_Appetite)+(X181&lt;=Carbon_Budget)+(AA181=0)+(AD181&gt;=Recall_Target*100)+(AG181=0))</f>
        <v/>
      </c>
    </row>
    <row r="182" customFormat="false" ht="15" hidden="false" customHeight="false" outlineLevel="0" collapsed="false">
      <c r="A182" s="7" t="str">
        <f aca="false">IF(B182="","","S"&amp;TEXT(ROW()-4,"00"))</f>
        <v/>
      </c>
      <c r="B182" s="14"/>
      <c r="C182" s="14"/>
      <c r="D182" s="14"/>
      <c r="E182" s="14"/>
      <c r="F182" s="14"/>
      <c r="G182" s="14"/>
      <c r="H182" s="14"/>
      <c r="I182" s="14"/>
      <c r="J182" s="14"/>
      <c r="K182" s="14"/>
      <c r="L182" s="15"/>
      <c r="M182" s="15"/>
      <c r="N182" s="15"/>
      <c r="O182" s="15"/>
      <c r="P182" s="15"/>
      <c r="Q182" s="15"/>
      <c r="R182" s="16"/>
      <c r="S182" s="17"/>
      <c r="T182" s="17"/>
      <c r="U182" s="17"/>
      <c r="V182" s="18"/>
      <c r="W182" s="18"/>
      <c r="X182" s="18"/>
      <c r="Y182" s="17"/>
      <c r="Z182" s="17"/>
      <c r="AA182" s="17"/>
      <c r="AB182" s="17"/>
      <c r="AC182" s="17"/>
      <c r="AD182" s="17"/>
      <c r="AE182" s="17"/>
      <c r="AF182" s="17"/>
      <c r="AG182" s="17"/>
      <c r="AH182" s="14" t="str">
        <f aca="false">IF(B182="","",(R182&lt;=Budget)+(S182&lt;Deaths_Appetite)+(V182&lt;=Carbon_Budget)+(Y182=0)+(AB182&gt;=Recall_Target*100)+(AE182=0))</f>
        <v/>
      </c>
      <c r="AI182" s="14" t="str">
        <f aca="false">IF(B182="","",(R182&lt;=Budget)+(T182&lt;Deaths_Appetite)+(W182&lt;=Carbon_Budget)+(Z182=0)+(AC182&gt;=Recall_Target*100)+(AF182=0))</f>
        <v/>
      </c>
      <c r="AJ182" s="14" t="str">
        <f aca="false">IF(B182="","",(R182&lt;=Budget)+(U182&lt;Deaths_Appetite)+(X182&lt;=Carbon_Budget)+(AA182=0)+(AD182&gt;=Recall_Target*100)+(AG182=0))</f>
        <v/>
      </c>
    </row>
    <row r="183" customFormat="false" ht="15" hidden="false" customHeight="false" outlineLevel="0" collapsed="false">
      <c r="A183" s="7" t="str">
        <f aca="false">IF(B183="","","S"&amp;TEXT(ROW()-4,"00"))</f>
        <v/>
      </c>
      <c r="B183" s="14"/>
      <c r="C183" s="14"/>
      <c r="D183" s="14"/>
      <c r="E183" s="14"/>
      <c r="F183" s="14"/>
      <c r="G183" s="14"/>
      <c r="H183" s="14"/>
      <c r="I183" s="14"/>
      <c r="J183" s="14"/>
      <c r="K183" s="14"/>
      <c r="L183" s="15"/>
      <c r="M183" s="15"/>
      <c r="N183" s="15"/>
      <c r="O183" s="15"/>
      <c r="P183" s="15"/>
      <c r="Q183" s="15"/>
      <c r="R183" s="16"/>
      <c r="S183" s="17"/>
      <c r="T183" s="17"/>
      <c r="U183" s="17"/>
      <c r="V183" s="18"/>
      <c r="W183" s="18"/>
      <c r="X183" s="18"/>
      <c r="Y183" s="17"/>
      <c r="Z183" s="17"/>
      <c r="AA183" s="17"/>
      <c r="AB183" s="17"/>
      <c r="AC183" s="17"/>
      <c r="AD183" s="17"/>
      <c r="AE183" s="17"/>
      <c r="AF183" s="17"/>
      <c r="AG183" s="17"/>
      <c r="AH183" s="14" t="str">
        <f aca="false">IF(B183="","",(R183&lt;=Budget)+(S183&lt;Deaths_Appetite)+(V183&lt;=Carbon_Budget)+(Y183=0)+(AB183&gt;=Recall_Target*100)+(AE183=0))</f>
        <v/>
      </c>
      <c r="AI183" s="14" t="str">
        <f aca="false">IF(B183="","",(R183&lt;=Budget)+(T183&lt;Deaths_Appetite)+(W183&lt;=Carbon_Budget)+(Z183=0)+(AC183&gt;=Recall_Target*100)+(AF183=0))</f>
        <v/>
      </c>
      <c r="AJ183" s="14" t="str">
        <f aca="false">IF(B183="","",(R183&lt;=Budget)+(U183&lt;Deaths_Appetite)+(X183&lt;=Carbon_Budget)+(AA183=0)+(AD183&gt;=Recall_Target*100)+(AG183=0))</f>
        <v/>
      </c>
    </row>
    <row r="184" customFormat="false" ht="15" hidden="false" customHeight="false" outlineLevel="0" collapsed="false">
      <c r="A184" s="7" t="str">
        <f aca="false">IF(B184="","","S"&amp;TEXT(ROW()-4,"00"))</f>
        <v/>
      </c>
      <c r="B184" s="14"/>
      <c r="C184" s="14"/>
      <c r="D184" s="14"/>
      <c r="E184" s="14"/>
      <c r="F184" s="14"/>
      <c r="G184" s="14"/>
      <c r="H184" s="14"/>
      <c r="I184" s="14"/>
      <c r="J184" s="14"/>
      <c r="K184" s="14"/>
      <c r="L184" s="15"/>
      <c r="M184" s="15"/>
      <c r="N184" s="15"/>
      <c r="O184" s="15"/>
      <c r="P184" s="15"/>
      <c r="Q184" s="15"/>
      <c r="R184" s="16"/>
      <c r="S184" s="17"/>
      <c r="T184" s="17"/>
      <c r="U184" s="17"/>
      <c r="V184" s="18"/>
      <c r="W184" s="18"/>
      <c r="X184" s="18"/>
      <c r="Y184" s="17"/>
      <c r="Z184" s="17"/>
      <c r="AA184" s="17"/>
      <c r="AB184" s="17"/>
      <c r="AC184" s="17"/>
      <c r="AD184" s="17"/>
      <c r="AE184" s="17"/>
      <c r="AF184" s="17"/>
      <c r="AG184" s="17"/>
      <c r="AH184" s="14" t="str">
        <f aca="false">IF(B184="","",(R184&lt;=Budget)+(S184&lt;Deaths_Appetite)+(V184&lt;=Carbon_Budget)+(Y184=0)+(AB184&gt;=Recall_Target*100)+(AE184=0))</f>
        <v/>
      </c>
      <c r="AI184" s="14" t="str">
        <f aca="false">IF(B184="","",(R184&lt;=Budget)+(T184&lt;Deaths_Appetite)+(W184&lt;=Carbon_Budget)+(Z184=0)+(AC184&gt;=Recall_Target*100)+(AF184=0))</f>
        <v/>
      </c>
      <c r="AJ184" s="14" t="str">
        <f aca="false">IF(B184="","",(R184&lt;=Budget)+(U184&lt;Deaths_Appetite)+(X184&lt;=Carbon_Budget)+(AA184=0)+(AD184&gt;=Recall_Target*100)+(AG184=0))</f>
        <v/>
      </c>
    </row>
    <row r="185" customFormat="false" ht="15" hidden="false" customHeight="false" outlineLevel="0" collapsed="false">
      <c r="A185" s="7" t="str">
        <f aca="false">IF(B185="","","S"&amp;TEXT(ROW()-4,"00"))</f>
        <v/>
      </c>
      <c r="B185" s="14"/>
      <c r="C185" s="14"/>
      <c r="D185" s="14"/>
      <c r="E185" s="14"/>
      <c r="F185" s="14"/>
      <c r="G185" s="14"/>
      <c r="H185" s="14"/>
      <c r="I185" s="14"/>
      <c r="J185" s="14"/>
      <c r="K185" s="14"/>
      <c r="L185" s="15"/>
      <c r="M185" s="15"/>
      <c r="N185" s="15"/>
      <c r="O185" s="15"/>
      <c r="P185" s="15"/>
      <c r="Q185" s="15"/>
      <c r="R185" s="16"/>
      <c r="S185" s="17"/>
      <c r="T185" s="17"/>
      <c r="U185" s="17"/>
      <c r="V185" s="18"/>
      <c r="W185" s="18"/>
      <c r="X185" s="18"/>
      <c r="Y185" s="17"/>
      <c r="Z185" s="17"/>
      <c r="AA185" s="17"/>
      <c r="AB185" s="17"/>
      <c r="AC185" s="17"/>
      <c r="AD185" s="17"/>
      <c r="AE185" s="17"/>
      <c r="AF185" s="17"/>
      <c r="AG185" s="17"/>
      <c r="AH185" s="14" t="str">
        <f aca="false">IF(B185="","",(R185&lt;=Budget)+(S185&lt;Deaths_Appetite)+(V185&lt;=Carbon_Budget)+(Y185=0)+(AB185&gt;=Recall_Target*100)+(AE185=0))</f>
        <v/>
      </c>
      <c r="AI185" s="14" t="str">
        <f aca="false">IF(B185="","",(R185&lt;=Budget)+(T185&lt;Deaths_Appetite)+(W185&lt;=Carbon_Budget)+(Z185=0)+(AC185&gt;=Recall_Target*100)+(AF185=0))</f>
        <v/>
      </c>
      <c r="AJ185" s="14" t="str">
        <f aca="false">IF(B185="","",(R185&lt;=Budget)+(U185&lt;Deaths_Appetite)+(X185&lt;=Carbon_Budget)+(AA185=0)+(AD185&gt;=Recall_Target*100)+(AG185=0))</f>
        <v/>
      </c>
    </row>
    <row r="186" customFormat="false" ht="15" hidden="false" customHeight="false" outlineLevel="0" collapsed="false">
      <c r="A186" s="7" t="str">
        <f aca="false">IF(B186="","","S"&amp;TEXT(ROW()-4,"00"))</f>
        <v/>
      </c>
      <c r="B186" s="14"/>
      <c r="C186" s="14"/>
      <c r="D186" s="14"/>
      <c r="E186" s="14"/>
      <c r="F186" s="14"/>
      <c r="G186" s="14"/>
      <c r="H186" s="14"/>
      <c r="I186" s="14"/>
      <c r="J186" s="14"/>
      <c r="K186" s="14"/>
      <c r="L186" s="15"/>
      <c r="M186" s="15"/>
      <c r="N186" s="15"/>
      <c r="O186" s="15"/>
      <c r="P186" s="15"/>
      <c r="Q186" s="15"/>
      <c r="R186" s="16"/>
      <c r="S186" s="17"/>
      <c r="T186" s="17"/>
      <c r="U186" s="17"/>
      <c r="V186" s="18"/>
      <c r="W186" s="18"/>
      <c r="X186" s="18"/>
      <c r="Y186" s="17"/>
      <c r="Z186" s="17"/>
      <c r="AA186" s="17"/>
      <c r="AB186" s="17"/>
      <c r="AC186" s="17"/>
      <c r="AD186" s="17"/>
      <c r="AE186" s="17"/>
      <c r="AF186" s="17"/>
      <c r="AG186" s="17"/>
      <c r="AH186" s="14" t="str">
        <f aca="false">IF(B186="","",(R186&lt;=Budget)+(S186&lt;Deaths_Appetite)+(V186&lt;=Carbon_Budget)+(Y186=0)+(AB186&gt;=Recall_Target*100)+(AE186=0))</f>
        <v/>
      </c>
      <c r="AI186" s="14" t="str">
        <f aca="false">IF(B186="","",(R186&lt;=Budget)+(T186&lt;Deaths_Appetite)+(W186&lt;=Carbon_Budget)+(Z186=0)+(AC186&gt;=Recall_Target*100)+(AF186=0))</f>
        <v/>
      </c>
      <c r="AJ186" s="14" t="str">
        <f aca="false">IF(B186="","",(R186&lt;=Budget)+(U186&lt;Deaths_Appetite)+(X186&lt;=Carbon_Budget)+(AA186=0)+(AD186&gt;=Recall_Target*100)+(AG186=0))</f>
        <v/>
      </c>
    </row>
    <row r="187" customFormat="false" ht="15" hidden="false" customHeight="false" outlineLevel="0" collapsed="false">
      <c r="A187" s="7" t="str">
        <f aca="false">IF(B187="","","S"&amp;TEXT(ROW()-4,"00"))</f>
        <v/>
      </c>
      <c r="B187" s="14"/>
      <c r="C187" s="14"/>
      <c r="D187" s="14"/>
      <c r="E187" s="14"/>
      <c r="F187" s="14"/>
      <c r="G187" s="14"/>
      <c r="H187" s="14"/>
      <c r="I187" s="14"/>
      <c r="J187" s="14"/>
      <c r="K187" s="14"/>
      <c r="L187" s="15"/>
      <c r="M187" s="15"/>
      <c r="N187" s="15"/>
      <c r="O187" s="15"/>
      <c r="P187" s="15"/>
      <c r="Q187" s="15"/>
      <c r="R187" s="16"/>
      <c r="S187" s="17"/>
      <c r="T187" s="17"/>
      <c r="U187" s="17"/>
      <c r="V187" s="18"/>
      <c r="W187" s="18"/>
      <c r="X187" s="18"/>
      <c r="Y187" s="17"/>
      <c r="Z187" s="17"/>
      <c r="AA187" s="17"/>
      <c r="AB187" s="17"/>
      <c r="AC187" s="17"/>
      <c r="AD187" s="17"/>
      <c r="AE187" s="17"/>
      <c r="AF187" s="17"/>
      <c r="AG187" s="17"/>
      <c r="AH187" s="14" t="str">
        <f aca="false">IF(B187="","",(R187&lt;=Budget)+(S187&lt;Deaths_Appetite)+(V187&lt;=Carbon_Budget)+(Y187=0)+(AB187&gt;=Recall_Target*100)+(AE187=0))</f>
        <v/>
      </c>
      <c r="AI187" s="14" t="str">
        <f aca="false">IF(B187="","",(R187&lt;=Budget)+(T187&lt;Deaths_Appetite)+(W187&lt;=Carbon_Budget)+(Z187=0)+(AC187&gt;=Recall_Target*100)+(AF187=0))</f>
        <v/>
      </c>
      <c r="AJ187" s="14" t="str">
        <f aca="false">IF(B187="","",(R187&lt;=Budget)+(U187&lt;Deaths_Appetite)+(X187&lt;=Carbon_Budget)+(AA187=0)+(AD187&gt;=Recall_Target*100)+(AG187=0))</f>
        <v/>
      </c>
    </row>
    <row r="188" customFormat="false" ht="15" hidden="false" customHeight="false" outlineLevel="0" collapsed="false">
      <c r="A188" s="7" t="str">
        <f aca="false">IF(B188="","","S"&amp;TEXT(ROW()-4,"00"))</f>
        <v/>
      </c>
      <c r="B188" s="14"/>
      <c r="C188" s="14"/>
      <c r="D188" s="14"/>
      <c r="E188" s="14"/>
      <c r="F188" s="14"/>
      <c r="G188" s="14"/>
      <c r="H188" s="14"/>
      <c r="I188" s="14"/>
      <c r="J188" s="14"/>
      <c r="K188" s="14"/>
      <c r="L188" s="15"/>
      <c r="M188" s="15"/>
      <c r="N188" s="15"/>
      <c r="O188" s="15"/>
      <c r="P188" s="15"/>
      <c r="Q188" s="15"/>
      <c r="R188" s="16"/>
      <c r="S188" s="17"/>
      <c r="T188" s="17"/>
      <c r="U188" s="17"/>
      <c r="V188" s="18"/>
      <c r="W188" s="18"/>
      <c r="X188" s="18"/>
      <c r="Y188" s="17"/>
      <c r="Z188" s="17"/>
      <c r="AA188" s="17"/>
      <c r="AB188" s="17"/>
      <c r="AC188" s="17"/>
      <c r="AD188" s="17"/>
      <c r="AE188" s="17"/>
      <c r="AF188" s="17"/>
      <c r="AG188" s="17"/>
      <c r="AH188" s="14" t="str">
        <f aca="false">IF(B188="","",(R188&lt;=Budget)+(S188&lt;Deaths_Appetite)+(V188&lt;=Carbon_Budget)+(Y188=0)+(AB188&gt;=Recall_Target*100)+(AE188=0))</f>
        <v/>
      </c>
      <c r="AI188" s="14" t="str">
        <f aca="false">IF(B188="","",(R188&lt;=Budget)+(T188&lt;Deaths_Appetite)+(W188&lt;=Carbon_Budget)+(Z188=0)+(AC188&gt;=Recall_Target*100)+(AF188=0))</f>
        <v/>
      </c>
      <c r="AJ188" s="14" t="str">
        <f aca="false">IF(B188="","",(R188&lt;=Budget)+(U188&lt;Deaths_Appetite)+(X188&lt;=Carbon_Budget)+(AA188=0)+(AD188&gt;=Recall_Target*100)+(AG188=0))</f>
        <v/>
      </c>
    </row>
    <row r="189" customFormat="false" ht="15" hidden="false" customHeight="false" outlineLevel="0" collapsed="false">
      <c r="A189" s="7" t="str">
        <f aca="false">IF(B189="","","S"&amp;TEXT(ROW()-4,"00"))</f>
        <v/>
      </c>
      <c r="B189" s="14"/>
      <c r="C189" s="14"/>
      <c r="D189" s="14"/>
      <c r="E189" s="14"/>
      <c r="F189" s="14"/>
      <c r="G189" s="14"/>
      <c r="H189" s="14"/>
      <c r="I189" s="14"/>
      <c r="J189" s="14"/>
      <c r="K189" s="14"/>
      <c r="L189" s="15"/>
      <c r="M189" s="15"/>
      <c r="N189" s="15"/>
      <c r="O189" s="15"/>
      <c r="P189" s="15"/>
      <c r="Q189" s="15"/>
      <c r="R189" s="16"/>
      <c r="S189" s="17"/>
      <c r="T189" s="17"/>
      <c r="U189" s="17"/>
      <c r="V189" s="18"/>
      <c r="W189" s="18"/>
      <c r="X189" s="18"/>
      <c r="Y189" s="17"/>
      <c r="Z189" s="17"/>
      <c r="AA189" s="17"/>
      <c r="AB189" s="17"/>
      <c r="AC189" s="17"/>
      <c r="AD189" s="17"/>
      <c r="AE189" s="17"/>
      <c r="AF189" s="17"/>
      <c r="AG189" s="17"/>
      <c r="AH189" s="14" t="str">
        <f aca="false">IF(B189="","",(R189&lt;=Budget)+(S189&lt;Deaths_Appetite)+(V189&lt;=Carbon_Budget)+(Y189=0)+(AB189&gt;=Recall_Target*100)+(AE189=0))</f>
        <v/>
      </c>
      <c r="AI189" s="14" t="str">
        <f aca="false">IF(B189="","",(R189&lt;=Budget)+(T189&lt;Deaths_Appetite)+(W189&lt;=Carbon_Budget)+(Z189=0)+(AC189&gt;=Recall_Target*100)+(AF189=0))</f>
        <v/>
      </c>
      <c r="AJ189" s="14" t="str">
        <f aca="false">IF(B189="","",(R189&lt;=Budget)+(U189&lt;Deaths_Appetite)+(X189&lt;=Carbon_Budget)+(AA189=0)+(AD189&gt;=Recall_Target*100)+(AG189=0))</f>
        <v/>
      </c>
    </row>
    <row r="190" customFormat="false" ht="15" hidden="false" customHeight="false" outlineLevel="0" collapsed="false">
      <c r="A190" s="7" t="str">
        <f aca="false">IF(B190="","","S"&amp;TEXT(ROW()-4,"00"))</f>
        <v/>
      </c>
      <c r="B190" s="14"/>
      <c r="C190" s="14"/>
      <c r="D190" s="14"/>
      <c r="E190" s="14"/>
      <c r="F190" s="14"/>
      <c r="G190" s="14"/>
      <c r="H190" s="14"/>
      <c r="I190" s="14"/>
      <c r="J190" s="14"/>
      <c r="K190" s="14"/>
      <c r="L190" s="15"/>
      <c r="M190" s="15"/>
      <c r="N190" s="15"/>
      <c r="O190" s="15"/>
      <c r="P190" s="15"/>
      <c r="Q190" s="15"/>
      <c r="R190" s="16"/>
      <c r="S190" s="17"/>
      <c r="T190" s="17"/>
      <c r="U190" s="17"/>
      <c r="V190" s="18"/>
      <c r="W190" s="18"/>
      <c r="X190" s="18"/>
      <c r="Y190" s="17"/>
      <c r="Z190" s="17"/>
      <c r="AA190" s="17"/>
      <c r="AB190" s="17"/>
      <c r="AC190" s="17"/>
      <c r="AD190" s="17"/>
      <c r="AE190" s="17"/>
      <c r="AF190" s="17"/>
      <c r="AG190" s="17"/>
      <c r="AH190" s="14" t="str">
        <f aca="false">IF(B190="","",(R190&lt;=Budget)+(S190&lt;Deaths_Appetite)+(V190&lt;=Carbon_Budget)+(Y190=0)+(AB190&gt;=Recall_Target*100)+(AE190=0))</f>
        <v/>
      </c>
      <c r="AI190" s="14" t="str">
        <f aca="false">IF(B190="","",(R190&lt;=Budget)+(T190&lt;Deaths_Appetite)+(W190&lt;=Carbon_Budget)+(Z190=0)+(AC190&gt;=Recall_Target*100)+(AF190=0))</f>
        <v/>
      </c>
      <c r="AJ190" s="14" t="str">
        <f aca="false">IF(B190="","",(R190&lt;=Budget)+(U190&lt;Deaths_Appetite)+(X190&lt;=Carbon_Budget)+(AA190=0)+(AD190&gt;=Recall_Target*100)+(AG190=0))</f>
        <v/>
      </c>
    </row>
    <row r="191" customFormat="false" ht="15" hidden="false" customHeight="false" outlineLevel="0" collapsed="false">
      <c r="A191" s="7" t="str">
        <f aca="false">IF(B191="","","S"&amp;TEXT(ROW()-4,"00"))</f>
        <v/>
      </c>
      <c r="B191" s="14"/>
      <c r="C191" s="14"/>
      <c r="D191" s="14"/>
      <c r="E191" s="14"/>
      <c r="F191" s="14"/>
      <c r="G191" s="14"/>
      <c r="H191" s="14"/>
      <c r="I191" s="14"/>
      <c r="J191" s="14"/>
      <c r="K191" s="14"/>
      <c r="L191" s="15"/>
      <c r="M191" s="15"/>
      <c r="N191" s="15"/>
      <c r="O191" s="15"/>
      <c r="P191" s="15"/>
      <c r="Q191" s="15"/>
      <c r="R191" s="16"/>
      <c r="S191" s="17"/>
      <c r="T191" s="17"/>
      <c r="U191" s="17"/>
      <c r="V191" s="18"/>
      <c r="W191" s="18"/>
      <c r="X191" s="18"/>
      <c r="Y191" s="17"/>
      <c r="Z191" s="17"/>
      <c r="AA191" s="17"/>
      <c r="AB191" s="17"/>
      <c r="AC191" s="17"/>
      <c r="AD191" s="17"/>
      <c r="AE191" s="17"/>
      <c r="AF191" s="17"/>
      <c r="AG191" s="17"/>
      <c r="AH191" s="14" t="str">
        <f aca="false">IF(B191="","",(R191&lt;=Budget)+(S191&lt;Deaths_Appetite)+(V191&lt;=Carbon_Budget)+(Y191=0)+(AB191&gt;=Recall_Target*100)+(AE191=0))</f>
        <v/>
      </c>
      <c r="AI191" s="14" t="str">
        <f aca="false">IF(B191="","",(R191&lt;=Budget)+(T191&lt;Deaths_Appetite)+(W191&lt;=Carbon_Budget)+(Z191=0)+(AC191&gt;=Recall_Target*100)+(AF191=0))</f>
        <v/>
      </c>
      <c r="AJ191" s="14" t="str">
        <f aca="false">IF(B191="","",(R191&lt;=Budget)+(U191&lt;Deaths_Appetite)+(X191&lt;=Carbon_Budget)+(AA191=0)+(AD191&gt;=Recall_Target*100)+(AG191=0))</f>
        <v/>
      </c>
    </row>
    <row r="192" customFormat="false" ht="15" hidden="false" customHeight="false" outlineLevel="0" collapsed="false">
      <c r="A192" s="7" t="str">
        <f aca="false">IF(B192="","","S"&amp;TEXT(ROW()-4,"00"))</f>
        <v/>
      </c>
      <c r="B192" s="14"/>
      <c r="C192" s="14"/>
      <c r="D192" s="14"/>
      <c r="E192" s="14"/>
      <c r="F192" s="14"/>
      <c r="G192" s="14"/>
      <c r="H192" s="14"/>
      <c r="I192" s="14"/>
      <c r="J192" s="14"/>
      <c r="K192" s="14"/>
      <c r="L192" s="15"/>
      <c r="M192" s="15"/>
      <c r="N192" s="15"/>
      <c r="O192" s="15"/>
      <c r="P192" s="15"/>
      <c r="Q192" s="15"/>
      <c r="R192" s="16"/>
      <c r="S192" s="17"/>
      <c r="T192" s="17"/>
      <c r="U192" s="17"/>
      <c r="V192" s="18"/>
      <c r="W192" s="18"/>
      <c r="X192" s="18"/>
      <c r="Y192" s="17"/>
      <c r="Z192" s="17"/>
      <c r="AA192" s="17"/>
      <c r="AB192" s="17"/>
      <c r="AC192" s="17"/>
      <c r="AD192" s="17"/>
      <c r="AE192" s="17"/>
      <c r="AF192" s="17"/>
      <c r="AG192" s="17"/>
      <c r="AH192" s="14" t="str">
        <f aca="false">IF(B192="","",(R192&lt;=Budget)+(S192&lt;Deaths_Appetite)+(V192&lt;=Carbon_Budget)+(Y192=0)+(AB192&gt;=Recall_Target*100)+(AE192=0))</f>
        <v/>
      </c>
      <c r="AI192" s="14" t="str">
        <f aca="false">IF(B192="","",(R192&lt;=Budget)+(T192&lt;Deaths_Appetite)+(W192&lt;=Carbon_Budget)+(Z192=0)+(AC192&gt;=Recall_Target*100)+(AF192=0))</f>
        <v/>
      </c>
      <c r="AJ192" s="14" t="str">
        <f aca="false">IF(B192="","",(R192&lt;=Budget)+(U192&lt;Deaths_Appetite)+(X192&lt;=Carbon_Budget)+(AA192=0)+(AD192&gt;=Recall_Target*100)+(AG192=0))</f>
        <v/>
      </c>
    </row>
    <row r="193" customFormat="false" ht="15" hidden="false" customHeight="false" outlineLevel="0" collapsed="false">
      <c r="A193" s="7" t="str">
        <f aca="false">IF(B193="","","S"&amp;TEXT(ROW()-4,"00"))</f>
        <v/>
      </c>
      <c r="B193" s="14"/>
      <c r="C193" s="14"/>
      <c r="D193" s="14"/>
      <c r="E193" s="14"/>
      <c r="F193" s="14"/>
      <c r="G193" s="14"/>
      <c r="H193" s="14"/>
      <c r="I193" s="14"/>
      <c r="J193" s="14"/>
      <c r="K193" s="14"/>
      <c r="L193" s="15"/>
      <c r="M193" s="15"/>
      <c r="N193" s="15"/>
      <c r="O193" s="15"/>
      <c r="P193" s="15"/>
      <c r="Q193" s="15"/>
      <c r="R193" s="16"/>
      <c r="S193" s="17"/>
      <c r="T193" s="17"/>
      <c r="U193" s="17"/>
      <c r="V193" s="18"/>
      <c r="W193" s="18"/>
      <c r="X193" s="18"/>
      <c r="Y193" s="17"/>
      <c r="Z193" s="17"/>
      <c r="AA193" s="17"/>
      <c r="AB193" s="17"/>
      <c r="AC193" s="17"/>
      <c r="AD193" s="17"/>
      <c r="AE193" s="17"/>
      <c r="AF193" s="17"/>
      <c r="AG193" s="17"/>
      <c r="AH193" s="14" t="str">
        <f aca="false">IF(B193="","",(R193&lt;=Budget)+(S193&lt;Deaths_Appetite)+(V193&lt;=Carbon_Budget)+(Y193=0)+(AB193&gt;=Recall_Target*100)+(AE193=0))</f>
        <v/>
      </c>
      <c r="AI193" s="14" t="str">
        <f aca="false">IF(B193="","",(R193&lt;=Budget)+(T193&lt;Deaths_Appetite)+(W193&lt;=Carbon_Budget)+(Z193=0)+(AC193&gt;=Recall_Target*100)+(AF193=0))</f>
        <v/>
      </c>
      <c r="AJ193" s="14" t="str">
        <f aca="false">IF(B193="","",(R193&lt;=Budget)+(U193&lt;Deaths_Appetite)+(X193&lt;=Carbon_Budget)+(AA193=0)+(AD193&gt;=Recall_Target*100)+(AG193=0))</f>
        <v/>
      </c>
    </row>
    <row r="194" customFormat="false" ht="15" hidden="false" customHeight="false" outlineLevel="0" collapsed="false">
      <c r="A194" s="7" t="str">
        <f aca="false">IF(B194="","","S"&amp;TEXT(ROW()-4,"00"))</f>
        <v/>
      </c>
      <c r="B194" s="14"/>
      <c r="C194" s="14"/>
      <c r="D194" s="14"/>
      <c r="E194" s="14"/>
      <c r="F194" s="14"/>
      <c r="G194" s="14"/>
      <c r="H194" s="14"/>
      <c r="I194" s="14"/>
      <c r="J194" s="14"/>
      <c r="K194" s="14"/>
      <c r="L194" s="15"/>
      <c r="M194" s="15"/>
      <c r="N194" s="15"/>
      <c r="O194" s="15"/>
      <c r="P194" s="15"/>
      <c r="Q194" s="15"/>
      <c r="R194" s="16"/>
      <c r="S194" s="17"/>
      <c r="T194" s="17"/>
      <c r="U194" s="17"/>
      <c r="V194" s="18"/>
      <c r="W194" s="18"/>
      <c r="X194" s="18"/>
      <c r="Y194" s="17"/>
      <c r="Z194" s="17"/>
      <c r="AA194" s="17"/>
      <c r="AB194" s="17"/>
      <c r="AC194" s="17"/>
      <c r="AD194" s="17"/>
      <c r="AE194" s="17"/>
      <c r="AF194" s="17"/>
      <c r="AG194" s="17"/>
      <c r="AH194" s="14" t="str">
        <f aca="false">IF(B194="","",(R194&lt;=Budget)+(S194&lt;Deaths_Appetite)+(V194&lt;=Carbon_Budget)+(Y194=0)+(AB194&gt;=Recall_Target*100)+(AE194=0))</f>
        <v/>
      </c>
      <c r="AI194" s="14" t="str">
        <f aca="false">IF(B194="","",(R194&lt;=Budget)+(T194&lt;Deaths_Appetite)+(W194&lt;=Carbon_Budget)+(Z194=0)+(AC194&gt;=Recall_Target*100)+(AF194=0))</f>
        <v/>
      </c>
      <c r="AJ194" s="14" t="str">
        <f aca="false">IF(B194="","",(R194&lt;=Budget)+(U194&lt;Deaths_Appetite)+(X194&lt;=Carbon_Budget)+(AA194=0)+(AD194&gt;=Recall_Target*100)+(AG194=0))</f>
        <v/>
      </c>
    </row>
    <row r="195" customFormat="false" ht="15" hidden="false" customHeight="false" outlineLevel="0" collapsed="false">
      <c r="A195" s="7" t="str">
        <f aca="false">IF(B195="","","S"&amp;TEXT(ROW()-4,"00"))</f>
        <v/>
      </c>
      <c r="B195" s="14"/>
      <c r="C195" s="14"/>
      <c r="D195" s="14"/>
      <c r="E195" s="14"/>
      <c r="F195" s="14"/>
      <c r="G195" s="14"/>
      <c r="H195" s="14"/>
      <c r="I195" s="14"/>
      <c r="J195" s="14"/>
      <c r="K195" s="14"/>
      <c r="L195" s="15"/>
      <c r="M195" s="15"/>
      <c r="N195" s="15"/>
      <c r="O195" s="15"/>
      <c r="P195" s="15"/>
      <c r="Q195" s="15"/>
      <c r="R195" s="16"/>
      <c r="S195" s="17"/>
      <c r="T195" s="17"/>
      <c r="U195" s="17"/>
      <c r="V195" s="18"/>
      <c r="W195" s="18"/>
      <c r="X195" s="18"/>
      <c r="Y195" s="17"/>
      <c r="Z195" s="17"/>
      <c r="AA195" s="17"/>
      <c r="AB195" s="17"/>
      <c r="AC195" s="17"/>
      <c r="AD195" s="17"/>
      <c r="AE195" s="17"/>
      <c r="AF195" s="17"/>
      <c r="AG195" s="17"/>
      <c r="AH195" s="14" t="str">
        <f aca="false">IF(B195="","",(R195&lt;=Budget)+(S195&lt;Deaths_Appetite)+(V195&lt;=Carbon_Budget)+(Y195=0)+(AB195&gt;=Recall_Target*100)+(AE195=0))</f>
        <v/>
      </c>
      <c r="AI195" s="14" t="str">
        <f aca="false">IF(B195="","",(R195&lt;=Budget)+(T195&lt;Deaths_Appetite)+(W195&lt;=Carbon_Budget)+(Z195=0)+(AC195&gt;=Recall_Target*100)+(AF195=0))</f>
        <v/>
      </c>
      <c r="AJ195" s="14" t="str">
        <f aca="false">IF(B195="","",(R195&lt;=Budget)+(U195&lt;Deaths_Appetite)+(X195&lt;=Carbon_Budget)+(AA195=0)+(AD195&gt;=Recall_Target*100)+(AG195=0))</f>
        <v/>
      </c>
    </row>
    <row r="196" customFormat="false" ht="15" hidden="false" customHeight="false" outlineLevel="0" collapsed="false">
      <c r="A196" s="7" t="str">
        <f aca="false">IF(B196="","","S"&amp;TEXT(ROW()-4,"00"))</f>
        <v/>
      </c>
      <c r="B196" s="14"/>
      <c r="C196" s="14"/>
      <c r="D196" s="14"/>
      <c r="E196" s="14"/>
      <c r="F196" s="14"/>
      <c r="G196" s="14"/>
      <c r="H196" s="14"/>
      <c r="I196" s="14"/>
      <c r="J196" s="14"/>
      <c r="K196" s="14"/>
      <c r="L196" s="15"/>
      <c r="M196" s="15"/>
      <c r="N196" s="15"/>
      <c r="O196" s="15"/>
      <c r="P196" s="15"/>
      <c r="Q196" s="15"/>
      <c r="R196" s="16"/>
      <c r="S196" s="17"/>
      <c r="T196" s="17"/>
      <c r="U196" s="17"/>
      <c r="V196" s="18"/>
      <c r="W196" s="18"/>
      <c r="X196" s="18"/>
      <c r="Y196" s="17"/>
      <c r="Z196" s="17"/>
      <c r="AA196" s="17"/>
      <c r="AB196" s="17"/>
      <c r="AC196" s="17"/>
      <c r="AD196" s="17"/>
      <c r="AE196" s="17"/>
      <c r="AF196" s="17"/>
      <c r="AG196" s="17"/>
      <c r="AH196" s="14" t="str">
        <f aca="false">IF(B196="","",(R196&lt;=Budget)+(S196&lt;Deaths_Appetite)+(V196&lt;=Carbon_Budget)+(Y196=0)+(AB196&gt;=Recall_Target*100)+(AE196=0))</f>
        <v/>
      </c>
      <c r="AI196" s="14" t="str">
        <f aca="false">IF(B196="","",(R196&lt;=Budget)+(T196&lt;Deaths_Appetite)+(W196&lt;=Carbon_Budget)+(Z196=0)+(AC196&gt;=Recall_Target*100)+(AF196=0))</f>
        <v/>
      </c>
      <c r="AJ196" s="14" t="str">
        <f aca="false">IF(B196="","",(R196&lt;=Budget)+(U196&lt;Deaths_Appetite)+(X196&lt;=Carbon_Budget)+(AA196=0)+(AD196&gt;=Recall_Target*100)+(AG196=0))</f>
        <v/>
      </c>
    </row>
    <row r="197" customFormat="false" ht="15" hidden="false" customHeight="false" outlineLevel="0" collapsed="false">
      <c r="A197" s="7" t="str">
        <f aca="false">IF(B197="","","S"&amp;TEXT(ROW()-4,"00"))</f>
        <v/>
      </c>
      <c r="B197" s="14"/>
      <c r="C197" s="14"/>
      <c r="D197" s="14"/>
      <c r="E197" s="14"/>
      <c r="F197" s="14"/>
      <c r="G197" s="14"/>
      <c r="H197" s="14"/>
      <c r="I197" s="14"/>
      <c r="J197" s="14"/>
      <c r="K197" s="14"/>
      <c r="L197" s="15"/>
      <c r="M197" s="15"/>
      <c r="N197" s="15"/>
      <c r="O197" s="15"/>
      <c r="P197" s="15"/>
      <c r="Q197" s="15"/>
      <c r="R197" s="16"/>
      <c r="S197" s="17"/>
      <c r="T197" s="17"/>
      <c r="U197" s="17"/>
      <c r="V197" s="18"/>
      <c r="W197" s="18"/>
      <c r="X197" s="18"/>
      <c r="Y197" s="17"/>
      <c r="Z197" s="17"/>
      <c r="AA197" s="17"/>
      <c r="AB197" s="17"/>
      <c r="AC197" s="17"/>
      <c r="AD197" s="17"/>
      <c r="AE197" s="17"/>
      <c r="AF197" s="17"/>
      <c r="AG197" s="17"/>
      <c r="AH197" s="14" t="str">
        <f aca="false">IF(B197="","",(R197&lt;=Budget)+(S197&lt;Deaths_Appetite)+(V197&lt;=Carbon_Budget)+(Y197=0)+(AB197&gt;=Recall_Target*100)+(AE197=0))</f>
        <v/>
      </c>
      <c r="AI197" s="14" t="str">
        <f aca="false">IF(B197="","",(R197&lt;=Budget)+(T197&lt;Deaths_Appetite)+(W197&lt;=Carbon_Budget)+(Z197=0)+(AC197&gt;=Recall_Target*100)+(AF197=0))</f>
        <v/>
      </c>
      <c r="AJ197" s="14" t="str">
        <f aca="false">IF(B197="","",(R197&lt;=Budget)+(U197&lt;Deaths_Appetite)+(X197&lt;=Carbon_Budget)+(AA197=0)+(AD197&gt;=Recall_Target*100)+(AG197=0))</f>
        <v/>
      </c>
    </row>
    <row r="198" customFormat="false" ht="15" hidden="false" customHeight="false" outlineLevel="0" collapsed="false">
      <c r="A198" s="7" t="str">
        <f aca="false">IF(B198="","","S"&amp;TEXT(ROW()-4,"00"))</f>
        <v/>
      </c>
      <c r="B198" s="14"/>
      <c r="C198" s="14"/>
      <c r="D198" s="14"/>
      <c r="E198" s="14"/>
      <c r="F198" s="14"/>
      <c r="G198" s="14"/>
      <c r="H198" s="14"/>
      <c r="I198" s="14"/>
      <c r="J198" s="14"/>
      <c r="K198" s="14"/>
      <c r="L198" s="15"/>
      <c r="M198" s="15"/>
      <c r="N198" s="15"/>
      <c r="O198" s="15"/>
      <c r="P198" s="15"/>
      <c r="Q198" s="15"/>
      <c r="R198" s="16"/>
      <c r="S198" s="17"/>
      <c r="T198" s="17"/>
      <c r="U198" s="17"/>
      <c r="V198" s="18"/>
      <c r="W198" s="18"/>
      <c r="X198" s="18"/>
      <c r="Y198" s="17"/>
      <c r="Z198" s="17"/>
      <c r="AA198" s="17"/>
      <c r="AB198" s="17"/>
      <c r="AC198" s="17"/>
      <c r="AD198" s="17"/>
      <c r="AE198" s="17"/>
      <c r="AF198" s="17"/>
      <c r="AG198" s="17"/>
      <c r="AH198" s="14" t="str">
        <f aca="false">IF(B198="","",(R198&lt;=Budget)+(S198&lt;Deaths_Appetite)+(V198&lt;=Carbon_Budget)+(Y198=0)+(AB198&gt;=Recall_Target*100)+(AE198=0))</f>
        <v/>
      </c>
      <c r="AI198" s="14" t="str">
        <f aca="false">IF(B198="","",(R198&lt;=Budget)+(T198&lt;Deaths_Appetite)+(W198&lt;=Carbon_Budget)+(Z198=0)+(AC198&gt;=Recall_Target*100)+(AF198=0))</f>
        <v/>
      </c>
      <c r="AJ198" s="14" t="str">
        <f aca="false">IF(B198="","",(R198&lt;=Budget)+(U198&lt;Deaths_Appetite)+(X198&lt;=Carbon_Budget)+(AA198=0)+(AD198&gt;=Recall_Target*100)+(AG198=0))</f>
        <v/>
      </c>
    </row>
    <row r="199" customFormat="false" ht="15" hidden="false" customHeight="false" outlineLevel="0" collapsed="false">
      <c r="A199" s="7" t="str">
        <f aca="false">IF(B199="","","S"&amp;TEXT(ROW()-4,"00"))</f>
        <v/>
      </c>
      <c r="B199" s="14"/>
      <c r="C199" s="14"/>
      <c r="D199" s="14"/>
      <c r="E199" s="14"/>
      <c r="F199" s="14"/>
      <c r="G199" s="14"/>
      <c r="H199" s="14"/>
      <c r="I199" s="14"/>
      <c r="J199" s="14"/>
      <c r="K199" s="14"/>
      <c r="L199" s="15"/>
      <c r="M199" s="15"/>
      <c r="N199" s="15"/>
      <c r="O199" s="15"/>
      <c r="P199" s="15"/>
      <c r="Q199" s="15"/>
      <c r="R199" s="16"/>
      <c r="S199" s="17"/>
      <c r="T199" s="17"/>
      <c r="U199" s="17"/>
      <c r="V199" s="18"/>
      <c r="W199" s="18"/>
      <c r="X199" s="18"/>
      <c r="Y199" s="17"/>
      <c r="Z199" s="17"/>
      <c r="AA199" s="17"/>
      <c r="AB199" s="17"/>
      <c r="AC199" s="17"/>
      <c r="AD199" s="17"/>
      <c r="AE199" s="17"/>
      <c r="AF199" s="17"/>
      <c r="AG199" s="17"/>
      <c r="AH199" s="14" t="str">
        <f aca="false">IF(B199="","",(R199&lt;=Budget)+(S199&lt;Deaths_Appetite)+(V199&lt;=Carbon_Budget)+(Y199=0)+(AB199&gt;=Recall_Target*100)+(AE199=0))</f>
        <v/>
      </c>
      <c r="AI199" s="14" t="str">
        <f aca="false">IF(B199="","",(R199&lt;=Budget)+(T199&lt;Deaths_Appetite)+(W199&lt;=Carbon_Budget)+(Z199=0)+(AC199&gt;=Recall_Target*100)+(AF199=0))</f>
        <v/>
      </c>
      <c r="AJ199" s="14" t="str">
        <f aca="false">IF(B199="","",(R199&lt;=Budget)+(U199&lt;Deaths_Appetite)+(X199&lt;=Carbon_Budget)+(AA199=0)+(AD199&gt;=Recall_Target*100)+(AG199=0))</f>
        <v/>
      </c>
    </row>
    <row r="200" customFormat="false" ht="15" hidden="false" customHeight="false" outlineLevel="0" collapsed="false">
      <c r="A200" s="7" t="str">
        <f aca="false">IF(B200="","","S"&amp;TEXT(ROW()-4,"00"))</f>
        <v/>
      </c>
      <c r="B200" s="14"/>
      <c r="C200" s="14"/>
      <c r="D200" s="14"/>
      <c r="E200" s="14"/>
      <c r="F200" s="14"/>
      <c r="G200" s="14"/>
      <c r="H200" s="14"/>
      <c r="I200" s="14"/>
      <c r="J200" s="14"/>
      <c r="K200" s="14"/>
      <c r="L200" s="15"/>
      <c r="M200" s="15"/>
      <c r="N200" s="15"/>
      <c r="O200" s="15"/>
      <c r="P200" s="15"/>
      <c r="Q200" s="15"/>
      <c r="R200" s="16"/>
      <c r="S200" s="17"/>
      <c r="T200" s="17"/>
      <c r="U200" s="17"/>
      <c r="V200" s="18"/>
      <c r="W200" s="18"/>
      <c r="X200" s="18"/>
      <c r="Y200" s="17"/>
      <c r="Z200" s="17"/>
      <c r="AA200" s="17"/>
      <c r="AB200" s="17"/>
      <c r="AC200" s="17"/>
      <c r="AD200" s="17"/>
      <c r="AE200" s="17"/>
      <c r="AF200" s="17"/>
      <c r="AG200" s="17"/>
      <c r="AH200" s="14" t="str">
        <f aca="false">IF(B200="","",(R200&lt;=Budget)+(S200&lt;Deaths_Appetite)+(V200&lt;=Carbon_Budget)+(Y200=0)+(AB200&gt;=Recall_Target*100)+(AE200=0))</f>
        <v/>
      </c>
      <c r="AI200" s="14" t="str">
        <f aca="false">IF(B200="","",(R200&lt;=Budget)+(T200&lt;Deaths_Appetite)+(W200&lt;=Carbon_Budget)+(Z200=0)+(AC200&gt;=Recall_Target*100)+(AF200=0))</f>
        <v/>
      </c>
      <c r="AJ200" s="14" t="str">
        <f aca="false">IF(B200="","",(R200&lt;=Budget)+(U200&lt;Deaths_Appetite)+(X200&lt;=Carbon_Budget)+(AA200=0)+(AD200&gt;=Recall_Target*100)+(AG200=0))</f>
        <v/>
      </c>
    </row>
    <row r="201" customFormat="false" ht="15" hidden="false" customHeight="false" outlineLevel="0" collapsed="false">
      <c r="A201" s="7" t="str">
        <f aca="false">IF(B201="","","S"&amp;TEXT(ROW()-4,"00"))</f>
        <v/>
      </c>
      <c r="B201" s="14"/>
      <c r="C201" s="14"/>
      <c r="D201" s="14"/>
      <c r="E201" s="14"/>
      <c r="F201" s="14"/>
      <c r="G201" s="14"/>
      <c r="H201" s="14"/>
      <c r="I201" s="14"/>
      <c r="J201" s="14"/>
      <c r="K201" s="14"/>
      <c r="L201" s="15"/>
      <c r="M201" s="15"/>
      <c r="N201" s="15"/>
      <c r="O201" s="15"/>
      <c r="P201" s="15"/>
      <c r="Q201" s="15"/>
      <c r="R201" s="16"/>
      <c r="S201" s="17"/>
      <c r="T201" s="17"/>
      <c r="U201" s="17"/>
      <c r="V201" s="18"/>
      <c r="W201" s="18"/>
      <c r="X201" s="18"/>
      <c r="Y201" s="17"/>
      <c r="Z201" s="17"/>
      <c r="AA201" s="17"/>
      <c r="AB201" s="17"/>
      <c r="AC201" s="17"/>
      <c r="AD201" s="17"/>
      <c r="AE201" s="17"/>
      <c r="AF201" s="17"/>
      <c r="AG201" s="17"/>
      <c r="AH201" s="14" t="str">
        <f aca="false">IF(B201="","",(R201&lt;=Budget)+(S201&lt;Deaths_Appetite)+(V201&lt;=Carbon_Budget)+(Y201=0)+(AB201&gt;=Recall_Target*100)+(AE201=0))</f>
        <v/>
      </c>
      <c r="AI201" s="14" t="str">
        <f aca="false">IF(B201="","",(R201&lt;=Budget)+(T201&lt;Deaths_Appetite)+(W201&lt;=Carbon_Budget)+(Z201=0)+(AC201&gt;=Recall_Target*100)+(AF201=0))</f>
        <v/>
      </c>
      <c r="AJ201" s="14" t="str">
        <f aca="false">IF(B201="","",(R201&lt;=Budget)+(U201&lt;Deaths_Appetite)+(X201&lt;=Carbon_Budget)+(AA201=0)+(AD201&gt;=Recall_Target*100)+(AG201=0))</f>
        <v/>
      </c>
    </row>
    <row r="202" customFormat="false" ht="15" hidden="false" customHeight="false" outlineLevel="0" collapsed="false">
      <c r="A202" s="7" t="str">
        <f aca="false">IF(B202="","","S"&amp;TEXT(ROW()-4,"00"))</f>
        <v/>
      </c>
      <c r="B202" s="14"/>
      <c r="C202" s="14"/>
      <c r="D202" s="14"/>
      <c r="E202" s="14"/>
      <c r="F202" s="14"/>
      <c r="G202" s="14"/>
      <c r="H202" s="14"/>
      <c r="I202" s="14"/>
      <c r="J202" s="14"/>
      <c r="K202" s="14"/>
      <c r="L202" s="15"/>
      <c r="M202" s="15"/>
      <c r="N202" s="15"/>
      <c r="O202" s="15"/>
      <c r="P202" s="15"/>
      <c r="Q202" s="15"/>
      <c r="R202" s="16"/>
      <c r="S202" s="17"/>
      <c r="T202" s="17"/>
      <c r="U202" s="17"/>
      <c r="V202" s="18"/>
      <c r="W202" s="18"/>
      <c r="X202" s="18"/>
      <c r="Y202" s="17"/>
      <c r="Z202" s="17"/>
      <c r="AA202" s="17"/>
      <c r="AB202" s="17"/>
      <c r="AC202" s="17"/>
      <c r="AD202" s="17"/>
      <c r="AE202" s="17"/>
      <c r="AF202" s="17"/>
      <c r="AG202" s="17"/>
      <c r="AH202" s="14" t="str">
        <f aca="false">IF(B202="","",(R202&lt;=Budget)+(S202&lt;Deaths_Appetite)+(V202&lt;=Carbon_Budget)+(Y202=0)+(AB202&gt;=Recall_Target*100)+(AE202=0))</f>
        <v/>
      </c>
      <c r="AI202" s="14" t="str">
        <f aca="false">IF(B202="","",(R202&lt;=Budget)+(T202&lt;Deaths_Appetite)+(W202&lt;=Carbon_Budget)+(Z202=0)+(AC202&gt;=Recall_Target*100)+(AF202=0))</f>
        <v/>
      </c>
      <c r="AJ202" s="14" t="str">
        <f aca="false">IF(B202="","",(R202&lt;=Budget)+(U202&lt;Deaths_Appetite)+(X202&lt;=Carbon_Budget)+(AA202=0)+(AD202&gt;=Recall_Target*100)+(AG202=0))</f>
        <v/>
      </c>
    </row>
    <row r="203" customFormat="false" ht="15" hidden="false" customHeight="false" outlineLevel="0" collapsed="false">
      <c r="A203" s="7" t="str">
        <f aca="false">IF(B203="","","S"&amp;TEXT(ROW()-4,"00"))</f>
        <v/>
      </c>
      <c r="B203" s="14"/>
      <c r="C203" s="14"/>
      <c r="D203" s="14"/>
      <c r="E203" s="14"/>
      <c r="F203" s="14"/>
      <c r="G203" s="14"/>
      <c r="H203" s="14"/>
      <c r="I203" s="14"/>
      <c r="J203" s="14"/>
      <c r="K203" s="14"/>
      <c r="L203" s="15"/>
      <c r="M203" s="15"/>
      <c r="N203" s="15"/>
      <c r="O203" s="15"/>
      <c r="P203" s="15"/>
      <c r="Q203" s="15"/>
      <c r="R203" s="16"/>
      <c r="S203" s="17"/>
      <c r="T203" s="17"/>
      <c r="U203" s="17"/>
      <c r="V203" s="18"/>
      <c r="W203" s="18"/>
      <c r="X203" s="18"/>
      <c r="Y203" s="17"/>
      <c r="Z203" s="17"/>
      <c r="AA203" s="17"/>
      <c r="AB203" s="17"/>
      <c r="AC203" s="17"/>
      <c r="AD203" s="17"/>
      <c r="AE203" s="17"/>
      <c r="AF203" s="17"/>
      <c r="AG203" s="17"/>
      <c r="AH203" s="14" t="str">
        <f aca="false">IF(B203="","",(R203&lt;=Budget)+(S203&lt;Deaths_Appetite)+(V203&lt;=Carbon_Budget)+(Y203=0)+(AB203&gt;=Recall_Target*100)+(AE203=0))</f>
        <v/>
      </c>
      <c r="AI203" s="14" t="str">
        <f aca="false">IF(B203="","",(R203&lt;=Budget)+(T203&lt;Deaths_Appetite)+(W203&lt;=Carbon_Budget)+(Z203=0)+(AC203&gt;=Recall_Target*100)+(AF203=0))</f>
        <v/>
      </c>
      <c r="AJ203" s="14" t="str">
        <f aca="false">IF(B203="","",(R203&lt;=Budget)+(U203&lt;Deaths_Appetite)+(X203&lt;=Carbon_Budget)+(AA203=0)+(AD203&gt;=Recall_Target*100)+(AG203=0))</f>
        <v/>
      </c>
    </row>
    <row r="204" customFormat="false" ht="15" hidden="false" customHeight="false" outlineLevel="0" collapsed="false">
      <c r="A204" s="7" t="str">
        <f aca="false">IF(B204="","","S"&amp;TEXT(ROW()-4,"00"))</f>
        <v/>
      </c>
      <c r="B204" s="14"/>
      <c r="C204" s="14"/>
      <c r="D204" s="14"/>
      <c r="E204" s="14"/>
      <c r="F204" s="14"/>
      <c r="G204" s="14"/>
      <c r="H204" s="14"/>
      <c r="I204" s="14"/>
      <c r="J204" s="14"/>
      <c r="K204" s="14"/>
      <c r="L204" s="15"/>
      <c r="M204" s="15"/>
      <c r="N204" s="15"/>
      <c r="O204" s="15"/>
      <c r="P204" s="15"/>
      <c r="Q204" s="15"/>
      <c r="R204" s="16"/>
      <c r="S204" s="17"/>
      <c r="T204" s="17"/>
      <c r="U204" s="17"/>
      <c r="V204" s="18"/>
      <c r="W204" s="18"/>
      <c r="X204" s="18"/>
      <c r="Y204" s="17"/>
      <c r="Z204" s="17"/>
      <c r="AA204" s="17"/>
      <c r="AB204" s="17"/>
      <c r="AC204" s="17"/>
      <c r="AD204" s="17"/>
      <c r="AE204" s="17"/>
      <c r="AF204" s="17"/>
      <c r="AG204" s="17"/>
      <c r="AH204" s="14" t="str">
        <f aca="false">IF(B204="","",(R204&lt;=Budget)+(S204&lt;Deaths_Appetite)+(V204&lt;=Carbon_Budget)+(Y204=0)+(AB204&gt;=Recall_Target*100)+(AE204=0))</f>
        <v/>
      </c>
      <c r="AI204" s="14" t="str">
        <f aca="false">IF(B204="","",(R204&lt;=Budget)+(T204&lt;Deaths_Appetite)+(W204&lt;=Carbon_Budget)+(Z204=0)+(AC204&gt;=Recall_Target*100)+(AF204=0))</f>
        <v/>
      </c>
      <c r="AJ204" s="14" t="str">
        <f aca="false">IF(B204="","",(R204&lt;=Budget)+(U204&lt;Deaths_Appetite)+(X204&lt;=Carbon_Budget)+(AA204=0)+(AD204&gt;=Recall_Target*100)+(AG204=0))</f>
        <v/>
      </c>
    </row>
  </sheetData>
  <conditionalFormatting sqref="R5:R204">
    <cfRule type="expression" priority="2" aboveAverage="0" equalAverage="0" bottom="0" percent="0" rank="0" text="" dxfId="0">
      <formula>AND($B5&lt;&gt;"",R5&gt;Budget)</formula>
    </cfRule>
    <cfRule type="expression" priority="3" aboveAverage="0" equalAverage="0" bottom="0" percent="0" rank="0" text="" dxfId="1">
      <formula>AND($B5&lt;&gt;"",NOT(R5&gt;Budget))</formula>
    </cfRule>
  </conditionalFormatting>
  <conditionalFormatting sqref="S5:U204">
    <cfRule type="expression" priority="4" aboveAverage="0" equalAverage="0" bottom="0" percent="0" rank="0" text="" dxfId="0">
      <formula>AND($B5&lt;&gt;"",S5&gt;=Deaths_Appetite)</formula>
    </cfRule>
    <cfRule type="expression" priority="5" aboveAverage="0" equalAverage="0" bottom="0" percent="0" rank="0" text="" dxfId="1">
      <formula>AND($B5&lt;&gt;"",NOT(S5&gt;=Deaths_Appetite))</formula>
    </cfRule>
  </conditionalFormatting>
  <conditionalFormatting sqref="V5:X204">
    <cfRule type="expression" priority="6" aboveAverage="0" equalAverage="0" bottom="0" percent="0" rank="0" text="" dxfId="0">
      <formula>AND($B5&lt;&gt;"",V5&gt;Carbon_Budget)</formula>
    </cfRule>
    <cfRule type="expression" priority="7" aboveAverage="0" equalAverage="0" bottom="0" percent="0" rank="0" text="" dxfId="1">
      <formula>AND($B5&lt;&gt;"",NOT(V5&gt;Carbon_Budget))</formula>
    </cfRule>
  </conditionalFormatting>
  <conditionalFormatting sqref="Y5:AA204">
    <cfRule type="expression" priority="8" aboveAverage="0" equalAverage="0" bottom="0" percent="0" rank="0" text="" dxfId="0">
      <formula>AND($B5&lt;&gt;"",Y5&lt;&gt;0)</formula>
    </cfRule>
    <cfRule type="expression" priority="9" aboveAverage="0" equalAverage="0" bottom="0" percent="0" rank="0" text="" dxfId="1">
      <formula>AND($B5&lt;&gt;"",NOT(Y5&lt;&gt;0))</formula>
    </cfRule>
  </conditionalFormatting>
  <conditionalFormatting sqref="AB5:AD204">
    <cfRule type="expression" priority="10" aboveAverage="0" equalAverage="0" bottom="0" percent="0" rank="0" text="" dxfId="0">
      <formula>AND($B5&lt;&gt;"",AB5&lt;Recall_Target*100)</formula>
    </cfRule>
    <cfRule type="expression" priority="11" aboveAverage="0" equalAverage="0" bottom="0" percent="0" rank="0" text="" dxfId="1">
      <formula>AND($B5&lt;&gt;"",NOT(AB5&lt;Recall_Target*100))</formula>
    </cfRule>
  </conditionalFormatting>
  <conditionalFormatting sqref="AE5:AG204">
    <cfRule type="expression" priority="12" aboveAverage="0" equalAverage="0" bottom="0" percent="0" rank="0" text="" dxfId="0">
      <formula>AND($B5&lt;&gt;"",AE5&lt;&gt;0)</formula>
    </cfRule>
    <cfRule type="expression" priority="13" aboveAverage="0" equalAverage="0" bottom="0" percent="0" rank="0" text="" dxfId="1">
      <formula>AND($B5&lt;&gt;"",NOT(AE5&lt;&gt;0))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AA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0"/>
    <col collapsed="false" customWidth="true" hidden="false" outlineLevel="0" max="4" min="4" style="0" width="9"/>
    <col collapsed="false" customWidth="true" hidden="false" outlineLevel="0" max="5" min="5" style="0" width="16"/>
    <col collapsed="false" customWidth="true" hidden="false" outlineLevel="0" max="27" min="6" style="0" width="9"/>
  </cols>
  <sheetData>
    <row r="1" customFormat="false" ht="19.7" hidden="false" customHeight="false" outlineLevel="0" collapsed="false">
      <c r="A1" s="1" t="s">
        <v>104</v>
      </c>
    </row>
    <row r="2" customFormat="false" ht="15" hidden="false" customHeight="false" outlineLevel="0" collapsed="false">
      <c r="A2" s="2" t="s">
        <v>105</v>
      </c>
    </row>
    <row r="4" customFormat="false" ht="15" hidden="false" customHeight="false" outlineLevel="0" collapsed="false">
      <c r="B4" s="5" t="s">
        <v>106</v>
      </c>
      <c r="C4" s="6"/>
      <c r="D4" s="6"/>
      <c r="E4" s="6"/>
      <c r="F4" s="6"/>
      <c r="G4" s="6"/>
      <c r="H4" s="6"/>
      <c r="I4" s="6"/>
    </row>
    <row r="5" customFormat="false" ht="23.85" hidden="false" customHeight="false" outlineLevel="0" collapsed="false">
      <c r="B5" s="9" t="s">
        <v>107</v>
      </c>
      <c r="C5" s="9" t="s">
        <v>108</v>
      </c>
      <c r="D5" s="9" t="s">
        <v>109</v>
      </c>
      <c r="F5" s="9" t="s">
        <v>110</v>
      </c>
      <c r="G5" s="9" t="s">
        <v>111</v>
      </c>
    </row>
    <row r="6" customFormat="false" ht="15" hidden="false" customHeight="true" outlineLevel="0" collapsed="false">
      <c r="B6" s="14" t="s">
        <v>112</v>
      </c>
      <c r="C6" s="19" t="str">
        <f aca="false">"&lt; "&amp;Deaths_Appetite</f>
        <v>&lt; 150</v>
      </c>
      <c r="D6" s="20" t="n">
        <v>1</v>
      </c>
      <c r="F6" s="14" t="s">
        <v>113</v>
      </c>
      <c r="G6" s="21" t="n">
        <v>0.5</v>
      </c>
      <c r="I6" s="22" t="s">
        <v>114</v>
      </c>
      <c r="J6" s="22"/>
      <c r="K6" s="22"/>
      <c r="L6" s="22"/>
      <c r="M6" s="22"/>
      <c r="N6" s="22"/>
      <c r="O6" s="22"/>
      <c r="P6" s="22"/>
    </row>
    <row r="7" customFormat="false" ht="15" hidden="false" customHeight="false" outlineLevel="0" collapsed="false">
      <c r="B7" s="14" t="s">
        <v>115</v>
      </c>
      <c r="C7" s="19" t="str">
        <f aca="false">"≤ "&amp;Budget</f>
        <v>≤ 50</v>
      </c>
      <c r="D7" s="20" t="n">
        <v>1</v>
      </c>
      <c r="F7" s="14" t="s">
        <v>116</v>
      </c>
      <c r="G7" s="21" t="n">
        <v>0.3</v>
      </c>
      <c r="I7" s="22"/>
      <c r="J7" s="22"/>
      <c r="K7" s="22"/>
      <c r="L7" s="22"/>
      <c r="M7" s="22"/>
      <c r="N7" s="22"/>
      <c r="O7" s="22"/>
      <c r="P7" s="22"/>
    </row>
    <row r="8" customFormat="false" ht="15" hidden="false" customHeight="false" outlineLevel="0" collapsed="false">
      <c r="B8" s="14" t="s">
        <v>117</v>
      </c>
      <c r="C8" s="19" t="str">
        <f aca="false">"≤ "&amp;TEXT(Carbon_Budget,"#,##0")</f>
        <v>≤ 20,000</v>
      </c>
      <c r="D8" s="20" t="n">
        <v>1</v>
      </c>
      <c r="F8" s="14" t="s">
        <v>118</v>
      </c>
      <c r="G8" s="21" t="n">
        <v>0.2</v>
      </c>
      <c r="I8" s="22"/>
      <c r="J8" s="22"/>
      <c r="K8" s="22"/>
      <c r="L8" s="22"/>
      <c r="M8" s="22"/>
      <c r="N8" s="22"/>
      <c r="O8" s="22"/>
      <c r="P8" s="22"/>
    </row>
    <row r="9" customFormat="false" ht="15" hidden="false" customHeight="false" outlineLevel="0" collapsed="false">
      <c r="B9" s="14" t="s">
        <v>119</v>
      </c>
      <c r="C9" s="19" t="str">
        <f aca="false">"0"</f>
        <v>0</v>
      </c>
      <c r="D9" s="20" t="n">
        <v>1</v>
      </c>
      <c r="F9" s="14" t="s">
        <v>120</v>
      </c>
      <c r="G9" s="23" t="n">
        <f aca="false">SUM(G6:G8)</f>
        <v>1</v>
      </c>
    </row>
    <row r="10" customFormat="false" ht="15" hidden="false" customHeight="false" outlineLevel="0" collapsed="false">
      <c r="B10" s="14" t="s">
        <v>121</v>
      </c>
      <c r="C10" s="19" t="str">
        <f aca="false">"≥ "&amp;Recall_Target*100</f>
        <v>≥ 80</v>
      </c>
      <c r="D10" s="20" t="n">
        <v>1</v>
      </c>
    </row>
    <row r="11" customFormat="false" ht="15" hidden="false" customHeight="false" outlineLevel="0" collapsed="false">
      <c r="B11" s="14" t="s">
        <v>122</v>
      </c>
      <c r="C11" s="19" t="str">
        <f aca="false">"0"</f>
        <v>0</v>
      </c>
      <c r="D11" s="20" t="n">
        <v>1</v>
      </c>
    </row>
    <row r="13" customFormat="false" ht="15" hidden="false" customHeight="false" outlineLevel="0" collapsed="false">
      <c r="B13" s="5" t="s">
        <v>123</v>
      </c>
      <c r="C13" s="6"/>
      <c r="D13" s="6"/>
      <c r="E13" s="6"/>
      <c r="F13" s="6"/>
      <c r="G13" s="6"/>
      <c r="H13" s="6"/>
      <c r="I13" s="6"/>
      <c r="J13" s="6"/>
      <c r="K13" s="6"/>
      <c r="L13" s="6"/>
      <c r="M13" s="6"/>
      <c r="N13" s="6"/>
      <c r="O13" s="6"/>
      <c r="P13" s="6"/>
      <c r="Q13" s="6"/>
      <c r="R13" s="6"/>
      <c r="S13" s="6"/>
      <c r="T13" s="6"/>
      <c r="U13" s="6"/>
      <c r="V13" s="6"/>
      <c r="W13" s="6"/>
      <c r="X13" s="6"/>
      <c r="Y13" s="6"/>
      <c r="Z13" s="6"/>
      <c r="AA13" s="6"/>
    </row>
    <row r="14" customFormat="false" ht="30" hidden="false" customHeight="true" outlineLevel="0" collapsed="false">
      <c r="B14" s="9" t="s">
        <v>124</v>
      </c>
      <c r="C14" s="9" t="s">
        <v>125</v>
      </c>
      <c r="D14" s="9" t="s">
        <v>63</v>
      </c>
      <c r="E14" s="9" t="s">
        <v>66</v>
      </c>
      <c r="F14" s="9" t="s">
        <v>79</v>
      </c>
      <c r="G14" s="9" t="s">
        <v>126</v>
      </c>
      <c r="H14" s="9" t="s">
        <v>127</v>
      </c>
      <c r="I14" s="9" t="s">
        <v>128</v>
      </c>
      <c r="J14" s="9" t="s">
        <v>129</v>
      </c>
      <c r="K14" s="9" t="s">
        <v>130</v>
      </c>
      <c r="L14" s="9" t="s">
        <v>131</v>
      </c>
      <c r="M14" s="9" t="s">
        <v>132</v>
      </c>
      <c r="N14" s="9" t="s">
        <v>133</v>
      </c>
      <c r="O14" s="9" t="s">
        <v>134</v>
      </c>
      <c r="P14" s="9" t="s">
        <v>135</v>
      </c>
      <c r="Q14" s="9" t="s">
        <v>136</v>
      </c>
      <c r="R14" s="9" t="s">
        <v>137</v>
      </c>
      <c r="S14" s="9" t="s">
        <v>138</v>
      </c>
      <c r="T14" s="9" t="s">
        <v>139</v>
      </c>
      <c r="U14" s="9" t="s">
        <v>140</v>
      </c>
      <c r="V14" s="9" t="s">
        <v>141</v>
      </c>
      <c r="W14" s="9" t="s">
        <v>142</v>
      </c>
      <c r="X14" s="9" t="s">
        <v>143</v>
      </c>
      <c r="Y14" s="9" t="s">
        <v>144</v>
      </c>
      <c r="Z14" s="9" t="s">
        <v>145</v>
      </c>
      <c r="AA14" s="9" t="s">
        <v>146</v>
      </c>
    </row>
    <row r="15" customFormat="false" ht="15" hidden="false" customHeight="false" outlineLevel="0" collapsed="false">
      <c r="B15" s="24" t="s">
        <v>147</v>
      </c>
      <c r="C15" s="14" t="str">
        <f aca="false">IF($B15="","",IFERROR(INDEX(Scenario_Log!$C$5:$C$204,MATCH($B15,Scenario_Log!$A$5:$A$204,0)),"ID not found"))</f>
        <v>Baseline: no portfolio</v>
      </c>
      <c r="D15" s="14" t="str">
        <f aca="false">IF($B15="","",IFERROR(INDEX(Scenario_Log!$B$5:$B$204,MATCH($B15,Scenario_Log!$A$5:$A$204,0)),"ID not found"))</f>
        <v>Example</v>
      </c>
      <c r="E15" s="14" t="str">
        <f aca="false">IF($B15="","",IFERROR(INDEX(Scenario_Log!$E$5:$E$204,MATCH($B15,Scenario_Log!$A$5:$A$204,0)),"ID not found"))</f>
        <v>Baseline</v>
      </c>
      <c r="F15" s="16" t="n">
        <f aca="false">IF($B15="","",IFERROR(INDEX(Scenario_Log!$R$5:$R$204,MATCH($B15,Scenario_Log!$A$5:$A$204,0)),"ID not found"))</f>
        <v>0</v>
      </c>
      <c r="G15" s="17" t="n">
        <f aca="false">IF($B15="","",IFERROR(INDEX(Scenario_Log!$S$5:$S$204,MATCH($B15,Scenario_Log!$A$5:$A$204,0)),"ID not found"))</f>
        <v>387</v>
      </c>
      <c r="H15" s="17" t="n">
        <f aca="false">IF($B15="","",IFERROR(INDEX(Scenario_Log!$T$5:$T$204,MATCH($B15,Scenario_Log!$A$5:$A$204,0)),"ID not found"))</f>
        <v>528</v>
      </c>
      <c r="I15" s="17" t="n">
        <f aca="false">IF($B15="","",IFERROR(INDEX(Scenario_Log!$U$5:$U$204,MATCH($B15,Scenario_Log!$A$5:$A$204,0)),"ID not found"))</f>
        <v>695</v>
      </c>
      <c r="J15" s="18" t="n">
        <f aca="false">IF($B15="","",IFERROR(INDEX(Scenario_Log!$V$5:$V$204,MATCH($B15,Scenario_Log!$A$5:$A$204,0)),"ID not found"))</f>
        <v>4160</v>
      </c>
      <c r="K15" s="18" t="n">
        <f aca="false">IF($B15="","",IFERROR(INDEX(Scenario_Log!$W$5:$W$204,MATCH($B15,Scenario_Log!$A$5:$A$204,0)),"ID not found"))</f>
        <v>6016</v>
      </c>
      <c r="L15" s="18" t="n">
        <f aca="false">IF($B15="","",IFERROR(INDEX(Scenario_Log!$X$5:$X$204,MATCH($B15,Scenario_Log!$A$5:$A$204,0)),"ID not found"))</f>
        <v>8466</v>
      </c>
      <c r="M15" s="17" t="n">
        <f aca="false">IF($B15="","",IFERROR(INDEX(Scenario_Log!$Y$5:$Y$204,MATCH($B15,Scenario_Log!$A$5:$A$204,0)),"ID not found"))</f>
        <v>19</v>
      </c>
      <c r="N15" s="17" t="n">
        <f aca="false">IF($B15="","",IFERROR(INDEX(Scenario_Log!$Z$5:$Z$204,MATCH($B15,Scenario_Log!$A$5:$A$204,0)),"ID not found"))</f>
        <v>15</v>
      </c>
      <c r="O15" s="17" t="n">
        <f aca="false">IF($B15="","",IFERROR(INDEX(Scenario_Log!$AA$5:$AA$204,MATCH($B15,Scenario_Log!$A$5:$A$204,0)),"ID not found"))</f>
        <v>22</v>
      </c>
      <c r="P15" s="17" t="n">
        <f aca="false">IF($B15="","",IFERROR(INDEX(Scenario_Log!$AB$5:$AB$204,MATCH($B15,Scenario_Log!$A$5:$A$204,0)),"ID not found"))</f>
        <v>37</v>
      </c>
      <c r="Q15" s="17" t="n">
        <f aca="false">IF($B15="","",IFERROR(INDEX(Scenario_Log!$AC$5:$AC$204,MATCH($B15,Scenario_Log!$A$5:$A$204,0)),"ID not found"))</f>
        <v>36</v>
      </c>
      <c r="R15" s="17" t="n">
        <f aca="false">IF($B15="","",IFERROR(INDEX(Scenario_Log!$AD$5:$AD$204,MATCH($B15,Scenario_Log!$A$5:$A$204,0)),"ID not found"))</f>
        <v>46</v>
      </c>
      <c r="S15" s="17" t="n">
        <f aca="false">IF($B15="","",IFERROR(INDEX(Scenario_Log!$AE$5:$AE$204,MATCH($B15,Scenario_Log!$A$5:$A$204,0)),"ID not found"))</f>
        <v>3</v>
      </c>
      <c r="T15" s="17" t="n">
        <f aca="false">IF($B15="","",IFERROR(INDEX(Scenario_Log!$AF$5:$AF$204,MATCH($B15,Scenario_Log!$A$5:$A$204,0)),"ID not found"))</f>
        <v>6</v>
      </c>
      <c r="U15" s="17" t="n">
        <f aca="false">IF($B15="","",IFERROR(INDEX(Scenario_Log!$AG$5:$AG$204,MATCH($B15,Scenario_Log!$A$5:$A$204,0)),"ID not found"))</f>
        <v>10</v>
      </c>
      <c r="V15" s="25" t="n">
        <f aca="false">IF($B15="","",IFERROR((F15&lt;=Budget)+(G15&lt;Deaths_Appetite)+(J15&lt;=Carbon_Budget)+(M15=0)+(P15&gt;=Recall_Target*100)+(S15=0),""))</f>
        <v>2</v>
      </c>
      <c r="W15" s="25" t="n">
        <f aca="false">IF($B15="","",IFERROR((F15&lt;=Budget)+(H15&lt;Deaths_Appetite)+(K15&lt;=Carbon_Budget)+(N15=0)+(Q15&gt;=Recall_Target*100)+(T15=0),""))</f>
        <v>2</v>
      </c>
      <c r="X15" s="25" t="n">
        <f aca="false">IF($B15="","",IFERROR((F15&lt;=Budget)+(I15&lt;Deaths_Appetite)+(L15&lt;=Carbon_Budget)+(O15=0)+(R15&gt;=Recall_Target*100)+(U15=0),""))</f>
        <v>2</v>
      </c>
      <c r="Y15" s="15" t="n">
        <f aca="false">IF($B15="","",IFERROR(($G$6*($D$6*(G15&lt;Deaths_Appetite)+$D$7*(F15&lt;=Budget)+$D$8*(J15&lt;=Carbon_Budget)+$D$9*(M15=0)+$D$10*(P15&gt;=Recall_Target*100)+$D$11*(S15=0))+$G$7*($D$6*(H15&lt;Deaths_Appetite)+$D$7*(F15&lt;=Budget)+$D$8*(K15&lt;=Carbon_Budget)+$D$9*(N15=0)+$D$10*(Q15&gt;=Recall_Target*100)+$D$11*(T15=0))+$G$8*($D$6*(I15&lt;Deaths_Appetite)+$D$7*(F15&lt;=Budget)+$D$8*(L15&lt;=Carbon_Budget)+$D$9*(O15=0)+$D$10*(R15&gt;=Recall_Target*100)+$D$11*(U15=0)))/(SUM($D$6:$D$11)*$G$9),""))</f>
        <v>0.333333333333333</v>
      </c>
      <c r="Z15" s="25" t="n">
        <f aca="false">IF($B15="","",COUNTIF($D$24:$D$29,$B15))</f>
        <v>0</v>
      </c>
      <c r="AA15" s="25" t="n">
        <f aca="false">IF(OR($B15="",NOT(ISNUMBER(Y15))),"",RANK(Y15,$Y$15:$Y$19))</f>
        <v>1</v>
      </c>
    </row>
    <row r="16" customFormat="false" ht="15" hidden="false" customHeight="false" outlineLevel="0" collapsed="false">
      <c r="B16" s="24" t="s">
        <v>148</v>
      </c>
      <c r="C16" s="14" t="str">
        <f aca="false">IF($B16="","",IFERROR(INDEX(Scenario_Log!$C$5:$C$204,MATCH($B16,Scenario_Log!$A$5:$A$204,0)),"ID not found"))</f>
        <v>Default portfolio: five measures at 50%, no AC</v>
      </c>
      <c r="D16" s="14" t="str">
        <f aca="false">IF($B16="","",IFERROR(INDEX(Scenario_Log!$B$5:$B$204,MATCH($B16,Scenario_Log!$A$5:$A$204,0)),"ID not found"))</f>
        <v>Example</v>
      </c>
      <c r="E16" s="14" t="str">
        <f aca="false">IF($B16="","",IFERROR(INDEX(Scenario_Log!$E$5:$E$204,MATCH($B16,Scenario_Log!$A$5:$A$204,0)),"ID not found"))</f>
        <v>With interventions</v>
      </c>
      <c r="F16" s="16" t="n">
        <f aca="false">IF($B16="","",IFERROR(INDEX(Scenario_Log!$R$5:$R$204,MATCH($B16,Scenario_Log!$A$5:$A$204,0)),"ID not found"))</f>
        <v>35.3</v>
      </c>
      <c r="G16" s="17" t="n">
        <f aca="false">IF($B16="","",IFERROR(INDEX(Scenario_Log!$S$5:$S$204,MATCH($B16,Scenario_Log!$A$5:$A$204,0)),"ID not found"))</f>
        <v>292</v>
      </c>
      <c r="H16" s="17" t="n">
        <f aca="false">IF($B16="","",IFERROR(INDEX(Scenario_Log!$T$5:$T$204,MATCH($B16,Scenario_Log!$A$5:$A$204,0)),"ID not found"))</f>
        <v>404</v>
      </c>
      <c r="I16" s="17" t="n">
        <f aca="false">IF($B16="","",IFERROR(INDEX(Scenario_Log!$U$5:$U$204,MATCH($B16,Scenario_Log!$A$5:$A$204,0)),"ID not found"))</f>
        <v>541</v>
      </c>
      <c r="J16" s="18" t="n">
        <f aca="false">IF($B16="","",IFERROR(INDEX(Scenario_Log!$V$5:$V$204,MATCH($B16,Scenario_Log!$A$5:$A$204,0)),"ID not found"))</f>
        <v>2413</v>
      </c>
      <c r="K16" s="18" t="n">
        <f aca="false">IF($B16="","",IFERROR(INDEX(Scenario_Log!$W$5:$W$204,MATCH($B16,Scenario_Log!$A$5:$A$204,0)),"ID not found"))</f>
        <v>4082</v>
      </c>
      <c r="L16" s="18" t="n">
        <f aca="false">IF($B16="","",IFERROR(INDEX(Scenario_Log!$X$5:$X$204,MATCH($B16,Scenario_Log!$A$5:$A$204,0)),"ID not found"))</f>
        <v>6294</v>
      </c>
      <c r="M16" s="17" t="n">
        <f aca="false">IF($B16="","",IFERROR(INDEX(Scenario_Log!$Y$5:$Y$204,MATCH($B16,Scenario_Log!$A$5:$A$204,0)),"ID not found"))</f>
        <v>15</v>
      </c>
      <c r="N16" s="17" t="n">
        <f aca="false">IF($B16="","",IFERROR(INDEX(Scenario_Log!$Z$5:$Z$204,MATCH($B16,Scenario_Log!$A$5:$A$204,0)),"ID not found"))</f>
        <v>6</v>
      </c>
      <c r="O16" s="17" t="n">
        <f aca="false">IF($B16="","",IFERROR(INDEX(Scenario_Log!$AA$5:$AA$204,MATCH($B16,Scenario_Log!$A$5:$A$204,0)),"ID not found"))</f>
        <v>15</v>
      </c>
      <c r="P16" s="17" t="n">
        <f aca="false">IF($B16="","",IFERROR(INDEX(Scenario_Log!$AB$5:$AB$204,MATCH($B16,Scenario_Log!$A$5:$A$204,0)),"ID not found"))</f>
        <v>65</v>
      </c>
      <c r="Q16" s="17" t="n">
        <f aca="false">IF($B16="","",IFERROR(INDEX(Scenario_Log!$AC$5:$AC$204,MATCH($B16,Scenario_Log!$A$5:$A$204,0)),"ID not found"))</f>
        <v>66</v>
      </c>
      <c r="R16" s="17" t="n">
        <f aca="false">IF($B16="","",IFERROR(INDEX(Scenario_Log!$AD$5:$AD$204,MATCH($B16,Scenario_Log!$A$5:$A$204,0)),"ID not found"))</f>
        <v>66</v>
      </c>
      <c r="S16" s="17" t="n">
        <f aca="false">IF($B16="","",IFERROR(INDEX(Scenario_Log!$AE$5:$AE$204,MATCH($B16,Scenario_Log!$A$5:$A$204,0)),"ID not found"))</f>
        <v>1</v>
      </c>
      <c r="T16" s="17" t="n">
        <f aca="false">IF($B16="","",IFERROR(INDEX(Scenario_Log!$AF$5:$AF$204,MATCH($B16,Scenario_Log!$A$5:$A$204,0)),"ID not found"))</f>
        <v>5</v>
      </c>
      <c r="U16" s="17" t="n">
        <f aca="false">IF($B16="","",IFERROR(INDEX(Scenario_Log!$AG$5:$AG$204,MATCH($B16,Scenario_Log!$A$5:$A$204,0)),"ID not found"))</f>
        <v>8</v>
      </c>
      <c r="V16" s="25" t="n">
        <f aca="false">IF($B16="","",IFERROR((F16&lt;=Budget)+(G16&lt;Deaths_Appetite)+(J16&lt;=Carbon_Budget)+(M16=0)+(P16&gt;=Recall_Target*100)+(S16=0),""))</f>
        <v>2</v>
      </c>
      <c r="W16" s="25" t="n">
        <f aca="false">IF($B16="","",IFERROR((F16&lt;=Budget)+(H16&lt;Deaths_Appetite)+(K16&lt;=Carbon_Budget)+(N16=0)+(Q16&gt;=Recall_Target*100)+(T16=0),""))</f>
        <v>2</v>
      </c>
      <c r="X16" s="25" t="n">
        <f aca="false">IF($B16="","",IFERROR((F16&lt;=Budget)+(I16&lt;Deaths_Appetite)+(L16&lt;=Carbon_Budget)+(O16=0)+(R16&gt;=Recall_Target*100)+(U16=0),""))</f>
        <v>2</v>
      </c>
      <c r="Y16" s="15" t="n">
        <f aca="false">IF($B16="","",IFERROR(($G$6*($D$6*(G16&lt;Deaths_Appetite)+$D$7*(F16&lt;=Budget)+$D$8*(J16&lt;=Carbon_Budget)+$D$9*(M16=0)+$D$10*(P16&gt;=Recall_Target*100)+$D$11*(S16=0))+$G$7*($D$6*(H16&lt;Deaths_Appetite)+$D$7*(F16&lt;=Budget)+$D$8*(K16&lt;=Carbon_Budget)+$D$9*(N16=0)+$D$10*(Q16&gt;=Recall_Target*100)+$D$11*(T16=0))+$G$8*($D$6*(I16&lt;Deaths_Appetite)+$D$7*(F16&lt;=Budget)+$D$8*(L16&lt;=Carbon_Budget)+$D$9*(O16=0)+$D$10*(R16&gt;=Recall_Target*100)+$D$11*(U16=0)))/(SUM($D$6:$D$11)*$G$9),""))</f>
        <v>0.333333333333333</v>
      </c>
      <c r="Z16" s="25" t="n">
        <f aca="false">IF($B16="","",COUNTIF($D$24:$D$29,$B16))</f>
        <v>0</v>
      </c>
      <c r="AA16" s="25" t="n">
        <f aca="false">IF(OR($B16="",NOT(ISNUMBER(Y16))),"",RANK(Y16,$Y$15:$Y$19))</f>
        <v>1</v>
      </c>
    </row>
    <row r="17" customFormat="false" ht="15" hidden="false" customHeight="false" outlineLevel="0" collapsed="false">
      <c r="B17" s="24"/>
      <c r="C17" s="14" t="str">
        <f aca="false">IF($B17="","",IFERROR(INDEX(Scenario_Log!$C$5:$C$204,MATCH($B17,Scenario_Log!$A$5:$A$204,0)),"ID not found"))</f>
        <v/>
      </c>
      <c r="D17" s="14" t="str">
        <f aca="false">IF($B17="","",IFERROR(INDEX(Scenario_Log!$B$5:$B$204,MATCH($B17,Scenario_Log!$A$5:$A$204,0)),"ID not found"))</f>
        <v/>
      </c>
      <c r="E17" s="14" t="str">
        <f aca="false">IF($B17="","",IFERROR(INDEX(Scenario_Log!$E$5:$E$204,MATCH($B17,Scenario_Log!$A$5:$A$204,0)),"ID not found"))</f>
        <v/>
      </c>
      <c r="F17" s="16" t="str">
        <f aca="false">IF($B17="","",IFERROR(INDEX(Scenario_Log!$R$5:$R$204,MATCH($B17,Scenario_Log!$A$5:$A$204,0)),"ID not found"))</f>
        <v/>
      </c>
      <c r="G17" s="17" t="str">
        <f aca="false">IF($B17="","",IFERROR(INDEX(Scenario_Log!$S$5:$S$204,MATCH($B17,Scenario_Log!$A$5:$A$204,0)),"ID not found"))</f>
        <v/>
      </c>
      <c r="H17" s="17" t="str">
        <f aca="false">IF($B17="","",IFERROR(INDEX(Scenario_Log!$T$5:$T$204,MATCH($B17,Scenario_Log!$A$5:$A$204,0)),"ID not found"))</f>
        <v/>
      </c>
      <c r="I17" s="17" t="str">
        <f aca="false">IF($B17="","",IFERROR(INDEX(Scenario_Log!$U$5:$U$204,MATCH($B17,Scenario_Log!$A$5:$A$204,0)),"ID not found"))</f>
        <v/>
      </c>
      <c r="J17" s="18" t="str">
        <f aca="false">IF($B17="","",IFERROR(INDEX(Scenario_Log!$V$5:$V$204,MATCH($B17,Scenario_Log!$A$5:$A$204,0)),"ID not found"))</f>
        <v/>
      </c>
      <c r="K17" s="18" t="str">
        <f aca="false">IF($B17="","",IFERROR(INDEX(Scenario_Log!$W$5:$W$204,MATCH($B17,Scenario_Log!$A$5:$A$204,0)),"ID not found"))</f>
        <v/>
      </c>
      <c r="L17" s="18" t="str">
        <f aca="false">IF($B17="","",IFERROR(INDEX(Scenario_Log!$X$5:$X$204,MATCH($B17,Scenario_Log!$A$5:$A$204,0)),"ID not found"))</f>
        <v/>
      </c>
      <c r="M17" s="17" t="str">
        <f aca="false">IF($B17="","",IFERROR(INDEX(Scenario_Log!$Y$5:$Y$204,MATCH($B17,Scenario_Log!$A$5:$A$204,0)),"ID not found"))</f>
        <v/>
      </c>
      <c r="N17" s="17" t="str">
        <f aca="false">IF($B17="","",IFERROR(INDEX(Scenario_Log!$Z$5:$Z$204,MATCH($B17,Scenario_Log!$A$5:$A$204,0)),"ID not found"))</f>
        <v/>
      </c>
      <c r="O17" s="17" t="str">
        <f aca="false">IF($B17="","",IFERROR(INDEX(Scenario_Log!$AA$5:$AA$204,MATCH($B17,Scenario_Log!$A$5:$A$204,0)),"ID not found"))</f>
        <v/>
      </c>
      <c r="P17" s="17" t="str">
        <f aca="false">IF($B17="","",IFERROR(INDEX(Scenario_Log!$AB$5:$AB$204,MATCH($B17,Scenario_Log!$A$5:$A$204,0)),"ID not found"))</f>
        <v/>
      </c>
      <c r="Q17" s="17" t="str">
        <f aca="false">IF($B17="","",IFERROR(INDEX(Scenario_Log!$AC$5:$AC$204,MATCH($B17,Scenario_Log!$A$5:$A$204,0)),"ID not found"))</f>
        <v/>
      </c>
      <c r="R17" s="17" t="str">
        <f aca="false">IF($B17="","",IFERROR(INDEX(Scenario_Log!$AD$5:$AD$204,MATCH($B17,Scenario_Log!$A$5:$A$204,0)),"ID not found"))</f>
        <v/>
      </c>
      <c r="S17" s="17" t="str">
        <f aca="false">IF($B17="","",IFERROR(INDEX(Scenario_Log!$AE$5:$AE$204,MATCH($B17,Scenario_Log!$A$5:$A$204,0)),"ID not found"))</f>
        <v/>
      </c>
      <c r="T17" s="17" t="str">
        <f aca="false">IF($B17="","",IFERROR(INDEX(Scenario_Log!$AF$5:$AF$204,MATCH($B17,Scenario_Log!$A$5:$A$204,0)),"ID not found"))</f>
        <v/>
      </c>
      <c r="U17" s="17" t="str">
        <f aca="false">IF($B17="","",IFERROR(INDEX(Scenario_Log!$AG$5:$AG$204,MATCH($B17,Scenario_Log!$A$5:$A$204,0)),"ID not found"))</f>
        <v/>
      </c>
      <c r="V17" s="25" t="str">
        <f aca="false">IF($B17="","",IFERROR((F17&lt;=Budget)+(G17&lt;Deaths_Appetite)+(J17&lt;=Carbon_Budget)+(M17=0)+(P17&gt;=Recall_Target*100)+(S17=0),""))</f>
        <v/>
      </c>
      <c r="W17" s="25" t="str">
        <f aca="false">IF($B17="","",IFERROR((F17&lt;=Budget)+(H17&lt;Deaths_Appetite)+(K17&lt;=Carbon_Budget)+(N17=0)+(Q17&gt;=Recall_Target*100)+(T17=0),""))</f>
        <v/>
      </c>
      <c r="X17" s="25" t="str">
        <f aca="false">IF($B17="","",IFERROR((F17&lt;=Budget)+(I17&lt;Deaths_Appetite)+(L17&lt;=Carbon_Budget)+(O17=0)+(R17&gt;=Recall_Target*100)+(U17=0),""))</f>
        <v/>
      </c>
      <c r="Y17" s="15" t="str">
        <f aca="false">IF($B17="","",IFERROR(($G$6*($D$6*(G17&lt;Deaths_Appetite)+$D$7*(F17&lt;=Budget)+$D$8*(J17&lt;=Carbon_Budget)+$D$9*(M17=0)+$D$10*(P17&gt;=Recall_Target*100)+$D$11*(S17=0))+$G$7*($D$6*(H17&lt;Deaths_Appetite)+$D$7*(F17&lt;=Budget)+$D$8*(K17&lt;=Carbon_Budget)+$D$9*(N17=0)+$D$10*(Q17&gt;=Recall_Target*100)+$D$11*(T17=0))+$G$8*($D$6*(I17&lt;Deaths_Appetite)+$D$7*(F17&lt;=Budget)+$D$8*(L17&lt;=Carbon_Budget)+$D$9*(O17=0)+$D$10*(R17&gt;=Recall_Target*100)+$D$11*(U17=0)))/(SUM($D$6:$D$11)*$G$9),""))</f>
        <v/>
      </c>
      <c r="Z17" s="25" t="str">
        <f aca="false">IF($B17="","",COUNTIF($D$24:$D$29,$B17))</f>
        <v/>
      </c>
      <c r="AA17" s="25" t="str">
        <f aca="false">IF(OR($B17="",NOT(ISNUMBER(Y17))),"",RANK(Y17,$Y$15:$Y$19))</f>
        <v/>
      </c>
    </row>
    <row r="18" customFormat="false" ht="15" hidden="false" customHeight="false" outlineLevel="0" collapsed="false">
      <c r="B18" s="24"/>
      <c r="C18" s="14" t="str">
        <f aca="false">IF($B18="","",IFERROR(INDEX(Scenario_Log!$C$5:$C$204,MATCH($B18,Scenario_Log!$A$5:$A$204,0)),"ID not found"))</f>
        <v/>
      </c>
      <c r="D18" s="14" t="str">
        <f aca="false">IF($B18="","",IFERROR(INDEX(Scenario_Log!$B$5:$B$204,MATCH($B18,Scenario_Log!$A$5:$A$204,0)),"ID not found"))</f>
        <v/>
      </c>
      <c r="E18" s="14" t="str">
        <f aca="false">IF($B18="","",IFERROR(INDEX(Scenario_Log!$E$5:$E$204,MATCH($B18,Scenario_Log!$A$5:$A$204,0)),"ID not found"))</f>
        <v/>
      </c>
      <c r="F18" s="16" t="str">
        <f aca="false">IF($B18="","",IFERROR(INDEX(Scenario_Log!$R$5:$R$204,MATCH($B18,Scenario_Log!$A$5:$A$204,0)),"ID not found"))</f>
        <v/>
      </c>
      <c r="G18" s="17" t="str">
        <f aca="false">IF($B18="","",IFERROR(INDEX(Scenario_Log!$S$5:$S$204,MATCH($B18,Scenario_Log!$A$5:$A$204,0)),"ID not found"))</f>
        <v/>
      </c>
      <c r="H18" s="17" t="str">
        <f aca="false">IF($B18="","",IFERROR(INDEX(Scenario_Log!$T$5:$T$204,MATCH($B18,Scenario_Log!$A$5:$A$204,0)),"ID not found"))</f>
        <v/>
      </c>
      <c r="I18" s="17" t="str">
        <f aca="false">IF($B18="","",IFERROR(INDEX(Scenario_Log!$U$5:$U$204,MATCH($B18,Scenario_Log!$A$5:$A$204,0)),"ID not found"))</f>
        <v/>
      </c>
      <c r="J18" s="18" t="str">
        <f aca="false">IF($B18="","",IFERROR(INDEX(Scenario_Log!$V$5:$V$204,MATCH($B18,Scenario_Log!$A$5:$A$204,0)),"ID not found"))</f>
        <v/>
      </c>
      <c r="K18" s="18" t="str">
        <f aca="false">IF($B18="","",IFERROR(INDEX(Scenario_Log!$W$5:$W$204,MATCH($B18,Scenario_Log!$A$5:$A$204,0)),"ID not found"))</f>
        <v/>
      </c>
      <c r="L18" s="18" t="str">
        <f aca="false">IF($B18="","",IFERROR(INDEX(Scenario_Log!$X$5:$X$204,MATCH($B18,Scenario_Log!$A$5:$A$204,0)),"ID not found"))</f>
        <v/>
      </c>
      <c r="M18" s="17" t="str">
        <f aca="false">IF($B18="","",IFERROR(INDEX(Scenario_Log!$Y$5:$Y$204,MATCH($B18,Scenario_Log!$A$5:$A$204,0)),"ID not found"))</f>
        <v/>
      </c>
      <c r="N18" s="17" t="str">
        <f aca="false">IF($B18="","",IFERROR(INDEX(Scenario_Log!$Z$5:$Z$204,MATCH($B18,Scenario_Log!$A$5:$A$204,0)),"ID not found"))</f>
        <v/>
      </c>
      <c r="O18" s="17" t="str">
        <f aca="false">IF($B18="","",IFERROR(INDEX(Scenario_Log!$AA$5:$AA$204,MATCH($B18,Scenario_Log!$A$5:$A$204,0)),"ID not found"))</f>
        <v/>
      </c>
      <c r="P18" s="17" t="str">
        <f aca="false">IF($B18="","",IFERROR(INDEX(Scenario_Log!$AB$5:$AB$204,MATCH($B18,Scenario_Log!$A$5:$A$204,0)),"ID not found"))</f>
        <v/>
      </c>
      <c r="Q18" s="17" t="str">
        <f aca="false">IF($B18="","",IFERROR(INDEX(Scenario_Log!$AC$5:$AC$204,MATCH($B18,Scenario_Log!$A$5:$A$204,0)),"ID not found"))</f>
        <v/>
      </c>
      <c r="R18" s="17" t="str">
        <f aca="false">IF($B18="","",IFERROR(INDEX(Scenario_Log!$AD$5:$AD$204,MATCH($B18,Scenario_Log!$A$5:$A$204,0)),"ID not found"))</f>
        <v/>
      </c>
      <c r="S18" s="17" t="str">
        <f aca="false">IF($B18="","",IFERROR(INDEX(Scenario_Log!$AE$5:$AE$204,MATCH($B18,Scenario_Log!$A$5:$A$204,0)),"ID not found"))</f>
        <v/>
      </c>
      <c r="T18" s="17" t="str">
        <f aca="false">IF($B18="","",IFERROR(INDEX(Scenario_Log!$AF$5:$AF$204,MATCH($B18,Scenario_Log!$A$5:$A$204,0)),"ID not found"))</f>
        <v/>
      </c>
      <c r="U18" s="17" t="str">
        <f aca="false">IF($B18="","",IFERROR(INDEX(Scenario_Log!$AG$5:$AG$204,MATCH($B18,Scenario_Log!$A$5:$A$204,0)),"ID not found"))</f>
        <v/>
      </c>
      <c r="V18" s="25" t="str">
        <f aca="false">IF($B18="","",IFERROR((F18&lt;=Budget)+(G18&lt;Deaths_Appetite)+(J18&lt;=Carbon_Budget)+(M18=0)+(P18&gt;=Recall_Target*100)+(S18=0),""))</f>
        <v/>
      </c>
      <c r="W18" s="25" t="str">
        <f aca="false">IF($B18="","",IFERROR((F18&lt;=Budget)+(H18&lt;Deaths_Appetite)+(K18&lt;=Carbon_Budget)+(N18=0)+(Q18&gt;=Recall_Target*100)+(T18=0),""))</f>
        <v/>
      </c>
      <c r="X18" s="25" t="str">
        <f aca="false">IF($B18="","",IFERROR((F18&lt;=Budget)+(I18&lt;Deaths_Appetite)+(L18&lt;=Carbon_Budget)+(O18=0)+(R18&gt;=Recall_Target*100)+(U18=0),""))</f>
        <v/>
      </c>
      <c r="Y18" s="15" t="str">
        <f aca="false">IF($B18="","",IFERROR(($G$6*($D$6*(G18&lt;Deaths_Appetite)+$D$7*(F18&lt;=Budget)+$D$8*(J18&lt;=Carbon_Budget)+$D$9*(M18=0)+$D$10*(P18&gt;=Recall_Target*100)+$D$11*(S18=0))+$G$7*($D$6*(H18&lt;Deaths_Appetite)+$D$7*(F18&lt;=Budget)+$D$8*(K18&lt;=Carbon_Budget)+$D$9*(N18=0)+$D$10*(Q18&gt;=Recall_Target*100)+$D$11*(T18=0))+$G$8*($D$6*(I18&lt;Deaths_Appetite)+$D$7*(F18&lt;=Budget)+$D$8*(L18&lt;=Carbon_Budget)+$D$9*(O18=0)+$D$10*(R18&gt;=Recall_Target*100)+$D$11*(U18=0)))/(SUM($D$6:$D$11)*$G$9),""))</f>
        <v/>
      </c>
      <c r="Z18" s="25" t="str">
        <f aca="false">IF($B18="","",COUNTIF($D$24:$D$29,$B18))</f>
        <v/>
      </c>
      <c r="AA18" s="25" t="str">
        <f aca="false">IF(OR($B18="",NOT(ISNUMBER(Y18))),"",RANK(Y18,$Y$15:$Y$19))</f>
        <v/>
      </c>
    </row>
    <row r="19" customFormat="false" ht="15" hidden="false" customHeight="false" outlineLevel="0" collapsed="false">
      <c r="B19" s="24"/>
      <c r="C19" s="14" t="str">
        <f aca="false">IF($B19="","",IFERROR(INDEX(Scenario_Log!$C$5:$C$204,MATCH($B19,Scenario_Log!$A$5:$A$204,0)),"ID not found"))</f>
        <v/>
      </c>
      <c r="D19" s="14" t="str">
        <f aca="false">IF($B19="","",IFERROR(INDEX(Scenario_Log!$B$5:$B$204,MATCH($B19,Scenario_Log!$A$5:$A$204,0)),"ID not found"))</f>
        <v/>
      </c>
      <c r="E19" s="14" t="str">
        <f aca="false">IF($B19="","",IFERROR(INDEX(Scenario_Log!$E$5:$E$204,MATCH($B19,Scenario_Log!$A$5:$A$204,0)),"ID not found"))</f>
        <v/>
      </c>
      <c r="F19" s="16" t="str">
        <f aca="false">IF($B19="","",IFERROR(INDEX(Scenario_Log!$R$5:$R$204,MATCH($B19,Scenario_Log!$A$5:$A$204,0)),"ID not found"))</f>
        <v/>
      </c>
      <c r="G19" s="17" t="str">
        <f aca="false">IF($B19="","",IFERROR(INDEX(Scenario_Log!$S$5:$S$204,MATCH($B19,Scenario_Log!$A$5:$A$204,0)),"ID not found"))</f>
        <v/>
      </c>
      <c r="H19" s="17" t="str">
        <f aca="false">IF($B19="","",IFERROR(INDEX(Scenario_Log!$T$5:$T$204,MATCH($B19,Scenario_Log!$A$5:$A$204,0)),"ID not found"))</f>
        <v/>
      </c>
      <c r="I19" s="17" t="str">
        <f aca="false">IF($B19="","",IFERROR(INDEX(Scenario_Log!$U$5:$U$204,MATCH($B19,Scenario_Log!$A$5:$A$204,0)),"ID not found"))</f>
        <v/>
      </c>
      <c r="J19" s="18" t="str">
        <f aca="false">IF($B19="","",IFERROR(INDEX(Scenario_Log!$V$5:$V$204,MATCH($B19,Scenario_Log!$A$5:$A$204,0)),"ID not found"))</f>
        <v/>
      </c>
      <c r="K19" s="18" t="str">
        <f aca="false">IF($B19="","",IFERROR(INDEX(Scenario_Log!$W$5:$W$204,MATCH($B19,Scenario_Log!$A$5:$A$204,0)),"ID not found"))</f>
        <v/>
      </c>
      <c r="L19" s="18" t="str">
        <f aca="false">IF($B19="","",IFERROR(INDEX(Scenario_Log!$X$5:$X$204,MATCH($B19,Scenario_Log!$A$5:$A$204,0)),"ID not found"))</f>
        <v/>
      </c>
      <c r="M19" s="17" t="str">
        <f aca="false">IF($B19="","",IFERROR(INDEX(Scenario_Log!$Y$5:$Y$204,MATCH($B19,Scenario_Log!$A$5:$A$204,0)),"ID not found"))</f>
        <v/>
      </c>
      <c r="N19" s="17" t="str">
        <f aca="false">IF($B19="","",IFERROR(INDEX(Scenario_Log!$Z$5:$Z$204,MATCH($B19,Scenario_Log!$A$5:$A$204,0)),"ID not found"))</f>
        <v/>
      </c>
      <c r="O19" s="17" t="str">
        <f aca="false">IF($B19="","",IFERROR(INDEX(Scenario_Log!$AA$5:$AA$204,MATCH($B19,Scenario_Log!$A$5:$A$204,0)),"ID not found"))</f>
        <v/>
      </c>
      <c r="P19" s="17" t="str">
        <f aca="false">IF($B19="","",IFERROR(INDEX(Scenario_Log!$AB$5:$AB$204,MATCH($B19,Scenario_Log!$A$5:$A$204,0)),"ID not found"))</f>
        <v/>
      </c>
      <c r="Q19" s="17" t="str">
        <f aca="false">IF($B19="","",IFERROR(INDEX(Scenario_Log!$AC$5:$AC$204,MATCH($B19,Scenario_Log!$A$5:$A$204,0)),"ID not found"))</f>
        <v/>
      </c>
      <c r="R19" s="17" t="str">
        <f aca="false">IF($B19="","",IFERROR(INDEX(Scenario_Log!$AD$5:$AD$204,MATCH($B19,Scenario_Log!$A$5:$A$204,0)),"ID not found"))</f>
        <v/>
      </c>
      <c r="S19" s="17" t="str">
        <f aca="false">IF($B19="","",IFERROR(INDEX(Scenario_Log!$AE$5:$AE$204,MATCH($B19,Scenario_Log!$A$5:$A$204,0)),"ID not found"))</f>
        <v/>
      </c>
      <c r="T19" s="17" t="str">
        <f aca="false">IF($B19="","",IFERROR(INDEX(Scenario_Log!$AF$5:$AF$204,MATCH($B19,Scenario_Log!$A$5:$A$204,0)),"ID not found"))</f>
        <v/>
      </c>
      <c r="U19" s="17" t="str">
        <f aca="false">IF($B19="","",IFERROR(INDEX(Scenario_Log!$AG$5:$AG$204,MATCH($B19,Scenario_Log!$A$5:$A$204,0)),"ID not found"))</f>
        <v/>
      </c>
      <c r="V19" s="25" t="str">
        <f aca="false">IF($B19="","",IFERROR((F19&lt;=Budget)+(G19&lt;Deaths_Appetite)+(J19&lt;=Carbon_Budget)+(M19=0)+(P19&gt;=Recall_Target*100)+(S19=0),""))</f>
        <v/>
      </c>
      <c r="W19" s="25" t="str">
        <f aca="false">IF($B19="","",IFERROR((F19&lt;=Budget)+(H19&lt;Deaths_Appetite)+(K19&lt;=Carbon_Budget)+(N19=0)+(Q19&gt;=Recall_Target*100)+(T19=0),""))</f>
        <v/>
      </c>
      <c r="X19" s="25" t="str">
        <f aca="false">IF($B19="","",IFERROR((F19&lt;=Budget)+(I19&lt;Deaths_Appetite)+(L19&lt;=Carbon_Budget)+(O19=0)+(R19&gt;=Recall_Target*100)+(U19=0),""))</f>
        <v/>
      </c>
      <c r="Y19" s="15" t="str">
        <f aca="false">IF($B19="","",IFERROR(($G$6*($D$6*(G19&lt;Deaths_Appetite)+$D$7*(F19&lt;=Budget)+$D$8*(J19&lt;=Carbon_Budget)+$D$9*(M19=0)+$D$10*(P19&gt;=Recall_Target*100)+$D$11*(S19=0))+$G$7*($D$6*(H19&lt;Deaths_Appetite)+$D$7*(F19&lt;=Budget)+$D$8*(K19&lt;=Carbon_Budget)+$D$9*(N19=0)+$D$10*(Q19&gt;=Recall_Target*100)+$D$11*(T19=0))+$G$8*($D$6*(I19&lt;Deaths_Appetite)+$D$7*(F19&lt;=Budget)+$D$8*(L19&lt;=Carbon_Budget)+$D$9*(O19=0)+$D$10*(R19&gt;=Recall_Target*100)+$D$11*(U19=0)))/(SUM($D$6:$D$11)*$G$9),""))</f>
        <v/>
      </c>
      <c r="Z19" s="25" t="str">
        <f aca="false">IF($B19="","",COUNTIF($D$24:$D$29,$B19))</f>
        <v/>
      </c>
      <c r="AA19" s="25" t="str">
        <f aca="false">IF(OR($B19="",NOT(ISNUMBER(Y19))),"",RANK(Y19,$Y$15:$Y$19))</f>
        <v/>
      </c>
    </row>
    <row r="20" customFormat="false" ht="15" hidden="false" customHeight="false" outlineLevel="0" collapsed="false">
      <c r="B20" s="2" t="s">
        <v>149</v>
      </c>
    </row>
    <row r="22" customFormat="false" ht="15" hidden="false" customHeight="false" outlineLevel="0" collapsed="false">
      <c r="B22" s="5" t="s">
        <v>150</v>
      </c>
      <c r="C22" s="6"/>
      <c r="D22" s="6"/>
      <c r="E22" s="6"/>
      <c r="F22" s="6"/>
      <c r="G22" s="6"/>
      <c r="H22" s="6"/>
      <c r="I22" s="6"/>
      <c r="J22" s="6"/>
      <c r="K22" s="6"/>
      <c r="L22" s="6"/>
      <c r="M22" s="6"/>
      <c r="N22" s="6"/>
      <c r="O22" s="6"/>
      <c r="P22" s="6"/>
      <c r="Q22" s="6"/>
      <c r="R22" s="6"/>
      <c r="S22" s="6"/>
      <c r="T22" s="6"/>
      <c r="U22" s="6"/>
      <c r="V22" s="6"/>
      <c r="W22" s="6"/>
      <c r="X22" s="6"/>
      <c r="Y22" s="6"/>
      <c r="Z22" s="6"/>
      <c r="AA22" s="6"/>
    </row>
    <row r="23" customFormat="false" ht="35.05" hidden="false" customHeight="true" outlineLevel="0" collapsed="false">
      <c r="B23" s="9" t="s">
        <v>151</v>
      </c>
      <c r="C23" s="9" t="s">
        <v>152</v>
      </c>
      <c r="D23" s="9" t="s">
        <v>153</v>
      </c>
      <c r="E23" s="9" t="s">
        <v>154</v>
      </c>
      <c r="F23" s="9"/>
      <c r="G23" s="9"/>
      <c r="H23" s="9"/>
      <c r="I23" s="9"/>
      <c r="J23" s="9"/>
      <c r="K23" s="9"/>
      <c r="L23" s="9"/>
      <c r="M23" s="9"/>
      <c r="N23" s="9"/>
      <c r="O23" s="9"/>
      <c r="P23" s="9"/>
    </row>
    <row r="24" customFormat="false" ht="15" hidden="false" customHeight="false" outlineLevel="0" collapsed="false">
      <c r="B24" s="24"/>
      <c r="C24" s="24"/>
      <c r="D24" s="24"/>
      <c r="E24" s="26"/>
      <c r="F24" s="26"/>
      <c r="G24" s="26"/>
      <c r="H24" s="26"/>
      <c r="I24" s="26"/>
      <c r="J24" s="26"/>
      <c r="K24" s="26"/>
      <c r="L24" s="26"/>
      <c r="M24" s="26"/>
      <c r="N24" s="26"/>
      <c r="O24" s="26"/>
      <c r="P24" s="26"/>
    </row>
    <row r="25" customFormat="false" ht="15" hidden="false" customHeight="false" outlineLevel="0" collapsed="false">
      <c r="B25" s="24"/>
      <c r="C25" s="24"/>
      <c r="D25" s="24"/>
      <c r="E25" s="26"/>
      <c r="F25" s="26"/>
      <c r="G25" s="26"/>
      <c r="H25" s="26"/>
      <c r="I25" s="26"/>
      <c r="J25" s="26"/>
      <c r="K25" s="26"/>
      <c r="L25" s="26"/>
      <c r="M25" s="26"/>
      <c r="N25" s="26"/>
      <c r="O25" s="26"/>
      <c r="P25" s="26"/>
    </row>
    <row r="26" customFormat="false" ht="15" hidden="false" customHeight="false" outlineLevel="0" collapsed="false">
      <c r="B26" s="24"/>
      <c r="C26" s="24"/>
      <c r="D26" s="24"/>
      <c r="E26" s="26"/>
      <c r="F26" s="26"/>
      <c r="G26" s="26"/>
      <c r="H26" s="26"/>
      <c r="I26" s="26"/>
      <c r="J26" s="26"/>
      <c r="K26" s="26"/>
      <c r="L26" s="26"/>
      <c r="M26" s="26"/>
      <c r="N26" s="26"/>
      <c r="O26" s="26"/>
      <c r="P26" s="26"/>
    </row>
    <row r="27" customFormat="false" ht="15" hidden="false" customHeight="false" outlineLevel="0" collapsed="false">
      <c r="B27" s="24"/>
      <c r="C27" s="24"/>
      <c r="D27" s="24"/>
      <c r="E27" s="26"/>
      <c r="F27" s="26"/>
      <c r="G27" s="26"/>
      <c r="H27" s="26"/>
      <c r="I27" s="26"/>
      <c r="J27" s="26"/>
      <c r="K27" s="26"/>
      <c r="L27" s="26"/>
      <c r="M27" s="26"/>
      <c r="N27" s="26"/>
      <c r="O27" s="26"/>
      <c r="P27" s="26"/>
    </row>
    <row r="28" customFormat="false" ht="15" hidden="false" customHeight="false" outlineLevel="0" collapsed="false">
      <c r="B28" s="24"/>
      <c r="C28" s="24"/>
      <c r="D28" s="24"/>
      <c r="E28" s="26"/>
      <c r="F28" s="26"/>
      <c r="G28" s="26"/>
      <c r="H28" s="26"/>
      <c r="I28" s="26"/>
      <c r="J28" s="26"/>
      <c r="K28" s="26"/>
      <c r="L28" s="26"/>
      <c r="M28" s="26"/>
      <c r="N28" s="26"/>
      <c r="O28" s="26"/>
      <c r="P28" s="26"/>
    </row>
    <row r="29" customFormat="false" ht="15" hidden="false" customHeight="false" outlineLevel="0" collapsed="false">
      <c r="B29" s="24"/>
      <c r="C29" s="24"/>
      <c r="D29" s="24"/>
      <c r="E29" s="26"/>
      <c r="F29" s="26"/>
      <c r="G29" s="26"/>
      <c r="H29" s="26"/>
      <c r="I29" s="26"/>
      <c r="J29" s="26"/>
      <c r="K29" s="26"/>
      <c r="L29" s="26"/>
      <c r="M29" s="26"/>
      <c r="N29" s="26"/>
      <c r="O29" s="26"/>
      <c r="P29" s="26"/>
    </row>
    <row r="31" customFormat="false" ht="15" hidden="false" customHeight="false" outlineLevel="0" collapsed="false">
      <c r="B31" s="5" t="s">
        <v>155</v>
      </c>
      <c r="C31" s="6"/>
      <c r="D31" s="6"/>
      <c r="E31" s="6"/>
      <c r="F31" s="6"/>
      <c r="G31" s="6"/>
      <c r="H31" s="6"/>
      <c r="I31" s="6"/>
      <c r="J31" s="6"/>
      <c r="K31" s="6"/>
      <c r="L31" s="6"/>
      <c r="M31" s="6"/>
      <c r="N31" s="6"/>
      <c r="O31" s="6"/>
      <c r="P31" s="6"/>
      <c r="Q31" s="6"/>
      <c r="R31" s="6"/>
      <c r="S31" s="6"/>
      <c r="T31" s="6"/>
      <c r="U31" s="6"/>
      <c r="V31" s="6"/>
      <c r="W31" s="6"/>
      <c r="X31" s="6"/>
      <c r="Y31" s="6"/>
      <c r="Z31" s="6"/>
      <c r="AA31" s="6"/>
    </row>
    <row r="32" customFormat="false" ht="19.5" hidden="false" customHeight="true" outlineLevel="0" collapsed="false">
      <c r="B32" s="27" t="s">
        <v>156</v>
      </c>
      <c r="C32" s="26"/>
      <c r="D32" s="26"/>
      <c r="E32" s="26"/>
      <c r="F32" s="26"/>
      <c r="G32" s="26"/>
      <c r="H32" s="26"/>
      <c r="I32" s="26"/>
      <c r="J32" s="26"/>
      <c r="K32" s="26"/>
      <c r="L32" s="26"/>
      <c r="M32" s="26"/>
      <c r="N32" s="26"/>
      <c r="O32" s="26"/>
      <c r="P32" s="26"/>
    </row>
    <row r="33" customFormat="false" ht="19.5" hidden="false" customHeight="true" outlineLevel="0" collapsed="false">
      <c r="B33" s="27" t="s">
        <v>157</v>
      </c>
      <c r="C33" s="19" t="str">
        <f aca="false">IF(C32="","",IFERROR(INDEX(Scenario_Log!$C$5:$C$204,MATCH(C32,Scenario_Log!$A$5:$A$204,0)),"ID not found"))</f>
        <v/>
      </c>
      <c r="D33" s="19"/>
      <c r="E33" s="19"/>
      <c r="F33" s="19"/>
      <c r="G33" s="19"/>
      <c r="H33" s="19"/>
      <c r="I33" s="19"/>
      <c r="J33" s="19"/>
      <c r="K33" s="19"/>
      <c r="L33" s="19"/>
      <c r="M33" s="19"/>
      <c r="N33" s="19"/>
      <c r="O33" s="19"/>
      <c r="P33" s="19"/>
    </row>
    <row r="34" customFormat="false" ht="19.5" hidden="false" customHeight="true" outlineLevel="0" collapsed="false">
      <c r="B34" s="27" t="s">
        <v>158</v>
      </c>
      <c r="C34" s="26"/>
      <c r="D34" s="26"/>
      <c r="E34" s="26"/>
      <c r="F34" s="26"/>
      <c r="G34" s="26"/>
      <c r="H34" s="26"/>
      <c r="I34" s="26"/>
      <c r="J34" s="26"/>
      <c r="K34" s="26"/>
      <c r="L34" s="26"/>
      <c r="M34" s="26"/>
      <c r="N34" s="26"/>
      <c r="O34" s="26"/>
      <c r="P34" s="26"/>
    </row>
    <row r="35" customFormat="false" ht="48" hidden="false" customHeight="true" outlineLevel="0" collapsed="false">
      <c r="B35" s="27" t="s">
        <v>159</v>
      </c>
      <c r="C35" s="26"/>
      <c r="D35" s="26"/>
      <c r="E35" s="26"/>
      <c r="F35" s="26"/>
      <c r="G35" s="26"/>
      <c r="H35" s="26"/>
      <c r="I35" s="26"/>
      <c r="J35" s="26"/>
      <c r="K35" s="26"/>
      <c r="L35" s="26"/>
      <c r="M35" s="26"/>
      <c r="N35" s="26"/>
      <c r="O35" s="26"/>
      <c r="P35" s="26"/>
    </row>
    <row r="36" customFormat="false" ht="48" hidden="false" customHeight="true" outlineLevel="0" collapsed="false">
      <c r="B36" s="27" t="s">
        <v>160</v>
      </c>
      <c r="C36" s="26"/>
      <c r="D36" s="26"/>
      <c r="E36" s="26"/>
      <c r="F36" s="26"/>
      <c r="G36" s="26"/>
      <c r="H36" s="26"/>
      <c r="I36" s="26"/>
      <c r="J36" s="26"/>
      <c r="K36" s="26"/>
      <c r="L36" s="26"/>
      <c r="M36" s="26"/>
      <c r="N36" s="26"/>
      <c r="O36" s="26"/>
      <c r="P36" s="26"/>
    </row>
    <row r="37" customFormat="false" ht="48" hidden="false" customHeight="true" outlineLevel="0" collapsed="false">
      <c r="B37" s="27" t="s">
        <v>161</v>
      </c>
      <c r="C37" s="26"/>
      <c r="D37" s="26"/>
      <c r="E37" s="26"/>
      <c r="F37" s="26"/>
      <c r="G37" s="26"/>
      <c r="H37" s="26"/>
      <c r="I37" s="26"/>
      <c r="J37" s="26"/>
      <c r="K37" s="26"/>
      <c r="L37" s="26"/>
      <c r="M37" s="26"/>
      <c r="N37" s="26"/>
      <c r="O37" s="26"/>
      <c r="P37" s="26"/>
    </row>
    <row r="39" customFormat="false" ht="15" hidden="false" customHeight="false" outlineLevel="0" collapsed="false">
      <c r="B39" s="5" t="s">
        <v>162</v>
      </c>
      <c r="C39" s="6"/>
      <c r="D39" s="6"/>
      <c r="E39" s="6"/>
      <c r="F39" s="6"/>
      <c r="G39" s="6"/>
      <c r="H39" s="6"/>
      <c r="I39" s="6"/>
      <c r="J39" s="6"/>
      <c r="K39" s="6"/>
      <c r="L39" s="6"/>
      <c r="M39" s="6"/>
      <c r="N39" s="6"/>
      <c r="O39" s="6"/>
      <c r="P39" s="6"/>
      <c r="Q39" s="6"/>
      <c r="R39" s="6"/>
      <c r="S39" s="6"/>
      <c r="T39" s="6"/>
      <c r="U39" s="6"/>
      <c r="V39" s="6"/>
      <c r="W39" s="6"/>
      <c r="X39" s="6"/>
      <c r="Y39" s="6"/>
      <c r="Z39" s="6"/>
      <c r="AA39" s="6"/>
    </row>
    <row r="40" customFormat="false" ht="15" hidden="false" customHeight="true" outlineLevel="0" collapsed="false">
      <c r="B40" s="9" t="s">
        <v>163</v>
      </c>
      <c r="C40" s="9" t="s">
        <v>164</v>
      </c>
      <c r="D40" s="9" t="s">
        <v>165</v>
      </c>
      <c r="E40" s="9"/>
      <c r="F40" s="9"/>
      <c r="G40" s="9" t="s">
        <v>166</v>
      </c>
      <c r="H40" s="9"/>
      <c r="I40" s="9"/>
      <c r="J40" s="9"/>
      <c r="K40" s="9"/>
      <c r="L40" s="9"/>
      <c r="M40" s="9"/>
      <c r="N40" s="9"/>
      <c r="O40" s="9"/>
      <c r="P40" s="9"/>
    </row>
    <row r="41" customFormat="false" ht="36" hidden="false" customHeight="true" outlineLevel="0" collapsed="false">
      <c r="B41" s="24"/>
      <c r="C41" s="26"/>
      <c r="D41" s="26"/>
      <c r="E41" s="26"/>
      <c r="F41" s="26"/>
      <c r="G41" s="26"/>
      <c r="H41" s="26"/>
      <c r="I41" s="26"/>
      <c r="J41" s="26"/>
      <c r="K41" s="26"/>
      <c r="L41" s="26"/>
      <c r="M41" s="26"/>
      <c r="N41" s="26"/>
      <c r="O41" s="26"/>
      <c r="P41" s="26"/>
    </row>
    <row r="42" customFormat="false" ht="36" hidden="false" customHeight="true" outlineLevel="0" collapsed="false">
      <c r="B42" s="24"/>
      <c r="C42" s="26"/>
      <c r="D42" s="26"/>
      <c r="E42" s="26"/>
      <c r="F42" s="26"/>
      <c r="G42" s="26"/>
      <c r="H42" s="26"/>
      <c r="I42" s="26"/>
      <c r="J42" s="26"/>
      <c r="K42" s="26"/>
      <c r="L42" s="26"/>
      <c r="M42" s="26"/>
      <c r="N42" s="26"/>
      <c r="O42" s="26"/>
      <c r="P42" s="26"/>
    </row>
    <row r="43" customFormat="false" ht="36" hidden="false" customHeight="true" outlineLevel="0" collapsed="false">
      <c r="B43" s="24"/>
      <c r="C43" s="26"/>
      <c r="D43" s="26"/>
      <c r="E43" s="26"/>
      <c r="F43" s="26"/>
      <c r="G43" s="26"/>
      <c r="H43" s="26"/>
      <c r="I43" s="26"/>
      <c r="J43" s="26"/>
      <c r="K43" s="26"/>
      <c r="L43" s="26"/>
      <c r="M43" s="26"/>
      <c r="N43" s="26"/>
      <c r="O43" s="26"/>
      <c r="P43" s="26"/>
    </row>
    <row r="44" customFormat="false" ht="36" hidden="false" customHeight="true" outlineLevel="0" collapsed="false">
      <c r="B44" s="24"/>
      <c r="C44" s="26"/>
      <c r="D44" s="26"/>
      <c r="E44" s="26"/>
      <c r="F44" s="26"/>
      <c r="G44" s="26"/>
      <c r="H44" s="26"/>
      <c r="I44" s="26"/>
      <c r="J44" s="26"/>
      <c r="K44" s="26"/>
      <c r="L44" s="26"/>
      <c r="M44" s="26"/>
      <c r="N44" s="26"/>
      <c r="O44" s="26"/>
      <c r="P44" s="26"/>
    </row>
  </sheetData>
  <mergeCells count="24">
    <mergeCell ref="I6:P8"/>
    <mergeCell ref="E23:P23"/>
    <mergeCell ref="E24:P24"/>
    <mergeCell ref="E25:P25"/>
    <mergeCell ref="E26:P26"/>
    <mergeCell ref="E27:P27"/>
    <mergeCell ref="E28:P28"/>
    <mergeCell ref="E29:P29"/>
    <mergeCell ref="C32:P32"/>
    <mergeCell ref="C33:P33"/>
    <mergeCell ref="C34:P34"/>
    <mergeCell ref="C35:P35"/>
    <mergeCell ref="C36:P36"/>
    <mergeCell ref="C37:P37"/>
    <mergeCell ref="D40:F40"/>
    <mergeCell ref="G40:P40"/>
    <mergeCell ref="D41:F41"/>
    <mergeCell ref="G41:P41"/>
    <mergeCell ref="D42:F42"/>
    <mergeCell ref="G42:P42"/>
    <mergeCell ref="D43:F43"/>
    <mergeCell ref="G43:P43"/>
    <mergeCell ref="D44:F44"/>
    <mergeCell ref="G44:P44"/>
  </mergeCells>
  <conditionalFormatting sqref="F15:F19">
    <cfRule type="expression" priority="2" aboveAverage="0" equalAverage="0" bottom="0" percent="0" rank="0" text="" dxfId="0">
      <formula>AND($B15&lt;&gt;"",F15&gt;Budget)</formula>
    </cfRule>
    <cfRule type="expression" priority="3" aboveAverage="0" equalAverage="0" bottom="0" percent="0" rank="0" text="" dxfId="1">
      <formula>AND($B15&lt;&gt;"",NOT(F15&gt;Budget))</formula>
    </cfRule>
  </conditionalFormatting>
  <conditionalFormatting sqref="G15:I19">
    <cfRule type="expression" priority="4" aboveAverage="0" equalAverage="0" bottom="0" percent="0" rank="0" text="" dxfId="0">
      <formula>AND($B15&lt;&gt;"",G15&gt;=Deaths_Appetite)</formula>
    </cfRule>
    <cfRule type="expression" priority="5" aboveAverage="0" equalAverage="0" bottom="0" percent="0" rank="0" text="" dxfId="1">
      <formula>AND($B15&lt;&gt;"",NOT(G15&gt;=Deaths_Appetite))</formula>
    </cfRule>
  </conditionalFormatting>
  <conditionalFormatting sqref="J15:L19">
    <cfRule type="expression" priority="6" aboveAverage="0" equalAverage="0" bottom="0" percent="0" rank="0" text="" dxfId="0">
      <formula>AND($B15&lt;&gt;"",J15&gt;Carbon_Budget)</formula>
    </cfRule>
    <cfRule type="expression" priority="7" aboveAverage="0" equalAverage="0" bottom="0" percent="0" rank="0" text="" dxfId="1">
      <formula>AND($B15&lt;&gt;"",NOT(J15&gt;Carbon_Budget))</formula>
    </cfRule>
  </conditionalFormatting>
  <conditionalFormatting sqref="M15:O19">
    <cfRule type="expression" priority="8" aboveAverage="0" equalAverage="0" bottom="0" percent="0" rank="0" text="" dxfId="0">
      <formula>AND($B15&lt;&gt;"",M15&lt;&gt;0)</formula>
    </cfRule>
    <cfRule type="expression" priority="9" aboveAverage="0" equalAverage="0" bottom="0" percent="0" rank="0" text="" dxfId="1">
      <formula>AND($B15&lt;&gt;"",NOT(M15&lt;&gt;0))</formula>
    </cfRule>
  </conditionalFormatting>
  <conditionalFormatting sqref="P15:R19">
    <cfRule type="expression" priority="10" aboveAverage="0" equalAverage="0" bottom="0" percent="0" rank="0" text="" dxfId="0">
      <formula>AND($B15&lt;&gt;"",P15&lt;Recall_Target*100)</formula>
    </cfRule>
    <cfRule type="expression" priority="11" aboveAverage="0" equalAverage="0" bottom="0" percent="0" rank="0" text="" dxfId="1">
      <formula>AND($B15&lt;&gt;"",NOT(P15&lt;Recall_Target*100))</formula>
    </cfRule>
  </conditionalFormatting>
  <conditionalFormatting sqref="S15:U19">
    <cfRule type="expression" priority="12" aboveAverage="0" equalAverage="0" bottom="0" percent="0" rank="0" text="" dxfId="0">
      <formula>AND($B15&lt;&gt;"",S15&lt;&gt;0)</formula>
    </cfRule>
    <cfRule type="expression" priority="13" aboveAverage="0" equalAverage="0" bottom="0" percent="0" rank="0" text="" dxfId="1">
      <formula>AND($B15&lt;&gt;"",NOT(S15&lt;&gt;0))</formula>
    </cfRule>
  </conditionalFormatting>
  <dataValidations count="6">
    <dataValidation allowBlank="false" errorStyle="stop" operator="between" showDropDown="false" showErrorMessage="false" showInputMessage="false" sqref="D6:D11" type="whole">
      <formula1>0</formula1>
      <formula2>5</formula2>
    </dataValidation>
    <dataValidation allowBlank="true" errorStyle="stop" operator="between" showDropDown="false" showErrorMessage="false" showInputMessage="false" sqref="B15:B19" type="list">
      <formula1>Scenario_Log!$A$5:$A$204</formula1>
      <formula2>0</formula2>
    </dataValidation>
    <dataValidation allowBlank="false" errorStyle="stop" operator="between" showDropDown="false" showErrorMessage="false" showInputMessage="false" sqref="C24:C29" type="list">
      <formula1>"Chair,Analyst,Challenger,Scribe,Stakeholder voice"</formula1>
      <formula2>0</formula2>
    </dataValidation>
    <dataValidation allowBlank="true" errorStyle="stop" operator="between" showDropDown="false" showErrorMessage="false" showInputMessage="false" sqref="D24:D29" type="list">
      <formula1>$B$15:$B$19</formula1>
      <formula2>0</formula2>
    </dataValidation>
    <dataValidation allowBlank="true" errorStyle="stop" operator="between" showDropDown="false" showErrorMessage="false" showInputMessage="false" sqref="C32" type="list">
      <formula1>$B$15:$B$19</formula1>
      <formula2>0</formula2>
    </dataValidation>
    <dataValidation allowBlank="true" errorStyle="stop" operator="between" showDropDown="false" showErrorMessage="false" showInputMessage="false" sqref="C34" type="list">
      <formula1>$B$6:$B$11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3"/>
    <col collapsed="false" customWidth="true" hidden="false" outlineLevel="0" max="4" min="4" style="0" width="12"/>
    <col collapsed="false" customWidth="true" hidden="false" outlineLevel="0" max="5" min="5" style="0" width="62"/>
    <col collapsed="false" customWidth="true" hidden="false" outlineLevel="0" max="6" min="6" style="0" width="3"/>
    <col collapsed="false" customWidth="true" hidden="false" outlineLevel="0" max="7" min="7" style="0" width="44"/>
    <col collapsed="false" customWidth="true" hidden="false" outlineLevel="0" max="8" min="8" style="0" width="16"/>
    <col collapsed="false" customWidth="true" hidden="false" outlineLevel="0" max="9" min="9" style="0" width="14"/>
  </cols>
  <sheetData>
    <row r="1" customFormat="false" ht="19.7" hidden="false" customHeight="false" outlineLevel="0" collapsed="false">
      <c r="A1" s="1" t="s">
        <v>167</v>
      </c>
    </row>
    <row r="2" customFormat="false" ht="15" hidden="false" customHeight="false" outlineLevel="0" collapsed="false">
      <c r="A2" s="2" t="s">
        <v>168</v>
      </c>
    </row>
    <row r="4" customFormat="false" ht="15" hidden="false" customHeight="false" outlineLevel="0" collapsed="false">
      <c r="B4" s="5" t="s">
        <v>169</v>
      </c>
      <c r="C4" s="6"/>
      <c r="D4" s="6"/>
      <c r="E4" s="6"/>
      <c r="G4" s="5" t="s">
        <v>170</v>
      </c>
      <c r="H4" s="6"/>
      <c r="I4" s="6"/>
    </row>
    <row r="5" customFormat="false" ht="15" hidden="false" customHeight="false" outlineLevel="0" collapsed="false">
      <c r="B5" s="14" t="s">
        <v>171</v>
      </c>
      <c r="C5" s="28" t="n">
        <v>2022</v>
      </c>
      <c r="D5" s="29" t="s">
        <v>172</v>
      </c>
      <c r="E5" s="30" t="s">
        <v>173</v>
      </c>
      <c r="G5" s="9" t="s">
        <v>174</v>
      </c>
      <c r="H5" s="9" t="s">
        <v>175</v>
      </c>
      <c r="I5" s="9" t="s">
        <v>176</v>
      </c>
    </row>
    <row r="6" customFormat="false" ht="22.35" hidden="false" customHeight="false" outlineLevel="0" collapsed="false">
      <c r="B6" s="14" t="s">
        <v>177</v>
      </c>
      <c r="C6" s="31" t="s">
        <v>178</v>
      </c>
      <c r="D6" s="29"/>
      <c r="E6" s="30" t="s">
        <v>179</v>
      </c>
      <c r="G6" s="14" t="s">
        <v>180</v>
      </c>
      <c r="H6" s="32" t="n">
        <f aca="false">KPI_HotDays</f>
        <v>41</v>
      </c>
      <c r="I6" s="29"/>
    </row>
    <row r="7" customFormat="false" ht="15" hidden="false" customHeight="false" outlineLevel="0" collapsed="false">
      <c r="B7" s="14" t="s">
        <v>181</v>
      </c>
      <c r="C7" s="31" t="s">
        <v>100</v>
      </c>
      <c r="D7" s="29"/>
      <c r="E7" s="30" t="s">
        <v>182</v>
      </c>
      <c r="G7" s="14" t="s">
        <v>183</v>
      </c>
      <c r="H7" s="32" t="n">
        <f aca="false">KPI_HWDays</f>
        <v>21</v>
      </c>
      <c r="I7" s="29" t="str">
        <f aca="false">IF(KPI_HWDays&gt;0,"RED","GREEN")</f>
        <v>RED</v>
      </c>
    </row>
    <row r="8" customFormat="false" ht="15" hidden="false" customHeight="false" outlineLevel="0" collapsed="false">
      <c r="B8" s="14" t="s">
        <v>184</v>
      </c>
      <c r="C8" s="33" t="n">
        <v>0</v>
      </c>
      <c r="D8" s="29" t="s">
        <v>185</v>
      </c>
      <c r="E8" s="30" t="s">
        <v>186</v>
      </c>
      <c r="G8" s="14" t="s">
        <v>187</v>
      </c>
      <c r="H8" s="32" t="n">
        <f aca="false">KPI_MaxRun</f>
        <v>9</v>
      </c>
      <c r="I8" s="29"/>
    </row>
    <row r="9" customFormat="false" ht="15" hidden="false" customHeight="false" outlineLevel="0" collapsed="false">
      <c r="B9" s="5" t="s">
        <v>188</v>
      </c>
      <c r="C9" s="6"/>
      <c r="D9" s="6"/>
      <c r="E9" s="6"/>
      <c r="G9" s="14" t="s">
        <v>189</v>
      </c>
      <c r="H9" s="32" t="n">
        <f aca="false">KPI_WarmNights</f>
        <v>64</v>
      </c>
      <c r="I9" s="29" t="str">
        <f aca="false">IF(KPI_WarmNights&gt;=10,"RED",IF(KPI_WarmNights&gt;=3,"AMBER","GREEN"))</f>
        <v>RED</v>
      </c>
    </row>
    <row r="10" customFormat="false" ht="15" hidden="false" customHeight="false" outlineLevel="0" collapsed="false">
      <c r="B10" s="14" t="s">
        <v>190</v>
      </c>
      <c r="C10" s="33" t="n">
        <v>28</v>
      </c>
      <c r="D10" s="29" t="s">
        <v>185</v>
      </c>
      <c r="E10" s="30" t="s">
        <v>191</v>
      </c>
      <c r="G10" s="14" t="s">
        <v>192</v>
      </c>
      <c r="H10" s="32" t="n">
        <f aca="false">KPI_Amber</f>
        <v>19</v>
      </c>
      <c r="I10" s="29" t="str">
        <f aca="false">IF(KPI_Red&gt;0,"RED",IF(KPI_Amber&gt;0,"AMBER","GREEN"))</f>
        <v>RED</v>
      </c>
    </row>
    <row r="11" customFormat="false" ht="15" hidden="false" customHeight="false" outlineLevel="0" collapsed="false">
      <c r="B11" s="14" t="s">
        <v>193</v>
      </c>
      <c r="C11" s="28" t="n">
        <v>3</v>
      </c>
      <c r="D11" s="29" t="s">
        <v>194</v>
      </c>
      <c r="E11" s="30" t="s">
        <v>195</v>
      </c>
      <c r="G11" s="14" t="s">
        <v>196</v>
      </c>
      <c r="H11" s="34" t="n">
        <f aca="false">KPI_PeakTX</f>
        <v>42.2</v>
      </c>
      <c r="I11" s="29"/>
    </row>
    <row r="12" customFormat="false" ht="15" hidden="false" customHeight="false" outlineLevel="0" collapsed="false">
      <c r="B12" s="14" t="s">
        <v>197</v>
      </c>
      <c r="C12" s="33" t="n">
        <v>18</v>
      </c>
      <c r="D12" s="29" t="s">
        <v>185</v>
      </c>
      <c r="E12" s="30" t="s">
        <v>198</v>
      </c>
      <c r="G12" s="14" t="s">
        <v>199</v>
      </c>
      <c r="H12" s="34" t="n">
        <f aca="false">KPI_PeakStock</f>
        <v>45.5750935681434</v>
      </c>
      <c r="I12" s="29" t="str">
        <f aca="false">IF(KPI_TipDays&gt;0,"RED",IF(KPI_PeakStock&gt;0.75*Capacity,"AMBER","GREEN"))</f>
        <v>RED</v>
      </c>
    </row>
    <row r="13" customFormat="false" ht="15" hidden="false" customHeight="false" outlineLevel="0" collapsed="false">
      <c r="B13" s="14" t="s">
        <v>200</v>
      </c>
      <c r="C13" s="33" t="n">
        <v>35</v>
      </c>
      <c r="D13" s="29" t="s">
        <v>185</v>
      </c>
      <c r="E13" s="30" t="s">
        <v>201</v>
      </c>
      <c r="G13" s="14" t="s">
        <v>202</v>
      </c>
      <c r="H13" s="32" t="n">
        <f aca="false">KPI_TipDays</f>
        <v>3</v>
      </c>
      <c r="I13" s="29" t="str">
        <f aca="false">IF(KPI_TipDays&gt;0,"RED","GREEN")</f>
        <v>RED</v>
      </c>
    </row>
    <row r="14" customFormat="false" ht="22.35" hidden="false" customHeight="false" outlineLevel="0" collapsed="false">
      <c r="B14" s="14" t="s">
        <v>203</v>
      </c>
      <c r="C14" s="33" t="n">
        <v>20</v>
      </c>
      <c r="D14" s="29" t="s">
        <v>185</v>
      </c>
      <c r="E14" s="30" t="s">
        <v>204</v>
      </c>
      <c r="G14" s="14" t="s">
        <v>205</v>
      </c>
      <c r="H14" s="35" t="n">
        <f aca="false">First_Tip</f>
        <v>44760</v>
      </c>
      <c r="I14" s="29"/>
    </row>
    <row r="15" customFormat="false" ht="15" hidden="false" customHeight="false" outlineLevel="0" collapsed="false">
      <c r="B15" s="5" t="s">
        <v>206</v>
      </c>
      <c r="C15" s="6"/>
      <c r="D15" s="6"/>
      <c r="E15" s="6"/>
      <c r="G15" s="14" t="s">
        <v>207</v>
      </c>
      <c r="H15" s="32" t="n">
        <f aca="false">London_Deaths</f>
        <v>387</v>
      </c>
      <c r="I15" s="29" t="str">
        <f aca="false">IF(London_Deaths&gt;Deaths_Appetite,"RED",IF(London_Deaths&gt;0.75*Deaths_Appetite,"AMBER","GREEN"))</f>
        <v>RED</v>
      </c>
    </row>
    <row r="16" customFormat="false" ht="22.35" hidden="false" customHeight="false" outlineLevel="0" collapsed="false">
      <c r="B16" s="14" t="s">
        <v>208</v>
      </c>
      <c r="C16" s="31" t="s">
        <v>101</v>
      </c>
      <c r="D16" s="29"/>
      <c r="E16" s="30" t="s">
        <v>209</v>
      </c>
      <c r="G16" s="14" t="s">
        <v>210</v>
      </c>
      <c r="H16" s="32" t="n">
        <f aca="false">KPI_SuspectHot</f>
        <v>5</v>
      </c>
      <c r="I16" s="29" t="str">
        <f aca="false">IF(KPI_SuspectHot&gt;0,"AMBER","GREEN")</f>
        <v>AMBER</v>
      </c>
    </row>
    <row r="17" customFormat="false" ht="15" hidden="false" customHeight="false" outlineLevel="0" collapsed="false">
      <c r="B17" s="14" t="s">
        <v>211</v>
      </c>
      <c r="C17" s="33" t="n">
        <v>0</v>
      </c>
      <c r="D17" s="29" t="s">
        <v>212</v>
      </c>
      <c r="E17" s="30" t="s">
        <v>213</v>
      </c>
      <c r="G17" s="14" t="s">
        <v>214</v>
      </c>
      <c r="H17" s="32" t="n">
        <f aca="false">KPI_DriftDays</f>
        <v>2</v>
      </c>
      <c r="I17" s="29" t="str">
        <f aca="false">IF(KPI_DriftDays&gt;1,"RED",IF(KPI_DriftDays=1,"AMBER","GREEN"))</f>
        <v>RED</v>
      </c>
    </row>
    <row r="18" customFormat="false" ht="15" hidden="false" customHeight="false" outlineLevel="0" collapsed="false">
      <c r="B18" s="14" t="s">
        <v>215</v>
      </c>
      <c r="C18" s="28" t="n">
        <v>60</v>
      </c>
      <c r="D18" s="29" t="s">
        <v>216</v>
      </c>
      <c r="E18" s="30" t="s">
        <v>217</v>
      </c>
      <c r="G18" s="14" t="s">
        <v>218</v>
      </c>
      <c r="H18" s="35" t="n">
        <f aca="false">First_Drift</f>
        <v>44760</v>
      </c>
      <c r="I18" s="29"/>
    </row>
    <row r="19" customFormat="false" ht="15" hidden="false" customHeight="false" outlineLevel="0" collapsed="false">
      <c r="B19" s="5" t="s">
        <v>219</v>
      </c>
      <c r="C19" s="6"/>
      <c r="D19" s="6"/>
      <c r="E19" s="6"/>
      <c r="G19" s="14" t="s">
        <v>220</v>
      </c>
      <c r="H19" s="36" t="n">
        <f aca="false">KPI_Recall</f>
        <v>0.365853658536585</v>
      </c>
      <c r="I19" s="29" t="str">
        <f aca="false">IF(ISNUMBER(KPI_Recall),IF(KPI_Recall&lt;Recall_Target,"RED","GREEN"),"n/a")</f>
        <v>RED</v>
      </c>
    </row>
    <row r="20" customFormat="false" ht="15" hidden="false" customHeight="false" outlineLevel="0" collapsed="false">
      <c r="B20" s="14" t="s">
        <v>221</v>
      </c>
      <c r="C20" s="28" t="n">
        <v>1979</v>
      </c>
      <c r="D20" s="29" t="s">
        <v>172</v>
      </c>
      <c r="E20" s="30" t="s">
        <v>222</v>
      </c>
      <c r="G20" s="14" t="s">
        <v>223</v>
      </c>
      <c r="H20" s="32" t="n">
        <f aca="false">KPI_Misses</f>
        <v>26</v>
      </c>
      <c r="I20" s="29"/>
    </row>
    <row r="21" customFormat="false" ht="15" hidden="false" customHeight="false" outlineLevel="0" collapsed="false">
      <c r="B21" s="14" t="s">
        <v>224</v>
      </c>
      <c r="C21" s="28" t="n">
        <v>1998</v>
      </c>
      <c r="D21" s="29" t="s">
        <v>172</v>
      </c>
      <c r="E21" s="30" t="s">
        <v>225</v>
      </c>
      <c r="G21" s="14" t="s">
        <v>226</v>
      </c>
      <c r="H21" s="32" t="n">
        <f aca="false">Leak_Flag</f>
        <v>0</v>
      </c>
      <c r="I21" s="29" t="str">
        <f aca="false">IF(Leak_Flag=1,"AMBER","GREEN")</f>
        <v>GREEN</v>
      </c>
    </row>
    <row r="22" customFormat="false" ht="22.35" hidden="false" customHeight="false" outlineLevel="0" collapsed="false">
      <c r="B22" s="14" t="s">
        <v>227</v>
      </c>
      <c r="C22" s="33" t="n">
        <v>1</v>
      </c>
      <c r="D22" s="29" t="s">
        <v>185</v>
      </c>
      <c r="E22" s="30" t="s">
        <v>228</v>
      </c>
      <c r="G22" s="14" t="s">
        <v>229</v>
      </c>
      <c r="H22" s="32" t="n">
        <f aca="false">KPI_RepGap</f>
        <v>19</v>
      </c>
      <c r="I22" s="29" t="str">
        <f aca="false">IF(KPI_RepGap&gt;0,"RED","GREEN")</f>
        <v>RED</v>
      </c>
    </row>
    <row r="23" customFormat="false" ht="15" hidden="false" customHeight="false" outlineLevel="0" collapsed="false">
      <c r="B23" s="14" t="s">
        <v>230</v>
      </c>
      <c r="C23" s="33" t="n">
        <v>15</v>
      </c>
      <c r="D23" s="29" t="s">
        <v>185</v>
      </c>
      <c r="E23" s="30" t="s">
        <v>231</v>
      </c>
      <c r="G23" s="14" t="s">
        <v>232</v>
      </c>
      <c r="H23" s="37" t="n">
        <f aca="false">Carbon_Now</f>
        <v>4160.26125</v>
      </c>
      <c r="I23" s="29" t="str">
        <f aca="false">IF(Carbon_Now&gt;Carbon_Budget,"RED","GREEN")</f>
        <v>GREEN</v>
      </c>
    </row>
    <row r="24" customFormat="false" ht="15" hidden="false" customHeight="false" outlineLevel="0" collapsed="false">
      <c r="B24" s="14" t="s">
        <v>233</v>
      </c>
      <c r="C24" s="33" t="n">
        <v>4.5</v>
      </c>
      <c r="D24" s="29" t="s">
        <v>185</v>
      </c>
      <c r="E24" s="30" t="s">
        <v>234</v>
      </c>
      <c r="G24" s="14" t="s">
        <v>235</v>
      </c>
      <c r="H24" s="32" t="n">
        <f aca="false">Req_CR_Count</f>
        <v>7</v>
      </c>
      <c r="I24" s="29" t="str">
        <f aca="false">IF(Req_CR_Count&gt;0,"AMBER","GREEN")</f>
        <v>AMBER</v>
      </c>
    </row>
    <row r="25" customFormat="false" ht="15" hidden="false" customHeight="false" outlineLevel="0" collapsed="false">
      <c r="B25" s="14" t="s">
        <v>236</v>
      </c>
      <c r="C25" s="38" t="n">
        <v>0.8</v>
      </c>
      <c r="D25" s="29"/>
      <c r="E25" s="30" t="s">
        <v>237</v>
      </c>
    </row>
    <row r="26" customFormat="false" ht="15" hidden="false" customHeight="false" outlineLevel="0" collapsed="false">
      <c r="B26" s="5" t="s">
        <v>238</v>
      </c>
      <c r="C26" s="6"/>
      <c r="D26" s="6"/>
      <c r="E26" s="6"/>
    </row>
    <row r="27" customFormat="false" ht="15" hidden="false" customHeight="false" outlineLevel="0" collapsed="false">
      <c r="B27" s="14" t="s">
        <v>239</v>
      </c>
      <c r="C27" s="33" t="n">
        <v>25</v>
      </c>
      <c r="D27" s="29" t="s">
        <v>185</v>
      </c>
      <c r="E27" s="30" t="s">
        <v>240</v>
      </c>
    </row>
    <row r="28" customFormat="false" ht="22.35" hidden="false" customHeight="false" outlineLevel="0" collapsed="false">
      <c r="B28" s="14" t="s">
        <v>241</v>
      </c>
      <c r="C28" s="39" t="n">
        <v>0.5</v>
      </c>
      <c r="D28" s="29" t="s">
        <v>242</v>
      </c>
      <c r="E28" s="30" t="s">
        <v>243</v>
      </c>
    </row>
    <row r="29" customFormat="false" ht="22.35" hidden="false" customHeight="false" outlineLevel="0" collapsed="false">
      <c r="B29" s="14" t="s">
        <v>244</v>
      </c>
      <c r="C29" s="39" t="n">
        <v>0.2</v>
      </c>
      <c r="D29" s="29" t="s">
        <v>245</v>
      </c>
      <c r="E29" s="30" t="s">
        <v>246</v>
      </c>
    </row>
    <row r="30" customFormat="false" ht="22.35" hidden="false" customHeight="false" outlineLevel="0" collapsed="false">
      <c r="B30" s="14" t="s">
        <v>247</v>
      </c>
      <c r="C30" s="33" t="n">
        <v>40</v>
      </c>
      <c r="D30" s="29" t="s">
        <v>248</v>
      </c>
      <c r="E30" s="30" t="s">
        <v>249</v>
      </c>
    </row>
    <row r="31" customFormat="false" ht="15" hidden="false" customHeight="false" outlineLevel="0" collapsed="false">
      <c r="B31" s="14" t="s">
        <v>250</v>
      </c>
      <c r="C31" s="39" t="n">
        <v>0.15</v>
      </c>
      <c r="D31" s="29"/>
      <c r="E31" s="30" t="s">
        <v>251</v>
      </c>
    </row>
    <row r="32" customFormat="false" ht="15" hidden="false" customHeight="false" outlineLevel="0" collapsed="false">
      <c r="B32" s="5" t="s">
        <v>252</v>
      </c>
      <c r="C32" s="6"/>
      <c r="D32" s="6"/>
      <c r="E32" s="6"/>
    </row>
    <row r="33" customFormat="false" ht="22.35" hidden="false" customHeight="false" outlineLevel="0" collapsed="false">
      <c r="B33" s="14" t="s">
        <v>253</v>
      </c>
      <c r="C33" s="28" t="n">
        <v>387</v>
      </c>
      <c r="D33" s="29" t="s">
        <v>254</v>
      </c>
      <c r="E33" s="30" t="s">
        <v>255</v>
      </c>
    </row>
    <row r="34" customFormat="false" ht="15" hidden="false" customHeight="false" outlineLevel="0" collapsed="false">
      <c r="B34" s="14" t="s">
        <v>256</v>
      </c>
      <c r="C34" s="28" t="n">
        <v>2022</v>
      </c>
      <c r="D34" s="29" t="s">
        <v>172</v>
      </c>
      <c r="E34" s="30" t="s">
        <v>257</v>
      </c>
    </row>
    <row r="35" customFormat="false" ht="15" hidden="false" customHeight="false" outlineLevel="0" collapsed="false">
      <c r="B35" s="5" t="s">
        <v>258</v>
      </c>
      <c r="C35" s="6"/>
      <c r="D35" s="6"/>
      <c r="E35" s="6"/>
    </row>
    <row r="36" customFormat="false" ht="15" hidden="false" customHeight="false" outlineLevel="0" collapsed="false">
      <c r="B36" s="14" t="s">
        <v>259</v>
      </c>
      <c r="C36" s="28" t="n">
        <v>150</v>
      </c>
      <c r="D36" s="29" t="s">
        <v>254</v>
      </c>
      <c r="E36" s="30" t="s">
        <v>260</v>
      </c>
    </row>
    <row r="37" customFormat="false" ht="15" hidden="false" customHeight="false" outlineLevel="0" collapsed="false">
      <c r="B37" s="14" t="s">
        <v>261</v>
      </c>
      <c r="C37" s="40" t="n">
        <v>20000</v>
      </c>
      <c r="D37" s="29" t="s">
        <v>262</v>
      </c>
      <c r="E37" s="30" t="s">
        <v>263</v>
      </c>
    </row>
    <row r="38" customFormat="false" ht="15" hidden="false" customHeight="false" outlineLevel="0" collapsed="false">
      <c r="B38" s="14" t="s">
        <v>264</v>
      </c>
      <c r="C38" s="33" t="n">
        <v>50</v>
      </c>
      <c r="D38" s="29" t="s">
        <v>265</v>
      </c>
      <c r="E38" s="30" t="s">
        <v>266</v>
      </c>
    </row>
    <row r="40" customFormat="false" ht="15" hidden="false" customHeight="false" outlineLevel="0" collapsed="false">
      <c r="B40" s="5" t="s">
        <v>267</v>
      </c>
      <c r="C40" s="6"/>
      <c r="D40" s="6"/>
      <c r="E40" s="6"/>
    </row>
    <row r="41" customFormat="false" ht="15" hidden="false" customHeight="false" outlineLevel="0" collapsed="false">
      <c r="B41" s="14" t="s">
        <v>268</v>
      </c>
      <c r="C41" s="41" t="n">
        <f aca="false">INDEX(Equity_Lens!$C$6:$C$9,MATCH(Typology,Equity_Lens!$B$6:$B$9,0))</f>
        <v>2</v>
      </c>
      <c r="D41" s="29" t="s">
        <v>185</v>
      </c>
    </row>
    <row r="42" customFormat="false" ht="15" hidden="false" customHeight="false" outlineLevel="0" collapsed="false">
      <c r="B42" s="14" t="s">
        <v>269</v>
      </c>
      <c r="C42" s="41" t="n">
        <f aca="false">INDEX(Equity_Lens!$D$6:$D$9,MATCH(Typology,Equity_Lens!$B$6:$B$9,0))</f>
        <v>4</v>
      </c>
      <c r="D42" s="29" t="s">
        <v>185</v>
      </c>
    </row>
    <row r="43" customFormat="false" ht="15" hidden="false" customHeight="false" outlineLevel="0" collapsed="false">
      <c r="B43" s="14" t="s">
        <v>270</v>
      </c>
      <c r="C43" s="42" t="n">
        <f aca="false">INDEX(Equity_Lens!$E$6:$E$9,MATCH(Typology,Equity_Lens!$B$6:$B$9,0))</f>
        <v>0.3</v>
      </c>
      <c r="D43" s="29"/>
    </row>
    <row r="44" customFormat="false" ht="15" hidden="false" customHeight="false" outlineLevel="0" collapsed="false">
      <c r="B44" s="14" t="s">
        <v>271</v>
      </c>
      <c r="C44" s="43" t="n">
        <f aca="false">IF(Scenario="With interventions",1,0)</f>
        <v>0</v>
      </c>
      <c r="D44" s="29"/>
    </row>
    <row r="45" customFormat="false" ht="15" hidden="false" customHeight="false" outlineLevel="0" collapsed="false">
      <c r="B45" s="14" t="s">
        <v>272</v>
      </c>
      <c r="C45" s="42" t="n">
        <f aca="false">Mit_On*Opt_Day_Frac</f>
        <v>0</v>
      </c>
      <c r="D45" s="29"/>
    </row>
    <row r="46" customFormat="false" ht="15" hidden="false" customHeight="false" outlineLevel="0" collapsed="false">
      <c r="B46" s="14" t="s">
        <v>273</v>
      </c>
      <c r="C46" s="42" t="n">
        <f aca="false">Mit_On*Opt_Night_Frac</f>
        <v>0</v>
      </c>
      <c r="D46" s="29"/>
    </row>
    <row r="47" customFormat="false" ht="15" hidden="false" customHeight="false" outlineLevel="0" collapsed="false">
      <c r="B47" s="14" t="s">
        <v>274</v>
      </c>
      <c r="C47" s="44" t="n">
        <f aca="false">UHI_Day_Base-Day_Red_Frac*MAX(0,UHI_Day_Base)</f>
        <v>2</v>
      </c>
      <c r="D47" s="29" t="s">
        <v>185</v>
      </c>
    </row>
    <row r="48" customFormat="false" ht="15" hidden="false" customHeight="false" outlineLevel="0" collapsed="false">
      <c r="B48" s="14" t="s">
        <v>275</v>
      </c>
      <c r="C48" s="44" t="n">
        <f aca="false">UHI_Night_Base-Night_Red_Frac*MAX(0,UHI_Night_Base)</f>
        <v>4</v>
      </c>
      <c r="D48" s="29" t="s">
        <v>185</v>
      </c>
    </row>
    <row r="49" customFormat="false" ht="15" hidden="false" customHeight="false" outlineLevel="0" collapsed="false">
      <c r="B49" s="14" t="s">
        <v>276</v>
      </c>
      <c r="C49" s="42" t="n">
        <f aca="false">Mit_On*Opt_Sens_Red</f>
        <v>0</v>
      </c>
      <c r="D49" s="29"/>
    </row>
    <row r="50" customFormat="false" ht="15" hidden="false" customHeight="false" outlineLevel="0" collapsed="false">
      <c r="B50" s="14" t="s">
        <v>277</v>
      </c>
      <c r="C50" s="43" t="n">
        <f aca="false">IF(AND(Mit_On=1,Opt_Sensor_Lvl&gt;=0.5),1,0)</f>
        <v>0</v>
      </c>
      <c r="D50" s="29"/>
    </row>
    <row r="51" customFormat="false" ht="15" hidden="false" customHeight="false" outlineLevel="0" collapsed="false">
      <c r="B51" s="14" t="s">
        <v>278</v>
      </c>
      <c r="C51" s="43" t="n">
        <f aca="false">IF(AND(Mit_On=1,Opt_Retrain_Lvl&gt;=0.5),1,0)</f>
        <v>0</v>
      </c>
      <c r="D51" s="29"/>
    </row>
    <row r="52" customFormat="false" ht="15" hidden="false" customHeight="false" outlineLevel="0" collapsed="false">
      <c r="B52" s="14" t="s">
        <v>279</v>
      </c>
      <c r="C52" s="43" t="n">
        <f aca="false">IF(Retrain_On=1,MAX(1979,SelYear-20),Train_Start_In)</f>
        <v>1979</v>
      </c>
      <c r="D52" s="29" t="s">
        <v>172</v>
      </c>
    </row>
    <row r="53" customFormat="false" ht="15" hidden="false" customHeight="false" outlineLevel="0" collapsed="false">
      <c r="B53" s="14" t="s">
        <v>280</v>
      </c>
      <c r="C53" s="43" t="n">
        <f aca="false">IF(Retrain_On=1,MAX(1979,SelYear-1),Train_End_In)</f>
        <v>1998</v>
      </c>
      <c r="D53" s="29" t="s">
        <v>172</v>
      </c>
    </row>
    <row r="54" customFormat="false" ht="15" hidden="false" customHeight="false" outlineLevel="0" collapsed="false">
      <c r="B54" s="14" t="s">
        <v>281</v>
      </c>
      <c r="C54" s="45" t="n">
        <f aca="false">Calib_Target/MAX(0.001,Equity_Lens!$O$10)</f>
        <v>1.85132032146958</v>
      </c>
      <c r="D54" s="29"/>
    </row>
  </sheetData>
  <conditionalFormatting sqref="I6:I24">
    <cfRule type="cellIs" priority="2" operator="equal" aboveAverage="0" equalAverage="0" bottom="0" percent="0" rank="0" text="" dxfId="0">
      <formula>"RED"</formula>
    </cfRule>
    <cfRule type="cellIs" priority="3" operator="equal" aboveAverage="0" equalAverage="0" bottom="0" percent="0" rank="0" text="" dxfId="2">
      <formula>"AMBER"</formula>
    </cfRule>
    <cfRule type="cellIs" priority="4" operator="equal" aboveAverage="0" equalAverage="0" bottom="0" percent="0" rank="0" text="" dxfId="1">
      <formula>"GREEN"</formula>
    </cfRule>
  </conditionalFormatting>
  <dataValidations count="5">
    <dataValidation allowBlank="false" errorStyle="stop" operator="between" showDropDown="false" showErrorMessage="false" showInputMessage="false" sqref="C6" type="list">
      <formula1>Equity_Lens!$B$6:$B$9</formula1>
      <formula2>0</formula2>
    </dataValidation>
    <dataValidation allowBlank="false" errorStyle="stop" operator="between" showDropDown="false" showErrorMessage="false" showInputMessage="false" sqref="C7" type="list">
      <formula1>"Baseline,With interventions"</formula1>
      <formula2>0</formula2>
    </dataValidation>
    <dataValidation allowBlank="false" errorStyle="stop" operator="between" showDropDown="false" showErrorMessage="false" showInputMessage="false" sqref="C16" type="list">
      <formula1>"Use raw,Exclude suspect,Impute with model"</formula1>
      <formula2>0</formula2>
    </dataValidation>
    <dataValidation allowBlank="false" error="Choose a year from 1979 to 2023" errorStyle="stop" operator="between" showDropDown="false" showErrorMessage="true" showInputMessage="false" sqref="C5" type="whole">
      <formula1>1979</formula1>
      <formula2>2023</formula2>
    </dataValidation>
    <dataValidation allowBlank="false" errorStyle="stop" operator="between" showDropDown="false" showErrorMessage="false" showInputMessage="false" sqref="C20:C21 C34" type="whole">
      <formula1>1979</formula1>
      <formula2>2023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P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1"/>
    <col collapsed="false" customWidth="true" hidden="false" outlineLevel="0" max="4" min="4" style="0" width="9"/>
    <col collapsed="false" customWidth="true" hidden="false" outlineLevel="0" max="5" min="5" style="0" width="8"/>
    <col collapsed="false" customWidth="true" hidden="false" outlineLevel="0" max="6" min="6" style="0" width="10"/>
    <col collapsed="false" customWidth="true" hidden="false" outlineLevel="0" max="13" min="7" style="0" width="9"/>
    <col collapsed="false" customWidth="true" hidden="false" outlineLevel="0" max="14" min="14" style="0" width="6"/>
    <col collapsed="false" customWidth="true" hidden="false" outlineLevel="0" max="16" min="15" style="0" width="7"/>
    <col collapsed="false" customWidth="true" hidden="false" outlineLevel="0" max="17" min="17" style="0" width="8"/>
    <col collapsed="false" customWidth="true" hidden="false" outlineLevel="0" max="18" min="18" style="0" width="9"/>
    <col collapsed="false" customWidth="true" hidden="false" outlineLevel="0" max="19" min="19" style="0" width="6"/>
    <col collapsed="false" customWidth="true" hidden="false" outlineLevel="0" max="22" min="20" style="0" width="9"/>
    <col collapsed="false" customWidth="true" hidden="false" outlineLevel="0" max="24" min="23" style="0" width="10"/>
    <col collapsed="false" customWidth="true" hidden="false" outlineLevel="0" max="26" min="25" style="0" width="8"/>
    <col collapsed="false" customWidth="true" hidden="false" outlineLevel="0" max="29" min="27" style="0" width="9"/>
    <col collapsed="false" customWidth="true" hidden="false" outlineLevel="0" max="30" min="30" style="0" width="7"/>
    <col collapsed="false" customWidth="true" hidden="false" outlineLevel="0" max="31" min="31" style="0" width="8"/>
    <col collapsed="false" customWidth="true" hidden="false" outlineLevel="0" max="32" min="32" style="0" width="10"/>
    <col collapsed="false" customWidth="true" hidden="false" outlineLevel="0" max="34" min="33" style="0" width="9"/>
    <col collapsed="false" customWidth="true" hidden="false" outlineLevel="0" max="35" min="35" style="0" width="38"/>
    <col collapsed="false" customWidth="true" hidden="false" outlineLevel="0" max="37" min="37" style="0" width="24"/>
    <col collapsed="false" customWidth="true" hidden="false" outlineLevel="0" max="38" min="38" style="0" width="13"/>
  </cols>
  <sheetData>
    <row r="1" customFormat="false" ht="19.7" hidden="false" customHeight="false" outlineLevel="0" collapsed="false">
      <c r="A1" s="1" t="s">
        <v>282</v>
      </c>
    </row>
    <row r="2" customFormat="false" ht="15" hidden="false" customHeight="false" outlineLevel="0" collapsed="false">
      <c r="A2" s="2" t="s">
        <v>283</v>
      </c>
    </row>
    <row r="3" customFormat="false" ht="19.4" hidden="false" customHeight="true" outlineLevel="0" collapsed="false">
      <c r="A3" s="46" t="s">
        <v>284</v>
      </c>
      <c r="B3" s="47" t="n">
        <f aca="false">SelYear</f>
        <v>2022</v>
      </c>
      <c r="D3" s="48" t="s">
        <v>180</v>
      </c>
      <c r="E3" s="48"/>
      <c r="F3" s="48" t="s">
        <v>285</v>
      </c>
      <c r="G3" s="48"/>
      <c r="H3" s="48" t="s">
        <v>286</v>
      </c>
      <c r="I3" s="48"/>
      <c r="J3" s="48" t="s">
        <v>287</v>
      </c>
      <c r="K3" s="48"/>
      <c r="L3" s="48" t="s">
        <v>288</v>
      </c>
      <c r="M3" s="48"/>
      <c r="N3" s="48" t="s">
        <v>289</v>
      </c>
      <c r="O3" s="48"/>
      <c r="P3" s="48" t="s">
        <v>290</v>
      </c>
      <c r="Q3" s="48"/>
      <c r="R3" s="48" t="s">
        <v>291</v>
      </c>
      <c r="S3" s="48"/>
    </row>
    <row r="4" customFormat="false" ht="15" hidden="false" customHeight="false" outlineLevel="0" collapsed="false">
      <c r="A4" s="46" t="s">
        <v>292</v>
      </c>
      <c r="B4" s="49" t="str">
        <f aca="false">Typology</f>
        <v>Inner London: dense, low green</v>
      </c>
      <c r="D4" s="50" t="n">
        <f aca="false">SUM(N9:N161)</f>
        <v>41</v>
      </c>
      <c r="E4" s="50"/>
      <c r="F4" s="50" t="n">
        <f aca="false">SUM(O9:O161)</f>
        <v>64</v>
      </c>
      <c r="G4" s="50"/>
      <c r="H4" s="50" t="n">
        <f aca="false">SUM(Q9:Q161)</f>
        <v>21</v>
      </c>
      <c r="I4" s="50"/>
      <c r="J4" s="50" t="n">
        <f aca="false">MAX(P9:P161)</f>
        <v>9</v>
      </c>
      <c r="K4" s="50"/>
      <c r="L4" s="50" t="n">
        <f aca="false">COUNTIF(S9:S161,"&gt;=2")</f>
        <v>19</v>
      </c>
      <c r="M4" s="50"/>
      <c r="N4" s="50" t="n">
        <f aca="false">COUNTIF(S9:S161,3)</f>
        <v>6</v>
      </c>
      <c r="O4" s="50"/>
      <c r="P4" s="51" t="n">
        <f aca="false">MAX(I9:I161)</f>
        <v>42.2</v>
      </c>
      <c r="Q4" s="51"/>
      <c r="R4" s="51" t="n">
        <f aca="false">MAX(T9:T161)</f>
        <v>45.5750935681434</v>
      </c>
      <c r="S4" s="51"/>
    </row>
    <row r="5" customFormat="false" ht="19.4" hidden="false" customHeight="true" outlineLevel="0" collapsed="false">
      <c r="A5" s="46" t="s">
        <v>293</v>
      </c>
      <c r="B5" s="49" t="str">
        <f aca="false">QA_Policy</f>
        <v>Use raw</v>
      </c>
      <c r="D5" s="48" t="s">
        <v>122</v>
      </c>
      <c r="E5" s="48"/>
      <c r="F5" s="48" t="s">
        <v>294</v>
      </c>
      <c r="G5" s="48"/>
      <c r="H5" s="48" t="s">
        <v>295</v>
      </c>
      <c r="I5" s="48"/>
      <c r="J5" s="48" t="s">
        <v>220</v>
      </c>
      <c r="K5" s="48"/>
      <c r="L5" s="48" t="s">
        <v>223</v>
      </c>
      <c r="M5" s="48"/>
      <c r="N5" s="48" t="s">
        <v>296</v>
      </c>
      <c r="O5" s="48"/>
      <c r="P5" s="48" t="s">
        <v>229</v>
      </c>
      <c r="Q5" s="48"/>
      <c r="R5" s="48" t="s">
        <v>297</v>
      </c>
      <c r="S5" s="48"/>
    </row>
    <row r="6" customFormat="false" ht="15" hidden="false" customHeight="false" outlineLevel="0" collapsed="false">
      <c r="D6" s="50" t="n">
        <f aca="false">SUM(U9:U161)</f>
        <v>3</v>
      </c>
      <c r="E6" s="50"/>
      <c r="F6" s="50" t="n">
        <f aca="false">SUMPRODUCT((E9:E161=1)*(((N9:N161)+(O9:O161))&gt;0))</f>
        <v>5</v>
      </c>
      <c r="G6" s="50"/>
      <c r="H6" s="50" t="n">
        <f aca="false">SUMPRODUCT((AD9:AD161=1)*(AD8:AD160&lt;&gt;1))</f>
        <v>2</v>
      </c>
      <c r="I6" s="50"/>
      <c r="J6" s="52" t="n">
        <f aca="false">IFERROR(COUNTIF(AF9:AF161,"Hit")/(COUNTIF(AF9:AF161,"Hit")+COUNTIF(AF9:AF161,"Miss")),"n/a")</f>
        <v>0.365853658536585</v>
      </c>
      <c r="K6" s="52"/>
      <c r="L6" s="50" t="n">
        <f aca="false">COUNTIF(AF9:AF161,"Miss")</f>
        <v>26</v>
      </c>
      <c r="M6" s="50"/>
      <c r="N6" s="50" t="n">
        <f aca="false">COUNTIF(AF9:AF161,"False alarm")</f>
        <v>1</v>
      </c>
      <c r="O6" s="50"/>
      <c r="P6" s="50" t="n">
        <f aca="false">SUM(AH9:AH161)</f>
        <v>19</v>
      </c>
      <c r="Q6" s="50"/>
      <c r="R6" s="50" t="n">
        <f aca="false">SUM(W9:W161)</f>
        <v>186.946326061998</v>
      </c>
      <c r="S6" s="50"/>
    </row>
    <row r="7" customFormat="false" ht="15" hidden="false" customHeight="true" outlineLevel="0" collapsed="false">
      <c r="A7" s="53" t="s">
        <v>298</v>
      </c>
      <c r="B7" s="53"/>
      <c r="C7" s="53"/>
      <c r="D7" s="53" t="s">
        <v>299</v>
      </c>
      <c r="E7" s="53"/>
      <c r="F7" s="53"/>
      <c r="G7" s="53"/>
      <c r="H7" s="53"/>
      <c r="I7" s="53"/>
      <c r="J7" s="53"/>
      <c r="K7" s="53"/>
      <c r="L7" s="53"/>
      <c r="M7" s="53"/>
      <c r="N7" s="53" t="s">
        <v>300</v>
      </c>
      <c r="O7" s="53"/>
      <c r="P7" s="53"/>
      <c r="Q7" s="53"/>
      <c r="R7" s="53"/>
      <c r="S7" s="53"/>
      <c r="T7" s="53" t="s">
        <v>301</v>
      </c>
      <c r="U7" s="53"/>
      <c r="V7" s="53"/>
      <c r="W7" s="53"/>
      <c r="X7" s="53" t="s">
        <v>302</v>
      </c>
      <c r="Y7" s="53"/>
      <c r="Z7" s="53"/>
      <c r="AA7" s="53"/>
      <c r="AB7" s="53"/>
      <c r="AC7" s="53"/>
      <c r="AD7" s="53"/>
      <c r="AE7" s="53"/>
      <c r="AF7" s="53"/>
      <c r="AG7" s="53"/>
      <c r="AH7" s="53"/>
      <c r="AI7" s="54" t="s">
        <v>303</v>
      </c>
    </row>
    <row r="8" customFormat="false" ht="54" hidden="false" customHeight="true" outlineLevel="0" collapsed="false">
      <c r="A8" s="9" t="s">
        <v>304</v>
      </c>
      <c r="B8" s="9" t="s">
        <v>305</v>
      </c>
      <c r="C8" s="9" t="s">
        <v>306</v>
      </c>
      <c r="D8" s="9" t="s">
        <v>307</v>
      </c>
      <c r="E8" s="9" t="s">
        <v>308</v>
      </c>
      <c r="F8" s="9" t="s">
        <v>309</v>
      </c>
      <c r="G8" s="9" t="s">
        <v>310</v>
      </c>
      <c r="H8" s="9" t="s">
        <v>311</v>
      </c>
      <c r="I8" s="9" t="s">
        <v>312</v>
      </c>
      <c r="J8" s="9" t="s">
        <v>313</v>
      </c>
      <c r="K8" s="9" t="s">
        <v>314</v>
      </c>
      <c r="L8" s="9" t="s">
        <v>315</v>
      </c>
      <c r="M8" s="9" t="s">
        <v>316</v>
      </c>
      <c r="N8" s="9" t="s">
        <v>317</v>
      </c>
      <c r="O8" s="9" t="s">
        <v>318</v>
      </c>
      <c r="P8" s="9" t="s">
        <v>319</v>
      </c>
      <c r="Q8" s="9" t="s">
        <v>320</v>
      </c>
      <c r="R8" s="9" t="s">
        <v>321</v>
      </c>
      <c r="S8" s="9" t="s">
        <v>322</v>
      </c>
      <c r="T8" s="9" t="s">
        <v>323</v>
      </c>
      <c r="U8" s="9" t="s">
        <v>324</v>
      </c>
      <c r="V8" s="9" t="s">
        <v>325</v>
      </c>
      <c r="W8" s="9" t="s">
        <v>297</v>
      </c>
      <c r="X8" s="9" t="s">
        <v>326</v>
      </c>
      <c r="Y8" s="9" t="s">
        <v>327</v>
      </c>
      <c r="Z8" s="9" t="s">
        <v>328</v>
      </c>
      <c r="AA8" s="9" t="s">
        <v>329</v>
      </c>
      <c r="AB8" s="9" t="s">
        <v>330</v>
      </c>
      <c r="AC8" s="9" t="s">
        <v>331</v>
      </c>
      <c r="AD8" s="9" t="s">
        <v>332</v>
      </c>
      <c r="AE8" s="9" t="s">
        <v>333</v>
      </c>
      <c r="AF8" s="9" t="s">
        <v>334</v>
      </c>
      <c r="AG8" s="9" t="s">
        <v>335</v>
      </c>
      <c r="AH8" s="9" t="s">
        <v>336</v>
      </c>
      <c r="AI8" s="9" t="s">
        <v>337</v>
      </c>
      <c r="AK8" s="46" t="s">
        <v>338</v>
      </c>
      <c r="AN8" s="46" t="s">
        <v>339</v>
      </c>
      <c r="AO8" s="46" t="s">
        <v>340</v>
      </c>
      <c r="AP8" s="46" t="s">
        <v>341</v>
      </c>
    </row>
    <row r="9" customFormat="false" ht="15" hidden="false" customHeight="false" outlineLevel="0" collapsed="false">
      <c r="A9" s="14" t="n">
        <v>1</v>
      </c>
      <c r="B9" s="14" t="n">
        <f aca="false">2+(SelYear-1979)*153+A9-1</f>
        <v>6581</v>
      </c>
      <c r="C9" s="55" t="n">
        <f aca="false">INDEX(Data_Heathrow!$A:$A,B9)</f>
        <v>44682</v>
      </c>
      <c r="D9" s="16" t="n">
        <f aca="false">INDEX(Data_Heathrow!$E:$E,B9)</f>
        <v>17.1</v>
      </c>
      <c r="E9" s="17" t="n">
        <f aca="false">INDEX(Data_Heathrow!$Q:$Q,B9)</f>
        <v>0</v>
      </c>
      <c r="F9" s="16" t="str">
        <f aca="false">INDEX(Data_Heathrow!$T:$T,B9)</f>
        <v/>
      </c>
      <c r="G9" s="16" t="n">
        <f aca="false">IF(AND(Drift_Rate&lt;&gt;0,A9&gt;=Drift_Start),Drift_Rate*(A9-Drift_Start+1)/30,0)</f>
        <v>0</v>
      </c>
      <c r="H9" s="16" t="n">
        <f aca="false">IF(AND(E9=1,QA_Policy="Exclude suspect"),"",IF(AND(E9=1,QA_Policy="Impute with model",ISNUMBER(F9)),F9,D9)+G9)</f>
        <v>17.1</v>
      </c>
      <c r="I9" s="16" t="n">
        <f aca="false">IF(H9="","",H9+Climate_Shift+UHI_Day_Eff)</f>
        <v>19.1</v>
      </c>
      <c r="J9" s="16" t="n">
        <f aca="false">INDEX(Data_Heathrow!$G:$G,B9)</f>
        <v>10.4</v>
      </c>
      <c r="K9" s="16" t="n">
        <f aca="false">J9+Climate_Shift+UHI_Night_Eff</f>
        <v>14.4</v>
      </c>
      <c r="L9" s="16" t="n">
        <f aca="false">IF(INDEX(Data_Heathrow!$I:$I,B9)="","",INDEX(Data_Heathrow!$I:$I,B9))</f>
        <v>12.5</v>
      </c>
      <c r="M9" s="16" t="n">
        <f aca="false">IF(L9="","",L9+Climate_Shift+(UHI_Day_Eff+UHI_Night_Eff)/2)</f>
        <v>15.5</v>
      </c>
      <c r="N9" s="14" t="n">
        <f aca="false">IF(I9="",0,IF(I9&gt;=T_Day,1,0))</f>
        <v>0</v>
      </c>
      <c r="O9" s="14" t="n">
        <f aca="false">IF(K9&gt;=T_Night,1,0)</f>
        <v>0</v>
      </c>
      <c r="P9" s="14" t="n">
        <f aca="false">IF(N9=1,1,0)</f>
        <v>0</v>
      </c>
      <c r="Q9" s="14" t="n">
        <f aca="false">IF(P9&gt;=HW_Days,1,0)</f>
        <v>0</v>
      </c>
      <c r="R9" s="17" t="str">
        <f aca="false">IF(AND(N9=1,I9&gt;=T_Red,O9=1),"RED",IF(AND(Q9=1,O9=1),"AMBER",IF(OR(N9=1,O9=1),"YELLOW","GREEN")))</f>
        <v>GREEN</v>
      </c>
      <c r="S9" s="14" t="n">
        <f aca="false">IF(R9="RED",3,IF(R9="AMBER",2,IF(R9="YELLOW",1,0)))</f>
        <v>0</v>
      </c>
      <c r="T9" s="16" t="n">
        <f aca="false">MAX(0,0*(1-Decay)+IF(I9="",0,MAX(0,I9-T_Comfort))-Recovery_Rate*MAX(0,T_Night-K9))</f>
        <v>0</v>
      </c>
      <c r="U9" s="14" t="n">
        <f aca="false">IF(T9&gt;Capacity,1,0)</f>
        <v>0</v>
      </c>
      <c r="V9" s="15" t="n">
        <f aca="false">1/(1+EXP(-Logistic_k*(T9-Capacity)))</f>
        <v>0.00247262315663477</v>
      </c>
      <c r="W9" s="16" t="n">
        <f aca="false">IF(M9="",0,Beta*Pop_Share_Sel*(1-Sens_Red)*MAX(0,M9-T_Mort))</f>
        <v>0</v>
      </c>
      <c r="X9" s="16" t="str">
        <f aca="false">IF(ISNUMBER(F9),F9+Coef_B1*(Climate_Shift+0),"")</f>
        <v/>
      </c>
      <c r="Y9" s="16" t="str">
        <f aca="false">IF(AND(ISNUMBER(X9),H9&lt;&gt;""),H9+Climate_Shift-X9,"")</f>
        <v/>
      </c>
      <c r="Z9" s="16" t="str">
        <f aca="false">IF(ISNUMBER(Y9),ABS(Y9),"")</f>
        <v/>
      </c>
      <c r="AA9" s="16" t="str">
        <f aca="false">IF(COUNT(Z9:Z9)=0,"",AVERAGE(Z9:Z9))</f>
        <v/>
      </c>
      <c r="AB9" s="16" t="n">
        <f aca="false">IF(FALSE(),0,MAX(0,0+IF(ISNUMBER(Y9),Y9-CUSUM_k,0)))</f>
        <v>0</v>
      </c>
      <c r="AC9" s="16" t="n">
        <f aca="false">IF(FALSE(),0,MAX(0,0+IF(ISNUMBER(Y9),-Y9-CUSUM_k,0)))</f>
        <v>0</v>
      </c>
      <c r="AD9" s="17" t="n">
        <f aca="false">IF(OR(AB9&gt;CUSUM_h,AC9&gt;CUSUM_h,AND(ISNUMBER(AA9),AA9&gt;MAE_Tol)),1,0)</f>
        <v>0</v>
      </c>
      <c r="AE9" s="14" t="n">
        <f aca="false">IF(ISNUMBER(X9),IF(X9+Local_Sensing*UHI_Day_Eff&gt;=T_Day,1,0),0)</f>
        <v>0</v>
      </c>
      <c r="AF9" s="17" t="str">
        <f aca="false">IF(NOT(ISNUMBER(X9)),"n/a",IF(AND(AE9=1,N9=1),"Hit",IF(AND(AE9=0,N9=1),"Miss",IF(AND(AE9=1,N9=0),"False alarm","Correct quiet"))))</f>
        <v>n/a</v>
      </c>
      <c r="AG9" s="14" t="n">
        <f aca="false">IF(H9="",0,IF(H9+Climate_Shift&gt;=T_Day,1,0))</f>
        <v>0</v>
      </c>
      <c r="AH9" s="17" t="n">
        <f aca="false">IF(AND(N9=1,AG9=0),1,0)</f>
        <v>0</v>
      </c>
      <c r="AI9" s="17" t="str">
        <f aca="false">IF(U9=1,"ESCALATE: surge health &amp; transport capacity",IF(AD9=1,"Model drift: retrain, recalibrate, raise change request",IF(S9&gt;=2,"Activate heat plan: outreach and cooling centres",IF(AND(E9=1,OR(N9=1,O9=1)),"Data QA: verify sensor before acting",IF(AF9="Miss","Review missed alert: threshold or model",IF(AH9=1,"Equity: local alert not seen at reference station","Monitor"))))))</f>
        <v>Monitor</v>
      </c>
      <c r="AK9" s="56" t="s">
        <v>342</v>
      </c>
      <c r="AL9" s="57" t="n">
        <f aca="false">IFERROR(INDEX($C$9:$C$161,MATCH(1,N9:N161,0)),"—")</f>
        <v>44697</v>
      </c>
      <c r="AN9" s="58" t="n">
        <f aca="false">T_Day</f>
        <v>28</v>
      </c>
      <c r="AO9" s="58" t="n">
        <f aca="false">Capacity</f>
        <v>40</v>
      </c>
      <c r="AP9" s="58" t="n">
        <f aca="false">CUSUM_h</f>
        <v>15</v>
      </c>
    </row>
    <row r="10" customFormat="false" ht="15" hidden="false" customHeight="false" outlineLevel="0" collapsed="false">
      <c r="A10" s="14" t="n">
        <v>2</v>
      </c>
      <c r="B10" s="14" t="n">
        <f aca="false">2+(SelYear-1979)*153+A10-1</f>
        <v>6582</v>
      </c>
      <c r="C10" s="55" t="n">
        <f aca="false">INDEX(Data_Heathrow!$A:$A,B10)</f>
        <v>44683</v>
      </c>
      <c r="D10" s="16" t="n">
        <f aca="false">INDEX(Data_Heathrow!$E:$E,B10)</f>
        <v>16.1</v>
      </c>
      <c r="E10" s="17" t="n">
        <f aca="false">INDEX(Data_Heathrow!$Q:$Q,B10)</f>
        <v>0</v>
      </c>
      <c r="F10" s="16" t="n">
        <f aca="false">INDEX(Data_Heathrow!$T:$T,B10)</f>
        <v>18.2016257914499</v>
      </c>
      <c r="G10" s="16" t="n">
        <f aca="false">IF(AND(Drift_Rate&lt;&gt;0,A10&gt;=Drift_Start),Drift_Rate*(A10-Drift_Start+1)/30,0)</f>
        <v>0</v>
      </c>
      <c r="H10" s="16" t="n">
        <f aca="false">IF(AND(E10=1,QA_Policy="Exclude suspect"),"",IF(AND(E10=1,QA_Policy="Impute with model",ISNUMBER(F10)),F10,D10)+G10)</f>
        <v>16.1</v>
      </c>
      <c r="I10" s="16" t="n">
        <f aca="false">IF(H10="","",H10+Climate_Shift+UHI_Day_Eff)</f>
        <v>18.1</v>
      </c>
      <c r="J10" s="16" t="n">
        <f aca="false">INDEX(Data_Heathrow!$G:$G,B10)</f>
        <v>9</v>
      </c>
      <c r="K10" s="16" t="n">
        <f aca="false">J10+Climate_Shift+UHI_Night_Eff</f>
        <v>13</v>
      </c>
      <c r="L10" s="16" t="n">
        <f aca="false">IF(INDEX(Data_Heathrow!$I:$I,B10)="","",INDEX(Data_Heathrow!$I:$I,B10))</f>
        <v>13.1</v>
      </c>
      <c r="M10" s="16" t="n">
        <f aca="false">IF(L10="","",L10+Climate_Shift+(UHI_Day_Eff+UHI_Night_Eff)/2)</f>
        <v>16.1</v>
      </c>
      <c r="N10" s="14" t="n">
        <f aca="false">IF(I10="",0,IF(I10&gt;=T_Day,1,0))</f>
        <v>0</v>
      </c>
      <c r="O10" s="14" t="n">
        <f aca="false">IF(K10&gt;=T_Night,1,0)</f>
        <v>0</v>
      </c>
      <c r="P10" s="14" t="n">
        <f aca="false">IF(N10=1,P9+1,0)</f>
        <v>0</v>
      </c>
      <c r="Q10" s="14" t="n">
        <f aca="false">IF(P10&gt;=HW_Days,1,0)</f>
        <v>0</v>
      </c>
      <c r="R10" s="17" t="str">
        <f aca="false">IF(AND(N10=1,I10&gt;=T_Red,O10=1),"RED",IF(AND(Q10=1,O10=1),"AMBER",IF(OR(N10=1,O10=1),"YELLOW","GREEN")))</f>
        <v>GREEN</v>
      </c>
      <c r="S10" s="14" t="n">
        <f aca="false">IF(R10="RED",3,IF(R10="AMBER",2,IF(R10="YELLOW",1,0)))</f>
        <v>0</v>
      </c>
      <c r="T10" s="16" t="n">
        <f aca="false">MAX(0,T9*(1-Decay)+IF(I10="",0,MAX(0,I10-T_Comfort))-Recovery_Rate*MAX(0,T_Night-K10))</f>
        <v>0</v>
      </c>
      <c r="U10" s="14" t="n">
        <f aca="false">IF(T10&gt;Capacity,1,0)</f>
        <v>0</v>
      </c>
      <c r="V10" s="15" t="n">
        <f aca="false">1/(1+EXP(-Logistic_k*(T10-Capacity)))</f>
        <v>0.00247262315663477</v>
      </c>
      <c r="W10" s="16" t="n">
        <f aca="false">IF(M10="",0,Beta*Pop_Share_Sel*(1-Sens_Red)*MAX(0,M10-T_Mort))</f>
        <v>0</v>
      </c>
      <c r="X10" s="16" t="n">
        <f aca="false">IF(ISNUMBER(F10),F10+Coef_B1*(Climate_Shift+G9),"")</f>
        <v>18.2016257914499</v>
      </c>
      <c r="Y10" s="16" t="n">
        <f aca="false">IF(AND(ISNUMBER(X10),H10&lt;&gt;""),H10+Climate_Shift-X10,"")</f>
        <v>-2.10162579144989</v>
      </c>
      <c r="Z10" s="16" t="n">
        <f aca="false">IF(ISNUMBER(Y10),ABS(Y10),"")</f>
        <v>2.10162579144989</v>
      </c>
      <c r="AA10" s="16" t="n">
        <f aca="false">IF(COUNT(Z9:Z10)=0,"",AVERAGE(Z9:Z10))</f>
        <v>2.10162579144989</v>
      </c>
      <c r="AB10" s="16" t="n">
        <f aca="false">IF(AD9=1,0,MAX(0,AB9+IF(ISNUMBER(Y10),Y10-CUSUM_k,0)))</f>
        <v>0</v>
      </c>
      <c r="AC10" s="16" t="n">
        <f aca="false">IF(AD9=1,0,MAX(0,AC9+IF(ISNUMBER(Y10),-Y10-CUSUM_k,0)))</f>
        <v>1.10162579144989</v>
      </c>
      <c r="AD10" s="17" t="n">
        <f aca="false">IF(OR(AB10&gt;CUSUM_h,AC10&gt;CUSUM_h,AND(ISNUMBER(AA10),AA10&gt;MAE_Tol)),1,0)</f>
        <v>0</v>
      </c>
      <c r="AE10" s="14" t="n">
        <f aca="false">IF(ISNUMBER(X10),IF(X10+Local_Sensing*UHI_Day_Eff&gt;=T_Day,1,0),0)</f>
        <v>0</v>
      </c>
      <c r="AF10" s="17" t="str">
        <f aca="false">IF(NOT(ISNUMBER(X10)),"n/a",IF(AND(AE10=1,N10=1),"Hit",IF(AND(AE10=0,N10=1),"Miss",IF(AND(AE10=1,N10=0),"False alarm","Correct quiet"))))</f>
        <v>Correct quiet</v>
      </c>
      <c r="AG10" s="14" t="n">
        <f aca="false">IF(H10="",0,IF(H10+Climate_Shift&gt;=T_Day,1,0))</f>
        <v>0</v>
      </c>
      <c r="AH10" s="17" t="n">
        <f aca="false">IF(AND(N10=1,AG10=0),1,0)</f>
        <v>0</v>
      </c>
      <c r="AI10" s="17" t="str">
        <f aca="false">IF(U10=1,"ESCALATE: surge health &amp; transport capacity",IF(AD10=1,"Model drift: retrain, recalibrate, raise change request",IF(S10&gt;=2,"Activate heat plan: outreach and cooling centres",IF(AND(E10=1,OR(N10=1,O10=1)),"Data QA: verify sensor before acting",IF(AF10="Miss","Review missed alert: threshold or model",IF(AH10=1,"Equity: local alert not seen at reference station","Monitor"))))))</f>
        <v>Monitor</v>
      </c>
      <c r="AK10" s="56" t="s">
        <v>343</v>
      </c>
      <c r="AL10" s="57" t="n">
        <f aca="false">IFERROR(INDEX($C$9:$C$161,MATCH(1,Q9:Q161,0)),"—")</f>
        <v>44728</v>
      </c>
      <c r="AN10" s="58" t="n">
        <f aca="false">T_Day</f>
        <v>28</v>
      </c>
      <c r="AO10" s="58" t="n">
        <f aca="false">Capacity</f>
        <v>40</v>
      </c>
      <c r="AP10" s="58" t="n">
        <f aca="false">CUSUM_h</f>
        <v>15</v>
      </c>
    </row>
    <row r="11" customFormat="false" ht="15" hidden="false" customHeight="false" outlineLevel="0" collapsed="false">
      <c r="A11" s="14" t="n">
        <v>3</v>
      </c>
      <c r="B11" s="14" t="n">
        <f aca="false">2+(SelYear-1979)*153+A11-1</f>
        <v>6583</v>
      </c>
      <c r="C11" s="55" t="n">
        <f aca="false">INDEX(Data_Heathrow!$A:$A,B11)</f>
        <v>44684</v>
      </c>
      <c r="D11" s="16" t="n">
        <f aca="false">INDEX(Data_Heathrow!$E:$E,B11)</f>
        <v>20</v>
      </c>
      <c r="E11" s="17" t="n">
        <f aca="false">INDEX(Data_Heathrow!$Q:$Q,B11)</f>
        <v>0</v>
      </c>
      <c r="F11" s="16" t="n">
        <f aca="false">INDEX(Data_Heathrow!$T:$T,B11)</f>
        <v>17.3101358407491</v>
      </c>
      <c r="G11" s="16" t="n">
        <f aca="false">IF(AND(Drift_Rate&lt;&gt;0,A11&gt;=Drift_Start),Drift_Rate*(A11-Drift_Start+1)/30,0)</f>
        <v>0</v>
      </c>
      <c r="H11" s="16" t="n">
        <f aca="false">IF(AND(E11=1,QA_Policy="Exclude suspect"),"",IF(AND(E11=1,QA_Policy="Impute with model",ISNUMBER(F11)),F11,D11)+G11)</f>
        <v>20</v>
      </c>
      <c r="I11" s="16" t="n">
        <f aca="false">IF(H11="","",H11+Climate_Shift+UHI_Day_Eff)</f>
        <v>22</v>
      </c>
      <c r="J11" s="16" t="n">
        <f aca="false">INDEX(Data_Heathrow!$G:$G,B11)</f>
        <v>10.6</v>
      </c>
      <c r="K11" s="16" t="n">
        <f aca="false">J11+Climate_Shift+UHI_Night_Eff</f>
        <v>14.6</v>
      </c>
      <c r="L11" s="16" t="n">
        <f aca="false">IF(INDEX(Data_Heathrow!$I:$I,B11)="","",INDEX(Data_Heathrow!$I:$I,B11))</f>
        <v>13.3</v>
      </c>
      <c r="M11" s="16" t="n">
        <f aca="false">IF(L11="","",L11+Climate_Shift+(UHI_Day_Eff+UHI_Night_Eff)/2)</f>
        <v>16.3</v>
      </c>
      <c r="N11" s="14" t="n">
        <f aca="false">IF(I11="",0,IF(I11&gt;=T_Day,1,0))</f>
        <v>0</v>
      </c>
      <c r="O11" s="14" t="n">
        <f aca="false">IF(K11&gt;=T_Night,1,0)</f>
        <v>0</v>
      </c>
      <c r="P11" s="14" t="n">
        <f aca="false">IF(N11=1,P10+1,0)</f>
        <v>0</v>
      </c>
      <c r="Q11" s="14" t="n">
        <f aca="false">IF(P11&gt;=HW_Days,1,0)</f>
        <v>0</v>
      </c>
      <c r="R11" s="17" t="str">
        <f aca="false">IF(AND(N11=1,I11&gt;=T_Red,O11=1),"RED",IF(AND(Q11=1,O11=1),"AMBER",IF(OR(N11=1,O11=1),"YELLOW","GREEN")))</f>
        <v>GREEN</v>
      </c>
      <c r="S11" s="14" t="n">
        <f aca="false">IF(R11="RED",3,IF(R11="AMBER",2,IF(R11="YELLOW",1,0)))</f>
        <v>0</v>
      </c>
      <c r="T11" s="16" t="n">
        <f aca="false">MAX(0,T10*(1-Decay)+IF(I11="",0,MAX(0,I11-T_Comfort))-Recovery_Rate*MAX(0,T_Night-K11))</f>
        <v>0</v>
      </c>
      <c r="U11" s="14" t="n">
        <f aca="false">IF(T11&gt;Capacity,1,0)</f>
        <v>0</v>
      </c>
      <c r="V11" s="15" t="n">
        <f aca="false">1/(1+EXP(-Logistic_k*(T11-Capacity)))</f>
        <v>0.00247262315663477</v>
      </c>
      <c r="W11" s="16" t="n">
        <f aca="false">IF(M11="",0,Beta*Pop_Share_Sel*(1-Sens_Red)*MAX(0,M11-T_Mort))</f>
        <v>0</v>
      </c>
      <c r="X11" s="16" t="n">
        <f aca="false">IF(ISNUMBER(F11),F11+Coef_B1*(Climate_Shift+G10),"")</f>
        <v>17.3101358407491</v>
      </c>
      <c r="Y11" s="16" t="n">
        <f aca="false">IF(AND(ISNUMBER(X11),H11&lt;&gt;""),H11+Climate_Shift-X11,"")</f>
        <v>2.68986415925095</v>
      </c>
      <c r="Z11" s="16" t="n">
        <f aca="false">IF(ISNUMBER(Y11),ABS(Y11),"")</f>
        <v>2.68986415925095</v>
      </c>
      <c r="AA11" s="16" t="n">
        <f aca="false">IF(COUNT(Z9:Z11)=0,"",AVERAGE(Z9:Z11))</f>
        <v>2.39574497535042</v>
      </c>
      <c r="AB11" s="16" t="n">
        <f aca="false">IF(AD10=1,0,MAX(0,AB10+IF(ISNUMBER(Y11),Y11-CUSUM_k,0)))</f>
        <v>1.68986415925095</v>
      </c>
      <c r="AC11" s="16" t="n">
        <f aca="false">IF(AD10=1,0,MAX(0,AC10+IF(ISNUMBER(Y11),-Y11-CUSUM_k,0)))</f>
        <v>0</v>
      </c>
      <c r="AD11" s="17" t="n">
        <f aca="false">IF(OR(AB11&gt;CUSUM_h,AC11&gt;CUSUM_h,AND(ISNUMBER(AA11),AA11&gt;MAE_Tol)),1,0)</f>
        <v>0</v>
      </c>
      <c r="AE11" s="14" t="n">
        <f aca="false">IF(ISNUMBER(X11),IF(X11+Local_Sensing*UHI_Day_Eff&gt;=T_Day,1,0),0)</f>
        <v>0</v>
      </c>
      <c r="AF11" s="17" t="str">
        <f aca="false">IF(NOT(ISNUMBER(X11)),"n/a",IF(AND(AE11=1,N11=1),"Hit",IF(AND(AE11=0,N11=1),"Miss",IF(AND(AE11=1,N11=0),"False alarm","Correct quiet"))))</f>
        <v>Correct quiet</v>
      </c>
      <c r="AG11" s="14" t="n">
        <f aca="false">IF(H11="",0,IF(H11+Climate_Shift&gt;=T_Day,1,0))</f>
        <v>0</v>
      </c>
      <c r="AH11" s="17" t="n">
        <f aca="false">IF(AND(N11=1,AG11=0),1,0)</f>
        <v>0</v>
      </c>
      <c r="AI11" s="17" t="str">
        <f aca="false">IF(U11=1,"ESCALATE: surge health &amp; transport capacity",IF(AD11=1,"Model drift: retrain, recalibrate, raise change request",IF(S11&gt;=2,"Activate heat plan: outreach and cooling centres",IF(AND(E11=1,OR(N11=1,O11=1)),"Data QA: verify sensor before acting",IF(AF11="Miss","Review missed alert: threshold or model",IF(AH11=1,"Equity: local alert not seen at reference station","Monitor"))))))</f>
        <v>Monitor</v>
      </c>
      <c r="AK11" s="56" t="s">
        <v>344</v>
      </c>
      <c r="AL11" s="57" t="n">
        <f aca="false">IFERROR(INDEX($C$9:$C$161,MATCH(1,U9:U161,0)),"—")</f>
        <v>44760</v>
      </c>
      <c r="AN11" s="58" t="n">
        <f aca="false">T_Day</f>
        <v>28</v>
      </c>
      <c r="AO11" s="58" t="n">
        <f aca="false">Capacity</f>
        <v>40</v>
      </c>
      <c r="AP11" s="58" t="n">
        <f aca="false">CUSUM_h</f>
        <v>15</v>
      </c>
    </row>
    <row r="12" customFormat="false" ht="15" hidden="false" customHeight="false" outlineLevel="0" collapsed="false">
      <c r="A12" s="14" t="n">
        <v>4</v>
      </c>
      <c r="B12" s="14" t="n">
        <f aca="false">2+(SelYear-1979)*153+A12-1</f>
        <v>6584</v>
      </c>
      <c r="C12" s="55" t="n">
        <f aca="false">INDEX(Data_Heathrow!$A:$A,B12)</f>
        <v>44685</v>
      </c>
      <c r="D12" s="16" t="n">
        <f aca="false">INDEX(Data_Heathrow!$E:$E,B12)</f>
        <v>19.9</v>
      </c>
      <c r="E12" s="17" t="n">
        <f aca="false">INDEX(Data_Heathrow!$Q:$Q,B12)</f>
        <v>0</v>
      </c>
      <c r="F12" s="16" t="n">
        <f aca="false">INDEX(Data_Heathrow!$T:$T,B12)</f>
        <v>20.5055586936154</v>
      </c>
      <c r="G12" s="16" t="n">
        <f aca="false">IF(AND(Drift_Rate&lt;&gt;0,A12&gt;=Drift_Start),Drift_Rate*(A12-Drift_Start+1)/30,0)</f>
        <v>0</v>
      </c>
      <c r="H12" s="16" t="n">
        <f aca="false">IF(AND(E12=1,QA_Policy="Exclude suspect"),"",IF(AND(E12=1,QA_Policy="Impute with model",ISNUMBER(F12)),F12,D12)+G12)</f>
        <v>19.9</v>
      </c>
      <c r="I12" s="16" t="n">
        <f aca="false">IF(H12="","",H12+Climate_Shift+UHI_Day_Eff)</f>
        <v>21.9</v>
      </c>
      <c r="J12" s="16" t="n">
        <f aca="false">INDEX(Data_Heathrow!$G:$G,B12)</f>
        <v>10.5</v>
      </c>
      <c r="K12" s="16" t="n">
        <f aca="false">J12+Climate_Shift+UHI_Night_Eff</f>
        <v>14.5</v>
      </c>
      <c r="L12" s="16" t="n">
        <f aca="false">IF(INDEX(Data_Heathrow!$I:$I,B12)="","",INDEX(Data_Heathrow!$I:$I,B12))</f>
        <v>15.2</v>
      </c>
      <c r="M12" s="16" t="n">
        <f aca="false">IF(L12="","",L12+Climate_Shift+(UHI_Day_Eff+UHI_Night_Eff)/2)</f>
        <v>18.2</v>
      </c>
      <c r="N12" s="14" t="n">
        <f aca="false">IF(I12="",0,IF(I12&gt;=T_Day,1,0))</f>
        <v>0</v>
      </c>
      <c r="O12" s="14" t="n">
        <f aca="false">IF(K12&gt;=T_Night,1,0)</f>
        <v>0</v>
      </c>
      <c r="P12" s="14" t="n">
        <f aca="false">IF(N12=1,P11+1,0)</f>
        <v>0</v>
      </c>
      <c r="Q12" s="14" t="n">
        <f aca="false">IF(P12&gt;=HW_Days,1,0)</f>
        <v>0</v>
      </c>
      <c r="R12" s="17" t="str">
        <f aca="false">IF(AND(N12=1,I12&gt;=T_Red,O12=1),"RED",IF(AND(Q12=1,O12=1),"AMBER",IF(OR(N12=1,O12=1),"YELLOW","GREEN")))</f>
        <v>GREEN</v>
      </c>
      <c r="S12" s="14" t="n">
        <f aca="false">IF(R12="RED",3,IF(R12="AMBER",2,IF(R12="YELLOW",1,0)))</f>
        <v>0</v>
      </c>
      <c r="T12" s="16" t="n">
        <f aca="false">MAX(0,T11*(1-Decay)+IF(I12="",0,MAX(0,I12-T_Comfort))-Recovery_Rate*MAX(0,T_Night-K12))</f>
        <v>0</v>
      </c>
      <c r="U12" s="14" t="n">
        <f aca="false">IF(T12&gt;Capacity,1,0)</f>
        <v>0</v>
      </c>
      <c r="V12" s="15" t="n">
        <f aca="false">1/(1+EXP(-Logistic_k*(T12-Capacity)))</f>
        <v>0.00247262315663477</v>
      </c>
      <c r="W12" s="16" t="n">
        <f aca="false">IF(M12="",0,Beta*Pop_Share_Sel*(1-Sens_Red)*MAX(0,M12-T_Mort))</f>
        <v>0</v>
      </c>
      <c r="X12" s="16" t="n">
        <f aca="false">IF(ISNUMBER(F12),F12+Coef_B1*(Climate_Shift+G11),"")</f>
        <v>20.5055586936154</v>
      </c>
      <c r="Y12" s="16" t="n">
        <f aca="false">IF(AND(ISNUMBER(X12),H12&lt;&gt;""),H12+Climate_Shift-X12,"")</f>
        <v>-0.605558693615418</v>
      </c>
      <c r="Z12" s="16" t="n">
        <f aca="false">IF(ISNUMBER(Y12),ABS(Y12),"")</f>
        <v>0.605558693615418</v>
      </c>
      <c r="AA12" s="16" t="n">
        <f aca="false">IF(COUNT(Z9:Z12)=0,"",AVERAGE(Z9:Z12))</f>
        <v>1.79901621477208</v>
      </c>
      <c r="AB12" s="16" t="n">
        <f aca="false">IF(AD11=1,0,MAX(0,AB11+IF(ISNUMBER(Y12),Y12-CUSUM_k,0)))</f>
        <v>0.0843054656355271</v>
      </c>
      <c r="AC12" s="16" t="n">
        <f aca="false">IF(AD11=1,0,MAX(0,AC11+IF(ISNUMBER(Y12),-Y12-CUSUM_k,0)))</f>
        <v>0</v>
      </c>
      <c r="AD12" s="17" t="n">
        <f aca="false">IF(OR(AB12&gt;CUSUM_h,AC12&gt;CUSUM_h,AND(ISNUMBER(AA12),AA12&gt;MAE_Tol)),1,0)</f>
        <v>0</v>
      </c>
      <c r="AE12" s="14" t="n">
        <f aca="false">IF(ISNUMBER(X12),IF(X12+Local_Sensing*UHI_Day_Eff&gt;=T_Day,1,0),0)</f>
        <v>0</v>
      </c>
      <c r="AF12" s="17" t="str">
        <f aca="false">IF(NOT(ISNUMBER(X12)),"n/a",IF(AND(AE12=1,N12=1),"Hit",IF(AND(AE12=0,N12=1),"Miss",IF(AND(AE12=1,N12=0),"False alarm","Correct quiet"))))</f>
        <v>Correct quiet</v>
      </c>
      <c r="AG12" s="14" t="n">
        <f aca="false">IF(H12="",0,IF(H12+Climate_Shift&gt;=T_Day,1,0))</f>
        <v>0</v>
      </c>
      <c r="AH12" s="17" t="n">
        <f aca="false">IF(AND(N12=1,AG12=0),1,0)</f>
        <v>0</v>
      </c>
      <c r="AI12" s="17" t="str">
        <f aca="false">IF(U12=1,"ESCALATE: surge health &amp; transport capacity",IF(AD12=1,"Model drift: retrain, recalibrate, raise change request",IF(S12&gt;=2,"Activate heat plan: outreach and cooling centres",IF(AND(E12=1,OR(N12=1,O12=1)),"Data QA: verify sensor before acting",IF(AF12="Miss","Review missed alert: threshold or model",IF(AH12=1,"Equity: local alert not seen at reference station","Monitor"))))))</f>
        <v>Monitor</v>
      </c>
      <c r="AK12" s="56" t="s">
        <v>218</v>
      </c>
      <c r="AL12" s="57" t="n">
        <f aca="false">IFERROR(INDEX($C$9:$C$161,MATCH(1,AD9:AD161,0)),"—")</f>
        <v>44760</v>
      </c>
      <c r="AN12" s="58" t="n">
        <f aca="false">T_Day</f>
        <v>28</v>
      </c>
      <c r="AO12" s="58" t="n">
        <f aca="false">Capacity</f>
        <v>40</v>
      </c>
      <c r="AP12" s="58" t="n">
        <f aca="false">CUSUM_h</f>
        <v>15</v>
      </c>
    </row>
    <row r="13" customFormat="false" ht="15" hidden="false" customHeight="false" outlineLevel="0" collapsed="false">
      <c r="A13" s="14" t="n">
        <v>5</v>
      </c>
      <c r="B13" s="14" t="n">
        <f aca="false">2+(SelYear-1979)*153+A13-1</f>
        <v>6585</v>
      </c>
      <c r="C13" s="55" t="n">
        <f aca="false">INDEX(Data_Heathrow!$A:$A,B13)</f>
        <v>44686</v>
      </c>
      <c r="D13" s="16" t="n">
        <f aca="false">INDEX(Data_Heathrow!$E:$E,B13)</f>
        <v>23.3</v>
      </c>
      <c r="E13" s="17" t="n">
        <f aca="false">INDEX(Data_Heathrow!$Q:$Q,B13)</f>
        <v>0</v>
      </c>
      <c r="F13" s="16" t="n">
        <f aca="false">INDEX(Data_Heathrow!$T:$T,B13)</f>
        <v>20.36715896397</v>
      </c>
      <c r="G13" s="16" t="n">
        <f aca="false">IF(AND(Drift_Rate&lt;&gt;0,A13&gt;=Drift_Start),Drift_Rate*(A13-Drift_Start+1)/30,0)</f>
        <v>0</v>
      </c>
      <c r="H13" s="16" t="n">
        <f aca="false">IF(AND(E13=1,QA_Policy="Exclude suspect"),"",IF(AND(E13=1,QA_Policy="Impute with model",ISNUMBER(F13)),F13,D13)+G13)</f>
        <v>23.3</v>
      </c>
      <c r="I13" s="16" t="n">
        <f aca="false">IF(H13="","",H13+Climate_Shift+UHI_Day_Eff)</f>
        <v>25.3</v>
      </c>
      <c r="J13" s="16" t="n">
        <f aca="false">INDEX(Data_Heathrow!$G:$G,B13)</f>
        <v>7.5</v>
      </c>
      <c r="K13" s="16" t="n">
        <f aca="false">J13+Climate_Shift+UHI_Night_Eff</f>
        <v>11.5</v>
      </c>
      <c r="L13" s="16" t="n">
        <f aca="false">IF(INDEX(Data_Heathrow!$I:$I,B13)="","",INDEX(Data_Heathrow!$I:$I,B13))</f>
        <v>13.7</v>
      </c>
      <c r="M13" s="16" t="n">
        <f aca="false">IF(L13="","",L13+Climate_Shift+(UHI_Day_Eff+UHI_Night_Eff)/2)</f>
        <v>16.7</v>
      </c>
      <c r="N13" s="14" t="n">
        <f aca="false">IF(I13="",0,IF(I13&gt;=T_Day,1,0))</f>
        <v>0</v>
      </c>
      <c r="O13" s="14" t="n">
        <f aca="false">IF(K13&gt;=T_Night,1,0)</f>
        <v>0</v>
      </c>
      <c r="P13" s="14" t="n">
        <f aca="false">IF(N13=1,P12+1,0)</f>
        <v>0</v>
      </c>
      <c r="Q13" s="14" t="n">
        <f aca="false">IF(P13&gt;=HW_Days,1,0)</f>
        <v>0</v>
      </c>
      <c r="R13" s="17" t="str">
        <f aca="false">IF(AND(N13=1,I13&gt;=T_Red,O13=1),"RED",IF(AND(Q13=1,O13=1),"AMBER",IF(OR(N13=1,O13=1),"YELLOW","GREEN")))</f>
        <v>GREEN</v>
      </c>
      <c r="S13" s="14" t="n">
        <f aca="false">IF(R13="RED",3,IF(R13="AMBER",2,IF(R13="YELLOW",1,0)))</f>
        <v>0</v>
      </c>
      <c r="T13" s="16" t="n">
        <f aca="false">MAX(0,T12*(1-Decay)+IF(I13="",0,MAX(0,I13-T_Comfort))-Recovery_Rate*MAX(0,T_Night-K13))</f>
        <v>0</v>
      </c>
      <c r="U13" s="14" t="n">
        <f aca="false">IF(T13&gt;Capacity,1,0)</f>
        <v>0</v>
      </c>
      <c r="V13" s="15" t="n">
        <f aca="false">1/(1+EXP(-Logistic_k*(T13-Capacity)))</f>
        <v>0.00247262315663477</v>
      </c>
      <c r="W13" s="16" t="n">
        <f aca="false">IF(M13="",0,Beta*Pop_Share_Sel*(1-Sens_Red)*MAX(0,M13-T_Mort))</f>
        <v>0</v>
      </c>
      <c r="X13" s="16" t="n">
        <f aca="false">IF(ISNUMBER(F13),F13+Coef_B1*(Climate_Shift+G12),"")</f>
        <v>20.36715896397</v>
      </c>
      <c r="Y13" s="16" t="n">
        <f aca="false">IF(AND(ISNUMBER(X13),H13&lt;&gt;""),H13+Climate_Shift-X13,"")</f>
        <v>2.93284103603003</v>
      </c>
      <c r="Z13" s="16" t="n">
        <f aca="false">IF(ISNUMBER(Y13),ABS(Y13),"")</f>
        <v>2.93284103603003</v>
      </c>
      <c r="AA13" s="16" t="n">
        <f aca="false">IF(COUNT(Z9:Z13)=0,"",AVERAGE(Z9:Z13))</f>
        <v>2.08247242008657</v>
      </c>
      <c r="AB13" s="16" t="n">
        <f aca="false">IF(AD12=1,0,MAX(0,AB12+IF(ISNUMBER(Y13),Y13-CUSUM_k,0)))</f>
        <v>2.01714650166556</v>
      </c>
      <c r="AC13" s="16" t="n">
        <f aca="false">IF(AD12=1,0,MAX(0,AC12+IF(ISNUMBER(Y13),-Y13-CUSUM_k,0)))</f>
        <v>0</v>
      </c>
      <c r="AD13" s="17" t="n">
        <f aca="false">IF(OR(AB13&gt;CUSUM_h,AC13&gt;CUSUM_h,AND(ISNUMBER(AA13),AA13&gt;MAE_Tol)),1,0)</f>
        <v>0</v>
      </c>
      <c r="AE13" s="14" t="n">
        <f aca="false">IF(ISNUMBER(X13),IF(X13+Local_Sensing*UHI_Day_Eff&gt;=T_Day,1,0),0)</f>
        <v>0</v>
      </c>
      <c r="AF13" s="17" t="str">
        <f aca="false">IF(NOT(ISNUMBER(X13)),"n/a",IF(AND(AE13=1,N13=1),"Hit",IF(AND(AE13=0,N13=1),"Miss",IF(AND(AE13=1,N13=0),"False alarm","Correct quiet"))))</f>
        <v>Correct quiet</v>
      </c>
      <c r="AG13" s="14" t="n">
        <f aca="false">IF(H13="",0,IF(H13+Climate_Shift&gt;=T_Day,1,0))</f>
        <v>0</v>
      </c>
      <c r="AH13" s="17" t="n">
        <f aca="false">IF(AND(N13=1,AG13=0),1,0)</f>
        <v>0</v>
      </c>
      <c r="AI13" s="17" t="str">
        <f aca="false">IF(U13=1,"ESCALATE: surge health &amp; transport capacity",IF(AD13=1,"Model drift: retrain, recalibrate, raise change request",IF(S13&gt;=2,"Activate heat plan: outreach and cooling centres",IF(AND(E13=1,OR(N13=1,O13=1)),"Data QA: verify sensor before acting",IF(AF13="Miss","Review missed alert: threshold or model",IF(AH13=1,"Equity: local alert not seen at reference station","Monitor"))))))</f>
        <v>Monitor</v>
      </c>
      <c r="AK13" s="56" t="s">
        <v>345</v>
      </c>
      <c r="AL13" s="57" t="n">
        <f aca="false">IFERROR(INDEX($C$9:$C$161,MATCH(1,AH9:AH161,0)),"—")</f>
        <v>44697</v>
      </c>
      <c r="AN13" s="58" t="n">
        <f aca="false">T_Day</f>
        <v>28</v>
      </c>
      <c r="AO13" s="58" t="n">
        <f aca="false">Capacity</f>
        <v>40</v>
      </c>
      <c r="AP13" s="58" t="n">
        <f aca="false">CUSUM_h</f>
        <v>15</v>
      </c>
    </row>
    <row r="14" customFormat="false" ht="15" hidden="false" customHeight="false" outlineLevel="0" collapsed="false">
      <c r="A14" s="14" t="n">
        <v>6</v>
      </c>
      <c r="B14" s="14" t="n">
        <f aca="false">2+(SelYear-1979)*153+A14-1</f>
        <v>6586</v>
      </c>
      <c r="C14" s="55" t="n">
        <f aca="false">INDEX(Data_Heathrow!$A:$A,B14)</f>
        <v>44687</v>
      </c>
      <c r="D14" s="16" t="n">
        <f aca="false">INDEX(Data_Heathrow!$E:$E,B14)</f>
        <v>20.3</v>
      </c>
      <c r="E14" s="17" t="n">
        <f aca="false">INDEX(Data_Heathrow!$Q:$Q,B14)</f>
        <v>0</v>
      </c>
      <c r="F14" s="16" t="n">
        <f aca="false">INDEX(Data_Heathrow!$T:$T,B14)</f>
        <v>23.294076746168</v>
      </c>
      <c r="G14" s="16" t="n">
        <f aca="false">IF(AND(Drift_Rate&lt;&gt;0,A14&gt;=Drift_Start),Drift_Rate*(A14-Drift_Start+1)/30,0)</f>
        <v>0</v>
      </c>
      <c r="H14" s="16" t="n">
        <f aca="false">IF(AND(E14=1,QA_Policy="Exclude suspect"),"",IF(AND(E14=1,QA_Policy="Impute with model",ISNUMBER(F14)),F14,D14)+G14)</f>
        <v>20.3</v>
      </c>
      <c r="I14" s="16" t="n">
        <f aca="false">IF(H14="","",H14+Climate_Shift+UHI_Day_Eff)</f>
        <v>22.3</v>
      </c>
      <c r="J14" s="16" t="n">
        <f aca="false">INDEX(Data_Heathrow!$G:$G,B14)</f>
        <v>9.2</v>
      </c>
      <c r="K14" s="16" t="n">
        <f aca="false">J14+Climate_Shift+UHI_Night_Eff</f>
        <v>13.2</v>
      </c>
      <c r="L14" s="16" t="n">
        <f aca="false">IF(INDEX(Data_Heathrow!$I:$I,B14)="","",INDEX(Data_Heathrow!$I:$I,B14))</f>
        <v>16.2</v>
      </c>
      <c r="M14" s="16" t="n">
        <f aca="false">IF(L14="","",L14+Climate_Shift+(UHI_Day_Eff+UHI_Night_Eff)/2)</f>
        <v>19.2</v>
      </c>
      <c r="N14" s="14" t="n">
        <f aca="false">IF(I14="",0,IF(I14&gt;=T_Day,1,0))</f>
        <v>0</v>
      </c>
      <c r="O14" s="14" t="n">
        <f aca="false">IF(K14&gt;=T_Night,1,0)</f>
        <v>0</v>
      </c>
      <c r="P14" s="14" t="n">
        <f aca="false">IF(N14=1,P13+1,0)</f>
        <v>0</v>
      </c>
      <c r="Q14" s="14" t="n">
        <f aca="false">IF(P14&gt;=HW_Days,1,0)</f>
        <v>0</v>
      </c>
      <c r="R14" s="17" t="str">
        <f aca="false">IF(AND(N14=1,I14&gt;=T_Red,O14=1),"RED",IF(AND(Q14=1,O14=1),"AMBER",IF(OR(N14=1,O14=1),"YELLOW","GREEN")))</f>
        <v>GREEN</v>
      </c>
      <c r="S14" s="14" t="n">
        <f aca="false">IF(R14="RED",3,IF(R14="AMBER",2,IF(R14="YELLOW",1,0)))</f>
        <v>0</v>
      </c>
      <c r="T14" s="16" t="n">
        <f aca="false">MAX(0,T13*(1-Decay)+IF(I14="",0,MAX(0,I14-T_Comfort))-Recovery_Rate*MAX(0,T_Night-K14))</f>
        <v>0</v>
      </c>
      <c r="U14" s="14" t="n">
        <f aca="false">IF(T14&gt;Capacity,1,0)</f>
        <v>0</v>
      </c>
      <c r="V14" s="15" t="n">
        <f aca="false">1/(1+EXP(-Logistic_k*(T14-Capacity)))</f>
        <v>0.00247262315663477</v>
      </c>
      <c r="W14" s="16" t="n">
        <f aca="false">IF(M14="",0,Beta*Pop_Share_Sel*(1-Sens_Red)*MAX(0,M14-T_Mort))</f>
        <v>0</v>
      </c>
      <c r="X14" s="16" t="n">
        <f aca="false">IF(ISNUMBER(F14),F14+Coef_B1*(Climate_Shift+G13),"")</f>
        <v>23.294076746168</v>
      </c>
      <c r="Y14" s="16" t="n">
        <f aca="false">IF(AND(ISNUMBER(X14),H14&lt;&gt;""),H14+Climate_Shift-X14,"")</f>
        <v>-2.99407674616796</v>
      </c>
      <c r="Z14" s="16" t="n">
        <f aca="false">IF(ISNUMBER(Y14),ABS(Y14),"")</f>
        <v>2.99407674616796</v>
      </c>
      <c r="AA14" s="16" t="n">
        <f aca="false">IF(COUNT(Z9:Z14)=0,"",AVERAGE(Z9:Z14))</f>
        <v>2.26479328530285</v>
      </c>
      <c r="AB14" s="16" t="n">
        <f aca="false">IF(AD13=1,0,MAX(0,AB13+IF(ISNUMBER(Y14),Y14-CUSUM_k,0)))</f>
        <v>0</v>
      </c>
      <c r="AC14" s="16" t="n">
        <f aca="false">IF(AD13=1,0,MAX(0,AC13+IF(ISNUMBER(Y14),-Y14-CUSUM_k,0)))</f>
        <v>1.99407674616796</v>
      </c>
      <c r="AD14" s="17" t="n">
        <f aca="false">IF(OR(AB14&gt;CUSUM_h,AC14&gt;CUSUM_h,AND(ISNUMBER(AA14),AA14&gt;MAE_Tol)),1,0)</f>
        <v>0</v>
      </c>
      <c r="AE14" s="14" t="n">
        <f aca="false">IF(ISNUMBER(X14),IF(X14+Local_Sensing*UHI_Day_Eff&gt;=T_Day,1,0),0)</f>
        <v>0</v>
      </c>
      <c r="AF14" s="17" t="str">
        <f aca="false">IF(NOT(ISNUMBER(X14)),"n/a",IF(AND(AE14=1,N14=1),"Hit",IF(AND(AE14=0,N14=1),"Miss",IF(AND(AE14=1,N14=0),"False alarm","Correct quiet"))))</f>
        <v>Correct quiet</v>
      </c>
      <c r="AG14" s="14" t="n">
        <f aca="false">IF(H14="",0,IF(H14+Climate_Shift&gt;=T_Day,1,0))</f>
        <v>0</v>
      </c>
      <c r="AH14" s="17" t="n">
        <f aca="false">IF(AND(N14=1,AG14=0),1,0)</f>
        <v>0</v>
      </c>
      <c r="AI14" s="17" t="str">
        <f aca="false">IF(U14=1,"ESCALATE: surge health &amp; transport capacity",IF(AD14=1,"Model drift: retrain, recalibrate, raise change request",IF(S14&gt;=2,"Activate heat plan: outreach and cooling centres",IF(AND(E14=1,OR(N14=1,O14=1)),"Data QA: verify sensor before acting",IF(AF14="Miss","Review missed alert: threshold or model",IF(AH14=1,"Equity: local alert not seen at reference station","Monitor"))))))</f>
        <v>Monitor</v>
      </c>
      <c r="AN14" s="58" t="n">
        <f aca="false">T_Day</f>
        <v>28</v>
      </c>
      <c r="AO14" s="58" t="n">
        <f aca="false">Capacity</f>
        <v>40</v>
      </c>
      <c r="AP14" s="58" t="n">
        <f aca="false">CUSUM_h</f>
        <v>15</v>
      </c>
    </row>
    <row r="15" customFormat="false" ht="15" hidden="false" customHeight="false" outlineLevel="0" collapsed="false">
      <c r="A15" s="14" t="n">
        <v>7</v>
      </c>
      <c r="B15" s="14" t="n">
        <f aca="false">2+(SelYear-1979)*153+A15-1</f>
        <v>6587</v>
      </c>
      <c r="C15" s="55" t="n">
        <f aca="false">INDEX(Data_Heathrow!$A:$A,B15)</f>
        <v>44688</v>
      </c>
      <c r="D15" s="16" t="n">
        <f aca="false">INDEX(Data_Heathrow!$E:$E,B15)</f>
        <v>20.6</v>
      </c>
      <c r="E15" s="17" t="n">
        <f aca="false">INDEX(Data_Heathrow!$Q:$Q,B15)</f>
        <v>0</v>
      </c>
      <c r="F15" s="16" t="n">
        <f aca="false">INDEX(Data_Heathrow!$T:$T,B15)</f>
        <v>20.8768400300642</v>
      </c>
      <c r="G15" s="16" t="n">
        <f aca="false">IF(AND(Drift_Rate&lt;&gt;0,A15&gt;=Drift_Start),Drift_Rate*(A15-Drift_Start+1)/30,0)</f>
        <v>0</v>
      </c>
      <c r="H15" s="16" t="n">
        <f aca="false">IF(AND(E15=1,QA_Policy="Exclude suspect"),"",IF(AND(E15=1,QA_Policy="Impute with model",ISNUMBER(F15)),F15,D15)+G15)</f>
        <v>20.6</v>
      </c>
      <c r="I15" s="16" t="n">
        <f aca="false">IF(H15="","",H15+Climate_Shift+UHI_Day_Eff)</f>
        <v>22.6</v>
      </c>
      <c r="J15" s="16" t="n">
        <f aca="false">INDEX(Data_Heathrow!$G:$G,B15)</f>
        <v>12.4</v>
      </c>
      <c r="K15" s="16" t="n">
        <f aca="false">J15+Climate_Shift+UHI_Night_Eff</f>
        <v>16.4</v>
      </c>
      <c r="L15" s="16" t="n">
        <f aca="false">IF(INDEX(Data_Heathrow!$I:$I,B15)="","",INDEX(Data_Heathrow!$I:$I,B15))</f>
        <v>16.4</v>
      </c>
      <c r="M15" s="16" t="n">
        <f aca="false">IF(L15="","",L15+Climate_Shift+(UHI_Day_Eff+UHI_Night_Eff)/2)</f>
        <v>19.4</v>
      </c>
      <c r="N15" s="14" t="n">
        <f aca="false">IF(I15="",0,IF(I15&gt;=T_Day,1,0))</f>
        <v>0</v>
      </c>
      <c r="O15" s="14" t="n">
        <f aca="false">IF(K15&gt;=T_Night,1,0)</f>
        <v>0</v>
      </c>
      <c r="P15" s="14" t="n">
        <f aca="false">IF(N15=1,P14+1,0)</f>
        <v>0</v>
      </c>
      <c r="Q15" s="14" t="n">
        <f aca="false">IF(P15&gt;=HW_Days,1,0)</f>
        <v>0</v>
      </c>
      <c r="R15" s="17" t="str">
        <f aca="false">IF(AND(N15=1,I15&gt;=T_Red,O15=1),"RED",IF(AND(Q15=1,O15=1),"AMBER",IF(OR(N15=1,O15=1),"YELLOW","GREEN")))</f>
        <v>GREEN</v>
      </c>
      <c r="S15" s="14" t="n">
        <f aca="false">IF(R15="RED",3,IF(R15="AMBER",2,IF(R15="YELLOW",1,0)))</f>
        <v>0</v>
      </c>
      <c r="T15" s="16" t="n">
        <f aca="false">MAX(0,T14*(1-Decay)+IF(I15="",0,MAX(0,I15-T_Comfort))-Recovery_Rate*MAX(0,T_Night-K15))</f>
        <v>0</v>
      </c>
      <c r="U15" s="14" t="n">
        <f aca="false">IF(T15&gt;Capacity,1,0)</f>
        <v>0</v>
      </c>
      <c r="V15" s="15" t="n">
        <f aca="false">1/(1+EXP(-Logistic_k*(T15-Capacity)))</f>
        <v>0.00247262315663477</v>
      </c>
      <c r="W15" s="16" t="n">
        <f aca="false">IF(M15="",0,Beta*Pop_Share_Sel*(1-Sens_Red)*MAX(0,M15-T_Mort))</f>
        <v>0</v>
      </c>
      <c r="X15" s="16" t="n">
        <f aca="false">IF(ISNUMBER(F15),F15+Coef_B1*(Climate_Shift+G14),"")</f>
        <v>20.8768400300642</v>
      </c>
      <c r="Y15" s="16" t="n">
        <f aca="false">IF(AND(ISNUMBER(X15),H15&lt;&gt;""),H15+Climate_Shift-X15,"")</f>
        <v>-0.276840030064164</v>
      </c>
      <c r="Z15" s="16" t="n">
        <f aca="false">IF(ISNUMBER(Y15),ABS(Y15),"")</f>
        <v>0.276840030064164</v>
      </c>
      <c r="AA15" s="16" t="n">
        <f aca="false">IF(COUNT(Z9:Z15)=0,"",AVERAGE(Z9:Z15))</f>
        <v>1.93346774276307</v>
      </c>
      <c r="AB15" s="16" t="n">
        <f aca="false">IF(AD14=1,0,MAX(0,AB14+IF(ISNUMBER(Y15),Y15-CUSUM_k,0)))</f>
        <v>0</v>
      </c>
      <c r="AC15" s="16" t="n">
        <f aca="false">IF(AD14=1,0,MAX(0,AC14+IF(ISNUMBER(Y15),-Y15-CUSUM_k,0)))</f>
        <v>1.27091677623212</v>
      </c>
      <c r="AD15" s="17" t="n">
        <f aca="false">IF(OR(AB15&gt;CUSUM_h,AC15&gt;CUSUM_h,AND(ISNUMBER(AA15),AA15&gt;MAE_Tol)),1,0)</f>
        <v>0</v>
      </c>
      <c r="AE15" s="14" t="n">
        <f aca="false">IF(ISNUMBER(X15),IF(X15+Local_Sensing*UHI_Day_Eff&gt;=T_Day,1,0),0)</f>
        <v>0</v>
      </c>
      <c r="AF15" s="17" t="str">
        <f aca="false">IF(NOT(ISNUMBER(X15)),"n/a",IF(AND(AE15=1,N15=1),"Hit",IF(AND(AE15=0,N15=1),"Miss",IF(AND(AE15=1,N15=0),"False alarm","Correct quiet"))))</f>
        <v>Correct quiet</v>
      </c>
      <c r="AG15" s="14" t="n">
        <f aca="false">IF(H15="",0,IF(H15+Climate_Shift&gt;=T_Day,1,0))</f>
        <v>0</v>
      </c>
      <c r="AH15" s="17" t="n">
        <f aca="false">IF(AND(N15=1,AG15=0),1,0)</f>
        <v>0</v>
      </c>
      <c r="AI15" s="17" t="str">
        <f aca="false">IF(U15=1,"ESCALATE: surge health &amp; transport capacity",IF(AD15=1,"Model drift: retrain, recalibrate, raise change request",IF(S15&gt;=2,"Activate heat plan: outreach and cooling centres",IF(AND(E15=1,OR(N15=1,O15=1)),"Data QA: verify sensor before acting",IF(AF15="Miss","Review missed alert: threshold or model",IF(AH15=1,"Equity: local alert not seen at reference station","Monitor"))))))</f>
        <v>Monitor</v>
      </c>
      <c r="AN15" s="58" t="n">
        <f aca="false">T_Day</f>
        <v>28</v>
      </c>
      <c r="AO15" s="58" t="n">
        <f aca="false">Capacity</f>
        <v>40</v>
      </c>
      <c r="AP15" s="58" t="n">
        <f aca="false">CUSUM_h</f>
        <v>15</v>
      </c>
    </row>
    <row r="16" customFormat="false" ht="15" hidden="false" customHeight="false" outlineLevel="0" collapsed="false">
      <c r="A16" s="14" t="n">
        <v>8</v>
      </c>
      <c r="B16" s="14" t="n">
        <f aca="false">2+(SelYear-1979)*153+A16-1</f>
        <v>6588</v>
      </c>
      <c r="C16" s="55" t="n">
        <f aca="false">INDEX(Data_Heathrow!$A:$A,B16)</f>
        <v>44689</v>
      </c>
      <c r="D16" s="16" t="n">
        <f aca="false">INDEX(Data_Heathrow!$E:$E,B16)</f>
        <v>23.4</v>
      </c>
      <c r="E16" s="17" t="n">
        <f aca="false">INDEX(Data_Heathrow!$Q:$Q,B16)</f>
        <v>0</v>
      </c>
      <c r="F16" s="16" t="n">
        <f aca="false">INDEX(Data_Heathrow!$T:$T,B16)</f>
        <v>21.138326735294</v>
      </c>
      <c r="G16" s="16" t="n">
        <f aca="false">IF(AND(Drift_Rate&lt;&gt;0,A16&gt;=Drift_Start),Drift_Rate*(A16-Drift_Start+1)/30,0)</f>
        <v>0</v>
      </c>
      <c r="H16" s="16" t="n">
        <f aca="false">IF(AND(E16=1,QA_Policy="Exclude suspect"),"",IF(AND(E16=1,QA_Policy="Impute with model",ISNUMBER(F16)),F16,D16)+G16)</f>
        <v>23.4</v>
      </c>
      <c r="I16" s="16" t="n">
        <f aca="false">IF(H16="","",H16+Climate_Shift+UHI_Day_Eff)</f>
        <v>25.4</v>
      </c>
      <c r="J16" s="16" t="n">
        <f aca="false">INDEX(Data_Heathrow!$G:$G,B16)</f>
        <v>9.6</v>
      </c>
      <c r="K16" s="16" t="n">
        <f aca="false">J16+Climate_Shift+UHI_Night_Eff</f>
        <v>13.6</v>
      </c>
      <c r="L16" s="16" t="n">
        <f aca="false">IF(INDEX(Data_Heathrow!$I:$I,B16)="","",INDEX(Data_Heathrow!$I:$I,B16))</f>
        <v>15.1</v>
      </c>
      <c r="M16" s="16" t="n">
        <f aca="false">IF(L16="","",L16+Climate_Shift+(UHI_Day_Eff+UHI_Night_Eff)/2)</f>
        <v>18.1</v>
      </c>
      <c r="N16" s="14" t="n">
        <f aca="false">IF(I16="",0,IF(I16&gt;=T_Day,1,0))</f>
        <v>0</v>
      </c>
      <c r="O16" s="14" t="n">
        <f aca="false">IF(K16&gt;=T_Night,1,0)</f>
        <v>0</v>
      </c>
      <c r="P16" s="14" t="n">
        <f aca="false">IF(N16=1,P15+1,0)</f>
        <v>0</v>
      </c>
      <c r="Q16" s="14" t="n">
        <f aca="false">IF(P16&gt;=HW_Days,1,0)</f>
        <v>0</v>
      </c>
      <c r="R16" s="17" t="str">
        <f aca="false">IF(AND(N16=1,I16&gt;=T_Red,O16=1),"RED",IF(AND(Q16=1,O16=1),"AMBER",IF(OR(N16=1,O16=1),"YELLOW","GREEN")))</f>
        <v>GREEN</v>
      </c>
      <c r="S16" s="14" t="n">
        <f aca="false">IF(R16="RED",3,IF(R16="AMBER",2,IF(R16="YELLOW",1,0)))</f>
        <v>0</v>
      </c>
      <c r="T16" s="16" t="n">
        <f aca="false">MAX(0,T15*(1-Decay)+IF(I16="",0,MAX(0,I16-T_Comfort))-Recovery_Rate*MAX(0,T_Night-K16))</f>
        <v>0</v>
      </c>
      <c r="U16" s="14" t="n">
        <f aca="false">IF(T16&gt;Capacity,1,0)</f>
        <v>0</v>
      </c>
      <c r="V16" s="15" t="n">
        <f aca="false">1/(1+EXP(-Logistic_k*(T16-Capacity)))</f>
        <v>0.00247262315663477</v>
      </c>
      <c r="W16" s="16" t="n">
        <f aca="false">IF(M16="",0,Beta*Pop_Share_Sel*(1-Sens_Red)*MAX(0,M16-T_Mort))</f>
        <v>0</v>
      </c>
      <c r="X16" s="16" t="n">
        <f aca="false">IF(ISNUMBER(F16),F16+Coef_B1*(Climate_Shift+G15),"")</f>
        <v>21.138326735294</v>
      </c>
      <c r="Y16" s="16" t="n">
        <f aca="false">IF(AND(ISNUMBER(X16),H16&lt;&gt;""),H16+Climate_Shift-X16,"")</f>
        <v>2.26167326470603</v>
      </c>
      <c r="Z16" s="16" t="n">
        <f aca="false">IF(ISNUMBER(Y16),ABS(Y16),"")</f>
        <v>2.26167326470603</v>
      </c>
      <c r="AA16" s="16" t="n">
        <f aca="false">IF(COUNT(Z10:Z16)=0,"",AVERAGE(Z10:Z16))</f>
        <v>1.98035424589778</v>
      </c>
      <c r="AB16" s="16" t="n">
        <f aca="false">IF(AD15=1,0,MAX(0,AB15+IF(ISNUMBER(Y16),Y16-CUSUM_k,0)))</f>
        <v>1.26167326470603</v>
      </c>
      <c r="AC16" s="16" t="n">
        <f aca="false">IF(AD15=1,0,MAX(0,AC15+IF(ISNUMBER(Y16),-Y16-CUSUM_k,0)))</f>
        <v>0</v>
      </c>
      <c r="AD16" s="17" t="n">
        <f aca="false">IF(OR(AB16&gt;CUSUM_h,AC16&gt;CUSUM_h,AND(ISNUMBER(AA16),AA16&gt;MAE_Tol)),1,0)</f>
        <v>0</v>
      </c>
      <c r="AE16" s="14" t="n">
        <f aca="false">IF(ISNUMBER(X16),IF(X16+Local_Sensing*UHI_Day_Eff&gt;=T_Day,1,0),0)</f>
        <v>0</v>
      </c>
      <c r="AF16" s="17" t="str">
        <f aca="false">IF(NOT(ISNUMBER(X16)),"n/a",IF(AND(AE16=1,N16=1),"Hit",IF(AND(AE16=0,N16=1),"Miss",IF(AND(AE16=1,N16=0),"False alarm","Correct quiet"))))</f>
        <v>Correct quiet</v>
      </c>
      <c r="AG16" s="14" t="n">
        <f aca="false">IF(H16="",0,IF(H16+Climate_Shift&gt;=T_Day,1,0))</f>
        <v>0</v>
      </c>
      <c r="AH16" s="17" t="n">
        <f aca="false">IF(AND(N16=1,AG16=0),1,0)</f>
        <v>0</v>
      </c>
      <c r="AI16" s="17" t="str">
        <f aca="false">IF(U16=1,"ESCALATE: surge health &amp; transport capacity",IF(AD16=1,"Model drift: retrain, recalibrate, raise change request",IF(S16&gt;=2,"Activate heat plan: outreach and cooling centres",IF(AND(E16=1,OR(N16=1,O16=1)),"Data QA: verify sensor before acting",IF(AF16="Miss","Review missed alert: threshold or model",IF(AH16=1,"Equity: local alert not seen at reference station","Monitor"))))))</f>
        <v>Monitor</v>
      </c>
      <c r="AN16" s="58" t="n">
        <f aca="false">T_Day</f>
        <v>28</v>
      </c>
      <c r="AO16" s="58" t="n">
        <f aca="false">Capacity</f>
        <v>40</v>
      </c>
      <c r="AP16" s="58" t="n">
        <f aca="false">CUSUM_h</f>
        <v>15</v>
      </c>
    </row>
    <row r="17" customFormat="false" ht="15" hidden="false" customHeight="false" outlineLevel="0" collapsed="false">
      <c r="A17" s="14" t="n">
        <v>9</v>
      </c>
      <c r="B17" s="14" t="n">
        <f aca="false">2+(SelYear-1979)*153+A17-1</f>
        <v>6589</v>
      </c>
      <c r="C17" s="55" t="n">
        <f aca="false">INDEX(Data_Heathrow!$A:$A,B17)</f>
        <v>44690</v>
      </c>
      <c r="D17" s="16" t="n">
        <f aca="false">INDEX(Data_Heathrow!$E:$E,B17)</f>
        <v>20.9</v>
      </c>
      <c r="E17" s="17" t="n">
        <f aca="false">INDEX(Data_Heathrow!$Q:$Q,B17)</f>
        <v>0</v>
      </c>
      <c r="F17" s="16" t="n">
        <f aca="false">INDEX(Data_Heathrow!$T:$T,B17)</f>
        <v>23.5265861597154</v>
      </c>
      <c r="G17" s="16" t="n">
        <f aca="false">IF(AND(Drift_Rate&lt;&gt;0,A17&gt;=Drift_Start),Drift_Rate*(A17-Drift_Start+1)/30,0)</f>
        <v>0</v>
      </c>
      <c r="H17" s="16" t="n">
        <f aca="false">IF(AND(E17=1,QA_Policy="Exclude suspect"),"",IF(AND(E17=1,QA_Policy="Impute with model",ISNUMBER(F17)),F17,D17)+G17)</f>
        <v>20.9</v>
      </c>
      <c r="I17" s="16" t="n">
        <f aca="false">IF(H17="","",H17+Climate_Shift+UHI_Day_Eff)</f>
        <v>22.9</v>
      </c>
      <c r="J17" s="16" t="n">
        <f aca="false">INDEX(Data_Heathrow!$G:$G,B17)</f>
        <v>6</v>
      </c>
      <c r="K17" s="16" t="n">
        <f aca="false">J17+Climate_Shift+UHI_Night_Eff</f>
        <v>10</v>
      </c>
      <c r="L17" s="16" t="n">
        <f aca="false">IF(INDEX(Data_Heathrow!$I:$I,B17)="","",INDEX(Data_Heathrow!$I:$I,B17))</f>
        <v>14.7</v>
      </c>
      <c r="M17" s="16" t="n">
        <f aca="false">IF(L17="","",L17+Climate_Shift+(UHI_Day_Eff+UHI_Night_Eff)/2)</f>
        <v>17.7</v>
      </c>
      <c r="N17" s="14" t="n">
        <f aca="false">IF(I17="",0,IF(I17&gt;=T_Day,1,0))</f>
        <v>0</v>
      </c>
      <c r="O17" s="14" t="n">
        <f aca="false">IF(K17&gt;=T_Night,1,0)</f>
        <v>0</v>
      </c>
      <c r="P17" s="14" t="n">
        <f aca="false">IF(N17=1,P16+1,0)</f>
        <v>0</v>
      </c>
      <c r="Q17" s="14" t="n">
        <f aca="false">IF(P17&gt;=HW_Days,1,0)</f>
        <v>0</v>
      </c>
      <c r="R17" s="17" t="str">
        <f aca="false">IF(AND(N17=1,I17&gt;=T_Red,O17=1),"RED",IF(AND(Q17=1,O17=1),"AMBER",IF(OR(N17=1,O17=1),"YELLOW","GREEN")))</f>
        <v>GREEN</v>
      </c>
      <c r="S17" s="14" t="n">
        <f aca="false">IF(R17="RED",3,IF(R17="AMBER",2,IF(R17="YELLOW",1,0)))</f>
        <v>0</v>
      </c>
      <c r="T17" s="16" t="n">
        <f aca="false">MAX(0,T16*(1-Decay)+IF(I17="",0,MAX(0,I17-T_Comfort))-Recovery_Rate*MAX(0,T_Night-K17))</f>
        <v>0</v>
      </c>
      <c r="U17" s="14" t="n">
        <f aca="false">IF(T17&gt;Capacity,1,0)</f>
        <v>0</v>
      </c>
      <c r="V17" s="15" t="n">
        <f aca="false">1/(1+EXP(-Logistic_k*(T17-Capacity)))</f>
        <v>0.00247262315663477</v>
      </c>
      <c r="W17" s="16" t="n">
        <f aca="false">IF(M17="",0,Beta*Pop_Share_Sel*(1-Sens_Red)*MAX(0,M17-T_Mort))</f>
        <v>0</v>
      </c>
      <c r="X17" s="16" t="n">
        <f aca="false">IF(ISNUMBER(F17),F17+Coef_B1*(Climate_Shift+G16),"")</f>
        <v>23.5265861597154</v>
      </c>
      <c r="Y17" s="16" t="n">
        <f aca="false">IF(AND(ISNUMBER(X17),H17&lt;&gt;""),H17+Climate_Shift-X17,"")</f>
        <v>-2.62658615971537</v>
      </c>
      <c r="Z17" s="16" t="n">
        <f aca="false">IF(ISNUMBER(Y17),ABS(Y17),"")</f>
        <v>2.62658615971537</v>
      </c>
      <c r="AA17" s="16" t="n">
        <f aca="false">IF(COUNT(Z11:Z17)=0,"",AVERAGE(Z11:Z17))</f>
        <v>2.05534858422142</v>
      </c>
      <c r="AB17" s="16" t="n">
        <f aca="false">IF(AD16=1,0,MAX(0,AB16+IF(ISNUMBER(Y17),Y17-CUSUM_k,0)))</f>
        <v>0</v>
      </c>
      <c r="AC17" s="16" t="n">
        <f aca="false">IF(AD16=1,0,MAX(0,AC16+IF(ISNUMBER(Y17),-Y17-CUSUM_k,0)))</f>
        <v>1.62658615971537</v>
      </c>
      <c r="AD17" s="17" t="n">
        <f aca="false">IF(OR(AB17&gt;CUSUM_h,AC17&gt;CUSUM_h,AND(ISNUMBER(AA17),AA17&gt;MAE_Tol)),1,0)</f>
        <v>0</v>
      </c>
      <c r="AE17" s="14" t="n">
        <f aca="false">IF(ISNUMBER(X17),IF(X17+Local_Sensing*UHI_Day_Eff&gt;=T_Day,1,0),0)</f>
        <v>0</v>
      </c>
      <c r="AF17" s="17" t="str">
        <f aca="false">IF(NOT(ISNUMBER(X17)),"n/a",IF(AND(AE17=1,N17=1),"Hit",IF(AND(AE17=0,N17=1),"Miss",IF(AND(AE17=1,N17=0),"False alarm","Correct quiet"))))</f>
        <v>Correct quiet</v>
      </c>
      <c r="AG17" s="14" t="n">
        <f aca="false">IF(H17="",0,IF(H17+Climate_Shift&gt;=T_Day,1,0))</f>
        <v>0</v>
      </c>
      <c r="AH17" s="17" t="n">
        <f aca="false">IF(AND(N17=1,AG17=0),1,0)</f>
        <v>0</v>
      </c>
      <c r="AI17" s="17" t="str">
        <f aca="false">IF(U17=1,"ESCALATE: surge health &amp; transport capacity",IF(AD17=1,"Model drift: retrain, recalibrate, raise change request",IF(S17&gt;=2,"Activate heat plan: outreach and cooling centres",IF(AND(E17=1,OR(N17=1,O17=1)),"Data QA: verify sensor before acting",IF(AF17="Miss","Review missed alert: threshold or model",IF(AH17=1,"Equity: local alert not seen at reference station","Monitor"))))))</f>
        <v>Monitor</v>
      </c>
      <c r="AN17" s="58" t="n">
        <f aca="false">T_Day</f>
        <v>28</v>
      </c>
      <c r="AO17" s="58" t="n">
        <f aca="false">Capacity</f>
        <v>40</v>
      </c>
      <c r="AP17" s="58" t="n">
        <f aca="false">CUSUM_h</f>
        <v>15</v>
      </c>
    </row>
    <row r="18" customFormat="false" ht="15" hidden="false" customHeight="false" outlineLevel="0" collapsed="false">
      <c r="A18" s="14" t="n">
        <v>10</v>
      </c>
      <c r="B18" s="14" t="n">
        <f aca="false">2+(SelYear-1979)*153+A18-1</f>
        <v>6590</v>
      </c>
      <c r="C18" s="55" t="n">
        <f aca="false">INDEX(Data_Heathrow!$A:$A,B18)</f>
        <v>44691</v>
      </c>
      <c r="D18" s="16" t="n">
        <f aca="false">INDEX(Data_Heathrow!$E:$E,B18)</f>
        <v>16.1</v>
      </c>
      <c r="E18" s="17" t="n">
        <f aca="false">INDEX(Data_Heathrow!$Q:$Q,B18)</f>
        <v>1</v>
      </c>
      <c r="F18" s="16" t="n">
        <f aca="false">INDEX(Data_Heathrow!$T:$T,B18)</f>
        <v>21.299429777695</v>
      </c>
      <c r="G18" s="16" t="n">
        <f aca="false">IF(AND(Drift_Rate&lt;&gt;0,A18&gt;=Drift_Start),Drift_Rate*(A18-Drift_Start+1)/30,0)</f>
        <v>0</v>
      </c>
      <c r="H18" s="16" t="n">
        <f aca="false">IF(AND(E18=1,QA_Policy="Exclude suspect"),"",IF(AND(E18=1,QA_Policy="Impute with model",ISNUMBER(F18)),F18,D18)+G18)</f>
        <v>16.1</v>
      </c>
      <c r="I18" s="16" t="n">
        <f aca="false">IF(H18="","",H18+Climate_Shift+UHI_Day_Eff)</f>
        <v>18.1</v>
      </c>
      <c r="J18" s="16" t="n">
        <f aca="false">INDEX(Data_Heathrow!$G:$G,B18)</f>
        <v>13.4</v>
      </c>
      <c r="K18" s="16" t="n">
        <f aca="false">J18+Climate_Shift+UHI_Night_Eff</f>
        <v>17.4</v>
      </c>
      <c r="L18" s="16" t="n">
        <f aca="false">IF(INDEX(Data_Heathrow!$I:$I,B18)="","",INDEX(Data_Heathrow!$I:$I,B18))</f>
        <v>17.1</v>
      </c>
      <c r="M18" s="16" t="n">
        <f aca="false">IF(L18="","",L18+Climate_Shift+(UHI_Day_Eff+UHI_Night_Eff)/2)</f>
        <v>20.1</v>
      </c>
      <c r="N18" s="14" t="n">
        <f aca="false">IF(I18="",0,IF(I18&gt;=T_Day,1,0))</f>
        <v>0</v>
      </c>
      <c r="O18" s="14" t="n">
        <f aca="false">IF(K18&gt;=T_Night,1,0)</f>
        <v>0</v>
      </c>
      <c r="P18" s="14" t="n">
        <f aca="false">IF(N18=1,P17+1,0)</f>
        <v>0</v>
      </c>
      <c r="Q18" s="14" t="n">
        <f aca="false">IF(P18&gt;=HW_Days,1,0)</f>
        <v>0</v>
      </c>
      <c r="R18" s="17" t="str">
        <f aca="false">IF(AND(N18=1,I18&gt;=T_Red,O18=1),"RED",IF(AND(Q18=1,O18=1),"AMBER",IF(OR(N18=1,O18=1),"YELLOW","GREEN")))</f>
        <v>GREEN</v>
      </c>
      <c r="S18" s="14" t="n">
        <f aca="false">IF(R18="RED",3,IF(R18="AMBER",2,IF(R18="YELLOW",1,0)))</f>
        <v>0</v>
      </c>
      <c r="T18" s="16" t="n">
        <f aca="false">MAX(0,T17*(1-Decay)+IF(I18="",0,MAX(0,I18-T_Comfort))-Recovery_Rate*MAX(0,T_Night-K18))</f>
        <v>0</v>
      </c>
      <c r="U18" s="14" t="n">
        <f aca="false">IF(T18&gt;Capacity,1,0)</f>
        <v>0</v>
      </c>
      <c r="V18" s="15" t="n">
        <f aca="false">1/(1+EXP(-Logistic_k*(T18-Capacity)))</f>
        <v>0.00247262315663477</v>
      </c>
      <c r="W18" s="16" t="n">
        <f aca="false">IF(M18="",0,Beta*Pop_Share_Sel*(1-Sens_Red)*MAX(0,M18-T_Mort))</f>
        <v>0.055539609644088</v>
      </c>
      <c r="X18" s="16" t="n">
        <f aca="false">IF(ISNUMBER(F18),F18+Coef_B1*(Climate_Shift+G17),"")</f>
        <v>21.299429777695</v>
      </c>
      <c r="Y18" s="16" t="n">
        <f aca="false">IF(AND(ISNUMBER(X18),H18&lt;&gt;""),H18+Climate_Shift-X18,"")</f>
        <v>-5.19942977769499</v>
      </c>
      <c r="Z18" s="16" t="n">
        <f aca="false">IF(ISNUMBER(Y18),ABS(Y18),"")</f>
        <v>5.19942977769499</v>
      </c>
      <c r="AA18" s="16" t="n">
        <f aca="false">IF(COUNT(Z12:Z18)=0,"",AVERAGE(Z12:Z18))</f>
        <v>2.41385795828485</v>
      </c>
      <c r="AB18" s="16" t="n">
        <f aca="false">IF(AD17=1,0,MAX(0,AB17+IF(ISNUMBER(Y18),Y18-CUSUM_k,0)))</f>
        <v>0</v>
      </c>
      <c r="AC18" s="16" t="n">
        <f aca="false">IF(AD17=1,0,MAX(0,AC17+IF(ISNUMBER(Y18),-Y18-CUSUM_k,0)))</f>
        <v>5.82601593741036</v>
      </c>
      <c r="AD18" s="17" t="n">
        <f aca="false">IF(OR(AB18&gt;CUSUM_h,AC18&gt;CUSUM_h,AND(ISNUMBER(AA18),AA18&gt;MAE_Tol)),1,0)</f>
        <v>0</v>
      </c>
      <c r="AE18" s="14" t="n">
        <f aca="false">IF(ISNUMBER(X18),IF(X18+Local_Sensing*UHI_Day_Eff&gt;=T_Day,1,0),0)</f>
        <v>0</v>
      </c>
      <c r="AF18" s="17" t="str">
        <f aca="false">IF(NOT(ISNUMBER(X18)),"n/a",IF(AND(AE18=1,N18=1),"Hit",IF(AND(AE18=0,N18=1),"Miss",IF(AND(AE18=1,N18=0),"False alarm","Correct quiet"))))</f>
        <v>Correct quiet</v>
      </c>
      <c r="AG18" s="14" t="n">
        <f aca="false">IF(H18="",0,IF(H18+Climate_Shift&gt;=T_Day,1,0))</f>
        <v>0</v>
      </c>
      <c r="AH18" s="17" t="n">
        <f aca="false">IF(AND(N18=1,AG18=0),1,0)</f>
        <v>0</v>
      </c>
      <c r="AI18" s="17" t="str">
        <f aca="false">IF(U18=1,"ESCALATE: surge health &amp; transport capacity",IF(AD18=1,"Model drift: retrain, recalibrate, raise change request",IF(S18&gt;=2,"Activate heat plan: outreach and cooling centres",IF(AND(E18=1,OR(N18=1,O18=1)),"Data QA: verify sensor before acting",IF(AF18="Miss","Review missed alert: threshold or model",IF(AH18=1,"Equity: local alert not seen at reference station","Monitor"))))))</f>
        <v>Monitor</v>
      </c>
      <c r="AN18" s="58" t="n">
        <f aca="false">T_Day</f>
        <v>28</v>
      </c>
      <c r="AO18" s="58" t="n">
        <f aca="false">Capacity</f>
        <v>40</v>
      </c>
      <c r="AP18" s="58" t="n">
        <f aca="false">CUSUM_h</f>
        <v>15</v>
      </c>
    </row>
    <row r="19" customFormat="false" ht="15" hidden="false" customHeight="false" outlineLevel="0" collapsed="false">
      <c r="A19" s="14" t="n">
        <v>11</v>
      </c>
      <c r="B19" s="14" t="n">
        <f aca="false">2+(SelYear-1979)*153+A19-1</f>
        <v>6591</v>
      </c>
      <c r="C19" s="55" t="n">
        <f aca="false">INDEX(Data_Heathrow!$A:$A,B19)</f>
        <v>44692</v>
      </c>
      <c r="D19" s="16" t="n">
        <f aca="false">INDEX(Data_Heathrow!$E:$E,B19)</f>
        <v>18.9</v>
      </c>
      <c r="E19" s="17" t="n">
        <f aca="false">INDEX(Data_Heathrow!$Q:$Q,B19)</f>
        <v>0</v>
      </c>
      <c r="F19" s="16" t="n">
        <f aca="false">INDEX(Data_Heathrow!$T:$T,B19)</f>
        <v>17.1125055045549</v>
      </c>
      <c r="G19" s="16" t="n">
        <f aca="false">IF(AND(Drift_Rate&lt;&gt;0,A19&gt;=Drift_Start),Drift_Rate*(A19-Drift_Start+1)/30,0)</f>
        <v>0</v>
      </c>
      <c r="H19" s="16" t="n">
        <f aca="false">IF(AND(E19=1,QA_Policy="Exclude suspect"),"",IF(AND(E19=1,QA_Policy="Impute with model",ISNUMBER(F19)),F19,D19)+G19)</f>
        <v>18.9</v>
      </c>
      <c r="I19" s="16" t="n">
        <f aca="false">IF(H19="","",H19+Climate_Shift+UHI_Day_Eff)</f>
        <v>20.9</v>
      </c>
      <c r="J19" s="16" t="n">
        <f aca="false">INDEX(Data_Heathrow!$G:$G,B19)</f>
        <v>11.7</v>
      </c>
      <c r="K19" s="16" t="n">
        <f aca="false">J19+Climate_Shift+UHI_Night_Eff</f>
        <v>15.7</v>
      </c>
      <c r="L19" s="16" t="n">
        <f aca="false">IF(INDEX(Data_Heathrow!$I:$I,B19)="","",INDEX(Data_Heathrow!$I:$I,B19))</f>
        <v>13.9</v>
      </c>
      <c r="M19" s="16" t="n">
        <f aca="false">IF(L19="","",L19+Climate_Shift+(UHI_Day_Eff+UHI_Night_Eff)/2)</f>
        <v>16.9</v>
      </c>
      <c r="N19" s="14" t="n">
        <f aca="false">IF(I19="",0,IF(I19&gt;=T_Day,1,0))</f>
        <v>0</v>
      </c>
      <c r="O19" s="14" t="n">
        <f aca="false">IF(K19&gt;=T_Night,1,0)</f>
        <v>0</v>
      </c>
      <c r="P19" s="14" t="n">
        <f aca="false">IF(N19=1,P18+1,0)</f>
        <v>0</v>
      </c>
      <c r="Q19" s="14" t="n">
        <f aca="false">IF(P19&gt;=HW_Days,1,0)</f>
        <v>0</v>
      </c>
      <c r="R19" s="17" t="str">
        <f aca="false">IF(AND(N19=1,I19&gt;=T_Red,O19=1),"RED",IF(AND(Q19=1,O19=1),"AMBER",IF(OR(N19=1,O19=1),"YELLOW","GREEN")))</f>
        <v>GREEN</v>
      </c>
      <c r="S19" s="14" t="n">
        <f aca="false">IF(R19="RED",3,IF(R19="AMBER",2,IF(R19="YELLOW",1,0)))</f>
        <v>0</v>
      </c>
      <c r="T19" s="16" t="n">
        <f aca="false">MAX(0,T18*(1-Decay)+IF(I19="",0,MAX(0,I19-T_Comfort))-Recovery_Rate*MAX(0,T_Night-K19))</f>
        <v>0</v>
      </c>
      <c r="U19" s="14" t="n">
        <f aca="false">IF(T19&gt;Capacity,1,0)</f>
        <v>0</v>
      </c>
      <c r="V19" s="15" t="n">
        <f aca="false">1/(1+EXP(-Logistic_k*(T19-Capacity)))</f>
        <v>0.00247262315663477</v>
      </c>
      <c r="W19" s="16" t="n">
        <f aca="false">IF(M19="",0,Beta*Pop_Share_Sel*(1-Sens_Red)*MAX(0,M19-T_Mort))</f>
        <v>0</v>
      </c>
      <c r="X19" s="16" t="n">
        <f aca="false">IF(ISNUMBER(F19),F19+Coef_B1*(Climate_Shift+G18),"")</f>
        <v>17.1125055045549</v>
      </c>
      <c r="Y19" s="16" t="n">
        <f aca="false">IF(AND(ISNUMBER(X19),H19&lt;&gt;""),H19+Climate_Shift-X19,"")</f>
        <v>1.78749449544508</v>
      </c>
      <c r="Z19" s="16" t="n">
        <f aca="false">IF(ISNUMBER(Y19),ABS(Y19),"")</f>
        <v>1.78749449544508</v>
      </c>
      <c r="AA19" s="16" t="n">
        <f aca="false">IF(COUNT(Z13:Z19)=0,"",AVERAGE(Z13:Z19))</f>
        <v>2.5827059299748</v>
      </c>
      <c r="AB19" s="16" t="n">
        <f aca="false">IF(AD18=1,0,MAX(0,AB18+IF(ISNUMBER(Y19),Y19-CUSUM_k,0)))</f>
        <v>0.787494495445078</v>
      </c>
      <c r="AC19" s="16" t="n">
        <f aca="false">IF(AD18=1,0,MAX(0,AC18+IF(ISNUMBER(Y19),-Y19-CUSUM_k,0)))</f>
        <v>3.03852144196528</v>
      </c>
      <c r="AD19" s="17" t="n">
        <f aca="false">IF(OR(AB19&gt;CUSUM_h,AC19&gt;CUSUM_h,AND(ISNUMBER(AA19),AA19&gt;MAE_Tol)),1,0)</f>
        <v>0</v>
      </c>
      <c r="AE19" s="14" t="n">
        <f aca="false">IF(ISNUMBER(X19),IF(X19+Local_Sensing*UHI_Day_Eff&gt;=T_Day,1,0),0)</f>
        <v>0</v>
      </c>
      <c r="AF19" s="17" t="str">
        <f aca="false">IF(NOT(ISNUMBER(X19)),"n/a",IF(AND(AE19=1,N19=1),"Hit",IF(AND(AE19=0,N19=1),"Miss",IF(AND(AE19=1,N19=0),"False alarm","Correct quiet"))))</f>
        <v>Correct quiet</v>
      </c>
      <c r="AG19" s="14" t="n">
        <f aca="false">IF(H19="",0,IF(H19+Climate_Shift&gt;=T_Day,1,0))</f>
        <v>0</v>
      </c>
      <c r="AH19" s="17" t="n">
        <f aca="false">IF(AND(N19=1,AG19=0),1,0)</f>
        <v>0</v>
      </c>
      <c r="AI19" s="17" t="str">
        <f aca="false">IF(U19=1,"ESCALATE: surge health &amp; transport capacity",IF(AD19=1,"Model drift: retrain, recalibrate, raise change request",IF(S19&gt;=2,"Activate heat plan: outreach and cooling centres",IF(AND(E19=1,OR(N19=1,O19=1)),"Data QA: verify sensor before acting",IF(AF19="Miss","Review missed alert: threshold or model",IF(AH19=1,"Equity: local alert not seen at reference station","Monitor"))))))</f>
        <v>Monitor</v>
      </c>
      <c r="AN19" s="58" t="n">
        <f aca="false">T_Day</f>
        <v>28</v>
      </c>
      <c r="AO19" s="58" t="n">
        <f aca="false">Capacity</f>
        <v>40</v>
      </c>
      <c r="AP19" s="58" t="n">
        <f aca="false">CUSUM_h</f>
        <v>15</v>
      </c>
    </row>
    <row r="20" customFormat="false" ht="15" hidden="false" customHeight="false" outlineLevel="0" collapsed="false">
      <c r="A20" s="14" t="n">
        <v>12</v>
      </c>
      <c r="B20" s="14" t="n">
        <f aca="false">2+(SelYear-1979)*153+A20-1</f>
        <v>6592</v>
      </c>
      <c r="C20" s="55" t="n">
        <f aca="false">INDEX(Data_Heathrow!$A:$A,B20)</f>
        <v>44693</v>
      </c>
      <c r="D20" s="16" t="n">
        <f aca="false">INDEX(Data_Heathrow!$E:$E,B20)</f>
        <v>21.4</v>
      </c>
      <c r="E20" s="17" t="n">
        <f aca="false">INDEX(Data_Heathrow!$Q:$Q,B20)</f>
        <v>0</v>
      </c>
      <c r="F20" s="16" t="n">
        <f aca="false">INDEX(Data_Heathrow!$T:$T,B20)</f>
        <v>19.2717646981482</v>
      </c>
      <c r="G20" s="16" t="n">
        <f aca="false">IF(AND(Drift_Rate&lt;&gt;0,A20&gt;=Drift_Start),Drift_Rate*(A20-Drift_Start+1)/30,0)</f>
        <v>0</v>
      </c>
      <c r="H20" s="16" t="n">
        <f aca="false">IF(AND(E20=1,QA_Policy="Exclude suspect"),"",IF(AND(E20=1,QA_Policy="Impute with model",ISNUMBER(F20)),F20,D20)+G20)</f>
        <v>21.4</v>
      </c>
      <c r="I20" s="16" t="n">
        <f aca="false">IF(H20="","",H20+Climate_Shift+UHI_Day_Eff)</f>
        <v>23.4</v>
      </c>
      <c r="J20" s="16" t="n">
        <f aca="false">INDEX(Data_Heathrow!$G:$G,B20)</f>
        <v>7</v>
      </c>
      <c r="K20" s="16" t="n">
        <f aca="false">J20+Climate_Shift+UHI_Night_Eff</f>
        <v>11</v>
      </c>
      <c r="L20" s="16" t="n">
        <f aca="false">IF(INDEX(Data_Heathrow!$I:$I,B20)="","",INDEX(Data_Heathrow!$I:$I,B20))</f>
        <v>12.9</v>
      </c>
      <c r="M20" s="16" t="n">
        <f aca="false">IF(L20="","",L20+Climate_Shift+(UHI_Day_Eff+UHI_Night_Eff)/2)</f>
        <v>15.9</v>
      </c>
      <c r="N20" s="14" t="n">
        <f aca="false">IF(I20="",0,IF(I20&gt;=T_Day,1,0))</f>
        <v>0</v>
      </c>
      <c r="O20" s="14" t="n">
        <f aca="false">IF(K20&gt;=T_Night,1,0)</f>
        <v>0</v>
      </c>
      <c r="P20" s="14" t="n">
        <f aca="false">IF(N20=1,P19+1,0)</f>
        <v>0</v>
      </c>
      <c r="Q20" s="14" t="n">
        <f aca="false">IF(P20&gt;=HW_Days,1,0)</f>
        <v>0</v>
      </c>
      <c r="R20" s="17" t="str">
        <f aca="false">IF(AND(N20=1,I20&gt;=T_Red,O20=1),"RED",IF(AND(Q20=1,O20=1),"AMBER",IF(OR(N20=1,O20=1),"YELLOW","GREEN")))</f>
        <v>GREEN</v>
      </c>
      <c r="S20" s="14" t="n">
        <f aca="false">IF(R20="RED",3,IF(R20="AMBER",2,IF(R20="YELLOW",1,0)))</f>
        <v>0</v>
      </c>
      <c r="T20" s="16" t="n">
        <f aca="false">MAX(0,T19*(1-Decay)+IF(I20="",0,MAX(0,I20-T_Comfort))-Recovery_Rate*MAX(0,T_Night-K20))</f>
        <v>0</v>
      </c>
      <c r="U20" s="14" t="n">
        <f aca="false">IF(T20&gt;Capacity,1,0)</f>
        <v>0</v>
      </c>
      <c r="V20" s="15" t="n">
        <f aca="false">1/(1+EXP(-Logistic_k*(T20-Capacity)))</f>
        <v>0.00247262315663477</v>
      </c>
      <c r="W20" s="16" t="n">
        <f aca="false">IF(M20="",0,Beta*Pop_Share_Sel*(1-Sens_Red)*MAX(0,M20-T_Mort))</f>
        <v>0</v>
      </c>
      <c r="X20" s="16" t="n">
        <f aca="false">IF(ISNUMBER(F20),F20+Coef_B1*(Climate_Shift+G19),"")</f>
        <v>19.2717646981482</v>
      </c>
      <c r="Y20" s="16" t="n">
        <f aca="false">IF(AND(ISNUMBER(X20),H20&lt;&gt;""),H20+Climate_Shift-X20,"")</f>
        <v>2.1282353018518</v>
      </c>
      <c r="Z20" s="16" t="n">
        <f aca="false">IF(ISNUMBER(Y20),ABS(Y20),"")</f>
        <v>2.1282353018518</v>
      </c>
      <c r="AA20" s="16" t="n">
        <f aca="false">IF(COUNT(Z14:Z20)=0,"",AVERAGE(Z14:Z20))</f>
        <v>2.46776225366363</v>
      </c>
      <c r="AB20" s="16" t="n">
        <f aca="false">IF(AD19=1,0,MAX(0,AB19+IF(ISNUMBER(Y20),Y20-CUSUM_k,0)))</f>
        <v>1.91572979729687</v>
      </c>
      <c r="AC20" s="16" t="n">
        <f aca="false">IF(AD19=1,0,MAX(0,AC19+IF(ISNUMBER(Y20),-Y20-CUSUM_k,0)))</f>
        <v>0</v>
      </c>
      <c r="AD20" s="17" t="n">
        <f aca="false">IF(OR(AB20&gt;CUSUM_h,AC20&gt;CUSUM_h,AND(ISNUMBER(AA20),AA20&gt;MAE_Tol)),1,0)</f>
        <v>0</v>
      </c>
      <c r="AE20" s="14" t="n">
        <f aca="false">IF(ISNUMBER(X20),IF(X20+Local_Sensing*UHI_Day_Eff&gt;=T_Day,1,0),0)</f>
        <v>0</v>
      </c>
      <c r="AF20" s="17" t="str">
        <f aca="false">IF(NOT(ISNUMBER(X20)),"n/a",IF(AND(AE20=1,N20=1),"Hit",IF(AND(AE20=0,N20=1),"Miss",IF(AND(AE20=1,N20=0),"False alarm","Correct quiet"))))</f>
        <v>Correct quiet</v>
      </c>
      <c r="AG20" s="14" t="n">
        <f aca="false">IF(H20="",0,IF(H20+Climate_Shift&gt;=T_Day,1,0))</f>
        <v>0</v>
      </c>
      <c r="AH20" s="17" t="n">
        <f aca="false">IF(AND(N20=1,AG20=0),1,0)</f>
        <v>0</v>
      </c>
      <c r="AI20" s="17" t="str">
        <f aca="false">IF(U20=1,"ESCALATE: surge health &amp; transport capacity",IF(AD20=1,"Model drift: retrain, recalibrate, raise change request",IF(S20&gt;=2,"Activate heat plan: outreach and cooling centres",IF(AND(E20=1,OR(N20=1,O20=1)),"Data QA: verify sensor before acting",IF(AF20="Miss","Review missed alert: threshold or model",IF(AH20=1,"Equity: local alert not seen at reference station","Monitor"))))))</f>
        <v>Monitor</v>
      </c>
      <c r="AN20" s="58" t="n">
        <f aca="false">T_Day</f>
        <v>28</v>
      </c>
      <c r="AO20" s="58" t="n">
        <f aca="false">Capacity</f>
        <v>40</v>
      </c>
      <c r="AP20" s="58" t="n">
        <f aca="false">CUSUM_h</f>
        <v>15</v>
      </c>
    </row>
    <row r="21" customFormat="false" ht="15" hidden="false" customHeight="false" outlineLevel="0" collapsed="false">
      <c r="A21" s="14" t="n">
        <v>13</v>
      </c>
      <c r="B21" s="14" t="n">
        <f aca="false">2+(SelYear-1979)*153+A21-1</f>
        <v>6593</v>
      </c>
      <c r="C21" s="55" t="n">
        <f aca="false">INDEX(Data_Heathrow!$A:$A,B21)</f>
        <v>44694</v>
      </c>
      <c r="D21" s="16" t="n">
        <f aca="false">INDEX(Data_Heathrow!$E:$E,B21)</f>
        <v>23.4</v>
      </c>
      <c r="E21" s="17" t="n">
        <f aca="false">INDEX(Data_Heathrow!$Q:$Q,B21)</f>
        <v>0</v>
      </c>
      <c r="F21" s="16" t="n">
        <f aca="false">INDEX(Data_Heathrow!$T:$T,B21)</f>
        <v>21.5647978589</v>
      </c>
      <c r="G21" s="16" t="n">
        <f aca="false">IF(AND(Drift_Rate&lt;&gt;0,A21&gt;=Drift_Start),Drift_Rate*(A21-Drift_Start+1)/30,0)</f>
        <v>0</v>
      </c>
      <c r="H21" s="16" t="n">
        <f aca="false">IF(AND(E21=1,QA_Policy="Exclude suspect"),"",IF(AND(E21=1,QA_Policy="Impute with model",ISNUMBER(F21)),F21,D21)+G21)</f>
        <v>23.4</v>
      </c>
      <c r="I21" s="16" t="n">
        <f aca="false">IF(H21="","",H21+Climate_Shift+UHI_Day_Eff)</f>
        <v>25.4</v>
      </c>
      <c r="J21" s="16" t="n">
        <f aca="false">INDEX(Data_Heathrow!$G:$G,B21)</f>
        <v>10.1</v>
      </c>
      <c r="K21" s="16" t="n">
        <f aca="false">J21+Climate_Shift+UHI_Night_Eff</f>
        <v>14.1</v>
      </c>
      <c r="L21" s="16" t="n">
        <f aca="false">IF(INDEX(Data_Heathrow!$I:$I,B21)="","",INDEX(Data_Heathrow!$I:$I,B21))</f>
        <v>15.8</v>
      </c>
      <c r="M21" s="16" t="n">
        <f aca="false">IF(L21="","",L21+Climate_Shift+(UHI_Day_Eff+UHI_Night_Eff)/2)</f>
        <v>18.8</v>
      </c>
      <c r="N21" s="14" t="n">
        <f aca="false">IF(I21="",0,IF(I21&gt;=T_Day,1,0))</f>
        <v>0</v>
      </c>
      <c r="O21" s="14" t="n">
        <f aca="false">IF(K21&gt;=T_Night,1,0)</f>
        <v>0</v>
      </c>
      <c r="P21" s="14" t="n">
        <f aca="false">IF(N21=1,P20+1,0)</f>
        <v>0</v>
      </c>
      <c r="Q21" s="14" t="n">
        <f aca="false">IF(P21&gt;=HW_Days,1,0)</f>
        <v>0</v>
      </c>
      <c r="R21" s="17" t="str">
        <f aca="false">IF(AND(N21=1,I21&gt;=T_Red,O21=1),"RED",IF(AND(Q21=1,O21=1),"AMBER",IF(OR(N21=1,O21=1),"YELLOW","GREEN")))</f>
        <v>GREEN</v>
      </c>
      <c r="S21" s="14" t="n">
        <f aca="false">IF(R21="RED",3,IF(R21="AMBER",2,IF(R21="YELLOW",1,0)))</f>
        <v>0</v>
      </c>
      <c r="T21" s="16" t="n">
        <f aca="false">MAX(0,T20*(1-Decay)+IF(I21="",0,MAX(0,I21-T_Comfort))-Recovery_Rate*MAX(0,T_Night-K21))</f>
        <v>0</v>
      </c>
      <c r="U21" s="14" t="n">
        <f aca="false">IF(T21&gt;Capacity,1,0)</f>
        <v>0</v>
      </c>
      <c r="V21" s="15" t="n">
        <f aca="false">1/(1+EXP(-Logistic_k*(T21-Capacity)))</f>
        <v>0.00247262315663477</v>
      </c>
      <c r="W21" s="16" t="n">
        <f aca="false">IF(M21="",0,Beta*Pop_Share_Sel*(1-Sens_Red)*MAX(0,M21-T_Mort))</f>
        <v>0</v>
      </c>
      <c r="X21" s="16" t="n">
        <f aca="false">IF(ISNUMBER(F21),F21+Coef_B1*(Climate_Shift+G20),"")</f>
        <v>21.5647978589</v>
      </c>
      <c r="Y21" s="16" t="n">
        <f aca="false">IF(AND(ISNUMBER(X21),H21&lt;&gt;""),H21+Climate_Shift-X21,"")</f>
        <v>1.83520214110003</v>
      </c>
      <c r="Z21" s="16" t="n">
        <f aca="false">IF(ISNUMBER(Y21),ABS(Y21),"")</f>
        <v>1.83520214110003</v>
      </c>
      <c r="AA21" s="16" t="n">
        <f aca="false">IF(COUNT(Z15:Z21)=0,"",AVERAGE(Z15:Z21))</f>
        <v>2.30220873865392</v>
      </c>
      <c r="AB21" s="16" t="n">
        <f aca="false">IF(AD20=1,0,MAX(0,AB20+IF(ISNUMBER(Y21),Y21-CUSUM_k,0)))</f>
        <v>2.7509319383969</v>
      </c>
      <c r="AC21" s="16" t="n">
        <f aca="false">IF(AD20=1,0,MAX(0,AC20+IF(ISNUMBER(Y21),-Y21-CUSUM_k,0)))</f>
        <v>0</v>
      </c>
      <c r="AD21" s="17" t="n">
        <f aca="false">IF(OR(AB21&gt;CUSUM_h,AC21&gt;CUSUM_h,AND(ISNUMBER(AA21),AA21&gt;MAE_Tol)),1,0)</f>
        <v>0</v>
      </c>
      <c r="AE21" s="14" t="n">
        <f aca="false">IF(ISNUMBER(X21),IF(X21+Local_Sensing*UHI_Day_Eff&gt;=T_Day,1,0),0)</f>
        <v>0</v>
      </c>
      <c r="AF21" s="17" t="str">
        <f aca="false">IF(NOT(ISNUMBER(X21)),"n/a",IF(AND(AE21=1,N21=1),"Hit",IF(AND(AE21=0,N21=1),"Miss",IF(AND(AE21=1,N21=0),"False alarm","Correct quiet"))))</f>
        <v>Correct quiet</v>
      </c>
      <c r="AG21" s="14" t="n">
        <f aca="false">IF(H21="",0,IF(H21+Climate_Shift&gt;=T_Day,1,0))</f>
        <v>0</v>
      </c>
      <c r="AH21" s="17" t="n">
        <f aca="false">IF(AND(N21=1,AG21=0),1,0)</f>
        <v>0</v>
      </c>
      <c r="AI21" s="17" t="str">
        <f aca="false">IF(U21=1,"ESCALATE: surge health &amp; transport capacity",IF(AD21=1,"Model drift: retrain, recalibrate, raise change request",IF(S21&gt;=2,"Activate heat plan: outreach and cooling centres",IF(AND(E21=1,OR(N21=1,O21=1)),"Data QA: verify sensor before acting",IF(AF21="Miss","Review missed alert: threshold or model",IF(AH21=1,"Equity: local alert not seen at reference station","Monitor"))))))</f>
        <v>Monitor</v>
      </c>
      <c r="AN21" s="58" t="n">
        <f aca="false">T_Day</f>
        <v>28</v>
      </c>
      <c r="AO21" s="58" t="n">
        <f aca="false">Capacity</f>
        <v>40</v>
      </c>
      <c r="AP21" s="58" t="n">
        <f aca="false">CUSUM_h</f>
        <v>15</v>
      </c>
    </row>
    <row r="22" customFormat="false" ht="15" hidden="false" customHeight="false" outlineLevel="0" collapsed="false">
      <c r="A22" s="14" t="n">
        <v>14</v>
      </c>
      <c r="B22" s="14" t="n">
        <f aca="false">2+(SelYear-1979)*153+A22-1</f>
        <v>6594</v>
      </c>
      <c r="C22" s="55" t="n">
        <f aca="false">INDEX(Data_Heathrow!$A:$A,B22)</f>
        <v>44695</v>
      </c>
      <c r="D22" s="16" t="n">
        <f aca="false">INDEX(Data_Heathrow!$E:$E,B22)</f>
        <v>18.9</v>
      </c>
      <c r="E22" s="17" t="n">
        <f aca="false">INDEX(Data_Heathrow!$Q:$Q,B22)</f>
        <v>0</v>
      </c>
      <c r="F22" s="16" t="n">
        <f aca="false">INDEX(Data_Heathrow!$T:$T,B22)</f>
        <v>23.2536680763997</v>
      </c>
      <c r="G22" s="16" t="n">
        <f aca="false">IF(AND(Drift_Rate&lt;&gt;0,A22&gt;=Drift_Start),Drift_Rate*(A22-Drift_Start+1)/30,0)</f>
        <v>0</v>
      </c>
      <c r="H22" s="16" t="n">
        <f aca="false">IF(AND(E22=1,QA_Policy="Exclude suspect"),"",IF(AND(E22=1,QA_Policy="Impute with model",ISNUMBER(F22)),F22,D22)+G22)</f>
        <v>18.9</v>
      </c>
      <c r="I22" s="16" t="n">
        <f aca="false">IF(H22="","",H22+Climate_Shift+UHI_Day_Eff)</f>
        <v>20.9</v>
      </c>
      <c r="J22" s="16" t="n">
        <f aca="false">INDEX(Data_Heathrow!$G:$G,B22)</f>
        <v>7.8</v>
      </c>
      <c r="K22" s="16" t="n">
        <f aca="false">J22+Climate_Shift+UHI_Night_Eff</f>
        <v>11.8</v>
      </c>
      <c r="L22" s="16" t="n">
        <f aca="false">IF(INDEX(Data_Heathrow!$I:$I,B22)="","",INDEX(Data_Heathrow!$I:$I,B22))</f>
        <v>15.6</v>
      </c>
      <c r="M22" s="16" t="n">
        <f aca="false">IF(L22="","",L22+Climate_Shift+(UHI_Day_Eff+UHI_Night_Eff)/2)</f>
        <v>18.6</v>
      </c>
      <c r="N22" s="14" t="n">
        <f aca="false">IF(I22="",0,IF(I22&gt;=T_Day,1,0))</f>
        <v>0</v>
      </c>
      <c r="O22" s="14" t="n">
        <f aca="false">IF(K22&gt;=T_Night,1,0)</f>
        <v>0</v>
      </c>
      <c r="P22" s="14" t="n">
        <f aca="false">IF(N22=1,P21+1,0)</f>
        <v>0</v>
      </c>
      <c r="Q22" s="14" t="n">
        <f aca="false">IF(P22&gt;=HW_Days,1,0)</f>
        <v>0</v>
      </c>
      <c r="R22" s="17" t="str">
        <f aca="false">IF(AND(N22=1,I22&gt;=T_Red,O22=1),"RED",IF(AND(Q22=1,O22=1),"AMBER",IF(OR(N22=1,O22=1),"YELLOW","GREEN")))</f>
        <v>GREEN</v>
      </c>
      <c r="S22" s="14" t="n">
        <f aca="false">IF(R22="RED",3,IF(R22="AMBER",2,IF(R22="YELLOW",1,0)))</f>
        <v>0</v>
      </c>
      <c r="T22" s="16" t="n">
        <f aca="false">MAX(0,T21*(1-Decay)+IF(I22="",0,MAX(0,I22-T_Comfort))-Recovery_Rate*MAX(0,T_Night-K22))</f>
        <v>0</v>
      </c>
      <c r="U22" s="14" t="n">
        <f aca="false">IF(T22&gt;Capacity,1,0)</f>
        <v>0</v>
      </c>
      <c r="V22" s="15" t="n">
        <f aca="false">1/(1+EXP(-Logistic_k*(T22-Capacity)))</f>
        <v>0.00247262315663477</v>
      </c>
      <c r="W22" s="16" t="n">
        <f aca="false">IF(M22="",0,Beta*Pop_Share_Sel*(1-Sens_Red)*MAX(0,M22-T_Mort))</f>
        <v>0</v>
      </c>
      <c r="X22" s="16" t="n">
        <f aca="false">IF(ISNUMBER(F22),F22+Coef_B1*(Climate_Shift+G21),"")</f>
        <v>23.2536680763997</v>
      </c>
      <c r="Y22" s="16" t="n">
        <f aca="false">IF(AND(ISNUMBER(X22),H22&lt;&gt;""),H22+Climate_Shift-X22,"")</f>
        <v>-4.35366807639966</v>
      </c>
      <c r="Z22" s="16" t="n">
        <f aca="false">IF(ISNUMBER(Y22),ABS(Y22),"")</f>
        <v>4.35366807639966</v>
      </c>
      <c r="AA22" s="16" t="n">
        <f aca="false">IF(COUNT(Z16:Z22)=0,"",AVERAGE(Z16:Z22))</f>
        <v>2.88461274527328</v>
      </c>
      <c r="AB22" s="16" t="n">
        <f aca="false">IF(AD21=1,0,MAX(0,AB21+IF(ISNUMBER(Y22),Y22-CUSUM_k,0)))</f>
        <v>0</v>
      </c>
      <c r="AC22" s="16" t="n">
        <f aca="false">IF(AD21=1,0,MAX(0,AC21+IF(ISNUMBER(Y22),-Y22-CUSUM_k,0)))</f>
        <v>3.35366807639966</v>
      </c>
      <c r="AD22" s="17" t="n">
        <f aca="false">IF(OR(AB22&gt;CUSUM_h,AC22&gt;CUSUM_h,AND(ISNUMBER(AA22),AA22&gt;MAE_Tol)),1,0)</f>
        <v>0</v>
      </c>
      <c r="AE22" s="14" t="n">
        <f aca="false">IF(ISNUMBER(X22),IF(X22+Local_Sensing*UHI_Day_Eff&gt;=T_Day,1,0),0)</f>
        <v>0</v>
      </c>
      <c r="AF22" s="17" t="str">
        <f aca="false">IF(NOT(ISNUMBER(X22)),"n/a",IF(AND(AE22=1,N22=1),"Hit",IF(AND(AE22=0,N22=1),"Miss",IF(AND(AE22=1,N22=0),"False alarm","Correct quiet"))))</f>
        <v>Correct quiet</v>
      </c>
      <c r="AG22" s="14" t="n">
        <f aca="false">IF(H22="",0,IF(H22+Climate_Shift&gt;=T_Day,1,0))</f>
        <v>0</v>
      </c>
      <c r="AH22" s="17" t="n">
        <f aca="false">IF(AND(N22=1,AG22=0),1,0)</f>
        <v>0</v>
      </c>
      <c r="AI22" s="17" t="str">
        <f aca="false">IF(U22=1,"ESCALATE: surge health &amp; transport capacity",IF(AD22=1,"Model drift: retrain, recalibrate, raise change request",IF(S22&gt;=2,"Activate heat plan: outreach and cooling centres",IF(AND(E22=1,OR(N22=1,O22=1)),"Data QA: verify sensor before acting",IF(AF22="Miss","Review missed alert: threshold or model",IF(AH22=1,"Equity: local alert not seen at reference station","Monitor"))))))</f>
        <v>Monitor</v>
      </c>
      <c r="AN22" s="58" t="n">
        <f aca="false">T_Day</f>
        <v>28</v>
      </c>
      <c r="AO22" s="58" t="n">
        <f aca="false">Capacity</f>
        <v>40</v>
      </c>
      <c r="AP22" s="58" t="n">
        <f aca="false">CUSUM_h</f>
        <v>15</v>
      </c>
    </row>
    <row r="23" customFormat="false" ht="15" hidden="false" customHeight="false" outlineLevel="0" collapsed="false">
      <c r="A23" s="14" t="n">
        <v>15</v>
      </c>
      <c r="B23" s="14" t="n">
        <f aca="false">2+(SelYear-1979)*153+A23-1</f>
        <v>6595</v>
      </c>
      <c r="C23" s="55" t="n">
        <f aca="false">INDEX(Data_Heathrow!$A:$A,B23)</f>
        <v>44696</v>
      </c>
      <c r="D23" s="16" t="n">
        <f aca="false">INDEX(Data_Heathrow!$E:$E,B23)</f>
        <v>23.1</v>
      </c>
      <c r="E23" s="17" t="n">
        <f aca="false">INDEX(Data_Heathrow!$Q:$Q,B23)</f>
        <v>0</v>
      </c>
      <c r="F23" s="16" t="n">
        <f aca="false">INDEX(Data_Heathrow!$T:$T,B23)</f>
        <v>19.5917376234149</v>
      </c>
      <c r="G23" s="16" t="n">
        <f aca="false">IF(AND(Drift_Rate&lt;&gt;0,A23&gt;=Drift_Start),Drift_Rate*(A23-Drift_Start+1)/30,0)</f>
        <v>0</v>
      </c>
      <c r="H23" s="16" t="n">
        <f aca="false">IF(AND(E23=1,QA_Policy="Exclude suspect"),"",IF(AND(E23=1,QA_Policy="Impute with model",ISNUMBER(F23)),F23,D23)+G23)</f>
        <v>23.1</v>
      </c>
      <c r="I23" s="16" t="n">
        <f aca="false">IF(H23="","",H23+Climate_Shift+UHI_Day_Eff)</f>
        <v>25.1</v>
      </c>
      <c r="J23" s="16" t="n">
        <f aca="false">INDEX(Data_Heathrow!$G:$G,B23)</f>
        <v>12.9</v>
      </c>
      <c r="K23" s="16" t="n">
        <f aca="false">J23+Climate_Shift+UHI_Night_Eff</f>
        <v>16.9</v>
      </c>
      <c r="L23" s="16" t="n">
        <f aca="false">IF(INDEX(Data_Heathrow!$I:$I,B23)="","",INDEX(Data_Heathrow!$I:$I,B23))</f>
        <v>15.9</v>
      </c>
      <c r="M23" s="16" t="n">
        <f aca="false">IF(L23="","",L23+Climate_Shift+(UHI_Day_Eff+UHI_Night_Eff)/2)</f>
        <v>18.9</v>
      </c>
      <c r="N23" s="14" t="n">
        <f aca="false">IF(I23="",0,IF(I23&gt;=T_Day,1,0))</f>
        <v>0</v>
      </c>
      <c r="O23" s="14" t="n">
        <f aca="false">IF(K23&gt;=T_Night,1,0)</f>
        <v>0</v>
      </c>
      <c r="P23" s="14" t="n">
        <f aca="false">IF(N23=1,P22+1,0)</f>
        <v>0</v>
      </c>
      <c r="Q23" s="14" t="n">
        <f aca="false">IF(P23&gt;=HW_Days,1,0)</f>
        <v>0</v>
      </c>
      <c r="R23" s="17" t="str">
        <f aca="false">IF(AND(N23=1,I23&gt;=T_Red,O23=1),"RED",IF(AND(Q23=1,O23=1),"AMBER",IF(OR(N23=1,O23=1),"YELLOW","GREEN")))</f>
        <v>GREEN</v>
      </c>
      <c r="S23" s="14" t="n">
        <f aca="false">IF(R23="RED",3,IF(R23="AMBER",2,IF(R23="YELLOW",1,0)))</f>
        <v>0</v>
      </c>
      <c r="T23" s="16" t="n">
        <f aca="false">MAX(0,T22*(1-Decay)+IF(I23="",0,MAX(0,I23-T_Comfort))-Recovery_Rate*MAX(0,T_Night-K23))</f>
        <v>0</v>
      </c>
      <c r="U23" s="14" t="n">
        <f aca="false">IF(T23&gt;Capacity,1,0)</f>
        <v>0</v>
      </c>
      <c r="V23" s="15" t="n">
        <f aca="false">1/(1+EXP(-Logistic_k*(T23-Capacity)))</f>
        <v>0.00247262315663477</v>
      </c>
      <c r="W23" s="16" t="n">
        <f aca="false">IF(M23="",0,Beta*Pop_Share_Sel*(1-Sens_Red)*MAX(0,M23-T_Mort))</f>
        <v>0</v>
      </c>
      <c r="X23" s="16" t="n">
        <f aca="false">IF(ISNUMBER(F23),F23+Coef_B1*(Climate_Shift+G22),"")</f>
        <v>19.5917376234149</v>
      </c>
      <c r="Y23" s="16" t="n">
        <f aca="false">IF(AND(ISNUMBER(X23),H23&lt;&gt;""),H23+Climate_Shift-X23,"")</f>
        <v>3.5082623765851</v>
      </c>
      <c r="Z23" s="16" t="n">
        <f aca="false">IF(ISNUMBER(Y23),ABS(Y23),"")</f>
        <v>3.5082623765851</v>
      </c>
      <c r="AA23" s="16" t="n">
        <f aca="false">IF(COUNT(Z17:Z23)=0,"",AVERAGE(Z17:Z23))</f>
        <v>3.06269690411315</v>
      </c>
      <c r="AB23" s="16" t="n">
        <f aca="false">IF(AD22=1,0,MAX(0,AB22+IF(ISNUMBER(Y23),Y23-CUSUM_k,0)))</f>
        <v>2.5082623765851</v>
      </c>
      <c r="AC23" s="16" t="n">
        <f aca="false">IF(AD22=1,0,MAX(0,AC22+IF(ISNUMBER(Y23),-Y23-CUSUM_k,0)))</f>
        <v>0</v>
      </c>
      <c r="AD23" s="17" t="n">
        <f aca="false">IF(OR(AB23&gt;CUSUM_h,AC23&gt;CUSUM_h,AND(ISNUMBER(AA23),AA23&gt;MAE_Tol)),1,0)</f>
        <v>0</v>
      </c>
      <c r="AE23" s="14" t="n">
        <f aca="false">IF(ISNUMBER(X23),IF(X23+Local_Sensing*UHI_Day_Eff&gt;=T_Day,1,0),0)</f>
        <v>0</v>
      </c>
      <c r="AF23" s="17" t="str">
        <f aca="false">IF(NOT(ISNUMBER(X23)),"n/a",IF(AND(AE23=1,N23=1),"Hit",IF(AND(AE23=0,N23=1),"Miss",IF(AND(AE23=1,N23=0),"False alarm","Correct quiet"))))</f>
        <v>Correct quiet</v>
      </c>
      <c r="AG23" s="14" t="n">
        <f aca="false">IF(H23="",0,IF(H23+Climate_Shift&gt;=T_Day,1,0))</f>
        <v>0</v>
      </c>
      <c r="AH23" s="17" t="n">
        <f aca="false">IF(AND(N23=1,AG23=0),1,0)</f>
        <v>0</v>
      </c>
      <c r="AI23" s="17" t="str">
        <f aca="false">IF(U23=1,"ESCALATE: surge health &amp; transport capacity",IF(AD23=1,"Model drift: retrain, recalibrate, raise change request",IF(S23&gt;=2,"Activate heat plan: outreach and cooling centres",IF(AND(E23=1,OR(N23=1,O23=1)),"Data QA: verify sensor before acting",IF(AF23="Miss","Review missed alert: threshold or model",IF(AH23=1,"Equity: local alert not seen at reference station","Monitor"))))))</f>
        <v>Monitor</v>
      </c>
      <c r="AN23" s="58" t="n">
        <f aca="false">T_Day</f>
        <v>28</v>
      </c>
      <c r="AO23" s="58" t="n">
        <f aca="false">Capacity</f>
        <v>40</v>
      </c>
      <c r="AP23" s="58" t="n">
        <f aca="false">CUSUM_h</f>
        <v>15</v>
      </c>
    </row>
    <row r="24" customFormat="false" ht="15" hidden="false" customHeight="false" outlineLevel="0" collapsed="false">
      <c r="A24" s="14" t="n">
        <v>16</v>
      </c>
      <c r="B24" s="14" t="n">
        <f aca="false">2+(SelYear-1979)*153+A24-1</f>
        <v>6596</v>
      </c>
      <c r="C24" s="55" t="n">
        <f aca="false">INDEX(Data_Heathrow!$A:$A,B24)</f>
        <v>44697</v>
      </c>
      <c r="D24" s="16" t="n">
        <f aca="false">INDEX(Data_Heathrow!$E:$E,B24)</f>
        <v>27.5</v>
      </c>
      <c r="E24" s="17" t="n">
        <f aca="false">INDEX(Data_Heathrow!$Q:$Q,B24)</f>
        <v>0</v>
      </c>
      <c r="F24" s="16" t="n">
        <f aca="false">INDEX(Data_Heathrow!$T:$T,B24)</f>
        <v>22.8572908242437</v>
      </c>
      <c r="G24" s="16" t="n">
        <f aca="false">IF(AND(Drift_Rate&lt;&gt;0,A24&gt;=Drift_Start),Drift_Rate*(A24-Drift_Start+1)/30,0)</f>
        <v>0</v>
      </c>
      <c r="H24" s="16" t="n">
        <f aca="false">IF(AND(E24=1,QA_Policy="Exclude suspect"),"",IF(AND(E24=1,QA_Policy="Impute with model",ISNUMBER(F24)),F24,D24)+G24)</f>
        <v>27.5</v>
      </c>
      <c r="I24" s="16" t="n">
        <f aca="false">IF(H24="","",H24+Climate_Shift+UHI_Day_Eff)</f>
        <v>29.5</v>
      </c>
      <c r="J24" s="16" t="n">
        <f aca="false">INDEX(Data_Heathrow!$G:$G,B24)</f>
        <v>12.2</v>
      </c>
      <c r="K24" s="16" t="n">
        <f aca="false">J24+Climate_Shift+UHI_Night_Eff</f>
        <v>16.2</v>
      </c>
      <c r="L24" s="16" t="n">
        <f aca="false">IF(INDEX(Data_Heathrow!$I:$I,B24)="","",INDEX(Data_Heathrow!$I:$I,B24))</f>
        <v>17.6</v>
      </c>
      <c r="M24" s="16" t="n">
        <f aca="false">IF(L24="","",L24+Climate_Shift+(UHI_Day_Eff+UHI_Night_Eff)/2)</f>
        <v>20.6</v>
      </c>
      <c r="N24" s="14" t="n">
        <f aca="false">IF(I24="",0,IF(I24&gt;=T_Day,1,0))</f>
        <v>1</v>
      </c>
      <c r="O24" s="14" t="n">
        <f aca="false">IF(K24&gt;=T_Night,1,0)</f>
        <v>0</v>
      </c>
      <c r="P24" s="14" t="n">
        <f aca="false">IF(N24=1,P23+1,0)</f>
        <v>1</v>
      </c>
      <c r="Q24" s="14" t="n">
        <f aca="false">IF(P24&gt;=HW_Days,1,0)</f>
        <v>0</v>
      </c>
      <c r="R24" s="17" t="str">
        <f aca="false">IF(AND(N24=1,I24&gt;=T_Red,O24=1),"RED",IF(AND(Q24=1,O24=1),"AMBER",IF(OR(N24=1,O24=1),"YELLOW","GREEN")))</f>
        <v>YELLOW</v>
      </c>
      <c r="S24" s="14" t="n">
        <f aca="false">IF(R24="RED",3,IF(R24="AMBER",2,IF(R24="YELLOW",1,0)))</f>
        <v>1</v>
      </c>
      <c r="T24" s="16" t="n">
        <f aca="false">MAX(0,T23*(1-Decay)+IF(I24="",0,MAX(0,I24-T_Comfort))-Recovery_Rate*MAX(0,T_Night-K24))</f>
        <v>3.6</v>
      </c>
      <c r="U24" s="14" t="n">
        <f aca="false">IF(T24&gt;Capacity,1,0)</f>
        <v>0</v>
      </c>
      <c r="V24" s="15" t="n">
        <f aca="false">1/(1+EXP(-Logistic_k*(T24-Capacity)))</f>
        <v>0.00423553964084342</v>
      </c>
      <c r="W24" s="16" t="n">
        <f aca="false">IF(M24="",0,Beta*Pop_Share_Sel*(1-Sens_Red)*MAX(0,M24-T_Mort))</f>
        <v>0.333237657864524</v>
      </c>
      <c r="X24" s="16" t="n">
        <f aca="false">IF(ISNUMBER(F24),F24+Coef_B1*(Climate_Shift+G23),"")</f>
        <v>22.8572908242437</v>
      </c>
      <c r="Y24" s="16" t="n">
        <f aca="false">IF(AND(ISNUMBER(X24),H24&lt;&gt;""),H24+Climate_Shift-X24,"")</f>
        <v>4.64270917575628</v>
      </c>
      <c r="Z24" s="16" t="n">
        <f aca="false">IF(ISNUMBER(Y24),ABS(Y24),"")</f>
        <v>4.64270917575628</v>
      </c>
      <c r="AA24" s="16" t="n">
        <f aca="false">IF(COUNT(Z18:Z24)=0,"",AVERAGE(Z18:Z24))</f>
        <v>3.35071447783328</v>
      </c>
      <c r="AB24" s="16" t="n">
        <f aca="false">IF(AD23=1,0,MAX(0,AB23+IF(ISNUMBER(Y24),Y24-CUSUM_k,0)))</f>
        <v>6.15097155234138</v>
      </c>
      <c r="AC24" s="16" t="n">
        <f aca="false">IF(AD23=1,0,MAX(0,AC23+IF(ISNUMBER(Y24),-Y24-CUSUM_k,0)))</f>
        <v>0</v>
      </c>
      <c r="AD24" s="17" t="n">
        <f aca="false">IF(OR(AB24&gt;CUSUM_h,AC24&gt;CUSUM_h,AND(ISNUMBER(AA24),AA24&gt;MAE_Tol)),1,0)</f>
        <v>0</v>
      </c>
      <c r="AE24" s="14" t="n">
        <f aca="false">IF(ISNUMBER(X24),IF(X24+Local_Sensing*UHI_Day_Eff&gt;=T_Day,1,0),0)</f>
        <v>0</v>
      </c>
      <c r="AF24" s="17" t="str">
        <f aca="false">IF(NOT(ISNUMBER(X24)),"n/a",IF(AND(AE24=1,N24=1),"Hit",IF(AND(AE24=0,N24=1),"Miss",IF(AND(AE24=1,N24=0),"False alarm","Correct quiet"))))</f>
        <v>Miss</v>
      </c>
      <c r="AG24" s="14" t="n">
        <f aca="false">IF(H24="",0,IF(H24+Climate_Shift&gt;=T_Day,1,0))</f>
        <v>0</v>
      </c>
      <c r="AH24" s="17" t="n">
        <f aca="false">IF(AND(N24=1,AG24=0),1,0)</f>
        <v>1</v>
      </c>
      <c r="AI24" s="17" t="str">
        <f aca="false">IF(U24=1,"ESCALATE: surge health &amp; transport capacity",IF(AD24=1,"Model drift: retrain, recalibrate, raise change request",IF(S24&gt;=2,"Activate heat plan: outreach and cooling centres",IF(AND(E24=1,OR(N24=1,O24=1)),"Data QA: verify sensor before acting",IF(AF24="Miss","Review missed alert: threshold or model",IF(AH24=1,"Equity: local alert not seen at reference station","Monitor"))))))</f>
        <v>Review missed alert: threshold or model</v>
      </c>
      <c r="AN24" s="58" t="n">
        <f aca="false">T_Day</f>
        <v>28</v>
      </c>
      <c r="AO24" s="58" t="n">
        <f aca="false">Capacity</f>
        <v>40</v>
      </c>
      <c r="AP24" s="58" t="n">
        <f aca="false">CUSUM_h</f>
        <v>15</v>
      </c>
    </row>
    <row r="25" customFormat="false" ht="15" hidden="false" customHeight="false" outlineLevel="0" collapsed="false">
      <c r="A25" s="14" t="n">
        <v>17</v>
      </c>
      <c r="B25" s="14" t="n">
        <f aca="false">2+(SelYear-1979)*153+A25-1</f>
        <v>6597</v>
      </c>
      <c r="C25" s="55" t="n">
        <f aca="false">INDEX(Data_Heathrow!$A:$A,B25)</f>
        <v>44698</v>
      </c>
      <c r="D25" s="16" t="n">
        <f aca="false">INDEX(Data_Heathrow!$E:$E,B25)</f>
        <v>23.1</v>
      </c>
      <c r="E25" s="17" t="n">
        <f aca="false">INDEX(Data_Heathrow!$Q:$Q,B25)</f>
        <v>0</v>
      </c>
      <c r="F25" s="16" t="n">
        <f aca="false">INDEX(Data_Heathrow!$T:$T,B25)</f>
        <v>26.4404243473876</v>
      </c>
      <c r="G25" s="16" t="n">
        <f aca="false">IF(AND(Drift_Rate&lt;&gt;0,A25&gt;=Drift_Start),Drift_Rate*(A25-Drift_Start+1)/30,0)</f>
        <v>0</v>
      </c>
      <c r="H25" s="16" t="n">
        <f aca="false">IF(AND(E25=1,QA_Policy="Exclude suspect"),"",IF(AND(E25=1,QA_Policy="Impute with model",ISNUMBER(F25)),F25,D25)+G25)</f>
        <v>23.1</v>
      </c>
      <c r="I25" s="16" t="n">
        <f aca="false">IF(H25="","",H25+Climate_Shift+UHI_Day_Eff)</f>
        <v>25.1</v>
      </c>
      <c r="J25" s="16" t="n">
        <f aca="false">INDEX(Data_Heathrow!$G:$G,B25)</f>
        <v>10.9</v>
      </c>
      <c r="K25" s="16" t="n">
        <f aca="false">J25+Climate_Shift+UHI_Night_Eff</f>
        <v>14.9</v>
      </c>
      <c r="L25" s="16" t="n">
        <f aca="false">IF(INDEX(Data_Heathrow!$I:$I,B25)="","",INDEX(Data_Heathrow!$I:$I,B25))</f>
        <v>19.2</v>
      </c>
      <c r="M25" s="16" t="n">
        <f aca="false">IF(L25="","",L25+Climate_Shift+(UHI_Day_Eff+UHI_Night_Eff)/2)</f>
        <v>22.2</v>
      </c>
      <c r="N25" s="14" t="n">
        <f aca="false">IF(I25="",0,IF(I25&gt;=T_Day,1,0))</f>
        <v>0</v>
      </c>
      <c r="O25" s="14" t="n">
        <f aca="false">IF(K25&gt;=T_Night,1,0)</f>
        <v>0</v>
      </c>
      <c r="P25" s="14" t="n">
        <f aca="false">IF(N25=1,P24+1,0)</f>
        <v>0</v>
      </c>
      <c r="Q25" s="14" t="n">
        <f aca="false">IF(P25&gt;=HW_Days,1,0)</f>
        <v>0</v>
      </c>
      <c r="R25" s="17" t="str">
        <f aca="false">IF(AND(N25=1,I25&gt;=T_Red,O25=1),"RED",IF(AND(Q25=1,O25=1),"AMBER",IF(OR(N25=1,O25=1),"YELLOW","GREEN")))</f>
        <v>GREEN</v>
      </c>
      <c r="S25" s="14" t="n">
        <f aca="false">IF(R25="RED",3,IF(R25="AMBER",2,IF(R25="YELLOW",1,0)))</f>
        <v>0</v>
      </c>
      <c r="T25" s="16" t="n">
        <f aca="false">MAX(0,T24*(1-Decay)+IF(I25="",0,MAX(0,I25-T_Comfort))-Recovery_Rate*MAX(0,T_Night-K25))</f>
        <v>1.43</v>
      </c>
      <c r="U25" s="14" t="n">
        <f aca="false">IF(T25&gt;Capacity,1,0)</f>
        <v>0</v>
      </c>
      <c r="V25" s="15" t="n">
        <f aca="false">1/(1+EXP(-Logistic_k*(T25-Capacity)))</f>
        <v>0.00306236720450402</v>
      </c>
      <c r="W25" s="16" t="n">
        <f aca="false">IF(M25="",0,Beta*Pop_Share_Sel*(1-Sens_Red)*MAX(0,M25-T_Mort))</f>
        <v>1.22187141216992</v>
      </c>
      <c r="X25" s="16" t="n">
        <f aca="false">IF(ISNUMBER(F25),F25+Coef_B1*(Climate_Shift+G24),"")</f>
        <v>26.4404243473876</v>
      </c>
      <c r="Y25" s="16" t="n">
        <f aca="false">IF(AND(ISNUMBER(X25),H25&lt;&gt;""),H25+Climate_Shift-X25,"")</f>
        <v>-3.34042434738762</v>
      </c>
      <c r="Z25" s="16" t="n">
        <f aca="false">IF(ISNUMBER(Y25),ABS(Y25),"")</f>
        <v>3.34042434738762</v>
      </c>
      <c r="AA25" s="16" t="n">
        <f aca="false">IF(COUNT(Z19:Z25)=0,"",AVERAGE(Z19:Z25))</f>
        <v>3.08514227350365</v>
      </c>
      <c r="AB25" s="16" t="n">
        <f aca="false">IF(AD24=1,0,MAX(0,AB24+IF(ISNUMBER(Y25),Y25-CUSUM_k,0)))</f>
        <v>1.81054720495376</v>
      </c>
      <c r="AC25" s="16" t="n">
        <f aca="false">IF(AD24=1,0,MAX(0,AC24+IF(ISNUMBER(Y25),-Y25-CUSUM_k,0)))</f>
        <v>2.34042434738762</v>
      </c>
      <c r="AD25" s="17" t="n">
        <f aca="false">IF(OR(AB25&gt;CUSUM_h,AC25&gt;CUSUM_h,AND(ISNUMBER(AA25),AA25&gt;MAE_Tol)),1,0)</f>
        <v>0</v>
      </c>
      <c r="AE25" s="14" t="n">
        <f aca="false">IF(ISNUMBER(X25),IF(X25+Local_Sensing*UHI_Day_Eff&gt;=T_Day,1,0),0)</f>
        <v>0</v>
      </c>
      <c r="AF25" s="17" t="str">
        <f aca="false">IF(NOT(ISNUMBER(X25)),"n/a",IF(AND(AE25=1,N25=1),"Hit",IF(AND(AE25=0,N25=1),"Miss",IF(AND(AE25=1,N25=0),"False alarm","Correct quiet"))))</f>
        <v>Correct quiet</v>
      </c>
      <c r="AG25" s="14" t="n">
        <f aca="false">IF(H25="",0,IF(H25+Climate_Shift&gt;=T_Day,1,0))</f>
        <v>0</v>
      </c>
      <c r="AH25" s="17" t="n">
        <f aca="false">IF(AND(N25=1,AG25=0),1,0)</f>
        <v>0</v>
      </c>
      <c r="AI25" s="17" t="str">
        <f aca="false">IF(U25=1,"ESCALATE: surge health &amp; transport capacity",IF(AD25=1,"Model drift: retrain, recalibrate, raise change request",IF(S25&gt;=2,"Activate heat plan: outreach and cooling centres",IF(AND(E25=1,OR(N25=1,O25=1)),"Data QA: verify sensor before acting",IF(AF25="Miss","Review missed alert: threshold or model",IF(AH25=1,"Equity: local alert not seen at reference station","Monitor"))))))</f>
        <v>Monitor</v>
      </c>
      <c r="AN25" s="58" t="n">
        <f aca="false">T_Day</f>
        <v>28</v>
      </c>
      <c r="AO25" s="58" t="n">
        <f aca="false">Capacity</f>
        <v>40</v>
      </c>
      <c r="AP25" s="58" t="n">
        <f aca="false">CUSUM_h</f>
        <v>15</v>
      </c>
    </row>
    <row r="26" customFormat="false" ht="15" hidden="false" customHeight="false" outlineLevel="0" collapsed="false">
      <c r="A26" s="14" t="n">
        <v>18</v>
      </c>
      <c r="B26" s="14" t="n">
        <f aca="false">2+(SelYear-1979)*153+A26-1</f>
        <v>6598</v>
      </c>
      <c r="C26" s="55" t="n">
        <f aca="false">INDEX(Data_Heathrow!$A:$A,B26)</f>
        <v>44699</v>
      </c>
      <c r="D26" s="16" t="n">
        <f aca="false">INDEX(Data_Heathrow!$E:$E,B26)</f>
        <v>22.4</v>
      </c>
      <c r="E26" s="17" t="n">
        <f aca="false">INDEX(Data_Heathrow!$Q:$Q,B26)</f>
        <v>0</v>
      </c>
      <c r="F26" s="16" t="n">
        <f aca="false">INDEX(Data_Heathrow!$T:$T,B26)</f>
        <v>22.9200306135117</v>
      </c>
      <c r="G26" s="16" t="n">
        <f aca="false">IF(AND(Drift_Rate&lt;&gt;0,A26&gt;=Drift_Start),Drift_Rate*(A26-Drift_Start+1)/30,0)</f>
        <v>0</v>
      </c>
      <c r="H26" s="16" t="n">
        <f aca="false">IF(AND(E26=1,QA_Policy="Exclude suspect"),"",IF(AND(E26=1,QA_Policy="Impute with model",ISNUMBER(F26)),F26,D26)+G26)</f>
        <v>22.4</v>
      </c>
      <c r="I26" s="16" t="n">
        <f aca="false">IF(H26="","",H26+Climate_Shift+UHI_Day_Eff)</f>
        <v>24.4</v>
      </c>
      <c r="J26" s="16" t="n">
        <f aca="false">INDEX(Data_Heathrow!$G:$G,B26)</f>
        <v>11.1</v>
      </c>
      <c r="K26" s="16" t="n">
        <f aca="false">J26+Climate_Shift+UHI_Night_Eff</f>
        <v>15.1</v>
      </c>
      <c r="L26" s="16" t="n">
        <f aca="false">IF(INDEX(Data_Heathrow!$I:$I,B26)="","",INDEX(Data_Heathrow!$I:$I,B26))</f>
        <v>17.1</v>
      </c>
      <c r="M26" s="16" t="n">
        <f aca="false">IF(L26="","",L26+Climate_Shift+(UHI_Day_Eff+UHI_Night_Eff)/2)</f>
        <v>20.1</v>
      </c>
      <c r="N26" s="14" t="n">
        <f aca="false">IF(I26="",0,IF(I26&gt;=T_Day,1,0))</f>
        <v>0</v>
      </c>
      <c r="O26" s="14" t="n">
        <f aca="false">IF(K26&gt;=T_Night,1,0)</f>
        <v>0</v>
      </c>
      <c r="P26" s="14" t="n">
        <f aca="false">IF(N26=1,P25+1,0)</f>
        <v>0</v>
      </c>
      <c r="Q26" s="14" t="n">
        <f aca="false">IF(P26&gt;=HW_Days,1,0)</f>
        <v>0</v>
      </c>
      <c r="R26" s="17" t="str">
        <f aca="false">IF(AND(N26=1,I26&gt;=T_Red,O26=1),"RED",IF(AND(Q26=1,O26=1),"AMBER",IF(OR(N26=1,O26=1),"YELLOW","GREEN")))</f>
        <v>GREEN</v>
      </c>
      <c r="S26" s="14" t="n">
        <f aca="false">IF(R26="RED",3,IF(R26="AMBER",2,IF(R26="YELLOW",1,0)))</f>
        <v>0</v>
      </c>
      <c r="T26" s="16" t="n">
        <f aca="false">MAX(0,T25*(1-Decay)+IF(I26="",0,MAX(0,I26-T_Comfort))-Recovery_Rate*MAX(0,T_Night-K26))</f>
        <v>0</v>
      </c>
      <c r="U26" s="14" t="n">
        <f aca="false">IF(T26&gt;Capacity,1,0)</f>
        <v>0</v>
      </c>
      <c r="V26" s="15" t="n">
        <f aca="false">1/(1+EXP(-Logistic_k*(T26-Capacity)))</f>
        <v>0.00247262315663477</v>
      </c>
      <c r="W26" s="16" t="n">
        <f aca="false">IF(M26="",0,Beta*Pop_Share_Sel*(1-Sens_Red)*MAX(0,M26-T_Mort))</f>
        <v>0.055539609644088</v>
      </c>
      <c r="X26" s="16" t="n">
        <f aca="false">IF(ISNUMBER(F26),F26+Coef_B1*(Climate_Shift+G25),"")</f>
        <v>22.9200306135117</v>
      </c>
      <c r="Y26" s="16" t="n">
        <f aca="false">IF(AND(ISNUMBER(X26),H26&lt;&gt;""),H26+Climate_Shift-X26,"")</f>
        <v>-0.520030613511704</v>
      </c>
      <c r="Z26" s="16" t="n">
        <f aca="false">IF(ISNUMBER(Y26),ABS(Y26),"")</f>
        <v>0.520030613511704</v>
      </c>
      <c r="AA26" s="16" t="n">
        <f aca="false">IF(COUNT(Z20:Z26)=0,"",AVERAGE(Z20:Z26))</f>
        <v>2.90407600465603</v>
      </c>
      <c r="AB26" s="16" t="n">
        <f aca="false">IF(AD25=1,0,MAX(0,AB25+IF(ISNUMBER(Y26),Y26-CUSUM_k,0)))</f>
        <v>0.290516591442056</v>
      </c>
      <c r="AC26" s="16" t="n">
        <f aca="false">IF(AD25=1,0,MAX(0,AC25+IF(ISNUMBER(Y26),-Y26-CUSUM_k,0)))</f>
        <v>1.86045496089932</v>
      </c>
      <c r="AD26" s="17" t="n">
        <f aca="false">IF(OR(AB26&gt;CUSUM_h,AC26&gt;CUSUM_h,AND(ISNUMBER(AA26),AA26&gt;MAE_Tol)),1,0)</f>
        <v>0</v>
      </c>
      <c r="AE26" s="14" t="n">
        <f aca="false">IF(ISNUMBER(X26),IF(X26+Local_Sensing*UHI_Day_Eff&gt;=T_Day,1,0),0)</f>
        <v>0</v>
      </c>
      <c r="AF26" s="17" t="str">
        <f aca="false">IF(NOT(ISNUMBER(X26)),"n/a",IF(AND(AE26=1,N26=1),"Hit",IF(AND(AE26=0,N26=1),"Miss",IF(AND(AE26=1,N26=0),"False alarm","Correct quiet"))))</f>
        <v>Correct quiet</v>
      </c>
      <c r="AG26" s="14" t="n">
        <f aca="false">IF(H26="",0,IF(H26+Climate_Shift&gt;=T_Day,1,0))</f>
        <v>0</v>
      </c>
      <c r="AH26" s="17" t="n">
        <f aca="false">IF(AND(N26=1,AG26=0),1,0)</f>
        <v>0</v>
      </c>
      <c r="AI26" s="17" t="str">
        <f aca="false">IF(U26=1,"ESCALATE: surge health &amp; transport capacity",IF(AD26=1,"Model drift: retrain, recalibrate, raise change request",IF(S26&gt;=2,"Activate heat plan: outreach and cooling centres",IF(AND(E26=1,OR(N26=1,O26=1)),"Data QA: verify sensor before acting",IF(AF26="Miss","Review missed alert: threshold or model",IF(AH26=1,"Equity: local alert not seen at reference station","Monitor"))))))</f>
        <v>Monitor</v>
      </c>
      <c r="AN26" s="58" t="n">
        <f aca="false">T_Day</f>
        <v>28</v>
      </c>
      <c r="AO26" s="58" t="n">
        <f aca="false">Capacity</f>
        <v>40</v>
      </c>
      <c r="AP26" s="58" t="n">
        <f aca="false">CUSUM_h</f>
        <v>15</v>
      </c>
    </row>
    <row r="27" customFormat="false" ht="15" hidden="false" customHeight="false" outlineLevel="0" collapsed="false">
      <c r="A27" s="14" t="n">
        <v>19</v>
      </c>
      <c r="B27" s="14" t="n">
        <f aca="false">2+(SelYear-1979)*153+A27-1</f>
        <v>6599</v>
      </c>
      <c r="C27" s="55" t="n">
        <f aca="false">INDEX(Data_Heathrow!$A:$A,B27)</f>
        <v>44700</v>
      </c>
      <c r="D27" s="16" t="n">
        <f aca="false">INDEX(Data_Heathrow!$E:$E,B27)</f>
        <v>19</v>
      </c>
      <c r="E27" s="17" t="n">
        <f aca="false">INDEX(Data_Heathrow!$Q:$Q,B27)</f>
        <v>0</v>
      </c>
      <c r="F27" s="16" t="n">
        <f aca="false">INDEX(Data_Heathrow!$T:$T,B27)</f>
        <v>22.3966850097962</v>
      </c>
      <c r="G27" s="16" t="n">
        <f aca="false">IF(AND(Drift_Rate&lt;&gt;0,A27&gt;=Drift_Start),Drift_Rate*(A27-Drift_Start+1)/30,0)</f>
        <v>0</v>
      </c>
      <c r="H27" s="16" t="n">
        <f aca="false">IF(AND(E27=1,QA_Policy="Exclude suspect"),"",IF(AND(E27=1,QA_Policy="Impute with model",ISNUMBER(F27)),F27,D27)+G27)</f>
        <v>19</v>
      </c>
      <c r="I27" s="16" t="n">
        <f aca="false">IF(H27="","",H27+Climate_Shift+UHI_Day_Eff)</f>
        <v>21</v>
      </c>
      <c r="J27" s="16" t="n">
        <f aca="false">INDEX(Data_Heathrow!$G:$G,B27)</f>
        <v>13.9</v>
      </c>
      <c r="K27" s="16" t="n">
        <f aca="false">J27+Climate_Shift+UHI_Night_Eff</f>
        <v>17.9</v>
      </c>
      <c r="L27" s="16" t="n">
        <f aca="false">IF(INDEX(Data_Heathrow!$I:$I,B27)="","",INDEX(Data_Heathrow!$I:$I,B27))</f>
        <v>18.1</v>
      </c>
      <c r="M27" s="16" t="n">
        <f aca="false">IF(L27="","",L27+Climate_Shift+(UHI_Day_Eff+UHI_Night_Eff)/2)</f>
        <v>21.1</v>
      </c>
      <c r="N27" s="14" t="n">
        <f aca="false">IF(I27="",0,IF(I27&gt;=T_Day,1,0))</f>
        <v>0</v>
      </c>
      <c r="O27" s="14" t="n">
        <f aca="false">IF(K27&gt;=T_Night,1,0)</f>
        <v>0</v>
      </c>
      <c r="P27" s="14" t="n">
        <f aca="false">IF(N27=1,P26+1,0)</f>
        <v>0</v>
      </c>
      <c r="Q27" s="14" t="n">
        <f aca="false">IF(P27&gt;=HW_Days,1,0)</f>
        <v>0</v>
      </c>
      <c r="R27" s="17" t="str">
        <f aca="false">IF(AND(N27=1,I27&gt;=T_Red,O27=1),"RED",IF(AND(Q27=1,O27=1),"AMBER",IF(OR(N27=1,O27=1),"YELLOW","GREEN")))</f>
        <v>GREEN</v>
      </c>
      <c r="S27" s="14" t="n">
        <f aca="false">IF(R27="RED",3,IF(R27="AMBER",2,IF(R27="YELLOW",1,0)))</f>
        <v>0</v>
      </c>
      <c r="T27" s="16" t="n">
        <f aca="false">MAX(0,T26*(1-Decay)+IF(I27="",0,MAX(0,I27-T_Comfort))-Recovery_Rate*MAX(0,T_Night-K27))</f>
        <v>0</v>
      </c>
      <c r="U27" s="14" t="n">
        <f aca="false">IF(T27&gt;Capacity,1,0)</f>
        <v>0</v>
      </c>
      <c r="V27" s="15" t="n">
        <f aca="false">1/(1+EXP(-Logistic_k*(T27-Capacity)))</f>
        <v>0.00247262315663477</v>
      </c>
      <c r="W27" s="16" t="n">
        <f aca="false">IF(M27="",0,Beta*Pop_Share_Sel*(1-Sens_Red)*MAX(0,M27-T_Mort))</f>
        <v>0.610935706084961</v>
      </c>
      <c r="X27" s="16" t="n">
        <f aca="false">IF(ISNUMBER(F27),F27+Coef_B1*(Climate_Shift+G26),"")</f>
        <v>22.3966850097962</v>
      </c>
      <c r="Y27" s="16" t="n">
        <f aca="false">IF(AND(ISNUMBER(X27),H27&lt;&gt;""),H27+Climate_Shift-X27,"")</f>
        <v>-3.39668500979622</v>
      </c>
      <c r="Z27" s="16" t="n">
        <f aca="false">IF(ISNUMBER(Y27),ABS(Y27),"")</f>
        <v>3.39668500979622</v>
      </c>
      <c r="AA27" s="16" t="n">
        <f aca="false">IF(COUNT(Z21:Z27)=0,"",AVERAGE(Z21:Z27))</f>
        <v>3.08528310579095</v>
      </c>
      <c r="AB27" s="16" t="n">
        <f aca="false">IF(AD26=1,0,MAX(0,AB26+IF(ISNUMBER(Y27),Y27-CUSUM_k,0)))</f>
        <v>0</v>
      </c>
      <c r="AC27" s="16" t="n">
        <f aca="false">IF(AD26=1,0,MAX(0,AC26+IF(ISNUMBER(Y27),-Y27-CUSUM_k,0)))</f>
        <v>4.25713997069554</v>
      </c>
      <c r="AD27" s="17" t="n">
        <f aca="false">IF(OR(AB27&gt;CUSUM_h,AC27&gt;CUSUM_h,AND(ISNUMBER(AA27),AA27&gt;MAE_Tol)),1,0)</f>
        <v>0</v>
      </c>
      <c r="AE27" s="14" t="n">
        <f aca="false">IF(ISNUMBER(X27),IF(X27+Local_Sensing*UHI_Day_Eff&gt;=T_Day,1,0),0)</f>
        <v>0</v>
      </c>
      <c r="AF27" s="17" t="str">
        <f aca="false">IF(NOT(ISNUMBER(X27)),"n/a",IF(AND(AE27=1,N27=1),"Hit",IF(AND(AE27=0,N27=1),"Miss",IF(AND(AE27=1,N27=0),"False alarm","Correct quiet"))))</f>
        <v>Correct quiet</v>
      </c>
      <c r="AG27" s="14" t="n">
        <f aca="false">IF(H27="",0,IF(H27+Climate_Shift&gt;=T_Day,1,0))</f>
        <v>0</v>
      </c>
      <c r="AH27" s="17" t="n">
        <f aca="false">IF(AND(N27=1,AG27=0),1,0)</f>
        <v>0</v>
      </c>
      <c r="AI27" s="17" t="str">
        <f aca="false">IF(U27=1,"ESCALATE: surge health &amp; transport capacity",IF(AD27=1,"Model drift: retrain, recalibrate, raise change request",IF(S27&gt;=2,"Activate heat plan: outreach and cooling centres",IF(AND(E27=1,OR(N27=1,O27=1)),"Data QA: verify sensor before acting",IF(AF27="Miss","Review missed alert: threshold or model",IF(AH27=1,"Equity: local alert not seen at reference station","Monitor"))))))</f>
        <v>Monitor</v>
      </c>
      <c r="AN27" s="58" t="n">
        <f aca="false">T_Day</f>
        <v>28</v>
      </c>
      <c r="AO27" s="58" t="n">
        <f aca="false">Capacity</f>
        <v>40</v>
      </c>
      <c r="AP27" s="58" t="n">
        <f aca="false">CUSUM_h</f>
        <v>15</v>
      </c>
    </row>
    <row r="28" customFormat="false" ht="15" hidden="false" customHeight="false" outlineLevel="0" collapsed="false">
      <c r="A28" s="14" t="n">
        <v>20</v>
      </c>
      <c r="B28" s="14" t="n">
        <f aca="false">2+(SelYear-1979)*153+A28-1</f>
        <v>6600</v>
      </c>
      <c r="C28" s="55" t="n">
        <f aca="false">INDEX(Data_Heathrow!$A:$A,B28)</f>
        <v>44701</v>
      </c>
      <c r="D28" s="16" t="n">
        <f aca="false">INDEX(Data_Heathrow!$E:$E,B28)</f>
        <v>22</v>
      </c>
      <c r="E28" s="17" t="n">
        <f aca="false">INDEX(Data_Heathrow!$Q:$Q,B28)</f>
        <v>0</v>
      </c>
      <c r="F28" s="16" t="n">
        <f aca="false">INDEX(Data_Heathrow!$T:$T,B28)</f>
        <v>19.5952468061342</v>
      </c>
      <c r="G28" s="16" t="n">
        <f aca="false">IF(AND(Drift_Rate&lt;&gt;0,A28&gt;=Drift_Start),Drift_Rate*(A28-Drift_Start+1)/30,0)</f>
        <v>0</v>
      </c>
      <c r="H28" s="16" t="n">
        <f aca="false">IF(AND(E28=1,QA_Policy="Exclude suspect"),"",IF(AND(E28=1,QA_Policy="Impute with model",ISNUMBER(F28)),F28,D28)+G28)</f>
        <v>22</v>
      </c>
      <c r="I28" s="16" t="n">
        <f aca="false">IF(H28="","",H28+Climate_Shift+UHI_Day_Eff)</f>
        <v>24</v>
      </c>
      <c r="J28" s="16" t="n">
        <f aca="false">INDEX(Data_Heathrow!$G:$G,B28)</f>
        <v>12.1</v>
      </c>
      <c r="K28" s="16" t="n">
        <f aca="false">J28+Climate_Shift+UHI_Night_Eff</f>
        <v>16.1</v>
      </c>
      <c r="L28" s="16" t="n">
        <f aca="false">IF(INDEX(Data_Heathrow!$I:$I,B28)="","",INDEX(Data_Heathrow!$I:$I,B28))</f>
        <v>15.6</v>
      </c>
      <c r="M28" s="16" t="n">
        <f aca="false">IF(L28="","",L28+Climate_Shift+(UHI_Day_Eff+UHI_Night_Eff)/2)</f>
        <v>18.6</v>
      </c>
      <c r="N28" s="14" t="n">
        <f aca="false">IF(I28="",0,IF(I28&gt;=T_Day,1,0))</f>
        <v>0</v>
      </c>
      <c r="O28" s="14" t="n">
        <f aca="false">IF(K28&gt;=T_Night,1,0)</f>
        <v>0</v>
      </c>
      <c r="P28" s="14" t="n">
        <f aca="false">IF(N28=1,P27+1,0)</f>
        <v>0</v>
      </c>
      <c r="Q28" s="14" t="n">
        <f aca="false">IF(P28&gt;=HW_Days,1,0)</f>
        <v>0</v>
      </c>
      <c r="R28" s="17" t="str">
        <f aca="false">IF(AND(N28=1,I28&gt;=T_Red,O28=1),"RED",IF(AND(Q28=1,O28=1),"AMBER",IF(OR(N28=1,O28=1),"YELLOW","GREEN")))</f>
        <v>GREEN</v>
      </c>
      <c r="S28" s="14" t="n">
        <f aca="false">IF(R28="RED",3,IF(R28="AMBER",2,IF(R28="YELLOW",1,0)))</f>
        <v>0</v>
      </c>
      <c r="T28" s="16" t="n">
        <f aca="false">MAX(0,T27*(1-Decay)+IF(I28="",0,MAX(0,I28-T_Comfort))-Recovery_Rate*MAX(0,T_Night-K28))</f>
        <v>0</v>
      </c>
      <c r="U28" s="14" t="n">
        <f aca="false">IF(T28&gt;Capacity,1,0)</f>
        <v>0</v>
      </c>
      <c r="V28" s="15" t="n">
        <f aca="false">1/(1+EXP(-Logistic_k*(T28-Capacity)))</f>
        <v>0.00247262315663477</v>
      </c>
      <c r="W28" s="16" t="n">
        <f aca="false">IF(M28="",0,Beta*Pop_Share_Sel*(1-Sens_Red)*MAX(0,M28-T_Mort))</f>
        <v>0</v>
      </c>
      <c r="X28" s="16" t="n">
        <f aca="false">IF(ISNUMBER(F28),F28+Coef_B1*(Climate_Shift+G27),"")</f>
        <v>19.5952468061342</v>
      </c>
      <c r="Y28" s="16" t="n">
        <f aca="false">IF(AND(ISNUMBER(X28),H28&lt;&gt;""),H28+Climate_Shift-X28,"")</f>
        <v>2.40475319386581</v>
      </c>
      <c r="Z28" s="16" t="n">
        <f aca="false">IF(ISNUMBER(Y28),ABS(Y28),"")</f>
        <v>2.40475319386581</v>
      </c>
      <c r="AA28" s="16" t="n">
        <f aca="false">IF(COUNT(Z22:Z28)=0,"",AVERAGE(Z22:Z28))</f>
        <v>3.16664754190034</v>
      </c>
      <c r="AB28" s="16" t="n">
        <f aca="false">IF(AD27=1,0,MAX(0,AB27+IF(ISNUMBER(Y28),Y28-CUSUM_k,0)))</f>
        <v>1.40475319386581</v>
      </c>
      <c r="AC28" s="16" t="n">
        <f aca="false">IF(AD27=1,0,MAX(0,AC27+IF(ISNUMBER(Y28),-Y28-CUSUM_k,0)))</f>
        <v>0.852386776829736</v>
      </c>
      <c r="AD28" s="17" t="n">
        <f aca="false">IF(OR(AB28&gt;CUSUM_h,AC28&gt;CUSUM_h,AND(ISNUMBER(AA28),AA28&gt;MAE_Tol)),1,0)</f>
        <v>0</v>
      </c>
      <c r="AE28" s="14" t="n">
        <f aca="false">IF(ISNUMBER(X28),IF(X28+Local_Sensing*UHI_Day_Eff&gt;=T_Day,1,0),0)</f>
        <v>0</v>
      </c>
      <c r="AF28" s="17" t="str">
        <f aca="false">IF(NOT(ISNUMBER(X28)),"n/a",IF(AND(AE28=1,N28=1),"Hit",IF(AND(AE28=0,N28=1),"Miss",IF(AND(AE28=1,N28=0),"False alarm","Correct quiet"))))</f>
        <v>Correct quiet</v>
      </c>
      <c r="AG28" s="14" t="n">
        <f aca="false">IF(H28="",0,IF(H28+Climate_Shift&gt;=T_Day,1,0))</f>
        <v>0</v>
      </c>
      <c r="AH28" s="17" t="n">
        <f aca="false">IF(AND(N28=1,AG28=0),1,0)</f>
        <v>0</v>
      </c>
      <c r="AI28" s="17" t="str">
        <f aca="false">IF(U28=1,"ESCALATE: surge health &amp; transport capacity",IF(AD28=1,"Model drift: retrain, recalibrate, raise change request",IF(S28&gt;=2,"Activate heat plan: outreach and cooling centres",IF(AND(E28=1,OR(N28=1,O28=1)),"Data QA: verify sensor before acting",IF(AF28="Miss","Review missed alert: threshold or model",IF(AH28=1,"Equity: local alert not seen at reference station","Monitor"))))))</f>
        <v>Monitor</v>
      </c>
      <c r="AN28" s="58" t="n">
        <f aca="false">T_Day</f>
        <v>28</v>
      </c>
      <c r="AO28" s="58" t="n">
        <f aca="false">Capacity</f>
        <v>40</v>
      </c>
      <c r="AP28" s="58" t="n">
        <f aca="false">CUSUM_h</f>
        <v>15</v>
      </c>
    </row>
    <row r="29" customFormat="false" ht="15" hidden="false" customHeight="false" outlineLevel="0" collapsed="false">
      <c r="A29" s="14" t="n">
        <v>21</v>
      </c>
      <c r="B29" s="14" t="n">
        <f aca="false">2+(SelYear-1979)*153+A29-1</f>
        <v>6601</v>
      </c>
      <c r="C29" s="55" t="n">
        <f aca="false">INDEX(Data_Heathrow!$A:$A,B29)</f>
        <v>44702</v>
      </c>
      <c r="D29" s="16" t="n">
        <f aca="false">INDEX(Data_Heathrow!$E:$E,B29)</f>
        <v>23.8</v>
      </c>
      <c r="E29" s="17" t="n">
        <f aca="false">INDEX(Data_Heathrow!$Q:$Q,B29)</f>
        <v>0</v>
      </c>
      <c r="F29" s="16" t="n">
        <f aca="false">INDEX(Data_Heathrow!$T:$T,B29)</f>
        <v>22.0689493325792</v>
      </c>
      <c r="G29" s="16" t="n">
        <f aca="false">IF(AND(Drift_Rate&lt;&gt;0,A29&gt;=Drift_Start),Drift_Rate*(A29-Drift_Start+1)/30,0)</f>
        <v>0</v>
      </c>
      <c r="H29" s="16" t="n">
        <f aca="false">IF(AND(E29=1,QA_Policy="Exclude suspect"),"",IF(AND(E29=1,QA_Policy="Impute with model",ISNUMBER(F29)),F29,D29)+G29)</f>
        <v>23.8</v>
      </c>
      <c r="I29" s="16" t="n">
        <f aca="false">IF(H29="","",H29+Climate_Shift+UHI_Day_Eff)</f>
        <v>25.8</v>
      </c>
      <c r="J29" s="16" t="n">
        <f aca="false">INDEX(Data_Heathrow!$G:$G,B29)</f>
        <v>9.5</v>
      </c>
      <c r="K29" s="16" t="n">
        <f aca="false">J29+Climate_Shift+UHI_Night_Eff</f>
        <v>13.5</v>
      </c>
      <c r="L29" s="16" t="n">
        <f aca="false">IF(INDEX(Data_Heathrow!$I:$I,B29)="","",INDEX(Data_Heathrow!$I:$I,B29))</f>
        <v>15.8</v>
      </c>
      <c r="M29" s="16" t="n">
        <f aca="false">IF(L29="","",L29+Climate_Shift+(UHI_Day_Eff+UHI_Night_Eff)/2)</f>
        <v>18.8</v>
      </c>
      <c r="N29" s="14" t="n">
        <f aca="false">IF(I29="",0,IF(I29&gt;=T_Day,1,0))</f>
        <v>0</v>
      </c>
      <c r="O29" s="14" t="n">
        <f aca="false">IF(K29&gt;=T_Night,1,0)</f>
        <v>0</v>
      </c>
      <c r="P29" s="14" t="n">
        <f aca="false">IF(N29=1,P28+1,0)</f>
        <v>0</v>
      </c>
      <c r="Q29" s="14" t="n">
        <f aca="false">IF(P29&gt;=HW_Days,1,0)</f>
        <v>0</v>
      </c>
      <c r="R29" s="17" t="str">
        <f aca="false">IF(AND(N29=1,I29&gt;=T_Red,O29=1),"RED",IF(AND(Q29=1,O29=1),"AMBER",IF(OR(N29=1,O29=1),"YELLOW","GREEN")))</f>
        <v>GREEN</v>
      </c>
      <c r="S29" s="14" t="n">
        <f aca="false">IF(R29="RED",3,IF(R29="AMBER",2,IF(R29="YELLOW",1,0)))</f>
        <v>0</v>
      </c>
      <c r="T29" s="16" t="n">
        <f aca="false">MAX(0,T28*(1-Decay)+IF(I29="",0,MAX(0,I29-T_Comfort))-Recovery_Rate*MAX(0,T_Night-K29))</f>
        <v>0</v>
      </c>
      <c r="U29" s="14" t="n">
        <f aca="false">IF(T29&gt;Capacity,1,0)</f>
        <v>0</v>
      </c>
      <c r="V29" s="15" t="n">
        <f aca="false">1/(1+EXP(-Logistic_k*(T29-Capacity)))</f>
        <v>0.00247262315663477</v>
      </c>
      <c r="W29" s="16" t="n">
        <f aca="false">IF(M29="",0,Beta*Pop_Share_Sel*(1-Sens_Red)*MAX(0,M29-T_Mort))</f>
        <v>0</v>
      </c>
      <c r="X29" s="16" t="n">
        <f aca="false">IF(ISNUMBER(F29),F29+Coef_B1*(Climate_Shift+G28),"")</f>
        <v>22.0689493325792</v>
      </c>
      <c r="Y29" s="16" t="n">
        <f aca="false">IF(AND(ISNUMBER(X29),H29&lt;&gt;""),H29+Climate_Shift-X29,"")</f>
        <v>1.73105066742084</v>
      </c>
      <c r="Z29" s="16" t="n">
        <f aca="false">IF(ISNUMBER(Y29),ABS(Y29),"")</f>
        <v>1.73105066742084</v>
      </c>
      <c r="AA29" s="16" t="n">
        <f aca="false">IF(COUNT(Z23:Z29)=0,"",AVERAGE(Z23:Z29))</f>
        <v>2.79198791204622</v>
      </c>
      <c r="AB29" s="16" t="n">
        <f aca="false">IF(AD28=1,0,MAX(0,AB28+IF(ISNUMBER(Y29),Y29-CUSUM_k,0)))</f>
        <v>2.13580386128665</v>
      </c>
      <c r="AC29" s="16" t="n">
        <f aca="false">IF(AD28=1,0,MAX(0,AC28+IF(ISNUMBER(Y29),-Y29-CUSUM_k,0)))</f>
        <v>0</v>
      </c>
      <c r="AD29" s="17" t="n">
        <f aca="false">IF(OR(AB29&gt;CUSUM_h,AC29&gt;CUSUM_h,AND(ISNUMBER(AA29),AA29&gt;MAE_Tol)),1,0)</f>
        <v>0</v>
      </c>
      <c r="AE29" s="14" t="n">
        <f aca="false">IF(ISNUMBER(X29),IF(X29+Local_Sensing*UHI_Day_Eff&gt;=T_Day,1,0),0)</f>
        <v>0</v>
      </c>
      <c r="AF29" s="17" t="str">
        <f aca="false">IF(NOT(ISNUMBER(X29)),"n/a",IF(AND(AE29=1,N29=1),"Hit",IF(AND(AE29=0,N29=1),"Miss",IF(AND(AE29=1,N29=0),"False alarm","Correct quiet"))))</f>
        <v>Correct quiet</v>
      </c>
      <c r="AG29" s="14" t="n">
        <f aca="false">IF(H29="",0,IF(H29+Climate_Shift&gt;=T_Day,1,0))</f>
        <v>0</v>
      </c>
      <c r="AH29" s="17" t="n">
        <f aca="false">IF(AND(N29=1,AG29=0),1,0)</f>
        <v>0</v>
      </c>
      <c r="AI29" s="17" t="str">
        <f aca="false">IF(U29=1,"ESCALATE: surge health &amp; transport capacity",IF(AD29=1,"Model drift: retrain, recalibrate, raise change request",IF(S29&gt;=2,"Activate heat plan: outreach and cooling centres",IF(AND(E29=1,OR(N29=1,O29=1)),"Data QA: verify sensor before acting",IF(AF29="Miss","Review missed alert: threshold or model",IF(AH29=1,"Equity: local alert not seen at reference station","Monitor"))))))</f>
        <v>Monitor</v>
      </c>
      <c r="AN29" s="58" t="n">
        <f aca="false">T_Day</f>
        <v>28</v>
      </c>
      <c r="AO29" s="58" t="n">
        <f aca="false">Capacity</f>
        <v>40</v>
      </c>
      <c r="AP29" s="58" t="n">
        <f aca="false">CUSUM_h</f>
        <v>15</v>
      </c>
    </row>
    <row r="30" customFormat="false" ht="15" hidden="false" customHeight="false" outlineLevel="0" collapsed="false">
      <c r="A30" s="14" t="n">
        <v>22</v>
      </c>
      <c r="B30" s="14" t="n">
        <f aca="false">2+(SelYear-1979)*153+A30-1</f>
        <v>6602</v>
      </c>
      <c r="C30" s="55" t="n">
        <f aca="false">INDEX(Data_Heathrow!$A:$A,B30)</f>
        <v>44703</v>
      </c>
      <c r="D30" s="16" t="n">
        <f aca="false">INDEX(Data_Heathrow!$E:$E,B30)</f>
        <v>20.7</v>
      </c>
      <c r="E30" s="17" t="n">
        <f aca="false">INDEX(Data_Heathrow!$Q:$Q,B30)</f>
        <v>0</v>
      </c>
      <c r="F30" s="16" t="n">
        <f aca="false">INDEX(Data_Heathrow!$T:$T,B30)</f>
        <v>23.6064996693239</v>
      </c>
      <c r="G30" s="16" t="n">
        <f aca="false">IF(AND(Drift_Rate&lt;&gt;0,A30&gt;=Drift_Start),Drift_Rate*(A30-Drift_Start+1)/30,0)</f>
        <v>0</v>
      </c>
      <c r="H30" s="16" t="n">
        <f aca="false">IF(AND(E30=1,QA_Policy="Exclude suspect"),"",IF(AND(E30=1,QA_Policy="Impute with model",ISNUMBER(F30)),F30,D30)+G30)</f>
        <v>20.7</v>
      </c>
      <c r="I30" s="16" t="n">
        <f aca="false">IF(H30="","",H30+Climate_Shift+UHI_Day_Eff)</f>
        <v>22.7</v>
      </c>
      <c r="J30" s="16" t="n">
        <f aca="false">INDEX(Data_Heathrow!$G:$G,B30)</f>
        <v>9.3</v>
      </c>
      <c r="K30" s="16" t="n">
        <f aca="false">J30+Climate_Shift+UHI_Night_Eff</f>
        <v>13.3</v>
      </c>
      <c r="L30" s="16" t="n">
        <f aca="false">IF(INDEX(Data_Heathrow!$I:$I,B30)="","",INDEX(Data_Heathrow!$I:$I,B30))</f>
        <v>16.6</v>
      </c>
      <c r="M30" s="16" t="n">
        <f aca="false">IF(L30="","",L30+Climate_Shift+(UHI_Day_Eff+UHI_Night_Eff)/2)</f>
        <v>19.6</v>
      </c>
      <c r="N30" s="14" t="n">
        <f aca="false">IF(I30="",0,IF(I30&gt;=T_Day,1,0))</f>
        <v>0</v>
      </c>
      <c r="O30" s="14" t="n">
        <f aca="false">IF(K30&gt;=T_Night,1,0)</f>
        <v>0</v>
      </c>
      <c r="P30" s="14" t="n">
        <f aca="false">IF(N30=1,P29+1,0)</f>
        <v>0</v>
      </c>
      <c r="Q30" s="14" t="n">
        <f aca="false">IF(P30&gt;=HW_Days,1,0)</f>
        <v>0</v>
      </c>
      <c r="R30" s="17" t="str">
        <f aca="false">IF(AND(N30=1,I30&gt;=T_Red,O30=1),"RED",IF(AND(Q30=1,O30=1),"AMBER",IF(OR(N30=1,O30=1),"YELLOW","GREEN")))</f>
        <v>GREEN</v>
      </c>
      <c r="S30" s="14" t="n">
        <f aca="false">IF(R30="RED",3,IF(R30="AMBER",2,IF(R30="YELLOW",1,0)))</f>
        <v>0</v>
      </c>
      <c r="T30" s="16" t="n">
        <f aca="false">MAX(0,T29*(1-Decay)+IF(I30="",0,MAX(0,I30-T_Comfort))-Recovery_Rate*MAX(0,T_Night-K30))</f>
        <v>0</v>
      </c>
      <c r="U30" s="14" t="n">
        <f aca="false">IF(T30&gt;Capacity,1,0)</f>
        <v>0</v>
      </c>
      <c r="V30" s="15" t="n">
        <f aca="false">1/(1+EXP(-Logistic_k*(T30-Capacity)))</f>
        <v>0.00247262315663477</v>
      </c>
      <c r="W30" s="16" t="n">
        <f aca="false">IF(M30="",0,Beta*Pop_Share_Sel*(1-Sens_Red)*MAX(0,M30-T_Mort))</f>
        <v>0</v>
      </c>
      <c r="X30" s="16" t="n">
        <f aca="false">IF(ISNUMBER(F30),F30+Coef_B1*(Climate_Shift+G29),"")</f>
        <v>23.6064996693239</v>
      </c>
      <c r="Y30" s="16" t="n">
        <f aca="false">IF(AND(ISNUMBER(X30),H30&lt;&gt;""),H30+Climate_Shift-X30,"")</f>
        <v>-2.90649966932392</v>
      </c>
      <c r="Z30" s="16" t="n">
        <f aca="false">IF(ISNUMBER(Y30),ABS(Y30),"")</f>
        <v>2.90649966932392</v>
      </c>
      <c r="AA30" s="16" t="n">
        <f aca="false">IF(COUNT(Z24:Z30)=0,"",AVERAGE(Z24:Z30))</f>
        <v>2.70602181100891</v>
      </c>
      <c r="AB30" s="16" t="n">
        <f aca="false">IF(AD29=1,0,MAX(0,AB29+IF(ISNUMBER(Y30),Y30-CUSUM_k,0)))</f>
        <v>0</v>
      </c>
      <c r="AC30" s="16" t="n">
        <f aca="false">IF(AD29=1,0,MAX(0,AC29+IF(ISNUMBER(Y30),-Y30-CUSUM_k,0)))</f>
        <v>1.90649966932392</v>
      </c>
      <c r="AD30" s="17" t="n">
        <f aca="false">IF(OR(AB30&gt;CUSUM_h,AC30&gt;CUSUM_h,AND(ISNUMBER(AA30),AA30&gt;MAE_Tol)),1,0)</f>
        <v>0</v>
      </c>
      <c r="AE30" s="14" t="n">
        <f aca="false">IF(ISNUMBER(X30),IF(X30+Local_Sensing*UHI_Day_Eff&gt;=T_Day,1,0),0)</f>
        <v>0</v>
      </c>
      <c r="AF30" s="17" t="str">
        <f aca="false">IF(NOT(ISNUMBER(X30)),"n/a",IF(AND(AE30=1,N30=1),"Hit",IF(AND(AE30=0,N30=1),"Miss",IF(AND(AE30=1,N30=0),"False alarm","Correct quiet"))))</f>
        <v>Correct quiet</v>
      </c>
      <c r="AG30" s="14" t="n">
        <f aca="false">IF(H30="",0,IF(H30+Climate_Shift&gt;=T_Day,1,0))</f>
        <v>0</v>
      </c>
      <c r="AH30" s="17" t="n">
        <f aca="false">IF(AND(N30=1,AG30=0),1,0)</f>
        <v>0</v>
      </c>
      <c r="AI30" s="17" t="str">
        <f aca="false">IF(U30=1,"ESCALATE: surge health &amp; transport capacity",IF(AD30=1,"Model drift: retrain, recalibrate, raise change request",IF(S30&gt;=2,"Activate heat plan: outreach and cooling centres",IF(AND(E30=1,OR(N30=1,O30=1)),"Data QA: verify sensor before acting",IF(AF30="Miss","Review missed alert: threshold or model",IF(AH30=1,"Equity: local alert not seen at reference station","Monitor"))))))</f>
        <v>Monitor</v>
      </c>
      <c r="AN30" s="58" t="n">
        <f aca="false">T_Day</f>
        <v>28</v>
      </c>
      <c r="AO30" s="58" t="n">
        <f aca="false">Capacity</f>
        <v>40</v>
      </c>
      <c r="AP30" s="58" t="n">
        <f aca="false">CUSUM_h</f>
        <v>15</v>
      </c>
    </row>
    <row r="31" customFormat="false" ht="15" hidden="false" customHeight="false" outlineLevel="0" collapsed="false">
      <c r="A31" s="14" t="n">
        <v>23</v>
      </c>
      <c r="B31" s="14" t="n">
        <f aca="false">2+(SelYear-1979)*153+A31-1</f>
        <v>6603</v>
      </c>
      <c r="C31" s="55" t="n">
        <f aca="false">INDEX(Data_Heathrow!$A:$A,B31)</f>
        <v>44704</v>
      </c>
      <c r="D31" s="16" t="n">
        <f aca="false">INDEX(Data_Heathrow!$E:$E,B31)</f>
        <v>19.8</v>
      </c>
      <c r="E31" s="17" t="n">
        <f aca="false">INDEX(Data_Heathrow!$Q:$Q,B31)</f>
        <v>0</v>
      </c>
      <c r="F31" s="16" t="n">
        <f aca="false">INDEX(Data_Heathrow!$T:$T,B31)</f>
        <v>20.8344109506002</v>
      </c>
      <c r="G31" s="16" t="n">
        <f aca="false">IF(AND(Drift_Rate&lt;&gt;0,A31&gt;=Drift_Start),Drift_Rate*(A31-Drift_Start+1)/30,0)</f>
        <v>0</v>
      </c>
      <c r="H31" s="16" t="n">
        <f aca="false">IF(AND(E31=1,QA_Policy="Exclude suspect"),"",IF(AND(E31=1,QA_Policy="Impute with model",ISNUMBER(F31)),F31,D31)+G31)</f>
        <v>19.8</v>
      </c>
      <c r="I31" s="16" t="n">
        <f aca="false">IF(H31="","",H31+Climate_Shift+UHI_Day_Eff)</f>
        <v>21.8</v>
      </c>
      <c r="J31" s="16" t="n">
        <f aca="false">INDEX(Data_Heathrow!$G:$G,B31)</f>
        <v>11.3</v>
      </c>
      <c r="K31" s="16" t="n">
        <f aca="false">J31+Climate_Shift+UHI_Night_Eff</f>
        <v>15.3</v>
      </c>
      <c r="L31" s="16" t="n">
        <f aca="false">IF(INDEX(Data_Heathrow!$I:$I,B31)="","",INDEX(Data_Heathrow!$I:$I,B31))</f>
        <v>16</v>
      </c>
      <c r="M31" s="16" t="n">
        <f aca="false">IF(L31="","",L31+Climate_Shift+(UHI_Day_Eff+UHI_Night_Eff)/2)</f>
        <v>19</v>
      </c>
      <c r="N31" s="14" t="n">
        <f aca="false">IF(I31="",0,IF(I31&gt;=T_Day,1,0))</f>
        <v>0</v>
      </c>
      <c r="O31" s="14" t="n">
        <f aca="false">IF(K31&gt;=T_Night,1,0)</f>
        <v>0</v>
      </c>
      <c r="P31" s="14" t="n">
        <f aca="false">IF(N31=1,P30+1,0)</f>
        <v>0</v>
      </c>
      <c r="Q31" s="14" t="n">
        <f aca="false">IF(P31&gt;=HW_Days,1,0)</f>
        <v>0</v>
      </c>
      <c r="R31" s="17" t="str">
        <f aca="false">IF(AND(N31=1,I31&gt;=T_Red,O31=1),"RED",IF(AND(Q31=1,O31=1),"AMBER",IF(OR(N31=1,O31=1),"YELLOW","GREEN")))</f>
        <v>GREEN</v>
      </c>
      <c r="S31" s="14" t="n">
        <f aca="false">IF(R31="RED",3,IF(R31="AMBER",2,IF(R31="YELLOW",1,0)))</f>
        <v>0</v>
      </c>
      <c r="T31" s="16" t="n">
        <f aca="false">MAX(0,T30*(1-Decay)+IF(I31="",0,MAX(0,I31-T_Comfort))-Recovery_Rate*MAX(0,T_Night-K31))</f>
        <v>0</v>
      </c>
      <c r="U31" s="14" t="n">
        <f aca="false">IF(T31&gt;Capacity,1,0)</f>
        <v>0</v>
      </c>
      <c r="V31" s="15" t="n">
        <f aca="false">1/(1+EXP(-Logistic_k*(T31-Capacity)))</f>
        <v>0.00247262315663477</v>
      </c>
      <c r="W31" s="16" t="n">
        <f aca="false">IF(M31="",0,Beta*Pop_Share_Sel*(1-Sens_Red)*MAX(0,M31-T_Mort))</f>
        <v>0</v>
      </c>
      <c r="X31" s="16" t="n">
        <f aca="false">IF(ISNUMBER(F31),F31+Coef_B1*(Climate_Shift+G30),"")</f>
        <v>20.8344109506002</v>
      </c>
      <c r="Y31" s="16" t="n">
        <f aca="false">IF(AND(ISNUMBER(X31),H31&lt;&gt;""),H31+Climate_Shift-X31,"")</f>
        <v>-1.03441095060016</v>
      </c>
      <c r="Z31" s="16" t="n">
        <f aca="false">IF(ISNUMBER(Y31),ABS(Y31),"")</f>
        <v>1.03441095060016</v>
      </c>
      <c r="AA31" s="16" t="n">
        <f aca="false">IF(COUNT(Z25:Z31)=0,"",AVERAGE(Z25:Z31))</f>
        <v>2.19055063598661</v>
      </c>
      <c r="AB31" s="16" t="n">
        <f aca="false">IF(AD30=1,0,MAX(0,AB30+IF(ISNUMBER(Y31),Y31-CUSUM_k,0)))</f>
        <v>0</v>
      </c>
      <c r="AC31" s="16" t="n">
        <f aca="false">IF(AD30=1,0,MAX(0,AC30+IF(ISNUMBER(Y31),-Y31-CUSUM_k,0)))</f>
        <v>1.94091061992408</v>
      </c>
      <c r="AD31" s="17" t="n">
        <f aca="false">IF(OR(AB31&gt;CUSUM_h,AC31&gt;CUSUM_h,AND(ISNUMBER(AA31),AA31&gt;MAE_Tol)),1,0)</f>
        <v>0</v>
      </c>
      <c r="AE31" s="14" t="n">
        <f aca="false">IF(ISNUMBER(X31),IF(X31+Local_Sensing*UHI_Day_Eff&gt;=T_Day,1,0),0)</f>
        <v>0</v>
      </c>
      <c r="AF31" s="17" t="str">
        <f aca="false">IF(NOT(ISNUMBER(X31)),"n/a",IF(AND(AE31=1,N31=1),"Hit",IF(AND(AE31=0,N31=1),"Miss",IF(AND(AE31=1,N31=0),"False alarm","Correct quiet"))))</f>
        <v>Correct quiet</v>
      </c>
      <c r="AG31" s="14" t="n">
        <f aca="false">IF(H31="",0,IF(H31+Climate_Shift&gt;=T_Day,1,0))</f>
        <v>0</v>
      </c>
      <c r="AH31" s="17" t="n">
        <f aca="false">IF(AND(N31=1,AG31=0),1,0)</f>
        <v>0</v>
      </c>
      <c r="AI31" s="17" t="str">
        <f aca="false">IF(U31=1,"ESCALATE: surge health &amp; transport capacity",IF(AD31=1,"Model drift: retrain, recalibrate, raise change request",IF(S31&gt;=2,"Activate heat plan: outreach and cooling centres",IF(AND(E31=1,OR(N31=1,O31=1)),"Data QA: verify sensor before acting",IF(AF31="Miss","Review missed alert: threshold or model",IF(AH31=1,"Equity: local alert not seen at reference station","Monitor"))))))</f>
        <v>Monitor</v>
      </c>
      <c r="AN31" s="58" t="n">
        <f aca="false">T_Day</f>
        <v>28</v>
      </c>
      <c r="AO31" s="58" t="n">
        <f aca="false">Capacity</f>
        <v>40</v>
      </c>
      <c r="AP31" s="58" t="n">
        <f aca="false">CUSUM_h</f>
        <v>15</v>
      </c>
    </row>
    <row r="32" customFormat="false" ht="15" hidden="false" customHeight="false" outlineLevel="0" collapsed="false">
      <c r="A32" s="14" t="n">
        <v>24</v>
      </c>
      <c r="B32" s="14" t="n">
        <f aca="false">2+(SelYear-1979)*153+A32-1</f>
        <v>6604</v>
      </c>
      <c r="C32" s="55" t="n">
        <f aca="false">INDEX(Data_Heathrow!$A:$A,B32)</f>
        <v>44705</v>
      </c>
      <c r="D32" s="16" t="n">
        <f aca="false">INDEX(Data_Heathrow!$E:$E,B32)</f>
        <v>19.1</v>
      </c>
      <c r="E32" s="17" t="n">
        <f aca="false">INDEX(Data_Heathrow!$Q:$Q,B32)</f>
        <v>0</v>
      </c>
      <c r="F32" s="16" t="n">
        <f aca="false">INDEX(Data_Heathrow!$T:$T,B32)</f>
        <v>19.7613478042781</v>
      </c>
      <c r="G32" s="16" t="n">
        <f aca="false">IF(AND(Drift_Rate&lt;&gt;0,A32&gt;=Drift_Start),Drift_Rate*(A32-Drift_Start+1)/30,0)</f>
        <v>0</v>
      </c>
      <c r="H32" s="16" t="n">
        <f aca="false">IF(AND(E32=1,QA_Policy="Exclude suspect"),"",IF(AND(E32=1,QA_Policy="Impute with model",ISNUMBER(F32)),F32,D32)+G32)</f>
        <v>19.1</v>
      </c>
      <c r="I32" s="16" t="n">
        <f aca="false">IF(H32="","",H32+Climate_Shift+UHI_Day_Eff)</f>
        <v>21.1</v>
      </c>
      <c r="J32" s="16" t="n">
        <f aca="false">INDEX(Data_Heathrow!$G:$G,B32)</f>
        <v>9.8</v>
      </c>
      <c r="K32" s="16" t="n">
        <f aca="false">J32+Climate_Shift+UHI_Night_Eff</f>
        <v>13.8</v>
      </c>
      <c r="L32" s="16" t="n">
        <f aca="false">IF(INDEX(Data_Heathrow!$I:$I,B32)="","",INDEX(Data_Heathrow!$I:$I,B32))</f>
        <v>14.8</v>
      </c>
      <c r="M32" s="16" t="n">
        <f aca="false">IF(L32="","",L32+Climate_Shift+(UHI_Day_Eff+UHI_Night_Eff)/2)</f>
        <v>17.8</v>
      </c>
      <c r="N32" s="14" t="n">
        <f aca="false">IF(I32="",0,IF(I32&gt;=T_Day,1,0))</f>
        <v>0</v>
      </c>
      <c r="O32" s="14" t="n">
        <f aca="false">IF(K32&gt;=T_Night,1,0)</f>
        <v>0</v>
      </c>
      <c r="P32" s="14" t="n">
        <f aca="false">IF(N32=1,P31+1,0)</f>
        <v>0</v>
      </c>
      <c r="Q32" s="14" t="n">
        <f aca="false">IF(P32&gt;=HW_Days,1,0)</f>
        <v>0</v>
      </c>
      <c r="R32" s="17" t="str">
        <f aca="false">IF(AND(N32=1,I32&gt;=T_Red,O32=1),"RED",IF(AND(Q32=1,O32=1),"AMBER",IF(OR(N32=1,O32=1),"YELLOW","GREEN")))</f>
        <v>GREEN</v>
      </c>
      <c r="S32" s="14" t="n">
        <f aca="false">IF(R32="RED",3,IF(R32="AMBER",2,IF(R32="YELLOW",1,0)))</f>
        <v>0</v>
      </c>
      <c r="T32" s="16" t="n">
        <f aca="false">MAX(0,T31*(1-Decay)+IF(I32="",0,MAX(0,I32-T_Comfort))-Recovery_Rate*MAX(0,T_Night-K32))</f>
        <v>0</v>
      </c>
      <c r="U32" s="14" t="n">
        <f aca="false">IF(T32&gt;Capacity,1,0)</f>
        <v>0</v>
      </c>
      <c r="V32" s="15" t="n">
        <f aca="false">1/(1+EXP(-Logistic_k*(T32-Capacity)))</f>
        <v>0.00247262315663477</v>
      </c>
      <c r="W32" s="16" t="n">
        <f aca="false">IF(M32="",0,Beta*Pop_Share_Sel*(1-Sens_Red)*MAX(0,M32-T_Mort))</f>
        <v>0</v>
      </c>
      <c r="X32" s="16" t="n">
        <f aca="false">IF(ISNUMBER(F32),F32+Coef_B1*(Climate_Shift+G31),"")</f>
        <v>19.7613478042781</v>
      </c>
      <c r="Y32" s="16" t="n">
        <f aca="false">IF(AND(ISNUMBER(X32),H32&lt;&gt;""),H32+Climate_Shift-X32,"")</f>
        <v>-0.661347804278083</v>
      </c>
      <c r="Z32" s="16" t="n">
        <f aca="false">IF(ISNUMBER(Y32),ABS(Y32),"")</f>
        <v>0.661347804278083</v>
      </c>
      <c r="AA32" s="16" t="n">
        <f aca="false">IF(COUNT(Z26:Z32)=0,"",AVERAGE(Z26:Z32))</f>
        <v>1.80782541554239</v>
      </c>
      <c r="AB32" s="16" t="n">
        <f aca="false">IF(AD31=1,0,MAX(0,AB31+IF(ISNUMBER(Y32),Y32-CUSUM_k,0)))</f>
        <v>0</v>
      </c>
      <c r="AC32" s="16" t="n">
        <f aca="false">IF(AD31=1,0,MAX(0,AC31+IF(ISNUMBER(Y32),-Y32-CUSUM_k,0)))</f>
        <v>1.60225842420217</v>
      </c>
      <c r="AD32" s="17" t="n">
        <f aca="false">IF(OR(AB32&gt;CUSUM_h,AC32&gt;CUSUM_h,AND(ISNUMBER(AA32),AA32&gt;MAE_Tol)),1,0)</f>
        <v>0</v>
      </c>
      <c r="AE32" s="14" t="n">
        <f aca="false">IF(ISNUMBER(X32),IF(X32+Local_Sensing*UHI_Day_Eff&gt;=T_Day,1,0),0)</f>
        <v>0</v>
      </c>
      <c r="AF32" s="17" t="str">
        <f aca="false">IF(NOT(ISNUMBER(X32)),"n/a",IF(AND(AE32=1,N32=1),"Hit",IF(AND(AE32=0,N32=1),"Miss",IF(AND(AE32=1,N32=0),"False alarm","Correct quiet"))))</f>
        <v>Correct quiet</v>
      </c>
      <c r="AG32" s="14" t="n">
        <f aca="false">IF(H32="",0,IF(H32+Climate_Shift&gt;=T_Day,1,0))</f>
        <v>0</v>
      </c>
      <c r="AH32" s="17" t="n">
        <f aca="false">IF(AND(N32=1,AG32=0),1,0)</f>
        <v>0</v>
      </c>
      <c r="AI32" s="17" t="str">
        <f aca="false">IF(U32=1,"ESCALATE: surge health &amp; transport capacity",IF(AD32=1,"Model drift: retrain, recalibrate, raise change request",IF(S32&gt;=2,"Activate heat plan: outreach and cooling centres",IF(AND(E32=1,OR(N32=1,O32=1)),"Data QA: verify sensor before acting",IF(AF32="Miss","Review missed alert: threshold or model",IF(AH32=1,"Equity: local alert not seen at reference station","Monitor"))))))</f>
        <v>Monitor</v>
      </c>
      <c r="AN32" s="58" t="n">
        <f aca="false">T_Day</f>
        <v>28</v>
      </c>
      <c r="AO32" s="58" t="n">
        <f aca="false">Capacity</f>
        <v>40</v>
      </c>
      <c r="AP32" s="58" t="n">
        <f aca="false">CUSUM_h</f>
        <v>15</v>
      </c>
    </row>
    <row r="33" customFormat="false" ht="15" hidden="false" customHeight="false" outlineLevel="0" collapsed="false">
      <c r="A33" s="14" t="n">
        <v>25</v>
      </c>
      <c r="B33" s="14" t="n">
        <f aca="false">2+(SelYear-1979)*153+A33-1</f>
        <v>6605</v>
      </c>
      <c r="C33" s="55" t="n">
        <f aca="false">INDEX(Data_Heathrow!$A:$A,B33)</f>
        <v>44706</v>
      </c>
      <c r="D33" s="16" t="n">
        <f aca="false">INDEX(Data_Heathrow!$E:$E,B33)</f>
        <v>21.8</v>
      </c>
      <c r="E33" s="17" t="n">
        <f aca="false">INDEX(Data_Heathrow!$Q:$Q,B33)</f>
        <v>0</v>
      </c>
      <c r="F33" s="16" t="n">
        <f aca="false">INDEX(Data_Heathrow!$T:$T,B33)</f>
        <v>19.3007419898306</v>
      </c>
      <c r="G33" s="16" t="n">
        <f aca="false">IF(AND(Drift_Rate&lt;&gt;0,A33&gt;=Drift_Start),Drift_Rate*(A33-Drift_Start+1)/30,0)</f>
        <v>0</v>
      </c>
      <c r="H33" s="16" t="n">
        <f aca="false">IF(AND(E33=1,QA_Policy="Exclude suspect"),"",IF(AND(E33=1,QA_Policy="Impute with model",ISNUMBER(F33)),F33,D33)+G33)</f>
        <v>21.8</v>
      </c>
      <c r="I33" s="16" t="n">
        <f aca="false">IF(H33="","",H33+Climate_Shift+UHI_Day_Eff)</f>
        <v>23.8</v>
      </c>
      <c r="J33" s="16" t="n">
        <f aca="false">INDEX(Data_Heathrow!$G:$G,B33)</f>
        <v>9.1</v>
      </c>
      <c r="K33" s="16" t="n">
        <f aca="false">J33+Climate_Shift+UHI_Night_Eff</f>
        <v>13.1</v>
      </c>
      <c r="L33" s="16" t="n">
        <f aca="false">IF(INDEX(Data_Heathrow!$I:$I,B33)="","",INDEX(Data_Heathrow!$I:$I,B33))</f>
        <v>14.1</v>
      </c>
      <c r="M33" s="16" t="n">
        <f aca="false">IF(L33="","",L33+Climate_Shift+(UHI_Day_Eff+UHI_Night_Eff)/2)</f>
        <v>17.1</v>
      </c>
      <c r="N33" s="14" t="n">
        <f aca="false">IF(I33="",0,IF(I33&gt;=T_Day,1,0))</f>
        <v>0</v>
      </c>
      <c r="O33" s="14" t="n">
        <f aca="false">IF(K33&gt;=T_Night,1,0)</f>
        <v>0</v>
      </c>
      <c r="P33" s="14" t="n">
        <f aca="false">IF(N33=1,P32+1,0)</f>
        <v>0</v>
      </c>
      <c r="Q33" s="14" t="n">
        <f aca="false">IF(P33&gt;=HW_Days,1,0)</f>
        <v>0</v>
      </c>
      <c r="R33" s="17" t="str">
        <f aca="false">IF(AND(N33=1,I33&gt;=T_Red,O33=1),"RED",IF(AND(Q33=1,O33=1),"AMBER",IF(OR(N33=1,O33=1),"YELLOW","GREEN")))</f>
        <v>GREEN</v>
      </c>
      <c r="S33" s="14" t="n">
        <f aca="false">IF(R33="RED",3,IF(R33="AMBER",2,IF(R33="YELLOW",1,0)))</f>
        <v>0</v>
      </c>
      <c r="T33" s="16" t="n">
        <f aca="false">MAX(0,T32*(1-Decay)+IF(I33="",0,MAX(0,I33-T_Comfort))-Recovery_Rate*MAX(0,T_Night-K33))</f>
        <v>0</v>
      </c>
      <c r="U33" s="14" t="n">
        <f aca="false">IF(T33&gt;Capacity,1,0)</f>
        <v>0</v>
      </c>
      <c r="V33" s="15" t="n">
        <f aca="false">1/(1+EXP(-Logistic_k*(T33-Capacity)))</f>
        <v>0.00247262315663477</v>
      </c>
      <c r="W33" s="16" t="n">
        <f aca="false">IF(M33="",0,Beta*Pop_Share_Sel*(1-Sens_Red)*MAX(0,M33-T_Mort))</f>
        <v>0</v>
      </c>
      <c r="X33" s="16" t="n">
        <f aca="false">IF(ISNUMBER(F33),F33+Coef_B1*(Climate_Shift+G32),"")</f>
        <v>19.3007419898306</v>
      </c>
      <c r="Y33" s="16" t="n">
        <f aca="false">IF(AND(ISNUMBER(X33),H33&lt;&gt;""),H33+Climate_Shift-X33,"")</f>
        <v>2.49925801016941</v>
      </c>
      <c r="Z33" s="16" t="n">
        <f aca="false">IF(ISNUMBER(Y33),ABS(Y33),"")</f>
        <v>2.49925801016941</v>
      </c>
      <c r="AA33" s="16" t="n">
        <f aca="false">IF(COUNT(Z27:Z33)=0,"",AVERAGE(Z27:Z33))</f>
        <v>2.09057218649349</v>
      </c>
      <c r="AB33" s="16" t="n">
        <f aca="false">IF(AD32=1,0,MAX(0,AB32+IF(ISNUMBER(Y33),Y33-CUSUM_k,0)))</f>
        <v>1.49925801016941</v>
      </c>
      <c r="AC33" s="16" t="n">
        <f aca="false">IF(AD32=1,0,MAX(0,AC32+IF(ISNUMBER(Y33),-Y33-CUSUM_k,0)))</f>
        <v>0</v>
      </c>
      <c r="AD33" s="17" t="n">
        <f aca="false">IF(OR(AB33&gt;CUSUM_h,AC33&gt;CUSUM_h,AND(ISNUMBER(AA33),AA33&gt;MAE_Tol)),1,0)</f>
        <v>0</v>
      </c>
      <c r="AE33" s="14" t="n">
        <f aca="false">IF(ISNUMBER(X33),IF(X33+Local_Sensing*UHI_Day_Eff&gt;=T_Day,1,0),0)</f>
        <v>0</v>
      </c>
      <c r="AF33" s="17" t="str">
        <f aca="false">IF(NOT(ISNUMBER(X33)),"n/a",IF(AND(AE33=1,N33=1),"Hit",IF(AND(AE33=0,N33=1),"Miss",IF(AND(AE33=1,N33=0),"False alarm","Correct quiet"))))</f>
        <v>Correct quiet</v>
      </c>
      <c r="AG33" s="14" t="n">
        <f aca="false">IF(H33="",0,IF(H33+Climate_Shift&gt;=T_Day,1,0))</f>
        <v>0</v>
      </c>
      <c r="AH33" s="17" t="n">
        <f aca="false">IF(AND(N33=1,AG33=0),1,0)</f>
        <v>0</v>
      </c>
      <c r="AI33" s="17" t="str">
        <f aca="false">IF(U33=1,"ESCALATE: surge health &amp; transport capacity",IF(AD33=1,"Model drift: retrain, recalibrate, raise change request",IF(S33&gt;=2,"Activate heat plan: outreach and cooling centres",IF(AND(E33=1,OR(N33=1,O33=1)),"Data QA: verify sensor before acting",IF(AF33="Miss","Review missed alert: threshold or model",IF(AH33=1,"Equity: local alert not seen at reference station","Monitor"))))))</f>
        <v>Monitor</v>
      </c>
      <c r="AN33" s="58" t="n">
        <f aca="false">T_Day</f>
        <v>28</v>
      </c>
      <c r="AO33" s="58" t="n">
        <f aca="false">Capacity</f>
        <v>40</v>
      </c>
      <c r="AP33" s="58" t="n">
        <f aca="false">CUSUM_h</f>
        <v>15</v>
      </c>
    </row>
    <row r="34" customFormat="false" ht="15" hidden="false" customHeight="false" outlineLevel="0" collapsed="false">
      <c r="A34" s="14" t="n">
        <v>26</v>
      </c>
      <c r="B34" s="14" t="n">
        <f aca="false">2+(SelYear-1979)*153+A34-1</f>
        <v>6606</v>
      </c>
      <c r="C34" s="55" t="n">
        <f aca="false">INDEX(Data_Heathrow!$A:$A,B34)</f>
        <v>44707</v>
      </c>
      <c r="D34" s="16" t="n">
        <f aca="false">INDEX(Data_Heathrow!$E:$E,B34)</f>
        <v>20.8</v>
      </c>
      <c r="E34" s="17" t="n">
        <f aca="false">INDEX(Data_Heathrow!$Q:$Q,B34)</f>
        <v>0</v>
      </c>
      <c r="F34" s="16" t="n">
        <f aca="false">INDEX(Data_Heathrow!$T:$T,B34)</f>
        <v>21.7482320208007</v>
      </c>
      <c r="G34" s="16" t="n">
        <f aca="false">IF(AND(Drift_Rate&lt;&gt;0,A34&gt;=Drift_Start),Drift_Rate*(A34-Drift_Start+1)/30,0)</f>
        <v>0</v>
      </c>
      <c r="H34" s="16" t="n">
        <f aca="false">IF(AND(E34=1,QA_Policy="Exclude suspect"),"",IF(AND(E34=1,QA_Policy="Impute with model",ISNUMBER(F34)),F34,D34)+G34)</f>
        <v>20.8</v>
      </c>
      <c r="I34" s="16" t="n">
        <f aca="false">IF(H34="","",H34+Climate_Shift+UHI_Day_Eff)</f>
        <v>22.8</v>
      </c>
      <c r="J34" s="16" t="n">
        <f aca="false">INDEX(Data_Heathrow!$G:$G,B34)</f>
        <v>10.5</v>
      </c>
      <c r="K34" s="16" t="n">
        <f aca="false">J34+Climate_Shift+UHI_Night_Eff</f>
        <v>14.5</v>
      </c>
      <c r="L34" s="16" t="n">
        <f aca="false">IF(INDEX(Data_Heathrow!$I:$I,B34)="","",INDEX(Data_Heathrow!$I:$I,B34))</f>
        <v>16.1</v>
      </c>
      <c r="M34" s="16" t="n">
        <f aca="false">IF(L34="","",L34+Climate_Shift+(UHI_Day_Eff+UHI_Night_Eff)/2)</f>
        <v>19.1</v>
      </c>
      <c r="N34" s="14" t="n">
        <f aca="false">IF(I34="",0,IF(I34&gt;=T_Day,1,0))</f>
        <v>0</v>
      </c>
      <c r="O34" s="14" t="n">
        <f aca="false">IF(K34&gt;=T_Night,1,0)</f>
        <v>0</v>
      </c>
      <c r="P34" s="14" t="n">
        <f aca="false">IF(N34=1,P33+1,0)</f>
        <v>0</v>
      </c>
      <c r="Q34" s="14" t="n">
        <f aca="false">IF(P34&gt;=HW_Days,1,0)</f>
        <v>0</v>
      </c>
      <c r="R34" s="17" t="str">
        <f aca="false">IF(AND(N34=1,I34&gt;=T_Red,O34=1),"RED",IF(AND(Q34=1,O34=1),"AMBER",IF(OR(N34=1,O34=1),"YELLOW","GREEN")))</f>
        <v>GREEN</v>
      </c>
      <c r="S34" s="14" t="n">
        <f aca="false">IF(R34="RED",3,IF(R34="AMBER",2,IF(R34="YELLOW",1,0)))</f>
        <v>0</v>
      </c>
      <c r="T34" s="16" t="n">
        <f aca="false">MAX(0,T33*(1-Decay)+IF(I34="",0,MAX(0,I34-T_Comfort))-Recovery_Rate*MAX(0,T_Night-K34))</f>
        <v>0</v>
      </c>
      <c r="U34" s="14" t="n">
        <f aca="false">IF(T34&gt;Capacity,1,0)</f>
        <v>0</v>
      </c>
      <c r="V34" s="15" t="n">
        <f aca="false">1/(1+EXP(-Logistic_k*(T34-Capacity)))</f>
        <v>0.00247262315663477</v>
      </c>
      <c r="W34" s="16" t="n">
        <f aca="false">IF(M34="",0,Beta*Pop_Share_Sel*(1-Sens_Red)*MAX(0,M34-T_Mort))</f>
        <v>0</v>
      </c>
      <c r="X34" s="16" t="n">
        <f aca="false">IF(ISNUMBER(F34),F34+Coef_B1*(Climate_Shift+G33),"")</f>
        <v>21.7482320208007</v>
      </c>
      <c r="Y34" s="16" t="n">
        <f aca="false">IF(AND(ISNUMBER(X34),H34&lt;&gt;""),H34+Climate_Shift-X34,"")</f>
        <v>-0.948232020800681</v>
      </c>
      <c r="Z34" s="16" t="n">
        <f aca="false">IF(ISNUMBER(Y34),ABS(Y34),"")</f>
        <v>0.948232020800681</v>
      </c>
      <c r="AA34" s="16" t="n">
        <f aca="false">IF(COUNT(Z28:Z34)=0,"",AVERAGE(Z28:Z34))</f>
        <v>1.74079318806556</v>
      </c>
      <c r="AB34" s="16" t="n">
        <f aca="false">IF(AD33=1,0,MAX(0,AB33+IF(ISNUMBER(Y34),Y34-CUSUM_k,0)))</f>
        <v>0</v>
      </c>
      <c r="AC34" s="16" t="n">
        <f aca="false">IF(AD33=1,0,MAX(0,AC33+IF(ISNUMBER(Y34),-Y34-CUSUM_k,0)))</f>
        <v>0</v>
      </c>
      <c r="AD34" s="17" t="n">
        <f aca="false">IF(OR(AB34&gt;CUSUM_h,AC34&gt;CUSUM_h,AND(ISNUMBER(AA34),AA34&gt;MAE_Tol)),1,0)</f>
        <v>0</v>
      </c>
      <c r="AE34" s="14" t="n">
        <f aca="false">IF(ISNUMBER(X34),IF(X34+Local_Sensing*UHI_Day_Eff&gt;=T_Day,1,0),0)</f>
        <v>0</v>
      </c>
      <c r="AF34" s="17" t="str">
        <f aca="false">IF(NOT(ISNUMBER(X34)),"n/a",IF(AND(AE34=1,N34=1),"Hit",IF(AND(AE34=0,N34=1),"Miss",IF(AND(AE34=1,N34=0),"False alarm","Correct quiet"))))</f>
        <v>Correct quiet</v>
      </c>
      <c r="AG34" s="14" t="n">
        <f aca="false">IF(H34="",0,IF(H34+Climate_Shift&gt;=T_Day,1,0))</f>
        <v>0</v>
      </c>
      <c r="AH34" s="17" t="n">
        <f aca="false">IF(AND(N34=1,AG34=0),1,0)</f>
        <v>0</v>
      </c>
      <c r="AI34" s="17" t="str">
        <f aca="false">IF(U34=1,"ESCALATE: surge health &amp; transport capacity",IF(AD34=1,"Model drift: retrain, recalibrate, raise change request",IF(S34&gt;=2,"Activate heat plan: outreach and cooling centres",IF(AND(E34=1,OR(N34=1,O34=1)),"Data QA: verify sensor before acting",IF(AF34="Miss","Review missed alert: threshold or model",IF(AH34=1,"Equity: local alert not seen at reference station","Monitor"))))))</f>
        <v>Monitor</v>
      </c>
      <c r="AN34" s="58" t="n">
        <f aca="false">T_Day</f>
        <v>28</v>
      </c>
      <c r="AO34" s="58" t="n">
        <f aca="false">Capacity</f>
        <v>40</v>
      </c>
      <c r="AP34" s="58" t="n">
        <f aca="false">CUSUM_h</f>
        <v>15</v>
      </c>
    </row>
    <row r="35" customFormat="false" ht="15" hidden="false" customHeight="false" outlineLevel="0" collapsed="false">
      <c r="A35" s="14" t="n">
        <v>27</v>
      </c>
      <c r="B35" s="14" t="n">
        <f aca="false">2+(SelYear-1979)*153+A35-1</f>
        <v>6607</v>
      </c>
      <c r="C35" s="55" t="n">
        <f aca="false">INDEX(Data_Heathrow!$A:$A,B35)</f>
        <v>44708</v>
      </c>
      <c r="D35" s="16" t="n">
        <f aca="false">INDEX(Data_Heathrow!$E:$E,B35)</f>
        <v>19.1</v>
      </c>
      <c r="E35" s="17" t="n">
        <f aca="false">INDEX(Data_Heathrow!$Q:$Q,B35)</f>
        <v>0</v>
      </c>
      <c r="F35" s="16" t="n">
        <f aca="false">INDEX(Data_Heathrow!$T:$T,B35)</f>
        <v>21.1673040269763</v>
      </c>
      <c r="G35" s="16" t="n">
        <f aca="false">IF(AND(Drift_Rate&lt;&gt;0,A35&gt;=Drift_Start),Drift_Rate*(A35-Drift_Start+1)/30,0)</f>
        <v>0</v>
      </c>
      <c r="H35" s="16" t="n">
        <f aca="false">IF(AND(E35=1,QA_Policy="Exclude suspect"),"",IF(AND(E35=1,QA_Policy="Impute with model",ISNUMBER(F35)),F35,D35)+G35)</f>
        <v>19.1</v>
      </c>
      <c r="I35" s="16" t="n">
        <f aca="false">IF(H35="","",H35+Climate_Shift+UHI_Day_Eff)</f>
        <v>21.1</v>
      </c>
      <c r="J35" s="16" t="n">
        <f aca="false">INDEX(Data_Heathrow!$G:$G,B35)</f>
        <v>13</v>
      </c>
      <c r="K35" s="16" t="n">
        <f aca="false">J35+Climate_Shift+UHI_Night_Eff</f>
        <v>17</v>
      </c>
      <c r="L35" s="16" t="n">
        <f aca="false">IF(INDEX(Data_Heathrow!$I:$I,B35)="","",INDEX(Data_Heathrow!$I:$I,B35))</f>
        <v>16.9</v>
      </c>
      <c r="M35" s="16" t="n">
        <f aca="false">IF(L35="","",L35+Climate_Shift+(UHI_Day_Eff+UHI_Night_Eff)/2)</f>
        <v>19.9</v>
      </c>
      <c r="N35" s="14" t="n">
        <f aca="false">IF(I35="",0,IF(I35&gt;=T_Day,1,0))</f>
        <v>0</v>
      </c>
      <c r="O35" s="14" t="n">
        <f aca="false">IF(K35&gt;=T_Night,1,0)</f>
        <v>0</v>
      </c>
      <c r="P35" s="14" t="n">
        <f aca="false">IF(N35=1,P34+1,0)</f>
        <v>0</v>
      </c>
      <c r="Q35" s="14" t="n">
        <f aca="false">IF(P35&gt;=HW_Days,1,0)</f>
        <v>0</v>
      </c>
      <c r="R35" s="17" t="str">
        <f aca="false">IF(AND(N35=1,I35&gt;=T_Red,O35=1),"RED",IF(AND(Q35=1,O35=1),"AMBER",IF(OR(N35=1,O35=1),"YELLOW","GREEN")))</f>
        <v>GREEN</v>
      </c>
      <c r="S35" s="14" t="n">
        <f aca="false">IF(R35="RED",3,IF(R35="AMBER",2,IF(R35="YELLOW",1,0)))</f>
        <v>0</v>
      </c>
      <c r="T35" s="16" t="n">
        <f aca="false">MAX(0,T34*(1-Decay)+IF(I35="",0,MAX(0,I35-T_Comfort))-Recovery_Rate*MAX(0,T_Night-K35))</f>
        <v>0</v>
      </c>
      <c r="U35" s="14" t="n">
        <f aca="false">IF(T35&gt;Capacity,1,0)</f>
        <v>0</v>
      </c>
      <c r="V35" s="15" t="n">
        <f aca="false">1/(1+EXP(-Logistic_k*(T35-Capacity)))</f>
        <v>0.00247262315663477</v>
      </c>
      <c r="W35" s="16" t="n">
        <f aca="false">IF(M35="",0,Beta*Pop_Share_Sel*(1-Sens_Red)*MAX(0,M35-T_Mort))</f>
        <v>0</v>
      </c>
      <c r="X35" s="16" t="n">
        <f aca="false">IF(ISNUMBER(F35),F35+Coef_B1*(Climate_Shift+G34),"")</f>
        <v>21.1673040269763</v>
      </c>
      <c r="Y35" s="16" t="n">
        <f aca="false">IF(AND(ISNUMBER(X35),H35&lt;&gt;""),H35+Climate_Shift-X35,"")</f>
        <v>-2.06730402697634</v>
      </c>
      <c r="Z35" s="16" t="n">
        <f aca="false">IF(ISNUMBER(Y35),ABS(Y35),"")</f>
        <v>2.06730402697634</v>
      </c>
      <c r="AA35" s="16" t="n">
        <f aca="false">IF(COUNT(Z29:Z35)=0,"",AVERAGE(Z29:Z35))</f>
        <v>1.69258616422421</v>
      </c>
      <c r="AB35" s="16" t="n">
        <f aca="false">IF(AD34=1,0,MAX(0,AB34+IF(ISNUMBER(Y35),Y35-CUSUM_k,0)))</f>
        <v>0</v>
      </c>
      <c r="AC35" s="16" t="n">
        <f aca="false">IF(AD34=1,0,MAX(0,AC34+IF(ISNUMBER(Y35),-Y35-CUSUM_k,0)))</f>
        <v>1.06730402697634</v>
      </c>
      <c r="AD35" s="17" t="n">
        <f aca="false">IF(OR(AB35&gt;CUSUM_h,AC35&gt;CUSUM_h,AND(ISNUMBER(AA35),AA35&gt;MAE_Tol)),1,0)</f>
        <v>0</v>
      </c>
      <c r="AE35" s="14" t="n">
        <f aca="false">IF(ISNUMBER(X35),IF(X35+Local_Sensing*UHI_Day_Eff&gt;=T_Day,1,0),0)</f>
        <v>0</v>
      </c>
      <c r="AF35" s="17" t="str">
        <f aca="false">IF(NOT(ISNUMBER(X35)),"n/a",IF(AND(AE35=1,N35=1),"Hit",IF(AND(AE35=0,N35=1),"Miss",IF(AND(AE35=1,N35=0),"False alarm","Correct quiet"))))</f>
        <v>Correct quiet</v>
      </c>
      <c r="AG35" s="14" t="n">
        <f aca="false">IF(H35="",0,IF(H35+Climate_Shift&gt;=T_Day,1,0))</f>
        <v>0</v>
      </c>
      <c r="AH35" s="17" t="n">
        <f aca="false">IF(AND(N35=1,AG35=0),1,0)</f>
        <v>0</v>
      </c>
      <c r="AI35" s="17" t="str">
        <f aca="false">IF(U35=1,"ESCALATE: surge health &amp; transport capacity",IF(AD35=1,"Model drift: retrain, recalibrate, raise change request",IF(S35&gt;=2,"Activate heat plan: outreach and cooling centres",IF(AND(E35=1,OR(N35=1,O35=1)),"Data QA: verify sensor before acting",IF(AF35="Miss","Review missed alert: threshold or model",IF(AH35=1,"Equity: local alert not seen at reference station","Monitor"))))))</f>
        <v>Monitor</v>
      </c>
      <c r="AN35" s="58" t="n">
        <f aca="false">T_Day</f>
        <v>28</v>
      </c>
      <c r="AO35" s="58" t="n">
        <f aca="false">Capacity</f>
        <v>40</v>
      </c>
      <c r="AP35" s="58" t="n">
        <f aca="false">CUSUM_h</f>
        <v>15</v>
      </c>
    </row>
    <row r="36" customFormat="false" ht="15" hidden="false" customHeight="false" outlineLevel="0" collapsed="false">
      <c r="A36" s="14" t="n">
        <v>28</v>
      </c>
      <c r="B36" s="14" t="n">
        <f aca="false">2+(SelYear-1979)*153+A36-1</f>
        <v>6608</v>
      </c>
      <c r="C36" s="55" t="n">
        <f aca="false">INDEX(Data_Heathrow!$A:$A,B36)</f>
        <v>44709</v>
      </c>
      <c r="D36" s="16" t="n">
        <f aca="false">INDEX(Data_Heathrow!$E:$E,B36)</f>
        <v>17</v>
      </c>
      <c r="E36" s="17" t="n">
        <f aca="false">INDEX(Data_Heathrow!$Q:$Q,B36)</f>
        <v>0</v>
      </c>
      <c r="F36" s="16" t="n">
        <f aca="false">INDEX(Data_Heathrow!$T:$T,B36)</f>
        <v>19.8716740721692</v>
      </c>
      <c r="G36" s="16" t="n">
        <f aca="false">IF(AND(Drift_Rate&lt;&gt;0,A36&gt;=Drift_Start),Drift_Rate*(A36-Drift_Start+1)/30,0)</f>
        <v>0</v>
      </c>
      <c r="H36" s="16" t="n">
        <f aca="false">IF(AND(E36=1,QA_Policy="Exclude suspect"),"",IF(AND(E36=1,QA_Policy="Impute with model",ISNUMBER(F36)),F36,D36)+G36)</f>
        <v>17</v>
      </c>
      <c r="I36" s="16" t="n">
        <f aca="false">IF(H36="","",H36+Climate_Shift+UHI_Day_Eff)</f>
        <v>19</v>
      </c>
      <c r="J36" s="16" t="n">
        <f aca="false">INDEX(Data_Heathrow!$G:$G,B36)</f>
        <v>8.6</v>
      </c>
      <c r="K36" s="16" t="n">
        <f aca="false">J36+Climate_Shift+UHI_Night_Eff</f>
        <v>12.6</v>
      </c>
      <c r="L36" s="16" t="n">
        <f aca="false">IF(INDEX(Data_Heathrow!$I:$I,B36)="","",INDEX(Data_Heathrow!$I:$I,B36))</f>
        <v>13.8</v>
      </c>
      <c r="M36" s="16" t="n">
        <f aca="false">IF(L36="","",L36+Climate_Shift+(UHI_Day_Eff+UHI_Night_Eff)/2)</f>
        <v>16.8</v>
      </c>
      <c r="N36" s="14" t="n">
        <f aca="false">IF(I36="",0,IF(I36&gt;=T_Day,1,0))</f>
        <v>0</v>
      </c>
      <c r="O36" s="14" t="n">
        <f aca="false">IF(K36&gt;=T_Night,1,0)</f>
        <v>0</v>
      </c>
      <c r="P36" s="14" t="n">
        <f aca="false">IF(N36=1,P35+1,0)</f>
        <v>0</v>
      </c>
      <c r="Q36" s="14" t="n">
        <f aca="false">IF(P36&gt;=HW_Days,1,0)</f>
        <v>0</v>
      </c>
      <c r="R36" s="17" t="str">
        <f aca="false">IF(AND(N36=1,I36&gt;=T_Red,O36=1),"RED",IF(AND(Q36=1,O36=1),"AMBER",IF(OR(N36=1,O36=1),"YELLOW","GREEN")))</f>
        <v>GREEN</v>
      </c>
      <c r="S36" s="14" t="n">
        <f aca="false">IF(R36="RED",3,IF(R36="AMBER",2,IF(R36="YELLOW",1,0)))</f>
        <v>0</v>
      </c>
      <c r="T36" s="16" t="n">
        <f aca="false">MAX(0,T35*(1-Decay)+IF(I36="",0,MAX(0,I36-T_Comfort))-Recovery_Rate*MAX(0,T_Night-K36))</f>
        <v>0</v>
      </c>
      <c r="U36" s="14" t="n">
        <f aca="false">IF(T36&gt;Capacity,1,0)</f>
        <v>0</v>
      </c>
      <c r="V36" s="15" t="n">
        <f aca="false">1/(1+EXP(-Logistic_k*(T36-Capacity)))</f>
        <v>0.00247262315663477</v>
      </c>
      <c r="W36" s="16" t="n">
        <f aca="false">IF(M36="",0,Beta*Pop_Share_Sel*(1-Sens_Red)*MAX(0,M36-T_Mort))</f>
        <v>0</v>
      </c>
      <c r="X36" s="16" t="n">
        <f aca="false">IF(ISNUMBER(F36),F36+Coef_B1*(Climate_Shift+G35),"")</f>
        <v>19.8716740721692</v>
      </c>
      <c r="Y36" s="16" t="n">
        <f aca="false">IF(AND(ISNUMBER(X36),H36&lt;&gt;""),H36+Climate_Shift-X36,"")</f>
        <v>-2.8716740721692</v>
      </c>
      <c r="Z36" s="16" t="n">
        <f aca="false">IF(ISNUMBER(Y36),ABS(Y36),"")</f>
        <v>2.8716740721692</v>
      </c>
      <c r="AA36" s="16" t="n">
        <f aca="false">IF(COUNT(Z30:Z36)=0,"",AVERAGE(Z30:Z36))</f>
        <v>1.85553236490254</v>
      </c>
      <c r="AB36" s="16" t="n">
        <f aca="false">IF(AD35=1,0,MAX(0,AB35+IF(ISNUMBER(Y36),Y36-CUSUM_k,0)))</f>
        <v>0</v>
      </c>
      <c r="AC36" s="16" t="n">
        <f aca="false">IF(AD35=1,0,MAX(0,AC35+IF(ISNUMBER(Y36),-Y36-CUSUM_k,0)))</f>
        <v>2.93897809914554</v>
      </c>
      <c r="AD36" s="17" t="n">
        <f aca="false">IF(OR(AB36&gt;CUSUM_h,AC36&gt;CUSUM_h,AND(ISNUMBER(AA36),AA36&gt;MAE_Tol)),1,0)</f>
        <v>0</v>
      </c>
      <c r="AE36" s="14" t="n">
        <f aca="false">IF(ISNUMBER(X36),IF(X36+Local_Sensing*UHI_Day_Eff&gt;=T_Day,1,0),0)</f>
        <v>0</v>
      </c>
      <c r="AF36" s="17" t="str">
        <f aca="false">IF(NOT(ISNUMBER(X36)),"n/a",IF(AND(AE36=1,N36=1),"Hit",IF(AND(AE36=0,N36=1),"Miss",IF(AND(AE36=1,N36=0),"False alarm","Correct quiet"))))</f>
        <v>Correct quiet</v>
      </c>
      <c r="AG36" s="14" t="n">
        <f aca="false">IF(H36="",0,IF(H36+Climate_Shift&gt;=T_Day,1,0))</f>
        <v>0</v>
      </c>
      <c r="AH36" s="17" t="n">
        <f aca="false">IF(AND(N36=1,AG36=0),1,0)</f>
        <v>0</v>
      </c>
      <c r="AI36" s="17" t="str">
        <f aca="false">IF(U36=1,"ESCALATE: surge health &amp; transport capacity",IF(AD36=1,"Model drift: retrain, recalibrate, raise change request",IF(S36&gt;=2,"Activate heat plan: outreach and cooling centres",IF(AND(E36=1,OR(N36=1,O36=1)),"Data QA: verify sensor before acting",IF(AF36="Miss","Review missed alert: threshold or model",IF(AH36=1,"Equity: local alert not seen at reference station","Monitor"))))))</f>
        <v>Monitor</v>
      </c>
      <c r="AN36" s="58" t="n">
        <f aca="false">T_Day</f>
        <v>28</v>
      </c>
      <c r="AO36" s="58" t="n">
        <f aca="false">Capacity</f>
        <v>40</v>
      </c>
      <c r="AP36" s="58" t="n">
        <f aca="false">CUSUM_h</f>
        <v>15</v>
      </c>
    </row>
    <row r="37" customFormat="false" ht="15" hidden="false" customHeight="false" outlineLevel="0" collapsed="false">
      <c r="A37" s="14" t="n">
        <v>29</v>
      </c>
      <c r="B37" s="14" t="n">
        <f aca="false">2+(SelYear-1979)*153+A37-1</f>
        <v>6609</v>
      </c>
      <c r="C37" s="55" t="n">
        <f aca="false">INDEX(Data_Heathrow!$A:$A,B37)</f>
        <v>44710</v>
      </c>
      <c r="D37" s="16" t="n">
        <f aca="false">INDEX(Data_Heathrow!$E:$E,B37)</f>
        <v>16.1</v>
      </c>
      <c r="E37" s="17" t="n">
        <f aca="false">INDEX(Data_Heathrow!$Q:$Q,B37)</f>
        <v>0</v>
      </c>
      <c r="F37" s="16" t="n">
        <f aca="false">INDEX(Data_Heathrow!$T:$T,B37)</f>
        <v>18.1667467140966</v>
      </c>
      <c r="G37" s="16" t="n">
        <f aca="false">IF(AND(Drift_Rate&lt;&gt;0,A37&gt;=Drift_Start),Drift_Rate*(A37-Drift_Start+1)/30,0)</f>
        <v>0</v>
      </c>
      <c r="H37" s="16" t="n">
        <f aca="false">IF(AND(E37=1,QA_Policy="Exclude suspect"),"",IF(AND(E37=1,QA_Policy="Impute with model",ISNUMBER(F37)),F37,D37)+G37)</f>
        <v>16.1</v>
      </c>
      <c r="I37" s="16" t="n">
        <f aca="false">IF(H37="","",H37+Climate_Shift+UHI_Day_Eff)</f>
        <v>18.1</v>
      </c>
      <c r="J37" s="16" t="n">
        <f aca="false">INDEX(Data_Heathrow!$G:$G,B37)</f>
        <v>7.9</v>
      </c>
      <c r="K37" s="16" t="n">
        <f aca="false">J37+Climate_Shift+UHI_Night_Eff</f>
        <v>11.9</v>
      </c>
      <c r="L37" s="16" t="n">
        <f aca="false">IF(INDEX(Data_Heathrow!$I:$I,B37)="","",INDEX(Data_Heathrow!$I:$I,B37))</f>
        <v>12.4</v>
      </c>
      <c r="M37" s="16" t="n">
        <f aca="false">IF(L37="","",L37+Climate_Shift+(UHI_Day_Eff+UHI_Night_Eff)/2)</f>
        <v>15.4</v>
      </c>
      <c r="N37" s="14" t="n">
        <f aca="false">IF(I37="",0,IF(I37&gt;=T_Day,1,0))</f>
        <v>0</v>
      </c>
      <c r="O37" s="14" t="n">
        <f aca="false">IF(K37&gt;=T_Night,1,0)</f>
        <v>0</v>
      </c>
      <c r="P37" s="14" t="n">
        <f aca="false">IF(N37=1,P36+1,0)</f>
        <v>0</v>
      </c>
      <c r="Q37" s="14" t="n">
        <f aca="false">IF(P37&gt;=HW_Days,1,0)</f>
        <v>0</v>
      </c>
      <c r="R37" s="17" t="str">
        <f aca="false">IF(AND(N37=1,I37&gt;=T_Red,O37=1),"RED",IF(AND(Q37=1,O37=1),"AMBER",IF(OR(N37=1,O37=1),"YELLOW","GREEN")))</f>
        <v>GREEN</v>
      </c>
      <c r="S37" s="14" t="n">
        <f aca="false">IF(R37="RED",3,IF(R37="AMBER",2,IF(R37="YELLOW",1,0)))</f>
        <v>0</v>
      </c>
      <c r="T37" s="16" t="n">
        <f aca="false">MAX(0,T36*(1-Decay)+IF(I37="",0,MAX(0,I37-T_Comfort))-Recovery_Rate*MAX(0,T_Night-K37))</f>
        <v>0</v>
      </c>
      <c r="U37" s="14" t="n">
        <f aca="false">IF(T37&gt;Capacity,1,0)</f>
        <v>0</v>
      </c>
      <c r="V37" s="15" t="n">
        <f aca="false">1/(1+EXP(-Logistic_k*(T37-Capacity)))</f>
        <v>0.00247262315663477</v>
      </c>
      <c r="W37" s="16" t="n">
        <f aca="false">IF(M37="",0,Beta*Pop_Share_Sel*(1-Sens_Red)*MAX(0,M37-T_Mort))</f>
        <v>0</v>
      </c>
      <c r="X37" s="16" t="n">
        <f aca="false">IF(ISNUMBER(F37),F37+Coef_B1*(Climate_Shift+G36),"")</f>
        <v>18.1667467140966</v>
      </c>
      <c r="Y37" s="16" t="n">
        <f aca="false">IF(AND(ISNUMBER(X37),H37&lt;&gt;""),H37+Climate_Shift-X37,"")</f>
        <v>-2.0667467140966</v>
      </c>
      <c r="Z37" s="16" t="n">
        <f aca="false">IF(ISNUMBER(Y37),ABS(Y37),"")</f>
        <v>2.0667467140966</v>
      </c>
      <c r="AA37" s="16" t="n">
        <f aca="false">IF(COUNT(Z31:Z37)=0,"",AVERAGE(Z31:Z37))</f>
        <v>1.73556765701293</v>
      </c>
      <c r="AB37" s="16" t="n">
        <f aca="false">IF(AD36=1,0,MAX(0,AB36+IF(ISNUMBER(Y37),Y37-CUSUM_k,0)))</f>
        <v>0</v>
      </c>
      <c r="AC37" s="16" t="n">
        <f aca="false">IF(AD36=1,0,MAX(0,AC36+IF(ISNUMBER(Y37),-Y37-CUSUM_k,0)))</f>
        <v>4.00572481324214</v>
      </c>
      <c r="AD37" s="17" t="n">
        <f aca="false">IF(OR(AB37&gt;CUSUM_h,AC37&gt;CUSUM_h,AND(ISNUMBER(AA37),AA37&gt;MAE_Tol)),1,0)</f>
        <v>0</v>
      </c>
      <c r="AE37" s="14" t="n">
        <f aca="false">IF(ISNUMBER(X37),IF(X37+Local_Sensing*UHI_Day_Eff&gt;=T_Day,1,0),0)</f>
        <v>0</v>
      </c>
      <c r="AF37" s="17" t="str">
        <f aca="false">IF(NOT(ISNUMBER(X37)),"n/a",IF(AND(AE37=1,N37=1),"Hit",IF(AND(AE37=0,N37=1),"Miss",IF(AND(AE37=1,N37=0),"False alarm","Correct quiet"))))</f>
        <v>Correct quiet</v>
      </c>
      <c r="AG37" s="14" t="n">
        <f aca="false">IF(H37="",0,IF(H37+Climate_Shift&gt;=T_Day,1,0))</f>
        <v>0</v>
      </c>
      <c r="AH37" s="17" t="n">
        <f aca="false">IF(AND(N37=1,AG37=0),1,0)</f>
        <v>0</v>
      </c>
      <c r="AI37" s="17" t="str">
        <f aca="false">IF(U37=1,"ESCALATE: surge health &amp; transport capacity",IF(AD37=1,"Model drift: retrain, recalibrate, raise change request",IF(S37&gt;=2,"Activate heat plan: outreach and cooling centres",IF(AND(E37=1,OR(N37=1,O37=1)),"Data QA: verify sensor before acting",IF(AF37="Miss","Review missed alert: threshold or model",IF(AH37=1,"Equity: local alert not seen at reference station","Monitor"))))))</f>
        <v>Monitor</v>
      </c>
      <c r="AN37" s="58" t="n">
        <f aca="false">T_Day</f>
        <v>28</v>
      </c>
      <c r="AO37" s="58" t="n">
        <f aca="false">Capacity</f>
        <v>40</v>
      </c>
      <c r="AP37" s="58" t="n">
        <f aca="false">CUSUM_h</f>
        <v>15</v>
      </c>
    </row>
    <row r="38" customFormat="false" ht="15" hidden="false" customHeight="false" outlineLevel="0" collapsed="false">
      <c r="A38" s="14" t="n">
        <v>30</v>
      </c>
      <c r="B38" s="14" t="n">
        <f aca="false">2+(SelYear-1979)*153+A38-1</f>
        <v>6610</v>
      </c>
      <c r="C38" s="55" t="n">
        <f aca="false">INDEX(Data_Heathrow!$A:$A,B38)</f>
        <v>44711</v>
      </c>
      <c r="D38" s="16" t="n">
        <f aca="false">INDEX(Data_Heathrow!$E:$E,B38)</f>
        <v>16.4</v>
      </c>
      <c r="E38" s="17" t="n">
        <f aca="false">INDEX(Data_Heathrow!$Q:$Q,B38)</f>
        <v>0</v>
      </c>
      <c r="F38" s="16" t="n">
        <f aca="false">INDEX(Data_Heathrow!$T:$T,B38)</f>
        <v>17.2536700304079</v>
      </c>
      <c r="G38" s="16" t="n">
        <f aca="false">IF(AND(Drift_Rate&lt;&gt;0,A38&gt;=Drift_Start),Drift_Rate*(A38-Drift_Start+1)/30,0)</f>
        <v>0</v>
      </c>
      <c r="H38" s="16" t="n">
        <f aca="false">IF(AND(E38=1,QA_Policy="Exclude suspect"),"",IF(AND(E38=1,QA_Policy="Impute with model",ISNUMBER(F38)),F38,D38)+G38)</f>
        <v>16.4</v>
      </c>
      <c r="I38" s="16" t="n">
        <f aca="false">IF(H38="","",H38+Climate_Shift+UHI_Day_Eff)</f>
        <v>18.4</v>
      </c>
      <c r="J38" s="16" t="n">
        <f aca="false">INDEX(Data_Heathrow!$G:$G,B38)</f>
        <v>5.6</v>
      </c>
      <c r="K38" s="16" t="n">
        <f aca="false">J38+Climate_Shift+UHI_Night_Eff</f>
        <v>9.6</v>
      </c>
      <c r="L38" s="16" t="n">
        <f aca="false">IF(INDEX(Data_Heathrow!$I:$I,B38)="","",INDEX(Data_Heathrow!$I:$I,B38))</f>
        <v>10.8</v>
      </c>
      <c r="M38" s="16" t="n">
        <f aca="false">IF(L38="","",L38+Climate_Shift+(UHI_Day_Eff+UHI_Night_Eff)/2)</f>
        <v>13.8</v>
      </c>
      <c r="N38" s="14" t="n">
        <f aca="false">IF(I38="",0,IF(I38&gt;=T_Day,1,0))</f>
        <v>0</v>
      </c>
      <c r="O38" s="14" t="n">
        <f aca="false">IF(K38&gt;=T_Night,1,0)</f>
        <v>0</v>
      </c>
      <c r="P38" s="14" t="n">
        <f aca="false">IF(N38=1,P37+1,0)</f>
        <v>0</v>
      </c>
      <c r="Q38" s="14" t="n">
        <f aca="false">IF(P38&gt;=HW_Days,1,0)</f>
        <v>0</v>
      </c>
      <c r="R38" s="17" t="str">
        <f aca="false">IF(AND(N38=1,I38&gt;=T_Red,O38=1),"RED",IF(AND(Q38=1,O38=1),"AMBER",IF(OR(N38=1,O38=1),"YELLOW","GREEN")))</f>
        <v>GREEN</v>
      </c>
      <c r="S38" s="14" t="n">
        <f aca="false">IF(R38="RED",3,IF(R38="AMBER",2,IF(R38="YELLOW",1,0)))</f>
        <v>0</v>
      </c>
      <c r="T38" s="16" t="n">
        <f aca="false">MAX(0,T37*(1-Decay)+IF(I38="",0,MAX(0,I38-T_Comfort))-Recovery_Rate*MAX(0,T_Night-K38))</f>
        <v>0</v>
      </c>
      <c r="U38" s="14" t="n">
        <f aca="false">IF(T38&gt;Capacity,1,0)</f>
        <v>0</v>
      </c>
      <c r="V38" s="15" t="n">
        <f aca="false">1/(1+EXP(-Logistic_k*(T38-Capacity)))</f>
        <v>0.00247262315663477</v>
      </c>
      <c r="W38" s="16" t="n">
        <f aca="false">IF(M38="",0,Beta*Pop_Share_Sel*(1-Sens_Red)*MAX(0,M38-T_Mort))</f>
        <v>0</v>
      </c>
      <c r="X38" s="16" t="n">
        <f aca="false">IF(ISNUMBER(F38),F38+Coef_B1*(Climate_Shift+G37),"")</f>
        <v>17.2536700304079</v>
      </c>
      <c r="Y38" s="16" t="n">
        <f aca="false">IF(AND(ISNUMBER(X38),H38&lt;&gt;""),H38+Climate_Shift-X38,"")</f>
        <v>-0.853670030407873</v>
      </c>
      <c r="Z38" s="16" t="n">
        <f aca="false">IF(ISNUMBER(Y38),ABS(Y38),"")</f>
        <v>0.853670030407873</v>
      </c>
      <c r="AA38" s="16" t="n">
        <f aca="false">IF(COUNT(Z32:Z38)=0,"",AVERAGE(Z32:Z38))</f>
        <v>1.70974752555688</v>
      </c>
      <c r="AB38" s="16" t="n">
        <f aca="false">IF(AD37=1,0,MAX(0,AB37+IF(ISNUMBER(Y38),Y38-CUSUM_k,0)))</f>
        <v>0</v>
      </c>
      <c r="AC38" s="16" t="n">
        <f aca="false">IF(AD37=1,0,MAX(0,AC37+IF(ISNUMBER(Y38),-Y38-CUSUM_k,0)))</f>
        <v>3.85939484365001</v>
      </c>
      <c r="AD38" s="17" t="n">
        <f aca="false">IF(OR(AB38&gt;CUSUM_h,AC38&gt;CUSUM_h,AND(ISNUMBER(AA38),AA38&gt;MAE_Tol)),1,0)</f>
        <v>0</v>
      </c>
      <c r="AE38" s="14" t="n">
        <f aca="false">IF(ISNUMBER(X38),IF(X38+Local_Sensing*UHI_Day_Eff&gt;=T_Day,1,0),0)</f>
        <v>0</v>
      </c>
      <c r="AF38" s="17" t="str">
        <f aca="false">IF(NOT(ISNUMBER(X38)),"n/a",IF(AND(AE38=1,N38=1),"Hit",IF(AND(AE38=0,N38=1),"Miss",IF(AND(AE38=1,N38=0),"False alarm","Correct quiet"))))</f>
        <v>Correct quiet</v>
      </c>
      <c r="AG38" s="14" t="n">
        <f aca="false">IF(H38="",0,IF(H38+Climate_Shift&gt;=T_Day,1,0))</f>
        <v>0</v>
      </c>
      <c r="AH38" s="17" t="n">
        <f aca="false">IF(AND(N38=1,AG38=0),1,0)</f>
        <v>0</v>
      </c>
      <c r="AI38" s="17" t="str">
        <f aca="false">IF(U38=1,"ESCALATE: surge health &amp; transport capacity",IF(AD38=1,"Model drift: retrain, recalibrate, raise change request",IF(S38&gt;=2,"Activate heat plan: outreach and cooling centres",IF(AND(E38=1,OR(N38=1,O38=1)),"Data QA: verify sensor before acting",IF(AF38="Miss","Review missed alert: threshold or model",IF(AH38=1,"Equity: local alert not seen at reference station","Monitor"))))))</f>
        <v>Monitor</v>
      </c>
      <c r="AN38" s="58" t="n">
        <f aca="false">T_Day</f>
        <v>28</v>
      </c>
      <c r="AO38" s="58" t="n">
        <f aca="false">Capacity</f>
        <v>40</v>
      </c>
      <c r="AP38" s="58" t="n">
        <f aca="false">CUSUM_h</f>
        <v>15</v>
      </c>
    </row>
    <row r="39" customFormat="false" ht="15" hidden="false" customHeight="false" outlineLevel="0" collapsed="false">
      <c r="A39" s="14" t="n">
        <v>31</v>
      </c>
      <c r="B39" s="14" t="n">
        <f aca="false">2+(SelYear-1979)*153+A39-1</f>
        <v>6611</v>
      </c>
      <c r="C39" s="55" t="n">
        <f aca="false">INDEX(Data_Heathrow!$A:$A,B39)</f>
        <v>44712</v>
      </c>
      <c r="D39" s="16" t="n">
        <f aca="false">INDEX(Data_Heathrow!$E:$E,B39)</f>
        <v>18.7</v>
      </c>
      <c r="E39" s="17" t="n">
        <f aca="false">INDEX(Data_Heathrow!$Q:$Q,B39)</f>
        <v>0</v>
      </c>
      <c r="F39" s="16" t="n">
        <f aca="false">INDEX(Data_Heathrow!$T:$T,B39)</f>
        <v>17.3206633889069</v>
      </c>
      <c r="G39" s="16" t="n">
        <f aca="false">IF(AND(Drift_Rate&lt;&gt;0,A39&gt;=Drift_Start),Drift_Rate*(A39-Drift_Start+1)/30,0)</f>
        <v>0</v>
      </c>
      <c r="H39" s="16" t="n">
        <f aca="false">IF(AND(E39=1,QA_Policy="Exclude suspect"),"",IF(AND(E39=1,QA_Policy="Impute with model",ISNUMBER(F39)),F39,D39)+G39)</f>
        <v>18.7</v>
      </c>
      <c r="I39" s="16" t="n">
        <f aca="false">IF(H39="","",H39+Climate_Shift+UHI_Day_Eff)</f>
        <v>20.7</v>
      </c>
      <c r="J39" s="16" t="n">
        <f aca="false">INDEX(Data_Heathrow!$G:$G,B39)</f>
        <v>8.6</v>
      </c>
      <c r="K39" s="16" t="n">
        <f aca="false">J39+Climate_Shift+UHI_Night_Eff</f>
        <v>12.6</v>
      </c>
      <c r="L39" s="16" t="n">
        <f aca="false">IF(INDEX(Data_Heathrow!$I:$I,B39)="","",INDEX(Data_Heathrow!$I:$I,B39))</f>
        <v>12.5</v>
      </c>
      <c r="M39" s="16" t="n">
        <f aca="false">IF(L39="","",L39+Climate_Shift+(UHI_Day_Eff+UHI_Night_Eff)/2)</f>
        <v>15.5</v>
      </c>
      <c r="N39" s="14" t="n">
        <f aca="false">IF(I39="",0,IF(I39&gt;=T_Day,1,0))</f>
        <v>0</v>
      </c>
      <c r="O39" s="14" t="n">
        <f aca="false">IF(K39&gt;=T_Night,1,0)</f>
        <v>0</v>
      </c>
      <c r="P39" s="14" t="n">
        <f aca="false">IF(N39=1,P38+1,0)</f>
        <v>0</v>
      </c>
      <c r="Q39" s="14" t="n">
        <f aca="false">IF(P39&gt;=HW_Days,1,0)</f>
        <v>0</v>
      </c>
      <c r="R39" s="17" t="str">
        <f aca="false">IF(AND(N39=1,I39&gt;=T_Red,O39=1),"RED",IF(AND(Q39=1,O39=1),"AMBER",IF(OR(N39=1,O39=1),"YELLOW","GREEN")))</f>
        <v>GREEN</v>
      </c>
      <c r="S39" s="14" t="n">
        <f aca="false">IF(R39="RED",3,IF(R39="AMBER",2,IF(R39="YELLOW",1,0)))</f>
        <v>0</v>
      </c>
      <c r="T39" s="16" t="n">
        <f aca="false">MAX(0,T38*(1-Decay)+IF(I39="",0,MAX(0,I39-T_Comfort))-Recovery_Rate*MAX(0,T_Night-K39))</f>
        <v>0</v>
      </c>
      <c r="U39" s="14" t="n">
        <f aca="false">IF(T39&gt;Capacity,1,0)</f>
        <v>0</v>
      </c>
      <c r="V39" s="15" t="n">
        <f aca="false">1/(1+EXP(-Logistic_k*(T39-Capacity)))</f>
        <v>0.00247262315663477</v>
      </c>
      <c r="W39" s="16" t="n">
        <f aca="false">IF(M39="",0,Beta*Pop_Share_Sel*(1-Sens_Red)*MAX(0,M39-T_Mort))</f>
        <v>0</v>
      </c>
      <c r="X39" s="16" t="n">
        <f aca="false">IF(ISNUMBER(F39),F39+Coef_B1*(Climate_Shift+G38),"")</f>
        <v>17.3206633889069</v>
      </c>
      <c r="Y39" s="16" t="n">
        <f aca="false">IF(AND(ISNUMBER(X39),H39&lt;&gt;""),H39+Climate_Shift-X39,"")</f>
        <v>1.37933661109307</v>
      </c>
      <c r="Z39" s="16" t="n">
        <f aca="false">IF(ISNUMBER(Y39),ABS(Y39),"")</f>
        <v>1.37933661109307</v>
      </c>
      <c r="AA39" s="16" t="n">
        <f aca="false">IF(COUNT(Z33:Z39)=0,"",AVERAGE(Z33:Z39))</f>
        <v>1.81231735510188</v>
      </c>
      <c r="AB39" s="16" t="n">
        <f aca="false">IF(AD38=1,0,MAX(0,AB38+IF(ISNUMBER(Y39),Y39-CUSUM_k,0)))</f>
        <v>0.37933661109307</v>
      </c>
      <c r="AC39" s="16" t="n">
        <f aca="false">IF(AD38=1,0,MAX(0,AC38+IF(ISNUMBER(Y39),-Y39-CUSUM_k,0)))</f>
        <v>1.48005823255694</v>
      </c>
      <c r="AD39" s="17" t="n">
        <f aca="false">IF(OR(AB39&gt;CUSUM_h,AC39&gt;CUSUM_h,AND(ISNUMBER(AA39),AA39&gt;MAE_Tol)),1,0)</f>
        <v>0</v>
      </c>
      <c r="AE39" s="14" t="n">
        <f aca="false">IF(ISNUMBER(X39),IF(X39+Local_Sensing*UHI_Day_Eff&gt;=T_Day,1,0),0)</f>
        <v>0</v>
      </c>
      <c r="AF39" s="17" t="str">
        <f aca="false">IF(NOT(ISNUMBER(X39)),"n/a",IF(AND(AE39=1,N39=1),"Hit",IF(AND(AE39=0,N39=1),"Miss",IF(AND(AE39=1,N39=0),"False alarm","Correct quiet"))))</f>
        <v>Correct quiet</v>
      </c>
      <c r="AG39" s="14" t="n">
        <f aca="false">IF(H39="",0,IF(H39+Climate_Shift&gt;=T_Day,1,0))</f>
        <v>0</v>
      </c>
      <c r="AH39" s="17" t="n">
        <f aca="false">IF(AND(N39=1,AG39=0),1,0)</f>
        <v>0</v>
      </c>
      <c r="AI39" s="17" t="str">
        <f aca="false">IF(U39=1,"ESCALATE: surge health &amp; transport capacity",IF(AD39=1,"Model drift: retrain, recalibrate, raise change request",IF(S39&gt;=2,"Activate heat plan: outreach and cooling centres",IF(AND(E39=1,OR(N39=1,O39=1)),"Data QA: verify sensor before acting",IF(AF39="Miss","Review missed alert: threshold or model",IF(AH39=1,"Equity: local alert not seen at reference station","Monitor"))))))</f>
        <v>Monitor</v>
      </c>
      <c r="AN39" s="58" t="n">
        <f aca="false">T_Day</f>
        <v>28</v>
      </c>
      <c r="AO39" s="58" t="n">
        <f aca="false">Capacity</f>
        <v>40</v>
      </c>
      <c r="AP39" s="58" t="n">
        <f aca="false">CUSUM_h</f>
        <v>15</v>
      </c>
    </row>
    <row r="40" customFormat="false" ht="15" hidden="false" customHeight="false" outlineLevel="0" collapsed="false">
      <c r="A40" s="14" t="n">
        <v>32</v>
      </c>
      <c r="B40" s="14" t="n">
        <f aca="false">2+(SelYear-1979)*153+A40-1</f>
        <v>6612</v>
      </c>
      <c r="C40" s="55" t="n">
        <f aca="false">INDEX(Data_Heathrow!$A:$A,B40)</f>
        <v>44713</v>
      </c>
      <c r="D40" s="16" t="n">
        <f aca="false">INDEX(Data_Heathrow!$E:$E,B40)</f>
        <v>22.3</v>
      </c>
      <c r="E40" s="17" t="n">
        <f aca="false">INDEX(Data_Heathrow!$Q:$Q,B40)</f>
        <v>0</v>
      </c>
      <c r="F40" s="16" t="n">
        <f aca="false">INDEX(Data_Heathrow!$T:$T,B40)</f>
        <v>19.1706366488077</v>
      </c>
      <c r="G40" s="16" t="n">
        <f aca="false">IF(AND(Drift_Rate&lt;&gt;0,A40&gt;=Drift_Start),Drift_Rate*(A40-Drift_Start+1)/30,0)</f>
        <v>0</v>
      </c>
      <c r="H40" s="16" t="n">
        <f aca="false">IF(AND(E40=1,QA_Policy="Exclude suspect"),"",IF(AND(E40=1,QA_Policy="Impute with model",ISNUMBER(F40)),F40,D40)+G40)</f>
        <v>22.3</v>
      </c>
      <c r="I40" s="16" t="n">
        <f aca="false">IF(H40="","",H40+Climate_Shift+UHI_Day_Eff)</f>
        <v>24.3</v>
      </c>
      <c r="J40" s="16" t="n">
        <f aca="false">INDEX(Data_Heathrow!$G:$G,B40)</f>
        <v>8</v>
      </c>
      <c r="K40" s="16" t="n">
        <f aca="false">J40+Climate_Shift+UHI_Night_Eff</f>
        <v>12</v>
      </c>
      <c r="L40" s="16" t="n">
        <f aca="false">IF(INDEX(Data_Heathrow!$I:$I,B40)="","",INDEX(Data_Heathrow!$I:$I,B40))</f>
        <v>13.3</v>
      </c>
      <c r="M40" s="16" t="n">
        <f aca="false">IF(L40="","",L40+Climate_Shift+(UHI_Day_Eff+UHI_Night_Eff)/2)</f>
        <v>16.3</v>
      </c>
      <c r="N40" s="14" t="n">
        <f aca="false">IF(I40="",0,IF(I40&gt;=T_Day,1,0))</f>
        <v>0</v>
      </c>
      <c r="O40" s="14" t="n">
        <f aca="false">IF(K40&gt;=T_Night,1,0)</f>
        <v>0</v>
      </c>
      <c r="P40" s="14" t="n">
        <f aca="false">IF(N40=1,P39+1,0)</f>
        <v>0</v>
      </c>
      <c r="Q40" s="14" t="n">
        <f aca="false">IF(P40&gt;=HW_Days,1,0)</f>
        <v>0</v>
      </c>
      <c r="R40" s="17" t="str">
        <f aca="false">IF(AND(N40=1,I40&gt;=T_Red,O40=1),"RED",IF(AND(Q40=1,O40=1),"AMBER",IF(OR(N40=1,O40=1),"YELLOW","GREEN")))</f>
        <v>GREEN</v>
      </c>
      <c r="S40" s="14" t="n">
        <f aca="false">IF(R40="RED",3,IF(R40="AMBER",2,IF(R40="YELLOW",1,0)))</f>
        <v>0</v>
      </c>
      <c r="T40" s="16" t="n">
        <f aca="false">MAX(0,T39*(1-Decay)+IF(I40="",0,MAX(0,I40-T_Comfort))-Recovery_Rate*MAX(0,T_Night-K40))</f>
        <v>0</v>
      </c>
      <c r="U40" s="14" t="n">
        <f aca="false">IF(T40&gt;Capacity,1,0)</f>
        <v>0</v>
      </c>
      <c r="V40" s="15" t="n">
        <f aca="false">1/(1+EXP(-Logistic_k*(T40-Capacity)))</f>
        <v>0.00247262315663477</v>
      </c>
      <c r="W40" s="16" t="n">
        <f aca="false">IF(M40="",0,Beta*Pop_Share_Sel*(1-Sens_Red)*MAX(0,M40-T_Mort))</f>
        <v>0</v>
      </c>
      <c r="X40" s="16" t="n">
        <f aca="false">IF(ISNUMBER(F40),F40+Coef_B1*(Climate_Shift+G39),"")</f>
        <v>19.1706366488077</v>
      </c>
      <c r="Y40" s="16" t="n">
        <f aca="false">IF(AND(ISNUMBER(X40),H40&lt;&gt;""),H40+Climate_Shift-X40,"")</f>
        <v>3.12936335119235</v>
      </c>
      <c r="Z40" s="16" t="n">
        <f aca="false">IF(ISNUMBER(Y40),ABS(Y40),"")</f>
        <v>3.12936335119235</v>
      </c>
      <c r="AA40" s="16" t="n">
        <f aca="false">IF(COUNT(Z34:Z40)=0,"",AVERAGE(Z34:Z40))</f>
        <v>1.90233240381944</v>
      </c>
      <c r="AB40" s="16" t="n">
        <f aca="false">IF(AD39=1,0,MAX(0,AB39+IF(ISNUMBER(Y40),Y40-CUSUM_k,0)))</f>
        <v>2.50869996228542</v>
      </c>
      <c r="AC40" s="16" t="n">
        <f aca="false">IF(AD39=1,0,MAX(0,AC39+IF(ISNUMBER(Y40),-Y40-CUSUM_k,0)))</f>
        <v>0</v>
      </c>
      <c r="AD40" s="17" t="n">
        <f aca="false">IF(OR(AB40&gt;CUSUM_h,AC40&gt;CUSUM_h,AND(ISNUMBER(AA40),AA40&gt;MAE_Tol)),1,0)</f>
        <v>0</v>
      </c>
      <c r="AE40" s="14" t="n">
        <f aca="false">IF(ISNUMBER(X40),IF(X40+Local_Sensing*UHI_Day_Eff&gt;=T_Day,1,0),0)</f>
        <v>0</v>
      </c>
      <c r="AF40" s="17" t="str">
        <f aca="false">IF(NOT(ISNUMBER(X40)),"n/a",IF(AND(AE40=1,N40=1),"Hit",IF(AND(AE40=0,N40=1),"Miss",IF(AND(AE40=1,N40=0),"False alarm","Correct quiet"))))</f>
        <v>Correct quiet</v>
      </c>
      <c r="AG40" s="14" t="n">
        <f aca="false">IF(H40="",0,IF(H40+Climate_Shift&gt;=T_Day,1,0))</f>
        <v>0</v>
      </c>
      <c r="AH40" s="17" t="n">
        <f aca="false">IF(AND(N40=1,AG40=0),1,0)</f>
        <v>0</v>
      </c>
      <c r="AI40" s="17" t="str">
        <f aca="false">IF(U40=1,"ESCALATE: surge health &amp; transport capacity",IF(AD40=1,"Model drift: retrain, recalibrate, raise change request",IF(S40&gt;=2,"Activate heat plan: outreach and cooling centres",IF(AND(E40=1,OR(N40=1,O40=1)),"Data QA: verify sensor before acting",IF(AF40="Miss","Review missed alert: threshold or model",IF(AH40=1,"Equity: local alert not seen at reference station","Monitor"))))))</f>
        <v>Monitor</v>
      </c>
      <c r="AN40" s="58" t="n">
        <f aca="false">T_Day</f>
        <v>28</v>
      </c>
      <c r="AO40" s="58" t="n">
        <f aca="false">Capacity</f>
        <v>40</v>
      </c>
      <c r="AP40" s="58" t="n">
        <f aca="false">CUSUM_h</f>
        <v>15</v>
      </c>
    </row>
    <row r="41" customFormat="false" ht="15" hidden="false" customHeight="false" outlineLevel="0" collapsed="false">
      <c r="A41" s="14" t="n">
        <v>33</v>
      </c>
      <c r="B41" s="14" t="n">
        <f aca="false">2+(SelYear-1979)*153+A41-1</f>
        <v>6613</v>
      </c>
      <c r="C41" s="55" t="n">
        <f aca="false">INDEX(Data_Heathrow!$A:$A,B41)</f>
        <v>44714</v>
      </c>
      <c r="D41" s="16" t="n">
        <f aca="false">INDEX(Data_Heathrow!$E:$E,B41)</f>
        <v>23.3</v>
      </c>
      <c r="E41" s="17" t="n">
        <f aca="false">INDEX(Data_Heathrow!$Q:$Q,B41)</f>
        <v>0</v>
      </c>
      <c r="F41" s="16" t="n">
        <f aca="false">INDEX(Data_Heathrow!$T:$T,B41)</f>
        <v>22.2645592590776</v>
      </c>
      <c r="G41" s="16" t="n">
        <f aca="false">IF(AND(Drift_Rate&lt;&gt;0,A41&gt;=Drift_Start),Drift_Rate*(A41-Drift_Start+1)/30,0)</f>
        <v>0</v>
      </c>
      <c r="H41" s="16" t="n">
        <f aca="false">IF(AND(E41=1,QA_Policy="Exclude suspect"),"",IF(AND(E41=1,QA_Policy="Impute with model",ISNUMBER(F41)),F41,D41)+G41)</f>
        <v>23.3</v>
      </c>
      <c r="I41" s="16" t="n">
        <f aca="false">IF(H41="","",H41+Climate_Shift+UHI_Day_Eff)</f>
        <v>25.3</v>
      </c>
      <c r="J41" s="16" t="n">
        <f aca="false">INDEX(Data_Heathrow!$G:$G,B41)</f>
        <v>8.1</v>
      </c>
      <c r="K41" s="16" t="n">
        <f aca="false">J41+Climate_Shift+UHI_Night_Eff</f>
        <v>12.1</v>
      </c>
      <c r="L41" s="16" t="n">
        <f aca="false">IF(INDEX(Data_Heathrow!$I:$I,B41)="","",INDEX(Data_Heathrow!$I:$I,B41))</f>
        <v>15.2</v>
      </c>
      <c r="M41" s="16" t="n">
        <f aca="false">IF(L41="","",L41+Climate_Shift+(UHI_Day_Eff+UHI_Night_Eff)/2)</f>
        <v>18.2</v>
      </c>
      <c r="N41" s="14" t="n">
        <f aca="false">IF(I41="",0,IF(I41&gt;=T_Day,1,0))</f>
        <v>0</v>
      </c>
      <c r="O41" s="14" t="n">
        <f aca="false">IF(K41&gt;=T_Night,1,0)</f>
        <v>0</v>
      </c>
      <c r="P41" s="14" t="n">
        <f aca="false">IF(N41=1,P40+1,0)</f>
        <v>0</v>
      </c>
      <c r="Q41" s="14" t="n">
        <f aca="false">IF(P41&gt;=HW_Days,1,0)</f>
        <v>0</v>
      </c>
      <c r="R41" s="17" t="str">
        <f aca="false">IF(AND(N41=1,I41&gt;=T_Red,O41=1),"RED",IF(AND(Q41=1,O41=1),"AMBER",IF(OR(N41=1,O41=1),"YELLOW","GREEN")))</f>
        <v>GREEN</v>
      </c>
      <c r="S41" s="14" t="n">
        <f aca="false">IF(R41="RED",3,IF(R41="AMBER",2,IF(R41="YELLOW",1,0)))</f>
        <v>0</v>
      </c>
      <c r="T41" s="16" t="n">
        <f aca="false">MAX(0,T40*(1-Decay)+IF(I41="",0,MAX(0,I41-T_Comfort))-Recovery_Rate*MAX(0,T_Night-K41))</f>
        <v>0</v>
      </c>
      <c r="U41" s="14" t="n">
        <f aca="false">IF(T41&gt;Capacity,1,0)</f>
        <v>0</v>
      </c>
      <c r="V41" s="15" t="n">
        <f aca="false">1/(1+EXP(-Logistic_k*(T41-Capacity)))</f>
        <v>0.00247262315663477</v>
      </c>
      <c r="W41" s="16" t="n">
        <f aca="false">IF(M41="",0,Beta*Pop_Share_Sel*(1-Sens_Red)*MAX(0,M41-T_Mort))</f>
        <v>0</v>
      </c>
      <c r="X41" s="16" t="n">
        <f aca="false">IF(ISNUMBER(F41),F41+Coef_B1*(Climate_Shift+G40),"")</f>
        <v>22.2645592590776</v>
      </c>
      <c r="Y41" s="16" t="n">
        <f aca="false">IF(AND(ISNUMBER(X41),H41&lt;&gt;""),H41+Climate_Shift-X41,"")</f>
        <v>1.03544074092243</v>
      </c>
      <c r="Z41" s="16" t="n">
        <f aca="false">IF(ISNUMBER(Y41),ABS(Y41),"")</f>
        <v>1.03544074092243</v>
      </c>
      <c r="AA41" s="16" t="n">
        <f aca="false">IF(COUNT(Z35:Z41)=0,"",AVERAGE(Z35:Z41))</f>
        <v>1.91479079240827</v>
      </c>
      <c r="AB41" s="16" t="n">
        <f aca="false">IF(AD40=1,0,MAX(0,AB40+IF(ISNUMBER(Y41),Y41-CUSUM_k,0)))</f>
        <v>2.54414070320784</v>
      </c>
      <c r="AC41" s="16" t="n">
        <f aca="false">IF(AD40=1,0,MAX(0,AC40+IF(ISNUMBER(Y41),-Y41-CUSUM_k,0)))</f>
        <v>0</v>
      </c>
      <c r="AD41" s="17" t="n">
        <f aca="false">IF(OR(AB41&gt;CUSUM_h,AC41&gt;CUSUM_h,AND(ISNUMBER(AA41),AA41&gt;MAE_Tol)),1,0)</f>
        <v>0</v>
      </c>
      <c r="AE41" s="14" t="n">
        <f aca="false">IF(ISNUMBER(X41),IF(X41+Local_Sensing*UHI_Day_Eff&gt;=T_Day,1,0),0)</f>
        <v>0</v>
      </c>
      <c r="AF41" s="17" t="str">
        <f aca="false">IF(NOT(ISNUMBER(X41)),"n/a",IF(AND(AE41=1,N41=1),"Hit",IF(AND(AE41=0,N41=1),"Miss",IF(AND(AE41=1,N41=0),"False alarm","Correct quiet"))))</f>
        <v>Correct quiet</v>
      </c>
      <c r="AG41" s="14" t="n">
        <f aca="false">IF(H41="",0,IF(H41+Climate_Shift&gt;=T_Day,1,0))</f>
        <v>0</v>
      </c>
      <c r="AH41" s="17" t="n">
        <f aca="false">IF(AND(N41=1,AG41=0),1,0)</f>
        <v>0</v>
      </c>
      <c r="AI41" s="17" t="str">
        <f aca="false">IF(U41=1,"ESCALATE: surge health &amp; transport capacity",IF(AD41=1,"Model drift: retrain, recalibrate, raise change request",IF(S41&gt;=2,"Activate heat plan: outreach and cooling centres",IF(AND(E41=1,OR(N41=1,O41=1)),"Data QA: verify sensor before acting",IF(AF41="Miss","Review missed alert: threshold or model",IF(AH41=1,"Equity: local alert not seen at reference station","Monitor"))))))</f>
        <v>Monitor</v>
      </c>
      <c r="AN41" s="58" t="n">
        <f aca="false">T_Day</f>
        <v>28</v>
      </c>
      <c r="AO41" s="58" t="n">
        <f aca="false">Capacity</f>
        <v>40</v>
      </c>
      <c r="AP41" s="58" t="n">
        <f aca="false">CUSUM_h</f>
        <v>15</v>
      </c>
    </row>
    <row r="42" customFormat="false" ht="15" hidden="false" customHeight="false" outlineLevel="0" collapsed="false">
      <c r="A42" s="14" t="n">
        <v>34</v>
      </c>
      <c r="B42" s="14" t="n">
        <f aca="false">2+(SelYear-1979)*153+A42-1</f>
        <v>6614</v>
      </c>
      <c r="C42" s="55" t="n">
        <f aca="false">INDEX(Data_Heathrow!$A:$A,B42)</f>
        <v>44715</v>
      </c>
      <c r="D42" s="16" t="n">
        <f aca="false">INDEX(Data_Heathrow!$E:$E,B42)</f>
        <v>21.6</v>
      </c>
      <c r="E42" s="17" t="n">
        <f aca="false">INDEX(Data_Heathrow!$Q:$Q,B42)</f>
        <v>0</v>
      </c>
      <c r="F42" s="16" t="n">
        <f aca="false">INDEX(Data_Heathrow!$T:$T,B42)</f>
        <v>23.1717341570954</v>
      </c>
      <c r="G42" s="16" t="n">
        <f aca="false">IF(AND(Drift_Rate&lt;&gt;0,A42&gt;=Drift_Start),Drift_Rate*(A42-Drift_Start+1)/30,0)</f>
        <v>0</v>
      </c>
      <c r="H42" s="16" t="n">
        <f aca="false">IF(AND(E42=1,QA_Policy="Exclude suspect"),"",IF(AND(E42=1,QA_Policy="Impute with model",ISNUMBER(F42)),F42,D42)+G42)</f>
        <v>21.6</v>
      </c>
      <c r="I42" s="16" t="n">
        <f aca="false">IF(H42="","",H42+Climate_Shift+UHI_Day_Eff)</f>
        <v>23.6</v>
      </c>
      <c r="J42" s="16" t="n">
        <f aca="false">INDEX(Data_Heathrow!$G:$G,B42)</f>
        <v>11.2</v>
      </c>
      <c r="K42" s="16" t="n">
        <f aca="false">J42+Climate_Shift+UHI_Night_Eff</f>
        <v>15.2</v>
      </c>
      <c r="L42" s="16" t="n">
        <f aca="false">IF(INDEX(Data_Heathrow!$I:$I,B42)="","",INDEX(Data_Heathrow!$I:$I,B42))</f>
        <v>17.2</v>
      </c>
      <c r="M42" s="16" t="n">
        <f aca="false">IF(L42="","",L42+Climate_Shift+(UHI_Day_Eff+UHI_Night_Eff)/2)</f>
        <v>20.2</v>
      </c>
      <c r="N42" s="14" t="n">
        <f aca="false">IF(I42="",0,IF(I42&gt;=T_Day,1,0))</f>
        <v>0</v>
      </c>
      <c r="O42" s="14" t="n">
        <f aca="false">IF(K42&gt;=T_Night,1,0)</f>
        <v>0</v>
      </c>
      <c r="P42" s="14" t="n">
        <f aca="false">IF(N42=1,P41+1,0)</f>
        <v>0</v>
      </c>
      <c r="Q42" s="14" t="n">
        <f aca="false">IF(P42&gt;=HW_Days,1,0)</f>
        <v>0</v>
      </c>
      <c r="R42" s="17" t="str">
        <f aca="false">IF(AND(N42=1,I42&gt;=T_Red,O42=1),"RED",IF(AND(Q42=1,O42=1),"AMBER",IF(OR(N42=1,O42=1),"YELLOW","GREEN")))</f>
        <v>GREEN</v>
      </c>
      <c r="S42" s="14" t="n">
        <f aca="false">IF(R42="RED",3,IF(R42="AMBER",2,IF(R42="YELLOW",1,0)))</f>
        <v>0</v>
      </c>
      <c r="T42" s="16" t="n">
        <f aca="false">MAX(0,T41*(1-Decay)+IF(I42="",0,MAX(0,I42-T_Comfort))-Recovery_Rate*MAX(0,T_Night-K42))</f>
        <v>0</v>
      </c>
      <c r="U42" s="14" t="n">
        <f aca="false">IF(T42&gt;Capacity,1,0)</f>
        <v>0</v>
      </c>
      <c r="V42" s="15" t="n">
        <f aca="false">1/(1+EXP(-Logistic_k*(T42-Capacity)))</f>
        <v>0.00247262315663477</v>
      </c>
      <c r="W42" s="16" t="n">
        <f aca="false">IF(M42="",0,Beta*Pop_Share_Sel*(1-Sens_Red)*MAX(0,M42-T_Mort))</f>
        <v>0.111079219288174</v>
      </c>
      <c r="X42" s="16" t="n">
        <f aca="false">IF(ISNUMBER(F42),F42+Coef_B1*(Climate_Shift+G41),"")</f>
        <v>23.1717341570954</v>
      </c>
      <c r="Y42" s="16" t="n">
        <f aca="false">IF(AND(ISNUMBER(X42),H42&lt;&gt;""),H42+Climate_Shift-X42,"")</f>
        <v>-1.5717341570954</v>
      </c>
      <c r="Z42" s="16" t="n">
        <f aca="false">IF(ISNUMBER(Y42),ABS(Y42),"")</f>
        <v>1.5717341570954</v>
      </c>
      <c r="AA42" s="16" t="n">
        <f aca="false">IF(COUNT(Z36:Z42)=0,"",AVERAGE(Z36:Z42))</f>
        <v>1.84399509671099</v>
      </c>
      <c r="AB42" s="16" t="n">
        <f aca="false">IF(AD41=1,0,MAX(0,AB41+IF(ISNUMBER(Y42),Y42-CUSUM_k,0)))</f>
        <v>0</v>
      </c>
      <c r="AC42" s="16" t="n">
        <f aca="false">IF(AD41=1,0,MAX(0,AC41+IF(ISNUMBER(Y42),-Y42-CUSUM_k,0)))</f>
        <v>0.571734157095399</v>
      </c>
      <c r="AD42" s="17" t="n">
        <f aca="false">IF(OR(AB42&gt;CUSUM_h,AC42&gt;CUSUM_h,AND(ISNUMBER(AA42),AA42&gt;MAE_Tol)),1,0)</f>
        <v>0</v>
      </c>
      <c r="AE42" s="14" t="n">
        <f aca="false">IF(ISNUMBER(X42),IF(X42+Local_Sensing*UHI_Day_Eff&gt;=T_Day,1,0),0)</f>
        <v>0</v>
      </c>
      <c r="AF42" s="17" t="str">
        <f aca="false">IF(NOT(ISNUMBER(X42)),"n/a",IF(AND(AE42=1,N42=1),"Hit",IF(AND(AE42=0,N42=1),"Miss",IF(AND(AE42=1,N42=0),"False alarm","Correct quiet"))))</f>
        <v>Correct quiet</v>
      </c>
      <c r="AG42" s="14" t="n">
        <f aca="false">IF(H42="",0,IF(H42+Climate_Shift&gt;=T_Day,1,0))</f>
        <v>0</v>
      </c>
      <c r="AH42" s="17" t="n">
        <f aca="false">IF(AND(N42=1,AG42=0),1,0)</f>
        <v>0</v>
      </c>
      <c r="AI42" s="17" t="str">
        <f aca="false">IF(U42=1,"ESCALATE: surge health &amp; transport capacity",IF(AD42=1,"Model drift: retrain, recalibrate, raise change request",IF(S42&gt;=2,"Activate heat plan: outreach and cooling centres",IF(AND(E42=1,OR(N42=1,O42=1)),"Data QA: verify sensor before acting",IF(AF42="Miss","Review missed alert: threshold or model",IF(AH42=1,"Equity: local alert not seen at reference station","Monitor"))))))</f>
        <v>Monitor</v>
      </c>
      <c r="AN42" s="58" t="n">
        <f aca="false">T_Day</f>
        <v>28</v>
      </c>
      <c r="AO42" s="58" t="n">
        <f aca="false">Capacity</f>
        <v>40</v>
      </c>
      <c r="AP42" s="58" t="n">
        <f aca="false">CUSUM_h</f>
        <v>15</v>
      </c>
    </row>
    <row r="43" customFormat="false" ht="15" hidden="false" customHeight="false" outlineLevel="0" collapsed="false">
      <c r="A43" s="14" t="n">
        <v>35</v>
      </c>
      <c r="B43" s="14" t="n">
        <f aca="false">2+(SelYear-1979)*153+A43-1</f>
        <v>6615</v>
      </c>
      <c r="C43" s="55" t="n">
        <f aca="false">INDEX(Data_Heathrow!$A:$A,B43)</f>
        <v>44716</v>
      </c>
      <c r="D43" s="16" t="n">
        <f aca="false">INDEX(Data_Heathrow!$E:$E,B43)</f>
        <v>15.2</v>
      </c>
      <c r="E43" s="17" t="n">
        <f aca="false">INDEX(Data_Heathrow!$Q:$Q,B43)</f>
        <v>1</v>
      </c>
      <c r="F43" s="16" t="n">
        <f aca="false">INDEX(Data_Heathrow!$T:$T,B43)</f>
        <v>21.7161177396549</v>
      </c>
      <c r="G43" s="16" t="n">
        <f aca="false">IF(AND(Drift_Rate&lt;&gt;0,A43&gt;=Drift_Start),Drift_Rate*(A43-Drift_Start+1)/30,0)</f>
        <v>0</v>
      </c>
      <c r="H43" s="16" t="n">
        <f aca="false">IF(AND(E43=1,QA_Policy="Exclude suspect"),"",IF(AND(E43=1,QA_Policy="Impute with model",ISNUMBER(F43)),F43,D43)+G43)</f>
        <v>15.2</v>
      </c>
      <c r="I43" s="16" t="n">
        <f aca="false">IF(H43="","",H43+Climate_Shift+UHI_Day_Eff)</f>
        <v>17.2</v>
      </c>
      <c r="J43" s="16" t="n">
        <f aca="false">INDEX(Data_Heathrow!$G:$G,B43)</f>
        <v>12.1</v>
      </c>
      <c r="K43" s="16" t="n">
        <f aca="false">J43+Climate_Shift+UHI_Night_Eff</f>
        <v>16.1</v>
      </c>
      <c r="L43" s="16" t="n">
        <f aca="false">IF(INDEX(Data_Heathrow!$I:$I,B43)="","",INDEX(Data_Heathrow!$I:$I,B43))</f>
        <v>16.9</v>
      </c>
      <c r="M43" s="16" t="n">
        <f aca="false">IF(L43="","",L43+Climate_Shift+(UHI_Day_Eff+UHI_Night_Eff)/2)</f>
        <v>19.9</v>
      </c>
      <c r="N43" s="14" t="n">
        <f aca="false">IF(I43="",0,IF(I43&gt;=T_Day,1,0))</f>
        <v>0</v>
      </c>
      <c r="O43" s="14" t="n">
        <f aca="false">IF(K43&gt;=T_Night,1,0)</f>
        <v>0</v>
      </c>
      <c r="P43" s="14" t="n">
        <f aca="false">IF(N43=1,P42+1,0)</f>
        <v>0</v>
      </c>
      <c r="Q43" s="14" t="n">
        <f aca="false">IF(P43&gt;=HW_Days,1,0)</f>
        <v>0</v>
      </c>
      <c r="R43" s="17" t="str">
        <f aca="false">IF(AND(N43=1,I43&gt;=T_Red,O43=1),"RED",IF(AND(Q43=1,O43=1),"AMBER",IF(OR(N43=1,O43=1),"YELLOW","GREEN")))</f>
        <v>GREEN</v>
      </c>
      <c r="S43" s="14" t="n">
        <f aca="false">IF(R43="RED",3,IF(R43="AMBER",2,IF(R43="YELLOW",1,0)))</f>
        <v>0</v>
      </c>
      <c r="T43" s="16" t="n">
        <f aca="false">MAX(0,T42*(1-Decay)+IF(I43="",0,MAX(0,I43-T_Comfort))-Recovery_Rate*MAX(0,T_Night-K43))</f>
        <v>0</v>
      </c>
      <c r="U43" s="14" t="n">
        <f aca="false">IF(T43&gt;Capacity,1,0)</f>
        <v>0</v>
      </c>
      <c r="V43" s="15" t="n">
        <f aca="false">1/(1+EXP(-Logistic_k*(T43-Capacity)))</f>
        <v>0.00247262315663477</v>
      </c>
      <c r="W43" s="16" t="n">
        <f aca="false">IF(M43="",0,Beta*Pop_Share_Sel*(1-Sens_Red)*MAX(0,M43-T_Mort))</f>
        <v>0</v>
      </c>
      <c r="X43" s="16" t="n">
        <f aca="false">IF(ISNUMBER(F43),F43+Coef_B1*(Climate_Shift+G42),"")</f>
        <v>21.7161177396549</v>
      </c>
      <c r="Y43" s="16" t="n">
        <f aca="false">IF(AND(ISNUMBER(X43),H43&lt;&gt;""),H43+Climate_Shift-X43,"")</f>
        <v>-6.51611773965491</v>
      </c>
      <c r="Z43" s="16" t="n">
        <f aca="false">IF(ISNUMBER(Y43),ABS(Y43),"")</f>
        <v>6.51611773965491</v>
      </c>
      <c r="AA43" s="16" t="n">
        <f aca="false">IF(COUNT(Z37:Z43)=0,"",AVERAGE(Z37:Z43))</f>
        <v>2.3646299063518</v>
      </c>
      <c r="AB43" s="16" t="n">
        <f aca="false">IF(AD42=1,0,MAX(0,AB42+IF(ISNUMBER(Y43),Y43-CUSUM_k,0)))</f>
        <v>0</v>
      </c>
      <c r="AC43" s="16" t="n">
        <f aca="false">IF(AD42=1,0,MAX(0,AC42+IF(ISNUMBER(Y43),-Y43-CUSUM_k,0)))</f>
        <v>6.08785189675031</v>
      </c>
      <c r="AD43" s="17" t="n">
        <f aca="false">IF(OR(AB43&gt;CUSUM_h,AC43&gt;CUSUM_h,AND(ISNUMBER(AA43),AA43&gt;MAE_Tol)),1,0)</f>
        <v>0</v>
      </c>
      <c r="AE43" s="14" t="n">
        <f aca="false">IF(ISNUMBER(X43),IF(X43+Local_Sensing*UHI_Day_Eff&gt;=T_Day,1,0),0)</f>
        <v>0</v>
      </c>
      <c r="AF43" s="17" t="str">
        <f aca="false">IF(NOT(ISNUMBER(X43)),"n/a",IF(AND(AE43=1,N43=1),"Hit",IF(AND(AE43=0,N43=1),"Miss",IF(AND(AE43=1,N43=0),"False alarm","Correct quiet"))))</f>
        <v>Correct quiet</v>
      </c>
      <c r="AG43" s="14" t="n">
        <f aca="false">IF(H43="",0,IF(H43+Climate_Shift&gt;=T_Day,1,0))</f>
        <v>0</v>
      </c>
      <c r="AH43" s="17" t="n">
        <f aca="false">IF(AND(N43=1,AG43=0),1,0)</f>
        <v>0</v>
      </c>
      <c r="AI43" s="17" t="str">
        <f aca="false">IF(U43=1,"ESCALATE: surge health &amp; transport capacity",IF(AD43=1,"Model drift: retrain, recalibrate, raise change request",IF(S43&gt;=2,"Activate heat plan: outreach and cooling centres",IF(AND(E43=1,OR(N43=1,O43=1)),"Data QA: verify sensor before acting",IF(AF43="Miss","Review missed alert: threshold or model",IF(AH43=1,"Equity: local alert not seen at reference station","Monitor"))))))</f>
        <v>Monitor</v>
      </c>
      <c r="AN43" s="58" t="n">
        <f aca="false">T_Day</f>
        <v>28</v>
      </c>
      <c r="AO43" s="58" t="n">
        <f aca="false">Capacity</f>
        <v>40</v>
      </c>
      <c r="AP43" s="58" t="n">
        <f aca="false">CUSUM_h</f>
        <v>15</v>
      </c>
    </row>
    <row r="44" customFormat="false" ht="15" hidden="false" customHeight="false" outlineLevel="0" collapsed="false">
      <c r="A44" s="14" t="n">
        <v>36</v>
      </c>
      <c r="B44" s="14" t="n">
        <f aca="false">2+(SelYear-1979)*153+A44-1</f>
        <v>6616</v>
      </c>
      <c r="C44" s="55" t="n">
        <f aca="false">INDEX(Data_Heathrow!$A:$A,B44)</f>
        <v>44717</v>
      </c>
      <c r="D44" s="16" t="n">
        <f aca="false">INDEX(Data_Heathrow!$E:$E,B44)</f>
        <v>19</v>
      </c>
      <c r="E44" s="17" t="n">
        <f aca="false">INDEX(Data_Heathrow!$Q:$Q,B44)</f>
        <v>0</v>
      </c>
      <c r="F44" s="16" t="n">
        <f aca="false">INDEX(Data_Heathrow!$T:$T,B44)</f>
        <v>16.5350866934499</v>
      </c>
      <c r="G44" s="16" t="n">
        <f aca="false">IF(AND(Drift_Rate&lt;&gt;0,A44&gt;=Drift_Start),Drift_Rate*(A44-Drift_Start+1)/30,0)</f>
        <v>0</v>
      </c>
      <c r="H44" s="16" t="n">
        <f aca="false">IF(AND(E44=1,QA_Policy="Exclude suspect"),"",IF(AND(E44=1,QA_Policy="Impute with model",ISNUMBER(F44)),F44,D44)+G44)</f>
        <v>19</v>
      </c>
      <c r="I44" s="16" t="n">
        <f aca="false">IF(H44="","",H44+Climate_Shift+UHI_Day_Eff)</f>
        <v>21</v>
      </c>
      <c r="J44" s="16" t="n">
        <f aca="false">INDEX(Data_Heathrow!$G:$G,B44)</f>
        <v>11</v>
      </c>
      <c r="K44" s="16" t="n">
        <f aca="false">J44+Climate_Shift+UHI_Night_Eff</f>
        <v>15</v>
      </c>
      <c r="L44" s="16" t="n">
        <f aca="false">IF(INDEX(Data_Heathrow!$I:$I,B44)="","",INDEX(Data_Heathrow!$I:$I,B44))</f>
        <v>13.1</v>
      </c>
      <c r="M44" s="16" t="n">
        <f aca="false">IF(L44="","",L44+Climate_Shift+(UHI_Day_Eff+UHI_Night_Eff)/2)</f>
        <v>16.1</v>
      </c>
      <c r="N44" s="14" t="n">
        <f aca="false">IF(I44="",0,IF(I44&gt;=T_Day,1,0))</f>
        <v>0</v>
      </c>
      <c r="O44" s="14" t="n">
        <f aca="false">IF(K44&gt;=T_Night,1,0)</f>
        <v>0</v>
      </c>
      <c r="P44" s="14" t="n">
        <f aca="false">IF(N44=1,P43+1,0)</f>
        <v>0</v>
      </c>
      <c r="Q44" s="14" t="n">
        <f aca="false">IF(P44&gt;=HW_Days,1,0)</f>
        <v>0</v>
      </c>
      <c r="R44" s="17" t="str">
        <f aca="false">IF(AND(N44=1,I44&gt;=T_Red,O44=1),"RED",IF(AND(Q44=1,O44=1),"AMBER",IF(OR(N44=1,O44=1),"YELLOW","GREEN")))</f>
        <v>GREEN</v>
      </c>
      <c r="S44" s="14" t="n">
        <f aca="false">IF(R44="RED",3,IF(R44="AMBER",2,IF(R44="YELLOW",1,0)))</f>
        <v>0</v>
      </c>
      <c r="T44" s="16" t="n">
        <f aca="false">MAX(0,T43*(1-Decay)+IF(I44="",0,MAX(0,I44-T_Comfort))-Recovery_Rate*MAX(0,T_Night-K44))</f>
        <v>0</v>
      </c>
      <c r="U44" s="14" t="n">
        <f aca="false">IF(T44&gt;Capacity,1,0)</f>
        <v>0</v>
      </c>
      <c r="V44" s="15" t="n">
        <f aca="false">1/(1+EXP(-Logistic_k*(T44-Capacity)))</f>
        <v>0.00247262315663477</v>
      </c>
      <c r="W44" s="16" t="n">
        <f aca="false">IF(M44="",0,Beta*Pop_Share_Sel*(1-Sens_Red)*MAX(0,M44-T_Mort))</f>
        <v>0</v>
      </c>
      <c r="X44" s="16" t="n">
        <f aca="false">IF(ISNUMBER(F44),F44+Coef_B1*(Climate_Shift+G43),"")</f>
        <v>16.5350866934499</v>
      </c>
      <c r="Y44" s="16" t="n">
        <f aca="false">IF(AND(ISNUMBER(X44),H44&lt;&gt;""),H44+Climate_Shift-X44,"")</f>
        <v>2.46491330655013</v>
      </c>
      <c r="Z44" s="16" t="n">
        <f aca="false">IF(ISNUMBER(Y44),ABS(Y44),"")</f>
        <v>2.46491330655013</v>
      </c>
      <c r="AA44" s="16" t="n">
        <f aca="false">IF(COUNT(Z38:Z44)=0,"",AVERAGE(Z38:Z44))</f>
        <v>2.42151084813088</v>
      </c>
      <c r="AB44" s="16" t="n">
        <f aca="false">IF(AD43=1,0,MAX(0,AB43+IF(ISNUMBER(Y44),Y44-CUSUM_k,0)))</f>
        <v>1.46491330655013</v>
      </c>
      <c r="AC44" s="16" t="n">
        <f aca="false">IF(AD43=1,0,MAX(0,AC43+IF(ISNUMBER(Y44),-Y44-CUSUM_k,0)))</f>
        <v>2.62293859020017</v>
      </c>
      <c r="AD44" s="17" t="n">
        <f aca="false">IF(OR(AB44&gt;CUSUM_h,AC44&gt;CUSUM_h,AND(ISNUMBER(AA44),AA44&gt;MAE_Tol)),1,0)</f>
        <v>0</v>
      </c>
      <c r="AE44" s="14" t="n">
        <f aca="false">IF(ISNUMBER(X44),IF(X44+Local_Sensing*UHI_Day_Eff&gt;=T_Day,1,0),0)</f>
        <v>0</v>
      </c>
      <c r="AF44" s="17" t="str">
        <f aca="false">IF(NOT(ISNUMBER(X44)),"n/a",IF(AND(AE44=1,N44=1),"Hit",IF(AND(AE44=0,N44=1),"Miss",IF(AND(AE44=1,N44=0),"False alarm","Correct quiet"))))</f>
        <v>Correct quiet</v>
      </c>
      <c r="AG44" s="14" t="n">
        <f aca="false">IF(H44="",0,IF(H44+Climate_Shift&gt;=T_Day,1,0))</f>
        <v>0</v>
      </c>
      <c r="AH44" s="17" t="n">
        <f aca="false">IF(AND(N44=1,AG44=0),1,0)</f>
        <v>0</v>
      </c>
      <c r="AI44" s="17" t="str">
        <f aca="false">IF(U44=1,"ESCALATE: surge health &amp; transport capacity",IF(AD44=1,"Model drift: retrain, recalibrate, raise change request",IF(S44&gt;=2,"Activate heat plan: outreach and cooling centres",IF(AND(E44=1,OR(N44=1,O44=1)),"Data QA: verify sensor before acting",IF(AF44="Miss","Review missed alert: threshold or model",IF(AH44=1,"Equity: local alert not seen at reference station","Monitor"))))))</f>
        <v>Monitor</v>
      </c>
      <c r="AN44" s="58" t="n">
        <f aca="false">T_Day</f>
        <v>28</v>
      </c>
      <c r="AO44" s="58" t="n">
        <f aca="false">Capacity</f>
        <v>40</v>
      </c>
      <c r="AP44" s="58" t="n">
        <f aca="false">CUSUM_h</f>
        <v>15</v>
      </c>
    </row>
    <row r="45" customFormat="false" ht="15" hidden="false" customHeight="false" outlineLevel="0" collapsed="false">
      <c r="A45" s="14" t="n">
        <v>37</v>
      </c>
      <c r="B45" s="14" t="n">
        <f aca="false">2+(SelYear-1979)*153+A45-1</f>
        <v>6617</v>
      </c>
      <c r="C45" s="55" t="n">
        <f aca="false">INDEX(Data_Heathrow!$A:$A,B45)</f>
        <v>44718</v>
      </c>
      <c r="D45" s="16" t="n">
        <f aca="false">INDEX(Data_Heathrow!$E:$E,B45)</f>
        <v>22.4</v>
      </c>
      <c r="E45" s="17" t="n">
        <f aca="false">INDEX(Data_Heathrow!$Q:$Q,B45)</f>
        <v>0</v>
      </c>
      <c r="F45" s="16" t="n">
        <f aca="false">INDEX(Data_Heathrow!$T:$T,B45)</f>
        <v>19.5293700274028</v>
      </c>
      <c r="G45" s="16" t="n">
        <f aca="false">IF(AND(Drift_Rate&lt;&gt;0,A45&gt;=Drift_Start),Drift_Rate*(A45-Drift_Start+1)/30,0)</f>
        <v>0</v>
      </c>
      <c r="H45" s="16" t="n">
        <f aca="false">IF(AND(E45=1,QA_Policy="Exclude suspect"),"",IF(AND(E45=1,QA_Policy="Impute with model",ISNUMBER(F45)),F45,D45)+G45)</f>
        <v>22.4</v>
      </c>
      <c r="I45" s="16" t="n">
        <f aca="false">IF(H45="","",H45+Climate_Shift+UHI_Day_Eff)</f>
        <v>24.4</v>
      </c>
      <c r="J45" s="16" t="n">
        <f aca="false">INDEX(Data_Heathrow!$G:$G,B45)</f>
        <v>11.7</v>
      </c>
      <c r="K45" s="16" t="n">
        <f aca="false">J45+Climate_Shift+UHI_Night_Eff</f>
        <v>15.7</v>
      </c>
      <c r="L45" s="16" t="n">
        <f aca="false">IF(INDEX(Data_Heathrow!$I:$I,B45)="","",INDEX(Data_Heathrow!$I:$I,B45))</f>
        <v>15.3</v>
      </c>
      <c r="M45" s="16" t="n">
        <f aca="false">IF(L45="","",L45+Climate_Shift+(UHI_Day_Eff+UHI_Night_Eff)/2)</f>
        <v>18.3</v>
      </c>
      <c r="N45" s="14" t="n">
        <f aca="false">IF(I45="",0,IF(I45&gt;=T_Day,1,0))</f>
        <v>0</v>
      </c>
      <c r="O45" s="14" t="n">
        <f aca="false">IF(K45&gt;=T_Night,1,0)</f>
        <v>0</v>
      </c>
      <c r="P45" s="14" t="n">
        <f aca="false">IF(N45=1,P44+1,0)</f>
        <v>0</v>
      </c>
      <c r="Q45" s="14" t="n">
        <f aca="false">IF(P45&gt;=HW_Days,1,0)</f>
        <v>0</v>
      </c>
      <c r="R45" s="17" t="str">
        <f aca="false">IF(AND(N45=1,I45&gt;=T_Red,O45=1),"RED",IF(AND(Q45=1,O45=1),"AMBER",IF(OR(N45=1,O45=1),"YELLOW","GREEN")))</f>
        <v>GREEN</v>
      </c>
      <c r="S45" s="14" t="n">
        <f aca="false">IF(R45="RED",3,IF(R45="AMBER",2,IF(R45="YELLOW",1,0)))</f>
        <v>0</v>
      </c>
      <c r="T45" s="16" t="n">
        <f aca="false">MAX(0,T44*(1-Decay)+IF(I45="",0,MAX(0,I45-T_Comfort))-Recovery_Rate*MAX(0,T_Night-K45))</f>
        <v>0</v>
      </c>
      <c r="U45" s="14" t="n">
        <f aca="false">IF(T45&gt;Capacity,1,0)</f>
        <v>0</v>
      </c>
      <c r="V45" s="15" t="n">
        <f aca="false">1/(1+EXP(-Logistic_k*(T45-Capacity)))</f>
        <v>0.00247262315663477</v>
      </c>
      <c r="W45" s="16" t="n">
        <f aca="false">IF(M45="",0,Beta*Pop_Share_Sel*(1-Sens_Red)*MAX(0,M45-T_Mort))</f>
        <v>0</v>
      </c>
      <c r="X45" s="16" t="n">
        <f aca="false">IF(ISNUMBER(F45),F45+Coef_B1*(Climate_Shift+G44),"")</f>
        <v>19.5293700274028</v>
      </c>
      <c r="Y45" s="16" t="n">
        <f aca="false">IF(AND(ISNUMBER(X45),H45&lt;&gt;""),H45+Climate_Shift-X45,"")</f>
        <v>2.87062997259719</v>
      </c>
      <c r="Z45" s="16" t="n">
        <f aca="false">IF(ISNUMBER(Y45),ABS(Y45),"")</f>
        <v>2.87062997259719</v>
      </c>
      <c r="AA45" s="16" t="n">
        <f aca="false">IF(COUNT(Z39:Z45)=0,"",AVERAGE(Z39:Z45))</f>
        <v>2.70964798272935</v>
      </c>
      <c r="AB45" s="16" t="n">
        <f aca="false">IF(AD44=1,0,MAX(0,AB44+IF(ISNUMBER(Y45),Y45-CUSUM_k,0)))</f>
        <v>3.33554327914732</v>
      </c>
      <c r="AC45" s="16" t="n">
        <f aca="false">IF(AD44=1,0,MAX(0,AC44+IF(ISNUMBER(Y45),-Y45-CUSUM_k,0)))</f>
        <v>0</v>
      </c>
      <c r="AD45" s="17" t="n">
        <f aca="false">IF(OR(AB45&gt;CUSUM_h,AC45&gt;CUSUM_h,AND(ISNUMBER(AA45),AA45&gt;MAE_Tol)),1,0)</f>
        <v>0</v>
      </c>
      <c r="AE45" s="14" t="n">
        <f aca="false">IF(ISNUMBER(X45),IF(X45+Local_Sensing*UHI_Day_Eff&gt;=T_Day,1,0),0)</f>
        <v>0</v>
      </c>
      <c r="AF45" s="17" t="str">
        <f aca="false">IF(NOT(ISNUMBER(X45)),"n/a",IF(AND(AE45=1,N45=1),"Hit",IF(AND(AE45=0,N45=1),"Miss",IF(AND(AE45=1,N45=0),"False alarm","Correct quiet"))))</f>
        <v>Correct quiet</v>
      </c>
      <c r="AG45" s="14" t="n">
        <f aca="false">IF(H45="",0,IF(H45+Climate_Shift&gt;=T_Day,1,0))</f>
        <v>0</v>
      </c>
      <c r="AH45" s="17" t="n">
        <f aca="false">IF(AND(N45=1,AG45=0),1,0)</f>
        <v>0</v>
      </c>
      <c r="AI45" s="17" t="str">
        <f aca="false">IF(U45=1,"ESCALATE: surge health &amp; transport capacity",IF(AD45=1,"Model drift: retrain, recalibrate, raise change request",IF(S45&gt;=2,"Activate heat plan: outreach and cooling centres",IF(AND(E45=1,OR(N45=1,O45=1)),"Data QA: verify sensor before acting",IF(AF45="Miss","Review missed alert: threshold or model",IF(AH45=1,"Equity: local alert not seen at reference station","Monitor"))))))</f>
        <v>Monitor</v>
      </c>
      <c r="AN45" s="58" t="n">
        <f aca="false">T_Day</f>
        <v>28</v>
      </c>
      <c r="AO45" s="58" t="n">
        <f aca="false">Capacity</f>
        <v>40</v>
      </c>
      <c r="AP45" s="58" t="n">
        <f aca="false">CUSUM_h</f>
        <v>15</v>
      </c>
    </row>
    <row r="46" customFormat="false" ht="15" hidden="false" customHeight="false" outlineLevel="0" collapsed="false">
      <c r="A46" s="14" t="n">
        <v>38</v>
      </c>
      <c r="B46" s="14" t="n">
        <f aca="false">2+(SelYear-1979)*153+A46-1</f>
        <v>6618</v>
      </c>
      <c r="C46" s="55" t="n">
        <f aca="false">INDEX(Data_Heathrow!$A:$A,B46)</f>
        <v>44719</v>
      </c>
      <c r="D46" s="16" t="n">
        <f aca="false">INDEX(Data_Heathrow!$E:$E,B46)</f>
        <v>23.5</v>
      </c>
      <c r="E46" s="17" t="n">
        <f aca="false">INDEX(Data_Heathrow!$Q:$Q,B46)</f>
        <v>0</v>
      </c>
      <c r="F46" s="16" t="n">
        <f aca="false">INDEX(Data_Heathrow!$T:$T,B46)</f>
        <v>22.2649314523335</v>
      </c>
      <c r="G46" s="16" t="n">
        <f aca="false">IF(AND(Drift_Rate&lt;&gt;0,A46&gt;=Drift_Start),Drift_Rate*(A46-Drift_Start+1)/30,0)</f>
        <v>0</v>
      </c>
      <c r="H46" s="16" t="n">
        <f aca="false">IF(AND(E46=1,QA_Policy="Exclude suspect"),"",IF(AND(E46=1,QA_Policy="Impute with model",ISNUMBER(F46)),F46,D46)+G46)</f>
        <v>23.5</v>
      </c>
      <c r="I46" s="16" t="n">
        <f aca="false">IF(H46="","",H46+Climate_Shift+UHI_Day_Eff)</f>
        <v>25.5</v>
      </c>
      <c r="J46" s="16" t="n">
        <f aca="false">INDEX(Data_Heathrow!$G:$G,B46)</f>
        <v>9.6</v>
      </c>
      <c r="K46" s="16" t="n">
        <f aca="false">J46+Climate_Shift+UHI_Night_Eff</f>
        <v>13.6</v>
      </c>
      <c r="L46" s="16" t="n">
        <f aca="false">IF(INDEX(Data_Heathrow!$I:$I,B46)="","",INDEX(Data_Heathrow!$I:$I,B46))</f>
        <v>16</v>
      </c>
      <c r="M46" s="16" t="n">
        <f aca="false">IF(L46="","",L46+Climate_Shift+(UHI_Day_Eff+UHI_Night_Eff)/2)</f>
        <v>19</v>
      </c>
      <c r="N46" s="14" t="n">
        <f aca="false">IF(I46="",0,IF(I46&gt;=T_Day,1,0))</f>
        <v>0</v>
      </c>
      <c r="O46" s="14" t="n">
        <f aca="false">IF(K46&gt;=T_Night,1,0)</f>
        <v>0</v>
      </c>
      <c r="P46" s="14" t="n">
        <f aca="false">IF(N46=1,P45+1,0)</f>
        <v>0</v>
      </c>
      <c r="Q46" s="14" t="n">
        <f aca="false">IF(P46&gt;=HW_Days,1,0)</f>
        <v>0</v>
      </c>
      <c r="R46" s="17" t="str">
        <f aca="false">IF(AND(N46=1,I46&gt;=T_Red,O46=1),"RED",IF(AND(Q46=1,O46=1),"AMBER",IF(OR(N46=1,O46=1),"YELLOW","GREEN")))</f>
        <v>GREEN</v>
      </c>
      <c r="S46" s="14" t="n">
        <f aca="false">IF(R46="RED",3,IF(R46="AMBER",2,IF(R46="YELLOW",1,0)))</f>
        <v>0</v>
      </c>
      <c r="T46" s="16" t="n">
        <f aca="false">MAX(0,T45*(1-Decay)+IF(I46="",0,MAX(0,I46-T_Comfort))-Recovery_Rate*MAX(0,T_Night-K46))</f>
        <v>0</v>
      </c>
      <c r="U46" s="14" t="n">
        <f aca="false">IF(T46&gt;Capacity,1,0)</f>
        <v>0</v>
      </c>
      <c r="V46" s="15" t="n">
        <f aca="false">1/(1+EXP(-Logistic_k*(T46-Capacity)))</f>
        <v>0.00247262315663477</v>
      </c>
      <c r="W46" s="16" t="n">
        <f aca="false">IF(M46="",0,Beta*Pop_Share_Sel*(1-Sens_Red)*MAX(0,M46-T_Mort))</f>
        <v>0</v>
      </c>
      <c r="X46" s="16" t="n">
        <f aca="false">IF(ISNUMBER(F46),F46+Coef_B1*(Climate_Shift+G45),"")</f>
        <v>22.2649314523335</v>
      </c>
      <c r="Y46" s="16" t="n">
        <f aca="false">IF(AND(ISNUMBER(X46),H46&lt;&gt;""),H46+Climate_Shift-X46,"")</f>
        <v>1.23506854766654</v>
      </c>
      <c r="Z46" s="16" t="n">
        <f aca="false">IF(ISNUMBER(Y46),ABS(Y46),"")</f>
        <v>1.23506854766654</v>
      </c>
      <c r="AA46" s="16" t="n">
        <f aca="false">IF(COUNT(Z40:Z46)=0,"",AVERAGE(Z40:Z46))</f>
        <v>2.6890382593827</v>
      </c>
      <c r="AB46" s="16" t="n">
        <f aca="false">IF(AD45=1,0,MAX(0,AB45+IF(ISNUMBER(Y46),Y46-CUSUM_k,0)))</f>
        <v>3.57061182681385</v>
      </c>
      <c r="AC46" s="16" t="n">
        <f aca="false">IF(AD45=1,0,MAX(0,AC45+IF(ISNUMBER(Y46),-Y46-CUSUM_k,0)))</f>
        <v>0</v>
      </c>
      <c r="AD46" s="17" t="n">
        <f aca="false">IF(OR(AB46&gt;CUSUM_h,AC46&gt;CUSUM_h,AND(ISNUMBER(AA46),AA46&gt;MAE_Tol)),1,0)</f>
        <v>0</v>
      </c>
      <c r="AE46" s="14" t="n">
        <f aca="false">IF(ISNUMBER(X46),IF(X46+Local_Sensing*UHI_Day_Eff&gt;=T_Day,1,0),0)</f>
        <v>0</v>
      </c>
      <c r="AF46" s="17" t="str">
        <f aca="false">IF(NOT(ISNUMBER(X46)),"n/a",IF(AND(AE46=1,N46=1),"Hit",IF(AND(AE46=0,N46=1),"Miss",IF(AND(AE46=1,N46=0),"False alarm","Correct quiet"))))</f>
        <v>Correct quiet</v>
      </c>
      <c r="AG46" s="14" t="n">
        <f aca="false">IF(H46="",0,IF(H46+Climate_Shift&gt;=T_Day,1,0))</f>
        <v>0</v>
      </c>
      <c r="AH46" s="17" t="n">
        <f aca="false">IF(AND(N46=1,AG46=0),1,0)</f>
        <v>0</v>
      </c>
      <c r="AI46" s="17" t="str">
        <f aca="false">IF(U46=1,"ESCALATE: surge health &amp; transport capacity",IF(AD46=1,"Model drift: retrain, recalibrate, raise change request",IF(S46&gt;=2,"Activate heat plan: outreach and cooling centres",IF(AND(E46=1,OR(N46=1,O46=1)),"Data QA: verify sensor before acting",IF(AF46="Miss","Review missed alert: threshold or model",IF(AH46=1,"Equity: local alert not seen at reference station","Monitor"))))))</f>
        <v>Monitor</v>
      </c>
      <c r="AN46" s="58" t="n">
        <f aca="false">T_Day</f>
        <v>28</v>
      </c>
      <c r="AO46" s="58" t="n">
        <f aca="false">Capacity</f>
        <v>40</v>
      </c>
      <c r="AP46" s="58" t="n">
        <f aca="false">CUSUM_h</f>
        <v>15</v>
      </c>
    </row>
    <row r="47" customFormat="false" ht="15" hidden="false" customHeight="false" outlineLevel="0" collapsed="false">
      <c r="A47" s="14" t="n">
        <v>39</v>
      </c>
      <c r="B47" s="14" t="n">
        <f aca="false">2+(SelYear-1979)*153+A47-1</f>
        <v>6619</v>
      </c>
      <c r="C47" s="55" t="n">
        <f aca="false">INDEX(Data_Heathrow!$A:$A,B47)</f>
        <v>44720</v>
      </c>
      <c r="D47" s="16" t="n">
        <f aca="false">INDEX(Data_Heathrow!$E:$E,B47)</f>
        <v>21</v>
      </c>
      <c r="E47" s="17" t="n">
        <f aca="false">INDEX(Data_Heathrow!$Q:$Q,B47)</f>
        <v>0</v>
      </c>
      <c r="F47" s="16" t="n">
        <f aca="false">INDEX(Data_Heathrow!$T:$T,B47)</f>
        <v>23.0752318702418</v>
      </c>
      <c r="G47" s="16" t="n">
        <f aca="false">IF(AND(Drift_Rate&lt;&gt;0,A47&gt;=Drift_Start),Drift_Rate*(A47-Drift_Start+1)/30,0)</f>
        <v>0</v>
      </c>
      <c r="H47" s="16" t="n">
        <f aca="false">IF(AND(E47=1,QA_Policy="Exclude suspect"),"",IF(AND(E47=1,QA_Policy="Impute with model",ISNUMBER(F47)),F47,D47)+G47)</f>
        <v>21</v>
      </c>
      <c r="I47" s="16" t="n">
        <f aca="false">IF(H47="","",H47+Climate_Shift+UHI_Day_Eff)</f>
        <v>23</v>
      </c>
      <c r="J47" s="16" t="n">
        <f aca="false">INDEX(Data_Heathrow!$G:$G,B47)</f>
        <v>14.1</v>
      </c>
      <c r="K47" s="16" t="n">
        <f aca="false">J47+Climate_Shift+UHI_Night_Eff</f>
        <v>18.1</v>
      </c>
      <c r="L47" s="16" t="n">
        <f aca="false">IF(INDEX(Data_Heathrow!$I:$I,B47)="","",INDEX(Data_Heathrow!$I:$I,B47))</f>
        <v>18.8</v>
      </c>
      <c r="M47" s="16" t="n">
        <f aca="false">IF(L47="","",L47+Climate_Shift+(UHI_Day_Eff+UHI_Night_Eff)/2)</f>
        <v>21.8</v>
      </c>
      <c r="N47" s="14" t="n">
        <f aca="false">IF(I47="",0,IF(I47&gt;=T_Day,1,0))</f>
        <v>0</v>
      </c>
      <c r="O47" s="14" t="n">
        <f aca="false">IF(K47&gt;=T_Night,1,0)</f>
        <v>1</v>
      </c>
      <c r="P47" s="14" t="n">
        <f aca="false">IF(N47=1,P46+1,0)</f>
        <v>0</v>
      </c>
      <c r="Q47" s="14" t="n">
        <f aca="false">IF(P47&gt;=HW_Days,1,0)</f>
        <v>0</v>
      </c>
      <c r="R47" s="17" t="str">
        <f aca="false">IF(AND(N47=1,I47&gt;=T_Red,O47=1),"RED",IF(AND(Q47=1,O47=1),"AMBER",IF(OR(N47=1,O47=1),"YELLOW","GREEN")))</f>
        <v>YELLOW</v>
      </c>
      <c r="S47" s="14" t="n">
        <f aca="false">IF(R47="RED",3,IF(R47="AMBER",2,IF(R47="YELLOW",1,0)))</f>
        <v>1</v>
      </c>
      <c r="T47" s="16" t="n">
        <f aca="false">MAX(0,T46*(1-Decay)+IF(I47="",0,MAX(0,I47-T_Comfort))-Recovery_Rate*MAX(0,T_Night-K47))</f>
        <v>0</v>
      </c>
      <c r="U47" s="14" t="n">
        <f aca="false">IF(T47&gt;Capacity,1,0)</f>
        <v>0</v>
      </c>
      <c r="V47" s="15" t="n">
        <f aca="false">1/(1+EXP(-Logistic_k*(T47-Capacity)))</f>
        <v>0.00247262315663477</v>
      </c>
      <c r="W47" s="16" t="n">
        <f aca="false">IF(M47="",0,Beta*Pop_Share_Sel*(1-Sens_Red)*MAX(0,M47-T_Mort))</f>
        <v>0.999712973593571</v>
      </c>
      <c r="X47" s="16" t="n">
        <f aca="false">IF(ISNUMBER(F47),F47+Coef_B1*(Climate_Shift+G46),"")</f>
        <v>23.0752318702418</v>
      </c>
      <c r="Y47" s="16" t="n">
        <f aca="false">IF(AND(ISNUMBER(X47),H47&lt;&gt;""),H47+Climate_Shift-X47,"")</f>
        <v>-2.07523187024182</v>
      </c>
      <c r="Z47" s="16" t="n">
        <f aca="false">IF(ISNUMBER(Y47),ABS(Y47),"")</f>
        <v>2.07523187024182</v>
      </c>
      <c r="AA47" s="16" t="n">
        <f aca="false">IF(COUNT(Z41:Z47)=0,"",AVERAGE(Z41:Z47))</f>
        <v>2.53844804781834</v>
      </c>
      <c r="AB47" s="16" t="n">
        <f aca="false">IF(AD46=1,0,MAX(0,AB46+IF(ISNUMBER(Y47),Y47-CUSUM_k,0)))</f>
        <v>0.495379956572034</v>
      </c>
      <c r="AC47" s="16" t="n">
        <f aca="false">IF(AD46=1,0,MAX(0,AC46+IF(ISNUMBER(Y47),-Y47-CUSUM_k,0)))</f>
        <v>1.07523187024182</v>
      </c>
      <c r="AD47" s="17" t="n">
        <f aca="false">IF(OR(AB47&gt;CUSUM_h,AC47&gt;CUSUM_h,AND(ISNUMBER(AA47),AA47&gt;MAE_Tol)),1,0)</f>
        <v>0</v>
      </c>
      <c r="AE47" s="14" t="n">
        <f aca="false">IF(ISNUMBER(X47),IF(X47+Local_Sensing*UHI_Day_Eff&gt;=T_Day,1,0),0)</f>
        <v>0</v>
      </c>
      <c r="AF47" s="17" t="str">
        <f aca="false">IF(NOT(ISNUMBER(X47)),"n/a",IF(AND(AE47=1,N47=1),"Hit",IF(AND(AE47=0,N47=1),"Miss",IF(AND(AE47=1,N47=0),"False alarm","Correct quiet"))))</f>
        <v>Correct quiet</v>
      </c>
      <c r="AG47" s="14" t="n">
        <f aca="false">IF(H47="",0,IF(H47+Climate_Shift&gt;=T_Day,1,0))</f>
        <v>0</v>
      </c>
      <c r="AH47" s="17" t="n">
        <f aca="false">IF(AND(N47=1,AG47=0),1,0)</f>
        <v>0</v>
      </c>
      <c r="AI47" s="17" t="str">
        <f aca="false">IF(U47=1,"ESCALATE: surge health &amp; transport capacity",IF(AD47=1,"Model drift: retrain, recalibrate, raise change request",IF(S47&gt;=2,"Activate heat plan: outreach and cooling centres",IF(AND(E47=1,OR(N47=1,O47=1)),"Data QA: verify sensor before acting",IF(AF47="Miss","Review missed alert: threshold or model",IF(AH47=1,"Equity: local alert not seen at reference station","Monitor"))))))</f>
        <v>Monitor</v>
      </c>
      <c r="AN47" s="58" t="n">
        <f aca="false">T_Day</f>
        <v>28</v>
      </c>
      <c r="AO47" s="58" t="n">
        <f aca="false">Capacity</f>
        <v>40</v>
      </c>
      <c r="AP47" s="58" t="n">
        <f aca="false">CUSUM_h</f>
        <v>15</v>
      </c>
    </row>
    <row r="48" customFormat="false" ht="15" hidden="false" customHeight="false" outlineLevel="0" collapsed="false">
      <c r="A48" s="14" t="n">
        <v>40</v>
      </c>
      <c r="B48" s="14" t="n">
        <f aca="false">2+(SelYear-1979)*153+A48-1</f>
        <v>6620</v>
      </c>
      <c r="C48" s="55" t="n">
        <f aca="false">INDEX(Data_Heathrow!$A:$A,B48)</f>
        <v>44721</v>
      </c>
      <c r="D48" s="16" t="n">
        <f aca="false">INDEX(Data_Heathrow!$E:$E,B48)</f>
        <v>24.5</v>
      </c>
      <c r="E48" s="17" t="n">
        <f aca="false">INDEX(Data_Heathrow!$Q:$Q,B48)</f>
        <v>0</v>
      </c>
      <c r="F48" s="16" t="n">
        <f aca="false">INDEX(Data_Heathrow!$T:$T,B48)</f>
        <v>20.8480754882214</v>
      </c>
      <c r="G48" s="16" t="n">
        <f aca="false">IF(AND(Drift_Rate&lt;&gt;0,A48&gt;=Drift_Start),Drift_Rate*(A48-Drift_Start+1)/30,0)</f>
        <v>0</v>
      </c>
      <c r="H48" s="16" t="n">
        <f aca="false">IF(AND(E48=1,QA_Policy="Exclude suspect"),"",IF(AND(E48=1,QA_Policy="Impute with model",ISNUMBER(F48)),F48,D48)+G48)</f>
        <v>24.5</v>
      </c>
      <c r="I48" s="16" t="n">
        <f aca="false">IF(H48="","",H48+Climate_Shift+UHI_Day_Eff)</f>
        <v>26.5</v>
      </c>
      <c r="J48" s="16" t="n">
        <f aca="false">INDEX(Data_Heathrow!$G:$G,B48)</f>
        <v>11</v>
      </c>
      <c r="K48" s="16" t="n">
        <f aca="false">J48+Climate_Shift+UHI_Night_Eff</f>
        <v>15</v>
      </c>
      <c r="L48" s="16" t="n">
        <f aca="false">IF(INDEX(Data_Heathrow!$I:$I,B48)="","",INDEX(Data_Heathrow!$I:$I,B48))</f>
        <v>16</v>
      </c>
      <c r="M48" s="16" t="n">
        <f aca="false">IF(L48="","",L48+Climate_Shift+(UHI_Day_Eff+UHI_Night_Eff)/2)</f>
        <v>19</v>
      </c>
      <c r="N48" s="14" t="n">
        <f aca="false">IF(I48="",0,IF(I48&gt;=T_Day,1,0))</f>
        <v>0</v>
      </c>
      <c r="O48" s="14" t="n">
        <f aca="false">IF(K48&gt;=T_Night,1,0)</f>
        <v>0</v>
      </c>
      <c r="P48" s="14" t="n">
        <f aca="false">IF(N48=1,P47+1,0)</f>
        <v>0</v>
      </c>
      <c r="Q48" s="14" t="n">
        <f aca="false">IF(P48&gt;=HW_Days,1,0)</f>
        <v>0</v>
      </c>
      <c r="R48" s="17" t="str">
        <f aca="false">IF(AND(N48=1,I48&gt;=T_Red,O48=1),"RED",IF(AND(Q48=1,O48=1),"AMBER",IF(OR(N48=1,O48=1),"YELLOW","GREEN")))</f>
        <v>GREEN</v>
      </c>
      <c r="S48" s="14" t="n">
        <f aca="false">IF(R48="RED",3,IF(R48="AMBER",2,IF(R48="YELLOW",1,0)))</f>
        <v>0</v>
      </c>
      <c r="T48" s="16" t="n">
        <f aca="false">MAX(0,T47*(1-Decay)+IF(I48="",0,MAX(0,I48-T_Comfort))-Recovery_Rate*MAX(0,T_Night-K48))</f>
        <v>0</v>
      </c>
      <c r="U48" s="14" t="n">
        <f aca="false">IF(T48&gt;Capacity,1,0)</f>
        <v>0</v>
      </c>
      <c r="V48" s="15" t="n">
        <f aca="false">1/(1+EXP(-Logistic_k*(T48-Capacity)))</f>
        <v>0.00247262315663477</v>
      </c>
      <c r="W48" s="16" t="n">
        <f aca="false">IF(M48="",0,Beta*Pop_Share_Sel*(1-Sens_Red)*MAX(0,M48-T_Mort))</f>
        <v>0</v>
      </c>
      <c r="X48" s="16" t="n">
        <f aca="false">IF(ISNUMBER(F48),F48+Coef_B1*(Climate_Shift+G47),"")</f>
        <v>20.8480754882214</v>
      </c>
      <c r="Y48" s="16" t="n">
        <f aca="false">IF(AND(ISNUMBER(X48),H48&lt;&gt;""),H48+Climate_Shift-X48,"")</f>
        <v>3.65192451177856</v>
      </c>
      <c r="Z48" s="16" t="n">
        <f aca="false">IF(ISNUMBER(Y48),ABS(Y48),"")</f>
        <v>3.65192451177856</v>
      </c>
      <c r="AA48" s="16" t="n">
        <f aca="false">IF(COUNT(Z42:Z48)=0,"",AVERAGE(Z42:Z48))</f>
        <v>2.91223144365493</v>
      </c>
      <c r="AB48" s="16" t="n">
        <f aca="false">IF(AD47=1,0,MAX(0,AB47+IF(ISNUMBER(Y48),Y48-CUSUM_k,0)))</f>
        <v>3.1473044683506</v>
      </c>
      <c r="AC48" s="16" t="n">
        <f aca="false">IF(AD47=1,0,MAX(0,AC47+IF(ISNUMBER(Y48),-Y48-CUSUM_k,0)))</f>
        <v>0</v>
      </c>
      <c r="AD48" s="17" t="n">
        <f aca="false">IF(OR(AB48&gt;CUSUM_h,AC48&gt;CUSUM_h,AND(ISNUMBER(AA48),AA48&gt;MAE_Tol)),1,0)</f>
        <v>0</v>
      </c>
      <c r="AE48" s="14" t="n">
        <f aca="false">IF(ISNUMBER(X48),IF(X48+Local_Sensing*UHI_Day_Eff&gt;=T_Day,1,0),0)</f>
        <v>0</v>
      </c>
      <c r="AF48" s="17" t="str">
        <f aca="false">IF(NOT(ISNUMBER(X48)),"n/a",IF(AND(AE48=1,N48=1),"Hit",IF(AND(AE48=0,N48=1),"Miss",IF(AND(AE48=1,N48=0),"False alarm","Correct quiet"))))</f>
        <v>Correct quiet</v>
      </c>
      <c r="AG48" s="14" t="n">
        <f aca="false">IF(H48="",0,IF(H48+Climate_Shift&gt;=T_Day,1,0))</f>
        <v>0</v>
      </c>
      <c r="AH48" s="17" t="n">
        <f aca="false">IF(AND(N48=1,AG48=0),1,0)</f>
        <v>0</v>
      </c>
      <c r="AI48" s="17" t="str">
        <f aca="false">IF(U48=1,"ESCALATE: surge health &amp; transport capacity",IF(AD48=1,"Model drift: retrain, recalibrate, raise change request",IF(S48&gt;=2,"Activate heat plan: outreach and cooling centres",IF(AND(E48=1,OR(N48=1,O48=1)),"Data QA: verify sensor before acting",IF(AF48="Miss","Review missed alert: threshold or model",IF(AH48=1,"Equity: local alert not seen at reference station","Monitor"))))))</f>
        <v>Monitor</v>
      </c>
      <c r="AN48" s="58" t="n">
        <f aca="false">T_Day</f>
        <v>28</v>
      </c>
      <c r="AO48" s="58" t="n">
        <f aca="false">Capacity</f>
        <v>40</v>
      </c>
      <c r="AP48" s="58" t="n">
        <f aca="false">CUSUM_h</f>
        <v>15</v>
      </c>
    </row>
    <row r="49" customFormat="false" ht="15" hidden="false" customHeight="false" outlineLevel="0" collapsed="false">
      <c r="A49" s="14" t="n">
        <v>41</v>
      </c>
      <c r="B49" s="14" t="n">
        <f aca="false">2+(SelYear-1979)*153+A49-1</f>
        <v>6621</v>
      </c>
      <c r="C49" s="55" t="n">
        <f aca="false">INDEX(Data_Heathrow!$A:$A,B49)</f>
        <v>44722</v>
      </c>
      <c r="D49" s="16" t="n">
        <f aca="false">INDEX(Data_Heathrow!$E:$E,B49)</f>
        <v>23.8</v>
      </c>
      <c r="E49" s="17" t="n">
        <f aca="false">INDEX(Data_Heathrow!$Q:$Q,B49)</f>
        <v>0</v>
      </c>
      <c r="F49" s="16" t="n">
        <f aca="false">INDEX(Data_Heathrow!$T:$T,B49)</f>
        <v>24.0106396734302</v>
      </c>
      <c r="G49" s="16" t="n">
        <f aca="false">IF(AND(Drift_Rate&lt;&gt;0,A49&gt;=Drift_Start),Drift_Rate*(A49-Drift_Start+1)/30,0)</f>
        <v>0</v>
      </c>
      <c r="H49" s="16" t="n">
        <f aca="false">IF(AND(E49=1,QA_Policy="Exclude suspect"),"",IF(AND(E49=1,QA_Policy="Impute with model",ISNUMBER(F49)),F49,D49)+G49)</f>
        <v>23.8</v>
      </c>
      <c r="I49" s="16" t="n">
        <f aca="false">IF(H49="","",H49+Climate_Shift+UHI_Day_Eff)</f>
        <v>25.8</v>
      </c>
      <c r="J49" s="16" t="n">
        <f aca="false">INDEX(Data_Heathrow!$G:$G,B49)</f>
        <v>15.3</v>
      </c>
      <c r="K49" s="16" t="n">
        <f aca="false">J49+Climate_Shift+UHI_Night_Eff</f>
        <v>19.3</v>
      </c>
      <c r="L49" s="16" t="n">
        <f aca="false">IF(INDEX(Data_Heathrow!$I:$I,B49)="","",INDEX(Data_Heathrow!$I:$I,B49))</f>
        <v>19.9</v>
      </c>
      <c r="M49" s="16" t="n">
        <f aca="false">IF(L49="","",L49+Climate_Shift+(UHI_Day_Eff+UHI_Night_Eff)/2)</f>
        <v>22.9</v>
      </c>
      <c r="N49" s="14" t="n">
        <f aca="false">IF(I49="",0,IF(I49&gt;=T_Day,1,0))</f>
        <v>0</v>
      </c>
      <c r="O49" s="14" t="n">
        <f aca="false">IF(K49&gt;=T_Night,1,0)</f>
        <v>1</v>
      </c>
      <c r="P49" s="14" t="n">
        <f aca="false">IF(N49=1,P48+1,0)</f>
        <v>0</v>
      </c>
      <c r="Q49" s="14" t="n">
        <f aca="false">IF(P49&gt;=HW_Days,1,0)</f>
        <v>0</v>
      </c>
      <c r="R49" s="17" t="str">
        <f aca="false">IF(AND(N49=1,I49&gt;=T_Red,O49=1),"RED",IF(AND(Q49=1,O49=1),"AMBER",IF(OR(N49=1,O49=1),"YELLOW","GREEN")))</f>
        <v>YELLOW</v>
      </c>
      <c r="S49" s="14" t="n">
        <f aca="false">IF(R49="RED",3,IF(R49="AMBER",2,IF(R49="YELLOW",1,0)))</f>
        <v>1</v>
      </c>
      <c r="T49" s="16" t="n">
        <f aca="false">MAX(0,T48*(1-Decay)+IF(I49="",0,MAX(0,I49-T_Comfort))-Recovery_Rate*MAX(0,T_Night-K49))</f>
        <v>0.800000000000001</v>
      </c>
      <c r="U49" s="14" t="n">
        <f aca="false">IF(T49&gt;Capacity,1,0)</f>
        <v>0</v>
      </c>
      <c r="V49" s="15" t="n">
        <f aca="false">1/(1+EXP(-Logistic_k*(T49-Capacity)))</f>
        <v>0.00278699621904228</v>
      </c>
      <c r="W49" s="16" t="n">
        <f aca="false">IF(M49="",0,Beta*Pop_Share_Sel*(1-Sens_Red)*MAX(0,M49-T_Mort))</f>
        <v>1.61064867967853</v>
      </c>
      <c r="X49" s="16" t="n">
        <f aca="false">IF(ISNUMBER(F49),F49+Coef_B1*(Climate_Shift+G48),"")</f>
        <v>24.0106396734302</v>
      </c>
      <c r="Y49" s="16" t="n">
        <f aca="false">IF(AND(ISNUMBER(X49),H49&lt;&gt;""),H49+Climate_Shift-X49,"")</f>
        <v>-0.210639673430236</v>
      </c>
      <c r="Z49" s="16" t="n">
        <f aca="false">IF(ISNUMBER(Y49),ABS(Y49),"")</f>
        <v>0.210639673430236</v>
      </c>
      <c r="AA49" s="16" t="n">
        <f aca="false">IF(COUNT(Z43:Z49)=0,"",AVERAGE(Z43:Z49))</f>
        <v>2.71778937455991</v>
      </c>
      <c r="AB49" s="16" t="n">
        <f aca="false">IF(AD48=1,0,MAX(0,AB48+IF(ISNUMBER(Y49),Y49-CUSUM_k,0)))</f>
        <v>1.93666479492036</v>
      </c>
      <c r="AC49" s="16" t="n">
        <f aca="false">IF(AD48=1,0,MAX(0,AC48+IF(ISNUMBER(Y49),-Y49-CUSUM_k,0)))</f>
        <v>0</v>
      </c>
      <c r="AD49" s="17" t="n">
        <f aca="false">IF(OR(AB49&gt;CUSUM_h,AC49&gt;CUSUM_h,AND(ISNUMBER(AA49),AA49&gt;MAE_Tol)),1,0)</f>
        <v>0</v>
      </c>
      <c r="AE49" s="14" t="n">
        <f aca="false">IF(ISNUMBER(X49),IF(X49+Local_Sensing*UHI_Day_Eff&gt;=T_Day,1,0),0)</f>
        <v>0</v>
      </c>
      <c r="AF49" s="17" t="str">
        <f aca="false">IF(NOT(ISNUMBER(X49)),"n/a",IF(AND(AE49=1,N49=1),"Hit",IF(AND(AE49=0,N49=1),"Miss",IF(AND(AE49=1,N49=0),"False alarm","Correct quiet"))))</f>
        <v>Correct quiet</v>
      </c>
      <c r="AG49" s="14" t="n">
        <f aca="false">IF(H49="",0,IF(H49+Climate_Shift&gt;=T_Day,1,0))</f>
        <v>0</v>
      </c>
      <c r="AH49" s="17" t="n">
        <f aca="false">IF(AND(N49=1,AG49=0),1,0)</f>
        <v>0</v>
      </c>
      <c r="AI49" s="17" t="str">
        <f aca="false">IF(U49=1,"ESCALATE: surge health &amp; transport capacity",IF(AD49=1,"Model drift: retrain, recalibrate, raise change request",IF(S49&gt;=2,"Activate heat plan: outreach and cooling centres",IF(AND(E49=1,OR(N49=1,O49=1)),"Data QA: verify sensor before acting",IF(AF49="Miss","Review missed alert: threshold or model",IF(AH49=1,"Equity: local alert not seen at reference station","Monitor"))))))</f>
        <v>Monitor</v>
      </c>
      <c r="AN49" s="58" t="n">
        <f aca="false">T_Day</f>
        <v>28</v>
      </c>
      <c r="AO49" s="58" t="n">
        <f aca="false">Capacity</f>
        <v>40</v>
      </c>
      <c r="AP49" s="58" t="n">
        <f aca="false">CUSUM_h</f>
        <v>15</v>
      </c>
    </row>
    <row r="50" customFormat="false" ht="15" hidden="false" customHeight="false" outlineLevel="0" collapsed="false">
      <c r="A50" s="14" t="n">
        <v>42</v>
      </c>
      <c r="B50" s="14" t="n">
        <f aca="false">2+(SelYear-1979)*153+A50-1</f>
        <v>6622</v>
      </c>
      <c r="C50" s="55" t="n">
        <f aca="false">INDEX(Data_Heathrow!$A:$A,B50)</f>
        <v>44723</v>
      </c>
      <c r="D50" s="16" t="n">
        <f aca="false">INDEX(Data_Heathrow!$E:$E,B50)</f>
        <v>22.9</v>
      </c>
      <c r="E50" s="17" t="n">
        <f aca="false">INDEX(Data_Heathrow!$Q:$Q,B50)</f>
        <v>0</v>
      </c>
      <c r="F50" s="16" t="n">
        <f aca="false">INDEX(Data_Heathrow!$T:$T,B50)</f>
        <v>23.5343489116657</v>
      </c>
      <c r="G50" s="16" t="n">
        <f aca="false">IF(AND(Drift_Rate&lt;&gt;0,A50&gt;=Drift_Start),Drift_Rate*(A50-Drift_Start+1)/30,0)</f>
        <v>0</v>
      </c>
      <c r="H50" s="16" t="n">
        <f aca="false">IF(AND(E50=1,QA_Policy="Exclude suspect"),"",IF(AND(E50=1,QA_Policy="Impute with model",ISNUMBER(F50)),F50,D50)+G50)</f>
        <v>22.9</v>
      </c>
      <c r="I50" s="16" t="n">
        <f aca="false">IF(H50="","",H50+Climate_Shift+UHI_Day_Eff)</f>
        <v>24.9</v>
      </c>
      <c r="J50" s="16" t="n">
        <f aca="false">INDEX(Data_Heathrow!$G:$G,B50)</f>
        <v>11.5</v>
      </c>
      <c r="K50" s="16" t="n">
        <f aca="false">J50+Climate_Shift+UHI_Night_Eff</f>
        <v>15.5</v>
      </c>
      <c r="L50" s="16" t="n">
        <f aca="false">IF(INDEX(Data_Heathrow!$I:$I,B50)="","",INDEX(Data_Heathrow!$I:$I,B50))</f>
        <v>17.6</v>
      </c>
      <c r="M50" s="16" t="n">
        <f aca="false">IF(L50="","",L50+Climate_Shift+(UHI_Day_Eff+UHI_Night_Eff)/2)</f>
        <v>20.6</v>
      </c>
      <c r="N50" s="14" t="n">
        <f aca="false">IF(I50="",0,IF(I50&gt;=T_Day,1,0))</f>
        <v>0</v>
      </c>
      <c r="O50" s="14" t="n">
        <f aca="false">IF(K50&gt;=T_Night,1,0)</f>
        <v>0</v>
      </c>
      <c r="P50" s="14" t="n">
        <f aca="false">IF(N50=1,P49+1,0)</f>
        <v>0</v>
      </c>
      <c r="Q50" s="14" t="n">
        <f aca="false">IF(P50&gt;=HW_Days,1,0)</f>
        <v>0</v>
      </c>
      <c r="R50" s="17" t="str">
        <f aca="false">IF(AND(N50=1,I50&gt;=T_Red,O50=1),"RED",IF(AND(Q50=1,O50=1),"AMBER",IF(OR(N50=1,O50=1),"YELLOW","GREEN")))</f>
        <v>GREEN</v>
      </c>
      <c r="S50" s="14" t="n">
        <f aca="false">IF(R50="RED",3,IF(R50="AMBER",2,IF(R50="YELLOW",1,0)))</f>
        <v>0</v>
      </c>
      <c r="T50" s="16" t="n">
        <f aca="false">MAX(0,T49*(1-Decay)+IF(I50="",0,MAX(0,I50-T_Comfort))-Recovery_Rate*MAX(0,T_Night-K50))</f>
        <v>0</v>
      </c>
      <c r="U50" s="14" t="n">
        <f aca="false">IF(T50&gt;Capacity,1,0)</f>
        <v>0</v>
      </c>
      <c r="V50" s="15" t="n">
        <f aca="false">1/(1+EXP(-Logistic_k*(T50-Capacity)))</f>
        <v>0.00247262315663477</v>
      </c>
      <c r="W50" s="16" t="n">
        <f aca="false">IF(M50="",0,Beta*Pop_Share_Sel*(1-Sens_Red)*MAX(0,M50-T_Mort))</f>
        <v>0.333237657864524</v>
      </c>
      <c r="X50" s="16" t="n">
        <f aca="false">IF(ISNUMBER(F50),F50+Coef_B1*(Climate_Shift+G49),"")</f>
        <v>23.5343489116657</v>
      </c>
      <c r="Y50" s="16" t="n">
        <f aca="false">IF(AND(ISNUMBER(X50),H50&lt;&gt;""),H50+Climate_Shift-X50,"")</f>
        <v>-0.634348911665747</v>
      </c>
      <c r="Z50" s="16" t="n">
        <f aca="false">IF(ISNUMBER(Y50),ABS(Y50),"")</f>
        <v>0.634348911665747</v>
      </c>
      <c r="AA50" s="16" t="n">
        <f aca="false">IF(COUNT(Z44:Z50)=0,"",AVERAGE(Z44:Z50))</f>
        <v>1.87753668484717</v>
      </c>
      <c r="AB50" s="16" t="n">
        <f aca="false">IF(AD49=1,0,MAX(0,AB49+IF(ISNUMBER(Y50),Y50-CUSUM_k,0)))</f>
        <v>0.302315883254614</v>
      </c>
      <c r="AC50" s="16" t="n">
        <f aca="false">IF(AD49=1,0,MAX(0,AC49+IF(ISNUMBER(Y50),-Y50-CUSUM_k,0)))</f>
        <v>0</v>
      </c>
      <c r="AD50" s="17" t="n">
        <f aca="false">IF(OR(AB50&gt;CUSUM_h,AC50&gt;CUSUM_h,AND(ISNUMBER(AA50),AA50&gt;MAE_Tol)),1,0)</f>
        <v>0</v>
      </c>
      <c r="AE50" s="14" t="n">
        <f aca="false">IF(ISNUMBER(X50),IF(X50+Local_Sensing*UHI_Day_Eff&gt;=T_Day,1,0),0)</f>
        <v>0</v>
      </c>
      <c r="AF50" s="17" t="str">
        <f aca="false">IF(NOT(ISNUMBER(X50)),"n/a",IF(AND(AE50=1,N50=1),"Hit",IF(AND(AE50=0,N50=1),"Miss",IF(AND(AE50=1,N50=0),"False alarm","Correct quiet"))))</f>
        <v>Correct quiet</v>
      </c>
      <c r="AG50" s="14" t="n">
        <f aca="false">IF(H50="",0,IF(H50+Climate_Shift&gt;=T_Day,1,0))</f>
        <v>0</v>
      </c>
      <c r="AH50" s="17" t="n">
        <f aca="false">IF(AND(N50=1,AG50=0),1,0)</f>
        <v>0</v>
      </c>
      <c r="AI50" s="17" t="str">
        <f aca="false">IF(U50=1,"ESCALATE: surge health &amp; transport capacity",IF(AD50=1,"Model drift: retrain, recalibrate, raise change request",IF(S50&gt;=2,"Activate heat plan: outreach and cooling centres",IF(AND(E50=1,OR(N50=1,O50=1)),"Data QA: verify sensor before acting",IF(AF50="Miss","Review missed alert: threshold or model",IF(AH50=1,"Equity: local alert not seen at reference station","Monitor"))))))</f>
        <v>Monitor</v>
      </c>
      <c r="AN50" s="58" t="n">
        <f aca="false">T_Day</f>
        <v>28</v>
      </c>
      <c r="AO50" s="58" t="n">
        <f aca="false">Capacity</f>
        <v>40</v>
      </c>
      <c r="AP50" s="58" t="n">
        <f aca="false">CUSUM_h</f>
        <v>15</v>
      </c>
    </row>
    <row r="51" customFormat="false" ht="15" hidden="false" customHeight="false" outlineLevel="0" collapsed="false">
      <c r="A51" s="14" t="n">
        <v>43</v>
      </c>
      <c r="B51" s="14" t="n">
        <f aca="false">2+(SelYear-1979)*153+A51-1</f>
        <v>6623</v>
      </c>
      <c r="C51" s="55" t="n">
        <f aca="false">INDEX(Data_Heathrow!$A:$A,B51)</f>
        <v>44724</v>
      </c>
      <c r="D51" s="16" t="n">
        <f aca="false">INDEX(Data_Heathrow!$E:$E,B51)</f>
        <v>21.7</v>
      </c>
      <c r="E51" s="17" t="n">
        <f aca="false">INDEX(Data_Heathrow!$Q:$Q,B51)</f>
        <v>0</v>
      </c>
      <c r="F51" s="16" t="n">
        <f aca="false">INDEX(Data_Heathrow!$T:$T,B51)</f>
        <v>22.8973273007561</v>
      </c>
      <c r="G51" s="16" t="n">
        <f aca="false">IF(AND(Drift_Rate&lt;&gt;0,A51&gt;=Drift_Start),Drift_Rate*(A51-Drift_Start+1)/30,0)</f>
        <v>0</v>
      </c>
      <c r="H51" s="16" t="n">
        <f aca="false">IF(AND(E51=1,QA_Policy="Exclude suspect"),"",IF(AND(E51=1,QA_Policy="Impute with model",ISNUMBER(F51)),F51,D51)+G51)</f>
        <v>21.7</v>
      </c>
      <c r="I51" s="16" t="n">
        <f aca="false">IF(H51="","",H51+Climate_Shift+UHI_Day_Eff)</f>
        <v>23.7</v>
      </c>
      <c r="J51" s="16" t="n">
        <f aca="false">INDEX(Data_Heathrow!$G:$G,B51)</f>
        <v>10.7</v>
      </c>
      <c r="K51" s="16" t="n">
        <f aca="false">J51+Climate_Shift+UHI_Night_Eff</f>
        <v>14.7</v>
      </c>
      <c r="L51" s="16" t="n">
        <f aca="false">IF(INDEX(Data_Heathrow!$I:$I,B51)="","",INDEX(Data_Heathrow!$I:$I,B51))</f>
        <v>16.8</v>
      </c>
      <c r="M51" s="16" t="n">
        <f aca="false">IF(L51="","",L51+Climate_Shift+(UHI_Day_Eff+UHI_Night_Eff)/2)</f>
        <v>19.8</v>
      </c>
      <c r="N51" s="14" t="n">
        <f aca="false">IF(I51="",0,IF(I51&gt;=T_Day,1,0))</f>
        <v>0</v>
      </c>
      <c r="O51" s="14" t="n">
        <f aca="false">IF(K51&gt;=T_Night,1,0)</f>
        <v>0</v>
      </c>
      <c r="P51" s="14" t="n">
        <f aca="false">IF(N51=1,P50+1,0)</f>
        <v>0</v>
      </c>
      <c r="Q51" s="14" t="n">
        <f aca="false">IF(P51&gt;=HW_Days,1,0)</f>
        <v>0</v>
      </c>
      <c r="R51" s="17" t="str">
        <f aca="false">IF(AND(N51=1,I51&gt;=T_Red,O51=1),"RED",IF(AND(Q51=1,O51=1),"AMBER",IF(OR(N51=1,O51=1),"YELLOW","GREEN")))</f>
        <v>GREEN</v>
      </c>
      <c r="S51" s="14" t="n">
        <f aca="false">IF(R51="RED",3,IF(R51="AMBER",2,IF(R51="YELLOW",1,0)))</f>
        <v>0</v>
      </c>
      <c r="T51" s="16" t="n">
        <f aca="false">MAX(0,T50*(1-Decay)+IF(I51="",0,MAX(0,I51-T_Comfort))-Recovery_Rate*MAX(0,T_Night-K51))</f>
        <v>0</v>
      </c>
      <c r="U51" s="14" t="n">
        <f aca="false">IF(T51&gt;Capacity,1,0)</f>
        <v>0</v>
      </c>
      <c r="V51" s="15" t="n">
        <f aca="false">1/(1+EXP(-Logistic_k*(T51-Capacity)))</f>
        <v>0.00247262315663477</v>
      </c>
      <c r="W51" s="16" t="n">
        <f aca="false">IF(M51="",0,Beta*Pop_Share_Sel*(1-Sens_Red)*MAX(0,M51-T_Mort))</f>
        <v>0</v>
      </c>
      <c r="X51" s="16" t="n">
        <f aca="false">IF(ISNUMBER(F51),F51+Coef_B1*(Climate_Shift+G50),"")</f>
        <v>22.8973273007561</v>
      </c>
      <c r="Y51" s="16" t="n">
        <f aca="false">IF(AND(ISNUMBER(X51),H51&lt;&gt;""),H51+Climate_Shift-X51,"")</f>
        <v>-1.19732730075612</v>
      </c>
      <c r="Z51" s="16" t="n">
        <f aca="false">IF(ISNUMBER(Y51),ABS(Y51),"")</f>
        <v>1.19732730075612</v>
      </c>
      <c r="AA51" s="16" t="n">
        <f aca="false">IF(COUNT(Z45:Z51)=0,"",AVERAGE(Z45:Z51))</f>
        <v>1.69645296973374</v>
      </c>
      <c r="AB51" s="16" t="n">
        <f aca="false">IF(AD50=1,0,MAX(0,AB50+IF(ISNUMBER(Y51),Y51-CUSUM_k,0)))</f>
        <v>0</v>
      </c>
      <c r="AC51" s="16" t="n">
        <f aca="false">IF(AD50=1,0,MAX(0,AC50+IF(ISNUMBER(Y51),-Y51-CUSUM_k,0)))</f>
        <v>0.197327300756122</v>
      </c>
      <c r="AD51" s="17" t="n">
        <f aca="false">IF(OR(AB51&gt;CUSUM_h,AC51&gt;CUSUM_h,AND(ISNUMBER(AA51),AA51&gt;MAE_Tol)),1,0)</f>
        <v>0</v>
      </c>
      <c r="AE51" s="14" t="n">
        <f aca="false">IF(ISNUMBER(X51),IF(X51+Local_Sensing*UHI_Day_Eff&gt;=T_Day,1,0),0)</f>
        <v>0</v>
      </c>
      <c r="AF51" s="17" t="str">
        <f aca="false">IF(NOT(ISNUMBER(X51)),"n/a",IF(AND(AE51=1,N51=1),"Hit",IF(AND(AE51=0,N51=1),"Miss",IF(AND(AE51=1,N51=0),"False alarm","Correct quiet"))))</f>
        <v>Correct quiet</v>
      </c>
      <c r="AG51" s="14" t="n">
        <f aca="false">IF(H51="",0,IF(H51+Climate_Shift&gt;=T_Day,1,0))</f>
        <v>0</v>
      </c>
      <c r="AH51" s="17" t="n">
        <f aca="false">IF(AND(N51=1,AG51=0),1,0)</f>
        <v>0</v>
      </c>
      <c r="AI51" s="17" t="str">
        <f aca="false">IF(U51=1,"ESCALATE: surge health &amp; transport capacity",IF(AD51=1,"Model drift: retrain, recalibrate, raise change request",IF(S51&gt;=2,"Activate heat plan: outreach and cooling centres",IF(AND(E51=1,OR(N51=1,O51=1)),"Data QA: verify sensor before acting",IF(AF51="Miss","Review missed alert: threshold or model",IF(AH51=1,"Equity: local alert not seen at reference station","Monitor"))))))</f>
        <v>Monitor</v>
      </c>
      <c r="AN51" s="58" t="n">
        <f aca="false">T_Day</f>
        <v>28</v>
      </c>
      <c r="AO51" s="58" t="n">
        <f aca="false">Capacity</f>
        <v>40</v>
      </c>
      <c r="AP51" s="58" t="n">
        <f aca="false">CUSUM_h</f>
        <v>15</v>
      </c>
    </row>
    <row r="52" customFormat="false" ht="15" hidden="false" customHeight="false" outlineLevel="0" collapsed="false">
      <c r="A52" s="14" t="n">
        <v>44</v>
      </c>
      <c r="B52" s="14" t="n">
        <f aca="false">2+(SelYear-1979)*153+A52-1</f>
        <v>6624</v>
      </c>
      <c r="C52" s="55" t="n">
        <f aca="false">INDEX(Data_Heathrow!$A:$A,B52)</f>
        <v>44725</v>
      </c>
      <c r="D52" s="16" t="n">
        <f aca="false">INDEX(Data_Heathrow!$E:$E,B52)</f>
        <v>24.9</v>
      </c>
      <c r="E52" s="17" t="n">
        <f aca="false">INDEX(Data_Heathrow!$Q:$Q,B52)</f>
        <v>0</v>
      </c>
      <c r="F52" s="16" t="n">
        <f aca="false">INDEX(Data_Heathrow!$T:$T,B52)</f>
        <v>21.9737230689095</v>
      </c>
      <c r="G52" s="16" t="n">
        <f aca="false">IF(AND(Drift_Rate&lt;&gt;0,A52&gt;=Drift_Start),Drift_Rate*(A52-Drift_Start+1)/30,0)</f>
        <v>0</v>
      </c>
      <c r="H52" s="16" t="n">
        <f aca="false">IF(AND(E52=1,QA_Policy="Exclude suspect"),"",IF(AND(E52=1,QA_Policy="Impute with model",ISNUMBER(F52)),F52,D52)+G52)</f>
        <v>24.9</v>
      </c>
      <c r="I52" s="16" t="n">
        <f aca="false">IF(H52="","",H52+Climate_Shift+UHI_Day_Eff)</f>
        <v>26.9</v>
      </c>
      <c r="J52" s="16" t="n">
        <f aca="false">INDEX(Data_Heathrow!$G:$G,B52)</f>
        <v>9.6</v>
      </c>
      <c r="K52" s="16" t="n">
        <f aca="false">J52+Climate_Shift+UHI_Night_Eff</f>
        <v>13.6</v>
      </c>
      <c r="L52" s="16" t="n">
        <f aca="false">IF(INDEX(Data_Heathrow!$I:$I,B52)="","",INDEX(Data_Heathrow!$I:$I,B52))</f>
        <v>15.7</v>
      </c>
      <c r="M52" s="16" t="n">
        <f aca="false">IF(L52="","",L52+Climate_Shift+(UHI_Day_Eff+UHI_Night_Eff)/2)</f>
        <v>18.7</v>
      </c>
      <c r="N52" s="14" t="n">
        <f aca="false">IF(I52="",0,IF(I52&gt;=T_Day,1,0))</f>
        <v>0</v>
      </c>
      <c r="O52" s="14" t="n">
        <f aca="false">IF(K52&gt;=T_Night,1,0)</f>
        <v>0</v>
      </c>
      <c r="P52" s="14" t="n">
        <f aca="false">IF(N52=1,P51+1,0)</f>
        <v>0</v>
      </c>
      <c r="Q52" s="14" t="n">
        <f aca="false">IF(P52&gt;=HW_Days,1,0)</f>
        <v>0</v>
      </c>
      <c r="R52" s="17" t="str">
        <f aca="false">IF(AND(N52=1,I52&gt;=T_Red,O52=1),"RED",IF(AND(Q52=1,O52=1),"AMBER",IF(OR(N52=1,O52=1),"YELLOW","GREEN")))</f>
        <v>GREEN</v>
      </c>
      <c r="S52" s="14" t="n">
        <f aca="false">IF(R52="RED",3,IF(R52="AMBER",2,IF(R52="YELLOW",1,0)))</f>
        <v>0</v>
      </c>
      <c r="T52" s="16" t="n">
        <f aca="false">MAX(0,T51*(1-Decay)+IF(I52="",0,MAX(0,I52-T_Comfort))-Recovery_Rate*MAX(0,T_Night-K52))</f>
        <v>0</v>
      </c>
      <c r="U52" s="14" t="n">
        <f aca="false">IF(T52&gt;Capacity,1,0)</f>
        <v>0</v>
      </c>
      <c r="V52" s="15" t="n">
        <f aca="false">1/(1+EXP(-Logistic_k*(T52-Capacity)))</f>
        <v>0.00247262315663477</v>
      </c>
      <c r="W52" s="16" t="n">
        <f aca="false">IF(M52="",0,Beta*Pop_Share_Sel*(1-Sens_Red)*MAX(0,M52-T_Mort))</f>
        <v>0</v>
      </c>
      <c r="X52" s="16" t="n">
        <f aca="false">IF(ISNUMBER(F52),F52+Coef_B1*(Climate_Shift+G51),"")</f>
        <v>21.9737230689095</v>
      </c>
      <c r="Y52" s="16" t="n">
        <f aca="false">IF(AND(ISNUMBER(X52),H52&lt;&gt;""),H52+Climate_Shift-X52,"")</f>
        <v>2.92627693109048</v>
      </c>
      <c r="Z52" s="16" t="n">
        <f aca="false">IF(ISNUMBER(Y52),ABS(Y52),"")</f>
        <v>2.92627693109048</v>
      </c>
      <c r="AA52" s="16" t="n">
        <f aca="false">IF(COUNT(Z46:Z52)=0,"",AVERAGE(Z46:Z52))</f>
        <v>1.70440253523279</v>
      </c>
      <c r="AB52" s="16" t="n">
        <f aca="false">IF(AD51=1,0,MAX(0,AB51+IF(ISNUMBER(Y52),Y52-CUSUM_k,0)))</f>
        <v>1.92627693109048</v>
      </c>
      <c r="AC52" s="16" t="n">
        <f aca="false">IF(AD51=1,0,MAX(0,AC51+IF(ISNUMBER(Y52),-Y52-CUSUM_k,0)))</f>
        <v>0</v>
      </c>
      <c r="AD52" s="17" t="n">
        <f aca="false">IF(OR(AB52&gt;CUSUM_h,AC52&gt;CUSUM_h,AND(ISNUMBER(AA52),AA52&gt;MAE_Tol)),1,0)</f>
        <v>0</v>
      </c>
      <c r="AE52" s="14" t="n">
        <f aca="false">IF(ISNUMBER(X52),IF(X52+Local_Sensing*UHI_Day_Eff&gt;=T_Day,1,0),0)</f>
        <v>0</v>
      </c>
      <c r="AF52" s="17" t="str">
        <f aca="false">IF(NOT(ISNUMBER(X52)),"n/a",IF(AND(AE52=1,N52=1),"Hit",IF(AND(AE52=0,N52=1),"Miss",IF(AND(AE52=1,N52=0),"False alarm","Correct quiet"))))</f>
        <v>Correct quiet</v>
      </c>
      <c r="AG52" s="14" t="n">
        <f aca="false">IF(H52="",0,IF(H52+Climate_Shift&gt;=T_Day,1,0))</f>
        <v>0</v>
      </c>
      <c r="AH52" s="17" t="n">
        <f aca="false">IF(AND(N52=1,AG52=0),1,0)</f>
        <v>0</v>
      </c>
      <c r="AI52" s="17" t="str">
        <f aca="false">IF(U52=1,"ESCALATE: surge health &amp; transport capacity",IF(AD52=1,"Model drift: retrain, recalibrate, raise change request",IF(S52&gt;=2,"Activate heat plan: outreach and cooling centres",IF(AND(E52=1,OR(N52=1,O52=1)),"Data QA: verify sensor before acting",IF(AF52="Miss","Review missed alert: threshold or model",IF(AH52=1,"Equity: local alert not seen at reference station","Monitor"))))))</f>
        <v>Monitor</v>
      </c>
      <c r="AN52" s="58" t="n">
        <f aca="false">T_Day</f>
        <v>28</v>
      </c>
      <c r="AO52" s="58" t="n">
        <f aca="false">Capacity</f>
        <v>40</v>
      </c>
      <c r="AP52" s="58" t="n">
        <f aca="false">CUSUM_h</f>
        <v>15</v>
      </c>
    </row>
    <row r="53" customFormat="false" ht="15" hidden="false" customHeight="false" outlineLevel="0" collapsed="false">
      <c r="A53" s="14" t="n">
        <v>45</v>
      </c>
      <c r="B53" s="14" t="n">
        <f aca="false">2+(SelYear-1979)*153+A53-1</f>
        <v>6625</v>
      </c>
      <c r="C53" s="55" t="n">
        <f aca="false">INDEX(Data_Heathrow!$A:$A,B53)</f>
        <v>44726</v>
      </c>
      <c r="D53" s="16" t="n">
        <f aca="false">INDEX(Data_Heathrow!$E:$E,B53)</f>
        <v>27.9</v>
      </c>
      <c r="E53" s="17" t="n">
        <f aca="false">INDEX(Data_Heathrow!$Q:$Q,B53)</f>
        <v>0</v>
      </c>
      <c r="F53" s="16" t="n">
        <f aca="false">INDEX(Data_Heathrow!$T:$T,B53)</f>
        <v>24.62697838128</v>
      </c>
      <c r="G53" s="16" t="n">
        <f aca="false">IF(AND(Drift_Rate&lt;&gt;0,A53&gt;=Drift_Start),Drift_Rate*(A53-Drift_Start+1)/30,0)</f>
        <v>0</v>
      </c>
      <c r="H53" s="16" t="n">
        <f aca="false">IF(AND(E53=1,QA_Policy="Exclude suspect"),"",IF(AND(E53=1,QA_Policy="Impute with model",ISNUMBER(F53)),F53,D53)+G53)</f>
        <v>27.9</v>
      </c>
      <c r="I53" s="16" t="n">
        <f aca="false">IF(H53="","",H53+Climate_Shift+UHI_Day_Eff)</f>
        <v>29.9</v>
      </c>
      <c r="J53" s="16" t="n">
        <f aca="false">INDEX(Data_Heathrow!$G:$G,B53)</f>
        <v>9.8</v>
      </c>
      <c r="K53" s="16" t="n">
        <f aca="false">J53+Climate_Shift+UHI_Night_Eff</f>
        <v>13.8</v>
      </c>
      <c r="L53" s="16" t="n">
        <f aca="false">IF(INDEX(Data_Heathrow!$I:$I,B53)="","",INDEX(Data_Heathrow!$I:$I,B53))</f>
        <v>17.4</v>
      </c>
      <c r="M53" s="16" t="n">
        <f aca="false">IF(L53="","",L53+Climate_Shift+(UHI_Day_Eff+UHI_Night_Eff)/2)</f>
        <v>20.4</v>
      </c>
      <c r="N53" s="14" t="n">
        <f aca="false">IF(I53="",0,IF(I53&gt;=T_Day,1,0))</f>
        <v>1</v>
      </c>
      <c r="O53" s="14" t="n">
        <f aca="false">IF(K53&gt;=T_Night,1,0)</f>
        <v>0</v>
      </c>
      <c r="P53" s="14" t="n">
        <f aca="false">IF(N53=1,P52+1,0)</f>
        <v>1</v>
      </c>
      <c r="Q53" s="14" t="n">
        <f aca="false">IF(P53&gt;=HW_Days,1,0)</f>
        <v>0</v>
      </c>
      <c r="R53" s="17" t="str">
        <f aca="false">IF(AND(N53=1,I53&gt;=T_Red,O53=1),"RED",IF(AND(Q53=1,O53=1),"AMBER",IF(OR(N53=1,O53=1),"YELLOW","GREEN")))</f>
        <v>YELLOW</v>
      </c>
      <c r="S53" s="14" t="n">
        <f aca="false">IF(R53="RED",3,IF(R53="AMBER",2,IF(R53="YELLOW",1,0)))</f>
        <v>1</v>
      </c>
      <c r="T53" s="16" t="n">
        <f aca="false">MAX(0,T52*(1-Decay)+IF(I53="",0,MAX(0,I53-T_Comfort))-Recovery_Rate*MAX(0,T_Night-K53))</f>
        <v>2.8</v>
      </c>
      <c r="U53" s="14" t="n">
        <f aca="false">IF(T53&gt;Capacity,1,0)</f>
        <v>0</v>
      </c>
      <c r="V53" s="15" t="n">
        <f aca="false">1/(1+EXP(-Logistic_k*(T53-Capacity)))</f>
        <v>0.0037583867585008</v>
      </c>
      <c r="W53" s="16" t="n">
        <f aca="false">IF(M53="",0,Beta*Pop_Share_Sel*(1-Sens_Red)*MAX(0,M53-T_Mort))</f>
        <v>0.222158438576348</v>
      </c>
      <c r="X53" s="16" t="n">
        <f aca="false">IF(ISNUMBER(F53),F53+Coef_B1*(Climate_Shift+G52),"")</f>
        <v>24.62697838128</v>
      </c>
      <c r="Y53" s="16" t="n">
        <f aca="false">IF(AND(ISNUMBER(X53),H53&lt;&gt;""),H53+Climate_Shift-X53,"")</f>
        <v>3.27302161872</v>
      </c>
      <c r="Z53" s="16" t="n">
        <f aca="false">IF(ISNUMBER(Y53),ABS(Y53),"")</f>
        <v>3.27302161872</v>
      </c>
      <c r="AA53" s="16" t="n">
        <f aca="false">IF(COUNT(Z47:Z53)=0,"",AVERAGE(Z47:Z53))</f>
        <v>1.99553868824042</v>
      </c>
      <c r="AB53" s="16" t="n">
        <f aca="false">IF(AD52=1,0,MAX(0,AB52+IF(ISNUMBER(Y53),Y53-CUSUM_k,0)))</f>
        <v>4.19929854981048</v>
      </c>
      <c r="AC53" s="16" t="n">
        <f aca="false">IF(AD52=1,0,MAX(0,AC52+IF(ISNUMBER(Y53),-Y53-CUSUM_k,0)))</f>
        <v>0</v>
      </c>
      <c r="AD53" s="17" t="n">
        <f aca="false">IF(OR(AB53&gt;CUSUM_h,AC53&gt;CUSUM_h,AND(ISNUMBER(AA53),AA53&gt;MAE_Tol)),1,0)</f>
        <v>0</v>
      </c>
      <c r="AE53" s="14" t="n">
        <f aca="false">IF(ISNUMBER(X53),IF(X53+Local_Sensing*UHI_Day_Eff&gt;=T_Day,1,0),0)</f>
        <v>0</v>
      </c>
      <c r="AF53" s="17" t="str">
        <f aca="false">IF(NOT(ISNUMBER(X53)),"n/a",IF(AND(AE53=1,N53=1),"Hit",IF(AND(AE53=0,N53=1),"Miss",IF(AND(AE53=1,N53=0),"False alarm","Correct quiet"))))</f>
        <v>Miss</v>
      </c>
      <c r="AG53" s="14" t="n">
        <f aca="false">IF(H53="",0,IF(H53+Climate_Shift&gt;=T_Day,1,0))</f>
        <v>0</v>
      </c>
      <c r="AH53" s="17" t="n">
        <f aca="false">IF(AND(N53=1,AG53=0),1,0)</f>
        <v>1</v>
      </c>
      <c r="AI53" s="17" t="str">
        <f aca="false">IF(U53=1,"ESCALATE: surge health &amp; transport capacity",IF(AD53=1,"Model drift: retrain, recalibrate, raise change request",IF(S53&gt;=2,"Activate heat plan: outreach and cooling centres",IF(AND(E53=1,OR(N53=1,O53=1)),"Data QA: verify sensor before acting",IF(AF53="Miss","Review missed alert: threshold or model",IF(AH53=1,"Equity: local alert not seen at reference station","Monitor"))))))</f>
        <v>Review missed alert: threshold or model</v>
      </c>
      <c r="AN53" s="58" t="n">
        <f aca="false">T_Day</f>
        <v>28</v>
      </c>
      <c r="AO53" s="58" t="n">
        <f aca="false">Capacity</f>
        <v>40</v>
      </c>
      <c r="AP53" s="58" t="n">
        <f aca="false">CUSUM_h</f>
        <v>15</v>
      </c>
    </row>
    <row r="54" customFormat="false" ht="15" hidden="false" customHeight="false" outlineLevel="0" collapsed="false">
      <c r="A54" s="14" t="n">
        <v>46</v>
      </c>
      <c r="B54" s="14" t="n">
        <f aca="false">2+(SelYear-1979)*153+A54-1</f>
        <v>6626</v>
      </c>
      <c r="C54" s="55" t="n">
        <f aca="false">INDEX(Data_Heathrow!$A:$A,B54)</f>
        <v>44727</v>
      </c>
      <c r="D54" s="16" t="n">
        <f aca="false">INDEX(Data_Heathrow!$E:$E,B54)</f>
        <v>29.4</v>
      </c>
      <c r="E54" s="17" t="n">
        <f aca="false">INDEX(Data_Heathrow!$Q:$Q,B54)</f>
        <v>0</v>
      </c>
      <c r="F54" s="16" t="n">
        <f aca="false">INDEX(Data_Heathrow!$T:$T,B54)</f>
        <v>26.9657903607988</v>
      </c>
      <c r="G54" s="16" t="n">
        <f aca="false">IF(AND(Drift_Rate&lt;&gt;0,A54&gt;=Drift_Start),Drift_Rate*(A54-Drift_Start+1)/30,0)</f>
        <v>0</v>
      </c>
      <c r="H54" s="16" t="n">
        <f aca="false">IF(AND(E54=1,QA_Policy="Exclude suspect"),"",IF(AND(E54=1,QA_Policy="Impute with model",ISNUMBER(F54)),F54,D54)+G54)</f>
        <v>29.4</v>
      </c>
      <c r="I54" s="16" t="n">
        <f aca="false">IF(H54="","",H54+Climate_Shift+UHI_Day_Eff)</f>
        <v>31.4</v>
      </c>
      <c r="J54" s="16" t="n">
        <f aca="false">INDEX(Data_Heathrow!$G:$G,B54)</f>
        <v>11.3</v>
      </c>
      <c r="K54" s="16" t="n">
        <f aca="false">J54+Climate_Shift+UHI_Night_Eff</f>
        <v>15.3</v>
      </c>
      <c r="L54" s="16" t="n">
        <f aca="false">IF(INDEX(Data_Heathrow!$I:$I,B54)="","",INDEX(Data_Heathrow!$I:$I,B54))</f>
        <v>19.6</v>
      </c>
      <c r="M54" s="16" t="n">
        <f aca="false">IF(L54="","",L54+Climate_Shift+(UHI_Day_Eff+UHI_Night_Eff)/2)</f>
        <v>22.6</v>
      </c>
      <c r="N54" s="14" t="n">
        <f aca="false">IF(I54="",0,IF(I54&gt;=T_Day,1,0))</f>
        <v>1</v>
      </c>
      <c r="O54" s="14" t="n">
        <f aca="false">IF(K54&gt;=T_Night,1,0)</f>
        <v>0</v>
      </c>
      <c r="P54" s="14" t="n">
        <f aca="false">IF(N54=1,P53+1,0)</f>
        <v>2</v>
      </c>
      <c r="Q54" s="14" t="n">
        <f aca="false">IF(P54&gt;=HW_Days,1,0)</f>
        <v>0</v>
      </c>
      <c r="R54" s="17" t="str">
        <f aca="false">IF(AND(N54=1,I54&gt;=T_Red,O54=1),"RED",IF(AND(Q54=1,O54=1),"AMBER",IF(OR(N54=1,O54=1),"YELLOW","GREEN")))</f>
        <v>YELLOW</v>
      </c>
      <c r="S54" s="14" t="n">
        <f aca="false">IF(R54="RED",3,IF(R54="AMBER",2,IF(R54="YELLOW",1,0)))</f>
        <v>1</v>
      </c>
      <c r="T54" s="16" t="n">
        <f aca="false">MAX(0,T53*(1-Decay)+IF(I54="",0,MAX(0,I54-T_Comfort))-Recovery_Rate*MAX(0,T_Night-K54))</f>
        <v>7.29</v>
      </c>
      <c r="U54" s="14" t="n">
        <f aca="false">IF(T54&gt;Capacity,1,0)</f>
        <v>0</v>
      </c>
      <c r="V54" s="15" t="n">
        <f aca="false">1/(1+EXP(-Logistic_k*(T54-Capacity)))</f>
        <v>0.00734400383263029</v>
      </c>
      <c r="W54" s="16" t="n">
        <f aca="false">IF(M54="",0,Beta*Pop_Share_Sel*(1-Sens_Red)*MAX(0,M54-T_Mort))</f>
        <v>1.44402985074627</v>
      </c>
      <c r="X54" s="16" t="n">
        <f aca="false">IF(ISNUMBER(F54),F54+Coef_B1*(Climate_Shift+G53),"")</f>
        <v>26.9657903607988</v>
      </c>
      <c r="Y54" s="16" t="n">
        <f aca="false">IF(AND(ISNUMBER(X54),H54&lt;&gt;""),H54+Climate_Shift-X54,"")</f>
        <v>2.43420963920118</v>
      </c>
      <c r="Z54" s="16" t="n">
        <f aca="false">IF(ISNUMBER(Y54),ABS(Y54),"")</f>
        <v>2.43420963920118</v>
      </c>
      <c r="AA54" s="16" t="n">
        <f aca="false">IF(COUNT(Z48:Z54)=0,"",AVERAGE(Z48:Z54))</f>
        <v>2.04682122666319</v>
      </c>
      <c r="AB54" s="16" t="n">
        <f aca="false">IF(AD53=1,0,MAX(0,AB53+IF(ISNUMBER(Y54),Y54-CUSUM_k,0)))</f>
        <v>5.63350818901166</v>
      </c>
      <c r="AC54" s="16" t="n">
        <f aca="false">IF(AD53=1,0,MAX(0,AC53+IF(ISNUMBER(Y54),-Y54-CUSUM_k,0)))</f>
        <v>0</v>
      </c>
      <c r="AD54" s="17" t="n">
        <f aca="false">IF(OR(AB54&gt;CUSUM_h,AC54&gt;CUSUM_h,AND(ISNUMBER(AA54),AA54&gt;MAE_Tol)),1,0)</f>
        <v>0</v>
      </c>
      <c r="AE54" s="14" t="n">
        <f aca="false">IF(ISNUMBER(X54),IF(X54+Local_Sensing*UHI_Day_Eff&gt;=T_Day,1,0),0)</f>
        <v>0</v>
      </c>
      <c r="AF54" s="17" t="str">
        <f aca="false">IF(NOT(ISNUMBER(X54)),"n/a",IF(AND(AE54=1,N54=1),"Hit",IF(AND(AE54=0,N54=1),"Miss",IF(AND(AE54=1,N54=0),"False alarm","Correct quiet"))))</f>
        <v>Miss</v>
      </c>
      <c r="AG54" s="14" t="n">
        <f aca="false">IF(H54="",0,IF(H54+Climate_Shift&gt;=T_Day,1,0))</f>
        <v>1</v>
      </c>
      <c r="AH54" s="17" t="n">
        <f aca="false">IF(AND(N54=1,AG54=0),1,0)</f>
        <v>0</v>
      </c>
      <c r="AI54" s="17" t="str">
        <f aca="false">IF(U54=1,"ESCALATE: surge health &amp; transport capacity",IF(AD54=1,"Model drift: retrain, recalibrate, raise change request",IF(S54&gt;=2,"Activate heat plan: outreach and cooling centres",IF(AND(E54=1,OR(N54=1,O54=1)),"Data QA: verify sensor before acting",IF(AF54="Miss","Review missed alert: threshold or model",IF(AH54=1,"Equity: local alert not seen at reference station","Monitor"))))))</f>
        <v>Review missed alert: threshold or model</v>
      </c>
      <c r="AN54" s="58" t="n">
        <f aca="false">T_Day</f>
        <v>28</v>
      </c>
      <c r="AO54" s="58" t="n">
        <f aca="false">Capacity</f>
        <v>40</v>
      </c>
      <c r="AP54" s="58" t="n">
        <f aca="false">CUSUM_h</f>
        <v>15</v>
      </c>
    </row>
    <row r="55" customFormat="false" ht="15" hidden="false" customHeight="false" outlineLevel="0" collapsed="false">
      <c r="A55" s="14" t="n">
        <v>47</v>
      </c>
      <c r="B55" s="14" t="n">
        <f aca="false">2+(SelYear-1979)*153+A55-1</f>
        <v>6627</v>
      </c>
      <c r="C55" s="55" t="n">
        <f aca="false">INDEX(Data_Heathrow!$A:$A,B55)</f>
        <v>44728</v>
      </c>
      <c r="D55" s="16" t="n">
        <f aca="false">INDEX(Data_Heathrow!$E:$E,B55)</f>
        <v>32.7</v>
      </c>
      <c r="E55" s="17" t="n">
        <f aca="false">INDEX(Data_Heathrow!$Q:$Q,B55)</f>
        <v>0</v>
      </c>
      <c r="F55" s="16" t="n">
        <f aca="false">INDEX(Data_Heathrow!$T:$T,B55)</f>
        <v>28.125785382168</v>
      </c>
      <c r="G55" s="16" t="n">
        <f aca="false">IF(AND(Drift_Rate&lt;&gt;0,A55&gt;=Drift_Start),Drift_Rate*(A55-Drift_Start+1)/30,0)</f>
        <v>0</v>
      </c>
      <c r="H55" s="16" t="n">
        <f aca="false">IF(AND(E55=1,QA_Policy="Exclude suspect"),"",IF(AND(E55=1,QA_Policy="Impute with model",ISNUMBER(F55)),F55,D55)+G55)</f>
        <v>32.7</v>
      </c>
      <c r="I55" s="16" t="n">
        <f aca="false">IF(H55="","",H55+Climate_Shift+UHI_Day_Eff)</f>
        <v>34.7</v>
      </c>
      <c r="J55" s="16" t="n">
        <f aca="false">INDEX(Data_Heathrow!$G:$G,B55)</f>
        <v>13.8</v>
      </c>
      <c r="K55" s="16" t="n">
        <f aca="false">J55+Climate_Shift+UHI_Night_Eff</f>
        <v>17.8</v>
      </c>
      <c r="L55" s="16" t="n">
        <f aca="false">IF(INDEX(Data_Heathrow!$I:$I,B55)="","",INDEX(Data_Heathrow!$I:$I,B55))</f>
        <v>21.6</v>
      </c>
      <c r="M55" s="16" t="n">
        <f aca="false">IF(L55="","",L55+Climate_Shift+(UHI_Day_Eff+UHI_Night_Eff)/2)</f>
        <v>24.6</v>
      </c>
      <c r="N55" s="14" t="n">
        <f aca="false">IF(I55="",0,IF(I55&gt;=T_Day,1,0))</f>
        <v>1</v>
      </c>
      <c r="O55" s="14" t="n">
        <f aca="false">IF(K55&gt;=T_Night,1,0)</f>
        <v>0</v>
      </c>
      <c r="P55" s="14" t="n">
        <f aca="false">IF(N55=1,P54+1,0)</f>
        <v>3</v>
      </c>
      <c r="Q55" s="14" t="n">
        <f aca="false">IF(P55&gt;=HW_Days,1,0)</f>
        <v>1</v>
      </c>
      <c r="R55" s="17" t="str">
        <f aca="false">IF(AND(N55=1,I55&gt;=T_Red,O55=1),"RED",IF(AND(Q55=1,O55=1),"AMBER",IF(OR(N55=1,O55=1),"YELLOW","GREEN")))</f>
        <v>YELLOW</v>
      </c>
      <c r="S55" s="14" t="n">
        <f aca="false">IF(R55="RED",3,IF(R55="AMBER",2,IF(R55="YELLOW",1,0)))</f>
        <v>1</v>
      </c>
      <c r="T55" s="16" t="n">
        <f aca="false">MAX(0,T54*(1-Decay)+IF(I55="",0,MAX(0,I55-T_Comfort))-Recovery_Rate*MAX(0,T_Night-K55))</f>
        <v>15.432</v>
      </c>
      <c r="U55" s="14" t="n">
        <f aca="false">IF(T55&gt;Capacity,1,0)</f>
        <v>0</v>
      </c>
      <c r="V55" s="15" t="n">
        <f aca="false">1/(1+EXP(-Logistic_k*(T55-Capacity)))</f>
        <v>0.024477951224817</v>
      </c>
      <c r="W55" s="16" t="n">
        <f aca="false">IF(M55="",0,Beta*Pop_Share_Sel*(1-Sens_Red)*MAX(0,M55-T_Mort))</f>
        <v>2.55482204362801</v>
      </c>
      <c r="X55" s="16" t="n">
        <f aca="false">IF(ISNUMBER(F55),F55+Coef_B1*(Climate_Shift+G54),"")</f>
        <v>28.125785382168</v>
      </c>
      <c r="Y55" s="16" t="n">
        <f aca="false">IF(AND(ISNUMBER(X55),H55&lt;&gt;""),H55+Climate_Shift-X55,"")</f>
        <v>4.57421461783198</v>
      </c>
      <c r="Z55" s="16" t="n">
        <f aca="false">IF(ISNUMBER(Y55),ABS(Y55),"")</f>
        <v>4.57421461783198</v>
      </c>
      <c r="AA55" s="16" t="n">
        <f aca="false">IF(COUNT(Z49:Z55)=0,"",AVERAGE(Z49:Z55))</f>
        <v>2.17857695609939</v>
      </c>
      <c r="AB55" s="16" t="n">
        <f aca="false">IF(AD54=1,0,MAX(0,AB54+IF(ISNUMBER(Y55),Y55-CUSUM_k,0)))</f>
        <v>9.20772280684364</v>
      </c>
      <c r="AC55" s="16" t="n">
        <f aca="false">IF(AD54=1,0,MAX(0,AC54+IF(ISNUMBER(Y55),-Y55-CUSUM_k,0)))</f>
        <v>0</v>
      </c>
      <c r="AD55" s="17" t="n">
        <f aca="false">IF(OR(AB55&gt;CUSUM_h,AC55&gt;CUSUM_h,AND(ISNUMBER(AA55),AA55&gt;MAE_Tol)),1,0)</f>
        <v>0</v>
      </c>
      <c r="AE55" s="14" t="n">
        <f aca="false">IF(ISNUMBER(X55),IF(X55+Local_Sensing*UHI_Day_Eff&gt;=T_Day,1,0),0)</f>
        <v>1</v>
      </c>
      <c r="AF55" s="17" t="str">
        <f aca="false">IF(NOT(ISNUMBER(X55)),"n/a",IF(AND(AE55=1,N55=1),"Hit",IF(AND(AE55=0,N55=1),"Miss",IF(AND(AE55=1,N55=0),"False alarm","Correct quiet"))))</f>
        <v>Hit</v>
      </c>
      <c r="AG55" s="14" t="n">
        <f aca="false">IF(H55="",0,IF(H55+Climate_Shift&gt;=T_Day,1,0))</f>
        <v>1</v>
      </c>
      <c r="AH55" s="17" t="n">
        <f aca="false">IF(AND(N55=1,AG55=0),1,0)</f>
        <v>0</v>
      </c>
      <c r="AI55" s="17" t="str">
        <f aca="false">IF(U55=1,"ESCALATE: surge health &amp; transport capacity",IF(AD55=1,"Model drift: retrain, recalibrate, raise change request",IF(S55&gt;=2,"Activate heat plan: outreach and cooling centres",IF(AND(E55=1,OR(N55=1,O55=1)),"Data QA: verify sensor before acting",IF(AF55="Miss","Review missed alert: threshold or model",IF(AH55=1,"Equity: local alert not seen at reference station","Monitor"))))))</f>
        <v>Monitor</v>
      </c>
      <c r="AN55" s="58" t="n">
        <f aca="false">T_Day</f>
        <v>28</v>
      </c>
      <c r="AO55" s="58" t="n">
        <f aca="false">Capacity</f>
        <v>40</v>
      </c>
      <c r="AP55" s="58" t="n">
        <f aca="false">CUSUM_h</f>
        <v>15</v>
      </c>
    </row>
    <row r="56" customFormat="false" ht="15" hidden="false" customHeight="false" outlineLevel="0" collapsed="false">
      <c r="A56" s="14" t="n">
        <v>48</v>
      </c>
      <c r="B56" s="14" t="n">
        <f aca="false">2+(SelYear-1979)*153+A56-1</f>
        <v>6628</v>
      </c>
      <c r="C56" s="55" t="n">
        <f aca="false">INDEX(Data_Heathrow!$A:$A,B56)</f>
        <v>44729</v>
      </c>
      <c r="D56" s="16" t="n">
        <f aca="false">INDEX(Data_Heathrow!$E:$E,B56)</f>
        <v>24.8</v>
      </c>
      <c r="E56" s="17" t="n">
        <f aca="false">INDEX(Data_Heathrow!$Q:$Q,B56)</f>
        <v>0</v>
      </c>
      <c r="F56" s="16" t="n">
        <f aca="false">INDEX(Data_Heathrow!$T:$T,B56)</f>
        <v>30.9237144031108</v>
      </c>
      <c r="G56" s="16" t="n">
        <f aca="false">IF(AND(Drift_Rate&lt;&gt;0,A56&gt;=Drift_Start),Drift_Rate*(A56-Drift_Start+1)/30,0)</f>
        <v>0</v>
      </c>
      <c r="H56" s="16" t="n">
        <f aca="false">IF(AND(E56=1,QA_Policy="Exclude suspect"),"",IF(AND(E56=1,QA_Policy="Impute with model",ISNUMBER(F56)),F56,D56)+G56)</f>
        <v>24.8</v>
      </c>
      <c r="I56" s="16" t="n">
        <f aca="false">IF(H56="","",H56+Climate_Shift+UHI_Day_Eff)</f>
        <v>26.8</v>
      </c>
      <c r="J56" s="16" t="n">
        <f aca="false">INDEX(Data_Heathrow!$G:$G,B56)</f>
        <v>15.3</v>
      </c>
      <c r="K56" s="16" t="n">
        <f aca="false">J56+Climate_Shift+UHI_Night_Eff</f>
        <v>19.3</v>
      </c>
      <c r="L56" s="16" t="n">
        <f aca="false">IF(INDEX(Data_Heathrow!$I:$I,B56)="","",INDEX(Data_Heathrow!$I:$I,B56))</f>
        <v>24</v>
      </c>
      <c r="M56" s="16" t="n">
        <f aca="false">IF(L56="","",L56+Climate_Shift+(UHI_Day_Eff+UHI_Night_Eff)/2)</f>
        <v>27</v>
      </c>
      <c r="N56" s="14" t="n">
        <f aca="false">IF(I56="",0,IF(I56&gt;=T_Day,1,0))</f>
        <v>0</v>
      </c>
      <c r="O56" s="14" t="n">
        <f aca="false">IF(K56&gt;=T_Night,1,0)</f>
        <v>1</v>
      </c>
      <c r="P56" s="14" t="n">
        <f aca="false">IF(N56=1,P55+1,0)</f>
        <v>0</v>
      </c>
      <c r="Q56" s="14" t="n">
        <f aca="false">IF(P56&gt;=HW_Days,1,0)</f>
        <v>0</v>
      </c>
      <c r="R56" s="17" t="str">
        <f aca="false">IF(AND(N56=1,I56&gt;=T_Red,O56=1),"RED",IF(AND(Q56=1,O56=1),"AMBER",IF(OR(N56=1,O56=1),"YELLOW","GREEN")))</f>
        <v>YELLOW</v>
      </c>
      <c r="S56" s="14" t="n">
        <f aca="false">IF(R56="RED",3,IF(R56="AMBER",2,IF(R56="YELLOW",1,0)))</f>
        <v>1</v>
      </c>
      <c r="T56" s="16" t="n">
        <f aca="false">MAX(0,T55*(1-Decay)+IF(I56="",0,MAX(0,I56-T_Comfort))-Recovery_Rate*MAX(0,T_Night-K56))</f>
        <v>14.1456</v>
      </c>
      <c r="U56" s="14" t="n">
        <f aca="false">IF(T56&gt;Capacity,1,0)</f>
        <v>0</v>
      </c>
      <c r="V56" s="15" t="n">
        <f aca="false">1/(1+EXP(-Logistic_k*(T56-Capacity)))</f>
        <v>0.0202695047796011</v>
      </c>
      <c r="W56" s="16" t="n">
        <f aca="false">IF(M56="",0,Beta*Pop_Share_Sel*(1-Sens_Red)*MAX(0,M56-T_Mort))</f>
        <v>3.88777267508611</v>
      </c>
      <c r="X56" s="16" t="n">
        <f aca="false">IF(ISNUMBER(F56),F56+Coef_B1*(Climate_Shift+G55),"")</f>
        <v>30.9237144031108</v>
      </c>
      <c r="Y56" s="16" t="n">
        <f aca="false">IF(AND(ISNUMBER(X56),H56&lt;&gt;""),H56+Climate_Shift-X56,"")</f>
        <v>-6.12371440311077</v>
      </c>
      <c r="Z56" s="16" t="n">
        <f aca="false">IF(ISNUMBER(Y56),ABS(Y56),"")</f>
        <v>6.12371440311077</v>
      </c>
      <c r="AA56" s="16" t="n">
        <f aca="false">IF(COUNT(Z50:Z56)=0,"",AVERAGE(Z50:Z56))</f>
        <v>3.02330191748233</v>
      </c>
      <c r="AB56" s="16" t="n">
        <f aca="false">IF(AD55=1,0,MAX(0,AB55+IF(ISNUMBER(Y56),Y56-CUSUM_k,0)))</f>
        <v>2.08400840373287</v>
      </c>
      <c r="AC56" s="16" t="n">
        <f aca="false">IF(AD55=1,0,MAX(0,AC55+IF(ISNUMBER(Y56),-Y56-CUSUM_k,0)))</f>
        <v>5.12371440311077</v>
      </c>
      <c r="AD56" s="17" t="n">
        <f aca="false">IF(OR(AB56&gt;CUSUM_h,AC56&gt;CUSUM_h,AND(ISNUMBER(AA56),AA56&gt;MAE_Tol)),1,0)</f>
        <v>0</v>
      </c>
      <c r="AE56" s="14" t="n">
        <f aca="false">IF(ISNUMBER(X56),IF(X56+Local_Sensing*UHI_Day_Eff&gt;=T_Day,1,0),0)</f>
        <v>1</v>
      </c>
      <c r="AF56" s="17" t="str">
        <f aca="false">IF(NOT(ISNUMBER(X56)),"n/a",IF(AND(AE56=1,N56=1),"Hit",IF(AND(AE56=0,N56=1),"Miss",IF(AND(AE56=1,N56=0),"False alarm","Correct quiet"))))</f>
        <v>False alarm</v>
      </c>
      <c r="AG56" s="14" t="n">
        <f aca="false">IF(H56="",0,IF(H56+Climate_Shift&gt;=T_Day,1,0))</f>
        <v>0</v>
      </c>
      <c r="AH56" s="17" t="n">
        <f aca="false">IF(AND(N56=1,AG56=0),1,0)</f>
        <v>0</v>
      </c>
      <c r="AI56" s="17" t="str">
        <f aca="false">IF(U56=1,"ESCALATE: surge health &amp; transport capacity",IF(AD56=1,"Model drift: retrain, recalibrate, raise change request",IF(S56&gt;=2,"Activate heat plan: outreach and cooling centres",IF(AND(E56=1,OR(N56=1,O56=1)),"Data QA: verify sensor before acting",IF(AF56="Miss","Review missed alert: threshold or model",IF(AH56=1,"Equity: local alert not seen at reference station","Monitor"))))))</f>
        <v>Monitor</v>
      </c>
      <c r="AN56" s="58" t="n">
        <f aca="false">T_Day</f>
        <v>28</v>
      </c>
      <c r="AO56" s="58" t="n">
        <f aca="false">Capacity</f>
        <v>40</v>
      </c>
      <c r="AP56" s="58" t="n">
        <f aca="false">CUSUM_h</f>
        <v>15</v>
      </c>
    </row>
    <row r="57" customFormat="false" ht="15" hidden="false" customHeight="false" outlineLevel="0" collapsed="false">
      <c r="A57" s="14" t="n">
        <v>49</v>
      </c>
      <c r="B57" s="14" t="n">
        <f aca="false">2+(SelYear-1979)*153+A57-1</f>
        <v>6629</v>
      </c>
      <c r="C57" s="55" t="n">
        <f aca="false">INDEX(Data_Heathrow!$A:$A,B57)</f>
        <v>44730</v>
      </c>
      <c r="D57" s="16" t="n">
        <f aca="false">INDEX(Data_Heathrow!$E:$E,B57)</f>
        <v>19.7</v>
      </c>
      <c r="E57" s="17" t="n">
        <f aca="false">INDEX(Data_Heathrow!$Q:$Q,B57)</f>
        <v>1</v>
      </c>
      <c r="F57" s="16" t="n">
        <f aca="false">INDEX(Data_Heathrow!$T:$T,B57)</f>
        <v>24.3913319782692</v>
      </c>
      <c r="G57" s="16" t="n">
        <f aca="false">IF(AND(Drift_Rate&lt;&gt;0,A57&gt;=Drift_Start),Drift_Rate*(A57-Drift_Start+1)/30,0)</f>
        <v>0</v>
      </c>
      <c r="H57" s="16" t="n">
        <f aca="false">IF(AND(E57=1,QA_Policy="Exclude suspect"),"",IF(AND(E57=1,QA_Policy="Impute with model",ISNUMBER(F57)),F57,D57)+G57)</f>
        <v>19.7</v>
      </c>
      <c r="I57" s="16" t="n">
        <f aca="false">IF(H57="","",H57+Climate_Shift+UHI_Day_Eff)</f>
        <v>21.7</v>
      </c>
      <c r="J57" s="16" t="n">
        <f aca="false">INDEX(Data_Heathrow!$G:$G,B57)</f>
        <v>18</v>
      </c>
      <c r="K57" s="16" t="n">
        <f aca="false">J57+Climate_Shift+UHI_Night_Eff</f>
        <v>22</v>
      </c>
      <c r="L57" s="16" t="n">
        <f aca="false">IF(INDEX(Data_Heathrow!$I:$I,B57)="","",INDEX(Data_Heathrow!$I:$I,B57))</f>
        <v>21.4</v>
      </c>
      <c r="M57" s="16" t="n">
        <f aca="false">IF(L57="","",L57+Climate_Shift+(UHI_Day_Eff+UHI_Night_Eff)/2)</f>
        <v>24.4</v>
      </c>
      <c r="N57" s="14" t="n">
        <f aca="false">IF(I57="",0,IF(I57&gt;=T_Day,1,0))</f>
        <v>0</v>
      </c>
      <c r="O57" s="14" t="n">
        <f aca="false">IF(K57&gt;=T_Night,1,0)</f>
        <v>1</v>
      </c>
      <c r="P57" s="14" t="n">
        <f aca="false">IF(N57=1,P56+1,0)</f>
        <v>0</v>
      </c>
      <c r="Q57" s="14" t="n">
        <f aca="false">IF(P57&gt;=HW_Days,1,0)</f>
        <v>0</v>
      </c>
      <c r="R57" s="17" t="str">
        <f aca="false">IF(AND(N57=1,I57&gt;=T_Red,O57=1),"RED",IF(AND(Q57=1,O57=1),"AMBER",IF(OR(N57=1,O57=1),"YELLOW","GREEN")))</f>
        <v>YELLOW</v>
      </c>
      <c r="S57" s="14" t="n">
        <f aca="false">IF(R57="RED",3,IF(R57="AMBER",2,IF(R57="YELLOW",1,0)))</f>
        <v>1</v>
      </c>
      <c r="T57" s="16" t="n">
        <f aca="false">MAX(0,T56*(1-Decay)+IF(I57="",0,MAX(0,I57-T_Comfort))-Recovery_Rate*MAX(0,T_Night-K57))</f>
        <v>11.31648</v>
      </c>
      <c r="U57" s="14" t="n">
        <f aca="false">IF(T57&gt;Capacity,1,0)</f>
        <v>0</v>
      </c>
      <c r="V57" s="15" t="n">
        <f aca="false">1/(1+EXP(-Logistic_k*(T57-Capacity)))</f>
        <v>0.0133535697823072</v>
      </c>
      <c r="W57" s="16" t="n">
        <f aca="false">IF(M57="",0,Beta*Pop_Share_Sel*(1-Sens_Red)*MAX(0,M57-T_Mort))</f>
        <v>2.44374282433984</v>
      </c>
      <c r="X57" s="16" t="n">
        <f aca="false">IF(ISNUMBER(F57),F57+Coef_B1*(Climate_Shift+G56),"")</f>
        <v>24.3913319782692</v>
      </c>
      <c r="Y57" s="16" t="n">
        <f aca="false">IF(AND(ISNUMBER(X57),H57&lt;&gt;""),H57+Climate_Shift-X57,"")</f>
        <v>-4.69133197826919</v>
      </c>
      <c r="Z57" s="16" t="n">
        <f aca="false">IF(ISNUMBER(Y57),ABS(Y57),"")</f>
        <v>4.69133197826919</v>
      </c>
      <c r="AA57" s="16" t="n">
        <f aca="false">IF(COUNT(Z51:Z57)=0,"",AVERAGE(Z51:Z57))</f>
        <v>3.6028709269971</v>
      </c>
      <c r="AB57" s="16" t="n">
        <f aca="false">IF(AD56=1,0,MAX(0,AB56+IF(ISNUMBER(Y57),Y57-CUSUM_k,0)))</f>
        <v>0</v>
      </c>
      <c r="AC57" s="16" t="n">
        <f aca="false">IF(AD56=1,0,MAX(0,AC56+IF(ISNUMBER(Y57),-Y57-CUSUM_k,0)))</f>
        <v>8.81504638137996</v>
      </c>
      <c r="AD57" s="17" t="n">
        <f aca="false">IF(OR(AB57&gt;CUSUM_h,AC57&gt;CUSUM_h,AND(ISNUMBER(AA57),AA57&gt;MAE_Tol)),1,0)</f>
        <v>0</v>
      </c>
      <c r="AE57" s="14" t="n">
        <f aca="false">IF(ISNUMBER(X57),IF(X57+Local_Sensing*UHI_Day_Eff&gt;=T_Day,1,0),0)</f>
        <v>0</v>
      </c>
      <c r="AF57" s="17" t="str">
        <f aca="false">IF(NOT(ISNUMBER(X57)),"n/a",IF(AND(AE57=1,N57=1),"Hit",IF(AND(AE57=0,N57=1),"Miss",IF(AND(AE57=1,N57=0),"False alarm","Correct quiet"))))</f>
        <v>Correct quiet</v>
      </c>
      <c r="AG57" s="14" t="n">
        <f aca="false">IF(H57="",0,IF(H57+Climate_Shift&gt;=T_Day,1,0))</f>
        <v>0</v>
      </c>
      <c r="AH57" s="17" t="n">
        <f aca="false">IF(AND(N57=1,AG57=0),1,0)</f>
        <v>0</v>
      </c>
      <c r="AI57" s="17" t="str">
        <f aca="false">IF(U57=1,"ESCALATE: surge health &amp; transport capacity",IF(AD57=1,"Model drift: retrain, recalibrate, raise change request",IF(S57&gt;=2,"Activate heat plan: outreach and cooling centres",IF(AND(E57=1,OR(N57=1,O57=1)),"Data QA: verify sensor before acting",IF(AF57="Miss","Review missed alert: threshold or model",IF(AH57=1,"Equity: local alert not seen at reference station","Monitor"))))))</f>
        <v>Data QA: verify sensor before acting</v>
      </c>
      <c r="AN57" s="58" t="n">
        <f aca="false">T_Day</f>
        <v>28</v>
      </c>
      <c r="AO57" s="58" t="n">
        <f aca="false">Capacity</f>
        <v>40</v>
      </c>
      <c r="AP57" s="58" t="n">
        <f aca="false">CUSUM_h</f>
        <v>15</v>
      </c>
    </row>
    <row r="58" customFormat="false" ht="15" hidden="false" customHeight="false" outlineLevel="0" collapsed="false">
      <c r="A58" s="14" t="n">
        <v>50</v>
      </c>
      <c r="B58" s="14" t="n">
        <f aca="false">2+(SelYear-1979)*153+A58-1</f>
        <v>6630</v>
      </c>
      <c r="C58" s="55" t="n">
        <f aca="false">INDEX(Data_Heathrow!$A:$A,B58)</f>
        <v>44731</v>
      </c>
      <c r="D58" s="16" t="n">
        <f aca="false">INDEX(Data_Heathrow!$E:$E,B58)</f>
        <v>22.5</v>
      </c>
      <c r="E58" s="17" t="n">
        <f aca="false">INDEX(Data_Heathrow!$Q:$Q,B58)</f>
        <v>0</v>
      </c>
      <c r="F58" s="16" t="n">
        <f aca="false">INDEX(Data_Heathrow!$T:$T,B58)</f>
        <v>20.1562362834105</v>
      </c>
      <c r="G58" s="16" t="n">
        <f aca="false">IF(AND(Drift_Rate&lt;&gt;0,A58&gt;=Drift_Start),Drift_Rate*(A58-Drift_Start+1)/30,0)</f>
        <v>0</v>
      </c>
      <c r="H58" s="16" t="n">
        <f aca="false">IF(AND(E58=1,QA_Policy="Exclude suspect"),"",IF(AND(E58=1,QA_Policy="Impute with model",ISNUMBER(F58)),F58,D58)+G58)</f>
        <v>22.5</v>
      </c>
      <c r="I58" s="16" t="n">
        <f aca="false">IF(H58="","",H58+Climate_Shift+UHI_Day_Eff)</f>
        <v>24.5</v>
      </c>
      <c r="J58" s="16" t="n">
        <f aca="false">INDEX(Data_Heathrow!$G:$G,B58)</f>
        <v>9.7</v>
      </c>
      <c r="K58" s="16" t="n">
        <f aca="false">J58+Climate_Shift+UHI_Night_Eff</f>
        <v>13.7</v>
      </c>
      <c r="L58" s="16" t="n">
        <f aca="false">IF(INDEX(Data_Heathrow!$I:$I,B58)="","",INDEX(Data_Heathrow!$I:$I,B58))</f>
        <v>14.7</v>
      </c>
      <c r="M58" s="16" t="n">
        <f aca="false">IF(L58="","",L58+Climate_Shift+(UHI_Day_Eff+UHI_Night_Eff)/2)</f>
        <v>17.7</v>
      </c>
      <c r="N58" s="14" t="n">
        <f aca="false">IF(I58="",0,IF(I58&gt;=T_Day,1,0))</f>
        <v>0</v>
      </c>
      <c r="O58" s="14" t="n">
        <f aca="false">IF(K58&gt;=T_Night,1,0)</f>
        <v>0</v>
      </c>
      <c r="P58" s="14" t="n">
        <f aca="false">IF(N58=1,P57+1,0)</f>
        <v>0</v>
      </c>
      <c r="Q58" s="14" t="n">
        <f aca="false">IF(P58&gt;=HW_Days,1,0)</f>
        <v>0</v>
      </c>
      <c r="R58" s="17" t="str">
        <f aca="false">IF(AND(N58=1,I58&gt;=T_Red,O58=1),"RED",IF(AND(Q58=1,O58=1),"AMBER",IF(OR(N58=1,O58=1),"YELLOW","GREEN")))</f>
        <v>GREEN</v>
      </c>
      <c r="S58" s="14" t="n">
        <f aca="false">IF(R58="RED",3,IF(R58="AMBER",2,IF(R58="YELLOW",1,0)))</f>
        <v>0</v>
      </c>
      <c r="T58" s="16" t="n">
        <f aca="false">MAX(0,T57*(1-Decay)+IF(I58="",0,MAX(0,I58-T_Comfort))-Recovery_Rate*MAX(0,T_Night-K58))</f>
        <v>6.903184</v>
      </c>
      <c r="U58" s="14" t="n">
        <f aca="false">IF(T58&gt;Capacity,1,0)</f>
        <v>0</v>
      </c>
      <c r="V58" s="15" t="n">
        <f aca="false">1/(1+EXP(-Logistic_k*(T58-Capacity)))</f>
        <v>0.00693288374277113</v>
      </c>
      <c r="W58" s="16" t="n">
        <f aca="false">IF(M58="",0,Beta*Pop_Share_Sel*(1-Sens_Red)*MAX(0,M58-T_Mort))</f>
        <v>0</v>
      </c>
      <c r="X58" s="16" t="n">
        <f aca="false">IF(ISNUMBER(F58),F58+Coef_B1*(Climate_Shift+G57),"")</f>
        <v>20.1562362834105</v>
      </c>
      <c r="Y58" s="16" t="n">
        <f aca="false">IF(AND(ISNUMBER(X58),H58&lt;&gt;""),H58+Climate_Shift-X58,"")</f>
        <v>2.34376371658955</v>
      </c>
      <c r="Z58" s="16" t="n">
        <f aca="false">IF(ISNUMBER(Y58),ABS(Y58),"")</f>
        <v>2.34376371658955</v>
      </c>
      <c r="AA58" s="16" t="n">
        <f aca="false">IF(COUNT(Z52:Z58)=0,"",AVERAGE(Z52:Z58))</f>
        <v>3.76664755783045</v>
      </c>
      <c r="AB58" s="16" t="n">
        <f aca="false">IF(AD57=1,0,MAX(0,AB57+IF(ISNUMBER(Y58),Y58-CUSUM_k,0)))</f>
        <v>1.34376371658955</v>
      </c>
      <c r="AC58" s="16" t="n">
        <f aca="false">IF(AD57=1,0,MAX(0,AC57+IF(ISNUMBER(Y58),-Y58-CUSUM_k,0)))</f>
        <v>5.47128266479041</v>
      </c>
      <c r="AD58" s="17" t="n">
        <f aca="false">IF(OR(AB58&gt;CUSUM_h,AC58&gt;CUSUM_h,AND(ISNUMBER(AA58),AA58&gt;MAE_Tol)),1,0)</f>
        <v>0</v>
      </c>
      <c r="AE58" s="14" t="n">
        <f aca="false">IF(ISNUMBER(X58),IF(X58+Local_Sensing*UHI_Day_Eff&gt;=T_Day,1,0),0)</f>
        <v>0</v>
      </c>
      <c r="AF58" s="17" t="str">
        <f aca="false">IF(NOT(ISNUMBER(X58)),"n/a",IF(AND(AE58=1,N58=1),"Hit",IF(AND(AE58=0,N58=1),"Miss",IF(AND(AE58=1,N58=0),"False alarm","Correct quiet"))))</f>
        <v>Correct quiet</v>
      </c>
      <c r="AG58" s="14" t="n">
        <f aca="false">IF(H58="",0,IF(H58+Climate_Shift&gt;=T_Day,1,0))</f>
        <v>0</v>
      </c>
      <c r="AH58" s="17" t="n">
        <f aca="false">IF(AND(N58=1,AG58=0),1,0)</f>
        <v>0</v>
      </c>
      <c r="AI58" s="17" t="str">
        <f aca="false">IF(U58=1,"ESCALATE: surge health &amp; transport capacity",IF(AD58=1,"Model drift: retrain, recalibrate, raise change request",IF(S58&gt;=2,"Activate heat plan: outreach and cooling centres",IF(AND(E58=1,OR(N58=1,O58=1)),"Data QA: verify sensor before acting",IF(AF58="Miss","Review missed alert: threshold or model",IF(AH58=1,"Equity: local alert not seen at reference station","Monitor"))))))</f>
        <v>Monitor</v>
      </c>
      <c r="AN58" s="58" t="n">
        <f aca="false">T_Day</f>
        <v>28</v>
      </c>
      <c r="AO58" s="58" t="n">
        <f aca="false">Capacity</f>
        <v>40</v>
      </c>
      <c r="AP58" s="58" t="n">
        <f aca="false">CUSUM_h</f>
        <v>15</v>
      </c>
    </row>
    <row r="59" customFormat="false" ht="15" hidden="false" customHeight="false" outlineLevel="0" collapsed="false">
      <c r="A59" s="14" t="n">
        <v>51</v>
      </c>
      <c r="B59" s="14" t="n">
        <f aca="false">2+(SelYear-1979)*153+A59-1</f>
        <v>6631</v>
      </c>
      <c r="C59" s="55" t="n">
        <f aca="false">INDEX(Data_Heathrow!$A:$A,B59)</f>
        <v>44732</v>
      </c>
      <c r="D59" s="16" t="n">
        <f aca="false">INDEX(Data_Heathrow!$E:$E,B59)</f>
        <v>26.2</v>
      </c>
      <c r="E59" s="17" t="n">
        <f aca="false">INDEX(Data_Heathrow!$Q:$Q,B59)</f>
        <v>0</v>
      </c>
      <c r="F59" s="16" t="n">
        <f aca="false">INDEX(Data_Heathrow!$T:$T,B59)</f>
        <v>22.3656873084181</v>
      </c>
      <c r="G59" s="16" t="n">
        <f aca="false">IF(AND(Drift_Rate&lt;&gt;0,A59&gt;=Drift_Start),Drift_Rate*(A59-Drift_Start+1)/30,0)</f>
        <v>0</v>
      </c>
      <c r="H59" s="16" t="n">
        <f aca="false">IF(AND(E59=1,QA_Policy="Exclude suspect"),"",IF(AND(E59=1,QA_Policy="Impute with model",ISNUMBER(F59)),F59,D59)+G59)</f>
        <v>26.2</v>
      </c>
      <c r="I59" s="16" t="n">
        <f aca="false">IF(H59="","",H59+Climate_Shift+UHI_Day_Eff)</f>
        <v>28.2</v>
      </c>
      <c r="J59" s="16" t="n">
        <f aca="false">INDEX(Data_Heathrow!$G:$G,B59)</f>
        <v>11.4</v>
      </c>
      <c r="K59" s="16" t="n">
        <f aca="false">J59+Climate_Shift+UHI_Night_Eff</f>
        <v>15.4</v>
      </c>
      <c r="L59" s="16" t="n">
        <f aca="false">IF(INDEX(Data_Heathrow!$I:$I,B59)="","",INDEX(Data_Heathrow!$I:$I,B59))</f>
        <v>16.9</v>
      </c>
      <c r="M59" s="16" t="n">
        <f aca="false">IF(L59="","",L59+Climate_Shift+(UHI_Day_Eff+UHI_Night_Eff)/2)</f>
        <v>19.9</v>
      </c>
      <c r="N59" s="14" t="n">
        <f aca="false">IF(I59="",0,IF(I59&gt;=T_Day,1,0))</f>
        <v>1</v>
      </c>
      <c r="O59" s="14" t="n">
        <f aca="false">IF(K59&gt;=T_Night,1,0)</f>
        <v>0</v>
      </c>
      <c r="P59" s="14" t="n">
        <f aca="false">IF(N59=1,P58+1,0)</f>
        <v>1</v>
      </c>
      <c r="Q59" s="14" t="n">
        <f aca="false">IF(P59&gt;=HW_Days,1,0)</f>
        <v>0</v>
      </c>
      <c r="R59" s="17" t="str">
        <f aca="false">IF(AND(N59=1,I59&gt;=T_Red,O59=1),"RED",IF(AND(Q59=1,O59=1),"AMBER",IF(OR(N59=1,O59=1),"YELLOW","GREEN")))</f>
        <v>YELLOW</v>
      </c>
      <c r="S59" s="14" t="n">
        <f aca="false">IF(R59="RED",3,IF(R59="AMBER",2,IF(R59="YELLOW",1,0)))</f>
        <v>1</v>
      </c>
      <c r="T59" s="16" t="n">
        <f aca="false">MAX(0,T58*(1-Decay)+IF(I59="",0,MAX(0,I59-T_Comfort))-Recovery_Rate*MAX(0,T_Night-K59))</f>
        <v>7.4225472</v>
      </c>
      <c r="U59" s="14" t="n">
        <f aca="false">IF(T59&gt;Capacity,1,0)</f>
        <v>0</v>
      </c>
      <c r="V59" s="15" t="n">
        <f aca="false">1/(1+EXP(-Logistic_k*(T59-Capacity)))</f>
        <v>0.0074903744589028</v>
      </c>
      <c r="W59" s="16" t="n">
        <f aca="false">IF(M59="",0,Beta*Pop_Share_Sel*(1-Sens_Red)*MAX(0,M59-T_Mort))</f>
        <v>0</v>
      </c>
      <c r="X59" s="16" t="n">
        <f aca="false">IF(ISNUMBER(F59),F59+Coef_B1*(Climate_Shift+G58),"")</f>
        <v>22.3656873084181</v>
      </c>
      <c r="Y59" s="16" t="n">
        <f aca="false">IF(AND(ISNUMBER(X59),H59&lt;&gt;""),H59+Climate_Shift-X59,"")</f>
        <v>3.83431269158187</v>
      </c>
      <c r="Z59" s="16" t="n">
        <f aca="false">IF(ISNUMBER(Y59),ABS(Y59),"")</f>
        <v>3.83431269158187</v>
      </c>
      <c r="AA59" s="16" t="n">
        <f aca="false">IF(COUNT(Z53:Z59)=0,"",AVERAGE(Z53:Z59))</f>
        <v>3.89636695218636</v>
      </c>
      <c r="AB59" s="16" t="n">
        <f aca="false">IF(AD58=1,0,MAX(0,AB58+IF(ISNUMBER(Y59),Y59-CUSUM_k,0)))</f>
        <v>4.17807640817142</v>
      </c>
      <c r="AC59" s="16" t="n">
        <f aca="false">IF(AD58=1,0,MAX(0,AC58+IF(ISNUMBER(Y59),-Y59-CUSUM_k,0)))</f>
        <v>0.63696997320854</v>
      </c>
      <c r="AD59" s="17" t="n">
        <f aca="false">IF(OR(AB59&gt;CUSUM_h,AC59&gt;CUSUM_h,AND(ISNUMBER(AA59),AA59&gt;MAE_Tol)),1,0)</f>
        <v>0</v>
      </c>
      <c r="AE59" s="14" t="n">
        <f aca="false">IF(ISNUMBER(X59),IF(X59+Local_Sensing*UHI_Day_Eff&gt;=T_Day,1,0),0)</f>
        <v>0</v>
      </c>
      <c r="AF59" s="17" t="str">
        <f aca="false">IF(NOT(ISNUMBER(X59)),"n/a",IF(AND(AE59=1,N59=1),"Hit",IF(AND(AE59=0,N59=1),"Miss",IF(AND(AE59=1,N59=0),"False alarm","Correct quiet"))))</f>
        <v>Miss</v>
      </c>
      <c r="AG59" s="14" t="n">
        <f aca="false">IF(H59="",0,IF(H59+Climate_Shift&gt;=T_Day,1,0))</f>
        <v>0</v>
      </c>
      <c r="AH59" s="17" t="n">
        <f aca="false">IF(AND(N59=1,AG59=0),1,0)</f>
        <v>1</v>
      </c>
      <c r="AI59" s="17" t="str">
        <f aca="false">IF(U59=1,"ESCALATE: surge health &amp; transport capacity",IF(AD59=1,"Model drift: retrain, recalibrate, raise change request",IF(S59&gt;=2,"Activate heat plan: outreach and cooling centres",IF(AND(E59=1,OR(N59=1,O59=1)),"Data QA: verify sensor before acting",IF(AF59="Miss","Review missed alert: threshold or model",IF(AH59=1,"Equity: local alert not seen at reference station","Monitor"))))))</f>
        <v>Review missed alert: threshold or model</v>
      </c>
      <c r="AN59" s="58" t="n">
        <f aca="false">T_Day</f>
        <v>28</v>
      </c>
      <c r="AO59" s="58" t="n">
        <f aca="false">Capacity</f>
        <v>40</v>
      </c>
      <c r="AP59" s="58" t="n">
        <f aca="false">CUSUM_h</f>
        <v>15</v>
      </c>
    </row>
    <row r="60" customFormat="false" ht="15" hidden="false" customHeight="false" outlineLevel="0" collapsed="false">
      <c r="A60" s="14" t="n">
        <v>52</v>
      </c>
      <c r="B60" s="14" t="n">
        <f aca="false">2+(SelYear-1979)*153+A60-1</f>
        <v>6632</v>
      </c>
      <c r="C60" s="55" t="n">
        <f aca="false">INDEX(Data_Heathrow!$A:$A,B60)</f>
        <v>44733</v>
      </c>
      <c r="D60" s="16" t="n">
        <f aca="false">INDEX(Data_Heathrow!$E:$E,B60)</f>
        <v>27.9</v>
      </c>
      <c r="E60" s="17" t="n">
        <f aca="false">INDEX(Data_Heathrow!$Q:$Q,B60)</f>
        <v>0</v>
      </c>
      <c r="F60" s="16" t="n">
        <f aca="false">INDEX(Data_Heathrow!$T:$T,B60)</f>
        <v>25.5038999644315</v>
      </c>
      <c r="G60" s="16" t="n">
        <f aca="false">IF(AND(Drift_Rate&lt;&gt;0,A60&gt;=Drift_Start),Drift_Rate*(A60-Drift_Start+1)/30,0)</f>
        <v>0</v>
      </c>
      <c r="H60" s="16" t="n">
        <f aca="false">IF(AND(E60=1,QA_Policy="Exclude suspect"),"",IF(AND(E60=1,QA_Policy="Impute with model",ISNUMBER(F60)),F60,D60)+G60)</f>
        <v>27.9</v>
      </c>
      <c r="I60" s="16" t="n">
        <f aca="false">IF(H60="","",H60+Climate_Shift+UHI_Day_Eff)</f>
        <v>29.9</v>
      </c>
      <c r="J60" s="16" t="n">
        <f aca="false">INDEX(Data_Heathrow!$G:$G,B60)</f>
        <v>10.6</v>
      </c>
      <c r="K60" s="16" t="n">
        <f aca="false">J60+Climate_Shift+UHI_Night_Eff</f>
        <v>14.6</v>
      </c>
      <c r="L60" s="16" t="n">
        <f aca="false">IF(INDEX(Data_Heathrow!$I:$I,B60)="","",INDEX(Data_Heathrow!$I:$I,B60))</f>
        <v>18.4</v>
      </c>
      <c r="M60" s="16" t="n">
        <f aca="false">IF(L60="","",L60+Climate_Shift+(UHI_Day_Eff+UHI_Night_Eff)/2)</f>
        <v>21.4</v>
      </c>
      <c r="N60" s="14" t="n">
        <f aca="false">IF(I60="",0,IF(I60&gt;=T_Day,1,0))</f>
        <v>1</v>
      </c>
      <c r="O60" s="14" t="n">
        <f aca="false">IF(K60&gt;=T_Night,1,0)</f>
        <v>0</v>
      </c>
      <c r="P60" s="14" t="n">
        <f aca="false">IF(N60=1,P59+1,0)</f>
        <v>2</v>
      </c>
      <c r="Q60" s="14" t="n">
        <f aca="false">IF(P60&gt;=HW_Days,1,0)</f>
        <v>0</v>
      </c>
      <c r="R60" s="17" t="str">
        <f aca="false">IF(AND(N60=1,I60&gt;=T_Red,O60=1),"RED",IF(AND(Q60=1,O60=1),"AMBER",IF(OR(N60=1,O60=1),"YELLOW","GREEN")))</f>
        <v>YELLOW</v>
      </c>
      <c r="S60" s="14" t="n">
        <f aca="false">IF(R60="RED",3,IF(R60="AMBER",2,IF(R60="YELLOW",1,0)))</f>
        <v>1</v>
      </c>
      <c r="T60" s="16" t="n">
        <f aca="false">MAX(0,T59*(1-Decay)+IF(I60="",0,MAX(0,I60-T_Comfort))-Recovery_Rate*MAX(0,T_Night-K60))</f>
        <v>9.13803776</v>
      </c>
      <c r="U60" s="14" t="n">
        <f aca="false">IF(T60&gt;Capacity,1,0)</f>
        <v>0</v>
      </c>
      <c r="V60" s="15" t="n">
        <f aca="false">1/(1+EXP(-Logistic_k*(T60-Capacity)))</f>
        <v>0.00966727659069249</v>
      </c>
      <c r="W60" s="16" t="n">
        <f aca="false">IF(M60="",0,Beta*Pop_Share_Sel*(1-Sens_Red)*MAX(0,M60-T_Mort))</f>
        <v>0.777554535017221</v>
      </c>
      <c r="X60" s="16" t="n">
        <f aca="false">IF(ISNUMBER(F60),F60+Coef_B1*(Climate_Shift+G59),"")</f>
        <v>25.5038999644315</v>
      </c>
      <c r="Y60" s="16" t="n">
        <f aca="false">IF(AND(ISNUMBER(X60),H60&lt;&gt;""),H60+Climate_Shift-X60,"")</f>
        <v>2.39610003556848</v>
      </c>
      <c r="Z60" s="16" t="n">
        <f aca="false">IF(ISNUMBER(Y60),ABS(Y60),"")</f>
        <v>2.39610003556848</v>
      </c>
      <c r="AA60" s="16" t="n">
        <f aca="false">IF(COUNT(Z54:Z60)=0,"",AVERAGE(Z54:Z60))</f>
        <v>3.77109244030757</v>
      </c>
      <c r="AB60" s="16" t="n">
        <f aca="false">IF(AD59=1,0,MAX(0,AB59+IF(ISNUMBER(Y60),Y60-CUSUM_k,0)))</f>
        <v>5.57417644373989</v>
      </c>
      <c r="AC60" s="16" t="n">
        <f aca="false">IF(AD59=1,0,MAX(0,AC59+IF(ISNUMBER(Y60),-Y60-CUSUM_k,0)))</f>
        <v>0</v>
      </c>
      <c r="AD60" s="17" t="n">
        <f aca="false">IF(OR(AB60&gt;CUSUM_h,AC60&gt;CUSUM_h,AND(ISNUMBER(AA60),AA60&gt;MAE_Tol)),1,0)</f>
        <v>0</v>
      </c>
      <c r="AE60" s="14" t="n">
        <f aca="false">IF(ISNUMBER(X60),IF(X60+Local_Sensing*UHI_Day_Eff&gt;=T_Day,1,0),0)</f>
        <v>0</v>
      </c>
      <c r="AF60" s="17" t="str">
        <f aca="false">IF(NOT(ISNUMBER(X60)),"n/a",IF(AND(AE60=1,N60=1),"Hit",IF(AND(AE60=0,N60=1),"Miss",IF(AND(AE60=1,N60=0),"False alarm","Correct quiet"))))</f>
        <v>Miss</v>
      </c>
      <c r="AG60" s="14" t="n">
        <f aca="false">IF(H60="",0,IF(H60+Climate_Shift&gt;=T_Day,1,0))</f>
        <v>0</v>
      </c>
      <c r="AH60" s="17" t="n">
        <f aca="false">IF(AND(N60=1,AG60=0),1,0)</f>
        <v>1</v>
      </c>
      <c r="AI60" s="17" t="str">
        <f aca="false">IF(U60=1,"ESCALATE: surge health &amp; transport capacity",IF(AD60=1,"Model drift: retrain, recalibrate, raise change request",IF(S60&gt;=2,"Activate heat plan: outreach and cooling centres",IF(AND(E60=1,OR(N60=1,O60=1)),"Data QA: verify sensor before acting",IF(AF60="Miss","Review missed alert: threshold or model",IF(AH60=1,"Equity: local alert not seen at reference station","Monitor"))))))</f>
        <v>Review missed alert: threshold or model</v>
      </c>
      <c r="AN60" s="58" t="n">
        <f aca="false">T_Day</f>
        <v>28</v>
      </c>
      <c r="AO60" s="58" t="n">
        <f aca="false">Capacity</f>
        <v>40</v>
      </c>
      <c r="AP60" s="58" t="n">
        <f aca="false">CUSUM_h</f>
        <v>15</v>
      </c>
    </row>
    <row r="61" customFormat="false" ht="15" hidden="false" customHeight="false" outlineLevel="0" collapsed="false">
      <c r="A61" s="14" t="n">
        <v>53</v>
      </c>
      <c r="B61" s="14" t="n">
        <f aca="false">2+(SelYear-1979)*153+A61-1</f>
        <v>6633</v>
      </c>
      <c r="C61" s="55" t="n">
        <f aca="false">INDEX(Data_Heathrow!$A:$A,B61)</f>
        <v>44734</v>
      </c>
      <c r="D61" s="16" t="n">
        <f aca="false">INDEX(Data_Heathrow!$E:$E,B61)</f>
        <v>26.7</v>
      </c>
      <c r="E61" s="17" t="n">
        <f aca="false">INDEX(Data_Heathrow!$Q:$Q,B61)</f>
        <v>0</v>
      </c>
      <c r="F61" s="16" t="n">
        <f aca="false">INDEX(Data_Heathrow!$T:$T,B61)</f>
        <v>26.7775709929949</v>
      </c>
      <c r="G61" s="16" t="n">
        <f aca="false">IF(AND(Drift_Rate&lt;&gt;0,A61&gt;=Drift_Start),Drift_Rate*(A61-Drift_Start+1)/30,0)</f>
        <v>0</v>
      </c>
      <c r="H61" s="16" t="n">
        <f aca="false">IF(AND(E61=1,QA_Policy="Exclude suspect"),"",IF(AND(E61=1,QA_Policy="Impute with model",ISNUMBER(F61)),F61,D61)+G61)</f>
        <v>26.7</v>
      </c>
      <c r="I61" s="16" t="n">
        <f aca="false">IF(H61="","",H61+Climate_Shift+UHI_Day_Eff)</f>
        <v>28.7</v>
      </c>
      <c r="J61" s="16" t="n">
        <f aca="false">INDEX(Data_Heathrow!$G:$G,B61)</f>
        <v>12.5</v>
      </c>
      <c r="K61" s="16" t="n">
        <f aca="false">J61+Climate_Shift+UHI_Night_Eff</f>
        <v>16.5</v>
      </c>
      <c r="L61" s="16" t="n">
        <f aca="false">IF(INDEX(Data_Heathrow!$I:$I,B61)="","",INDEX(Data_Heathrow!$I:$I,B61))</f>
        <v>20.2</v>
      </c>
      <c r="M61" s="16" t="n">
        <f aca="false">IF(L61="","",L61+Climate_Shift+(UHI_Day_Eff+UHI_Night_Eff)/2)</f>
        <v>23.2</v>
      </c>
      <c r="N61" s="14" t="n">
        <f aca="false">IF(I61="",0,IF(I61&gt;=T_Day,1,0))</f>
        <v>1</v>
      </c>
      <c r="O61" s="14" t="n">
        <f aca="false">IF(K61&gt;=T_Night,1,0)</f>
        <v>0</v>
      </c>
      <c r="P61" s="14" t="n">
        <f aca="false">IF(N61=1,P60+1,0)</f>
        <v>3</v>
      </c>
      <c r="Q61" s="14" t="n">
        <f aca="false">IF(P61&gt;=HW_Days,1,0)</f>
        <v>1</v>
      </c>
      <c r="R61" s="17" t="str">
        <f aca="false">IF(AND(N61=1,I61&gt;=T_Red,O61=1),"RED",IF(AND(Q61=1,O61=1),"AMBER",IF(OR(N61=1,O61=1),"YELLOW","GREEN")))</f>
        <v>YELLOW</v>
      </c>
      <c r="S61" s="14" t="n">
        <f aca="false">IF(R61="RED",3,IF(R61="AMBER",2,IF(R61="YELLOW",1,0)))</f>
        <v>1</v>
      </c>
      <c r="T61" s="16" t="n">
        <f aca="false">MAX(0,T60*(1-Decay)+IF(I61="",0,MAX(0,I61-T_Comfort))-Recovery_Rate*MAX(0,T_Night-K61))</f>
        <v>10.260430208</v>
      </c>
      <c r="U61" s="14" t="n">
        <f aca="false">IF(T61&gt;Capacity,1,0)</f>
        <v>0</v>
      </c>
      <c r="V61" s="15" t="n">
        <f aca="false">1/(1+EXP(-Logistic_k*(T61-Capacity)))</f>
        <v>0.0114196375763085</v>
      </c>
      <c r="W61" s="16" t="n">
        <f aca="false">IF(M61="",0,Beta*Pop_Share_Sel*(1-Sens_Red)*MAX(0,M61-T_Mort))</f>
        <v>1.77726750861079</v>
      </c>
      <c r="X61" s="16" t="n">
        <f aca="false">IF(ISNUMBER(F61),F61+Coef_B1*(Climate_Shift+G60),"")</f>
        <v>26.7775709929949</v>
      </c>
      <c r="Y61" s="16" t="n">
        <f aca="false">IF(AND(ISNUMBER(X61),H61&lt;&gt;""),H61+Climate_Shift-X61,"")</f>
        <v>-0.0775709929948825</v>
      </c>
      <c r="Z61" s="16" t="n">
        <f aca="false">IF(ISNUMBER(Y61),ABS(Y61),"")</f>
        <v>0.0775709929948825</v>
      </c>
      <c r="AA61" s="16" t="n">
        <f aca="false">IF(COUNT(Z55:Z61)=0,"",AVERAGE(Z55:Z61))</f>
        <v>3.43442977656382</v>
      </c>
      <c r="AB61" s="16" t="n">
        <f aca="false">IF(AD60=1,0,MAX(0,AB60+IF(ISNUMBER(Y61),Y61-CUSUM_k,0)))</f>
        <v>4.49660545074501</v>
      </c>
      <c r="AC61" s="16" t="n">
        <f aca="false">IF(AD60=1,0,MAX(0,AC60+IF(ISNUMBER(Y61),-Y61-CUSUM_k,0)))</f>
        <v>0</v>
      </c>
      <c r="AD61" s="17" t="n">
        <f aca="false">IF(OR(AB61&gt;CUSUM_h,AC61&gt;CUSUM_h,AND(ISNUMBER(AA61),AA61&gt;MAE_Tol)),1,0)</f>
        <v>0</v>
      </c>
      <c r="AE61" s="14" t="n">
        <f aca="false">IF(ISNUMBER(X61),IF(X61+Local_Sensing*UHI_Day_Eff&gt;=T_Day,1,0),0)</f>
        <v>0</v>
      </c>
      <c r="AF61" s="17" t="str">
        <f aca="false">IF(NOT(ISNUMBER(X61)),"n/a",IF(AND(AE61=1,N61=1),"Hit",IF(AND(AE61=0,N61=1),"Miss",IF(AND(AE61=1,N61=0),"False alarm","Correct quiet"))))</f>
        <v>Miss</v>
      </c>
      <c r="AG61" s="14" t="n">
        <f aca="false">IF(H61="",0,IF(H61+Climate_Shift&gt;=T_Day,1,0))</f>
        <v>0</v>
      </c>
      <c r="AH61" s="17" t="n">
        <f aca="false">IF(AND(N61=1,AG61=0),1,0)</f>
        <v>1</v>
      </c>
      <c r="AI61" s="17" t="str">
        <f aca="false">IF(U61=1,"ESCALATE: surge health &amp; transport capacity",IF(AD61=1,"Model drift: retrain, recalibrate, raise change request",IF(S61&gt;=2,"Activate heat plan: outreach and cooling centres",IF(AND(E61=1,OR(N61=1,O61=1)),"Data QA: verify sensor before acting",IF(AF61="Miss","Review missed alert: threshold or model",IF(AH61=1,"Equity: local alert not seen at reference station","Monitor"))))))</f>
        <v>Review missed alert: threshold or model</v>
      </c>
      <c r="AN61" s="58" t="n">
        <f aca="false">T_Day</f>
        <v>28</v>
      </c>
      <c r="AO61" s="58" t="n">
        <f aca="false">Capacity</f>
        <v>40</v>
      </c>
      <c r="AP61" s="58" t="n">
        <f aca="false">CUSUM_h</f>
        <v>15</v>
      </c>
    </row>
    <row r="62" customFormat="false" ht="15" hidden="false" customHeight="false" outlineLevel="0" collapsed="false">
      <c r="A62" s="14" t="n">
        <v>54</v>
      </c>
      <c r="B62" s="14" t="n">
        <f aca="false">2+(SelYear-1979)*153+A62-1</f>
        <v>6634</v>
      </c>
      <c r="C62" s="55" t="n">
        <f aca="false">INDEX(Data_Heathrow!$A:$A,B62)</f>
        <v>44735</v>
      </c>
      <c r="D62" s="16" t="n">
        <f aca="false">INDEX(Data_Heathrow!$E:$E,B62)</f>
        <v>22.5</v>
      </c>
      <c r="E62" s="17" t="n">
        <f aca="false">INDEX(Data_Heathrow!$Q:$Q,B62)</f>
        <v>0</v>
      </c>
      <c r="F62" s="16" t="n">
        <f aca="false">INDEX(Data_Heathrow!$T:$T,B62)</f>
        <v>25.7504461088561</v>
      </c>
      <c r="G62" s="16" t="n">
        <f aca="false">IF(AND(Drift_Rate&lt;&gt;0,A62&gt;=Drift_Start),Drift_Rate*(A62-Drift_Start+1)/30,0)</f>
        <v>0</v>
      </c>
      <c r="H62" s="16" t="n">
        <f aca="false">IF(AND(E62=1,QA_Policy="Exclude suspect"),"",IF(AND(E62=1,QA_Policy="Impute with model",ISNUMBER(F62)),F62,D62)+G62)</f>
        <v>22.5</v>
      </c>
      <c r="I62" s="16" t="n">
        <f aca="false">IF(H62="","",H62+Climate_Shift+UHI_Day_Eff)</f>
        <v>24.5</v>
      </c>
      <c r="J62" s="16" t="n">
        <f aca="false">INDEX(Data_Heathrow!$G:$G,B62)</f>
        <v>13.9</v>
      </c>
      <c r="K62" s="16" t="n">
        <f aca="false">J62+Climate_Shift+UHI_Night_Eff</f>
        <v>17.9</v>
      </c>
      <c r="L62" s="16" t="n">
        <f aca="false">IF(INDEX(Data_Heathrow!$I:$I,B62)="","",INDEX(Data_Heathrow!$I:$I,B62))</f>
        <v>20.3</v>
      </c>
      <c r="M62" s="16" t="n">
        <f aca="false">IF(L62="","",L62+Climate_Shift+(UHI_Day_Eff+UHI_Night_Eff)/2)</f>
        <v>23.3</v>
      </c>
      <c r="N62" s="14" t="n">
        <f aca="false">IF(I62="",0,IF(I62&gt;=T_Day,1,0))</f>
        <v>0</v>
      </c>
      <c r="O62" s="14" t="n">
        <f aca="false">IF(K62&gt;=T_Night,1,0)</f>
        <v>0</v>
      </c>
      <c r="P62" s="14" t="n">
        <f aca="false">IF(N62=1,P61+1,0)</f>
        <v>0</v>
      </c>
      <c r="Q62" s="14" t="n">
        <f aca="false">IF(P62&gt;=HW_Days,1,0)</f>
        <v>0</v>
      </c>
      <c r="R62" s="17" t="str">
        <f aca="false">IF(AND(N62=1,I62&gt;=T_Red,O62=1),"RED",IF(AND(Q62=1,O62=1),"AMBER",IF(OR(N62=1,O62=1),"YELLOW","GREEN")))</f>
        <v>GREEN</v>
      </c>
      <c r="S62" s="14" t="n">
        <f aca="false">IF(R62="RED",3,IF(R62="AMBER",2,IF(R62="YELLOW",1,0)))</f>
        <v>0</v>
      </c>
      <c r="T62" s="16" t="n">
        <f aca="false">MAX(0,T61*(1-Decay)+IF(I62="",0,MAX(0,I62-T_Comfort))-Recovery_Rate*MAX(0,T_Night-K62))</f>
        <v>8.1583441664</v>
      </c>
      <c r="U62" s="14" t="n">
        <f aca="false">IF(T62&gt;Capacity,1,0)</f>
        <v>0</v>
      </c>
      <c r="V62" s="15" t="n">
        <f aca="false">1/(1+EXP(-Logistic_k*(T62-Capacity)))</f>
        <v>0.0083571266073942</v>
      </c>
      <c r="W62" s="16" t="n">
        <f aca="false">IF(M62="",0,Beta*Pop_Share_Sel*(1-Sens_Red)*MAX(0,M62-T_Mort))</f>
        <v>1.83280711825488</v>
      </c>
      <c r="X62" s="16" t="n">
        <f aca="false">IF(ISNUMBER(F62),F62+Coef_B1*(Climate_Shift+G61),"")</f>
        <v>25.7504461088561</v>
      </c>
      <c r="Y62" s="16" t="n">
        <f aca="false">IF(AND(ISNUMBER(X62),H62&lt;&gt;""),H62+Climate_Shift-X62,"")</f>
        <v>-3.2504461088561</v>
      </c>
      <c r="Z62" s="16" t="n">
        <f aca="false">IF(ISNUMBER(Y62),ABS(Y62),"")</f>
        <v>3.2504461088561</v>
      </c>
      <c r="AA62" s="16" t="n">
        <f aca="false">IF(COUNT(Z56:Z62)=0,"",AVERAGE(Z56:Z62))</f>
        <v>3.24531998956726</v>
      </c>
      <c r="AB62" s="16" t="n">
        <f aca="false">IF(AD61=1,0,MAX(0,AB61+IF(ISNUMBER(Y62),Y62-CUSUM_k,0)))</f>
        <v>0.246159341888909</v>
      </c>
      <c r="AC62" s="16" t="n">
        <f aca="false">IF(AD61=1,0,MAX(0,AC61+IF(ISNUMBER(Y62),-Y62-CUSUM_k,0)))</f>
        <v>2.2504461088561</v>
      </c>
      <c r="AD62" s="17" t="n">
        <f aca="false">IF(OR(AB62&gt;CUSUM_h,AC62&gt;CUSUM_h,AND(ISNUMBER(AA62),AA62&gt;MAE_Tol)),1,0)</f>
        <v>0</v>
      </c>
      <c r="AE62" s="14" t="n">
        <f aca="false">IF(ISNUMBER(X62),IF(X62+Local_Sensing*UHI_Day_Eff&gt;=T_Day,1,0),0)</f>
        <v>0</v>
      </c>
      <c r="AF62" s="17" t="str">
        <f aca="false">IF(NOT(ISNUMBER(X62)),"n/a",IF(AND(AE62=1,N62=1),"Hit",IF(AND(AE62=0,N62=1),"Miss",IF(AND(AE62=1,N62=0),"False alarm","Correct quiet"))))</f>
        <v>Correct quiet</v>
      </c>
      <c r="AG62" s="14" t="n">
        <f aca="false">IF(H62="",0,IF(H62+Climate_Shift&gt;=T_Day,1,0))</f>
        <v>0</v>
      </c>
      <c r="AH62" s="17" t="n">
        <f aca="false">IF(AND(N62=1,AG62=0),1,0)</f>
        <v>0</v>
      </c>
      <c r="AI62" s="17" t="str">
        <f aca="false">IF(U62=1,"ESCALATE: surge health &amp; transport capacity",IF(AD62=1,"Model drift: retrain, recalibrate, raise change request",IF(S62&gt;=2,"Activate heat plan: outreach and cooling centres",IF(AND(E62=1,OR(N62=1,O62=1)),"Data QA: verify sensor before acting",IF(AF62="Miss","Review missed alert: threshold or model",IF(AH62=1,"Equity: local alert not seen at reference station","Monitor"))))))</f>
        <v>Monitor</v>
      </c>
      <c r="AN62" s="58" t="n">
        <f aca="false">T_Day</f>
        <v>28</v>
      </c>
      <c r="AO62" s="58" t="n">
        <f aca="false">Capacity</f>
        <v>40</v>
      </c>
      <c r="AP62" s="58" t="n">
        <f aca="false">CUSUM_h</f>
        <v>15</v>
      </c>
    </row>
    <row r="63" customFormat="false" ht="15" hidden="false" customHeight="false" outlineLevel="0" collapsed="false">
      <c r="A63" s="14" t="n">
        <v>55</v>
      </c>
      <c r="B63" s="14" t="n">
        <f aca="false">2+(SelYear-1979)*153+A63-1</f>
        <v>6635</v>
      </c>
      <c r="C63" s="55" t="n">
        <f aca="false">INDEX(Data_Heathrow!$A:$A,B63)</f>
        <v>44736</v>
      </c>
      <c r="D63" s="16" t="n">
        <f aca="false">INDEX(Data_Heathrow!$E:$E,B63)</f>
        <v>22.3</v>
      </c>
      <c r="E63" s="17" t="n">
        <f aca="false">INDEX(Data_Heathrow!$Q:$Q,B63)</f>
        <v>0</v>
      </c>
      <c r="F63" s="16" t="n">
        <f aca="false">INDEX(Data_Heathrow!$T:$T,B63)</f>
        <v>22.1931528879312</v>
      </c>
      <c r="G63" s="16" t="n">
        <f aca="false">IF(AND(Drift_Rate&lt;&gt;0,A63&gt;=Drift_Start),Drift_Rate*(A63-Drift_Start+1)/30,0)</f>
        <v>0</v>
      </c>
      <c r="H63" s="16" t="n">
        <f aca="false">IF(AND(E63=1,QA_Policy="Exclude suspect"),"",IF(AND(E63=1,QA_Policy="Impute with model",ISNUMBER(F63)),F63,D63)+G63)</f>
        <v>22.3</v>
      </c>
      <c r="I63" s="16" t="n">
        <f aca="false">IF(H63="","",H63+Climate_Shift+UHI_Day_Eff)</f>
        <v>24.3</v>
      </c>
      <c r="J63" s="16" t="n">
        <f aca="false">INDEX(Data_Heathrow!$G:$G,B63)</f>
        <v>14.5</v>
      </c>
      <c r="K63" s="16" t="n">
        <f aca="false">J63+Climate_Shift+UHI_Night_Eff</f>
        <v>18.5</v>
      </c>
      <c r="L63" s="16" t="n">
        <f aca="false">IF(INDEX(Data_Heathrow!$I:$I,B63)="","",INDEX(Data_Heathrow!$I:$I,B63))</f>
        <v>18.5</v>
      </c>
      <c r="M63" s="16" t="n">
        <f aca="false">IF(L63="","",L63+Climate_Shift+(UHI_Day_Eff+UHI_Night_Eff)/2)</f>
        <v>21.5</v>
      </c>
      <c r="N63" s="14" t="n">
        <f aca="false">IF(I63="",0,IF(I63&gt;=T_Day,1,0))</f>
        <v>0</v>
      </c>
      <c r="O63" s="14" t="n">
        <f aca="false">IF(K63&gt;=T_Night,1,0)</f>
        <v>1</v>
      </c>
      <c r="P63" s="14" t="n">
        <f aca="false">IF(N63=1,P62+1,0)</f>
        <v>0</v>
      </c>
      <c r="Q63" s="14" t="n">
        <f aca="false">IF(P63&gt;=HW_Days,1,0)</f>
        <v>0</v>
      </c>
      <c r="R63" s="17" t="str">
        <f aca="false">IF(AND(N63=1,I63&gt;=T_Red,O63=1),"RED",IF(AND(Q63=1,O63=1),"AMBER",IF(OR(N63=1,O63=1),"YELLOW","GREEN")))</f>
        <v>YELLOW</v>
      </c>
      <c r="S63" s="14" t="n">
        <f aca="false">IF(R63="RED",3,IF(R63="AMBER",2,IF(R63="YELLOW",1,0)))</f>
        <v>1</v>
      </c>
      <c r="T63" s="16" t="n">
        <f aca="false">MAX(0,T62*(1-Decay)+IF(I63="",0,MAX(0,I63-T_Comfort))-Recovery_Rate*MAX(0,T_Night-K63))</f>
        <v>6.52667533312</v>
      </c>
      <c r="U63" s="14" t="n">
        <f aca="false">IF(T63&gt;Capacity,1,0)</f>
        <v>0</v>
      </c>
      <c r="V63" s="15" t="n">
        <f aca="false">1/(1+EXP(-Logistic_k*(T63-Capacity)))</f>
        <v>0.00655468667042484</v>
      </c>
      <c r="W63" s="16" t="n">
        <f aca="false">IF(M63="",0,Beta*Pop_Share_Sel*(1-Sens_Red)*MAX(0,M63-T_Mort))</f>
        <v>0.833094144661309</v>
      </c>
      <c r="X63" s="16" t="n">
        <f aca="false">IF(ISNUMBER(F63),F63+Coef_B1*(Climate_Shift+G62),"")</f>
        <v>22.1931528879312</v>
      </c>
      <c r="Y63" s="16" t="n">
        <f aca="false">IF(AND(ISNUMBER(X63),H63&lt;&gt;""),H63+Climate_Shift-X63,"")</f>
        <v>0.106847112068817</v>
      </c>
      <c r="Z63" s="16" t="n">
        <f aca="false">IF(ISNUMBER(Y63),ABS(Y63),"")</f>
        <v>0.106847112068817</v>
      </c>
      <c r="AA63" s="16" t="n">
        <f aca="false">IF(COUNT(Z57:Z63)=0,"",AVERAGE(Z57:Z63))</f>
        <v>2.38576751941841</v>
      </c>
      <c r="AB63" s="16" t="n">
        <f aca="false">IF(AD62=1,0,MAX(0,AB62+IF(ISNUMBER(Y63),Y63-CUSUM_k,0)))</f>
        <v>0</v>
      </c>
      <c r="AC63" s="16" t="n">
        <f aca="false">IF(AD62=1,0,MAX(0,AC62+IF(ISNUMBER(Y63),-Y63-CUSUM_k,0)))</f>
        <v>1.14359899678729</v>
      </c>
      <c r="AD63" s="17" t="n">
        <f aca="false">IF(OR(AB63&gt;CUSUM_h,AC63&gt;CUSUM_h,AND(ISNUMBER(AA63),AA63&gt;MAE_Tol)),1,0)</f>
        <v>0</v>
      </c>
      <c r="AE63" s="14" t="n">
        <f aca="false">IF(ISNUMBER(X63),IF(X63+Local_Sensing*UHI_Day_Eff&gt;=T_Day,1,0),0)</f>
        <v>0</v>
      </c>
      <c r="AF63" s="17" t="str">
        <f aca="false">IF(NOT(ISNUMBER(X63)),"n/a",IF(AND(AE63=1,N63=1),"Hit",IF(AND(AE63=0,N63=1),"Miss",IF(AND(AE63=1,N63=0),"False alarm","Correct quiet"))))</f>
        <v>Correct quiet</v>
      </c>
      <c r="AG63" s="14" t="n">
        <f aca="false">IF(H63="",0,IF(H63+Climate_Shift&gt;=T_Day,1,0))</f>
        <v>0</v>
      </c>
      <c r="AH63" s="17" t="n">
        <f aca="false">IF(AND(N63=1,AG63=0),1,0)</f>
        <v>0</v>
      </c>
      <c r="AI63" s="17" t="str">
        <f aca="false">IF(U63=1,"ESCALATE: surge health &amp; transport capacity",IF(AD63=1,"Model drift: retrain, recalibrate, raise change request",IF(S63&gt;=2,"Activate heat plan: outreach and cooling centres",IF(AND(E63=1,OR(N63=1,O63=1)),"Data QA: verify sensor before acting",IF(AF63="Miss","Review missed alert: threshold or model",IF(AH63=1,"Equity: local alert not seen at reference station","Monitor"))))))</f>
        <v>Monitor</v>
      </c>
      <c r="AN63" s="58" t="n">
        <f aca="false">T_Day</f>
        <v>28</v>
      </c>
      <c r="AO63" s="58" t="n">
        <f aca="false">Capacity</f>
        <v>40</v>
      </c>
      <c r="AP63" s="58" t="n">
        <f aca="false">CUSUM_h</f>
        <v>15</v>
      </c>
    </row>
    <row r="64" customFormat="false" ht="15" hidden="false" customHeight="false" outlineLevel="0" collapsed="false">
      <c r="A64" s="14" t="n">
        <v>56</v>
      </c>
      <c r="B64" s="14" t="n">
        <f aca="false">2+(SelYear-1979)*153+A64-1</f>
        <v>6636</v>
      </c>
      <c r="C64" s="55" t="n">
        <f aca="false">INDEX(Data_Heathrow!$A:$A,B64)</f>
        <v>44737</v>
      </c>
      <c r="D64" s="16" t="n">
        <f aca="false">INDEX(Data_Heathrow!$E:$E,B64)</f>
        <v>22.8</v>
      </c>
      <c r="E64" s="17" t="n">
        <f aca="false">INDEX(Data_Heathrow!$Q:$Q,B64)</f>
        <v>0</v>
      </c>
      <c r="F64" s="16" t="n">
        <f aca="false">INDEX(Data_Heathrow!$T:$T,B64)</f>
        <v>21.8755725656161</v>
      </c>
      <c r="G64" s="16" t="n">
        <f aca="false">IF(AND(Drift_Rate&lt;&gt;0,A64&gt;=Drift_Start),Drift_Rate*(A64-Drift_Start+1)/30,0)</f>
        <v>0</v>
      </c>
      <c r="H64" s="16" t="n">
        <f aca="false">IF(AND(E64=1,QA_Policy="Exclude suspect"),"",IF(AND(E64=1,QA_Policy="Impute with model",ISNUMBER(F64)),F64,D64)+G64)</f>
        <v>22.8</v>
      </c>
      <c r="I64" s="16" t="n">
        <f aca="false">IF(H64="","",H64+Climate_Shift+UHI_Day_Eff)</f>
        <v>24.8</v>
      </c>
      <c r="J64" s="16" t="n">
        <f aca="false">INDEX(Data_Heathrow!$G:$G,B64)</f>
        <v>12.4</v>
      </c>
      <c r="K64" s="16" t="n">
        <f aca="false">J64+Climate_Shift+UHI_Night_Eff</f>
        <v>16.4</v>
      </c>
      <c r="L64" s="16" t="n">
        <f aca="false">IF(INDEX(Data_Heathrow!$I:$I,B64)="","",INDEX(Data_Heathrow!$I:$I,B64))</f>
        <v>17.4</v>
      </c>
      <c r="M64" s="16" t="n">
        <f aca="false">IF(L64="","",L64+Climate_Shift+(UHI_Day_Eff+UHI_Night_Eff)/2)</f>
        <v>20.4</v>
      </c>
      <c r="N64" s="14" t="n">
        <f aca="false">IF(I64="",0,IF(I64&gt;=T_Day,1,0))</f>
        <v>0</v>
      </c>
      <c r="O64" s="14" t="n">
        <f aca="false">IF(K64&gt;=T_Night,1,0)</f>
        <v>0</v>
      </c>
      <c r="P64" s="14" t="n">
        <f aca="false">IF(N64=1,P63+1,0)</f>
        <v>0</v>
      </c>
      <c r="Q64" s="14" t="n">
        <f aca="false">IF(P64&gt;=HW_Days,1,0)</f>
        <v>0</v>
      </c>
      <c r="R64" s="17" t="str">
        <f aca="false">IF(AND(N64=1,I64&gt;=T_Red,O64=1),"RED",IF(AND(Q64=1,O64=1),"AMBER",IF(OR(N64=1,O64=1),"YELLOW","GREEN")))</f>
        <v>GREEN</v>
      </c>
      <c r="S64" s="14" t="n">
        <f aca="false">IF(R64="RED",3,IF(R64="AMBER",2,IF(R64="YELLOW",1,0)))</f>
        <v>0</v>
      </c>
      <c r="T64" s="16" t="n">
        <f aca="false">MAX(0,T63*(1-Decay)+IF(I64="",0,MAX(0,I64-T_Comfort))-Recovery_Rate*MAX(0,T_Night-K64))</f>
        <v>4.421340266496</v>
      </c>
      <c r="U64" s="14" t="n">
        <f aca="false">IF(T64&gt;Capacity,1,0)</f>
        <v>0</v>
      </c>
      <c r="V64" s="15" t="n">
        <f aca="false">1/(1+EXP(-Logistic_k*(T64-Capacity)))</f>
        <v>0.00478820982068741</v>
      </c>
      <c r="W64" s="16" t="n">
        <f aca="false">IF(M64="",0,Beta*Pop_Share_Sel*(1-Sens_Red)*MAX(0,M64-T_Mort))</f>
        <v>0.222158438576348</v>
      </c>
      <c r="X64" s="16" t="n">
        <f aca="false">IF(ISNUMBER(F64),F64+Coef_B1*(Climate_Shift+G63),"")</f>
        <v>21.8755725656161</v>
      </c>
      <c r="Y64" s="16" t="n">
        <f aca="false">IF(AND(ISNUMBER(X64),H64&lt;&gt;""),H64+Climate_Shift-X64,"")</f>
        <v>0.924427434383894</v>
      </c>
      <c r="Z64" s="16" t="n">
        <f aca="false">IF(ISNUMBER(Y64),ABS(Y64),"")</f>
        <v>0.924427434383894</v>
      </c>
      <c r="AA64" s="16" t="n">
        <f aca="false">IF(COUNT(Z58:Z64)=0,"",AVERAGE(Z58:Z64))</f>
        <v>1.84763829886337</v>
      </c>
      <c r="AB64" s="16" t="n">
        <f aca="false">IF(AD63=1,0,MAX(0,AB63+IF(ISNUMBER(Y64),Y64-CUSUM_k,0)))</f>
        <v>0</v>
      </c>
      <c r="AC64" s="16" t="n">
        <f aca="false">IF(AD63=1,0,MAX(0,AC63+IF(ISNUMBER(Y64),-Y64-CUSUM_k,0)))</f>
        <v>0</v>
      </c>
      <c r="AD64" s="17" t="n">
        <f aca="false">IF(OR(AB64&gt;CUSUM_h,AC64&gt;CUSUM_h,AND(ISNUMBER(AA64),AA64&gt;MAE_Tol)),1,0)</f>
        <v>0</v>
      </c>
      <c r="AE64" s="14" t="n">
        <f aca="false">IF(ISNUMBER(X64),IF(X64+Local_Sensing*UHI_Day_Eff&gt;=T_Day,1,0),0)</f>
        <v>0</v>
      </c>
      <c r="AF64" s="17" t="str">
        <f aca="false">IF(NOT(ISNUMBER(X64)),"n/a",IF(AND(AE64=1,N64=1),"Hit",IF(AND(AE64=0,N64=1),"Miss",IF(AND(AE64=1,N64=0),"False alarm","Correct quiet"))))</f>
        <v>Correct quiet</v>
      </c>
      <c r="AG64" s="14" t="n">
        <f aca="false">IF(H64="",0,IF(H64+Climate_Shift&gt;=T_Day,1,0))</f>
        <v>0</v>
      </c>
      <c r="AH64" s="17" t="n">
        <f aca="false">IF(AND(N64=1,AG64=0),1,0)</f>
        <v>0</v>
      </c>
      <c r="AI64" s="17" t="str">
        <f aca="false">IF(U64=1,"ESCALATE: surge health &amp; transport capacity",IF(AD64=1,"Model drift: retrain, recalibrate, raise change request",IF(S64&gt;=2,"Activate heat plan: outreach and cooling centres",IF(AND(E64=1,OR(N64=1,O64=1)),"Data QA: verify sensor before acting",IF(AF64="Miss","Review missed alert: threshold or model",IF(AH64=1,"Equity: local alert not seen at reference station","Monitor"))))))</f>
        <v>Monitor</v>
      </c>
      <c r="AN64" s="58" t="n">
        <f aca="false">T_Day</f>
        <v>28</v>
      </c>
      <c r="AO64" s="58" t="n">
        <f aca="false">Capacity</f>
        <v>40</v>
      </c>
      <c r="AP64" s="58" t="n">
        <f aca="false">CUSUM_h</f>
        <v>15</v>
      </c>
    </row>
    <row r="65" customFormat="false" ht="15" hidden="false" customHeight="false" outlineLevel="0" collapsed="false">
      <c r="A65" s="14" t="n">
        <v>57</v>
      </c>
      <c r="B65" s="14" t="n">
        <f aca="false">2+(SelYear-1979)*153+A65-1</f>
        <v>6637</v>
      </c>
      <c r="C65" s="55" t="n">
        <f aca="false">INDEX(Data_Heathrow!$A:$A,B65)</f>
        <v>44738</v>
      </c>
      <c r="D65" s="16" t="n">
        <f aca="false">INDEX(Data_Heathrow!$E:$E,B65)</f>
        <v>21</v>
      </c>
      <c r="E65" s="17" t="n">
        <f aca="false">INDEX(Data_Heathrow!$Q:$Q,B65)</f>
        <v>0</v>
      </c>
      <c r="F65" s="16" t="n">
        <f aca="false">INDEX(Data_Heathrow!$T:$T,B65)</f>
        <v>22.3793518460394</v>
      </c>
      <c r="G65" s="16" t="n">
        <f aca="false">IF(AND(Drift_Rate&lt;&gt;0,A65&gt;=Drift_Start),Drift_Rate*(A65-Drift_Start+1)/30,0)</f>
        <v>0</v>
      </c>
      <c r="H65" s="16" t="n">
        <f aca="false">IF(AND(E65=1,QA_Policy="Exclude suspect"),"",IF(AND(E65=1,QA_Policy="Impute with model",ISNUMBER(F65)),F65,D65)+G65)</f>
        <v>21</v>
      </c>
      <c r="I65" s="16" t="n">
        <f aca="false">IF(H65="","",H65+Climate_Shift+UHI_Day_Eff)</f>
        <v>23</v>
      </c>
      <c r="J65" s="16" t="n">
        <f aca="false">INDEX(Data_Heathrow!$G:$G,B65)</f>
        <v>11</v>
      </c>
      <c r="K65" s="16" t="n">
        <f aca="false">J65+Climate_Shift+UHI_Night_Eff</f>
        <v>15</v>
      </c>
      <c r="L65" s="16" t="n">
        <f aca="false">IF(INDEX(Data_Heathrow!$I:$I,B65)="","",INDEX(Data_Heathrow!$I:$I,B65))</f>
        <v>16.9</v>
      </c>
      <c r="M65" s="16" t="n">
        <f aca="false">IF(L65="","",L65+Climate_Shift+(UHI_Day_Eff+UHI_Night_Eff)/2)</f>
        <v>19.9</v>
      </c>
      <c r="N65" s="14" t="n">
        <f aca="false">IF(I65="",0,IF(I65&gt;=T_Day,1,0))</f>
        <v>0</v>
      </c>
      <c r="O65" s="14" t="n">
        <f aca="false">IF(K65&gt;=T_Night,1,0)</f>
        <v>0</v>
      </c>
      <c r="P65" s="14" t="n">
        <f aca="false">IF(N65=1,P64+1,0)</f>
        <v>0</v>
      </c>
      <c r="Q65" s="14" t="n">
        <f aca="false">IF(P65&gt;=HW_Days,1,0)</f>
        <v>0</v>
      </c>
      <c r="R65" s="17" t="str">
        <f aca="false">IF(AND(N65=1,I65&gt;=T_Red,O65=1),"RED",IF(AND(Q65=1,O65=1),"AMBER",IF(OR(N65=1,O65=1),"YELLOW","GREEN")))</f>
        <v>GREEN</v>
      </c>
      <c r="S65" s="14" t="n">
        <f aca="false">IF(R65="RED",3,IF(R65="AMBER",2,IF(R65="YELLOW",1,0)))</f>
        <v>0</v>
      </c>
      <c r="T65" s="16" t="n">
        <f aca="false">MAX(0,T64*(1-Decay)+IF(I65="",0,MAX(0,I65-T_Comfort))-Recovery_Rate*MAX(0,T_Night-K65))</f>
        <v>2.0370722131968</v>
      </c>
      <c r="U65" s="14" t="n">
        <f aca="false">IF(T65&gt;Capacity,1,0)</f>
        <v>0</v>
      </c>
      <c r="V65" s="15" t="n">
        <f aca="false">1/(1+EXP(-Logistic_k*(T65-Capacity)))</f>
        <v>0.00335334090852526</v>
      </c>
      <c r="W65" s="16" t="n">
        <f aca="false">IF(M65="",0,Beta*Pop_Share_Sel*(1-Sens_Red)*MAX(0,M65-T_Mort))</f>
        <v>0</v>
      </c>
      <c r="X65" s="16" t="n">
        <f aca="false">IF(ISNUMBER(F65),F65+Coef_B1*(Climate_Shift+G64),"")</f>
        <v>22.3793518460394</v>
      </c>
      <c r="Y65" s="16" t="n">
        <f aca="false">IF(AND(ISNUMBER(X65),H65&lt;&gt;""),H65+Climate_Shift-X65,"")</f>
        <v>-1.37935184603941</v>
      </c>
      <c r="Z65" s="16" t="n">
        <f aca="false">IF(ISNUMBER(Y65),ABS(Y65),"")</f>
        <v>1.37935184603941</v>
      </c>
      <c r="AA65" s="16" t="n">
        <f aca="false">IF(COUNT(Z59:Z65)=0,"",AVERAGE(Z59:Z65))</f>
        <v>1.70986517449906</v>
      </c>
      <c r="AB65" s="16" t="n">
        <f aca="false">IF(AD64=1,0,MAX(0,AB64+IF(ISNUMBER(Y65),Y65-CUSUM_k,0)))</f>
        <v>0</v>
      </c>
      <c r="AC65" s="16" t="n">
        <f aca="false">IF(AD64=1,0,MAX(0,AC64+IF(ISNUMBER(Y65),-Y65-CUSUM_k,0)))</f>
        <v>0.379351846039405</v>
      </c>
      <c r="AD65" s="17" t="n">
        <f aca="false">IF(OR(AB65&gt;CUSUM_h,AC65&gt;CUSUM_h,AND(ISNUMBER(AA65),AA65&gt;MAE_Tol)),1,0)</f>
        <v>0</v>
      </c>
      <c r="AE65" s="14" t="n">
        <f aca="false">IF(ISNUMBER(X65),IF(X65+Local_Sensing*UHI_Day_Eff&gt;=T_Day,1,0),0)</f>
        <v>0</v>
      </c>
      <c r="AF65" s="17" t="str">
        <f aca="false">IF(NOT(ISNUMBER(X65)),"n/a",IF(AND(AE65=1,N65=1),"Hit",IF(AND(AE65=0,N65=1),"Miss",IF(AND(AE65=1,N65=0),"False alarm","Correct quiet"))))</f>
        <v>Correct quiet</v>
      </c>
      <c r="AG65" s="14" t="n">
        <f aca="false">IF(H65="",0,IF(H65+Climate_Shift&gt;=T_Day,1,0))</f>
        <v>0</v>
      </c>
      <c r="AH65" s="17" t="n">
        <f aca="false">IF(AND(N65=1,AG65=0),1,0)</f>
        <v>0</v>
      </c>
      <c r="AI65" s="17" t="str">
        <f aca="false">IF(U65=1,"ESCALATE: surge health &amp; transport capacity",IF(AD65=1,"Model drift: retrain, recalibrate, raise change request",IF(S65&gt;=2,"Activate heat plan: outreach and cooling centres",IF(AND(E65=1,OR(N65=1,O65=1)),"Data QA: verify sensor before acting",IF(AF65="Miss","Review missed alert: threshold or model",IF(AH65=1,"Equity: local alert not seen at reference station","Monitor"))))))</f>
        <v>Monitor</v>
      </c>
      <c r="AN65" s="58" t="n">
        <f aca="false">T_Day</f>
        <v>28</v>
      </c>
      <c r="AO65" s="58" t="n">
        <f aca="false">Capacity</f>
        <v>40</v>
      </c>
      <c r="AP65" s="58" t="n">
        <f aca="false">CUSUM_h</f>
        <v>15</v>
      </c>
    </row>
    <row r="66" customFormat="false" ht="15" hidden="false" customHeight="false" outlineLevel="0" collapsed="false">
      <c r="A66" s="14" t="n">
        <v>58</v>
      </c>
      <c r="B66" s="14" t="n">
        <f aca="false">2+(SelYear-1979)*153+A66-1</f>
        <v>6638</v>
      </c>
      <c r="C66" s="55" t="n">
        <f aca="false">INDEX(Data_Heathrow!$A:$A,B66)</f>
        <v>44739</v>
      </c>
      <c r="D66" s="16" t="n">
        <f aca="false">INDEX(Data_Heathrow!$E:$E,B66)</f>
        <v>23.2</v>
      </c>
      <c r="E66" s="17" t="n">
        <f aca="false">INDEX(Data_Heathrow!$Q:$Q,B66)</f>
        <v>0</v>
      </c>
      <c r="F66" s="16" t="n">
        <f aca="false">INDEX(Data_Heathrow!$T:$T,B66)</f>
        <v>21.0425688349522</v>
      </c>
      <c r="G66" s="16" t="n">
        <f aca="false">IF(AND(Drift_Rate&lt;&gt;0,A66&gt;=Drift_Start),Drift_Rate*(A66-Drift_Start+1)/30,0)</f>
        <v>0</v>
      </c>
      <c r="H66" s="16" t="n">
        <f aca="false">IF(AND(E66=1,QA_Policy="Exclude suspect"),"",IF(AND(E66=1,QA_Policy="Impute with model",ISNUMBER(F66)),F66,D66)+G66)</f>
        <v>23.2</v>
      </c>
      <c r="I66" s="16" t="n">
        <f aca="false">IF(H66="","",H66+Climate_Shift+UHI_Day_Eff)</f>
        <v>25.2</v>
      </c>
      <c r="J66" s="16" t="n">
        <f aca="false">INDEX(Data_Heathrow!$G:$G,B66)</f>
        <v>11.7</v>
      </c>
      <c r="K66" s="16" t="n">
        <f aca="false">J66+Climate_Shift+UHI_Night_Eff</f>
        <v>15.7</v>
      </c>
      <c r="L66" s="16" t="n">
        <f aca="false">IF(INDEX(Data_Heathrow!$I:$I,B66)="","",INDEX(Data_Heathrow!$I:$I,B66))</f>
        <v>16.4</v>
      </c>
      <c r="M66" s="16" t="n">
        <f aca="false">IF(L66="","",L66+Climate_Shift+(UHI_Day_Eff+UHI_Night_Eff)/2)</f>
        <v>19.4</v>
      </c>
      <c r="N66" s="14" t="n">
        <f aca="false">IF(I66="",0,IF(I66&gt;=T_Day,1,0))</f>
        <v>0</v>
      </c>
      <c r="O66" s="14" t="n">
        <f aca="false">IF(K66&gt;=T_Night,1,0)</f>
        <v>0</v>
      </c>
      <c r="P66" s="14" t="n">
        <f aca="false">IF(N66=1,P65+1,0)</f>
        <v>0</v>
      </c>
      <c r="Q66" s="14" t="n">
        <f aca="false">IF(P66&gt;=HW_Days,1,0)</f>
        <v>0</v>
      </c>
      <c r="R66" s="17" t="str">
        <f aca="false">IF(AND(N66=1,I66&gt;=T_Red,O66=1),"RED",IF(AND(Q66=1,O66=1),"AMBER",IF(OR(N66=1,O66=1),"YELLOW","GREEN")))</f>
        <v>GREEN</v>
      </c>
      <c r="S66" s="14" t="n">
        <f aca="false">IF(R66="RED",3,IF(R66="AMBER",2,IF(R66="YELLOW",1,0)))</f>
        <v>0</v>
      </c>
      <c r="T66" s="16" t="n">
        <f aca="false">MAX(0,T65*(1-Decay)+IF(I66="",0,MAX(0,I66-T_Comfort))-Recovery_Rate*MAX(0,T_Night-K66))</f>
        <v>0.679657770557439</v>
      </c>
      <c r="U66" s="14" t="n">
        <f aca="false">IF(T66&gt;Capacity,1,0)</f>
        <v>0</v>
      </c>
      <c r="V66" s="15" t="n">
        <f aca="false">1/(1+EXP(-Logistic_k*(T66-Capacity)))</f>
        <v>0.00273727504475233</v>
      </c>
      <c r="W66" s="16" t="n">
        <f aca="false">IF(M66="",0,Beta*Pop_Share_Sel*(1-Sens_Red)*MAX(0,M66-T_Mort))</f>
        <v>0</v>
      </c>
      <c r="X66" s="16" t="n">
        <f aca="false">IF(ISNUMBER(F66),F66+Coef_B1*(Climate_Shift+G65),"")</f>
        <v>21.0425688349522</v>
      </c>
      <c r="Y66" s="16" t="n">
        <f aca="false">IF(AND(ISNUMBER(X66),H66&lt;&gt;""),H66+Climate_Shift-X66,"")</f>
        <v>2.15743116504783</v>
      </c>
      <c r="Z66" s="16" t="n">
        <f aca="false">IF(ISNUMBER(Y66),ABS(Y66),"")</f>
        <v>2.15743116504783</v>
      </c>
      <c r="AA66" s="16" t="n">
        <f aca="false">IF(COUNT(Z60:Z66)=0,"",AVERAGE(Z60:Z66))</f>
        <v>1.47031067070849</v>
      </c>
      <c r="AB66" s="16" t="n">
        <f aca="false">IF(AD65=1,0,MAX(0,AB65+IF(ISNUMBER(Y66),Y66-CUSUM_k,0)))</f>
        <v>1.15743116504783</v>
      </c>
      <c r="AC66" s="16" t="n">
        <f aca="false">IF(AD65=1,0,MAX(0,AC65+IF(ISNUMBER(Y66),-Y66-CUSUM_k,0)))</f>
        <v>0</v>
      </c>
      <c r="AD66" s="17" t="n">
        <f aca="false">IF(OR(AB66&gt;CUSUM_h,AC66&gt;CUSUM_h,AND(ISNUMBER(AA66),AA66&gt;MAE_Tol)),1,0)</f>
        <v>0</v>
      </c>
      <c r="AE66" s="14" t="n">
        <f aca="false">IF(ISNUMBER(X66),IF(X66+Local_Sensing*UHI_Day_Eff&gt;=T_Day,1,0),0)</f>
        <v>0</v>
      </c>
      <c r="AF66" s="17" t="str">
        <f aca="false">IF(NOT(ISNUMBER(X66)),"n/a",IF(AND(AE66=1,N66=1),"Hit",IF(AND(AE66=0,N66=1),"Miss",IF(AND(AE66=1,N66=0),"False alarm","Correct quiet"))))</f>
        <v>Correct quiet</v>
      </c>
      <c r="AG66" s="14" t="n">
        <f aca="false">IF(H66="",0,IF(H66+Climate_Shift&gt;=T_Day,1,0))</f>
        <v>0</v>
      </c>
      <c r="AH66" s="17" t="n">
        <f aca="false">IF(AND(N66=1,AG66=0),1,0)</f>
        <v>0</v>
      </c>
      <c r="AI66" s="17" t="str">
        <f aca="false">IF(U66=1,"ESCALATE: surge health &amp; transport capacity",IF(AD66=1,"Model drift: retrain, recalibrate, raise change request",IF(S66&gt;=2,"Activate heat plan: outreach and cooling centres",IF(AND(E66=1,OR(N66=1,O66=1)),"Data QA: verify sensor before acting",IF(AF66="Miss","Review missed alert: threshold or model",IF(AH66=1,"Equity: local alert not seen at reference station","Monitor"))))))</f>
        <v>Monitor</v>
      </c>
      <c r="AN66" s="58" t="n">
        <f aca="false">T_Day</f>
        <v>28</v>
      </c>
      <c r="AO66" s="58" t="n">
        <f aca="false">Capacity</f>
        <v>40</v>
      </c>
      <c r="AP66" s="58" t="n">
        <f aca="false">CUSUM_h</f>
        <v>15</v>
      </c>
    </row>
    <row r="67" customFormat="false" ht="15" hidden="false" customHeight="false" outlineLevel="0" collapsed="false">
      <c r="A67" s="14" t="n">
        <v>59</v>
      </c>
      <c r="B67" s="14" t="n">
        <f aca="false">2+(SelYear-1979)*153+A67-1</f>
        <v>6639</v>
      </c>
      <c r="C67" s="55" t="n">
        <f aca="false">INDEX(Data_Heathrow!$A:$A,B67)</f>
        <v>44740</v>
      </c>
      <c r="D67" s="16" t="n">
        <f aca="false">INDEX(Data_Heathrow!$E:$E,B67)</f>
        <v>22</v>
      </c>
      <c r="E67" s="17" t="n">
        <f aca="false">INDEX(Data_Heathrow!$Q:$Q,B67)</f>
        <v>0</v>
      </c>
      <c r="F67" s="16" t="n">
        <f aca="false">INDEX(Data_Heathrow!$T:$T,B67)</f>
        <v>22.9737316276454</v>
      </c>
      <c r="G67" s="16" t="n">
        <f aca="false">IF(AND(Drift_Rate&lt;&gt;0,A67&gt;=Drift_Start),Drift_Rate*(A67-Drift_Start+1)/30,0)</f>
        <v>0</v>
      </c>
      <c r="H67" s="16" t="n">
        <f aca="false">IF(AND(E67=1,QA_Policy="Exclude suspect"),"",IF(AND(E67=1,QA_Policy="Impute with model",ISNUMBER(F67)),F67,D67)+G67)</f>
        <v>22</v>
      </c>
      <c r="I67" s="16" t="n">
        <f aca="false">IF(H67="","",H67+Climate_Shift+UHI_Day_Eff)</f>
        <v>24</v>
      </c>
      <c r="J67" s="16" t="n">
        <f aca="false">INDEX(Data_Heathrow!$G:$G,B67)</f>
        <v>11.2</v>
      </c>
      <c r="K67" s="16" t="n">
        <f aca="false">J67+Climate_Shift+UHI_Night_Eff</f>
        <v>15.2</v>
      </c>
      <c r="L67" s="16" t="n">
        <f aca="false">IF(INDEX(Data_Heathrow!$I:$I,B67)="","",INDEX(Data_Heathrow!$I:$I,B67))</f>
        <v>17.2</v>
      </c>
      <c r="M67" s="16" t="n">
        <f aca="false">IF(L67="","",L67+Climate_Shift+(UHI_Day_Eff+UHI_Night_Eff)/2)</f>
        <v>20.2</v>
      </c>
      <c r="N67" s="14" t="n">
        <f aca="false">IF(I67="",0,IF(I67&gt;=T_Day,1,0))</f>
        <v>0</v>
      </c>
      <c r="O67" s="14" t="n">
        <f aca="false">IF(K67&gt;=T_Night,1,0)</f>
        <v>0</v>
      </c>
      <c r="P67" s="14" t="n">
        <f aca="false">IF(N67=1,P66+1,0)</f>
        <v>0</v>
      </c>
      <c r="Q67" s="14" t="n">
        <f aca="false">IF(P67&gt;=HW_Days,1,0)</f>
        <v>0</v>
      </c>
      <c r="R67" s="17" t="str">
        <f aca="false">IF(AND(N67=1,I67&gt;=T_Red,O67=1),"RED",IF(AND(Q67=1,O67=1),"AMBER",IF(OR(N67=1,O67=1),"YELLOW","GREEN")))</f>
        <v>GREEN</v>
      </c>
      <c r="S67" s="14" t="n">
        <f aca="false">IF(R67="RED",3,IF(R67="AMBER",2,IF(R67="YELLOW",1,0)))</f>
        <v>0</v>
      </c>
      <c r="T67" s="16" t="n">
        <f aca="false">MAX(0,T66*(1-Decay)+IF(I67="",0,MAX(0,I67-T_Comfort))-Recovery_Rate*MAX(0,T_Night-K67))</f>
        <v>0</v>
      </c>
      <c r="U67" s="14" t="n">
        <f aca="false">IF(T67&gt;Capacity,1,0)</f>
        <v>0</v>
      </c>
      <c r="V67" s="15" t="n">
        <f aca="false">1/(1+EXP(-Logistic_k*(T67-Capacity)))</f>
        <v>0.00247262315663477</v>
      </c>
      <c r="W67" s="16" t="n">
        <f aca="false">IF(M67="",0,Beta*Pop_Share_Sel*(1-Sens_Red)*MAX(0,M67-T_Mort))</f>
        <v>0.111079219288174</v>
      </c>
      <c r="X67" s="16" t="n">
        <f aca="false">IF(ISNUMBER(F67),F67+Coef_B1*(Climate_Shift+G66),"")</f>
        <v>22.9737316276454</v>
      </c>
      <c r="Y67" s="16" t="n">
        <f aca="false">IF(AND(ISNUMBER(X67),H67&lt;&gt;""),H67+Climate_Shift-X67,"")</f>
        <v>-0.973731627645375</v>
      </c>
      <c r="Z67" s="16" t="n">
        <f aca="false">IF(ISNUMBER(Y67),ABS(Y67),"")</f>
        <v>0.973731627645375</v>
      </c>
      <c r="AA67" s="16" t="n">
        <f aca="false">IF(COUNT(Z61:Z67)=0,"",AVERAGE(Z61:Z67))</f>
        <v>1.26711518386233</v>
      </c>
      <c r="AB67" s="16" t="n">
        <f aca="false">IF(AD66=1,0,MAX(0,AB66+IF(ISNUMBER(Y67),Y67-CUSUM_k,0)))</f>
        <v>0</v>
      </c>
      <c r="AC67" s="16" t="n">
        <f aca="false">IF(AD66=1,0,MAX(0,AC66+IF(ISNUMBER(Y67),-Y67-CUSUM_k,0)))</f>
        <v>0</v>
      </c>
      <c r="AD67" s="17" t="n">
        <f aca="false">IF(OR(AB67&gt;CUSUM_h,AC67&gt;CUSUM_h,AND(ISNUMBER(AA67),AA67&gt;MAE_Tol)),1,0)</f>
        <v>0</v>
      </c>
      <c r="AE67" s="14" t="n">
        <f aca="false">IF(ISNUMBER(X67),IF(X67+Local_Sensing*UHI_Day_Eff&gt;=T_Day,1,0),0)</f>
        <v>0</v>
      </c>
      <c r="AF67" s="17" t="str">
        <f aca="false">IF(NOT(ISNUMBER(X67)),"n/a",IF(AND(AE67=1,N67=1),"Hit",IF(AND(AE67=0,N67=1),"Miss",IF(AND(AE67=1,N67=0),"False alarm","Correct quiet"))))</f>
        <v>Correct quiet</v>
      </c>
      <c r="AG67" s="14" t="n">
        <f aca="false">IF(H67="",0,IF(H67+Climate_Shift&gt;=T_Day,1,0))</f>
        <v>0</v>
      </c>
      <c r="AH67" s="17" t="n">
        <f aca="false">IF(AND(N67=1,AG67=0),1,0)</f>
        <v>0</v>
      </c>
      <c r="AI67" s="17" t="str">
        <f aca="false">IF(U67=1,"ESCALATE: surge health &amp; transport capacity",IF(AD67=1,"Model drift: retrain, recalibrate, raise change request",IF(S67&gt;=2,"Activate heat plan: outreach and cooling centres",IF(AND(E67=1,OR(N67=1,O67=1)),"Data QA: verify sensor before acting",IF(AF67="Miss","Review missed alert: threshold or model",IF(AH67=1,"Equity: local alert not seen at reference station","Monitor"))))))</f>
        <v>Monitor</v>
      </c>
      <c r="AN67" s="58" t="n">
        <f aca="false">T_Day</f>
        <v>28</v>
      </c>
      <c r="AO67" s="58" t="n">
        <f aca="false">Capacity</f>
        <v>40</v>
      </c>
      <c r="AP67" s="58" t="n">
        <f aca="false">CUSUM_h</f>
        <v>15</v>
      </c>
    </row>
    <row r="68" customFormat="false" ht="15" hidden="false" customHeight="false" outlineLevel="0" collapsed="false">
      <c r="A68" s="14" t="n">
        <v>60</v>
      </c>
      <c r="B68" s="14" t="n">
        <f aca="false">2+(SelYear-1979)*153+A68-1</f>
        <v>6640</v>
      </c>
      <c r="C68" s="55" t="n">
        <f aca="false">INDEX(Data_Heathrow!$A:$A,B68)</f>
        <v>44741</v>
      </c>
      <c r="D68" s="16" t="n">
        <f aca="false">INDEX(Data_Heathrow!$E:$E,B68)</f>
        <v>20.7</v>
      </c>
      <c r="E68" s="17" t="n">
        <f aca="false">INDEX(Data_Heathrow!$Q:$Q,B68)</f>
        <v>0</v>
      </c>
      <c r="F68" s="16" t="n">
        <f aca="false">INDEX(Data_Heathrow!$T:$T,B68)</f>
        <v>22.0313054590184</v>
      </c>
      <c r="G68" s="16" t="n">
        <f aca="false">IF(AND(Drift_Rate&lt;&gt;0,A68&gt;=Drift_Start),Drift_Rate*(A68-Drift_Start+1)/30,0)</f>
        <v>0</v>
      </c>
      <c r="H68" s="16" t="n">
        <f aca="false">IF(AND(E68=1,QA_Policy="Exclude suspect"),"",IF(AND(E68=1,QA_Policy="Impute with model",ISNUMBER(F68)),F68,D68)+G68)</f>
        <v>20.7</v>
      </c>
      <c r="I68" s="16" t="n">
        <f aca="false">IF(H68="","",H68+Climate_Shift+UHI_Day_Eff)</f>
        <v>22.7</v>
      </c>
      <c r="J68" s="16" t="n">
        <f aca="false">INDEX(Data_Heathrow!$G:$G,B68)</f>
        <v>14.3</v>
      </c>
      <c r="K68" s="16" t="n">
        <f aca="false">J68+Climate_Shift+UHI_Night_Eff</f>
        <v>18.3</v>
      </c>
      <c r="L68" s="16" t="n">
        <f aca="false">IF(INDEX(Data_Heathrow!$I:$I,B68)="","",INDEX(Data_Heathrow!$I:$I,B68))</f>
        <v>18.1</v>
      </c>
      <c r="M68" s="16" t="n">
        <f aca="false">IF(L68="","",L68+Climate_Shift+(UHI_Day_Eff+UHI_Night_Eff)/2)</f>
        <v>21.1</v>
      </c>
      <c r="N68" s="14" t="n">
        <f aca="false">IF(I68="",0,IF(I68&gt;=T_Day,1,0))</f>
        <v>0</v>
      </c>
      <c r="O68" s="14" t="n">
        <f aca="false">IF(K68&gt;=T_Night,1,0)</f>
        <v>1</v>
      </c>
      <c r="P68" s="14" t="n">
        <f aca="false">IF(N68=1,P67+1,0)</f>
        <v>0</v>
      </c>
      <c r="Q68" s="14" t="n">
        <f aca="false">IF(P68&gt;=HW_Days,1,0)</f>
        <v>0</v>
      </c>
      <c r="R68" s="17" t="str">
        <f aca="false">IF(AND(N68=1,I68&gt;=T_Red,O68=1),"RED",IF(AND(Q68=1,O68=1),"AMBER",IF(OR(N68=1,O68=1),"YELLOW","GREEN")))</f>
        <v>YELLOW</v>
      </c>
      <c r="S68" s="14" t="n">
        <f aca="false">IF(R68="RED",3,IF(R68="AMBER",2,IF(R68="YELLOW",1,0)))</f>
        <v>1</v>
      </c>
      <c r="T68" s="16" t="n">
        <f aca="false">MAX(0,T67*(1-Decay)+IF(I68="",0,MAX(0,I68-T_Comfort))-Recovery_Rate*MAX(0,T_Night-K68))</f>
        <v>0</v>
      </c>
      <c r="U68" s="14" t="n">
        <f aca="false">IF(T68&gt;Capacity,1,0)</f>
        <v>0</v>
      </c>
      <c r="V68" s="15" t="n">
        <f aca="false">1/(1+EXP(-Logistic_k*(T68-Capacity)))</f>
        <v>0.00247262315663477</v>
      </c>
      <c r="W68" s="16" t="n">
        <f aca="false">IF(M68="",0,Beta*Pop_Share_Sel*(1-Sens_Red)*MAX(0,M68-T_Mort))</f>
        <v>0.610935706084961</v>
      </c>
      <c r="X68" s="16" t="n">
        <f aca="false">IF(ISNUMBER(F68),F68+Coef_B1*(Climate_Shift+G67),"")</f>
        <v>22.0313054590184</v>
      </c>
      <c r="Y68" s="16" t="n">
        <f aca="false">IF(AND(ISNUMBER(X68),H68&lt;&gt;""),H68+Climate_Shift-X68,"")</f>
        <v>-1.33130545901837</v>
      </c>
      <c r="Z68" s="16" t="n">
        <f aca="false">IF(ISNUMBER(Y68),ABS(Y68),"")</f>
        <v>1.33130545901837</v>
      </c>
      <c r="AA68" s="16" t="n">
        <f aca="false">IF(COUNT(Z62:Z68)=0,"",AVERAGE(Z62:Z68))</f>
        <v>1.44622010757997</v>
      </c>
      <c r="AB68" s="16" t="n">
        <f aca="false">IF(AD67=1,0,MAX(0,AB67+IF(ISNUMBER(Y68),Y68-CUSUM_k,0)))</f>
        <v>0</v>
      </c>
      <c r="AC68" s="16" t="n">
        <f aca="false">IF(AD67=1,0,MAX(0,AC67+IF(ISNUMBER(Y68),-Y68-CUSUM_k,0)))</f>
        <v>0.331305459018374</v>
      </c>
      <c r="AD68" s="17" t="n">
        <f aca="false">IF(OR(AB68&gt;CUSUM_h,AC68&gt;CUSUM_h,AND(ISNUMBER(AA68),AA68&gt;MAE_Tol)),1,0)</f>
        <v>0</v>
      </c>
      <c r="AE68" s="14" t="n">
        <f aca="false">IF(ISNUMBER(X68),IF(X68+Local_Sensing*UHI_Day_Eff&gt;=T_Day,1,0),0)</f>
        <v>0</v>
      </c>
      <c r="AF68" s="17" t="str">
        <f aca="false">IF(NOT(ISNUMBER(X68)),"n/a",IF(AND(AE68=1,N68=1),"Hit",IF(AND(AE68=0,N68=1),"Miss",IF(AND(AE68=1,N68=0),"False alarm","Correct quiet"))))</f>
        <v>Correct quiet</v>
      </c>
      <c r="AG68" s="14" t="n">
        <f aca="false">IF(H68="",0,IF(H68+Climate_Shift&gt;=T_Day,1,0))</f>
        <v>0</v>
      </c>
      <c r="AH68" s="17" t="n">
        <f aca="false">IF(AND(N68=1,AG68=0),1,0)</f>
        <v>0</v>
      </c>
      <c r="AI68" s="17" t="str">
        <f aca="false">IF(U68=1,"ESCALATE: surge health &amp; transport capacity",IF(AD68=1,"Model drift: retrain, recalibrate, raise change request",IF(S68&gt;=2,"Activate heat plan: outreach and cooling centres",IF(AND(E68=1,OR(N68=1,O68=1)),"Data QA: verify sensor before acting",IF(AF68="Miss","Review missed alert: threshold or model",IF(AH68=1,"Equity: local alert not seen at reference station","Monitor"))))))</f>
        <v>Monitor</v>
      </c>
      <c r="AN68" s="58" t="n">
        <f aca="false">T_Day</f>
        <v>28</v>
      </c>
      <c r="AO68" s="58" t="n">
        <f aca="false">Capacity</f>
        <v>40</v>
      </c>
      <c r="AP68" s="58" t="n">
        <f aca="false">CUSUM_h</f>
        <v>15</v>
      </c>
    </row>
    <row r="69" customFormat="false" ht="15" hidden="false" customHeight="false" outlineLevel="0" collapsed="false">
      <c r="A69" s="14" t="n">
        <v>61</v>
      </c>
      <c r="B69" s="14" t="n">
        <f aca="false">2+(SelYear-1979)*153+A69-1</f>
        <v>6641</v>
      </c>
      <c r="C69" s="55" t="n">
        <f aca="false">INDEX(Data_Heathrow!$A:$A,B69)</f>
        <v>44742</v>
      </c>
      <c r="D69" s="16" t="n">
        <f aca="false">INDEX(Data_Heathrow!$E:$E,B69)</f>
        <v>22.1</v>
      </c>
      <c r="E69" s="17" t="n">
        <f aca="false">INDEX(Data_Heathrow!$Q:$Q,B69)</f>
        <v>0</v>
      </c>
      <c r="F69" s="16" t="n">
        <f aca="false">INDEX(Data_Heathrow!$T:$T,B69)</f>
        <v>20.793630087576</v>
      </c>
      <c r="G69" s="16" t="n">
        <f aca="false">IF(AND(Drift_Rate&lt;&gt;0,A69&gt;=Drift_Start),Drift_Rate*(A69-Drift_Start+1)/30,0)</f>
        <v>0</v>
      </c>
      <c r="H69" s="16" t="n">
        <f aca="false">IF(AND(E69=1,QA_Policy="Exclude suspect"),"",IF(AND(E69=1,QA_Policy="Impute with model",ISNUMBER(F69)),F69,D69)+G69)</f>
        <v>22.1</v>
      </c>
      <c r="I69" s="16" t="n">
        <f aca="false">IF(H69="","",H69+Climate_Shift+UHI_Day_Eff)</f>
        <v>24.1</v>
      </c>
      <c r="J69" s="16" t="n">
        <f aca="false">INDEX(Data_Heathrow!$G:$G,B69)</f>
        <v>13.3</v>
      </c>
      <c r="K69" s="16" t="n">
        <f aca="false">J69+Climate_Shift+UHI_Night_Eff</f>
        <v>17.3</v>
      </c>
      <c r="L69" s="16" t="n">
        <f aca="false">IF(INDEX(Data_Heathrow!$I:$I,B69)="","",INDEX(Data_Heathrow!$I:$I,B69))</f>
        <v>17</v>
      </c>
      <c r="M69" s="16" t="n">
        <f aca="false">IF(L69="","",L69+Climate_Shift+(UHI_Day_Eff+UHI_Night_Eff)/2)</f>
        <v>20</v>
      </c>
      <c r="N69" s="14" t="n">
        <f aca="false">IF(I69="",0,IF(I69&gt;=T_Day,1,0))</f>
        <v>0</v>
      </c>
      <c r="O69" s="14" t="n">
        <f aca="false">IF(K69&gt;=T_Night,1,0)</f>
        <v>0</v>
      </c>
      <c r="P69" s="14" t="n">
        <f aca="false">IF(N69=1,P68+1,0)</f>
        <v>0</v>
      </c>
      <c r="Q69" s="14" t="n">
        <f aca="false">IF(P69&gt;=HW_Days,1,0)</f>
        <v>0</v>
      </c>
      <c r="R69" s="17" t="str">
        <f aca="false">IF(AND(N69=1,I69&gt;=T_Red,O69=1),"RED",IF(AND(Q69=1,O69=1),"AMBER",IF(OR(N69=1,O69=1),"YELLOW","GREEN")))</f>
        <v>GREEN</v>
      </c>
      <c r="S69" s="14" t="n">
        <f aca="false">IF(R69="RED",3,IF(R69="AMBER",2,IF(R69="YELLOW",1,0)))</f>
        <v>0</v>
      </c>
      <c r="T69" s="16" t="n">
        <f aca="false">MAX(0,T68*(1-Decay)+IF(I69="",0,MAX(0,I69-T_Comfort))-Recovery_Rate*MAX(0,T_Night-K69))</f>
        <v>0</v>
      </c>
      <c r="U69" s="14" t="n">
        <f aca="false">IF(T69&gt;Capacity,1,0)</f>
        <v>0</v>
      </c>
      <c r="V69" s="15" t="n">
        <f aca="false">1/(1+EXP(-Logistic_k*(T69-Capacity)))</f>
        <v>0.00247262315663477</v>
      </c>
      <c r="W69" s="16" t="n">
        <f aca="false">IF(M69="",0,Beta*Pop_Share_Sel*(1-Sens_Red)*MAX(0,M69-T_Mort))</f>
        <v>0</v>
      </c>
      <c r="X69" s="16" t="n">
        <f aca="false">IF(ISNUMBER(F69),F69+Coef_B1*(Climate_Shift+G68),"")</f>
        <v>20.793630087576</v>
      </c>
      <c r="Y69" s="16" t="n">
        <f aca="false">IF(AND(ISNUMBER(X69),H69&lt;&gt;""),H69+Climate_Shift-X69,"")</f>
        <v>1.30636991242403</v>
      </c>
      <c r="Z69" s="16" t="n">
        <f aca="false">IF(ISNUMBER(Y69),ABS(Y69),"")</f>
        <v>1.30636991242403</v>
      </c>
      <c r="AA69" s="16" t="n">
        <f aca="false">IF(COUNT(Z63:Z69)=0,"",AVERAGE(Z63:Z69))</f>
        <v>1.1684949366611</v>
      </c>
      <c r="AB69" s="16" t="n">
        <f aca="false">IF(AD68=1,0,MAX(0,AB68+IF(ISNUMBER(Y69),Y69-CUSUM_k,0)))</f>
        <v>0.306369912424028</v>
      </c>
      <c r="AC69" s="16" t="n">
        <f aca="false">IF(AD68=1,0,MAX(0,AC68+IF(ISNUMBER(Y69),-Y69-CUSUM_k,0)))</f>
        <v>0</v>
      </c>
      <c r="AD69" s="17" t="n">
        <f aca="false">IF(OR(AB69&gt;CUSUM_h,AC69&gt;CUSUM_h,AND(ISNUMBER(AA69),AA69&gt;MAE_Tol)),1,0)</f>
        <v>0</v>
      </c>
      <c r="AE69" s="14" t="n">
        <f aca="false">IF(ISNUMBER(X69),IF(X69+Local_Sensing*UHI_Day_Eff&gt;=T_Day,1,0),0)</f>
        <v>0</v>
      </c>
      <c r="AF69" s="17" t="str">
        <f aca="false">IF(NOT(ISNUMBER(X69)),"n/a",IF(AND(AE69=1,N69=1),"Hit",IF(AND(AE69=0,N69=1),"Miss",IF(AND(AE69=1,N69=0),"False alarm","Correct quiet"))))</f>
        <v>Correct quiet</v>
      </c>
      <c r="AG69" s="14" t="n">
        <f aca="false">IF(H69="",0,IF(H69+Climate_Shift&gt;=T_Day,1,0))</f>
        <v>0</v>
      </c>
      <c r="AH69" s="17" t="n">
        <f aca="false">IF(AND(N69=1,AG69=0),1,0)</f>
        <v>0</v>
      </c>
      <c r="AI69" s="17" t="str">
        <f aca="false">IF(U69=1,"ESCALATE: surge health &amp; transport capacity",IF(AD69=1,"Model drift: retrain, recalibrate, raise change request",IF(S69&gt;=2,"Activate heat plan: outreach and cooling centres",IF(AND(E69=1,OR(N69=1,O69=1)),"Data QA: verify sensor before acting",IF(AF69="Miss","Review missed alert: threshold or model",IF(AH69=1,"Equity: local alert not seen at reference station","Monitor"))))))</f>
        <v>Monitor</v>
      </c>
      <c r="AN69" s="58" t="n">
        <f aca="false">T_Day</f>
        <v>28</v>
      </c>
      <c r="AO69" s="58" t="n">
        <f aca="false">Capacity</f>
        <v>40</v>
      </c>
      <c r="AP69" s="58" t="n">
        <f aca="false">CUSUM_h</f>
        <v>15</v>
      </c>
    </row>
    <row r="70" customFormat="false" ht="15" hidden="false" customHeight="false" outlineLevel="0" collapsed="false">
      <c r="A70" s="14" t="n">
        <v>62</v>
      </c>
      <c r="B70" s="14" t="n">
        <f aca="false">2+(SelYear-1979)*153+A70-1</f>
        <v>6642</v>
      </c>
      <c r="C70" s="55" t="n">
        <f aca="false">INDEX(Data_Heathrow!$A:$A,B70)</f>
        <v>44743</v>
      </c>
      <c r="D70" s="16" t="n">
        <f aca="false">INDEX(Data_Heathrow!$E:$E,B70)</f>
        <v>23.8</v>
      </c>
      <c r="E70" s="17" t="n">
        <f aca="false">INDEX(Data_Heathrow!$Q:$Q,B70)</f>
        <v>0</v>
      </c>
      <c r="F70" s="16" t="n">
        <f aca="false">INDEX(Data_Heathrow!$T:$T,B70)</f>
        <v>21.9407049578357</v>
      </c>
      <c r="G70" s="16" t="n">
        <f aca="false">IF(AND(Drift_Rate&lt;&gt;0,A70&gt;=Drift_Start),Drift_Rate*(A70-Drift_Start+1)/30,0)</f>
        <v>0</v>
      </c>
      <c r="H70" s="16" t="n">
        <f aca="false">IF(AND(E70=1,QA_Policy="Exclude suspect"),"",IF(AND(E70=1,QA_Policy="Impute with model",ISNUMBER(F70)),F70,D70)+G70)</f>
        <v>23.8</v>
      </c>
      <c r="I70" s="16" t="n">
        <f aca="false">IF(H70="","",H70+Climate_Shift+UHI_Day_Eff)</f>
        <v>25.8</v>
      </c>
      <c r="J70" s="16" t="n">
        <f aca="false">INDEX(Data_Heathrow!$G:$G,B70)</f>
        <v>12.4</v>
      </c>
      <c r="K70" s="16" t="n">
        <f aca="false">J70+Climate_Shift+UHI_Night_Eff</f>
        <v>16.4</v>
      </c>
      <c r="L70" s="16" t="n">
        <f aca="false">IF(INDEX(Data_Heathrow!$I:$I,B70)="","",INDEX(Data_Heathrow!$I:$I,B70))</f>
        <v>17.2</v>
      </c>
      <c r="M70" s="16" t="n">
        <f aca="false">IF(L70="","",L70+Climate_Shift+(UHI_Day_Eff+UHI_Night_Eff)/2)</f>
        <v>20.2</v>
      </c>
      <c r="N70" s="14" t="n">
        <f aca="false">IF(I70="",0,IF(I70&gt;=T_Day,1,0))</f>
        <v>0</v>
      </c>
      <c r="O70" s="14" t="n">
        <f aca="false">IF(K70&gt;=T_Night,1,0)</f>
        <v>0</v>
      </c>
      <c r="P70" s="14" t="n">
        <f aca="false">IF(N70=1,P69+1,0)</f>
        <v>0</v>
      </c>
      <c r="Q70" s="14" t="n">
        <f aca="false">IF(P70&gt;=HW_Days,1,0)</f>
        <v>0</v>
      </c>
      <c r="R70" s="17" t="str">
        <f aca="false">IF(AND(N70=1,I70&gt;=T_Red,O70=1),"RED",IF(AND(Q70=1,O70=1),"AMBER",IF(OR(N70=1,O70=1),"YELLOW","GREEN")))</f>
        <v>GREEN</v>
      </c>
      <c r="S70" s="14" t="n">
        <f aca="false">IF(R70="RED",3,IF(R70="AMBER",2,IF(R70="YELLOW",1,0)))</f>
        <v>0</v>
      </c>
      <c r="T70" s="16" t="n">
        <f aca="false">MAX(0,T69*(1-Decay)+IF(I70="",0,MAX(0,I70-T_Comfort))-Recovery_Rate*MAX(0,T_Night-K70))</f>
        <v>0</v>
      </c>
      <c r="U70" s="14" t="n">
        <f aca="false">IF(T70&gt;Capacity,1,0)</f>
        <v>0</v>
      </c>
      <c r="V70" s="15" t="n">
        <f aca="false">1/(1+EXP(-Logistic_k*(T70-Capacity)))</f>
        <v>0.00247262315663477</v>
      </c>
      <c r="W70" s="16" t="n">
        <f aca="false">IF(M70="",0,Beta*Pop_Share_Sel*(1-Sens_Red)*MAX(0,M70-T_Mort))</f>
        <v>0.111079219288174</v>
      </c>
      <c r="X70" s="16" t="n">
        <f aca="false">IF(ISNUMBER(F70),F70+Coef_B1*(Climate_Shift+G69),"")</f>
        <v>21.9407049578357</v>
      </c>
      <c r="Y70" s="16" t="n">
        <f aca="false">IF(AND(ISNUMBER(X70),H70&lt;&gt;""),H70+Climate_Shift-X70,"")</f>
        <v>1.85929504216431</v>
      </c>
      <c r="Z70" s="16" t="n">
        <f aca="false">IF(ISNUMBER(Y70),ABS(Y70),"")</f>
        <v>1.85929504216431</v>
      </c>
      <c r="AA70" s="16" t="n">
        <f aca="false">IF(COUNT(Z64:Z70)=0,"",AVERAGE(Z64:Z70))</f>
        <v>1.41884464096046</v>
      </c>
      <c r="AB70" s="16" t="n">
        <f aca="false">IF(AD69=1,0,MAX(0,AB69+IF(ISNUMBER(Y70),Y70-CUSUM_k,0)))</f>
        <v>1.16566495458833</v>
      </c>
      <c r="AC70" s="16" t="n">
        <f aca="false">IF(AD69=1,0,MAX(0,AC69+IF(ISNUMBER(Y70),-Y70-CUSUM_k,0)))</f>
        <v>0</v>
      </c>
      <c r="AD70" s="17" t="n">
        <f aca="false">IF(OR(AB70&gt;CUSUM_h,AC70&gt;CUSUM_h,AND(ISNUMBER(AA70),AA70&gt;MAE_Tol)),1,0)</f>
        <v>0</v>
      </c>
      <c r="AE70" s="14" t="n">
        <f aca="false">IF(ISNUMBER(X70),IF(X70+Local_Sensing*UHI_Day_Eff&gt;=T_Day,1,0),0)</f>
        <v>0</v>
      </c>
      <c r="AF70" s="17" t="str">
        <f aca="false">IF(NOT(ISNUMBER(X70)),"n/a",IF(AND(AE70=1,N70=1),"Hit",IF(AND(AE70=0,N70=1),"Miss",IF(AND(AE70=1,N70=0),"False alarm","Correct quiet"))))</f>
        <v>Correct quiet</v>
      </c>
      <c r="AG70" s="14" t="n">
        <f aca="false">IF(H70="",0,IF(H70+Climate_Shift&gt;=T_Day,1,0))</f>
        <v>0</v>
      </c>
      <c r="AH70" s="17" t="n">
        <f aca="false">IF(AND(N70=1,AG70=0),1,0)</f>
        <v>0</v>
      </c>
      <c r="AI70" s="17" t="str">
        <f aca="false">IF(U70=1,"ESCALATE: surge health &amp; transport capacity",IF(AD70=1,"Model drift: retrain, recalibrate, raise change request",IF(S70&gt;=2,"Activate heat plan: outreach and cooling centres",IF(AND(E70=1,OR(N70=1,O70=1)),"Data QA: verify sensor before acting",IF(AF70="Miss","Review missed alert: threshold or model",IF(AH70=1,"Equity: local alert not seen at reference station","Monitor"))))))</f>
        <v>Monitor</v>
      </c>
      <c r="AN70" s="58" t="n">
        <f aca="false">T_Day</f>
        <v>28</v>
      </c>
      <c r="AO70" s="58" t="n">
        <f aca="false">Capacity</f>
        <v>40</v>
      </c>
      <c r="AP70" s="58" t="n">
        <f aca="false">CUSUM_h</f>
        <v>15</v>
      </c>
    </row>
    <row r="71" customFormat="false" ht="15" hidden="false" customHeight="false" outlineLevel="0" collapsed="false">
      <c r="A71" s="14" t="n">
        <v>63</v>
      </c>
      <c r="B71" s="14" t="n">
        <f aca="false">2+(SelYear-1979)*153+A71-1</f>
        <v>6643</v>
      </c>
      <c r="C71" s="55" t="n">
        <f aca="false">INDEX(Data_Heathrow!$A:$A,B71)</f>
        <v>44744</v>
      </c>
      <c r="D71" s="16" t="n">
        <f aca="false">INDEX(Data_Heathrow!$E:$E,B71)</f>
        <v>24.2</v>
      </c>
      <c r="E71" s="17" t="n">
        <f aca="false">INDEX(Data_Heathrow!$Q:$Q,B71)</f>
        <v>0</v>
      </c>
      <c r="F71" s="16" t="n">
        <f aca="false">INDEX(Data_Heathrow!$T:$T,B71)</f>
        <v>23.4747461118612</v>
      </c>
      <c r="G71" s="16" t="n">
        <f aca="false">IF(AND(Drift_Rate&lt;&gt;0,A71&gt;=Drift_Start),Drift_Rate*(A71-Drift_Start+1)/30,0)</f>
        <v>0</v>
      </c>
      <c r="H71" s="16" t="n">
        <f aca="false">IF(AND(E71=1,QA_Policy="Exclude suspect"),"",IF(AND(E71=1,QA_Policy="Impute with model",ISNUMBER(F71)),F71,D71)+G71)</f>
        <v>24.2</v>
      </c>
      <c r="I71" s="16" t="n">
        <f aca="false">IF(H71="","",H71+Climate_Shift+UHI_Day_Eff)</f>
        <v>26.2</v>
      </c>
      <c r="J71" s="16" t="n">
        <f aca="false">INDEX(Data_Heathrow!$G:$G,B71)</f>
        <v>11.8</v>
      </c>
      <c r="K71" s="16" t="n">
        <f aca="false">J71+Climate_Shift+UHI_Night_Eff</f>
        <v>15.8</v>
      </c>
      <c r="L71" s="16" t="n">
        <f aca="false">IF(INDEX(Data_Heathrow!$I:$I,B71)="","",INDEX(Data_Heathrow!$I:$I,B71))</f>
        <v>17.8</v>
      </c>
      <c r="M71" s="16" t="n">
        <f aca="false">IF(L71="","",L71+Climate_Shift+(UHI_Day_Eff+UHI_Night_Eff)/2)</f>
        <v>20.8</v>
      </c>
      <c r="N71" s="14" t="n">
        <f aca="false">IF(I71="",0,IF(I71&gt;=T_Day,1,0))</f>
        <v>0</v>
      </c>
      <c r="O71" s="14" t="n">
        <f aca="false">IF(K71&gt;=T_Night,1,0)</f>
        <v>0</v>
      </c>
      <c r="P71" s="14" t="n">
        <f aca="false">IF(N71=1,P70+1,0)</f>
        <v>0</v>
      </c>
      <c r="Q71" s="14" t="n">
        <f aca="false">IF(P71&gt;=HW_Days,1,0)</f>
        <v>0</v>
      </c>
      <c r="R71" s="17" t="str">
        <f aca="false">IF(AND(N71=1,I71&gt;=T_Red,O71=1),"RED",IF(AND(Q71=1,O71=1),"AMBER",IF(OR(N71=1,O71=1),"YELLOW","GREEN")))</f>
        <v>GREEN</v>
      </c>
      <c r="S71" s="14" t="n">
        <f aca="false">IF(R71="RED",3,IF(R71="AMBER",2,IF(R71="YELLOW",1,0)))</f>
        <v>0</v>
      </c>
      <c r="T71" s="16" t="n">
        <f aca="false">MAX(0,T70*(1-Decay)+IF(I71="",0,MAX(0,I71-T_Comfort))-Recovery_Rate*MAX(0,T_Night-K71))</f>
        <v>0.0999999999999996</v>
      </c>
      <c r="U71" s="14" t="n">
        <f aca="false">IF(T71&gt;Capacity,1,0)</f>
        <v>0</v>
      </c>
      <c r="V71" s="15" t="n">
        <f aca="false">1/(1+EXP(-Logistic_k*(T71-Capacity)))</f>
        <v>0.00250989827799958</v>
      </c>
      <c r="W71" s="16" t="n">
        <f aca="false">IF(M71="",0,Beta*Pop_Share_Sel*(1-Sens_Red)*MAX(0,M71-T_Mort))</f>
        <v>0.444316877152698</v>
      </c>
      <c r="X71" s="16" t="n">
        <f aca="false">IF(ISNUMBER(F71),F71+Coef_B1*(Climate_Shift+G70),"")</f>
        <v>23.4747461118612</v>
      </c>
      <c r="Y71" s="16" t="n">
        <f aca="false">IF(AND(ISNUMBER(X71),H71&lt;&gt;""),H71+Climate_Shift-X71,"")</f>
        <v>0.725253888138834</v>
      </c>
      <c r="Z71" s="16" t="n">
        <f aca="false">IF(ISNUMBER(Y71),ABS(Y71),"")</f>
        <v>0.725253888138834</v>
      </c>
      <c r="AA71" s="16" t="n">
        <f aca="false">IF(COUNT(Z65:Z71)=0,"",AVERAGE(Z65:Z71))</f>
        <v>1.39039127721116</v>
      </c>
      <c r="AB71" s="16" t="n">
        <f aca="false">IF(AD70=1,0,MAX(0,AB70+IF(ISNUMBER(Y71),Y71-CUSUM_k,0)))</f>
        <v>0.890918842727167</v>
      </c>
      <c r="AC71" s="16" t="n">
        <f aca="false">IF(AD70=1,0,MAX(0,AC70+IF(ISNUMBER(Y71),-Y71-CUSUM_k,0)))</f>
        <v>0</v>
      </c>
      <c r="AD71" s="17" t="n">
        <f aca="false">IF(OR(AB71&gt;CUSUM_h,AC71&gt;CUSUM_h,AND(ISNUMBER(AA71),AA71&gt;MAE_Tol)),1,0)</f>
        <v>0</v>
      </c>
      <c r="AE71" s="14" t="n">
        <f aca="false">IF(ISNUMBER(X71),IF(X71+Local_Sensing*UHI_Day_Eff&gt;=T_Day,1,0),0)</f>
        <v>0</v>
      </c>
      <c r="AF71" s="17" t="str">
        <f aca="false">IF(NOT(ISNUMBER(X71)),"n/a",IF(AND(AE71=1,N71=1),"Hit",IF(AND(AE71=0,N71=1),"Miss",IF(AND(AE71=1,N71=0),"False alarm","Correct quiet"))))</f>
        <v>Correct quiet</v>
      </c>
      <c r="AG71" s="14" t="n">
        <f aca="false">IF(H71="",0,IF(H71+Climate_Shift&gt;=T_Day,1,0))</f>
        <v>0</v>
      </c>
      <c r="AH71" s="17" t="n">
        <f aca="false">IF(AND(N71=1,AG71=0),1,0)</f>
        <v>0</v>
      </c>
      <c r="AI71" s="17" t="str">
        <f aca="false">IF(U71=1,"ESCALATE: surge health &amp; transport capacity",IF(AD71=1,"Model drift: retrain, recalibrate, raise change request",IF(S71&gt;=2,"Activate heat plan: outreach and cooling centres",IF(AND(E71=1,OR(N71=1,O71=1)),"Data QA: verify sensor before acting",IF(AF71="Miss","Review missed alert: threshold or model",IF(AH71=1,"Equity: local alert not seen at reference station","Monitor"))))))</f>
        <v>Monitor</v>
      </c>
      <c r="AN71" s="58" t="n">
        <f aca="false">T_Day</f>
        <v>28</v>
      </c>
      <c r="AO71" s="58" t="n">
        <f aca="false">Capacity</f>
        <v>40</v>
      </c>
      <c r="AP71" s="58" t="n">
        <f aca="false">CUSUM_h</f>
        <v>15</v>
      </c>
    </row>
    <row r="72" customFormat="false" ht="15" hidden="false" customHeight="false" outlineLevel="0" collapsed="false">
      <c r="A72" s="14" t="n">
        <v>64</v>
      </c>
      <c r="B72" s="14" t="n">
        <f aca="false">2+(SelYear-1979)*153+A72-1</f>
        <v>6644</v>
      </c>
      <c r="C72" s="55" t="n">
        <f aca="false">INDEX(Data_Heathrow!$A:$A,B72)</f>
        <v>44745</v>
      </c>
      <c r="D72" s="16" t="n">
        <f aca="false">INDEX(Data_Heathrow!$E:$E,B72)</f>
        <v>23.3</v>
      </c>
      <c r="E72" s="17" t="n">
        <f aca="false">INDEX(Data_Heathrow!$Q:$Q,B72)</f>
        <v>0</v>
      </c>
      <c r="F72" s="16" t="n">
        <f aca="false">INDEX(Data_Heathrow!$T:$T,B72)</f>
        <v>23.8589475994194</v>
      </c>
      <c r="G72" s="16" t="n">
        <f aca="false">IF(AND(Drift_Rate&lt;&gt;0,A72&gt;=Drift_Start),Drift_Rate*(A72-Drift_Start+1)/30,0)</f>
        <v>0</v>
      </c>
      <c r="H72" s="16" t="n">
        <f aca="false">IF(AND(E72=1,QA_Policy="Exclude suspect"),"",IF(AND(E72=1,QA_Policy="Impute with model",ISNUMBER(F72)),F72,D72)+G72)</f>
        <v>23.3</v>
      </c>
      <c r="I72" s="16" t="n">
        <f aca="false">IF(H72="","",H72+Climate_Shift+UHI_Day_Eff)</f>
        <v>25.3</v>
      </c>
      <c r="J72" s="16" t="n">
        <f aca="false">INDEX(Data_Heathrow!$G:$G,B72)</f>
        <v>10.6</v>
      </c>
      <c r="K72" s="16" t="n">
        <f aca="false">J72+Climate_Shift+UHI_Night_Eff</f>
        <v>14.6</v>
      </c>
      <c r="L72" s="16" t="n">
        <f aca="false">IF(INDEX(Data_Heathrow!$I:$I,B72)="","",INDEX(Data_Heathrow!$I:$I,B72))</f>
        <v>17.4</v>
      </c>
      <c r="M72" s="16" t="n">
        <f aca="false">IF(L72="","",L72+Climate_Shift+(UHI_Day_Eff+UHI_Night_Eff)/2)</f>
        <v>20.4</v>
      </c>
      <c r="N72" s="14" t="n">
        <f aca="false">IF(I72="",0,IF(I72&gt;=T_Day,1,0))</f>
        <v>0</v>
      </c>
      <c r="O72" s="14" t="n">
        <f aca="false">IF(K72&gt;=T_Night,1,0)</f>
        <v>0</v>
      </c>
      <c r="P72" s="14" t="n">
        <f aca="false">IF(N72=1,P71+1,0)</f>
        <v>0</v>
      </c>
      <c r="Q72" s="14" t="n">
        <f aca="false">IF(P72&gt;=HW_Days,1,0)</f>
        <v>0</v>
      </c>
      <c r="R72" s="17" t="str">
        <f aca="false">IF(AND(N72=1,I72&gt;=T_Red,O72=1),"RED",IF(AND(Q72=1,O72=1),"AMBER",IF(OR(N72=1,O72=1),"YELLOW","GREEN")))</f>
        <v>GREEN</v>
      </c>
      <c r="S72" s="14" t="n">
        <f aca="false">IF(R72="RED",3,IF(R72="AMBER",2,IF(R72="YELLOW",1,0)))</f>
        <v>0</v>
      </c>
      <c r="T72" s="16" t="n">
        <f aca="false">MAX(0,T71*(1-Decay)+IF(I72="",0,MAX(0,I72-T_Comfort))-Recovery_Rate*MAX(0,T_Night-K72))</f>
        <v>0</v>
      </c>
      <c r="U72" s="14" t="n">
        <f aca="false">IF(T72&gt;Capacity,1,0)</f>
        <v>0</v>
      </c>
      <c r="V72" s="15" t="n">
        <f aca="false">1/(1+EXP(-Logistic_k*(T72-Capacity)))</f>
        <v>0.00247262315663477</v>
      </c>
      <c r="W72" s="16" t="n">
        <f aca="false">IF(M72="",0,Beta*Pop_Share_Sel*(1-Sens_Red)*MAX(0,M72-T_Mort))</f>
        <v>0.222158438576348</v>
      </c>
      <c r="X72" s="16" t="n">
        <f aca="false">IF(ISNUMBER(F72),F72+Coef_B1*(Climate_Shift+G71),"")</f>
        <v>23.8589475994194</v>
      </c>
      <c r="Y72" s="16" t="n">
        <f aca="false">IF(AND(ISNUMBER(X72),H72&lt;&gt;""),H72+Climate_Shift-X72,"")</f>
        <v>-0.558947599419408</v>
      </c>
      <c r="Z72" s="16" t="n">
        <f aca="false">IF(ISNUMBER(Y72),ABS(Y72),"")</f>
        <v>0.558947599419408</v>
      </c>
      <c r="AA72" s="16" t="n">
        <f aca="false">IF(COUNT(Z66:Z72)=0,"",AVERAGE(Z66:Z72))</f>
        <v>1.27319067055116</v>
      </c>
      <c r="AB72" s="16" t="n">
        <f aca="false">IF(AD71=1,0,MAX(0,AB71+IF(ISNUMBER(Y72),Y72-CUSUM_k,0)))</f>
        <v>0</v>
      </c>
      <c r="AC72" s="16" t="n">
        <f aca="false">IF(AD71=1,0,MAX(0,AC71+IF(ISNUMBER(Y72),-Y72-CUSUM_k,0)))</f>
        <v>0</v>
      </c>
      <c r="AD72" s="17" t="n">
        <f aca="false">IF(OR(AB72&gt;CUSUM_h,AC72&gt;CUSUM_h,AND(ISNUMBER(AA72),AA72&gt;MAE_Tol)),1,0)</f>
        <v>0</v>
      </c>
      <c r="AE72" s="14" t="n">
        <f aca="false">IF(ISNUMBER(X72),IF(X72+Local_Sensing*UHI_Day_Eff&gt;=T_Day,1,0),0)</f>
        <v>0</v>
      </c>
      <c r="AF72" s="17" t="str">
        <f aca="false">IF(NOT(ISNUMBER(X72)),"n/a",IF(AND(AE72=1,N72=1),"Hit",IF(AND(AE72=0,N72=1),"Miss",IF(AND(AE72=1,N72=0),"False alarm","Correct quiet"))))</f>
        <v>Correct quiet</v>
      </c>
      <c r="AG72" s="14" t="n">
        <f aca="false">IF(H72="",0,IF(H72+Climate_Shift&gt;=T_Day,1,0))</f>
        <v>0</v>
      </c>
      <c r="AH72" s="17" t="n">
        <f aca="false">IF(AND(N72=1,AG72=0),1,0)</f>
        <v>0</v>
      </c>
      <c r="AI72" s="17" t="str">
        <f aca="false">IF(U72=1,"ESCALATE: surge health &amp; transport capacity",IF(AD72=1,"Model drift: retrain, recalibrate, raise change request",IF(S72&gt;=2,"Activate heat plan: outreach and cooling centres",IF(AND(E72=1,OR(N72=1,O72=1)),"Data QA: verify sensor before acting",IF(AF72="Miss","Review missed alert: threshold or model",IF(AH72=1,"Equity: local alert not seen at reference station","Monitor"))))))</f>
        <v>Monitor</v>
      </c>
      <c r="AN72" s="58" t="n">
        <f aca="false">T_Day</f>
        <v>28</v>
      </c>
      <c r="AO72" s="58" t="n">
        <f aca="false">Capacity</f>
        <v>40</v>
      </c>
      <c r="AP72" s="58" t="n">
        <f aca="false">CUSUM_h</f>
        <v>15</v>
      </c>
    </row>
    <row r="73" customFormat="false" ht="15" hidden="false" customHeight="false" outlineLevel="0" collapsed="false">
      <c r="A73" s="14" t="n">
        <v>65</v>
      </c>
      <c r="B73" s="14" t="n">
        <f aca="false">2+(SelYear-1979)*153+A73-1</f>
        <v>6645</v>
      </c>
      <c r="C73" s="55" t="n">
        <f aca="false">INDEX(Data_Heathrow!$A:$A,B73)</f>
        <v>44746</v>
      </c>
      <c r="D73" s="16" t="n">
        <f aca="false">INDEX(Data_Heathrow!$E:$E,B73)</f>
        <v>22.3</v>
      </c>
      <c r="E73" s="17" t="n">
        <f aca="false">INDEX(Data_Heathrow!$Q:$Q,B73)</f>
        <v>0</v>
      </c>
      <c r="F73" s="16" t="n">
        <f aca="false">INDEX(Data_Heathrow!$T:$T,B73)</f>
        <v>23.1560492097784</v>
      </c>
      <c r="G73" s="16" t="n">
        <f aca="false">IF(AND(Drift_Rate&lt;&gt;0,A73&gt;=Drift_Start),Drift_Rate*(A73-Drift_Start+1)/30,0)</f>
        <v>0</v>
      </c>
      <c r="H73" s="16" t="n">
        <f aca="false">IF(AND(E73=1,QA_Policy="Exclude suspect"),"",IF(AND(E73=1,QA_Policy="Impute with model",ISNUMBER(F73)),F73,D73)+G73)</f>
        <v>22.3</v>
      </c>
      <c r="I73" s="16" t="n">
        <f aca="false">IF(H73="","",H73+Climate_Shift+UHI_Day_Eff)</f>
        <v>24.3</v>
      </c>
      <c r="J73" s="16" t="n">
        <f aca="false">INDEX(Data_Heathrow!$G:$G,B73)</f>
        <v>11.3</v>
      </c>
      <c r="K73" s="16" t="n">
        <f aca="false">J73+Climate_Shift+UHI_Night_Eff</f>
        <v>15.3</v>
      </c>
      <c r="L73" s="16" t="n">
        <f aca="false">IF(INDEX(Data_Heathrow!$I:$I,B73)="","",INDEX(Data_Heathrow!$I:$I,B73))</f>
        <v>17.3</v>
      </c>
      <c r="M73" s="16" t="n">
        <f aca="false">IF(L73="","",L73+Climate_Shift+(UHI_Day_Eff+UHI_Night_Eff)/2)</f>
        <v>20.3</v>
      </c>
      <c r="N73" s="14" t="n">
        <f aca="false">IF(I73="",0,IF(I73&gt;=T_Day,1,0))</f>
        <v>0</v>
      </c>
      <c r="O73" s="14" t="n">
        <f aca="false">IF(K73&gt;=T_Night,1,0)</f>
        <v>0</v>
      </c>
      <c r="P73" s="14" t="n">
        <f aca="false">IF(N73=1,P72+1,0)</f>
        <v>0</v>
      </c>
      <c r="Q73" s="14" t="n">
        <f aca="false">IF(P73&gt;=HW_Days,1,0)</f>
        <v>0</v>
      </c>
      <c r="R73" s="17" t="str">
        <f aca="false">IF(AND(N73=1,I73&gt;=T_Red,O73=1),"RED",IF(AND(Q73=1,O73=1),"AMBER",IF(OR(N73=1,O73=1),"YELLOW","GREEN")))</f>
        <v>GREEN</v>
      </c>
      <c r="S73" s="14" t="n">
        <f aca="false">IF(R73="RED",3,IF(R73="AMBER",2,IF(R73="YELLOW",1,0)))</f>
        <v>0</v>
      </c>
      <c r="T73" s="16" t="n">
        <f aca="false">MAX(0,T72*(1-Decay)+IF(I73="",0,MAX(0,I73-T_Comfort))-Recovery_Rate*MAX(0,T_Night-K73))</f>
        <v>0</v>
      </c>
      <c r="U73" s="14" t="n">
        <f aca="false">IF(T73&gt;Capacity,1,0)</f>
        <v>0</v>
      </c>
      <c r="V73" s="15" t="n">
        <f aca="false">1/(1+EXP(-Logistic_k*(T73-Capacity)))</f>
        <v>0.00247262315663477</v>
      </c>
      <c r="W73" s="16" t="n">
        <f aca="false">IF(M73="",0,Beta*Pop_Share_Sel*(1-Sens_Red)*MAX(0,M73-T_Mort))</f>
        <v>0.166618828932262</v>
      </c>
      <c r="X73" s="16" t="n">
        <f aca="false">IF(ISNUMBER(F73),F73+Coef_B1*(Climate_Shift+G72),"")</f>
        <v>23.1560492097784</v>
      </c>
      <c r="Y73" s="16" t="n">
        <f aca="false">IF(AND(ISNUMBER(X73),H73&lt;&gt;""),H73+Climate_Shift-X73,"")</f>
        <v>-0.856049209778405</v>
      </c>
      <c r="Z73" s="16" t="n">
        <f aca="false">IF(ISNUMBER(Y73),ABS(Y73),"")</f>
        <v>0.856049209778405</v>
      </c>
      <c r="AA73" s="16" t="n">
        <f aca="false">IF(COUNT(Z67:Z73)=0,"",AVERAGE(Z67:Z73))</f>
        <v>1.08727896265553</v>
      </c>
      <c r="AB73" s="16" t="n">
        <f aca="false">IF(AD72=1,0,MAX(0,AB72+IF(ISNUMBER(Y73),Y73-CUSUM_k,0)))</f>
        <v>0</v>
      </c>
      <c r="AC73" s="16" t="n">
        <f aca="false">IF(AD72=1,0,MAX(0,AC72+IF(ISNUMBER(Y73),-Y73-CUSUM_k,0)))</f>
        <v>0</v>
      </c>
      <c r="AD73" s="17" t="n">
        <f aca="false">IF(OR(AB73&gt;CUSUM_h,AC73&gt;CUSUM_h,AND(ISNUMBER(AA73),AA73&gt;MAE_Tol)),1,0)</f>
        <v>0</v>
      </c>
      <c r="AE73" s="14" t="n">
        <f aca="false">IF(ISNUMBER(X73),IF(X73+Local_Sensing*UHI_Day_Eff&gt;=T_Day,1,0),0)</f>
        <v>0</v>
      </c>
      <c r="AF73" s="17" t="str">
        <f aca="false">IF(NOT(ISNUMBER(X73)),"n/a",IF(AND(AE73=1,N73=1),"Hit",IF(AND(AE73=0,N73=1),"Miss",IF(AND(AE73=1,N73=0),"False alarm","Correct quiet"))))</f>
        <v>Correct quiet</v>
      </c>
      <c r="AG73" s="14" t="n">
        <f aca="false">IF(H73="",0,IF(H73+Climate_Shift&gt;=T_Day,1,0))</f>
        <v>0</v>
      </c>
      <c r="AH73" s="17" t="n">
        <f aca="false">IF(AND(N73=1,AG73=0),1,0)</f>
        <v>0</v>
      </c>
      <c r="AI73" s="17" t="str">
        <f aca="false">IF(U73=1,"ESCALATE: surge health &amp; transport capacity",IF(AD73=1,"Model drift: retrain, recalibrate, raise change request",IF(S73&gt;=2,"Activate heat plan: outreach and cooling centres",IF(AND(E73=1,OR(N73=1,O73=1)),"Data QA: verify sensor before acting",IF(AF73="Miss","Review missed alert: threshold or model",IF(AH73=1,"Equity: local alert not seen at reference station","Monitor"))))))</f>
        <v>Monitor</v>
      </c>
      <c r="AN73" s="58" t="n">
        <f aca="false">T_Day</f>
        <v>28</v>
      </c>
      <c r="AO73" s="58" t="n">
        <f aca="false">Capacity</f>
        <v>40</v>
      </c>
      <c r="AP73" s="58" t="n">
        <f aca="false">CUSUM_h</f>
        <v>15</v>
      </c>
    </row>
    <row r="74" customFormat="false" ht="15" hidden="false" customHeight="false" outlineLevel="0" collapsed="false">
      <c r="A74" s="14" t="n">
        <v>66</v>
      </c>
      <c r="B74" s="14" t="n">
        <f aca="false">2+(SelYear-1979)*153+A74-1</f>
        <v>6646</v>
      </c>
      <c r="C74" s="55" t="n">
        <f aca="false">INDEX(Data_Heathrow!$A:$A,B74)</f>
        <v>44747</v>
      </c>
      <c r="D74" s="16" t="n">
        <f aca="false">INDEX(Data_Heathrow!$E:$E,B74)</f>
        <v>25.3</v>
      </c>
      <c r="E74" s="17" t="n">
        <f aca="false">INDEX(Data_Heathrow!$Q:$Q,B74)</f>
        <v>0</v>
      </c>
      <c r="F74" s="16" t="n">
        <f aca="false">INDEX(Data_Heathrow!$T:$T,B74)</f>
        <v>22.3994498060037</v>
      </c>
      <c r="G74" s="16" t="n">
        <f aca="false">IF(AND(Drift_Rate&lt;&gt;0,A74&gt;=Drift_Start),Drift_Rate*(A74-Drift_Start+1)/30,0)</f>
        <v>0</v>
      </c>
      <c r="H74" s="16" t="n">
        <f aca="false">IF(AND(E74=1,QA_Policy="Exclude suspect"),"",IF(AND(E74=1,QA_Policy="Impute with model",ISNUMBER(F74)),F74,D74)+G74)</f>
        <v>25.3</v>
      </c>
      <c r="I74" s="16" t="n">
        <f aca="false">IF(H74="","",H74+Climate_Shift+UHI_Day_Eff)</f>
        <v>27.3</v>
      </c>
      <c r="J74" s="16" t="n">
        <f aca="false">INDEX(Data_Heathrow!$G:$G,B74)</f>
        <v>10.8</v>
      </c>
      <c r="K74" s="16" t="n">
        <f aca="false">J74+Climate_Shift+UHI_Night_Eff</f>
        <v>14.8</v>
      </c>
      <c r="L74" s="16" t="n">
        <f aca="false">IF(INDEX(Data_Heathrow!$I:$I,B74)="","",INDEX(Data_Heathrow!$I:$I,B74))</f>
        <v>16.6</v>
      </c>
      <c r="M74" s="16" t="n">
        <f aca="false">IF(L74="","",L74+Climate_Shift+(UHI_Day_Eff+UHI_Night_Eff)/2)</f>
        <v>19.6</v>
      </c>
      <c r="N74" s="14" t="n">
        <f aca="false">IF(I74="",0,IF(I74&gt;=T_Day,1,0))</f>
        <v>0</v>
      </c>
      <c r="O74" s="14" t="n">
        <f aca="false">IF(K74&gt;=T_Night,1,0)</f>
        <v>0</v>
      </c>
      <c r="P74" s="14" t="n">
        <f aca="false">IF(N74=1,P73+1,0)</f>
        <v>0</v>
      </c>
      <c r="Q74" s="14" t="n">
        <f aca="false">IF(P74&gt;=HW_Days,1,0)</f>
        <v>0</v>
      </c>
      <c r="R74" s="17" t="str">
        <f aca="false">IF(AND(N74=1,I74&gt;=T_Red,O74=1),"RED",IF(AND(Q74=1,O74=1),"AMBER",IF(OR(N74=1,O74=1),"YELLOW","GREEN")))</f>
        <v>GREEN</v>
      </c>
      <c r="S74" s="14" t="n">
        <f aca="false">IF(R74="RED",3,IF(R74="AMBER",2,IF(R74="YELLOW",1,0)))</f>
        <v>0</v>
      </c>
      <c r="T74" s="16" t="n">
        <f aca="false">MAX(0,T73*(1-Decay)+IF(I74="",0,MAX(0,I74-T_Comfort))-Recovery_Rate*MAX(0,T_Night-K74))</f>
        <v>0.700000000000001</v>
      </c>
      <c r="U74" s="14" t="n">
        <f aca="false">IF(T74&gt;Capacity,1,0)</f>
        <v>0</v>
      </c>
      <c r="V74" s="15" t="n">
        <f aca="false">1/(1+EXP(-Logistic_k*(T74-Capacity)))</f>
        <v>0.00274561717481282</v>
      </c>
      <c r="W74" s="16" t="n">
        <f aca="false">IF(M74="",0,Beta*Pop_Share_Sel*(1-Sens_Red)*MAX(0,M74-T_Mort))</f>
        <v>0</v>
      </c>
      <c r="X74" s="16" t="n">
        <f aca="false">IF(ISNUMBER(F74),F74+Coef_B1*(Climate_Shift+G73),"")</f>
        <v>22.3994498060037</v>
      </c>
      <c r="Y74" s="16" t="n">
        <f aca="false">IF(AND(ISNUMBER(X74),H74&lt;&gt;""),H74+Climate_Shift-X74,"")</f>
        <v>2.90055019399627</v>
      </c>
      <c r="Z74" s="16" t="n">
        <f aca="false">IF(ISNUMBER(Y74),ABS(Y74),"")</f>
        <v>2.90055019399627</v>
      </c>
      <c r="AA74" s="16" t="n">
        <f aca="false">IF(COUNT(Z68:Z74)=0,"",AVERAGE(Z68:Z74))</f>
        <v>1.36253875784852</v>
      </c>
      <c r="AB74" s="16" t="n">
        <f aca="false">IF(AD73=1,0,MAX(0,AB73+IF(ISNUMBER(Y74),Y74-CUSUM_k,0)))</f>
        <v>1.90055019399627</v>
      </c>
      <c r="AC74" s="16" t="n">
        <f aca="false">IF(AD73=1,0,MAX(0,AC73+IF(ISNUMBER(Y74),-Y74-CUSUM_k,0)))</f>
        <v>0</v>
      </c>
      <c r="AD74" s="17" t="n">
        <f aca="false">IF(OR(AB74&gt;CUSUM_h,AC74&gt;CUSUM_h,AND(ISNUMBER(AA74),AA74&gt;MAE_Tol)),1,0)</f>
        <v>0</v>
      </c>
      <c r="AE74" s="14" t="n">
        <f aca="false">IF(ISNUMBER(X74),IF(X74+Local_Sensing*UHI_Day_Eff&gt;=T_Day,1,0),0)</f>
        <v>0</v>
      </c>
      <c r="AF74" s="17" t="str">
        <f aca="false">IF(NOT(ISNUMBER(X74)),"n/a",IF(AND(AE74=1,N74=1),"Hit",IF(AND(AE74=0,N74=1),"Miss",IF(AND(AE74=1,N74=0),"False alarm","Correct quiet"))))</f>
        <v>Correct quiet</v>
      </c>
      <c r="AG74" s="14" t="n">
        <f aca="false">IF(H74="",0,IF(H74+Climate_Shift&gt;=T_Day,1,0))</f>
        <v>0</v>
      </c>
      <c r="AH74" s="17" t="n">
        <f aca="false">IF(AND(N74=1,AG74=0),1,0)</f>
        <v>0</v>
      </c>
      <c r="AI74" s="17" t="str">
        <f aca="false">IF(U74=1,"ESCALATE: surge health &amp; transport capacity",IF(AD74=1,"Model drift: retrain, recalibrate, raise change request",IF(S74&gt;=2,"Activate heat plan: outreach and cooling centres",IF(AND(E74=1,OR(N74=1,O74=1)),"Data QA: verify sensor before acting",IF(AF74="Miss","Review missed alert: threshold or model",IF(AH74=1,"Equity: local alert not seen at reference station","Monitor"))))))</f>
        <v>Monitor</v>
      </c>
      <c r="AN74" s="58" t="n">
        <f aca="false">T_Day</f>
        <v>28</v>
      </c>
      <c r="AO74" s="58" t="n">
        <f aca="false">Capacity</f>
        <v>40</v>
      </c>
      <c r="AP74" s="58" t="n">
        <f aca="false">CUSUM_h</f>
        <v>15</v>
      </c>
    </row>
    <row r="75" customFormat="false" ht="15" hidden="false" customHeight="false" outlineLevel="0" collapsed="false">
      <c r="A75" s="14" t="n">
        <v>67</v>
      </c>
      <c r="B75" s="14" t="n">
        <f aca="false">2+(SelYear-1979)*153+A75-1</f>
        <v>6647</v>
      </c>
      <c r="C75" s="55" t="n">
        <f aca="false">INDEX(Data_Heathrow!$A:$A,B75)</f>
        <v>44748</v>
      </c>
      <c r="D75" s="16" t="n">
        <f aca="false">INDEX(Data_Heathrow!$E:$E,B75)</f>
        <v>25.2</v>
      </c>
      <c r="E75" s="17" t="n">
        <f aca="false">INDEX(Data_Heathrow!$Q:$Q,B75)</f>
        <v>0</v>
      </c>
      <c r="F75" s="16" t="n">
        <f aca="false">INDEX(Data_Heathrow!$T:$T,B75)</f>
        <v>24.9735359952775</v>
      </c>
      <c r="G75" s="16" t="n">
        <f aca="false">IF(AND(Drift_Rate&lt;&gt;0,A75&gt;=Drift_Start),Drift_Rate*(A75-Drift_Start+1)/30,0)</f>
        <v>0</v>
      </c>
      <c r="H75" s="16" t="n">
        <f aca="false">IF(AND(E75=1,QA_Policy="Exclude suspect"),"",IF(AND(E75=1,QA_Policy="Impute with model",ISNUMBER(F75)),F75,D75)+G75)</f>
        <v>25.2</v>
      </c>
      <c r="I75" s="16" t="n">
        <f aca="false">IF(H75="","",H75+Climate_Shift+UHI_Day_Eff)</f>
        <v>27.2</v>
      </c>
      <c r="J75" s="16" t="n">
        <f aca="false">INDEX(Data_Heathrow!$G:$G,B75)</f>
        <v>12.5</v>
      </c>
      <c r="K75" s="16" t="n">
        <f aca="false">J75+Climate_Shift+UHI_Night_Eff</f>
        <v>16.5</v>
      </c>
      <c r="L75" s="16" t="n">
        <f aca="false">IF(INDEX(Data_Heathrow!$I:$I,B75)="","",INDEX(Data_Heathrow!$I:$I,B75))</f>
        <v>18.9</v>
      </c>
      <c r="M75" s="16" t="n">
        <f aca="false">IF(L75="","",L75+Climate_Shift+(UHI_Day_Eff+UHI_Night_Eff)/2)</f>
        <v>21.9</v>
      </c>
      <c r="N75" s="14" t="n">
        <f aca="false">IF(I75="",0,IF(I75&gt;=T_Day,1,0))</f>
        <v>0</v>
      </c>
      <c r="O75" s="14" t="n">
        <f aca="false">IF(K75&gt;=T_Night,1,0)</f>
        <v>0</v>
      </c>
      <c r="P75" s="14" t="n">
        <f aca="false">IF(N75=1,P74+1,0)</f>
        <v>0</v>
      </c>
      <c r="Q75" s="14" t="n">
        <f aca="false">IF(P75&gt;=HW_Days,1,0)</f>
        <v>0</v>
      </c>
      <c r="R75" s="17" t="str">
        <f aca="false">IF(AND(N75=1,I75&gt;=T_Red,O75=1),"RED",IF(AND(Q75=1,O75=1),"AMBER",IF(OR(N75=1,O75=1),"YELLOW","GREEN")))</f>
        <v>GREEN</v>
      </c>
      <c r="S75" s="14" t="n">
        <f aca="false">IF(R75="RED",3,IF(R75="AMBER",2,IF(R75="YELLOW",1,0)))</f>
        <v>0</v>
      </c>
      <c r="T75" s="16" t="n">
        <f aca="false">MAX(0,T74*(1-Decay)+IF(I75="",0,MAX(0,I75-T_Comfort))-Recovery_Rate*MAX(0,T_Night-K75))</f>
        <v>2.01</v>
      </c>
      <c r="U75" s="14" t="n">
        <f aca="false">IF(T75&gt;Capacity,1,0)</f>
        <v>0</v>
      </c>
      <c r="V75" s="15" t="n">
        <f aca="false">1/(1+EXP(-Logistic_k*(T75-Capacity)))</f>
        <v>0.00333979655300625</v>
      </c>
      <c r="W75" s="16" t="n">
        <f aca="false">IF(M75="",0,Beta*Pop_Share_Sel*(1-Sens_Red)*MAX(0,M75-T_Mort))</f>
        <v>1.05525258323766</v>
      </c>
      <c r="X75" s="16" t="n">
        <f aca="false">IF(ISNUMBER(F75),F75+Coef_B1*(Climate_Shift+G74),"")</f>
        <v>24.9735359952775</v>
      </c>
      <c r="Y75" s="16" t="n">
        <f aca="false">IF(AND(ISNUMBER(X75),H75&lt;&gt;""),H75+Climate_Shift-X75,"")</f>
        <v>0.226464004722544</v>
      </c>
      <c r="Z75" s="16" t="n">
        <f aca="false">IF(ISNUMBER(Y75),ABS(Y75),"")</f>
        <v>0.226464004722544</v>
      </c>
      <c r="AA75" s="16" t="n">
        <f aca="false">IF(COUNT(Z69:Z75)=0,"",AVERAGE(Z69:Z75))</f>
        <v>1.20470426437769</v>
      </c>
      <c r="AB75" s="16" t="n">
        <f aca="false">IF(AD74=1,0,MAX(0,AB74+IF(ISNUMBER(Y75),Y75-CUSUM_k,0)))</f>
        <v>1.12701419871881</v>
      </c>
      <c r="AC75" s="16" t="n">
        <f aca="false">IF(AD74=1,0,MAX(0,AC74+IF(ISNUMBER(Y75),-Y75-CUSUM_k,0)))</f>
        <v>0</v>
      </c>
      <c r="AD75" s="17" t="n">
        <f aca="false">IF(OR(AB75&gt;CUSUM_h,AC75&gt;CUSUM_h,AND(ISNUMBER(AA75),AA75&gt;MAE_Tol)),1,0)</f>
        <v>0</v>
      </c>
      <c r="AE75" s="14" t="n">
        <f aca="false">IF(ISNUMBER(X75),IF(X75+Local_Sensing*UHI_Day_Eff&gt;=T_Day,1,0),0)</f>
        <v>0</v>
      </c>
      <c r="AF75" s="17" t="str">
        <f aca="false">IF(NOT(ISNUMBER(X75)),"n/a",IF(AND(AE75=1,N75=1),"Hit",IF(AND(AE75=0,N75=1),"Miss",IF(AND(AE75=1,N75=0),"False alarm","Correct quiet"))))</f>
        <v>Correct quiet</v>
      </c>
      <c r="AG75" s="14" t="n">
        <f aca="false">IF(H75="",0,IF(H75+Climate_Shift&gt;=T_Day,1,0))</f>
        <v>0</v>
      </c>
      <c r="AH75" s="17" t="n">
        <f aca="false">IF(AND(N75=1,AG75=0),1,0)</f>
        <v>0</v>
      </c>
      <c r="AI75" s="17" t="str">
        <f aca="false">IF(U75=1,"ESCALATE: surge health &amp; transport capacity",IF(AD75=1,"Model drift: retrain, recalibrate, raise change request",IF(S75&gt;=2,"Activate heat plan: outreach and cooling centres",IF(AND(E75=1,OR(N75=1,O75=1)),"Data QA: verify sensor before acting",IF(AF75="Miss","Review missed alert: threshold or model",IF(AH75=1,"Equity: local alert not seen at reference station","Monitor"))))))</f>
        <v>Monitor</v>
      </c>
      <c r="AN75" s="58" t="n">
        <f aca="false">T_Day</f>
        <v>28</v>
      </c>
      <c r="AO75" s="58" t="n">
        <f aca="false">Capacity</f>
        <v>40</v>
      </c>
      <c r="AP75" s="58" t="n">
        <f aca="false">CUSUM_h</f>
        <v>15</v>
      </c>
    </row>
    <row r="76" customFormat="false" ht="15" hidden="false" customHeight="false" outlineLevel="0" collapsed="false">
      <c r="A76" s="14" t="n">
        <v>68</v>
      </c>
      <c r="B76" s="14" t="n">
        <f aca="false">2+(SelYear-1979)*153+A76-1</f>
        <v>6648</v>
      </c>
      <c r="C76" s="55" t="n">
        <f aca="false">INDEX(Data_Heathrow!$A:$A,B76)</f>
        <v>44749</v>
      </c>
      <c r="D76" s="16" t="n">
        <f aca="false">INDEX(Data_Heathrow!$E:$E,B76)</f>
        <v>28.7</v>
      </c>
      <c r="E76" s="17" t="n">
        <f aca="false">INDEX(Data_Heathrow!$Q:$Q,B76)</f>
        <v>0</v>
      </c>
      <c r="F76" s="16" t="n">
        <f aca="false">INDEX(Data_Heathrow!$T:$T,B76)</f>
        <v>24.9386569179242</v>
      </c>
      <c r="G76" s="16" t="n">
        <f aca="false">IF(AND(Drift_Rate&lt;&gt;0,A76&gt;=Drift_Start),Drift_Rate*(A76-Drift_Start+1)/30,0)</f>
        <v>0</v>
      </c>
      <c r="H76" s="16" t="n">
        <f aca="false">IF(AND(E76=1,QA_Policy="Exclude suspect"),"",IF(AND(E76=1,QA_Policy="Impute with model",ISNUMBER(F76)),F76,D76)+G76)</f>
        <v>28.7</v>
      </c>
      <c r="I76" s="16" t="n">
        <f aca="false">IF(H76="","",H76+Climate_Shift+UHI_Day_Eff)</f>
        <v>30.7</v>
      </c>
      <c r="J76" s="16" t="n">
        <f aca="false">INDEX(Data_Heathrow!$G:$G,B76)</f>
        <v>16.5</v>
      </c>
      <c r="K76" s="16" t="n">
        <f aca="false">J76+Climate_Shift+UHI_Night_Eff</f>
        <v>20.5</v>
      </c>
      <c r="L76" s="16" t="n">
        <f aca="false">IF(INDEX(Data_Heathrow!$I:$I,B76)="","",INDEX(Data_Heathrow!$I:$I,B76))</f>
        <v>20.9</v>
      </c>
      <c r="M76" s="16" t="n">
        <f aca="false">IF(L76="","",L76+Climate_Shift+(UHI_Day_Eff+UHI_Night_Eff)/2)</f>
        <v>23.9</v>
      </c>
      <c r="N76" s="14" t="n">
        <f aca="false">IF(I76="",0,IF(I76&gt;=T_Day,1,0))</f>
        <v>1</v>
      </c>
      <c r="O76" s="14" t="n">
        <f aca="false">IF(K76&gt;=T_Night,1,0)</f>
        <v>1</v>
      </c>
      <c r="P76" s="14" t="n">
        <f aca="false">IF(N76=1,P75+1,0)</f>
        <v>1</v>
      </c>
      <c r="Q76" s="14" t="n">
        <f aca="false">IF(P76&gt;=HW_Days,1,0)</f>
        <v>0</v>
      </c>
      <c r="R76" s="17" t="str">
        <f aca="false">IF(AND(N76=1,I76&gt;=T_Red,O76=1),"RED",IF(AND(Q76=1,O76=1),"AMBER",IF(OR(N76=1,O76=1),"YELLOW","GREEN")))</f>
        <v>YELLOW</v>
      </c>
      <c r="S76" s="14" t="n">
        <f aca="false">IF(R76="RED",3,IF(R76="AMBER",2,IF(R76="YELLOW",1,0)))</f>
        <v>1</v>
      </c>
      <c r="T76" s="16" t="n">
        <f aca="false">MAX(0,T75*(1-Decay)+IF(I76="",0,MAX(0,I76-T_Comfort))-Recovery_Rate*MAX(0,T_Night-K76))</f>
        <v>7.308</v>
      </c>
      <c r="U76" s="14" t="n">
        <f aca="false">IF(T76&gt;Capacity,1,0)</f>
        <v>0</v>
      </c>
      <c r="V76" s="15" t="n">
        <f aca="false">1/(1+EXP(-Logistic_k*(T76-Capacity)))</f>
        <v>0.00736371322501167</v>
      </c>
      <c r="W76" s="16" t="n">
        <f aca="false">IF(M76="",0,Beta*Pop_Share_Sel*(1-Sens_Red)*MAX(0,M76-T_Mort))</f>
        <v>2.1660447761194</v>
      </c>
      <c r="X76" s="16" t="n">
        <f aca="false">IF(ISNUMBER(F76),F76+Coef_B1*(Climate_Shift+G75),"")</f>
        <v>24.9386569179242</v>
      </c>
      <c r="Y76" s="16" t="n">
        <f aca="false">IF(AND(ISNUMBER(X76),H76&lt;&gt;""),H76+Climate_Shift-X76,"")</f>
        <v>3.76134308207582</v>
      </c>
      <c r="Z76" s="16" t="n">
        <f aca="false">IF(ISNUMBER(Y76),ABS(Y76),"")</f>
        <v>3.76134308207582</v>
      </c>
      <c r="AA76" s="16" t="n">
        <f aca="false">IF(COUNT(Z70:Z76)=0,"",AVERAGE(Z70:Z76))</f>
        <v>1.55541471718508</v>
      </c>
      <c r="AB76" s="16" t="n">
        <f aca="false">IF(AD75=1,0,MAX(0,AB75+IF(ISNUMBER(Y76),Y76-CUSUM_k,0)))</f>
        <v>3.88835728079464</v>
      </c>
      <c r="AC76" s="16" t="n">
        <f aca="false">IF(AD75=1,0,MAX(0,AC75+IF(ISNUMBER(Y76),-Y76-CUSUM_k,0)))</f>
        <v>0</v>
      </c>
      <c r="AD76" s="17" t="n">
        <f aca="false">IF(OR(AB76&gt;CUSUM_h,AC76&gt;CUSUM_h,AND(ISNUMBER(AA76),AA76&gt;MAE_Tol)),1,0)</f>
        <v>0</v>
      </c>
      <c r="AE76" s="14" t="n">
        <f aca="false">IF(ISNUMBER(X76),IF(X76+Local_Sensing*UHI_Day_Eff&gt;=T_Day,1,0),0)</f>
        <v>0</v>
      </c>
      <c r="AF76" s="17" t="str">
        <f aca="false">IF(NOT(ISNUMBER(X76)),"n/a",IF(AND(AE76=1,N76=1),"Hit",IF(AND(AE76=0,N76=1),"Miss",IF(AND(AE76=1,N76=0),"False alarm","Correct quiet"))))</f>
        <v>Miss</v>
      </c>
      <c r="AG76" s="14" t="n">
        <f aca="false">IF(H76="",0,IF(H76+Climate_Shift&gt;=T_Day,1,0))</f>
        <v>1</v>
      </c>
      <c r="AH76" s="17" t="n">
        <f aca="false">IF(AND(N76=1,AG76=0),1,0)</f>
        <v>0</v>
      </c>
      <c r="AI76" s="17" t="str">
        <f aca="false">IF(U76=1,"ESCALATE: surge health &amp; transport capacity",IF(AD76=1,"Model drift: retrain, recalibrate, raise change request",IF(S76&gt;=2,"Activate heat plan: outreach and cooling centres",IF(AND(E76=1,OR(N76=1,O76=1)),"Data QA: verify sensor before acting",IF(AF76="Miss","Review missed alert: threshold or model",IF(AH76=1,"Equity: local alert not seen at reference station","Monitor"))))))</f>
        <v>Review missed alert: threshold or model</v>
      </c>
      <c r="AN76" s="58" t="n">
        <f aca="false">T_Day</f>
        <v>28</v>
      </c>
      <c r="AO76" s="58" t="n">
        <f aca="false">Capacity</f>
        <v>40</v>
      </c>
      <c r="AP76" s="58" t="n">
        <f aca="false">CUSUM_h</f>
        <v>15</v>
      </c>
    </row>
    <row r="77" customFormat="false" ht="15" hidden="false" customHeight="false" outlineLevel="0" collapsed="false">
      <c r="A77" s="14" t="n">
        <v>69</v>
      </c>
      <c r="B77" s="14" t="n">
        <f aca="false">2+(SelYear-1979)*153+A77-1</f>
        <v>6649</v>
      </c>
      <c r="C77" s="55" t="n">
        <f aca="false">INDEX(Data_Heathrow!$A:$A,B77)</f>
        <v>44750</v>
      </c>
      <c r="D77" s="16" t="n">
        <f aca="false">INDEX(Data_Heathrow!$E:$E,B77)</f>
        <v>27.5</v>
      </c>
      <c r="E77" s="17" t="n">
        <f aca="false">INDEX(Data_Heathrow!$Q:$Q,B77)</f>
        <v>0</v>
      </c>
      <c r="F77" s="16" t="n">
        <f aca="false">INDEX(Data_Heathrow!$T:$T,B77)</f>
        <v>27.8722208723049</v>
      </c>
      <c r="G77" s="16" t="n">
        <f aca="false">IF(AND(Drift_Rate&lt;&gt;0,A77&gt;=Drift_Start),Drift_Rate*(A77-Drift_Start+1)/30,0)</f>
        <v>0</v>
      </c>
      <c r="H77" s="16" t="n">
        <f aca="false">IF(AND(E77=1,QA_Policy="Exclude suspect"),"",IF(AND(E77=1,QA_Policy="Impute with model",ISNUMBER(F77)),F77,D77)+G77)</f>
        <v>27.5</v>
      </c>
      <c r="I77" s="16" t="n">
        <f aca="false">IF(H77="","",H77+Climate_Shift+UHI_Day_Eff)</f>
        <v>29.5</v>
      </c>
      <c r="J77" s="16" t="n">
        <f aca="false">INDEX(Data_Heathrow!$G:$G,B77)</f>
        <v>13.8</v>
      </c>
      <c r="K77" s="16" t="n">
        <f aca="false">J77+Climate_Shift+UHI_Night_Eff</f>
        <v>17.8</v>
      </c>
      <c r="L77" s="16" t="n">
        <f aca="false">IF(INDEX(Data_Heathrow!$I:$I,B77)="","",INDEX(Data_Heathrow!$I:$I,B77))</f>
        <v>21.2</v>
      </c>
      <c r="M77" s="16" t="n">
        <f aca="false">IF(L77="","",L77+Climate_Shift+(UHI_Day_Eff+UHI_Night_Eff)/2)</f>
        <v>24.2</v>
      </c>
      <c r="N77" s="14" t="n">
        <f aca="false">IF(I77="",0,IF(I77&gt;=T_Day,1,0))</f>
        <v>1</v>
      </c>
      <c r="O77" s="14" t="n">
        <f aca="false">IF(K77&gt;=T_Night,1,0)</f>
        <v>0</v>
      </c>
      <c r="P77" s="14" t="n">
        <f aca="false">IF(N77=1,P76+1,0)</f>
        <v>2</v>
      </c>
      <c r="Q77" s="14" t="n">
        <f aca="false">IF(P77&gt;=HW_Days,1,0)</f>
        <v>0</v>
      </c>
      <c r="R77" s="17" t="str">
        <f aca="false">IF(AND(N77=1,I77&gt;=T_Red,O77=1),"RED",IF(AND(Q77=1,O77=1),"AMBER",IF(OR(N77=1,O77=1),"YELLOW","GREEN")))</f>
        <v>YELLOW</v>
      </c>
      <c r="S77" s="14" t="n">
        <f aca="false">IF(R77="RED",3,IF(R77="AMBER",2,IF(R77="YELLOW",1,0)))</f>
        <v>1</v>
      </c>
      <c r="T77" s="16" t="n">
        <f aca="false">MAX(0,T76*(1-Decay)+IF(I77="",0,MAX(0,I77-T_Comfort))-Recovery_Rate*MAX(0,T_Night-K77))</f>
        <v>10.2464</v>
      </c>
      <c r="U77" s="14" t="n">
        <f aca="false">IF(T77&gt;Capacity,1,0)</f>
        <v>0</v>
      </c>
      <c r="V77" s="15" t="n">
        <f aca="false">1/(1+EXP(-Logistic_k*(T77-Capacity)))</f>
        <v>0.0113959034536578</v>
      </c>
      <c r="W77" s="16" t="n">
        <f aca="false">IF(M77="",0,Beta*Pop_Share_Sel*(1-Sens_Red)*MAX(0,M77-T_Mort))</f>
        <v>2.33266360505166</v>
      </c>
      <c r="X77" s="16" t="n">
        <f aca="false">IF(ISNUMBER(F77),F77+Coef_B1*(Climate_Shift+G76),"")</f>
        <v>27.8722208723049</v>
      </c>
      <c r="Y77" s="16" t="n">
        <f aca="false">IF(AND(ISNUMBER(X77),H77&lt;&gt;""),H77+Climate_Shift-X77,"")</f>
        <v>-0.372220872304858</v>
      </c>
      <c r="Z77" s="16" t="n">
        <f aca="false">IF(ISNUMBER(Y77),ABS(Y77),"")</f>
        <v>0.372220872304858</v>
      </c>
      <c r="AA77" s="16" t="n">
        <f aca="false">IF(COUNT(Z71:Z77)=0,"",AVERAGE(Z71:Z77))</f>
        <v>1.34297555006231</v>
      </c>
      <c r="AB77" s="16" t="n">
        <f aca="false">IF(AD76=1,0,MAX(0,AB76+IF(ISNUMBER(Y77),Y77-CUSUM_k,0)))</f>
        <v>2.51613640848978</v>
      </c>
      <c r="AC77" s="16" t="n">
        <f aca="false">IF(AD76=1,0,MAX(0,AC76+IF(ISNUMBER(Y77),-Y77-CUSUM_k,0)))</f>
        <v>0</v>
      </c>
      <c r="AD77" s="17" t="n">
        <f aca="false">IF(OR(AB77&gt;CUSUM_h,AC77&gt;CUSUM_h,AND(ISNUMBER(AA77),AA77&gt;MAE_Tol)),1,0)</f>
        <v>0</v>
      </c>
      <c r="AE77" s="14" t="n">
        <f aca="false">IF(ISNUMBER(X77),IF(X77+Local_Sensing*UHI_Day_Eff&gt;=T_Day,1,0),0)</f>
        <v>0</v>
      </c>
      <c r="AF77" s="17" t="str">
        <f aca="false">IF(NOT(ISNUMBER(X77)),"n/a",IF(AND(AE77=1,N77=1),"Hit",IF(AND(AE77=0,N77=1),"Miss",IF(AND(AE77=1,N77=0),"False alarm","Correct quiet"))))</f>
        <v>Miss</v>
      </c>
      <c r="AG77" s="14" t="n">
        <f aca="false">IF(H77="",0,IF(H77+Climate_Shift&gt;=T_Day,1,0))</f>
        <v>0</v>
      </c>
      <c r="AH77" s="17" t="n">
        <f aca="false">IF(AND(N77=1,AG77=0),1,0)</f>
        <v>1</v>
      </c>
      <c r="AI77" s="17" t="str">
        <f aca="false">IF(U77=1,"ESCALATE: surge health &amp; transport capacity",IF(AD77=1,"Model drift: retrain, recalibrate, raise change request",IF(S77&gt;=2,"Activate heat plan: outreach and cooling centres",IF(AND(E77=1,OR(N77=1,O77=1)),"Data QA: verify sensor before acting",IF(AF77="Miss","Review missed alert: threshold or model",IF(AH77=1,"Equity: local alert not seen at reference station","Monitor"))))))</f>
        <v>Review missed alert: threshold or model</v>
      </c>
      <c r="AN77" s="58" t="n">
        <f aca="false">T_Day</f>
        <v>28</v>
      </c>
      <c r="AO77" s="58" t="n">
        <f aca="false">Capacity</f>
        <v>40</v>
      </c>
      <c r="AP77" s="58" t="n">
        <f aca="false">CUSUM_h</f>
        <v>15</v>
      </c>
    </row>
    <row r="78" customFormat="false" ht="15" hidden="false" customHeight="false" outlineLevel="0" collapsed="false">
      <c r="A78" s="14" t="n">
        <v>70</v>
      </c>
      <c r="B78" s="14" t="n">
        <f aca="false">2+(SelYear-1979)*153+A78-1</f>
        <v>6650</v>
      </c>
      <c r="C78" s="55" t="n">
        <f aca="false">INDEX(Data_Heathrow!$A:$A,B78)</f>
        <v>44751</v>
      </c>
      <c r="D78" s="16" t="n">
        <f aca="false">INDEX(Data_Heathrow!$E:$E,B78)</f>
        <v>29.7</v>
      </c>
      <c r="E78" s="17" t="n">
        <f aca="false">INDEX(Data_Heathrow!$Q:$Q,B78)</f>
        <v>0</v>
      </c>
      <c r="F78" s="16" t="n">
        <f aca="false">INDEX(Data_Heathrow!$T:$T,B78)</f>
        <v>26.9768495456288</v>
      </c>
      <c r="G78" s="16" t="n">
        <f aca="false">IF(AND(Drift_Rate&lt;&gt;0,A78&gt;=Drift_Start),Drift_Rate*(A78-Drift_Start+1)/30,0)</f>
        <v>0</v>
      </c>
      <c r="H78" s="16" t="n">
        <f aca="false">IF(AND(E78=1,QA_Policy="Exclude suspect"),"",IF(AND(E78=1,QA_Policy="Impute with model",ISNUMBER(F78)),F78,D78)+G78)</f>
        <v>29.7</v>
      </c>
      <c r="I78" s="16" t="n">
        <f aca="false">IF(H78="","",H78+Climate_Shift+UHI_Day_Eff)</f>
        <v>31.7</v>
      </c>
      <c r="J78" s="16" t="n">
        <f aca="false">INDEX(Data_Heathrow!$G:$G,B78)</f>
        <v>15.5</v>
      </c>
      <c r="K78" s="16" t="n">
        <f aca="false">J78+Climate_Shift+UHI_Night_Eff</f>
        <v>19.5</v>
      </c>
      <c r="L78" s="16" t="n">
        <f aca="false">IF(INDEX(Data_Heathrow!$I:$I,B78)="","",INDEX(Data_Heathrow!$I:$I,B78))</f>
        <v>21.5</v>
      </c>
      <c r="M78" s="16" t="n">
        <f aca="false">IF(L78="","",L78+Climate_Shift+(UHI_Day_Eff+UHI_Night_Eff)/2)</f>
        <v>24.5</v>
      </c>
      <c r="N78" s="14" t="n">
        <f aca="false">IF(I78="",0,IF(I78&gt;=T_Day,1,0))</f>
        <v>1</v>
      </c>
      <c r="O78" s="14" t="n">
        <f aca="false">IF(K78&gt;=T_Night,1,0)</f>
        <v>1</v>
      </c>
      <c r="P78" s="14" t="n">
        <f aca="false">IF(N78=1,P77+1,0)</f>
        <v>3</v>
      </c>
      <c r="Q78" s="14" t="n">
        <f aca="false">IF(P78&gt;=HW_Days,1,0)</f>
        <v>1</v>
      </c>
      <c r="R78" s="17" t="str">
        <f aca="false">IF(AND(N78=1,I78&gt;=T_Red,O78=1),"RED",IF(AND(Q78=1,O78=1),"AMBER",IF(OR(N78=1,O78=1),"YELLOW","GREEN")))</f>
        <v>AMBER</v>
      </c>
      <c r="S78" s="14" t="n">
        <f aca="false">IF(R78="RED",3,IF(R78="AMBER",2,IF(R78="YELLOW",1,0)))</f>
        <v>2</v>
      </c>
      <c r="T78" s="16" t="n">
        <f aca="false">MAX(0,T77*(1-Decay)+IF(I78="",0,MAX(0,I78-T_Comfort))-Recovery_Rate*MAX(0,T_Night-K78))</f>
        <v>14.89712</v>
      </c>
      <c r="U78" s="14" t="n">
        <f aca="false">IF(T78&gt;Capacity,1,0)</f>
        <v>0</v>
      </c>
      <c r="V78" s="15" t="n">
        <f aca="false">1/(1+EXP(-Logistic_k*(T78-Capacity)))</f>
        <v>0.0226334690303701</v>
      </c>
      <c r="W78" s="16" t="n">
        <f aca="false">IF(M78="",0,Beta*Pop_Share_Sel*(1-Sens_Red)*MAX(0,M78-T_Mort))</f>
        <v>2.49928243398393</v>
      </c>
      <c r="X78" s="16" t="n">
        <f aca="false">IF(ISNUMBER(F78),F78+Coef_B1*(Climate_Shift+G77),"")</f>
        <v>26.9768495456288</v>
      </c>
      <c r="Y78" s="16" t="n">
        <f aca="false">IF(AND(ISNUMBER(X78),H78&lt;&gt;""),H78+Climate_Shift-X78,"")</f>
        <v>2.72315045437116</v>
      </c>
      <c r="Z78" s="16" t="n">
        <f aca="false">IF(ISNUMBER(Y78),ABS(Y78),"")</f>
        <v>2.72315045437116</v>
      </c>
      <c r="AA78" s="16" t="n">
        <f aca="false">IF(COUNT(Z72:Z78)=0,"",AVERAGE(Z72:Z78))</f>
        <v>1.62838934523835</v>
      </c>
      <c r="AB78" s="16" t="n">
        <f aca="false">IF(AD77=1,0,MAX(0,AB77+IF(ISNUMBER(Y78),Y78-CUSUM_k,0)))</f>
        <v>4.23928686286094</v>
      </c>
      <c r="AC78" s="16" t="n">
        <f aca="false">IF(AD77=1,0,MAX(0,AC77+IF(ISNUMBER(Y78),-Y78-CUSUM_k,0)))</f>
        <v>0</v>
      </c>
      <c r="AD78" s="17" t="n">
        <f aca="false">IF(OR(AB78&gt;CUSUM_h,AC78&gt;CUSUM_h,AND(ISNUMBER(AA78),AA78&gt;MAE_Tol)),1,0)</f>
        <v>0</v>
      </c>
      <c r="AE78" s="14" t="n">
        <f aca="false">IF(ISNUMBER(X78),IF(X78+Local_Sensing*UHI_Day_Eff&gt;=T_Day,1,0),0)</f>
        <v>0</v>
      </c>
      <c r="AF78" s="17" t="str">
        <f aca="false">IF(NOT(ISNUMBER(X78)),"n/a",IF(AND(AE78=1,N78=1),"Hit",IF(AND(AE78=0,N78=1),"Miss",IF(AND(AE78=1,N78=0),"False alarm","Correct quiet"))))</f>
        <v>Miss</v>
      </c>
      <c r="AG78" s="14" t="n">
        <f aca="false">IF(H78="",0,IF(H78+Climate_Shift&gt;=T_Day,1,0))</f>
        <v>1</v>
      </c>
      <c r="AH78" s="17" t="n">
        <f aca="false">IF(AND(N78=1,AG78=0),1,0)</f>
        <v>0</v>
      </c>
      <c r="AI78" s="17" t="str">
        <f aca="false">IF(U78=1,"ESCALATE: surge health &amp; transport capacity",IF(AD78=1,"Model drift: retrain, recalibrate, raise change request",IF(S78&gt;=2,"Activate heat plan: outreach and cooling centres",IF(AND(E78=1,OR(N78=1,O78=1)),"Data QA: verify sensor before acting",IF(AF78="Miss","Review missed alert: threshold or model",IF(AH78=1,"Equity: local alert not seen at reference station","Monitor"))))))</f>
        <v>Activate heat plan: outreach and cooling centres</v>
      </c>
      <c r="AN78" s="58" t="n">
        <f aca="false">T_Day</f>
        <v>28</v>
      </c>
      <c r="AO78" s="58" t="n">
        <f aca="false">Capacity</f>
        <v>40</v>
      </c>
      <c r="AP78" s="58" t="n">
        <f aca="false">CUSUM_h</f>
        <v>15</v>
      </c>
    </row>
    <row r="79" customFormat="false" ht="15" hidden="false" customHeight="false" outlineLevel="0" collapsed="false">
      <c r="A79" s="14" t="n">
        <v>71</v>
      </c>
      <c r="B79" s="14" t="n">
        <f aca="false">2+(SelYear-1979)*153+A79-1</f>
        <v>6651</v>
      </c>
      <c r="C79" s="55" t="n">
        <f aca="false">INDEX(Data_Heathrow!$A:$A,B79)</f>
        <v>44752</v>
      </c>
      <c r="D79" s="16" t="n">
        <f aca="false">INDEX(Data_Heathrow!$E:$E,B79)</f>
        <v>31.8</v>
      </c>
      <c r="E79" s="17" t="n">
        <f aca="false">INDEX(Data_Heathrow!$Q:$Q,B79)</f>
        <v>0</v>
      </c>
      <c r="F79" s="16" t="n">
        <f aca="false">INDEX(Data_Heathrow!$T:$T,B79)</f>
        <v>28.7354779178351</v>
      </c>
      <c r="G79" s="16" t="n">
        <f aca="false">IF(AND(Drift_Rate&lt;&gt;0,A79&gt;=Drift_Start),Drift_Rate*(A79-Drift_Start+1)/30,0)</f>
        <v>0</v>
      </c>
      <c r="H79" s="16" t="n">
        <f aca="false">IF(AND(E79=1,QA_Policy="Exclude suspect"),"",IF(AND(E79=1,QA_Policy="Impute with model",ISNUMBER(F79)),F79,D79)+G79)</f>
        <v>31.8</v>
      </c>
      <c r="I79" s="16" t="n">
        <f aca="false">IF(H79="","",H79+Climate_Shift+UHI_Day_Eff)</f>
        <v>33.8</v>
      </c>
      <c r="J79" s="16" t="n">
        <f aca="false">INDEX(Data_Heathrow!$G:$G,B79)</f>
        <v>14.6</v>
      </c>
      <c r="K79" s="16" t="n">
        <f aca="false">J79+Climate_Shift+UHI_Night_Eff</f>
        <v>18.6</v>
      </c>
      <c r="L79" s="16" t="n">
        <f aca="false">IF(INDEX(Data_Heathrow!$I:$I,B79)="","",INDEX(Data_Heathrow!$I:$I,B79))</f>
        <v>22.1</v>
      </c>
      <c r="M79" s="16" t="n">
        <f aca="false">IF(L79="","",L79+Climate_Shift+(UHI_Day_Eff+UHI_Night_Eff)/2)</f>
        <v>25.1</v>
      </c>
      <c r="N79" s="14" t="n">
        <f aca="false">IF(I79="",0,IF(I79&gt;=T_Day,1,0))</f>
        <v>1</v>
      </c>
      <c r="O79" s="14" t="n">
        <f aca="false">IF(K79&gt;=T_Night,1,0)</f>
        <v>1</v>
      </c>
      <c r="P79" s="14" t="n">
        <f aca="false">IF(N79=1,P78+1,0)</f>
        <v>4</v>
      </c>
      <c r="Q79" s="14" t="n">
        <f aca="false">IF(P79&gt;=HW_Days,1,0)</f>
        <v>1</v>
      </c>
      <c r="R79" s="17" t="str">
        <f aca="false">IF(AND(N79=1,I79&gt;=T_Red,O79=1),"RED",IF(AND(Q79=1,O79=1),"AMBER",IF(OR(N79=1,O79=1),"YELLOW","GREEN")))</f>
        <v>AMBER</v>
      </c>
      <c r="S79" s="14" t="n">
        <f aca="false">IF(R79="RED",3,IF(R79="AMBER",2,IF(R79="YELLOW",1,0)))</f>
        <v>2</v>
      </c>
      <c r="T79" s="16" t="n">
        <f aca="false">MAX(0,T78*(1-Decay)+IF(I79="",0,MAX(0,I79-T_Comfort))-Recovery_Rate*MAX(0,T_Night-K79))</f>
        <v>20.717696</v>
      </c>
      <c r="U79" s="14" t="n">
        <f aca="false">IF(T79&gt;Capacity,1,0)</f>
        <v>0</v>
      </c>
      <c r="V79" s="15" t="n">
        <f aca="false">1/(1+EXP(-Logistic_k*(T79-Capacity)))</f>
        <v>0.05253324708987</v>
      </c>
      <c r="W79" s="16" t="n">
        <f aca="false">IF(M79="",0,Beta*Pop_Share_Sel*(1-Sens_Red)*MAX(0,M79-T_Mort))</f>
        <v>2.83252009184845</v>
      </c>
      <c r="X79" s="16" t="n">
        <f aca="false">IF(ISNUMBER(F79),F79+Coef_B1*(Climate_Shift+G78),"")</f>
        <v>28.7354779178351</v>
      </c>
      <c r="Y79" s="16" t="n">
        <f aca="false">IF(AND(ISNUMBER(X79),H79&lt;&gt;""),H79+Climate_Shift-X79,"")</f>
        <v>3.06452208216491</v>
      </c>
      <c r="Z79" s="16" t="n">
        <f aca="false">IF(ISNUMBER(Y79),ABS(Y79),"")</f>
        <v>3.06452208216491</v>
      </c>
      <c r="AA79" s="16" t="n">
        <f aca="false">IF(COUNT(Z73:Z79)=0,"",AVERAGE(Z73:Z79))</f>
        <v>1.98632855705914</v>
      </c>
      <c r="AB79" s="16" t="n">
        <f aca="false">IF(AD78=1,0,MAX(0,AB78+IF(ISNUMBER(Y79),Y79-CUSUM_k,0)))</f>
        <v>6.30380894502585</v>
      </c>
      <c r="AC79" s="16" t="n">
        <f aca="false">IF(AD78=1,0,MAX(0,AC78+IF(ISNUMBER(Y79),-Y79-CUSUM_k,0)))</f>
        <v>0</v>
      </c>
      <c r="AD79" s="17" t="n">
        <f aca="false">IF(OR(AB79&gt;CUSUM_h,AC79&gt;CUSUM_h,AND(ISNUMBER(AA79),AA79&gt;MAE_Tol)),1,0)</f>
        <v>0</v>
      </c>
      <c r="AE79" s="14" t="n">
        <f aca="false">IF(ISNUMBER(X79),IF(X79+Local_Sensing*UHI_Day_Eff&gt;=T_Day,1,0),0)</f>
        <v>1</v>
      </c>
      <c r="AF79" s="17" t="str">
        <f aca="false">IF(NOT(ISNUMBER(X79)),"n/a",IF(AND(AE79=1,N79=1),"Hit",IF(AND(AE79=0,N79=1),"Miss",IF(AND(AE79=1,N79=0),"False alarm","Correct quiet"))))</f>
        <v>Hit</v>
      </c>
      <c r="AG79" s="14" t="n">
        <f aca="false">IF(H79="",0,IF(H79+Climate_Shift&gt;=T_Day,1,0))</f>
        <v>1</v>
      </c>
      <c r="AH79" s="17" t="n">
        <f aca="false">IF(AND(N79=1,AG79=0),1,0)</f>
        <v>0</v>
      </c>
      <c r="AI79" s="17" t="str">
        <f aca="false">IF(U79=1,"ESCALATE: surge health &amp; transport capacity",IF(AD79=1,"Model drift: retrain, recalibrate, raise change request",IF(S79&gt;=2,"Activate heat plan: outreach and cooling centres",IF(AND(E79=1,OR(N79=1,O79=1)),"Data QA: verify sensor before acting",IF(AF79="Miss","Review missed alert: threshold or model",IF(AH79=1,"Equity: local alert not seen at reference station","Monitor"))))))</f>
        <v>Activate heat plan: outreach and cooling centres</v>
      </c>
      <c r="AN79" s="58" t="n">
        <f aca="false">T_Day</f>
        <v>28</v>
      </c>
      <c r="AO79" s="58" t="n">
        <f aca="false">Capacity</f>
        <v>40</v>
      </c>
      <c r="AP79" s="58" t="n">
        <f aca="false">CUSUM_h</f>
        <v>15</v>
      </c>
    </row>
    <row r="80" customFormat="false" ht="15" hidden="false" customHeight="false" outlineLevel="0" collapsed="false">
      <c r="A80" s="14" t="n">
        <v>72</v>
      </c>
      <c r="B80" s="14" t="n">
        <f aca="false">2+(SelYear-1979)*153+A80-1</f>
        <v>6652</v>
      </c>
      <c r="C80" s="55" t="n">
        <f aca="false">INDEX(Data_Heathrow!$A:$A,B80)</f>
        <v>44753</v>
      </c>
      <c r="D80" s="16" t="n">
        <f aca="false">INDEX(Data_Heathrow!$E:$E,B80)</f>
        <v>31.3</v>
      </c>
      <c r="E80" s="17" t="n">
        <f aca="false">INDEX(Data_Heathrow!$Q:$Q,B80)</f>
        <v>0</v>
      </c>
      <c r="F80" s="16" t="n">
        <f aca="false">INDEX(Data_Heathrow!$T:$T,B80)</f>
        <v>30.3462955920057</v>
      </c>
      <c r="G80" s="16" t="n">
        <f aca="false">IF(AND(Drift_Rate&lt;&gt;0,A80&gt;=Drift_Start),Drift_Rate*(A80-Drift_Start+1)/30,0)</f>
        <v>0</v>
      </c>
      <c r="H80" s="16" t="n">
        <f aca="false">IF(AND(E80=1,QA_Policy="Exclude suspect"),"",IF(AND(E80=1,QA_Policy="Impute with model",ISNUMBER(F80)),F80,D80)+G80)</f>
        <v>31.3</v>
      </c>
      <c r="I80" s="16" t="n">
        <f aca="false">IF(H80="","",H80+Climate_Shift+UHI_Day_Eff)</f>
        <v>33.3</v>
      </c>
      <c r="J80" s="16" t="n">
        <f aca="false">INDEX(Data_Heathrow!$G:$G,B80)</f>
        <v>16.5</v>
      </c>
      <c r="K80" s="16" t="n">
        <f aca="false">J80+Climate_Shift+UHI_Night_Eff</f>
        <v>20.5</v>
      </c>
      <c r="L80" s="16" t="n">
        <f aca="false">IF(INDEX(Data_Heathrow!$I:$I,B80)="","",INDEX(Data_Heathrow!$I:$I,B80))</f>
        <v>24.1</v>
      </c>
      <c r="M80" s="16" t="n">
        <f aca="false">IF(L80="","",L80+Climate_Shift+(UHI_Day_Eff+UHI_Night_Eff)/2)</f>
        <v>27.1</v>
      </c>
      <c r="N80" s="14" t="n">
        <f aca="false">IF(I80="",0,IF(I80&gt;=T_Day,1,0))</f>
        <v>1</v>
      </c>
      <c r="O80" s="14" t="n">
        <f aca="false">IF(K80&gt;=T_Night,1,0)</f>
        <v>1</v>
      </c>
      <c r="P80" s="14" t="n">
        <f aca="false">IF(N80=1,P79+1,0)</f>
        <v>5</v>
      </c>
      <c r="Q80" s="14" t="n">
        <f aca="false">IF(P80&gt;=HW_Days,1,0)</f>
        <v>1</v>
      </c>
      <c r="R80" s="17" t="str">
        <f aca="false">IF(AND(N80=1,I80&gt;=T_Red,O80=1),"RED",IF(AND(Q80=1,O80=1),"AMBER",IF(OR(N80=1,O80=1),"YELLOW","GREEN")))</f>
        <v>AMBER</v>
      </c>
      <c r="S80" s="14" t="n">
        <f aca="false">IF(R80="RED",3,IF(R80="AMBER",2,IF(R80="YELLOW",1,0)))</f>
        <v>2</v>
      </c>
      <c r="T80" s="16" t="n">
        <f aca="false">MAX(0,T79*(1-Decay)+IF(I80="",0,MAX(0,I80-T_Comfort))-Recovery_Rate*MAX(0,T_Night-K80))</f>
        <v>24.8741568</v>
      </c>
      <c r="U80" s="14" t="n">
        <f aca="false">IF(T80&gt;Capacity,1,0)</f>
        <v>0</v>
      </c>
      <c r="V80" s="15" t="n">
        <f aca="false">1/(1+EXP(-Logistic_k*(T80-Capacity)))</f>
        <v>0.0937336090335249</v>
      </c>
      <c r="W80" s="16" t="n">
        <f aca="false">IF(M80="",0,Beta*Pop_Share_Sel*(1-Sens_Red)*MAX(0,M80-T_Mort))</f>
        <v>3.9433122847302</v>
      </c>
      <c r="X80" s="16" t="n">
        <f aca="false">IF(ISNUMBER(F80),F80+Coef_B1*(Climate_Shift+G79),"")</f>
        <v>30.3462955920057</v>
      </c>
      <c r="Y80" s="16" t="n">
        <f aca="false">IF(AND(ISNUMBER(X80),H80&lt;&gt;""),H80+Climate_Shift-X80,"")</f>
        <v>0.953704407994284</v>
      </c>
      <c r="Z80" s="16" t="n">
        <f aca="false">IF(ISNUMBER(Y80),ABS(Y80),"")</f>
        <v>0.953704407994284</v>
      </c>
      <c r="AA80" s="16" t="n">
        <f aca="false">IF(COUNT(Z74:Z80)=0,"",AVERAGE(Z74:Z80))</f>
        <v>2.00027929966141</v>
      </c>
      <c r="AB80" s="16" t="n">
        <f aca="false">IF(AD79=1,0,MAX(0,AB79+IF(ISNUMBER(Y80),Y80-CUSUM_k,0)))</f>
        <v>6.25751335302013</v>
      </c>
      <c r="AC80" s="16" t="n">
        <f aca="false">IF(AD79=1,0,MAX(0,AC79+IF(ISNUMBER(Y80),-Y80-CUSUM_k,0)))</f>
        <v>0</v>
      </c>
      <c r="AD80" s="17" t="n">
        <f aca="false">IF(OR(AB80&gt;CUSUM_h,AC80&gt;CUSUM_h,AND(ISNUMBER(AA80),AA80&gt;MAE_Tol)),1,0)</f>
        <v>0</v>
      </c>
      <c r="AE80" s="14" t="n">
        <f aca="false">IF(ISNUMBER(X80),IF(X80+Local_Sensing*UHI_Day_Eff&gt;=T_Day,1,0),0)</f>
        <v>1</v>
      </c>
      <c r="AF80" s="17" t="str">
        <f aca="false">IF(NOT(ISNUMBER(X80)),"n/a",IF(AND(AE80=1,N80=1),"Hit",IF(AND(AE80=0,N80=1),"Miss",IF(AND(AE80=1,N80=0),"False alarm","Correct quiet"))))</f>
        <v>Hit</v>
      </c>
      <c r="AG80" s="14" t="n">
        <f aca="false">IF(H80="",0,IF(H80+Climate_Shift&gt;=T_Day,1,0))</f>
        <v>1</v>
      </c>
      <c r="AH80" s="17" t="n">
        <f aca="false">IF(AND(N80=1,AG80=0),1,0)</f>
        <v>0</v>
      </c>
      <c r="AI80" s="17" t="str">
        <f aca="false">IF(U80=1,"ESCALATE: surge health &amp; transport capacity",IF(AD80=1,"Model drift: retrain, recalibrate, raise change request",IF(S80&gt;=2,"Activate heat plan: outreach and cooling centres",IF(AND(E80=1,OR(N80=1,O80=1)),"Data QA: verify sensor before acting",IF(AF80="Miss","Review missed alert: threshold or model",IF(AH80=1,"Equity: local alert not seen at reference station","Monitor"))))))</f>
        <v>Activate heat plan: outreach and cooling centres</v>
      </c>
      <c r="AN80" s="58" t="n">
        <f aca="false">T_Day</f>
        <v>28</v>
      </c>
      <c r="AO80" s="58" t="n">
        <f aca="false">Capacity</f>
        <v>40</v>
      </c>
      <c r="AP80" s="58" t="n">
        <f aca="false">CUSUM_h</f>
        <v>15</v>
      </c>
    </row>
    <row r="81" customFormat="false" ht="15" hidden="false" customHeight="false" outlineLevel="0" collapsed="false">
      <c r="A81" s="14" t="n">
        <v>73</v>
      </c>
      <c r="B81" s="14" t="n">
        <f aca="false">2+(SelYear-1979)*153+A81-1</f>
        <v>6653</v>
      </c>
      <c r="C81" s="55" t="n">
        <f aca="false">INDEX(Data_Heathrow!$A:$A,B81)</f>
        <v>44754</v>
      </c>
      <c r="D81" s="16" t="n">
        <f aca="false">INDEX(Data_Heathrow!$E:$E,B81)</f>
        <v>28.7</v>
      </c>
      <c r="E81" s="17" t="n">
        <f aca="false">INDEX(Data_Heathrow!$Q:$Q,B81)</f>
        <v>0</v>
      </c>
      <c r="F81" s="16" t="n">
        <f aca="false">INDEX(Data_Heathrow!$T:$T,B81)</f>
        <v>29.8268313642654</v>
      </c>
      <c r="G81" s="16" t="n">
        <f aca="false">IF(AND(Drift_Rate&lt;&gt;0,A81&gt;=Drift_Start),Drift_Rate*(A81-Drift_Start+1)/30,0)</f>
        <v>0</v>
      </c>
      <c r="H81" s="16" t="n">
        <f aca="false">IF(AND(E81=1,QA_Policy="Exclude suspect"),"",IF(AND(E81=1,QA_Policy="Impute with model",ISNUMBER(F81)),F81,D81)+G81)</f>
        <v>28.7</v>
      </c>
      <c r="I81" s="16" t="n">
        <f aca="false">IF(H81="","",H81+Climate_Shift+UHI_Day_Eff)</f>
        <v>30.7</v>
      </c>
      <c r="J81" s="16" t="n">
        <f aca="false">INDEX(Data_Heathrow!$G:$G,B81)</f>
        <v>19.7</v>
      </c>
      <c r="K81" s="16" t="n">
        <f aca="false">J81+Climate_Shift+UHI_Night_Eff</f>
        <v>23.7</v>
      </c>
      <c r="L81" s="16" t="n">
        <f aca="false">IF(INDEX(Data_Heathrow!$I:$I,B81)="","",INDEX(Data_Heathrow!$I:$I,B81))</f>
        <v>25.5</v>
      </c>
      <c r="M81" s="16" t="n">
        <f aca="false">IF(L81="","",L81+Climate_Shift+(UHI_Day_Eff+UHI_Night_Eff)/2)</f>
        <v>28.5</v>
      </c>
      <c r="N81" s="14" t="n">
        <f aca="false">IF(I81="",0,IF(I81&gt;=T_Day,1,0))</f>
        <v>1</v>
      </c>
      <c r="O81" s="14" t="n">
        <f aca="false">IF(K81&gt;=T_Night,1,0)</f>
        <v>1</v>
      </c>
      <c r="P81" s="14" t="n">
        <f aca="false">IF(N81=1,P80+1,0)</f>
        <v>6</v>
      </c>
      <c r="Q81" s="14" t="n">
        <f aca="false">IF(P81&gt;=HW_Days,1,0)</f>
        <v>1</v>
      </c>
      <c r="R81" s="17" t="str">
        <f aca="false">IF(AND(N81=1,I81&gt;=T_Red,O81=1),"RED",IF(AND(Q81=1,O81=1),"AMBER",IF(OR(N81=1,O81=1),"YELLOW","GREEN")))</f>
        <v>AMBER</v>
      </c>
      <c r="S81" s="14" t="n">
        <f aca="false">IF(R81="RED",3,IF(R81="AMBER",2,IF(R81="YELLOW",1,0)))</f>
        <v>2</v>
      </c>
      <c r="T81" s="16" t="n">
        <f aca="false">MAX(0,T80*(1-Decay)+IF(I81="",0,MAX(0,I81-T_Comfort))-Recovery_Rate*MAX(0,T_Night-K81))</f>
        <v>25.59932544</v>
      </c>
      <c r="U81" s="14" t="n">
        <f aca="false">IF(T81&gt;Capacity,1,0)</f>
        <v>0</v>
      </c>
      <c r="V81" s="15" t="n">
        <f aca="false">1/(1+EXP(-Logistic_k*(T81-Capacity)))</f>
        <v>0.103391071187657</v>
      </c>
      <c r="W81" s="16" t="n">
        <f aca="false">IF(M81="",0,Beta*Pop_Share_Sel*(1-Sens_Red)*MAX(0,M81-T_Mort))</f>
        <v>4.72086681974742</v>
      </c>
      <c r="X81" s="16" t="n">
        <f aca="false">IF(ISNUMBER(F81),F81+Coef_B1*(Climate_Shift+G80),"")</f>
        <v>29.8268313642654</v>
      </c>
      <c r="Y81" s="16" t="n">
        <f aca="false">IF(AND(ISNUMBER(X81),H81&lt;&gt;""),H81+Climate_Shift-X81,"")</f>
        <v>-1.12683136426543</v>
      </c>
      <c r="Z81" s="16" t="n">
        <f aca="false">IF(ISNUMBER(Y81),ABS(Y81),"")</f>
        <v>1.12683136426543</v>
      </c>
      <c r="AA81" s="16" t="n">
        <f aca="false">IF(COUNT(Z75:Z81)=0,"",AVERAGE(Z75:Z81))</f>
        <v>1.74689089541414</v>
      </c>
      <c r="AB81" s="16" t="n">
        <f aca="false">IF(AD80=1,0,MAX(0,AB80+IF(ISNUMBER(Y81),Y81-CUSUM_k,0)))</f>
        <v>4.1306819887547</v>
      </c>
      <c r="AC81" s="16" t="n">
        <f aca="false">IF(AD80=1,0,MAX(0,AC80+IF(ISNUMBER(Y81),-Y81-CUSUM_k,0)))</f>
        <v>0.126831364265428</v>
      </c>
      <c r="AD81" s="17" t="n">
        <f aca="false">IF(OR(AB81&gt;CUSUM_h,AC81&gt;CUSUM_h,AND(ISNUMBER(AA81),AA81&gt;MAE_Tol)),1,0)</f>
        <v>0</v>
      </c>
      <c r="AE81" s="14" t="n">
        <f aca="false">IF(ISNUMBER(X81),IF(X81+Local_Sensing*UHI_Day_Eff&gt;=T_Day,1,0),0)</f>
        <v>1</v>
      </c>
      <c r="AF81" s="17" t="str">
        <f aca="false">IF(NOT(ISNUMBER(X81)),"n/a",IF(AND(AE81=1,N81=1),"Hit",IF(AND(AE81=0,N81=1),"Miss",IF(AND(AE81=1,N81=0),"False alarm","Correct quiet"))))</f>
        <v>Hit</v>
      </c>
      <c r="AG81" s="14" t="n">
        <f aca="false">IF(H81="",0,IF(H81+Climate_Shift&gt;=T_Day,1,0))</f>
        <v>1</v>
      </c>
      <c r="AH81" s="17" t="n">
        <f aca="false">IF(AND(N81=1,AG81=0),1,0)</f>
        <v>0</v>
      </c>
      <c r="AI81" s="17" t="str">
        <f aca="false">IF(U81=1,"ESCALATE: surge health &amp; transport capacity",IF(AD81=1,"Model drift: retrain, recalibrate, raise change request",IF(S81&gt;=2,"Activate heat plan: outreach and cooling centres",IF(AND(E81=1,OR(N81=1,O81=1)),"Data QA: verify sensor before acting",IF(AF81="Miss","Review missed alert: threshold or model",IF(AH81=1,"Equity: local alert not seen at reference station","Monitor"))))))</f>
        <v>Activate heat plan: outreach and cooling centres</v>
      </c>
      <c r="AN81" s="58" t="n">
        <f aca="false">T_Day</f>
        <v>28</v>
      </c>
      <c r="AO81" s="58" t="n">
        <f aca="false">Capacity</f>
        <v>40</v>
      </c>
      <c r="AP81" s="58" t="n">
        <f aca="false">CUSUM_h</f>
        <v>15</v>
      </c>
    </row>
    <row r="82" customFormat="false" ht="15" hidden="false" customHeight="false" outlineLevel="0" collapsed="false">
      <c r="A82" s="14" t="n">
        <v>74</v>
      </c>
      <c r="B82" s="14" t="n">
        <f aca="false">2+(SelYear-1979)*153+A82-1</f>
        <v>6654</v>
      </c>
      <c r="C82" s="55" t="n">
        <f aca="false">INDEX(Data_Heathrow!$A:$A,B82)</f>
        <v>44755</v>
      </c>
      <c r="D82" s="16" t="n">
        <f aca="false">INDEX(Data_Heathrow!$E:$E,B82)</f>
        <v>25.3</v>
      </c>
      <c r="E82" s="17" t="n">
        <f aca="false">INDEX(Data_Heathrow!$Q:$Q,B82)</f>
        <v>0</v>
      </c>
      <c r="F82" s="16" t="n">
        <f aca="false">INDEX(Data_Heathrow!$T:$T,B82)</f>
        <v>27.6620425782571</v>
      </c>
      <c r="G82" s="16" t="n">
        <f aca="false">IF(AND(Drift_Rate&lt;&gt;0,A82&gt;=Drift_Start),Drift_Rate*(A82-Drift_Start+1)/30,0)</f>
        <v>0</v>
      </c>
      <c r="H82" s="16" t="n">
        <f aca="false">IF(AND(E82=1,QA_Policy="Exclude suspect"),"",IF(AND(E82=1,QA_Policy="Impute with model",ISNUMBER(F82)),F82,D82)+G82)</f>
        <v>25.3</v>
      </c>
      <c r="I82" s="16" t="n">
        <f aca="false">IF(H82="","",H82+Climate_Shift+UHI_Day_Eff)</f>
        <v>27.3</v>
      </c>
      <c r="J82" s="16" t="n">
        <f aca="false">INDEX(Data_Heathrow!$G:$G,B82)</f>
        <v>20.9</v>
      </c>
      <c r="K82" s="16" t="n">
        <f aca="false">J82+Climate_Shift+UHI_Night_Eff</f>
        <v>24.9</v>
      </c>
      <c r="L82" s="16" t="n">
        <f aca="false">IF(INDEX(Data_Heathrow!$I:$I,B82)="","",INDEX(Data_Heathrow!$I:$I,B82))</f>
        <v>24.8</v>
      </c>
      <c r="M82" s="16" t="n">
        <f aca="false">IF(L82="","",L82+Climate_Shift+(UHI_Day_Eff+UHI_Night_Eff)/2)</f>
        <v>27.8</v>
      </c>
      <c r="N82" s="14" t="n">
        <f aca="false">IF(I82="",0,IF(I82&gt;=T_Day,1,0))</f>
        <v>0</v>
      </c>
      <c r="O82" s="14" t="n">
        <f aca="false">IF(K82&gt;=T_Night,1,0)</f>
        <v>1</v>
      </c>
      <c r="P82" s="14" t="n">
        <f aca="false">IF(N82=1,P81+1,0)</f>
        <v>0</v>
      </c>
      <c r="Q82" s="14" t="n">
        <f aca="false">IF(P82&gt;=HW_Days,1,0)</f>
        <v>0</v>
      </c>
      <c r="R82" s="17" t="str">
        <f aca="false">IF(AND(N82=1,I82&gt;=T_Red,O82=1),"RED",IF(AND(Q82=1,O82=1),"AMBER",IF(OR(N82=1,O82=1),"YELLOW","GREEN")))</f>
        <v>YELLOW</v>
      </c>
      <c r="S82" s="14" t="n">
        <f aca="false">IF(R82="RED",3,IF(R82="AMBER",2,IF(R82="YELLOW",1,0)))</f>
        <v>1</v>
      </c>
      <c r="T82" s="16" t="n">
        <f aca="false">MAX(0,T81*(1-Decay)+IF(I82="",0,MAX(0,I82-T_Comfort))-Recovery_Rate*MAX(0,T_Night-K82))</f>
        <v>22.779460352</v>
      </c>
      <c r="U82" s="14" t="n">
        <f aca="false">IF(T82&gt;Capacity,1,0)</f>
        <v>0</v>
      </c>
      <c r="V82" s="15" t="n">
        <f aca="false">1/(1+EXP(-Logistic_k*(T82-Capacity)))</f>
        <v>0.0702352714324403</v>
      </c>
      <c r="W82" s="16" t="n">
        <f aca="false">IF(M82="",0,Beta*Pop_Share_Sel*(1-Sens_Red)*MAX(0,M82-T_Mort))</f>
        <v>4.33208955223881</v>
      </c>
      <c r="X82" s="16" t="n">
        <f aca="false">IF(ISNUMBER(F82),F82+Coef_B1*(Climate_Shift+G81),"")</f>
        <v>27.6620425782571</v>
      </c>
      <c r="Y82" s="16" t="n">
        <f aca="false">IF(AND(ISNUMBER(X82),H82&lt;&gt;""),H82+Climate_Shift-X82,"")</f>
        <v>-2.36204257825713</v>
      </c>
      <c r="Z82" s="16" t="n">
        <f aca="false">IF(ISNUMBER(Y82),ABS(Y82),"")</f>
        <v>2.36204257825713</v>
      </c>
      <c r="AA82" s="16" t="n">
        <f aca="false">IF(COUNT(Z76:Z82)=0,"",AVERAGE(Z76:Z82))</f>
        <v>2.05197354877623</v>
      </c>
      <c r="AB82" s="16" t="n">
        <f aca="false">IF(AD81=1,0,MAX(0,AB81+IF(ISNUMBER(Y82),Y82-CUSUM_k,0)))</f>
        <v>0.768639410497574</v>
      </c>
      <c r="AC82" s="16" t="n">
        <f aca="false">IF(AD81=1,0,MAX(0,AC81+IF(ISNUMBER(Y82),-Y82-CUSUM_k,0)))</f>
        <v>1.48887394252256</v>
      </c>
      <c r="AD82" s="17" t="n">
        <f aca="false">IF(OR(AB82&gt;CUSUM_h,AC82&gt;CUSUM_h,AND(ISNUMBER(AA82),AA82&gt;MAE_Tol)),1,0)</f>
        <v>0</v>
      </c>
      <c r="AE82" s="14" t="n">
        <f aca="false">IF(ISNUMBER(X82),IF(X82+Local_Sensing*UHI_Day_Eff&gt;=T_Day,1,0),0)</f>
        <v>0</v>
      </c>
      <c r="AF82" s="17" t="str">
        <f aca="false">IF(NOT(ISNUMBER(X82)),"n/a",IF(AND(AE82=1,N82=1),"Hit",IF(AND(AE82=0,N82=1),"Miss",IF(AND(AE82=1,N82=0),"False alarm","Correct quiet"))))</f>
        <v>Correct quiet</v>
      </c>
      <c r="AG82" s="14" t="n">
        <f aca="false">IF(H82="",0,IF(H82+Climate_Shift&gt;=T_Day,1,0))</f>
        <v>0</v>
      </c>
      <c r="AH82" s="17" t="n">
        <f aca="false">IF(AND(N82=1,AG82=0),1,0)</f>
        <v>0</v>
      </c>
      <c r="AI82" s="17" t="str">
        <f aca="false">IF(U82=1,"ESCALATE: surge health &amp; transport capacity",IF(AD82=1,"Model drift: retrain, recalibrate, raise change request",IF(S82&gt;=2,"Activate heat plan: outreach and cooling centres",IF(AND(E82=1,OR(N82=1,O82=1)),"Data QA: verify sensor before acting",IF(AF82="Miss","Review missed alert: threshold or model",IF(AH82=1,"Equity: local alert not seen at reference station","Monitor"))))))</f>
        <v>Monitor</v>
      </c>
      <c r="AN82" s="58" t="n">
        <f aca="false">T_Day</f>
        <v>28</v>
      </c>
      <c r="AO82" s="58" t="n">
        <f aca="false">Capacity</f>
        <v>40</v>
      </c>
      <c r="AP82" s="58" t="n">
        <f aca="false">CUSUM_h</f>
        <v>15</v>
      </c>
    </row>
    <row r="83" customFormat="false" ht="15" hidden="false" customHeight="false" outlineLevel="0" collapsed="false">
      <c r="A83" s="14" t="n">
        <v>75</v>
      </c>
      <c r="B83" s="14" t="n">
        <f aca="false">2+(SelYear-1979)*153+A83-1</f>
        <v>6655</v>
      </c>
      <c r="C83" s="55" t="n">
        <f aca="false">INDEX(Data_Heathrow!$A:$A,B83)</f>
        <v>44756</v>
      </c>
      <c r="D83" s="16" t="n">
        <f aca="false">INDEX(Data_Heathrow!$E:$E,B83)</f>
        <v>27.2</v>
      </c>
      <c r="E83" s="17" t="n">
        <f aca="false">INDEX(Data_Heathrow!$Q:$Q,B83)</f>
        <v>0</v>
      </c>
      <c r="F83" s="16" t="n">
        <f aca="false">INDEX(Data_Heathrow!$T:$T,B83)</f>
        <v>24.8574673851317</v>
      </c>
      <c r="G83" s="16" t="n">
        <f aca="false">IF(AND(Drift_Rate&lt;&gt;0,A83&gt;=Drift_Start),Drift_Rate*(A83-Drift_Start+1)/30,0)</f>
        <v>0</v>
      </c>
      <c r="H83" s="16" t="n">
        <f aca="false">IF(AND(E83=1,QA_Policy="Exclude suspect"),"",IF(AND(E83=1,QA_Policy="Impute with model",ISNUMBER(F83)),F83,D83)+G83)</f>
        <v>27.2</v>
      </c>
      <c r="I83" s="16" t="n">
        <f aca="false">IF(H83="","",H83+Climate_Shift+UHI_Day_Eff)</f>
        <v>29.2</v>
      </c>
      <c r="J83" s="16" t="n">
        <f aca="false">INDEX(Data_Heathrow!$G:$G,B83)</f>
        <v>15</v>
      </c>
      <c r="K83" s="16" t="n">
        <f aca="false">J83+Climate_Shift+UHI_Night_Eff</f>
        <v>19</v>
      </c>
      <c r="L83" s="16" t="n">
        <f aca="false">IF(INDEX(Data_Heathrow!$I:$I,B83)="","",INDEX(Data_Heathrow!$I:$I,B83))</f>
        <v>20.1</v>
      </c>
      <c r="M83" s="16" t="n">
        <f aca="false">IF(L83="","",L83+Climate_Shift+(UHI_Day_Eff+UHI_Night_Eff)/2)</f>
        <v>23.1</v>
      </c>
      <c r="N83" s="14" t="n">
        <f aca="false">IF(I83="",0,IF(I83&gt;=T_Day,1,0))</f>
        <v>1</v>
      </c>
      <c r="O83" s="14" t="n">
        <f aca="false">IF(K83&gt;=T_Night,1,0)</f>
        <v>1</v>
      </c>
      <c r="P83" s="14" t="n">
        <f aca="false">IF(N83=1,P82+1,0)</f>
        <v>1</v>
      </c>
      <c r="Q83" s="14" t="n">
        <f aca="false">IF(P83&gt;=HW_Days,1,0)</f>
        <v>0</v>
      </c>
      <c r="R83" s="17" t="str">
        <f aca="false">IF(AND(N83=1,I83&gt;=T_Red,O83=1),"RED",IF(AND(Q83=1,O83=1),"AMBER",IF(OR(N83=1,O83=1),"YELLOW","GREEN")))</f>
        <v>YELLOW</v>
      </c>
      <c r="S83" s="14" t="n">
        <f aca="false">IF(R83="RED",3,IF(R83="AMBER",2,IF(R83="YELLOW",1,0)))</f>
        <v>1</v>
      </c>
      <c r="T83" s="16" t="n">
        <f aca="false">MAX(0,T82*(1-Decay)+IF(I83="",0,MAX(0,I83-T_Comfort))-Recovery_Rate*MAX(0,T_Night-K83))</f>
        <v>22.4235682816</v>
      </c>
      <c r="U83" s="14" t="n">
        <f aca="false">IF(T83&gt;Capacity,1,0)</f>
        <v>0</v>
      </c>
      <c r="V83" s="15" t="n">
        <f aca="false">1/(1+EXP(-Logistic_k*(T83-Capacity)))</f>
        <v>0.0668281635916799</v>
      </c>
      <c r="W83" s="16" t="n">
        <f aca="false">IF(M83="",0,Beta*Pop_Share_Sel*(1-Sens_Red)*MAX(0,M83-T_Mort))</f>
        <v>1.72172789896671</v>
      </c>
      <c r="X83" s="16" t="n">
        <f aca="false">IF(ISNUMBER(F83),F83+Coef_B1*(Climate_Shift+G82),"")</f>
        <v>24.8574673851317</v>
      </c>
      <c r="Y83" s="16" t="n">
        <f aca="false">IF(AND(ISNUMBER(X83),H83&lt;&gt;""),H83+Climate_Shift-X83,"")</f>
        <v>2.3425326148683</v>
      </c>
      <c r="Z83" s="16" t="n">
        <f aca="false">IF(ISNUMBER(Y83),ABS(Y83),"")</f>
        <v>2.3425326148683</v>
      </c>
      <c r="AA83" s="16" t="n">
        <f aca="false">IF(COUNT(Z77:Z83)=0,"",AVERAGE(Z77:Z83))</f>
        <v>1.84928633917515</v>
      </c>
      <c r="AB83" s="16" t="n">
        <f aca="false">IF(AD82=1,0,MAX(0,AB82+IF(ISNUMBER(Y83),Y83-CUSUM_k,0)))</f>
        <v>2.11117202536587</v>
      </c>
      <c r="AC83" s="16" t="n">
        <f aca="false">IF(AD82=1,0,MAX(0,AC82+IF(ISNUMBER(Y83),-Y83-CUSUM_k,0)))</f>
        <v>0</v>
      </c>
      <c r="AD83" s="17" t="n">
        <f aca="false">IF(OR(AB83&gt;CUSUM_h,AC83&gt;CUSUM_h,AND(ISNUMBER(AA83),AA83&gt;MAE_Tol)),1,0)</f>
        <v>0</v>
      </c>
      <c r="AE83" s="14" t="n">
        <f aca="false">IF(ISNUMBER(X83),IF(X83+Local_Sensing*UHI_Day_Eff&gt;=T_Day,1,0),0)</f>
        <v>0</v>
      </c>
      <c r="AF83" s="17" t="str">
        <f aca="false">IF(NOT(ISNUMBER(X83)),"n/a",IF(AND(AE83=1,N83=1),"Hit",IF(AND(AE83=0,N83=1),"Miss",IF(AND(AE83=1,N83=0),"False alarm","Correct quiet"))))</f>
        <v>Miss</v>
      </c>
      <c r="AG83" s="14" t="n">
        <f aca="false">IF(H83="",0,IF(H83+Climate_Shift&gt;=T_Day,1,0))</f>
        <v>0</v>
      </c>
      <c r="AH83" s="17" t="n">
        <f aca="false">IF(AND(N83=1,AG83=0),1,0)</f>
        <v>1</v>
      </c>
      <c r="AI83" s="17" t="str">
        <f aca="false">IF(U83=1,"ESCALATE: surge health &amp; transport capacity",IF(AD83=1,"Model drift: retrain, recalibrate, raise change request",IF(S83&gt;=2,"Activate heat plan: outreach and cooling centres",IF(AND(E83=1,OR(N83=1,O83=1)),"Data QA: verify sensor before acting",IF(AF83="Miss","Review missed alert: threshold or model",IF(AH83=1,"Equity: local alert not seen at reference station","Monitor"))))))</f>
        <v>Review missed alert: threshold or model</v>
      </c>
      <c r="AN83" s="58" t="n">
        <f aca="false">T_Day</f>
        <v>28</v>
      </c>
      <c r="AO83" s="58" t="n">
        <f aca="false">Capacity</f>
        <v>40</v>
      </c>
      <c r="AP83" s="58" t="n">
        <f aca="false">CUSUM_h</f>
        <v>15</v>
      </c>
    </row>
    <row r="84" customFormat="false" ht="15" hidden="false" customHeight="false" outlineLevel="0" collapsed="false">
      <c r="A84" s="14" t="n">
        <v>76</v>
      </c>
      <c r="B84" s="14" t="n">
        <f aca="false">2+(SelYear-1979)*153+A84-1</f>
        <v>6656</v>
      </c>
      <c r="C84" s="55" t="n">
        <f aca="false">INDEX(Data_Heathrow!$A:$A,B84)</f>
        <v>44757</v>
      </c>
      <c r="D84" s="16" t="n">
        <f aca="false">INDEX(Data_Heathrow!$E:$E,B84)</f>
        <v>29.1</v>
      </c>
      <c r="E84" s="17" t="n">
        <f aca="false">INDEX(Data_Heathrow!$Q:$Q,B84)</f>
        <v>0</v>
      </c>
      <c r="F84" s="16" t="n">
        <f aca="false">INDEX(Data_Heathrow!$T:$T,B84)</f>
        <v>26.4581297044003</v>
      </c>
      <c r="G84" s="16" t="n">
        <f aca="false">IF(AND(Drift_Rate&lt;&gt;0,A84&gt;=Drift_Start),Drift_Rate*(A84-Drift_Start+1)/30,0)</f>
        <v>0</v>
      </c>
      <c r="H84" s="16" t="n">
        <f aca="false">IF(AND(E84=1,QA_Policy="Exclude suspect"),"",IF(AND(E84=1,QA_Policy="Impute with model",ISNUMBER(F84)),F84,D84)+G84)</f>
        <v>29.1</v>
      </c>
      <c r="I84" s="16" t="n">
        <f aca="false">IF(H84="","",H84+Climate_Shift+UHI_Day_Eff)</f>
        <v>31.1</v>
      </c>
      <c r="J84" s="16" t="n">
        <f aca="false">INDEX(Data_Heathrow!$G:$G,B84)</f>
        <v>13.2</v>
      </c>
      <c r="K84" s="16" t="n">
        <f aca="false">J84+Climate_Shift+UHI_Night_Eff</f>
        <v>17.2</v>
      </c>
      <c r="L84" s="16" t="n">
        <f aca="false">IF(INDEX(Data_Heathrow!$I:$I,B84)="","",INDEX(Data_Heathrow!$I:$I,B84))</f>
        <v>20.2</v>
      </c>
      <c r="M84" s="16" t="n">
        <f aca="false">IF(L84="","",L84+Climate_Shift+(UHI_Day_Eff+UHI_Night_Eff)/2)</f>
        <v>23.2</v>
      </c>
      <c r="N84" s="14" t="n">
        <f aca="false">IF(I84="",0,IF(I84&gt;=T_Day,1,0))</f>
        <v>1</v>
      </c>
      <c r="O84" s="14" t="n">
        <f aca="false">IF(K84&gt;=T_Night,1,0)</f>
        <v>0</v>
      </c>
      <c r="P84" s="14" t="n">
        <f aca="false">IF(N84=1,P83+1,0)</f>
        <v>2</v>
      </c>
      <c r="Q84" s="14" t="n">
        <f aca="false">IF(P84&gt;=HW_Days,1,0)</f>
        <v>0</v>
      </c>
      <c r="R84" s="17" t="str">
        <f aca="false">IF(AND(N84=1,I84&gt;=T_Red,O84=1),"RED",IF(AND(Q84=1,O84=1),"AMBER",IF(OR(N84=1,O84=1),"YELLOW","GREEN")))</f>
        <v>YELLOW</v>
      </c>
      <c r="S84" s="14" t="n">
        <f aca="false">IF(R84="RED",3,IF(R84="AMBER",2,IF(R84="YELLOW",1,0)))</f>
        <v>1</v>
      </c>
      <c r="T84" s="16" t="n">
        <f aca="false">MAX(0,T83*(1-Decay)+IF(I84="",0,MAX(0,I84-T_Comfort))-Recovery_Rate*MAX(0,T_Night-K84))</f>
        <v>23.63885462528</v>
      </c>
      <c r="U84" s="14" t="n">
        <f aca="false">IF(T84&gt;Capacity,1,0)</f>
        <v>0</v>
      </c>
      <c r="V84" s="15" t="n">
        <f aca="false">1/(1+EXP(-Logistic_k*(T84-Capacity)))</f>
        <v>0.079134007823663</v>
      </c>
      <c r="W84" s="16" t="n">
        <f aca="false">IF(M84="",0,Beta*Pop_Share_Sel*(1-Sens_Red)*MAX(0,M84-T_Mort))</f>
        <v>1.77726750861079</v>
      </c>
      <c r="X84" s="16" t="n">
        <f aca="false">IF(ISNUMBER(F84),F84+Coef_B1*(Climate_Shift+G83),"")</f>
        <v>26.4581297044003</v>
      </c>
      <c r="Y84" s="16" t="n">
        <f aca="false">IF(AND(ISNUMBER(X84),H84&lt;&gt;""),H84+Climate_Shift-X84,"")</f>
        <v>2.64187029559967</v>
      </c>
      <c r="Z84" s="16" t="n">
        <f aca="false">IF(ISNUMBER(Y84),ABS(Y84),"")</f>
        <v>2.64187029559967</v>
      </c>
      <c r="AA84" s="16" t="n">
        <f aca="false">IF(COUNT(Z78:Z84)=0,"",AVERAGE(Z78:Z84))</f>
        <v>2.17352197107441</v>
      </c>
      <c r="AB84" s="16" t="n">
        <f aca="false">IF(AD83=1,0,MAX(0,AB83+IF(ISNUMBER(Y84),Y84-CUSUM_k,0)))</f>
        <v>3.75304232096554</v>
      </c>
      <c r="AC84" s="16" t="n">
        <f aca="false">IF(AD83=1,0,MAX(0,AC83+IF(ISNUMBER(Y84),-Y84-CUSUM_k,0)))</f>
        <v>0</v>
      </c>
      <c r="AD84" s="17" t="n">
        <f aca="false">IF(OR(AB84&gt;CUSUM_h,AC84&gt;CUSUM_h,AND(ISNUMBER(AA84),AA84&gt;MAE_Tol)),1,0)</f>
        <v>0</v>
      </c>
      <c r="AE84" s="14" t="n">
        <f aca="false">IF(ISNUMBER(X84),IF(X84+Local_Sensing*UHI_Day_Eff&gt;=T_Day,1,0),0)</f>
        <v>0</v>
      </c>
      <c r="AF84" s="17" t="str">
        <f aca="false">IF(NOT(ISNUMBER(X84)),"n/a",IF(AND(AE84=1,N84=1),"Hit",IF(AND(AE84=0,N84=1),"Miss",IF(AND(AE84=1,N84=0),"False alarm","Correct quiet"))))</f>
        <v>Miss</v>
      </c>
      <c r="AG84" s="14" t="n">
        <f aca="false">IF(H84="",0,IF(H84+Climate_Shift&gt;=T_Day,1,0))</f>
        <v>1</v>
      </c>
      <c r="AH84" s="17" t="n">
        <f aca="false">IF(AND(N84=1,AG84=0),1,0)</f>
        <v>0</v>
      </c>
      <c r="AI84" s="17" t="str">
        <f aca="false">IF(U84=1,"ESCALATE: surge health &amp; transport capacity",IF(AD84=1,"Model drift: retrain, recalibrate, raise change request",IF(S84&gt;=2,"Activate heat plan: outreach and cooling centres",IF(AND(E84=1,OR(N84=1,O84=1)),"Data QA: verify sensor before acting",IF(AF84="Miss","Review missed alert: threshold or model",IF(AH84=1,"Equity: local alert not seen at reference station","Monitor"))))))</f>
        <v>Review missed alert: threshold or model</v>
      </c>
      <c r="AN84" s="58" t="n">
        <f aca="false">T_Day</f>
        <v>28</v>
      </c>
      <c r="AO84" s="58" t="n">
        <f aca="false">Capacity</f>
        <v>40</v>
      </c>
      <c r="AP84" s="58" t="n">
        <f aca="false">CUSUM_h</f>
        <v>15</v>
      </c>
    </row>
    <row r="85" customFormat="false" ht="15" hidden="false" customHeight="false" outlineLevel="0" collapsed="false">
      <c r="A85" s="14" t="n">
        <v>77</v>
      </c>
      <c r="B85" s="14" t="n">
        <f aca="false">2+(SelYear-1979)*153+A85-1</f>
        <v>6657</v>
      </c>
      <c r="C85" s="55" t="n">
        <f aca="false">INDEX(Data_Heathrow!$A:$A,B85)</f>
        <v>44758</v>
      </c>
      <c r="D85" s="16" t="n">
        <f aca="false">INDEX(Data_Heathrow!$E:$E,B85)</f>
        <v>30.8</v>
      </c>
      <c r="E85" s="17" t="n">
        <f aca="false">INDEX(Data_Heathrow!$Q:$Q,B85)</f>
        <v>0</v>
      </c>
      <c r="F85" s="16" t="n">
        <f aca="false">INDEX(Data_Heathrow!$T:$T,B85)</f>
        <v>28.0493810552788</v>
      </c>
      <c r="G85" s="16" t="n">
        <f aca="false">IF(AND(Drift_Rate&lt;&gt;0,A85&gt;=Drift_Start),Drift_Rate*(A85-Drift_Start+1)/30,0)</f>
        <v>0</v>
      </c>
      <c r="H85" s="16" t="n">
        <f aca="false">IF(AND(E85=1,QA_Policy="Exclude suspect"),"",IF(AND(E85=1,QA_Policy="Impute with model",ISNUMBER(F85)),F85,D85)+G85)</f>
        <v>30.8</v>
      </c>
      <c r="I85" s="16" t="n">
        <f aca="false">IF(H85="","",H85+Climate_Shift+UHI_Day_Eff)</f>
        <v>32.8</v>
      </c>
      <c r="J85" s="16" t="n">
        <f aca="false">INDEX(Data_Heathrow!$G:$G,B85)</f>
        <v>14</v>
      </c>
      <c r="K85" s="16" t="n">
        <f aca="false">J85+Climate_Shift+UHI_Night_Eff</f>
        <v>18</v>
      </c>
      <c r="L85" s="16" t="n">
        <f aca="false">IF(INDEX(Data_Heathrow!$I:$I,B85)="","",INDEX(Data_Heathrow!$I:$I,B85))</f>
        <v>21.6</v>
      </c>
      <c r="M85" s="16" t="n">
        <f aca="false">IF(L85="","",L85+Climate_Shift+(UHI_Day_Eff+UHI_Night_Eff)/2)</f>
        <v>24.6</v>
      </c>
      <c r="N85" s="14" t="n">
        <f aca="false">IF(I85="",0,IF(I85&gt;=T_Day,1,0))</f>
        <v>1</v>
      </c>
      <c r="O85" s="14" t="n">
        <f aca="false">IF(K85&gt;=T_Night,1,0)</f>
        <v>1</v>
      </c>
      <c r="P85" s="14" t="n">
        <f aca="false">IF(N85=1,P84+1,0)</f>
        <v>3</v>
      </c>
      <c r="Q85" s="14" t="n">
        <f aca="false">IF(P85&gt;=HW_Days,1,0)</f>
        <v>1</v>
      </c>
      <c r="R85" s="17" t="str">
        <f aca="false">IF(AND(N85=1,I85&gt;=T_Red,O85=1),"RED",IF(AND(Q85=1,O85=1),"AMBER",IF(OR(N85=1,O85=1),"YELLOW","GREEN")))</f>
        <v>AMBER</v>
      </c>
      <c r="S85" s="14" t="n">
        <f aca="false">IF(R85="RED",3,IF(R85="AMBER",2,IF(R85="YELLOW",1,0)))</f>
        <v>2</v>
      </c>
      <c r="T85" s="16" t="n">
        <f aca="false">MAX(0,T84*(1-Decay)+IF(I85="",0,MAX(0,I85-T_Comfort))-Recovery_Rate*MAX(0,T_Night-K85))</f>
        <v>26.711083700224</v>
      </c>
      <c r="U85" s="14" t="n">
        <f aca="false">IF(T85&gt;Capacity,1,0)</f>
        <v>0</v>
      </c>
      <c r="V85" s="15" t="n">
        <f aca="false">1/(1+EXP(-Logistic_k*(T85-Capacity)))</f>
        <v>0.119904224229681</v>
      </c>
      <c r="W85" s="16" t="n">
        <f aca="false">IF(M85="",0,Beta*Pop_Share_Sel*(1-Sens_Red)*MAX(0,M85-T_Mort))</f>
        <v>2.55482204362801</v>
      </c>
      <c r="X85" s="16" t="n">
        <f aca="false">IF(ISNUMBER(F85),F85+Coef_B1*(Climate_Shift+G84),"")</f>
        <v>28.0493810552788</v>
      </c>
      <c r="Y85" s="16" t="n">
        <f aca="false">IF(AND(ISNUMBER(X85),H85&lt;&gt;""),H85+Climate_Shift-X85,"")</f>
        <v>2.75061894472123</v>
      </c>
      <c r="Z85" s="16" t="n">
        <f aca="false">IF(ISNUMBER(Y85),ABS(Y85),"")</f>
        <v>2.75061894472123</v>
      </c>
      <c r="AA85" s="16" t="n">
        <f aca="false">IF(COUNT(Z79:Z85)=0,"",AVERAGE(Z79:Z85))</f>
        <v>2.17744604112442</v>
      </c>
      <c r="AB85" s="16" t="n">
        <f aca="false">IF(AD84=1,0,MAX(0,AB84+IF(ISNUMBER(Y85),Y85-CUSUM_k,0)))</f>
        <v>5.50366126568677</v>
      </c>
      <c r="AC85" s="16" t="n">
        <f aca="false">IF(AD84=1,0,MAX(0,AC84+IF(ISNUMBER(Y85),-Y85-CUSUM_k,0)))</f>
        <v>0</v>
      </c>
      <c r="AD85" s="17" t="n">
        <f aca="false">IF(OR(AB85&gt;CUSUM_h,AC85&gt;CUSUM_h,AND(ISNUMBER(AA85),AA85&gt;MAE_Tol)),1,0)</f>
        <v>0</v>
      </c>
      <c r="AE85" s="14" t="n">
        <f aca="false">IF(ISNUMBER(X85),IF(X85+Local_Sensing*UHI_Day_Eff&gt;=T_Day,1,0),0)</f>
        <v>1</v>
      </c>
      <c r="AF85" s="17" t="str">
        <f aca="false">IF(NOT(ISNUMBER(X85)),"n/a",IF(AND(AE85=1,N85=1),"Hit",IF(AND(AE85=0,N85=1),"Miss",IF(AND(AE85=1,N85=0),"False alarm","Correct quiet"))))</f>
        <v>Hit</v>
      </c>
      <c r="AG85" s="14" t="n">
        <f aca="false">IF(H85="",0,IF(H85+Climate_Shift&gt;=T_Day,1,0))</f>
        <v>1</v>
      </c>
      <c r="AH85" s="17" t="n">
        <f aca="false">IF(AND(N85=1,AG85=0),1,0)</f>
        <v>0</v>
      </c>
      <c r="AI85" s="17" t="str">
        <f aca="false">IF(U85=1,"ESCALATE: surge health &amp; transport capacity",IF(AD85=1,"Model drift: retrain, recalibrate, raise change request",IF(S85&gt;=2,"Activate heat plan: outreach and cooling centres",IF(AND(E85=1,OR(N85=1,O85=1)),"Data QA: verify sensor before acting",IF(AF85="Miss","Review missed alert: threshold or model",IF(AH85=1,"Equity: local alert not seen at reference station","Monitor"))))))</f>
        <v>Activate heat plan: outreach and cooling centres</v>
      </c>
      <c r="AN85" s="58" t="n">
        <f aca="false">T_Day</f>
        <v>28</v>
      </c>
      <c r="AO85" s="58" t="n">
        <f aca="false">Capacity</f>
        <v>40</v>
      </c>
      <c r="AP85" s="58" t="n">
        <f aca="false">CUSUM_h</f>
        <v>15</v>
      </c>
    </row>
    <row r="86" customFormat="false" ht="15" hidden="false" customHeight="false" outlineLevel="0" collapsed="false">
      <c r="A86" s="14" t="n">
        <v>78</v>
      </c>
      <c r="B86" s="14" t="n">
        <f aca="false">2+(SelYear-1979)*153+A86-1</f>
        <v>6658</v>
      </c>
      <c r="C86" s="55" t="n">
        <f aca="false">INDEX(Data_Heathrow!$A:$A,B86)</f>
        <v>44759</v>
      </c>
      <c r="D86" s="16" t="n">
        <f aca="false">INDEX(Data_Heathrow!$E:$E,B86)</f>
        <v>37.1</v>
      </c>
      <c r="E86" s="17" t="n">
        <f aca="false">INDEX(Data_Heathrow!$Q:$Q,B86)</f>
        <v>0</v>
      </c>
      <c r="F86" s="16" t="n">
        <f aca="false">INDEX(Data_Heathrow!$T:$T,B86)</f>
        <v>29.4736275780853</v>
      </c>
      <c r="G86" s="16" t="n">
        <f aca="false">IF(AND(Drift_Rate&lt;&gt;0,A86&gt;=Drift_Start),Drift_Rate*(A86-Drift_Start+1)/30,0)</f>
        <v>0</v>
      </c>
      <c r="H86" s="16" t="n">
        <f aca="false">IF(AND(E86=1,QA_Policy="Exclude suspect"),"",IF(AND(E86=1,QA_Policy="Impute with model",ISNUMBER(F86)),F86,D86)+G86)</f>
        <v>37.1</v>
      </c>
      <c r="I86" s="16" t="n">
        <f aca="false">IF(H86="","",H86+Climate_Shift+UHI_Day_Eff)</f>
        <v>39.1</v>
      </c>
      <c r="J86" s="16" t="n">
        <f aca="false">INDEX(Data_Heathrow!$G:$G,B86)</f>
        <v>15.5</v>
      </c>
      <c r="K86" s="16" t="n">
        <f aca="false">J86+Climate_Shift+UHI_Night_Eff</f>
        <v>19.5</v>
      </c>
      <c r="L86" s="16" t="n">
        <f aca="false">IF(INDEX(Data_Heathrow!$I:$I,B86)="","",INDEX(Data_Heathrow!$I:$I,B86))</f>
        <v>23.1</v>
      </c>
      <c r="M86" s="16" t="n">
        <f aca="false">IF(L86="","",L86+Climate_Shift+(UHI_Day_Eff+UHI_Night_Eff)/2)</f>
        <v>26.1</v>
      </c>
      <c r="N86" s="14" t="n">
        <f aca="false">IF(I86="",0,IF(I86&gt;=T_Day,1,0))</f>
        <v>1</v>
      </c>
      <c r="O86" s="14" t="n">
        <f aca="false">IF(K86&gt;=T_Night,1,0)</f>
        <v>1</v>
      </c>
      <c r="P86" s="14" t="n">
        <f aca="false">IF(N86=1,P85+1,0)</f>
        <v>4</v>
      </c>
      <c r="Q86" s="14" t="n">
        <f aca="false">IF(P86&gt;=HW_Days,1,0)</f>
        <v>1</v>
      </c>
      <c r="R86" s="17" t="str">
        <f aca="false">IF(AND(N86=1,I86&gt;=T_Red,O86=1),"RED",IF(AND(Q86=1,O86=1),"AMBER",IF(OR(N86=1,O86=1),"YELLOW","GREEN")))</f>
        <v>RED</v>
      </c>
      <c r="S86" s="14" t="n">
        <f aca="false">IF(R86="RED",3,IF(R86="AMBER",2,IF(R86="YELLOW",1,0)))</f>
        <v>3</v>
      </c>
      <c r="T86" s="16" t="n">
        <f aca="false">MAX(0,T85*(1-Decay)+IF(I86="",0,MAX(0,I86-T_Comfort))-Recovery_Rate*MAX(0,T_Night-K86))</f>
        <v>35.4688669601792</v>
      </c>
      <c r="U86" s="14" t="n">
        <f aca="false">IF(T86&gt;Capacity,1,0)</f>
        <v>0</v>
      </c>
      <c r="V86" s="15" t="n">
        <f aca="false">1/(1+EXP(-Logistic_k*(T86-Capacity)))</f>
        <v>0.336334968983187</v>
      </c>
      <c r="W86" s="16" t="n">
        <f aca="false">IF(M86="",0,Beta*Pop_Share_Sel*(1-Sens_Red)*MAX(0,M86-T_Mort))</f>
        <v>3.38791618828932</v>
      </c>
      <c r="X86" s="16" t="n">
        <f aca="false">IF(ISNUMBER(F86),F86+Coef_B1*(Climate_Shift+G85),"")</f>
        <v>29.4736275780853</v>
      </c>
      <c r="Y86" s="16" t="n">
        <f aca="false">IF(AND(ISNUMBER(X86),H86&lt;&gt;""),H86+Climate_Shift-X86,"")</f>
        <v>7.62637242191472</v>
      </c>
      <c r="Z86" s="16" t="n">
        <f aca="false">IF(ISNUMBER(Y86),ABS(Y86),"")</f>
        <v>7.62637242191472</v>
      </c>
      <c r="AA86" s="16" t="n">
        <f aca="false">IF(COUNT(Z80:Z86)=0,"",AVERAGE(Z80:Z86))</f>
        <v>2.82913894680297</v>
      </c>
      <c r="AB86" s="16" t="n">
        <f aca="false">IF(AD85=1,0,MAX(0,AB85+IF(ISNUMBER(Y86),Y86-CUSUM_k,0)))</f>
        <v>12.1300336876015</v>
      </c>
      <c r="AC86" s="16" t="n">
        <f aca="false">IF(AD85=1,0,MAX(0,AC85+IF(ISNUMBER(Y86),-Y86-CUSUM_k,0)))</f>
        <v>0</v>
      </c>
      <c r="AD86" s="17" t="n">
        <f aca="false">IF(OR(AB86&gt;CUSUM_h,AC86&gt;CUSUM_h,AND(ISNUMBER(AA86),AA86&gt;MAE_Tol)),1,0)</f>
        <v>0</v>
      </c>
      <c r="AE86" s="14" t="n">
        <f aca="false">IF(ISNUMBER(X86),IF(X86+Local_Sensing*UHI_Day_Eff&gt;=T_Day,1,0),0)</f>
        <v>1</v>
      </c>
      <c r="AF86" s="17" t="str">
        <f aca="false">IF(NOT(ISNUMBER(X86)),"n/a",IF(AND(AE86=1,N86=1),"Hit",IF(AND(AE86=0,N86=1),"Miss",IF(AND(AE86=1,N86=0),"False alarm","Correct quiet"))))</f>
        <v>Hit</v>
      </c>
      <c r="AG86" s="14" t="n">
        <f aca="false">IF(H86="",0,IF(H86+Climate_Shift&gt;=T_Day,1,0))</f>
        <v>1</v>
      </c>
      <c r="AH86" s="17" t="n">
        <f aca="false">IF(AND(N86=1,AG86=0),1,0)</f>
        <v>0</v>
      </c>
      <c r="AI86" s="17" t="str">
        <f aca="false">IF(U86=1,"ESCALATE: surge health &amp; transport capacity",IF(AD86=1,"Model drift: retrain, recalibrate, raise change request",IF(S86&gt;=2,"Activate heat plan: outreach and cooling centres",IF(AND(E86=1,OR(N86=1,O86=1)),"Data QA: verify sensor before acting",IF(AF86="Miss","Review missed alert: threshold or model",IF(AH86=1,"Equity: local alert not seen at reference station","Monitor"))))))</f>
        <v>Activate heat plan: outreach and cooling centres</v>
      </c>
      <c r="AN86" s="58" t="n">
        <f aca="false">T_Day</f>
        <v>28</v>
      </c>
      <c r="AO86" s="58" t="n">
        <f aca="false">Capacity</f>
        <v>40</v>
      </c>
      <c r="AP86" s="58" t="n">
        <f aca="false">CUSUM_h</f>
        <v>15</v>
      </c>
    </row>
    <row r="87" customFormat="false" ht="15" hidden="false" customHeight="false" outlineLevel="0" collapsed="false">
      <c r="A87" s="14" t="n">
        <v>79</v>
      </c>
      <c r="B87" s="14" t="n">
        <f aca="false">2+(SelYear-1979)*153+A87-1</f>
        <v>6659</v>
      </c>
      <c r="C87" s="55" t="n">
        <f aca="false">INDEX(Data_Heathrow!$A:$A,B87)</f>
        <v>44760</v>
      </c>
      <c r="D87" s="16" t="n">
        <f aca="false">INDEX(Data_Heathrow!$E:$E,B87)</f>
        <v>40.2</v>
      </c>
      <c r="E87" s="17" t="n">
        <f aca="false">INDEX(Data_Heathrow!$Q:$Q,B87)</f>
        <v>0</v>
      </c>
      <c r="F87" s="16" t="n">
        <f aca="false">INDEX(Data_Heathrow!$T:$T,B87)</f>
        <v>34.6323275047906</v>
      </c>
      <c r="G87" s="16" t="n">
        <f aca="false">IF(AND(Drift_Rate&lt;&gt;0,A87&gt;=Drift_Start),Drift_Rate*(A87-Drift_Start+1)/30,0)</f>
        <v>0</v>
      </c>
      <c r="H87" s="16" t="n">
        <f aca="false">IF(AND(E87=1,QA_Policy="Exclude suspect"),"",IF(AND(E87=1,QA_Policy="Impute with model",ISNUMBER(F87)),F87,D87)+G87)</f>
        <v>40.2</v>
      </c>
      <c r="I87" s="16" t="n">
        <f aca="false">IF(H87="","",H87+Climate_Shift+UHI_Day_Eff)</f>
        <v>42.2</v>
      </c>
      <c r="J87" s="16" t="n">
        <f aca="false">INDEX(Data_Heathrow!$G:$G,B87)</f>
        <v>17.7</v>
      </c>
      <c r="K87" s="16" t="n">
        <f aca="false">J87+Climate_Shift+UHI_Night_Eff</f>
        <v>21.7</v>
      </c>
      <c r="L87" s="16" t="n">
        <f aca="false">IF(INDEX(Data_Heathrow!$I:$I,B87)="","",INDEX(Data_Heathrow!$I:$I,B87))</f>
        <v>27.4</v>
      </c>
      <c r="M87" s="16" t="n">
        <f aca="false">IF(L87="","",L87+Climate_Shift+(UHI_Day_Eff+UHI_Night_Eff)/2)</f>
        <v>30.4</v>
      </c>
      <c r="N87" s="14" t="n">
        <f aca="false">IF(I87="",0,IF(I87&gt;=T_Day,1,0))</f>
        <v>1</v>
      </c>
      <c r="O87" s="14" t="n">
        <f aca="false">IF(K87&gt;=T_Night,1,0)</f>
        <v>1</v>
      </c>
      <c r="P87" s="14" t="n">
        <f aca="false">IF(N87=1,P86+1,0)</f>
        <v>5</v>
      </c>
      <c r="Q87" s="14" t="n">
        <f aca="false">IF(P87&gt;=HW_Days,1,0)</f>
        <v>1</v>
      </c>
      <c r="R87" s="17" t="str">
        <f aca="false">IF(AND(N87=1,I87&gt;=T_Red,O87=1),"RED",IF(AND(Q87=1,O87=1),"AMBER",IF(OR(N87=1,O87=1),"YELLOW","GREEN")))</f>
        <v>RED</v>
      </c>
      <c r="S87" s="14" t="n">
        <f aca="false">IF(R87="RED",3,IF(R87="AMBER",2,IF(R87="YELLOW",1,0)))</f>
        <v>3</v>
      </c>
      <c r="T87" s="16" t="n">
        <f aca="false">MAX(0,T86*(1-Decay)+IF(I87="",0,MAX(0,I87-T_Comfort))-Recovery_Rate*MAX(0,T_Night-K87))</f>
        <v>45.5750935681434</v>
      </c>
      <c r="U87" s="14" t="n">
        <f aca="false">IF(T87&gt;Capacity,1,0)</f>
        <v>1</v>
      </c>
      <c r="V87" s="15" t="n">
        <f aca="false">1/(1+EXP(-Logistic_k*(T87-Capacity)))</f>
        <v>0.697677795715729</v>
      </c>
      <c r="W87" s="16" t="n">
        <f aca="false">IF(M87="",0,Beta*Pop_Share_Sel*(1-Sens_Red)*MAX(0,M87-T_Mort))</f>
        <v>5.77611940298507</v>
      </c>
      <c r="X87" s="16" t="n">
        <f aca="false">IF(ISNUMBER(F87),F87+Coef_B1*(Climate_Shift+G86),"")</f>
        <v>34.6323275047906</v>
      </c>
      <c r="Y87" s="16" t="n">
        <f aca="false">IF(AND(ISNUMBER(X87),H87&lt;&gt;""),H87+Climate_Shift-X87,"")</f>
        <v>5.56767249520938</v>
      </c>
      <c r="Z87" s="16" t="n">
        <f aca="false">IF(ISNUMBER(Y87),ABS(Y87),"")</f>
        <v>5.56767249520938</v>
      </c>
      <c r="AA87" s="16" t="n">
        <f aca="false">IF(COUNT(Z81:Z87)=0,"",AVERAGE(Z81:Z87))</f>
        <v>3.48827724497655</v>
      </c>
      <c r="AB87" s="16" t="n">
        <f aca="false">IF(AD86=1,0,MAX(0,AB86+IF(ISNUMBER(Y87),Y87-CUSUM_k,0)))</f>
        <v>16.6977061828109</v>
      </c>
      <c r="AC87" s="16" t="n">
        <f aca="false">IF(AD86=1,0,MAX(0,AC86+IF(ISNUMBER(Y87),-Y87-CUSUM_k,0)))</f>
        <v>0</v>
      </c>
      <c r="AD87" s="17" t="n">
        <f aca="false">IF(OR(AB87&gt;CUSUM_h,AC87&gt;CUSUM_h,AND(ISNUMBER(AA87),AA87&gt;MAE_Tol)),1,0)</f>
        <v>1</v>
      </c>
      <c r="AE87" s="14" t="n">
        <f aca="false">IF(ISNUMBER(X87),IF(X87+Local_Sensing*UHI_Day_Eff&gt;=T_Day,1,0),0)</f>
        <v>1</v>
      </c>
      <c r="AF87" s="17" t="str">
        <f aca="false">IF(NOT(ISNUMBER(X87)),"n/a",IF(AND(AE87=1,N87=1),"Hit",IF(AND(AE87=0,N87=1),"Miss",IF(AND(AE87=1,N87=0),"False alarm","Correct quiet"))))</f>
        <v>Hit</v>
      </c>
      <c r="AG87" s="14" t="n">
        <f aca="false">IF(H87="",0,IF(H87+Climate_Shift&gt;=T_Day,1,0))</f>
        <v>1</v>
      </c>
      <c r="AH87" s="17" t="n">
        <f aca="false">IF(AND(N87=1,AG87=0),1,0)</f>
        <v>0</v>
      </c>
      <c r="AI87" s="17" t="str">
        <f aca="false">IF(U87=1,"ESCALATE: surge health &amp; transport capacity",IF(AD87=1,"Model drift: retrain, recalibrate, raise change request",IF(S87&gt;=2,"Activate heat plan: outreach and cooling centres",IF(AND(E87=1,OR(N87=1,O87=1)),"Data QA: verify sensor before acting",IF(AF87="Miss","Review missed alert: threshold or model",IF(AH87=1,"Equity: local alert not seen at reference station","Monitor"))))))</f>
        <v>ESCALATE: surge health &amp; transport capacity</v>
      </c>
      <c r="AN87" s="58" t="n">
        <f aca="false">T_Day</f>
        <v>28</v>
      </c>
      <c r="AO87" s="58" t="n">
        <f aca="false">Capacity</f>
        <v>40</v>
      </c>
      <c r="AP87" s="58" t="n">
        <f aca="false">CUSUM_h</f>
        <v>15</v>
      </c>
    </row>
    <row r="88" customFormat="false" ht="15" hidden="false" customHeight="false" outlineLevel="0" collapsed="false">
      <c r="A88" s="14" t="n">
        <v>80</v>
      </c>
      <c r="B88" s="14" t="n">
        <f aca="false">2+(SelYear-1979)*153+A88-1</f>
        <v>6660</v>
      </c>
      <c r="C88" s="55" t="n">
        <f aca="false">INDEX(Data_Heathrow!$A:$A,B88)</f>
        <v>44761</v>
      </c>
      <c r="D88" s="16" t="n">
        <f aca="false">INDEX(Data_Heathrow!$E:$E,B88)</f>
        <v>27.2</v>
      </c>
      <c r="E88" s="17" t="n">
        <f aca="false">INDEX(Data_Heathrow!$Q:$Q,B88)</f>
        <v>1</v>
      </c>
      <c r="F88" s="16" t="n">
        <f aca="false">INDEX(Data_Heathrow!$T:$T,B88)</f>
        <v>36.9934706038091</v>
      </c>
      <c r="G88" s="16" t="n">
        <f aca="false">IF(AND(Drift_Rate&lt;&gt;0,A88&gt;=Drift_Start),Drift_Rate*(A88-Drift_Start+1)/30,0)</f>
        <v>0</v>
      </c>
      <c r="H88" s="16" t="n">
        <f aca="false">IF(AND(E88=1,QA_Policy="Exclude suspect"),"",IF(AND(E88=1,QA_Policy="Impute with model",ISNUMBER(F88)),F88,D88)+G88)</f>
        <v>27.2</v>
      </c>
      <c r="I88" s="16" t="n">
        <f aca="false">IF(H88="","",H88+Climate_Shift+UHI_Day_Eff)</f>
        <v>29.2</v>
      </c>
      <c r="J88" s="16" t="n">
        <f aca="false">INDEX(Data_Heathrow!$G:$G,B88)</f>
        <v>21.7</v>
      </c>
      <c r="K88" s="16" t="n">
        <f aca="false">J88+Climate_Shift+UHI_Night_Eff</f>
        <v>25.7</v>
      </c>
      <c r="L88" s="16" t="n">
        <f aca="false">IF(INDEX(Data_Heathrow!$I:$I,B88)="","",INDEX(Data_Heathrow!$I:$I,B88))</f>
        <v>30.9</v>
      </c>
      <c r="M88" s="16" t="n">
        <f aca="false">IF(L88="","",L88+Climate_Shift+(UHI_Day_Eff+UHI_Night_Eff)/2)</f>
        <v>33.9</v>
      </c>
      <c r="N88" s="14" t="n">
        <f aca="false">IF(I88="",0,IF(I88&gt;=T_Day,1,0))</f>
        <v>1</v>
      </c>
      <c r="O88" s="14" t="n">
        <f aca="false">IF(K88&gt;=T_Night,1,0)</f>
        <v>1</v>
      </c>
      <c r="P88" s="14" t="n">
        <f aca="false">IF(N88=1,P87+1,0)</f>
        <v>6</v>
      </c>
      <c r="Q88" s="14" t="n">
        <f aca="false">IF(P88&gt;=HW_Days,1,0)</f>
        <v>1</v>
      </c>
      <c r="R88" s="17" t="str">
        <f aca="false">IF(AND(N88=1,I88&gt;=T_Red,O88=1),"RED",IF(AND(Q88=1,O88=1),"AMBER",IF(OR(N88=1,O88=1),"YELLOW","GREEN")))</f>
        <v>AMBER</v>
      </c>
      <c r="S88" s="14" t="n">
        <f aca="false">IF(R88="RED",3,IF(R88="AMBER",2,IF(R88="YELLOW",1,0)))</f>
        <v>2</v>
      </c>
      <c r="T88" s="16" t="n">
        <f aca="false">MAX(0,T87*(1-Decay)+IF(I88="",0,MAX(0,I88-T_Comfort))-Recovery_Rate*MAX(0,T_Night-K88))</f>
        <v>40.6600748545147</v>
      </c>
      <c r="U88" s="14" t="n">
        <f aca="false">IF(T88&gt;Capacity,1,0)</f>
        <v>1</v>
      </c>
      <c r="V88" s="15" t="n">
        <f aca="false">1/(1+EXP(-Logistic_k*(T88-Capacity)))</f>
        <v>0.524732605406946</v>
      </c>
      <c r="W88" s="16" t="n">
        <f aca="false">IF(M88="",0,Beta*Pop_Share_Sel*(1-Sens_Red)*MAX(0,M88-T_Mort))</f>
        <v>7.72000574052813</v>
      </c>
      <c r="X88" s="16" t="n">
        <f aca="false">IF(ISNUMBER(F88),F88+Coef_B1*(Climate_Shift+G87),"")</f>
        <v>36.9934706038091</v>
      </c>
      <c r="Y88" s="16" t="n">
        <f aca="false">IF(AND(ISNUMBER(X88),H88&lt;&gt;""),H88+Climate_Shift-X88,"")</f>
        <v>-9.79347060380913</v>
      </c>
      <c r="Z88" s="16" t="n">
        <f aca="false">IF(ISNUMBER(Y88),ABS(Y88),"")</f>
        <v>9.79347060380913</v>
      </c>
      <c r="AA88" s="16" t="n">
        <f aca="false">IF(COUNT(Z82:Z88)=0,"",AVERAGE(Z82:Z88))</f>
        <v>4.72636856491136</v>
      </c>
      <c r="AB88" s="16" t="n">
        <f aca="false">IF(AD87=1,0,MAX(0,AB87+IF(ISNUMBER(Y88),Y88-CUSUM_k,0)))</f>
        <v>0</v>
      </c>
      <c r="AC88" s="16" t="n">
        <f aca="false">IF(AD87=1,0,MAX(0,AC87+IF(ISNUMBER(Y88),-Y88-CUSUM_k,0)))</f>
        <v>0</v>
      </c>
      <c r="AD88" s="17" t="n">
        <f aca="false">IF(OR(AB88&gt;CUSUM_h,AC88&gt;CUSUM_h,AND(ISNUMBER(AA88),AA88&gt;MAE_Tol)),1,0)</f>
        <v>1</v>
      </c>
      <c r="AE88" s="14" t="n">
        <f aca="false">IF(ISNUMBER(X88),IF(X88+Local_Sensing*UHI_Day_Eff&gt;=T_Day,1,0),0)</f>
        <v>1</v>
      </c>
      <c r="AF88" s="17" t="str">
        <f aca="false">IF(NOT(ISNUMBER(X88)),"n/a",IF(AND(AE88=1,N88=1),"Hit",IF(AND(AE88=0,N88=1),"Miss",IF(AND(AE88=1,N88=0),"False alarm","Correct quiet"))))</f>
        <v>Hit</v>
      </c>
      <c r="AG88" s="14" t="n">
        <f aca="false">IF(H88="",0,IF(H88+Climate_Shift&gt;=T_Day,1,0))</f>
        <v>0</v>
      </c>
      <c r="AH88" s="17" t="n">
        <f aca="false">IF(AND(N88=1,AG88=0),1,0)</f>
        <v>1</v>
      </c>
      <c r="AI88" s="17" t="str">
        <f aca="false">IF(U88=1,"ESCALATE: surge health &amp; transport capacity",IF(AD88=1,"Model drift: retrain, recalibrate, raise change request",IF(S88&gt;=2,"Activate heat plan: outreach and cooling centres",IF(AND(E88=1,OR(N88=1,O88=1)),"Data QA: verify sensor before acting",IF(AF88="Miss","Review missed alert: threshold or model",IF(AH88=1,"Equity: local alert not seen at reference station","Monitor"))))))</f>
        <v>ESCALATE: surge health &amp; transport capacity</v>
      </c>
      <c r="AN88" s="58" t="n">
        <f aca="false">T_Day</f>
        <v>28</v>
      </c>
      <c r="AO88" s="58" t="n">
        <f aca="false">Capacity</f>
        <v>40</v>
      </c>
      <c r="AP88" s="58" t="n">
        <f aca="false">CUSUM_h</f>
        <v>15</v>
      </c>
    </row>
    <row r="89" customFormat="false" ht="15" hidden="false" customHeight="false" outlineLevel="0" collapsed="false">
      <c r="A89" s="14" t="n">
        <v>81</v>
      </c>
      <c r="B89" s="14" t="n">
        <f aca="false">2+(SelYear-1979)*153+A89-1</f>
        <v>6661</v>
      </c>
      <c r="C89" s="55" t="n">
        <f aca="false">INDEX(Data_Heathrow!$A:$A,B89)</f>
        <v>44762</v>
      </c>
      <c r="D89" s="16" t="n">
        <f aca="false">INDEX(Data_Heathrow!$E:$E,B89)</f>
        <v>24.2</v>
      </c>
      <c r="E89" s="17" t="n">
        <f aca="false">INDEX(Data_Heathrow!$Q:$Q,B89)</f>
        <v>0</v>
      </c>
      <c r="F89" s="16" t="n">
        <f aca="false">INDEX(Data_Heathrow!$T:$T,B89)</f>
        <v>26.1130608634264</v>
      </c>
      <c r="G89" s="16" t="n">
        <f aca="false">IF(AND(Drift_Rate&lt;&gt;0,A89&gt;=Drift_Start),Drift_Rate*(A89-Drift_Start+1)/30,0)</f>
        <v>0</v>
      </c>
      <c r="H89" s="16" t="n">
        <f aca="false">IF(AND(E89=1,QA_Policy="Exclude suspect"),"",IF(AND(E89=1,QA_Policy="Impute with model",ISNUMBER(F89)),F89,D89)+G89)</f>
        <v>24.2</v>
      </c>
      <c r="I89" s="16" t="n">
        <f aca="false">IF(H89="","",H89+Climate_Shift+UHI_Day_Eff)</f>
        <v>26.2</v>
      </c>
      <c r="J89" s="16" t="n">
        <f aca="false">INDEX(Data_Heathrow!$G:$G,B89)</f>
        <v>19</v>
      </c>
      <c r="K89" s="16" t="n">
        <f aca="false">J89+Climate_Shift+UHI_Night_Eff</f>
        <v>23</v>
      </c>
      <c r="L89" s="16" t="n">
        <f aca="false">IF(INDEX(Data_Heathrow!$I:$I,B89)="","",INDEX(Data_Heathrow!$I:$I,B89))</f>
        <v>23.1</v>
      </c>
      <c r="M89" s="16" t="n">
        <f aca="false">IF(L89="","",L89+Climate_Shift+(UHI_Day_Eff+UHI_Night_Eff)/2)</f>
        <v>26.1</v>
      </c>
      <c r="N89" s="14" t="n">
        <f aca="false">IF(I89="",0,IF(I89&gt;=T_Day,1,0))</f>
        <v>0</v>
      </c>
      <c r="O89" s="14" t="n">
        <f aca="false">IF(K89&gt;=T_Night,1,0)</f>
        <v>1</v>
      </c>
      <c r="P89" s="14" t="n">
        <f aca="false">IF(N89=1,P88+1,0)</f>
        <v>0</v>
      </c>
      <c r="Q89" s="14" t="n">
        <f aca="false">IF(P89&gt;=HW_Days,1,0)</f>
        <v>0</v>
      </c>
      <c r="R89" s="17" t="str">
        <f aca="false">IF(AND(N89=1,I89&gt;=T_Red,O89=1),"RED",IF(AND(Q89=1,O89=1),"AMBER",IF(OR(N89=1,O89=1),"YELLOW","GREEN")))</f>
        <v>YELLOW</v>
      </c>
      <c r="S89" s="14" t="n">
        <f aca="false">IF(R89="RED",3,IF(R89="AMBER",2,IF(R89="YELLOW",1,0)))</f>
        <v>1</v>
      </c>
      <c r="T89" s="16" t="n">
        <f aca="false">MAX(0,T88*(1-Decay)+IF(I89="",0,MAX(0,I89-T_Comfort))-Recovery_Rate*MAX(0,T_Night-K89))</f>
        <v>33.7280598836118</v>
      </c>
      <c r="U89" s="14" t="n">
        <f aca="false">IF(T89&gt;Capacity,1,0)</f>
        <v>0</v>
      </c>
      <c r="V89" s="15" t="n">
        <f aca="false">1/(1+EXP(-Logistic_k*(T89-Capacity)))</f>
        <v>0.280740588438684</v>
      </c>
      <c r="W89" s="16" t="n">
        <f aca="false">IF(M89="",0,Beta*Pop_Share_Sel*(1-Sens_Red)*MAX(0,M89-T_Mort))</f>
        <v>3.38791618828932</v>
      </c>
      <c r="X89" s="16" t="n">
        <f aca="false">IF(ISNUMBER(F89),F89+Coef_B1*(Climate_Shift+G88),"")</f>
        <v>26.1130608634264</v>
      </c>
      <c r="Y89" s="16" t="n">
        <f aca="false">IF(AND(ISNUMBER(X89),H89&lt;&gt;""),H89+Climate_Shift-X89,"")</f>
        <v>-1.91306086342645</v>
      </c>
      <c r="Z89" s="16" t="n">
        <f aca="false">IF(ISNUMBER(Y89),ABS(Y89),"")</f>
        <v>1.91306086342645</v>
      </c>
      <c r="AA89" s="16" t="n">
        <f aca="false">IF(COUNT(Z83:Z89)=0,"",AVERAGE(Z83:Z89))</f>
        <v>4.66222831993555</v>
      </c>
      <c r="AB89" s="16" t="n">
        <f aca="false">IF(AD88=1,0,MAX(0,AB88+IF(ISNUMBER(Y89),Y89-CUSUM_k,0)))</f>
        <v>0</v>
      </c>
      <c r="AC89" s="16" t="n">
        <f aca="false">IF(AD88=1,0,MAX(0,AC88+IF(ISNUMBER(Y89),-Y89-CUSUM_k,0)))</f>
        <v>0</v>
      </c>
      <c r="AD89" s="17" t="n">
        <f aca="false">IF(OR(AB89&gt;CUSUM_h,AC89&gt;CUSUM_h,AND(ISNUMBER(AA89),AA89&gt;MAE_Tol)),1,0)</f>
        <v>1</v>
      </c>
      <c r="AE89" s="14" t="n">
        <f aca="false">IF(ISNUMBER(X89),IF(X89+Local_Sensing*UHI_Day_Eff&gt;=T_Day,1,0),0)</f>
        <v>0</v>
      </c>
      <c r="AF89" s="17" t="str">
        <f aca="false">IF(NOT(ISNUMBER(X89)),"n/a",IF(AND(AE89=1,N89=1),"Hit",IF(AND(AE89=0,N89=1),"Miss",IF(AND(AE89=1,N89=0),"False alarm","Correct quiet"))))</f>
        <v>Correct quiet</v>
      </c>
      <c r="AG89" s="14" t="n">
        <f aca="false">IF(H89="",0,IF(H89+Climate_Shift&gt;=T_Day,1,0))</f>
        <v>0</v>
      </c>
      <c r="AH89" s="17" t="n">
        <f aca="false">IF(AND(N89=1,AG89=0),1,0)</f>
        <v>0</v>
      </c>
      <c r="AI89" s="17" t="str">
        <f aca="false">IF(U89=1,"ESCALATE: surge health &amp; transport capacity",IF(AD89=1,"Model drift: retrain, recalibrate, raise change request",IF(S89&gt;=2,"Activate heat plan: outreach and cooling centres",IF(AND(E89=1,OR(N89=1,O89=1)),"Data QA: verify sensor before acting",IF(AF89="Miss","Review missed alert: threshold or model",IF(AH89=1,"Equity: local alert not seen at reference station","Monitor"))))))</f>
        <v>Model drift: retrain, recalibrate, raise change request</v>
      </c>
      <c r="AN89" s="58" t="n">
        <f aca="false">T_Day</f>
        <v>28</v>
      </c>
      <c r="AO89" s="58" t="n">
        <f aca="false">Capacity</f>
        <v>40</v>
      </c>
      <c r="AP89" s="58" t="n">
        <f aca="false">CUSUM_h</f>
        <v>15</v>
      </c>
    </row>
    <row r="90" customFormat="false" ht="15" hidden="false" customHeight="false" outlineLevel="0" collapsed="false">
      <c r="A90" s="14" t="n">
        <v>82</v>
      </c>
      <c r="B90" s="14" t="n">
        <f aca="false">2+(SelYear-1979)*153+A90-1</f>
        <v>6662</v>
      </c>
      <c r="C90" s="55" t="n">
        <f aca="false">INDEX(Data_Heathrow!$A:$A,B90)</f>
        <v>44763</v>
      </c>
      <c r="D90" s="16" t="n">
        <f aca="false">INDEX(Data_Heathrow!$E:$E,B90)</f>
        <v>23</v>
      </c>
      <c r="E90" s="17" t="n">
        <f aca="false">INDEX(Data_Heathrow!$Q:$Q,B90)</f>
        <v>0</v>
      </c>
      <c r="F90" s="16" t="n">
        <f aca="false">INDEX(Data_Heathrow!$T:$T,B90)</f>
        <v>23.7805228628344</v>
      </c>
      <c r="G90" s="16" t="n">
        <f aca="false">IF(AND(Drift_Rate&lt;&gt;0,A90&gt;=Drift_Start),Drift_Rate*(A90-Drift_Start+1)/30,0)</f>
        <v>0</v>
      </c>
      <c r="H90" s="16" t="n">
        <f aca="false">IF(AND(E90=1,QA_Policy="Exclude suspect"),"",IF(AND(E90=1,QA_Policy="Impute with model",ISNUMBER(F90)),F90,D90)+G90)</f>
        <v>23</v>
      </c>
      <c r="I90" s="16" t="n">
        <f aca="false">IF(H90="","",H90+Climate_Shift+UHI_Day_Eff)</f>
        <v>25</v>
      </c>
      <c r="J90" s="16" t="n">
        <f aca="false">INDEX(Data_Heathrow!$G:$G,B90)</f>
        <v>15.8</v>
      </c>
      <c r="K90" s="16" t="n">
        <f aca="false">J90+Climate_Shift+UHI_Night_Eff</f>
        <v>19.8</v>
      </c>
      <c r="L90" s="16" t="n">
        <f aca="false">IF(INDEX(Data_Heathrow!$I:$I,B90)="","",INDEX(Data_Heathrow!$I:$I,B90))</f>
        <v>20</v>
      </c>
      <c r="M90" s="16" t="n">
        <f aca="false">IF(L90="","",L90+Climate_Shift+(UHI_Day_Eff+UHI_Night_Eff)/2)</f>
        <v>23</v>
      </c>
      <c r="N90" s="14" t="n">
        <f aca="false">IF(I90="",0,IF(I90&gt;=T_Day,1,0))</f>
        <v>0</v>
      </c>
      <c r="O90" s="14" t="n">
        <f aca="false">IF(K90&gt;=T_Night,1,0)</f>
        <v>1</v>
      </c>
      <c r="P90" s="14" t="n">
        <f aca="false">IF(N90=1,P89+1,0)</f>
        <v>0</v>
      </c>
      <c r="Q90" s="14" t="n">
        <f aca="false">IF(P90&gt;=HW_Days,1,0)</f>
        <v>0</v>
      </c>
      <c r="R90" s="17" t="str">
        <f aca="false">IF(AND(N90=1,I90&gt;=T_Red,O90=1),"RED",IF(AND(Q90=1,O90=1),"AMBER",IF(OR(N90=1,O90=1),"YELLOW","GREEN")))</f>
        <v>YELLOW</v>
      </c>
      <c r="S90" s="14" t="n">
        <f aca="false">IF(R90="RED",3,IF(R90="AMBER",2,IF(R90="YELLOW",1,0)))</f>
        <v>1</v>
      </c>
      <c r="T90" s="16" t="n">
        <f aca="false">MAX(0,T89*(1-Decay)+IF(I90="",0,MAX(0,I90-T_Comfort))-Recovery_Rate*MAX(0,T_Night-K90))</f>
        <v>26.9824479068894</v>
      </c>
      <c r="U90" s="14" t="n">
        <f aca="false">IF(T90&gt;Capacity,1,0)</f>
        <v>0</v>
      </c>
      <c r="V90" s="15" t="n">
        <f aca="false">1/(1+EXP(-Logistic_k*(T90-Capacity)))</f>
        <v>0.124266560288627</v>
      </c>
      <c r="W90" s="16" t="n">
        <f aca="false">IF(M90="",0,Beta*Pop_Share_Sel*(1-Sens_Red)*MAX(0,M90-T_Mort))</f>
        <v>1.66618828932262</v>
      </c>
      <c r="X90" s="16" t="n">
        <f aca="false">IF(ISNUMBER(F90),F90+Coef_B1*(Climate_Shift+G89),"")</f>
        <v>23.7805228628344</v>
      </c>
      <c r="Y90" s="16" t="n">
        <f aca="false">IF(AND(ISNUMBER(X90),H90&lt;&gt;""),H90+Climate_Shift-X90,"")</f>
        <v>-0.780522862834435</v>
      </c>
      <c r="Z90" s="16" t="n">
        <f aca="false">IF(ISNUMBER(Y90),ABS(Y90),"")</f>
        <v>0.780522862834435</v>
      </c>
      <c r="AA90" s="16" t="n">
        <f aca="false">IF(COUNT(Z84:Z90)=0,"",AVERAGE(Z84:Z90))</f>
        <v>4.439084069645</v>
      </c>
      <c r="AB90" s="16" t="n">
        <f aca="false">IF(AD89=1,0,MAX(0,AB89+IF(ISNUMBER(Y90),Y90-CUSUM_k,0)))</f>
        <v>0</v>
      </c>
      <c r="AC90" s="16" t="n">
        <f aca="false">IF(AD89=1,0,MAX(0,AC89+IF(ISNUMBER(Y90),-Y90-CUSUM_k,0)))</f>
        <v>0</v>
      </c>
      <c r="AD90" s="17" t="n">
        <f aca="false">IF(OR(AB90&gt;CUSUM_h,AC90&gt;CUSUM_h,AND(ISNUMBER(AA90),AA90&gt;MAE_Tol)),1,0)</f>
        <v>0</v>
      </c>
      <c r="AE90" s="14" t="n">
        <f aca="false">IF(ISNUMBER(X90),IF(X90+Local_Sensing*UHI_Day_Eff&gt;=T_Day,1,0),0)</f>
        <v>0</v>
      </c>
      <c r="AF90" s="17" t="str">
        <f aca="false">IF(NOT(ISNUMBER(X90)),"n/a",IF(AND(AE90=1,N90=1),"Hit",IF(AND(AE90=0,N90=1),"Miss",IF(AND(AE90=1,N90=0),"False alarm","Correct quiet"))))</f>
        <v>Correct quiet</v>
      </c>
      <c r="AG90" s="14" t="n">
        <f aca="false">IF(H90="",0,IF(H90+Climate_Shift&gt;=T_Day,1,0))</f>
        <v>0</v>
      </c>
      <c r="AH90" s="17" t="n">
        <f aca="false">IF(AND(N90=1,AG90=0),1,0)</f>
        <v>0</v>
      </c>
      <c r="AI90" s="17" t="str">
        <f aca="false">IF(U90=1,"ESCALATE: surge health &amp; transport capacity",IF(AD90=1,"Model drift: retrain, recalibrate, raise change request",IF(S90&gt;=2,"Activate heat plan: outreach and cooling centres",IF(AND(E90=1,OR(N90=1,O90=1)),"Data QA: verify sensor before acting",IF(AF90="Miss","Review missed alert: threshold or model",IF(AH90=1,"Equity: local alert not seen at reference station","Monitor"))))))</f>
        <v>Monitor</v>
      </c>
      <c r="AN90" s="58" t="n">
        <f aca="false">T_Day</f>
        <v>28</v>
      </c>
      <c r="AO90" s="58" t="n">
        <f aca="false">Capacity</f>
        <v>40</v>
      </c>
      <c r="AP90" s="58" t="n">
        <f aca="false">CUSUM_h</f>
        <v>15</v>
      </c>
    </row>
    <row r="91" customFormat="false" ht="15" hidden="false" customHeight="false" outlineLevel="0" collapsed="false">
      <c r="A91" s="14" t="n">
        <v>83</v>
      </c>
      <c r="B91" s="14" t="n">
        <f aca="false">2+(SelYear-1979)*153+A91-1</f>
        <v>6663</v>
      </c>
      <c r="C91" s="55" t="n">
        <f aca="false">INDEX(Data_Heathrow!$A:$A,B91)</f>
        <v>44764</v>
      </c>
      <c r="D91" s="16" t="n">
        <f aca="false">INDEX(Data_Heathrow!$E:$E,B91)</f>
        <v>27.9</v>
      </c>
      <c r="E91" s="17" t="n">
        <f aca="false">INDEX(Data_Heathrow!$Q:$Q,B91)</f>
        <v>0</v>
      </c>
      <c r="F91" s="16" t="n">
        <f aca="false">INDEX(Data_Heathrow!$T:$T,B91)</f>
        <v>22.9729872411336</v>
      </c>
      <c r="G91" s="16" t="n">
        <f aca="false">IF(AND(Drift_Rate&lt;&gt;0,A91&gt;=Drift_Start),Drift_Rate*(A91-Drift_Start+1)/30,0)</f>
        <v>0</v>
      </c>
      <c r="H91" s="16" t="n">
        <f aca="false">IF(AND(E91=1,QA_Policy="Exclude suspect"),"",IF(AND(E91=1,QA_Policy="Impute with model",ISNUMBER(F91)),F91,D91)+G91)</f>
        <v>27.9</v>
      </c>
      <c r="I91" s="16" t="n">
        <f aca="false">IF(H91="","",H91+Climate_Shift+UHI_Day_Eff)</f>
        <v>29.9</v>
      </c>
      <c r="J91" s="16" t="n">
        <f aca="false">INDEX(Data_Heathrow!$G:$G,B91)</f>
        <v>17.1</v>
      </c>
      <c r="K91" s="16" t="n">
        <f aca="false">J91+Climate_Shift+UHI_Night_Eff</f>
        <v>21.1</v>
      </c>
      <c r="L91" s="16" t="n">
        <f aca="false">IF(INDEX(Data_Heathrow!$I:$I,B91)="","",INDEX(Data_Heathrow!$I:$I,B91))</f>
        <v>20.1</v>
      </c>
      <c r="M91" s="16" t="n">
        <f aca="false">IF(L91="","",L91+Climate_Shift+(UHI_Day_Eff+UHI_Night_Eff)/2)</f>
        <v>23.1</v>
      </c>
      <c r="N91" s="14" t="n">
        <f aca="false">IF(I91="",0,IF(I91&gt;=T_Day,1,0))</f>
        <v>1</v>
      </c>
      <c r="O91" s="14" t="n">
        <f aca="false">IF(K91&gt;=T_Night,1,0)</f>
        <v>1</v>
      </c>
      <c r="P91" s="14" t="n">
        <f aca="false">IF(N91=1,P90+1,0)</f>
        <v>1</v>
      </c>
      <c r="Q91" s="14" t="n">
        <f aca="false">IF(P91&gt;=HW_Days,1,0)</f>
        <v>0</v>
      </c>
      <c r="R91" s="17" t="str">
        <f aca="false">IF(AND(N91=1,I91&gt;=T_Red,O91=1),"RED",IF(AND(Q91=1,O91=1),"AMBER",IF(OR(N91=1,O91=1),"YELLOW","GREEN")))</f>
        <v>YELLOW</v>
      </c>
      <c r="S91" s="14" t="n">
        <f aca="false">IF(R91="RED",3,IF(R91="AMBER",2,IF(R91="YELLOW",1,0)))</f>
        <v>1</v>
      </c>
      <c r="T91" s="16" t="n">
        <f aca="false">MAX(0,T90*(1-Decay)+IF(I91="",0,MAX(0,I91-T_Comfort))-Recovery_Rate*MAX(0,T_Night-K91))</f>
        <v>26.4859583255115</v>
      </c>
      <c r="U91" s="14" t="n">
        <f aca="false">IF(T91&gt;Capacity,1,0)</f>
        <v>0</v>
      </c>
      <c r="V91" s="15" t="n">
        <f aca="false">1/(1+EXP(-Logistic_k*(T91-Capacity)))</f>
        <v>0.11638618628206</v>
      </c>
      <c r="W91" s="16" t="n">
        <f aca="false">IF(M91="",0,Beta*Pop_Share_Sel*(1-Sens_Red)*MAX(0,M91-T_Mort))</f>
        <v>1.72172789896671</v>
      </c>
      <c r="X91" s="16" t="n">
        <f aca="false">IF(ISNUMBER(F91),F91+Coef_B1*(Climate_Shift+G90),"")</f>
        <v>22.9729872411336</v>
      </c>
      <c r="Y91" s="16" t="n">
        <f aca="false">IF(AND(ISNUMBER(X91),H91&lt;&gt;""),H91+Climate_Shift-X91,"")</f>
        <v>4.92701275886641</v>
      </c>
      <c r="Z91" s="16" t="n">
        <f aca="false">IF(ISNUMBER(Y91),ABS(Y91),"")</f>
        <v>4.92701275886641</v>
      </c>
      <c r="AA91" s="16" t="n">
        <f aca="false">IF(COUNT(Z85:Z91)=0,"",AVERAGE(Z85:Z91))</f>
        <v>4.76553299296882</v>
      </c>
      <c r="AB91" s="16" t="n">
        <f aca="false">IF(AD90=1,0,MAX(0,AB90+IF(ISNUMBER(Y91),Y91-CUSUM_k,0)))</f>
        <v>3.92701275886641</v>
      </c>
      <c r="AC91" s="16" t="n">
        <f aca="false">IF(AD90=1,0,MAX(0,AC90+IF(ISNUMBER(Y91),-Y91-CUSUM_k,0)))</f>
        <v>0</v>
      </c>
      <c r="AD91" s="17" t="n">
        <f aca="false">IF(OR(AB91&gt;CUSUM_h,AC91&gt;CUSUM_h,AND(ISNUMBER(AA91),AA91&gt;MAE_Tol)),1,0)</f>
        <v>1</v>
      </c>
      <c r="AE91" s="14" t="n">
        <f aca="false">IF(ISNUMBER(X91),IF(X91+Local_Sensing*UHI_Day_Eff&gt;=T_Day,1,0),0)</f>
        <v>0</v>
      </c>
      <c r="AF91" s="17" t="str">
        <f aca="false">IF(NOT(ISNUMBER(X91)),"n/a",IF(AND(AE91=1,N91=1),"Hit",IF(AND(AE91=0,N91=1),"Miss",IF(AND(AE91=1,N91=0),"False alarm","Correct quiet"))))</f>
        <v>Miss</v>
      </c>
      <c r="AG91" s="14" t="n">
        <f aca="false">IF(H91="",0,IF(H91+Climate_Shift&gt;=T_Day,1,0))</f>
        <v>0</v>
      </c>
      <c r="AH91" s="17" t="n">
        <f aca="false">IF(AND(N91=1,AG91=0),1,0)</f>
        <v>1</v>
      </c>
      <c r="AI91" s="17" t="str">
        <f aca="false">IF(U91=1,"ESCALATE: surge health &amp; transport capacity",IF(AD91=1,"Model drift: retrain, recalibrate, raise change request",IF(S91&gt;=2,"Activate heat plan: outreach and cooling centres",IF(AND(E91=1,OR(N91=1,O91=1)),"Data QA: verify sensor before acting",IF(AF91="Miss","Review missed alert: threshold or model",IF(AH91=1,"Equity: local alert not seen at reference station","Monitor"))))))</f>
        <v>Model drift: retrain, recalibrate, raise change request</v>
      </c>
      <c r="AN91" s="58" t="n">
        <f aca="false">T_Day</f>
        <v>28</v>
      </c>
      <c r="AO91" s="58" t="n">
        <f aca="false">Capacity</f>
        <v>40</v>
      </c>
      <c r="AP91" s="58" t="n">
        <f aca="false">CUSUM_h</f>
        <v>15</v>
      </c>
    </row>
    <row r="92" customFormat="false" ht="15" hidden="false" customHeight="false" outlineLevel="0" collapsed="false">
      <c r="A92" s="14" t="n">
        <v>84</v>
      </c>
      <c r="B92" s="14" t="n">
        <f aca="false">2+(SelYear-1979)*153+A92-1</f>
        <v>6664</v>
      </c>
      <c r="C92" s="55" t="n">
        <f aca="false">INDEX(Data_Heathrow!$A:$A,B92)</f>
        <v>44765</v>
      </c>
      <c r="D92" s="16" t="n">
        <f aca="false">INDEX(Data_Heathrow!$E:$E,B92)</f>
        <v>29</v>
      </c>
      <c r="E92" s="17" t="n">
        <f aca="false">INDEX(Data_Heathrow!$Q:$Q,B92)</f>
        <v>0</v>
      </c>
      <c r="F92" s="16" t="n">
        <f aca="false">INDEX(Data_Heathrow!$T:$T,B92)</f>
        <v>26.943831434555</v>
      </c>
      <c r="G92" s="16" t="n">
        <f aca="false">IF(AND(Drift_Rate&lt;&gt;0,A92&gt;=Drift_Start),Drift_Rate*(A92-Drift_Start+1)/30,0)</f>
        <v>0</v>
      </c>
      <c r="H92" s="16" t="n">
        <f aca="false">IF(AND(E92=1,QA_Policy="Exclude suspect"),"",IF(AND(E92=1,QA_Policy="Impute with model",ISNUMBER(F92)),F92,D92)+G92)</f>
        <v>29</v>
      </c>
      <c r="I92" s="16" t="n">
        <f aca="false">IF(H92="","",H92+Climate_Shift+UHI_Day_Eff)</f>
        <v>31</v>
      </c>
      <c r="J92" s="16" t="n">
        <f aca="false">INDEX(Data_Heathrow!$G:$G,B92)</f>
        <v>15.6</v>
      </c>
      <c r="K92" s="16" t="n">
        <f aca="false">J92+Climate_Shift+UHI_Night_Eff</f>
        <v>19.6</v>
      </c>
      <c r="L92" s="16" t="n">
        <f aca="false">IF(INDEX(Data_Heathrow!$I:$I,B92)="","",INDEX(Data_Heathrow!$I:$I,B92))</f>
        <v>21.8</v>
      </c>
      <c r="M92" s="16" t="n">
        <f aca="false">IF(L92="","",L92+Climate_Shift+(UHI_Day_Eff+UHI_Night_Eff)/2)</f>
        <v>24.8</v>
      </c>
      <c r="N92" s="14" t="n">
        <f aca="false">IF(I92="",0,IF(I92&gt;=T_Day,1,0))</f>
        <v>1</v>
      </c>
      <c r="O92" s="14" t="n">
        <f aca="false">IF(K92&gt;=T_Night,1,0)</f>
        <v>1</v>
      </c>
      <c r="P92" s="14" t="n">
        <f aca="false">IF(N92=1,P91+1,0)</f>
        <v>2</v>
      </c>
      <c r="Q92" s="14" t="n">
        <f aca="false">IF(P92&gt;=HW_Days,1,0)</f>
        <v>0</v>
      </c>
      <c r="R92" s="17" t="str">
        <f aca="false">IF(AND(N92=1,I92&gt;=T_Red,O92=1),"RED",IF(AND(Q92=1,O92=1),"AMBER",IF(OR(N92=1,O92=1),"YELLOW","GREEN")))</f>
        <v>YELLOW</v>
      </c>
      <c r="S92" s="14" t="n">
        <f aca="false">IF(R92="RED",3,IF(R92="AMBER",2,IF(R92="YELLOW",1,0)))</f>
        <v>1</v>
      </c>
      <c r="T92" s="16" t="n">
        <f aca="false">MAX(0,T91*(1-Decay)+IF(I92="",0,MAX(0,I92-T_Comfort))-Recovery_Rate*MAX(0,T_Night-K92))</f>
        <v>27.1887666604092</v>
      </c>
      <c r="U92" s="14" t="n">
        <f aca="false">IF(T92&gt;Capacity,1,0)</f>
        <v>0</v>
      </c>
      <c r="V92" s="15" t="n">
        <f aca="false">1/(1+EXP(-Logistic_k*(T92-Capacity)))</f>
        <v>0.127673784626322</v>
      </c>
      <c r="W92" s="16" t="n">
        <f aca="false">IF(M92="",0,Beta*Pop_Share_Sel*(1-Sens_Red)*MAX(0,M92-T_Mort))</f>
        <v>2.66590126291619</v>
      </c>
      <c r="X92" s="16" t="n">
        <f aca="false">IF(ISNUMBER(F92),F92+Coef_B1*(Climate_Shift+G91),"")</f>
        <v>26.943831434555</v>
      </c>
      <c r="Y92" s="16" t="n">
        <f aca="false">IF(AND(ISNUMBER(X92),H92&lt;&gt;""),H92+Climate_Shift-X92,"")</f>
        <v>2.05616856544498</v>
      </c>
      <c r="Z92" s="16" t="n">
        <f aca="false">IF(ISNUMBER(Y92),ABS(Y92),"")</f>
        <v>2.05616856544498</v>
      </c>
      <c r="AA92" s="16" t="n">
        <f aca="false">IF(COUNT(Z86:Z92)=0,"",AVERAGE(Z86:Z92))</f>
        <v>4.66632579592936</v>
      </c>
      <c r="AB92" s="16" t="n">
        <f aca="false">IF(AD91=1,0,MAX(0,AB91+IF(ISNUMBER(Y92),Y92-CUSUM_k,0)))</f>
        <v>0</v>
      </c>
      <c r="AC92" s="16" t="n">
        <f aca="false">IF(AD91=1,0,MAX(0,AC91+IF(ISNUMBER(Y92),-Y92-CUSUM_k,0)))</f>
        <v>0</v>
      </c>
      <c r="AD92" s="17" t="n">
        <f aca="false">IF(OR(AB92&gt;CUSUM_h,AC92&gt;CUSUM_h,AND(ISNUMBER(AA92),AA92&gt;MAE_Tol)),1,0)</f>
        <v>1</v>
      </c>
      <c r="AE92" s="14" t="n">
        <f aca="false">IF(ISNUMBER(X92),IF(X92+Local_Sensing*UHI_Day_Eff&gt;=T_Day,1,0),0)</f>
        <v>0</v>
      </c>
      <c r="AF92" s="17" t="str">
        <f aca="false">IF(NOT(ISNUMBER(X92)),"n/a",IF(AND(AE92=1,N92=1),"Hit",IF(AND(AE92=0,N92=1),"Miss",IF(AND(AE92=1,N92=0),"False alarm","Correct quiet"))))</f>
        <v>Miss</v>
      </c>
      <c r="AG92" s="14" t="n">
        <f aca="false">IF(H92="",0,IF(H92+Climate_Shift&gt;=T_Day,1,0))</f>
        <v>1</v>
      </c>
      <c r="AH92" s="17" t="n">
        <f aca="false">IF(AND(N92=1,AG92=0),1,0)</f>
        <v>0</v>
      </c>
      <c r="AI92" s="17" t="str">
        <f aca="false">IF(U92=1,"ESCALATE: surge health &amp; transport capacity",IF(AD92=1,"Model drift: retrain, recalibrate, raise change request",IF(S92&gt;=2,"Activate heat plan: outreach and cooling centres",IF(AND(E92=1,OR(N92=1,O92=1)),"Data QA: verify sensor before acting",IF(AF92="Miss","Review missed alert: threshold or model",IF(AH92=1,"Equity: local alert not seen at reference station","Monitor"))))))</f>
        <v>Model drift: retrain, recalibrate, raise change request</v>
      </c>
      <c r="AN92" s="58" t="n">
        <f aca="false">T_Day</f>
        <v>28</v>
      </c>
      <c r="AO92" s="58" t="n">
        <f aca="false">Capacity</f>
        <v>40</v>
      </c>
      <c r="AP92" s="58" t="n">
        <f aca="false">CUSUM_h</f>
        <v>15</v>
      </c>
    </row>
    <row r="93" customFormat="false" ht="15" hidden="false" customHeight="false" outlineLevel="0" collapsed="false">
      <c r="A93" s="14" t="n">
        <v>85</v>
      </c>
      <c r="B93" s="14" t="n">
        <f aca="false">2+(SelYear-1979)*153+A93-1</f>
        <v>6665</v>
      </c>
      <c r="C93" s="55" t="n">
        <f aca="false">INDEX(Data_Heathrow!$A:$A,B93)</f>
        <v>44766</v>
      </c>
      <c r="D93" s="16" t="n">
        <f aca="false">INDEX(Data_Heathrow!$E:$E,B93)</f>
        <v>24.9</v>
      </c>
      <c r="E93" s="17" t="n">
        <f aca="false">INDEX(Data_Heathrow!$Q:$Q,B93)</f>
        <v>0</v>
      </c>
      <c r="F93" s="16" t="n">
        <f aca="false">INDEX(Data_Heathrow!$T:$T,B93)</f>
        <v>27.8011866944144</v>
      </c>
      <c r="G93" s="16" t="n">
        <f aca="false">IF(AND(Drift_Rate&lt;&gt;0,A93&gt;=Drift_Start),Drift_Rate*(A93-Drift_Start+1)/30,0)</f>
        <v>0</v>
      </c>
      <c r="H93" s="16" t="n">
        <f aca="false">IF(AND(E93=1,QA_Policy="Exclude suspect"),"",IF(AND(E93=1,QA_Policy="Impute with model",ISNUMBER(F93)),F93,D93)+G93)</f>
        <v>24.9</v>
      </c>
      <c r="I93" s="16" t="n">
        <f aca="false">IF(H93="","",H93+Climate_Shift+UHI_Day_Eff)</f>
        <v>26.9</v>
      </c>
      <c r="J93" s="16" t="n">
        <f aca="false">INDEX(Data_Heathrow!$G:$G,B93)</f>
        <v>17.9</v>
      </c>
      <c r="K93" s="16" t="n">
        <f aca="false">J93+Climate_Shift+UHI_Night_Eff</f>
        <v>21.9</v>
      </c>
      <c r="L93" s="16" t="n">
        <f aca="false">IF(INDEX(Data_Heathrow!$I:$I,B93)="","",INDEX(Data_Heathrow!$I:$I,B93))</f>
        <v>23.4</v>
      </c>
      <c r="M93" s="16" t="n">
        <f aca="false">IF(L93="","",L93+Climate_Shift+(UHI_Day_Eff+UHI_Night_Eff)/2)</f>
        <v>26.4</v>
      </c>
      <c r="N93" s="14" t="n">
        <f aca="false">IF(I93="",0,IF(I93&gt;=T_Day,1,0))</f>
        <v>0</v>
      </c>
      <c r="O93" s="14" t="n">
        <f aca="false">IF(K93&gt;=T_Night,1,0)</f>
        <v>1</v>
      </c>
      <c r="P93" s="14" t="n">
        <f aca="false">IF(N93=1,P92+1,0)</f>
        <v>0</v>
      </c>
      <c r="Q93" s="14" t="n">
        <f aca="false">IF(P93&gt;=HW_Days,1,0)</f>
        <v>0</v>
      </c>
      <c r="R93" s="17" t="str">
        <f aca="false">IF(AND(N93=1,I93&gt;=T_Red,O93=1),"RED",IF(AND(Q93=1,O93=1),"AMBER",IF(OR(N93=1,O93=1),"YELLOW","GREEN")))</f>
        <v>YELLOW</v>
      </c>
      <c r="S93" s="14" t="n">
        <f aca="false">IF(R93="RED",3,IF(R93="AMBER",2,IF(R93="YELLOW",1,0)))</f>
        <v>1</v>
      </c>
      <c r="T93" s="16" t="n">
        <f aca="false">MAX(0,T92*(1-Decay)+IF(I93="",0,MAX(0,I93-T_Comfort))-Recovery_Rate*MAX(0,T_Night-K93))</f>
        <v>23.6510133283274</v>
      </c>
      <c r="U93" s="14" t="n">
        <f aca="false">IF(T93&gt;Capacity,1,0)</f>
        <v>0</v>
      </c>
      <c r="V93" s="15" t="n">
        <f aca="false">1/(1+EXP(-Logistic_k*(T93-Capacity)))</f>
        <v>0.0792670138961275</v>
      </c>
      <c r="W93" s="16" t="n">
        <f aca="false">IF(M93="",0,Beta*Pop_Share_Sel*(1-Sens_Red)*MAX(0,M93-T_Mort))</f>
        <v>3.55453501722158</v>
      </c>
      <c r="X93" s="16" t="n">
        <f aca="false">IF(ISNUMBER(F93),F93+Coef_B1*(Climate_Shift+G92),"")</f>
        <v>27.8011866944144</v>
      </c>
      <c r="Y93" s="16" t="n">
        <f aca="false">IF(AND(ISNUMBER(X93),H93&lt;&gt;""),H93+Climate_Shift-X93,"")</f>
        <v>-2.90118669441437</v>
      </c>
      <c r="Z93" s="16" t="n">
        <f aca="false">IF(ISNUMBER(Y93),ABS(Y93),"")</f>
        <v>2.90118669441437</v>
      </c>
      <c r="AA93" s="16" t="n">
        <f aca="false">IF(COUNT(Z87:Z93)=0,"",AVERAGE(Z87:Z93))</f>
        <v>3.99129926342931</v>
      </c>
      <c r="AB93" s="16" t="n">
        <f aca="false">IF(AD92=1,0,MAX(0,AB92+IF(ISNUMBER(Y93),Y93-CUSUM_k,0)))</f>
        <v>0</v>
      </c>
      <c r="AC93" s="16" t="n">
        <f aca="false">IF(AD92=1,0,MAX(0,AC92+IF(ISNUMBER(Y93),-Y93-CUSUM_k,0)))</f>
        <v>0</v>
      </c>
      <c r="AD93" s="17" t="n">
        <f aca="false">IF(OR(AB93&gt;CUSUM_h,AC93&gt;CUSUM_h,AND(ISNUMBER(AA93),AA93&gt;MAE_Tol)),1,0)</f>
        <v>0</v>
      </c>
      <c r="AE93" s="14" t="n">
        <f aca="false">IF(ISNUMBER(X93),IF(X93+Local_Sensing*UHI_Day_Eff&gt;=T_Day,1,0),0)</f>
        <v>0</v>
      </c>
      <c r="AF93" s="17" t="str">
        <f aca="false">IF(NOT(ISNUMBER(X93)),"n/a",IF(AND(AE93=1,N93=1),"Hit",IF(AND(AE93=0,N93=1),"Miss",IF(AND(AE93=1,N93=0),"False alarm","Correct quiet"))))</f>
        <v>Correct quiet</v>
      </c>
      <c r="AG93" s="14" t="n">
        <f aca="false">IF(H93="",0,IF(H93+Climate_Shift&gt;=T_Day,1,0))</f>
        <v>0</v>
      </c>
      <c r="AH93" s="17" t="n">
        <f aca="false">IF(AND(N93=1,AG93=0),1,0)</f>
        <v>0</v>
      </c>
      <c r="AI93" s="17" t="str">
        <f aca="false">IF(U93=1,"ESCALATE: surge health &amp; transport capacity",IF(AD93=1,"Model drift: retrain, recalibrate, raise change request",IF(S93&gt;=2,"Activate heat plan: outreach and cooling centres",IF(AND(E93=1,OR(N93=1,O93=1)),"Data QA: verify sensor before acting",IF(AF93="Miss","Review missed alert: threshold or model",IF(AH93=1,"Equity: local alert not seen at reference station","Monitor"))))))</f>
        <v>Monitor</v>
      </c>
      <c r="AN93" s="58" t="n">
        <f aca="false">T_Day</f>
        <v>28</v>
      </c>
      <c r="AO93" s="58" t="n">
        <f aca="false">Capacity</f>
        <v>40</v>
      </c>
      <c r="AP93" s="58" t="n">
        <f aca="false">CUSUM_h</f>
        <v>15</v>
      </c>
    </row>
    <row r="94" customFormat="false" ht="15" hidden="false" customHeight="false" outlineLevel="0" collapsed="false">
      <c r="A94" s="14" t="n">
        <v>86</v>
      </c>
      <c r="B94" s="14" t="n">
        <f aca="false">2+(SelYear-1979)*153+A94-1</f>
        <v>6666</v>
      </c>
      <c r="C94" s="55" t="n">
        <f aca="false">INDEX(Data_Heathrow!$A:$A,B94)</f>
        <v>44767</v>
      </c>
      <c r="D94" s="16" t="n">
        <f aca="false">INDEX(Data_Heathrow!$E:$E,B94)</f>
        <v>22.8</v>
      </c>
      <c r="E94" s="17" t="n">
        <f aca="false">INDEX(Data_Heathrow!$Q:$Q,B94)</f>
        <v>0</v>
      </c>
      <c r="F94" s="16" t="n">
        <f aca="false">INDEX(Data_Heathrow!$T:$T,B94)</f>
        <v>24.2881835192329</v>
      </c>
      <c r="G94" s="16" t="n">
        <f aca="false">IF(AND(Drift_Rate&lt;&gt;0,A94&gt;=Drift_Start),Drift_Rate*(A94-Drift_Start+1)/30,0)</f>
        <v>0</v>
      </c>
      <c r="H94" s="16" t="n">
        <f aca="false">IF(AND(E94=1,QA_Policy="Exclude suspect"),"",IF(AND(E94=1,QA_Policy="Impute with model",ISNUMBER(F94)),F94,D94)+G94)</f>
        <v>22.8</v>
      </c>
      <c r="I94" s="16" t="n">
        <f aca="false">IF(H94="","",H94+Climate_Shift+UHI_Day_Eff)</f>
        <v>24.8</v>
      </c>
      <c r="J94" s="16" t="n">
        <f aca="false">INDEX(Data_Heathrow!$G:$G,B94)</f>
        <v>17.8</v>
      </c>
      <c r="K94" s="16" t="n">
        <f aca="false">J94+Climate_Shift+UHI_Night_Eff</f>
        <v>21.8</v>
      </c>
      <c r="L94" s="16" t="n">
        <f aca="false">IF(INDEX(Data_Heathrow!$I:$I,B94)="","",INDEX(Data_Heathrow!$I:$I,B94))</f>
        <v>21.4</v>
      </c>
      <c r="M94" s="16" t="n">
        <f aca="false">IF(L94="","",L94+Climate_Shift+(UHI_Day_Eff+UHI_Night_Eff)/2)</f>
        <v>24.4</v>
      </c>
      <c r="N94" s="14" t="n">
        <f aca="false">IF(I94="",0,IF(I94&gt;=T_Day,1,0))</f>
        <v>0</v>
      </c>
      <c r="O94" s="14" t="n">
        <f aca="false">IF(K94&gt;=T_Night,1,0)</f>
        <v>1</v>
      </c>
      <c r="P94" s="14" t="n">
        <f aca="false">IF(N94=1,P93+1,0)</f>
        <v>0</v>
      </c>
      <c r="Q94" s="14" t="n">
        <f aca="false">IF(P94&gt;=HW_Days,1,0)</f>
        <v>0</v>
      </c>
      <c r="R94" s="17" t="str">
        <f aca="false">IF(AND(N94=1,I94&gt;=T_Red,O94=1),"RED",IF(AND(Q94=1,O94=1),"AMBER",IF(OR(N94=1,O94=1),"YELLOW","GREEN")))</f>
        <v>YELLOW</v>
      </c>
      <c r="S94" s="14" t="n">
        <f aca="false">IF(R94="RED",3,IF(R94="AMBER",2,IF(R94="YELLOW",1,0)))</f>
        <v>1</v>
      </c>
      <c r="T94" s="16" t="n">
        <f aca="false">MAX(0,T93*(1-Decay)+IF(I94="",0,MAX(0,I94-T_Comfort))-Recovery_Rate*MAX(0,T_Night-K94))</f>
        <v>18.9208106626619</v>
      </c>
      <c r="U94" s="14" t="n">
        <f aca="false">IF(T94&gt;Capacity,1,0)</f>
        <v>0</v>
      </c>
      <c r="V94" s="15" t="n">
        <f aca="false">1/(1+EXP(-Logistic_k*(T94-Capacity)))</f>
        <v>0.0406257790910805</v>
      </c>
      <c r="W94" s="16" t="n">
        <f aca="false">IF(M94="",0,Beta*Pop_Share_Sel*(1-Sens_Red)*MAX(0,M94-T_Mort))</f>
        <v>2.44374282433984</v>
      </c>
      <c r="X94" s="16" t="n">
        <f aca="false">IF(ISNUMBER(F94),F94+Coef_B1*(Climate_Shift+G93),"")</f>
        <v>24.2881835192329</v>
      </c>
      <c r="Y94" s="16" t="n">
        <f aca="false">IF(AND(ISNUMBER(X94),H94&lt;&gt;""),H94+Climate_Shift-X94,"")</f>
        <v>-1.48818351923292</v>
      </c>
      <c r="Z94" s="16" t="n">
        <f aca="false">IF(ISNUMBER(Y94),ABS(Y94),"")</f>
        <v>1.48818351923292</v>
      </c>
      <c r="AA94" s="16" t="n">
        <f aca="false">IF(COUNT(Z88:Z94)=0,"",AVERAGE(Z88:Z94))</f>
        <v>3.4085151240041</v>
      </c>
      <c r="AB94" s="16" t="n">
        <f aca="false">IF(AD93=1,0,MAX(0,AB93+IF(ISNUMBER(Y94),Y94-CUSUM_k,0)))</f>
        <v>0</v>
      </c>
      <c r="AC94" s="16" t="n">
        <f aca="false">IF(AD93=1,0,MAX(0,AC93+IF(ISNUMBER(Y94),-Y94-CUSUM_k,0)))</f>
        <v>0.488183519232919</v>
      </c>
      <c r="AD94" s="17" t="n">
        <f aca="false">IF(OR(AB94&gt;CUSUM_h,AC94&gt;CUSUM_h,AND(ISNUMBER(AA94),AA94&gt;MAE_Tol)),1,0)</f>
        <v>0</v>
      </c>
      <c r="AE94" s="14" t="n">
        <f aca="false">IF(ISNUMBER(X94),IF(X94+Local_Sensing*UHI_Day_Eff&gt;=T_Day,1,0),0)</f>
        <v>0</v>
      </c>
      <c r="AF94" s="17" t="str">
        <f aca="false">IF(NOT(ISNUMBER(X94)),"n/a",IF(AND(AE94=1,N94=1),"Hit",IF(AND(AE94=0,N94=1),"Miss",IF(AND(AE94=1,N94=0),"False alarm","Correct quiet"))))</f>
        <v>Correct quiet</v>
      </c>
      <c r="AG94" s="14" t="n">
        <f aca="false">IF(H94="",0,IF(H94+Climate_Shift&gt;=T_Day,1,0))</f>
        <v>0</v>
      </c>
      <c r="AH94" s="17" t="n">
        <f aca="false">IF(AND(N94=1,AG94=0),1,0)</f>
        <v>0</v>
      </c>
      <c r="AI94" s="17" t="str">
        <f aca="false">IF(U94=1,"ESCALATE: surge health &amp; transport capacity",IF(AD94=1,"Model drift: retrain, recalibrate, raise change request",IF(S94&gt;=2,"Activate heat plan: outreach and cooling centres",IF(AND(E94=1,OR(N94=1,O94=1)),"Data QA: verify sensor before acting",IF(AF94="Miss","Review missed alert: threshold or model",IF(AH94=1,"Equity: local alert not seen at reference station","Monitor"))))))</f>
        <v>Monitor</v>
      </c>
      <c r="AN94" s="58" t="n">
        <f aca="false">T_Day</f>
        <v>28</v>
      </c>
      <c r="AO94" s="58" t="n">
        <f aca="false">Capacity</f>
        <v>40</v>
      </c>
      <c r="AP94" s="58" t="n">
        <f aca="false">CUSUM_h</f>
        <v>15</v>
      </c>
    </row>
    <row r="95" customFormat="false" ht="15" hidden="false" customHeight="false" outlineLevel="0" collapsed="false">
      <c r="A95" s="14" t="n">
        <v>87</v>
      </c>
      <c r="B95" s="14" t="n">
        <f aca="false">2+(SelYear-1979)*153+A95-1</f>
        <v>6667</v>
      </c>
      <c r="C95" s="55" t="n">
        <f aca="false">INDEX(Data_Heathrow!$A:$A,B95)</f>
        <v>44768</v>
      </c>
      <c r="D95" s="16" t="n">
        <f aca="false">INDEX(Data_Heathrow!$E:$E,B95)</f>
        <v>22.1</v>
      </c>
      <c r="E95" s="17" t="n">
        <f aca="false">INDEX(Data_Heathrow!$Q:$Q,B95)</f>
        <v>0</v>
      </c>
      <c r="F95" s="16" t="n">
        <f aca="false">INDEX(Data_Heathrow!$T:$T,B95)</f>
        <v>22.4765985194048</v>
      </c>
      <c r="G95" s="16" t="n">
        <f aca="false">IF(AND(Drift_Rate&lt;&gt;0,A95&gt;=Drift_Start),Drift_Rate*(A95-Drift_Start+1)/30,0)</f>
        <v>0</v>
      </c>
      <c r="H95" s="16" t="n">
        <f aca="false">IF(AND(E95=1,QA_Policy="Exclude suspect"),"",IF(AND(E95=1,QA_Policy="Impute with model",ISNUMBER(F95)),F95,D95)+G95)</f>
        <v>22.1</v>
      </c>
      <c r="I95" s="16" t="n">
        <f aca="false">IF(H95="","",H95+Climate_Shift+UHI_Day_Eff)</f>
        <v>24.1</v>
      </c>
      <c r="J95" s="16" t="n">
        <f aca="false">INDEX(Data_Heathrow!$G:$G,B95)</f>
        <v>15</v>
      </c>
      <c r="K95" s="16" t="n">
        <f aca="false">J95+Climate_Shift+UHI_Night_Eff</f>
        <v>19</v>
      </c>
      <c r="L95" s="16" t="n">
        <f aca="false">IF(INDEX(Data_Heathrow!$I:$I,B95)="","",INDEX(Data_Heathrow!$I:$I,B95))</f>
        <v>18.9</v>
      </c>
      <c r="M95" s="16" t="n">
        <f aca="false">IF(L95="","",L95+Climate_Shift+(UHI_Day_Eff+UHI_Night_Eff)/2)</f>
        <v>21.9</v>
      </c>
      <c r="N95" s="14" t="n">
        <f aca="false">IF(I95="",0,IF(I95&gt;=T_Day,1,0))</f>
        <v>0</v>
      </c>
      <c r="O95" s="14" t="n">
        <f aca="false">IF(K95&gt;=T_Night,1,0)</f>
        <v>1</v>
      </c>
      <c r="P95" s="14" t="n">
        <f aca="false">IF(N95=1,P94+1,0)</f>
        <v>0</v>
      </c>
      <c r="Q95" s="14" t="n">
        <f aca="false">IF(P95&gt;=HW_Days,1,0)</f>
        <v>0</v>
      </c>
      <c r="R95" s="17" t="str">
        <f aca="false">IF(AND(N95=1,I95&gt;=T_Red,O95=1),"RED",IF(AND(Q95=1,O95=1),"AMBER",IF(OR(N95=1,O95=1),"YELLOW","GREEN")))</f>
        <v>YELLOW</v>
      </c>
      <c r="S95" s="14" t="n">
        <f aca="false">IF(R95="RED",3,IF(R95="AMBER",2,IF(R95="YELLOW",1,0)))</f>
        <v>1</v>
      </c>
      <c r="T95" s="16" t="n">
        <f aca="false">MAX(0,T94*(1-Decay)+IF(I95="",0,MAX(0,I95-T_Comfort))-Recovery_Rate*MAX(0,T_Night-K95))</f>
        <v>15.1366485301295</v>
      </c>
      <c r="U95" s="14" t="n">
        <f aca="false">IF(T95&gt;Capacity,1,0)</f>
        <v>0</v>
      </c>
      <c r="V95" s="15" t="n">
        <f aca="false">1/(1+EXP(-Logistic_k*(T95-Capacity)))</f>
        <v>0.0234420489572656</v>
      </c>
      <c r="W95" s="16" t="n">
        <f aca="false">IF(M95="",0,Beta*Pop_Share_Sel*(1-Sens_Red)*MAX(0,M95-T_Mort))</f>
        <v>1.05525258323766</v>
      </c>
      <c r="X95" s="16" t="n">
        <f aca="false">IF(ISNUMBER(F95),F95+Coef_B1*(Climate_Shift+G94),"")</f>
        <v>22.4765985194048</v>
      </c>
      <c r="Y95" s="16" t="n">
        <f aca="false">IF(AND(ISNUMBER(X95),H95&lt;&gt;""),H95+Climate_Shift-X95,"")</f>
        <v>-0.376598519404766</v>
      </c>
      <c r="Z95" s="16" t="n">
        <f aca="false">IF(ISNUMBER(Y95),ABS(Y95),"")</f>
        <v>0.376598519404766</v>
      </c>
      <c r="AA95" s="16" t="n">
        <f aca="false">IF(COUNT(Z89:Z95)=0,"",AVERAGE(Z89:Z95))</f>
        <v>2.0632476833749</v>
      </c>
      <c r="AB95" s="16" t="n">
        <f aca="false">IF(AD94=1,0,MAX(0,AB94+IF(ISNUMBER(Y95),Y95-CUSUM_k,0)))</f>
        <v>0</v>
      </c>
      <c r="AC95" s="16" t="n">
        <f aca="false">IF(AD94=1,0,MAX(0,AC94+IF(ISNUMBER(Y95),-Y95-CUSUM_k,0)))</f>
        <v>0</v>
      </c>
      <c r="AD95" s="17" t="n">
        <f aca="false">IF(OR(AB95&gt;CUSUM_h,AC95&gt;CUSUM_h,AND(ISNUMBER(AA95),AA95&gt;MAE_Tol)),1,0)</f>
        <v>0</v>
      </c>
      <c r="AE95" s="14" t="n">
        <f aca="false">IF(ISNUMBER(X95),IF(X95+Local_Sensing*UHI_Day_Eff&gt;=T_Day,1,0),0)</f>
        <v>0</v>
      </c>
      <c r="AF95" s="17" t="str">
        <f aca="false">IF(NOT(ISNUMBER(X95)),"n/a",IF(AND(AE95=1,N95=1),"Hit",IF(AND(AE95=0,N95=1),"Miss",IF(AND(AE95=1,N95=0),"False alarm","Correct quiet"))))</f>
        <v>Correct quiet</v>
      </c>
      <c r="AG95" s="14" t="n">
        <f aca="false">IF(H95="",0,IF(H95+Climate_Shift&gt;=T_Day,1,0))</f>
        <v>0</v>
      </c>
      <c r="AH95" s="17" t="n">
        <f aca="false">IF(AND(N95=1,AG95=0),1,0)</f>
        <v>0</v>
      </c>
      <c r="AI95" s="17" t="str">
        <f aca="false">IF(U95=1,"ESCALATE: surge health &amp; transport capacity",IF(AD95=1,"Model drift: retrain, recalibrate, raise change request",IF(S95&gt;=2,"Activate heat plan: outreach and cooling centres",IF(AND(E95=1,OR(N95=1,O95=1)),"Data QA: verify sensor before acting",IF(AF95="Miss","Review missed alert: threshold or model",IF(AH95=1,"Equity: local alert not seen at reference station","Monitor"))))))</f>
        <v>Monitor</v>
      </c>
      <c r="AN95" s="58" t="n">
        <f aca="false">T_Day</f>
        <v>28</v>
      </c>
      <c r="AO95" s="58" t="n">
        <f aca="false">Capacity</f>
        <v>40</v>
      </c>
      <c r="AP95" s="58" t="n">
        <f aca="false">CUSUM_h</f>
        <v>15</v>
      </c>
    </row>
    <row r="96" customFormat="false" ht="15" hidden="false" customHeight="false" outlineLevel="0" collapsed="false">
      <c r="A96" s="14" t="n">
        <v>88</v>
      </c>
      <c r="B96" s="14" t="n">
        <f aca="false">2+(SelYear-1979)*153+A96-1</f>
        <v>6668</v>
      </c>
      <c r="C96" s="55" t="n">
        <f aca="false">INDEX(Data_Heathrow!$A:$A,B96)</f>
        <v>44769</v>
      </c>
      <c r="D96" s="16" t="n">
        <f aca="false">INDEX(Data_Heathrow!$E:$E,B96)</f>
        <v>25.2</v>
      </c>
      <c r="E96" s="17" t="n">
        <f aca="false">INDEX(Data_Heathrow!$Q:$Q,B96)</f>
        <v>0</v>
      </c>
      <c r="F96" s="16" t="n">
        <f aca="false">INDEX(Data_Heathrow!$T:$T,B96)</f>
        <v>22.1697051886638</v>
      </c>
      <c r="G96" s="16" t="n">
        <f aca="false">IF(AND(Drift_Rate&lt;&gt;0,A96&gt;=Drift_Start),Drift_Rate*(A96-Drift_Start+1)/30,0)</f>
        <v>0</v>
      </c>
      <c r="H96" s="16" t="n">
        <f aca="false">IF(AND(E96=1,QA_Policy="Exclude suspect"),"",IF(AND(E96=1,QA_Policy="Impute with model",ISNUMBER(F96)),F96,D96)+G96)</f>
        <v>25.2</v>
      </c>
      <c r="I96" s="16" t="n">
        <f aca="false">IF(H96="","",H96+Climate_Shift+UHI_Day_Eff)</f>
        <v>27.2</v>
      </c>
      <c r="J96" s="16" t="n">
        <f aca="false">INDEX(Data_Heathrow!$G:$G,B96)</f>
        <v>13.7</v>
      </c>
      <c r="K96" s="16" t="n">
        <f aca="false">J96+Climate_Shift+UHI_Night_Eff</f>
        <v>17.7</v>
      </c>
      <c r="L96" s="16" t="n">
        <f aca="false">IF(INDEX(Data_Heathrow!$I:$I,B96)="","",INDEX(Data_Heathrow!$I:$I,B96))</f>
        <v>17.9</v>
      </c>
      <c r="M96" s="16" t="n">
        <f aca="false">IF(L96="","",L96+Climate_Shift+(UHI_Day_Eff+UHI_Night_Eff)/2)</f>
        <v>20.9</v>
      </c>
      <c r="N96" s="14" t="n">
        <f aca="false">IF(I96="",0,IF(I96&gt;=T_Day,1,0))</f>
        <v>0</v>
      </c>
      <c r="O96" s="14" t="n">
        <f aca="false">IF(K96&gt;=T_Night,1,0)</f>
        <v>0</v>
      </c>
      <c r="P96" s="14" t="n">
        <f aca="false">IF(N96=1,P95+1,0)</f>
        <v>0</v>
      </c>
      <c r="Q96" s="14" t="n">
        <f aca="false">IF(P96&gt;=HW_Days,1,0)</f>
        <v>0</v>
      </c>
      <c r="R96" s="17" t="str">
        <f aca="false">IF(AND(N96=1,I96&gt;=T_Red,O96=1),"RED",IF(AND(Q96=1,O96=1),"AMBER",IF(OR(N96=1,O96=1),"YELLOW","GREEN")))</f>
        <v>GREEN</v>
      </c>
      <c r="S96" s="14" t="n">
        <f aca="false">IF(R96="RED",3,IF(R96="AMBER",2,IF(R96="YELLOW",1,0)))</f>
        <v>0</v>
      </c>
      <c r="T96" s="16" t="n">
        <f aca="false">MAX(0,T95*(1-Decay)+IF(I96="",0,MAX(0,I96-T_Comfort))-Recovery_Rate*MAX(0,T_Night-K96))</f>
        <v>14.1593188241036</v>
      </c>
      <c r="U96" s="14" t="n">
        <f aca="false">IF(T96&gt;Capacity,1,0)</f>
        <v>0</v>
      </c>
      <c r="V96" s="15" t="n">
        <f aca="false">1/(1+EXP(-Logistic_k*(T96-Capacity)))</f>
        <v>0.0203104107505378</v>
      </c>
      <c r="W96" s="16" t="n">
        <f aca="false">IF(M96="",0,Beta*Pop_Share_Sel*(1-Sens_Red)*MAX(0,M96-T_Mort))</f>
        <v>0.499856486796784</v>
      </c>
      <c r="X96" s="16" t="n">
        <f aca="false">IF(ISNUMBER(F96),F96+Coef_B1*(Climate_Shift+G95),"")</f>
        <v>22.1697051886638</v>
      </c>
      <c r="Y96" s="16" t="n">
        <f aca="false">IF(AND(ISNUMBER(X96),H96&lt;&gt;""),H96+Climate_Shift-X96,"")</f>
        <v>3.03029481133618</v>
      </c>
      <c r="Z96" s="16" t="n">
        <f aca="false">IF(ISNUMBER(Y96),ABS(Y96),"")</f>
        <v>3.03029481133618</v>
      </c>
      <c r="AA96" s="16" t="n">
        <f aca="false">IF(COUNT(Z90:Z96)=0,"",AVERAGE(Z90:Z96))</f>
        <v>2.22285253307629</v>
      </c>
      <c r="AB96" s="16" t="n">
        <f aca="false">IF(AD95=1,0,MAX(0,AB95+IF(ISNUMBER(Y96),Y96-CUSUM_k,0)))</f>
        <v>2.03029481133618</v>
      </c>
      <c r="AC96" s="16" t="n">
        <f aca="false">IF(AD95=1,0,MAX(0,AC95+IF(ISNUMBER(Y96),-Y96-CUSUM_k,0)))</f>
        <v>0</v>
      </c>
      <c r="AD96" s="17" t="n">
        <f aca="false">IF(OR(AB96&gt;CUSUM_h,AC96&gt;CUSUM_h,AND(ISNUMBER(AA96),AA96&gt;MAE_Tol)),1,0)</f>
        <v>0</v>
      </c>
      <c r="AE96" s="14" t="n">
        <f aca="false">IF(ISNUMBER(X96),IF(X96+Local_Sensing*UHI_Day_Eff&gt;=T_Day,1,0),0)</f>
        <v>0</v>
      </c>
      <c r="AF96" s="17" t="str">
        <f aca="false">IF(NOT(ISNUMBER(X96)),"n/a",IF(AND(AE96=1,N96=1),"Hit",IF(AND(AE96=0,N96=1),"Miss",IF(AND(AE96=1,N96=0),"False alarm","Correct quiet"))))</f>
        <v>Correct quiet</v>
      </c>
      <c r="AG96" s="14" t="n">
        <f aca="false">IF(H96="",0,IF(H96+Climate_Shift&gt;=T_Day,1,0))</f>
        <v>0</v>
      </c>
      <c r="AH96" s="17" t="n">
        <f aca="false">IF(AND(N96=1,AG96=0),1,0)</f>
        <v>0</v>
      </c>
      <c r="AI96" s="17" t="str">
        <f aca="false">IF(U96=1,"ESCALATE: surge health &amp; transport capacity",IF(AD96=1,"Model drift: retrain, recalibrate, raise change request",IF(S96&gt;=2,"Activate heat plan: outreach and cooling centres",IF(AND(E96=1,OR(N96=1,O96=1)),"Data QA: verify sensor before acting",IF(AF96="Miss","Review missed alert: threshold or model",IF(AH96=1,"Equity: local alert not seen at reference station","Monitor"))))))</f>
        <v>Monitor</v>
      </c>
      <c r="AN96" s="58" t="n">
        <f aca="false">T_Day</f>
        <v>28</v>
      </c>
      <c r="AO96" s="58" t="n">
        <f aca="false">Capacity</f>
        <v>40</v>
      </c>
      <c r="AP96" s="58" t="n">
        <f aca="false">CUSUM_h</f>
        <v>15</v>
      </c>
    </row>
    <row r="97" customFormat="false" ht="15" hidden="false" customHeight="false" outlineLevel="0" collapsed="false">
      <c r="A97" s="14" t="n">
        <v>89</v>
      </c>
      <c r="B97" s="14" t="n">
        <f aca="false">2+(SelYear-1979)*153+A97-1</f>
        <v>6669</v>
      </c>
      <c r="C97" s="55" t="n">
        <f aca="false">INDEX(Data_Heathrow!$A:$A,B97)</f>
        <v>44770</v>
      </c>
      <c r="D97" s="16" t="n">
        <f aca="false">INDEX(Data_Heathrow!$E:$E,B97)</f>
        <v>28.4</v>
      </c>
      <c r="E97" s="17" t="n">
        <f aca="false">INDEX(Data_Heathrow!$Q:$Q,B97)</f>
        <v>0</v>
      </c>
      <c r="F97" s="16" t="n">
        <f aca="false">INDEX(Data_Heathrow!$T:$T,B97)</f>
        <v>24.7347526028032</v>
      </c>
      <c r="G97" s="16" t="n">
        <f aca="false">IF(AND(Drift_Rate&lt;&gt;0,A97&gt;=Drift_Start),Drift_Rate*(A97-Drift_Start+1)/30,0)</f>
        <v>0</v>
      </c>
      <c r="H97" s="16" t="n">
        <f aca="false">IF(AND(E97=1,QA_Policy="Exclude suspect"),"",IF(AND(E97=1,QA_Policy="Impute with model",ISNUMBER(F97)),F97,D97)+G97)</f>
        <v>28.4</v>
      </c>
      <c r="I97" s="16" t="n">
        <f aca="false">IF(H97="","",H97+Climate_Shift+UHI_Day_Eff)</f>
        <v>30.4</v>
      </c>
      <c r="J97" s="16" t="n">
        <f aca="false">INDEX(Data_Heathrow!$G:$G,B97)</f>
        <v>15.5</v>
      </c>
      <c r="K97" s="16" t="n">
        <f aca="false">J97+Climate_Shift+UHI_Night_Eff</f>
        <v>19.5</v>
      </c>
      <c r="L97" s="16" t="n">
        <f aca="false">IF(INDEX(Data_Heathrow!$I:$I,B97)="","",INDEX(Data_Heathrow!$I:$I,B97))</f>
        <v>20.4</v>
      </c>
      <c r="M97" s="16" t="n">
        <f aca="false">IF(L97="","",L97+Climate_Shift+(UHI_Day_Eff+UHI_Night_Eff)/2)</f>
        <v>23.4</v>
      </c>
      <c r="N97" s="14" t="n">
        <f aca="false">IF(I97="",0,IF(I97&gt;=T_Day,1,0))</f>
        <v>1</v>
      </c>
      <c r="O97" s="14" t="n">
        <f aca="false">IF(K97&gt;=T_Night,1,0)</f>
        <v>1</v>
      </c>
      <c r="P97" s="14" t="n">
        <f aca="false">IF(N97=1,P96+1,0)</f>
        <v>1</v>
      </c>
      <c r="Q97" s="14" t="n">
        <f aca="false">IF(P97&gt;=HW_Days,1,0)</f>
        <v>0</v>
      </c>
      <c r="R97" s="17" t="str">
        <f aca="false">IF(AND(N97=1,I97&gt;=T_Red,O97=1),"RED",IF(AND(Q97=1,O97=1),"AMBER",IF(OR(N97=1,O97=1),"YELLOW","GREEN")))</f>
        <v>YELLOW</v>
      </c>
      <c r="S97" s="14" t="n">
        <f aca="false">IF(R97="RED",3,IF(R97="AMBER",2,IF(R97="YELLOW",1,0)))</f>
        <v>1</v>
      </c>
      <c r="T97" s="16" t="n">
        <f aca="false">MAX(0,T96*(1-Decay)+IF(I97="",0,MAX(0,I97-T_Comfort))-Recovery_Rate*MAX(0,T_Night-K97))</f>
        <v>16.7274550592829</v>
      </c>
      <c r="U97" s="14" t="n">
        <f aca="false">IF(T97&gt;Capacity,1,0)</f>
        <v>0</v>
      </c>
      <c r="V97" s="15" t="n">
        <f aca="false">1/(1+EXP(-Logistic_k*(T97-Capacity)))</f>
        <v>0.0295727892628863</v>
      </c>
      <c r="W97" s="16" t="n">
        <f aca="false">IF(M97="",0,Beta*Pop_Share_Sel*(1-Sens_Red)*MAX(0,M97-T_Mort))</f>
        <v>1.88834672789897</v>
      </c>
      <c r="X97" s="16" t="n">
        <f aca="false">IF(ISNUMBER(F97),F97+Coef_B1*(Climate_Shift+G96),"")</f>
        <v>24.7347526028032</v>
      </c>
      <c r="Y97" s="16" t="n">
        <f aca="false">IF(AND(ISNUMBER(X97),H97&lt;&gt;""),H97+Climate_Shift-X97,"")</f>
        <v>3.66524739719675</v>
      </c>
      <c r="Z97" s="16" t="n">
        <f aca="false">IF(ISNUMBER(Y97),ABS(Y97),"")</f>
        <v>3.66524739719675</v>
      </c>
      <c r="AA97" s="16" t="n">
        <f aca="false">IF(COUNT(Z91:Z97)=0,"",AVERAGE(Z91:Z97))</f>
        <v>2.6349560379852</v>
      </c>
      <c r="AB97" s="16" t="n">
        <f aca="false">IF(AD96=1,0,MAX(0,AB96+IF(ISNUMBER(Y97),Y97-CUSUM_k,0)))</f>
        <v>4.69554220853294</v>
      </c>
      <c r="AC97" s="16" t="n">
        <f aca="false">IF(AD96=1,0,MAX(0,AC96+IF(ISNUMBER(Y97),-Y97-CUSUM_k,0)))</f>
        <v>0</v>
      </c>
      <c r="AD97" s="17" t="n">
        <f aca="false">IF(OR(AB97&gt;CUSUM_h,AC97&gt;CUSUM_h,AND(ISNUMBER(AA97),AA97&gt;MAE_Tol)),1,0)</f>
        <v>0</v>
      </c>
      <c r="AE97" s="14" t="n">
        <f aca="false">IF(ISNUMBER(X97),IF(X97+Local_Sensing*UHI_Day_Eff&gt;=T_Day,1,0),0)</f>
        <v>0</v>
      </c>
      <c r="AF97" s="17" t="str">
        <f aca="false">IF(NOT(ISNUMBER(X97)),"n/a",IF(AND(AE97=1,N97=1),"Hit",IF(AND(AE97=0,N97=1),"Miss",IF(AND(AE97=1,N97=0),"False alarm","Correct quiet"))))</f>
        <v>Miss</v>
      </c>
      <c r="AG97" s="14" t="n">
        <f aca="false">IF(H97="",0,IF(H97+Climate_Shift&gt;=T_Day,1,0))</f>
        <v>1</v>
      </c>
      <c r="AH97" s="17" t="n">
        <f aca="false">IF(AND(N97=1,AG97=0),1,0)</f>
        <v>0</v>
      </c>
      <c r="AI97" s="17" t="str">
        <f aca="false">IF(U97=1,"ESCALATE: surge health &amp; transport capacity",IF(AD97=1,"Model drift: retrain, recalibrate, raise change request",IF(S97&gt;=2,"Activate heat plan: outreach and cooling centres",IF(AND(E97=1,OR(N97=1,O97=1)),"Data QA: verify sensor before acting",IF(AF97="Miss","Review missed alert: threshold or model",IF(AH97=1,"Equity: local alert not seen at reference station","Monitor"))))))</f>
        <v>Review missed alert: threshold or model</v>
      </c>
      <c r="AN97" s="58" t="n">
        <f aca="false">T_Day</f>
        <v>28</v>
      </c>
      <c r="AO97" s="58" t="n">
        <f aca="false">Capacity</f>
        <v>40</v>
      </c>
      <c r="AP97" s="58" t="n">
        <f aca="false">CUSUM_h</f>
        <v>15</v>
      </c>
    </row>
    <row r="98" customFormat="false" ht="15" hidden="false" customHeight="false" outlineLevel="0" collapsed="false">
      <c r="A98" s="14" t="n">
        <v>90</v>
      </c>
      <c r="B98" s="14" t="n">
        <f aca="false">2+(SelYear-1979)*153+A98-1</f>
        <v>6670</v>
      </c>
      <c r="C98" s="55" t="n">
        <f aca="false">INDEX(Data_Heathrow!$A:$A,B98)</f>
        <v>44771</v>
      </c>
      <c r="D98" s="16" t="n">
        <f aca="false">INDEX(Data_Heathrow!$E:$E,B98)</f>
        <v>27</v>
      </c>
      <c r="E98" s="17" t="n">
        <f aca="false">INDEX(Data_Heathrow!$Q:$Q,B98)</f>
        <v>0</v>
      </c>
      <c r="F98" s="16" t="n">
        <f aca="false">INDEX(Data_Heathrow!$T:$T,B98)</f>
        <v>27.271939305028</v>
      </c>
      <c r="G98" s="16" t="n">
        <f aca="false">IF(AND(Drift_Rate&lt;&gt;0,A98&gt;=Drift_Start),Drift_Rate*(A98-Drift_Start+1)/30,0)</f>
        <v>0</v>
      </c>
      <c r="H98" s="16" t="n">
        <f aca="false">IF(AND(E98=1,QA_Policy="Exclude suspect"),"",IF(AND(E98=1,QA_Policy="Impute with model",ISNUMBER(F98)),F98,D98)+G98)</f>
        <v>27</v>
      </c>
      <c r="I98" s="16" t="n">
        <f aca="false">IF(H98="","",H98+Climate_Shift+UHI_Day_Eff)</f>
        <v>29</v>
      </c>
      <c r="J98" s="16" t="n">
        <f aca="false">INDEX(Data_Heathrow!$G:$G,B98)</f>
        <v>14.4</v>
      </c>
      <c r="K98" s="16" t="n">
        <f aca="false">J98+Climate_Shift+UHI_Night_Eff</f>
        <v>18.4</v>
      </c>
      <c r="L98" s="16" t="n">
        <f aca="false">IF(INDEX(Data_Heathrow!$I:$I,B98)="","",INDEX(Data_Heathrow!$I:$I,B98))</f>
        <v>21.4</v>
      </c>
      <c r="M98" s="16" t="n">
        <f aca="false">IF(L98="","",L98+Climate_Shift+(UHI_Day_Eff+UHI_Night_Eff)/2)</f>
        <v>24.4</v>
      </c>
      <c r="N98" s="14" t="n">
        <f aca="false">IF(I98="",0,IF(I98&gt;=T_Day,1,0))</f>
        <v>1</v>
      </c>
      <c r="O98" s="14" t="n">
        <f aca="false">IF(K98&gt;=T_Night,1,0)</f>
        <v>1</v>
      </c>
      <c r="P98" s="14" t="n">
        <f aca="false">IF(N98=1,P97+1,0)</f>
        <v>2</v>
      </c>
      <c r="Q98" s="14" t="n">
        <f aca="false">IF(P98&gt;=HW_Days,1,0)</f>
        <v>0</v>
      </c>
      <c r="R98" s="17" t="str">
        <f aca="false">IF(AND(N98=1,I98&gt;=T_Red,O98=1),"RED",IF(AND(Q98=1,O98=1),"AMBER",IF(OR(N98=1,O98=1),"YELLOW","GREEN")))</f>
        <v>YELLOW</v>
      </c>
      <c r="S98" s="14" t="n">
        <f aca="false">IF(R98="RED",3,IF(R98="AMBER",2,IF(R98="YELLOW",1,0)))</f>
        <v>1</v>
      </c>
      <c r="T98" s="16" t="n">
        <f aca="false">MAX(0,T97*(1-Decay)+IF(I98="",0,MAX(0,I98-T_Comfort))-Recovery_Rate*MAX(0,T_Night-K98))</f>
        <v>17.3819640474263</v>
      </c>
      <c r="U98" s="14" t="n">
        <f aca="false">IF(T98&gt;Capacity,1,0)</f>
        <v>0</v>
      </c>
      <c r="V98" s="15" t="n">
        <f aca="false">1/(1+EXP(-Logistic_k*(T98-Capacity)))</f>
        <v>0.0325242186014589</v>
      </c>
      <c r="W98" s="16" t="n">
        <f aca="false">IF(M98="",0,Beta*Pop_Share_Sel*(1-Sens_Red)*MAX(0,M98-T_Mort))</f>
        <v>2.44374282433984</v>
      </c>
      <c r="X98" s="16" t="n">
        <f aca="false">IF(ISNUMBER(F98),F98+Coef_B1*(Climate_Shift+G97),"")</f>
        <v>27.271939305028</v>
      </c>
      <c r="Y98" s="16" t="n">
        <f aca="false">IF(AND(ISNUMBER(X98),H98&lt;&gt;""),H98+Climate_Shift-X98,"")</f>
        <v>-0.271939305027981</v>
      </c>
      <c r="Z98" s="16" t="n">
        <f aca="false">IF(ISNUMBER(Y98),ABS(Y98),"")</f>
        <v>0.271939305027981</v>
      </c>
      <c r="AA98" s="16" t="n">
        <f aca="false">IF(COUNT(Z92:Z98)=0,"",AVERAGE(Z92:Z98))</f>
        <v>1.96994554457971</v>
      </c>
      <c r="AB98" s="16" t="n">
        <f aca="false">IF(AD97=1,0,MAX(0,AB97+IF(ISNUMBER(Y98),Y98-CUSUM_k,0)))</f>
        <v>3.42360290350495</v>
      </c>
      <c r="AC98" s="16" t="n">
        <f aca="false">IF(AD97=1,0,MAX(0,AC97+IF(ISNUMBER(Y98),-Y98-CUSUM_k,0)))</f>
        <v>0</v>
      </c>
      <c r="AD98" s="17" t="n">
        <f aca="false">IF(OR(AB98&gt;CUSUM_h,AC98&gt;CUSUM_h,AND(ISNUMBER(AA98),AA98&gt;MAE_Tol)),1,0)</f>
        <v>0</v>
      </c>
      <c r="AE98" s="14" t="n">
        <f aca="false">IF(ISNUMBER(X98),IF(X98+Local_Sensing*UHI_Day_Eff&gt;=T_Day,1,0),0)</f>
        <v>0</v>
      </c>
      <c r="AF98" s="17" t="str">
        <f aca="false">IF(NOT(ISNUMBER(X98)),"n/a",IF(AND(AE98=1,N98=1),"Hit",IF(AND(AE98=0,N98=1),"Miss",IF(AND(AE98=1,N98=0),"False alarm","Correct quiet"))))</f>
        <v>Miss</v>
      </c>
      <c r="AG98" s="14" t="n">
        <f aca="false">IF(H98="",0,IF(H98+Climate_Shift&gt;=T_Day,1,0))</f>
        <v>0</v>
      </c>
      <c r="AH98" s="17" t="n">
        <f aca="false">IF(AND(N98=1,AG98=0),1,0)</f>
        <v>1</v>
      </c>
      <c r="AI98" s="17" t="str">
        <f aca="false">IF(U98=1,"ESCALATE: surge health &amp; transport capacity",IF(AD98=1,"Model drift: retrain, recalibrate, raise change request",IF(S98&gt;=2,"Activate heat plan: outreach and cooling centres",IF(AND(E98=1,OR(N98=1,O98=1)),"Data QA: verify sensor before acting",IF(AF98="Miss","Review missed alert: threshold or model",IF(AH98=1,"Equity: local alert not seen at reference station","Monitor"))))))</f>
        <v>Review missed alert: threshold or model</v>
      </c>
      <c r="AN98" s="58" t="n">
        <f aca="false">T_Day</f>
        <v>28</v>
      </c>
      <c r="AO98" s="58" t="n">
        <f aca="false">Capacity</f>
        <v>40</v>
      </c>
      <c r="AP98" s="58" t="n">
        <f aca="false">CUSUM_h</f>
        <v>15</v>
      </c>
    </row>
    <row r="99" customFormat="false" ht="15" hidden="false" customHeight="false" outlineLevel="0" collapsed="false">
      <c r="A99" s="14" t="n">
        <v>91</v>
      </c>
      <c r="B99" s="14" t="n">
        <f aca="false">2+(SelYear-1979)*153+A99-1</f>
        <v>6671</v>
      </c>
      <c r="C99" s="55" t="n">
        <f aca="false">INDEX(Data_Heathrow!$A:$A,B99)</f>
        <v>44772</v>
      </c>
      <c r="D99" s="16" t="n">
        <f aca="false">INDEX(Data_Heathrow!$E:$E,B99)</f>
        <v>27.6</v>
      </c>
      <c r="E99" s="17" t="n">
        <f aca="false">INDEX(Data_Heathrow!$Q:$Q,B99)</f>
        <v>0</v>
      </c>
      <c r="F99" s="16" t="n">
        <f aca="false">INDEX(Data_Heathrow!$T:$T,B99)</f>
        <v>26.1562343294023</v>
      </c>
      <c r="G99" s="16" t="n">
        <f aca="false">IF(AND(Drift_Rate&lt;&gt;0,A99&gt;=Drift_Start),Drift_Rate*(A99-Drift_Start+1)/30,0)</f>
        <v>0</v>
      </c>
      <c r="H99" s="16" t="n">
        <f aca="false">IF(AND(E99=1,QA_Policy="Exclude suspect"),"",IF(AND(E99=1,QA_Policy="Impute with model",ISNUMBER(F99)),F99,D99)+G99)</f>
        <v>27.6</v>
      </c>
      <c r="I99" s="16" t="n">
        <f aca="false">IF(H99="","",H99+Climate_Shift+UHI_Day_Eff)</f>
        <v>29.6</v>
      </c>
      <c r="J99" s="16" t="n">
        <f aca="false">INDEX(Data_Heathrow!$G:$G,B99)</f>
        <v>15.9</v>
      </c>
      <c r="K99" s="16" t="n">
        <f aca="false">J99+Climate_Shift+UHI_Night_Eff</f>
        <v>19.9</v>
      </c>
      <c r="L99" s="16" t="n">
        <f aca="false">IF(INDEX(Data_Heathrow!$I:$I,B99)="","",INDEX(Data_Heathrow!$I:$I,B99))</f>
        <v>21.4</v>
      </c>
      <c r="M99" s="16" t="n">
        <f aca="false">IF(L99="","",L99+Climate_Shift+(UHI_Day_Eff+UHI_Night_Eff)/2)</f>
        <v>24.4</v>
      </c>
      <c r="N99" s="14" t="n">
        <f aca="false">IF(I99="",0,IF(I99&gt;=T_Day,1,0))</f>
        <v>1</v>
      </c>
      <c r="O99" s="14" t="n">
        <f aca="false">IF(K99&gt;=T_Night,1,0)</f>
        <v>1</v>
      </c>
      <c r="P99" s="14" t="n">
        <f aca="false">IF(N99=1,P98+1,0)</f>
        <v>3</v>
      </c>
      <c r="Q99" s="14" t="n">
        <f aca="false">IF(P99&gt;=HW_Days,1,0)</f>
        <v>1</v>
      </c>
      <c r="R99" s="17" t="str">
        <f aca="false">IF(AND(N99=1,I99&gt;=T_Red,O99=1),"RED",IF(AND(Q99=1,O99=1),"AMBER",IF(OR(N99=1,O99=1),"YELLOW","GREEN")))</f>
        <v>AMBER</v>
      </c>
      <c r="S99" s="14" t="n">
        <f aca="false">IF(R99="RED",3,IF(R99="AMBER",2,IF(R99="YELLOW",1,0)))</f>
        <v>2</v>
      </c>
      <c r="T99" s="16" t="n">
        <f aca="false">MAX(0,T98*(1-Decay)+IF(I99="",0,MAX(0,I99-T_Comfort))-Recovery_Rate*MAX(0,T_Night-K99))</f>
        <v>18.5055712379411</v>
      </c>
      <c r="U99" s="14" t="n">
        <f aca="false">IF(T99&gt;Capacity,1,0)</f>
        <v>0</v>
      </c>
      <c r="V99" s="15" t="n">
        <f aca="false">1/(1+EXP(-Logistic_k*(T99-Capacity)))</f>
        <v>0.03826643490229</v>
      </c>
      <c r="W99" s="16" t="n">
        <f aca="false">IF(M99="",0,Beta*Pop_Share_Sel*(1-Sens_Red)*MAX(0,M99-T_Mort))</f>
        <v>2.44374282433984</v>
      </c>
      <c r="X99" s="16" t="n">
        <f aca="false">IF(ISNUMBER(F99),F99+Coef_B1*(Climate_Shift+G98),"")</f>
        <v>26.1562343294023</v>
      </c>
      <c r="Y99" s="16" t="n">
        <f aca="false">IF(AND(ISNUMBER(X99),H99&lt;&gt;""),H99+Climate_Shift-X99,"")</f>
        <v>1.44376567059775</v>
      </c>
      <c r="Z99" s="16" t="n">
        <f aca="false">IF(ISNUMBER(Y99),ABS(Y99),"")</f>
        <v>1.44376567059775</v>
      </c>
      <c r="AA99" s="16" t="n">
        <f aca="false">IF(COUNT(Z93:Z99)=0,"",AVERAGE(Z93:Z99))</f>
        <v>1.88245941674439</v>
      </c>
      <c r="AB99" s="16" t="n">
        <f aca="false">IF(AD98=1,0,MAX(0,AB98+IF(ISNUMBER(Y99),Y99-CUSUM_k,0)))</f>
        <v>3.86736857410271</v>
      </c>
      <c r="AC99" s="16" t="n">
        <f aca="false">IF(AD98=1,0,MAX(0,AC98+IF(ISNUMBER(Y99),-Y99-CUSUM_k,0)))</f>
        <v>0</v>
      </c>
      <c r="AD99" s="17" t="n">
        <f aca="false">IF(OR(AB99&gt;CUSUM_h,AC99&gt;CUSUM_h,AND(ISNUMBER(AA99),AA99&gt;MAE_Tol)),1,0)</f>
        <v>0</v>
      </c>
      <c r="AE99" s="14" t="n">
        <f aca="false">IF(ISNUMBER(X99),IF(X99+Local_Sensing*UHI_Day_Eff&gt;=T_Day,1,0),0)</f>
        <v>0</v>
      </c>
      <c r="AF99" s="17" t="str">
        <f aca="false">IF(NOT(ISNUMBER(X99)),"n/a",IF(AND(AE99=1,N99=1),"Hit",IF(AND(AE99=0,N99=1),"Miss",IF(AND(AE99=1,N99=0),"False alarm","Correct quiet"))))</f>
        <v>Miss</v>
      </c>
      <c r="AG99" s="14" t="n">
        <f aca="false">IF(H99="",0,IF(H99+Climate_Shift&gt;=T_Day,1,0))</f>
        <v>0</v>
      </c>
      <c r="AH99" s="17" t="n">
        <f aca="false">IF(AND(N99=1,AG99=0),1,0)</f>
        <v>1</v>
      </c>
      <c r="AI99" s="17" t="str">
        <f aca="false">IF(U99=1,"ESCALATE: surge health &amp; transport capacity",IF(AD99=1,"Model drift: retrain, recalibrate, raise change request",IF(S99&gt;=2,"Activate heat plan: outreach and cooling centres",IF(AND(E99=1,OR(N99=1,O99=1)),"Data QA: verify sensor before acting",IF(AF99="Miss","Review missed alert: threshold or model",IF(AH99=1,"Equity: local alert not seen at reference station","Monitor"))))))</f>
        <v>Activate heat plan: outreach and cooling centres</v>
      </c>
      <c r="AN99" s="58" t="n">
        <f aca="false">T_Day</f>
        <v>28</v>
      </c>
      <c r="AO99" s="58" t="n">
        <f aca="false">Capacity</f>
        <v>40</v>
      </c>
      <c r="AP99" s="58" t="n">
        <f aca="false">CUSUM_h</f>
        <v>15</v>
      </c>
    </row>
    <row r="100" customFormat="false" ht="15" hidden="false" customHeight="false" outlineLevel="0" collapsed="false">
      <c r="A100" s="14" t="n">
        <v>92</v>
      </c>
      <c r="B100" s="14" t="n">
        <f aca="false">2+(SelYear-1979)*153+A100-1</f>
        <v>6672</v>
      </c>
      <c r="C100" s="55" t="n">
        <f aca="false">INDEX(Data_Heathrow!$A:$A,B100)</f>
        <v>44773</v>
      </c>
      <c r="D100" s="16" t="n">
        <f aca="false">INDEX(Data_Heathrow!$E:$E,B100)</f>
        <v>27.8</v>
      </c>
      <c r="E100" s="17" t="n">
        <f aca="false">INDEX(Data_Heathrow!$Q:$Q,B100)</f>
        <v>0</v>
      </c>
      <c r="F100" s="16" t="n">
        <f aca="false">INDEX(Data_Heathrow!$T:$T,B100)</f>
        <v>26.6415638663011</v>
      </c>
      <c r="G100" s="16" t="n">
        <f aca="false">IF(AND(Drift_Rate&lt;&gt;0,A100&gt;=Drift_Start),Drift_Rate*(A100-Drift_Start+1)/30,0)</f>
        <v>0</v>
      </c>
      <c r="H100" s="16" t="n">
        <f aca="false">IF(AND(E100=1,QA_Policy="Exclude suspect"),"",IF(AND(E100=1,QA_Policy="Impute with model",ISNUMBER(F100)),F100,D100)+G100)</f>
        <v>27.8</v>
      </c>
      <c r="I100" s="16" t="n">
        <f aca="false">IF(H100="","",H100+Climate_Shift+UHI_Day_Eff)</f>
        <v>29.8</v>
      </c>
      <c r="J100" s="16" t="n">
        <f aca="false">INDEX(Data_Heathrow!$G:$G,B100)</f>
        <v>19.8</v>
      </c>
      <c r="K100" s="16" t="n">
        <f aca="false">J100+Climate_Shift+UHI_Night_Eff</f>
        <v>23.8</v>
      </c>
      <c r="L100" s="16" t="n">
        <f aca="false">IF(INDEX(Data_Heathrow!$I:$I,B100)="","",INDEX(Data_Heathrow!$I:$I,B100))</f>
        <v>23.7</v>
      </c>
      <c r="M100" s="16" t="n">
        <f aca="false">IF(L100="","",L100+Climate_Shift+(UHI_Day_Eff+UHI_Night_Eff)/2)</f>
        <v>26.7</v>
      </c>
      <c r="N100" s="14" t="n">
        <f aca="false">IF(I100="",0,IF(I100&gt;=T_Day,1,0))</f>
        <v>1</v>
      </c>
      <c r="O100" s="14" t="n">
        <f aca="false">IF(K100&gt;=T_Night,1,0)</f>
        <v>1</v>
      </c>
      <c r="P100" s="14" t="n">
        <f aca="false">IF(N100=1,P99+1,0)</f>
        <v>4</v>
      </c>
      <c r="Q100" s="14" t="n">
        <f aca="false">IF(P100&gt;=HW_Days,1,0)</f>
        <v>1</v>
      </c>
      <c r="R100" s="17" t="str">
        <f aca="false">IF(AND(N100=1,I100&gt;=T_Red,O100=1),"RED",IF(AND(Q100=1,O100=1),"AMBER",IF(OR(N100=1,O100=1),"YELLOW","GREEN")))</f>
        <v>AMBER</v>
      </c>
      <c r="S100" s="14" t="n">
        <f aca="false">IF(R100="RED",3,IF(R100="AMBER",2,IF(R100="YELLOW",1,0)))</f>
        <v>2</v>
      </c>
      <c r="T100" s="16" t="n">
        <f aca="false">MAX(0,T99*(1-Decay)+IF(I100="",0,MAX(0,I100-T_Comfort))-Recovery_Rate*MAX(0,T_Night-K100))</f>
        <v>19.6044569903528</v>
      </c>
      <c r="U100" s="14" t="n">
        <f aca="false">IF(T100&gt;Capacity,1,0)</f>
        <v>0</v>
      </c>
      <c r="V100" s="15" t="n">
        <f aca="false">1/(1+EXP(-Logistic_k*(T100-Capacity)))</f>
        <v>0.0448163134426509</v>
      </c>
      <c r="W100" s="16" t="n">
        <f aca="false">IF(M100="",0,Beta*Pop_Share_Sel*(1-Sens_Red)*MAX(0,M100-T_Mort))</f>
        <v>3.72115384615385</v>
      </c>
      <c r="X100" s="16" t="n">
        <f aca="false">IF(ISNUMBER(F100),F100+Coef_B1*(Climate_Shift+G99),"")</f>
        <v>26.6415638663011</v>
      </c>
      <c r="Y100" s="16" t="n">
        <f aca="false">IF(AND(ISNUMBER(X100),H100&lt;&gt;""),H100+Climate_Shift-X100,"")</f>
        <v>1.15843613369895</v>
      </c>
      <c r="Z100" s="16" t="n">
        <f aca="false">IF(ISNUMBER(Y100),ABS(Y100),"")</f>
        <v>1.15843613369895</v>
      </c>
      <c r="AA100" s="16" t="n">
        <f aca="false">IF(COUNT(Z94:Z100)=0,"",AVERAGE(Z94:Z100))</f>
        <v>1.6334950509279</v>
      </c>
      <c r="AB100" s="16" t="n">
        <f aca="false">IF(AD99=1,0,MAX(0,AB99+IF(ISNUMBER(Y100),Y100-CUSUM_k,0)))</f>
        <v>4.02580470780166</v>
      </c>
      <c r="AC100" s="16" t="n">
        <f aca="false">IF(AD99=1,0,MAX(0,AC99+IF(ISNUMBER(Y100),-Y100-CUSUM_k,0)))</f>
        <v>0</v>
      </c>
      <c r="AD100" s="17" t="n">
        <f aca="false">IF(OR(AB100&gt;CUSUM_h,AC100&gt;CUSUM_h,AND(ISNUMBER(AA100),AA100&gt;MAE_Tol)),1,0)</f>
        <v>0</v>
      </c>
      <c r="AE100" s="14" t="n">
        <f aca="false">IF(ISNUMBER(X100),IF(X100+Local_Sensing*UHI_Day_Eff&gt;=T_Day,1,0),0)</f>
        <v>0</v>
      </c>
      <c r="AF100" s="17" t="str">
        <f aca="false">IF(NOT(ISNUMBER(X100)),"n/a",IF(AND(AE100=1,N100=1),"Hit",IF(AND(AE100=0,N100=1),"Miss",IF(AND(AE100=1,N100=0),"False alarm","Correct quiet"))))</f>
        <v>Miss</v>
      </c>
      <c r="AG100" s="14" t="n">
        <f aca="false">IF(H100="",0,IF(H100+Climate_Shift&gt;=T_Day,1,0))</f>
        <v>0</v>
      </c>
      <c r="AH100" s="17" t="n">
        <f aca="false">IF(AND(N100=1,AG100=0),1,0)</f>
        <v>1</v>
      </c>
      <c r="AI100" s="17" t="str">
        <f aca="false">IF(U100=1,"ESCALATE: surge health &amp; transport capacity",IF(AD100=1,"Model drift: retrain, recalibrate, raise change request",IF(S100&gt;=2,"Activate heat plan: outreach and cooling centres",IF(AND(E100=1,OR(N100=1,O100=1)),"Data QA: verify sensor before acting",IF(AF100="Miss","Review missed alert: threshold or model",IF(AH100=1,"Equity: local alert not seen at reference station","Monitor"))))))</f>
        <v>Activate heat plan: outreach and cooling centres</v>
      </c>
      <c r="AN100" s="58" t="n">
        <f aca="false">T_Day</f>
        <v>28</v>
      </c>
      <c r="AO100" s="58" t="n">
        <f aca="false">Capacity</f>
        <v>40</v>
      </c>
      <c r="AP100" s="58" t="n">
        <f aca="false">CUSUM_h</f>
        <v>15</v>
      </c>
    </row>
    <row r="101" customFormat="false" ht="15" hidden="false" customHeight="false" outlineLevel="0" collapsed="false">
      <c r="A101" s="14" t="n">
        <v>93</v>
      </c>
      <c r="B101" s="14" t="n">
        <f aca="false">2+(SelYear-1979)*153+A101-1</f>
        <v>6673</v>
      </c>
      <c r="C101" s="55" t="n">
        <f aca="false">INDEX(Data_Heathrow!$A:$A,B101)</f>
        <v>44774</v>
      </c>
      <c r="D101" s="16" t="n">
        <f aca="false">INDEX(Data_Heathrow!$E:$E,B101)</f>
        <v>26.9</v>
      </c>
      <c r="E101" s="17" t="n">
        <f aca="false">INDEX(Data_Heathrow!$Q:$Q,B101)</f>
        <v>0</v>
      </c>
      <c r="F101" s="16" t="n">
        <f aca="false">INDEX(Data_Heathrow!$T:$T,B101)</f>
        <v>26.7426919156416</v>
      </c>
      <c r="G101" s="16" t="n">
        <f aca="false">IF(AND(Drift_Rate&lt;&gt;0,A101&gt;=Drift_Start),Drift_Rate*(A101-Drift_Start+1)/30,0)</f>
        <v>0</v>
      </c>
      <c r="H101" s="16" t="n">
        <f aca="false">IF(AND(E101=1,QA_Policy="Exclude suspect"),"",IF(AND(E101=1,QA_Policy="Impute with model",ISNUMBER(F101)),F101,D101)+G101)</f>
        <v>26.9</v>
      </c>
      <c r="I101" s="16" t="n">
        <f aca="false">IF(H101="","",H101+Climate_Shift+UHI_Day_Eff)</f>
        <v>28.9</v>
      </c>
      <c r="J101" s="16" t="n">
        <f aca="false">INDEX(Data_Heathrow!$G:$G,B101)</f>
        <v>18.1</v>
      </c>
      <c r="K101" s="16" t="n">
        <f aca="false">J101+Climate_Shift+UHI_Night_Eff</f>
        <v>22.1</v>
      </c>
      <c r="L101" s="16" t="n">
        <f aca="false">IF(INDEX(Data_Heathrow!$I:$I,B101)="","",INDEX(Data_Heathrow!$I:$I,B101))</f>
        <v>22.9</v>
      </c>
      <c r="M101" s="16" t="n">
        <f aca="false">IF(L101="","",L101+Climate_Shift+(UHI_Day_Eff+UHI_Night_Eff)/2)</f>
        <v>25.9</v>
      </c>
      <c r="N101" s="14" t="n">
        <f aca="false">IF(I101="",0,IF(I101&gt;=T_Day,1,0))</f>
        <v>1</v>
      </c>
      <c r="O101" s="14" t="n">
        <f aca="false">IF(K101&gt;=T_Night,1,0)</f>
        <v>1</v>
      </c>
      <c r="P101" s="14" t="n">
        <f aca="false">IF(N101=1,P100+1,0)</f>
        <v>5</v>
      </c>
      <c r="Q101" s="14" t="n">
        <f aca="false">IF(P101&gt;=HW_Days,1,0)</f>
        <v>1</v>
      </c>
      <c r="R101" s="17" t="str">
        <f aca="false">IF(AND(N101=1,I101&gt;=T_Red,O101=1),"RED",IF(AND(Q101=1,O101=1),"AMBER",IF(OR(N101=1,O101=1),"YELLOW","GREEN")))</f>
        <v>AMBER</v>
      </c>
      <c r="S101" s="14" t="n">
        <f aca="false">IF(R101="RED",3,IF(R101="AMBER",2,IF(R101="YELLOW",1,0)))</f>
        <v>2</v>
      </c>
      <c r="T101" s="16" t="n">
        <f aca="false">MAX(0,T100*(1-Decay)+IF(I101="",0,MAX(0,I101-T_Comfort))-Recovery_Rate*MAX(0,T_Night-K101))</f>
        <v>19.5835655922823</v>
      </c>
      <c r="U101" s="14" t="n">
        <f aca="false">IF(T101&gt;Capacity,1,0)</f>
        <v>0</v>
      </c>
      <c r="V101" s="15" t="n">
        <f aca="false">1/(1+EXP(-Logistic_k*(T101-Capacity)))</f>
        <v>0.0446823573744608</v>
      </c>
      <c r="W101" s="16" t="n">
        <f aca="false">IF(M101="",0,Beta*Pop_Share_Sel*(1-Sens_Red)*MAX(0,M101-T_Mort))</f>
        <v>3.27683696900115</v>
      </c>
      <c r="X101" s="16" t="n">
        <f aca="false">IF(ISNUMBER(F101),F101+Coef_B1*(Climate_Shift+G100),"")</f>
        <v>26.7426919156416</v>
      </c>
      <c r="Y101" s="16" t="n">
        <f aca="false">IF(AND(ISNUMBER(X101),H101&lt;&gt;""),H101+Climate_Shift-X101,"")</f>
        <v>0.157308084358398</v>
      </c>
      <c r="Z101" s="16" t="n">
        <f aca="false">IF(ISNUMBER(Y101),ABS(Y101),"")</f>
        <v>0.157308084358398</v>
      </c>
      <c r="AA101" s="16" t="n">
        <f aca="false">IF(COUNT(Z95:Z101)=0,"",AVERAGE(Z95:Z101))</f>
        <v>1.44336998880297</v>
      </c>
      <c r="AB101" s="16" t="n">
        <f aca="false">IF(AD100=1,0,MAX(0,AB100+IF(ISNUMBER(Y101),Y101-CUSUM_k,0)))</f>
        <v>3.18311279216005</v>
      </c>
      <c r="AC101" s="16" t="n">
        <f aca="false">IF(AD100=1,0,MAX(0,AC100+IF(ISNUMBER(Y101),-Y101-CUSUM_k,0)))</f>
        <v>0</v>
      </c>
      <c r="AD101" s="17" t="n">
        <f aca="false">IF(OR(AB101&gt;CUSUM_h,AC101&gt;CUSUM_h,AND(ISNUMBER(AA101),AA101&gt;MAE_Tol)),1,0)</f>
        <v>0</v>
      </c>
      <c r="AE101" s="14" t="n">
        <f aca="false">IF(ISNUMBER(X101),IF(X101+Local_Sensing*UHI_Day_Eff&gt;=T_Day,1,0),0)</f>
        <v>0</v>
      </c>
      <c r="AF101" s="17" t="str">
        <f aca="false">IF(NOT(ISNUMBER(X101)),"n/a",IF(AND(AE101=1,N101=1),"Hit",IF(AND(AE101=0,N101=1),"Miss",IF(AND(AE101=1,N101=0),"False alarm","Correct quiet"))))</f>
        <v>Miss</v>
      </c>
      <c r="AG101" s="14" t="n">
        <f aca="false">IF(H101="",0,IF(H101+Climate_Shift&gt;=T_Day,1,0))</f>
        <v>0</v>
      </c>
      <c r="AH101" s="17" t="n">
        <f aca="false">IF(AND(N101=1,AG101=0),1,0)</f>
        <v>1</v>
      </c>
      <c r="AI101" s="17" t="str">
        <f aca="false">IF(U101=1,"ESCALATE: surge health &amp; transport capacity",IF(AD101=1,"Model drift: retrain, recalibrate, raise change request",IF(S101&gt;=2,"Activate heat plan: outreach and cooling centres",IF(AND(E101=1,OR(N101=1,O101=1)),"Data QA: verify sensor before acting",IF(AF101="Miss","Review missed alert: threshold or model",IF(AH101=1,"Equity: local alert not seen at reference station","Monitor"))))))</f>
        <v>Activate heat plan: outreach and cooling centres</v>
      </c>
      <c r="AN101" s="58" t="n">
        <f aca="false">T_Day</f>
        <v>28</v>
      </c>
      <c r="AO101" s="58" t="n">
        <f aca="false">Capacity</f>
        <v>40</v>
      </c>
      <c r="AP101" s="58" t="n">
        <f aca="false">CUSUM_h</f>
        <v>15</v>
      </c>
    </row>
    <row r="102" customFormat="false" ht="15" hidden="false" customHeight="false" outlineLevel="0" collapsed="false">
      <c r="A102" s="14" t="n">
        <v>94</v>
      </c>
      <c r="B102" s="14" t="n">
        <f aca="false">2+(SelYear-1979)*153+A102-1</f>
        <v>6674</v>
      </c>
      <c r="C102" s="55" t="n">
        <f aca="false">INDEX(Data_Heathrow!$A:$A,B102)</f>
        <v>44775</v>
      </c>
      <c r="D102" s="16" t="n">
        <f aca="false">INDEX(Data_Heathrow!$E:$E,B102)</f>
        <v>27.2</v>
      </c>
      <c r="E102" s="17" t="n">
        <f aca="false">INDEX(Data_Heathrow!$Q:$Q,B102)</f>
        <v>0</v>
      </c>
      <c r="F102" s="16" t="n">
        <f aca="false">INDEX(Data_Heathrow!$T:$T,B102)</f>
        <v>26.0617524522444</v>
      </c>
      <c r="G102" s="16" t="n">
        <f aca="false">IF(AND(Drift_Rate&lt;&gt;0,A102&gt;=Drift_Start),Drift_Rate*(A102-Drift_Start+1)/30,0)</f>
        <v>0</v>
      </c>
      <c r="H102" s="16" t="n">
        <f aca="false">IF(AND(E102=1,QA_Policy="Exclude suspect"),"",IF(AND(E102=1,QA_Policy="Impute with model",ISNUMBER(F102)),F102,D102)+G102)</f>
        <v>27.2</v>
      </c>
      <c r="I102" s="16" t="n">
        <f aca="false">IF(H102="","",H102+Climate_Shift+UHI_Day_Eff)</f>
        <v>29.2</v>
      </c>
      <c r="J102" s="16" t="n">
        <f aca="false">INDEX(Data_Heathrow!$G:$G,B102)</f>
        <v>18.3</v>
      </c>
      <c r="K102" s="16" t="n">
        <f aca="false">J102+Climate_Shift+UHI_Night_Eff</f>
        <v>22.3</v>
      </c>
      <c r="L102" s="16" t="n">
        <f aca="false">IF(INDEX(Data_Heathrow!$I:$I,B102)="","",INDEX(Data_Heathrow!$I:$I,B102))</f>
        <v>22.6</v>
      </c>
      <c r="M102" s="16" t="n">
        <f aca="false">IF(L102="","",L102+Climate_Shift+(UHI_Day_Eff+UHI_Night_Eff)/2)</f>
        <v>25.6</v>
      </c>
      <c r="N102" s="14" t="n">
        <f aca="false">IF(I102="",0,IF(I102&gt;=T_Day,1,0))</f>
        <v>1</v>
      </c>
      <c r="O102" s="14" t="n">
        <f aca="false">IF(K102&gt;=T_Night,1,0)</f>
        <v>1</v>
      </c>
      <c r="P102" s="14" t="n">
        <f aca="false">IF(N102=1,P101+1,0)</f>
        <v>6</v>
      </c>
      <c r="Q102" s="14" t="n">
        <f aca="false">IF(P102&gt;=HW_Days,1,0)</f>
        <v>1</v>
      </c>
      <c r="R102" s="17" t="str">
        <f aca="false">IF(AND(N102=1,I102&gt;=T_Red,O102=1),"RED",IF(AND(Q102=1,O102=1),"AMBER",IF(OR(N102=1,O102=1),"YELLOW","GREEN")))</f>
        <v>AMBER</v>
      </c>
      <c r="S102" s="14" t="n">
        <f aca="false">IF(R102="RED",3,IF(R102="AMBER",2,IF(R102="YELLOW",1,0)))</f>
        <v>2</v>
      </c>
      <c r="T102" s="16" t="n">
        <f aca="false">MAX(0,T101*(1-Decay)+IF(I102="",0,MAX(0,I102-T_Comfort))-Recovery_Rate*MAX(0,T_Night-K102))</f>
        <v>19.8668524738258</v>
      </c>
      <c r="U102" s="14" t="n">
        <f aca="false">IF(T102&gt;Capacity,1,0)</f>
        <v>0</v>
      </c>
      <c r="V102" s="15" t="n">
        <f aca="false">1/(1+EXP(-Logistic_k*(T102-Capacity)))</f>
        <v>0.0465317110414064</v>
      </c>
      <c r="W102" s="16" t="n">
        <f aca="false">IF(M102="",0,Beta*Pop_Share_Sel*(1-Sens_Red)*MAX(0,M102-T_Mort))</f>
        <v>3.11021814006889</v>
      </c>
      <c r="X102" s="16" t="n">
        <f aca="false">IF(ISNUMBER(F102),F102+Coef_B1*(Climate_Shift+G101),"")</f>
        <v>26.0617524522444</v>
      </c>
      <c r="Y102" s="16" t="n">
        <f aca="false">IF(AND(ISNUMBER(X102),H102&lt;&gt;""),H102+Climate_Shift-X102,"")</f>
        <v>1.13824754775561</v>
      </c>
      <c r="Z102" s="16" t="n">
        <f aca="false">IF(ISNUMBER(Y102),ABS(Y102),"")</f>
        <v>1.13824754775561</v>
      </c>
      <c r="AA102" s="16" t="n">
        <f aca="false">IF(COUNT(Z96:Z102)=0,"",AVERAGE(Z96:Z102))</f>
        <v>1.55217699285309</v>
      </c>
      <c r="AB102" s="16" t="n">
        <f aca="false">IF(AD101=1,0,MAX(0,AB101+IF(ISNUMBER(Y102),Y102-CUSUM_k,0)))</f>
        <v>3.32136033991566</v>
      </c>
      <c r="AC102" s="16" t="n">
        <f aca="false">IF(AD101=1,0,MAX(0,AC101+IF(ISNUMBER(Y102),-Y102-CUSUM_k,0)))</f>
        <v>0</v>
      </c>
      <c r="AD102" s="17" t="n">
        <f aca="false">IF(OR(AB102&gt;CUSUM_h,AC102&gt;CUSUM_h,AND(ISNUMBER(AA102),AA102&gt;MAE_Tol)),1,0)</f>
        <v>0</v>
      </c>
      <c r="AE102" s="14" t="n">
        <f aca="false">IF(ISNUMBER(X102),IF(X102+Local_Sensing*UHI_Day_Eff&gt;=T_Day,1,0),0)</f>
        <v>0</v>
      </c>
      <c r="AF102" s="17" t="str">
        <f aca="false">IF(NOT(ISNUMBER(X102)),"n/a",IF(AND(AE102=1,N102=1),"Hit",IF(AND(AE102=0,N102=1),"Miss",IF(AND(AE102=1,N102=0),"False alarm","Correct quiet"))))</f>
        <v>Miss</v>
      </c>
      <c r="AG102" s="14" t="n">
        <f aca="false">IF(H102="",0,IF(H102+Climate_Shift&gt;=T_Day,1,0))</f>
        <v>0</v>
      </c>
      <c r="AH102" s="17" t="n">
        <f aca="false">IF(AND(N102=1,AG102=0),1,0)</f>
        <v>1</v>
      </c>
      <c r="AI102" s="17" t="str">
        <f aca="false">IF(U102=1,"ESCALATE: surge health &amp; transport capacity",IF(AD102=1,"Model drift: retrain, recalibrate, raise change request",IF(S102&gt;=2,"Activate heat plan: outreach and cooling centres",IF(AND(E102=1,OR(N102=1,O102=1)),"Data QA: verify sensor before acting",IF(AF102="Miss","Review missed alert: threshold or model",IF(AH102=1,"Equity: local alert not seen at reference station","Monitor"))))))</f>
        <v>Activate heat plan: outreach and cooling centres</v>
      </c>
      <c r="AN102" s="58" t="n">
        <f aca="false">T_Day</f>
        <v>28</v>
      </c>
      <c r="AO102" s="58" t="n">
        <f aca="false">Capacity</f>
        <v>40</v>
      </c>
      <c r="AP102" s="58" t="n">
        <f aca="false">CUSUM_h</f>
        <v>15</v>
      </c>
    </row>
    <row r="103" customFormat="false" ht="15" hidden="false" customHeight="false" outlineLevel="0" collapsed="false">
      <c r="A103" s="14" t="n">
        <v>95</v>
      </c>
      <c r="B103" s="14" t="n">
        <f aca="false">2+(SelYear-1979)*153+A103-1</f>
        <v>6675</v>
      </c>
      <c r="C103" s="55" t="n">
        <f aca="false">INDEX(Data_Heathrow!$A:$A,B103)</f>
        <v>44776</v>
      </c>
      <c r="D103" s="16" t="n">
        <f aca="false">INDEX(Data_Heathrow!$E:$E,B103)</f>
        <v>25.5</v>
      </c>
      <c r="E103" s="17" t="n">
        <f aca="false">INDEX(Data_Heathrow!$Q:$Q,B103)</f>
        <v>0</v>
      </c>
      <c r="F103" s="16" t="n">
        <f aca="false">INDEX(Data_Heathrow!$T:$T,B103)</f>
        <v>26.219718505182</v>
      </c>
      <c r="G103" s="16" t="n">
        <f aca="false">IF(AND(Drift_Rate&lt;&gt;0,A103&gt;=Drift_Start),Drift_Rate*(A103-Drift_Start+1)/30,0)</f>
        <v>0</v>
      </c>
      <c r="H103" s="16" t="n">
        <f aca="false">IF(AND(E103=1,QA_Policy="Exclude suspect"),"",IF(AND(E103=1,QA_Policy="Impute with model",ISNUMBER(F103)),F103,D103)+G103)</f>
        <v>25.5</v>
      </c>
      <c r="I103" s="16" t="n">
        <f aca="false">IF(H103="","",H103+Climate_Shift+UHI_Day_Eff)</f>
        <v>27.5</v>
      </c>
      <c r="J103" s="16" t="n">
        <f aca="false">INDEX(Data_Heathrow!$G:$G,B103)</f>
        <v>17.8</v>
      </c>
      <c r="K103" s="16" t="n">
        <f aca="false">J103+Climate_Shift+UHI_Night_Eff</f>
        <v>21.8</v>
      </c>
      <c r="L103" s="16" t="n">
        <f aca="false">IF(INDEX(Data_Heathrow!$I:$I,B103)="","",INDEX(Data_Heathrow!$I:$I,B103))</f>
        <v>22.5</v>
      </c>
      <c r="M103" s="16" t="n">
        <f aca="false">IF(L103="","",L103+Climate_Shift+(UHI_Day_Eff+UHI_Night_Eff)/2)</f>
        <v>25.5</v>
      </c>
      <c r="N103" s="14" t="n">
        <f aca="false">IF(I103="",0,IF(I103&gt;=T_Day,1,0))</f>
        <v>0</v>
      </c>
      <c r="O103" s="14" t="n">
        <f aca="false">IF(K103&gt;=T_Night,1,0)</f>
        <v>1</v>
      </c>
      <c r="P103" s="14" t="n">
        <f aca="false">IF(N103=1,P102+1,0)</f>
        <v>0</v>
      </c>
      <c r="Q103" s="14" t="n">
        <f aca="false">IF(P103&gt;=HW_Days,1,0)</f>
        <v>0</v>
      </c>
      <c r="R103" s="17" t="str">
        <f aca="false">IF(AND(N103=1,I103&gt;=T_Red,O103=1),"RED",IF(AND(Q103=1,O103=1),"AMBER",IF(OR(N103=1,O103=1),"YELLOW","GREEN")))</f>
        <v>YELLOW</v>
      </c>
      <c r="S103" s="14" t="n">
        <f aca="false">IF(R103="RED",3,IF(R103="AMBER",2,IF(R103="YELLOW",1,0)))</f>
        <v>1</v>
      </c>
      <c r="T103" s="16" t="n">
        <f aca="false">MAX(0,T102*(1-Decay)+IF(I103="",0,MAX(0,I103-T_Comfort))-Recovery_Rate*MAX(0,T_Night-K103))</f>
        <v>18.3934819790607</v>
      </c>
      <c r="U103" s="14" t="n">
        <f aca="false">IF(T103&gt;Capacity,1,0)</f>
        <v>0</v>
      </c>
      <c r="V103" s="15" t="n">
        <f aca="false">1/(1+EXP(-Logistic_k*(T103-Capacity)))</f>
        <v>0.0376524476699531</v>
      </c>
      <c r="W103" s="16" t="n">
        <f aca="false">IF(M103="",0,Beta*Pop_Share_Sel*(1-Sens_Red)*MAX(0,M103-T_Mort))</f>
        <v>3.0546785304248</v>
      </c>
      <c r="X103" s="16" t="n">
        <f aca="false">IF(ISNUMBER(F103),F103+Coef_B1*(Climate_Shift+G102),"")</f>
        <v>26.219718505182</v>
      </c>
      <c r="Y103" s="16" t="n">
        <f aca="false">IF(AND(ISNUMBER(X103),H103&lt;&gt;""),H103+Climate_Shift-X103,"")</f>
        <v>-0.719718505182016</v>
      </c>
      <c r="Z103" s="16" t="n">
        <f aca="false">IF(ISNUMBER(Y103),ABS(Y103),"")</f>
        <v>0.719718505182016</v>
      </c>
      <c r="AA103" s="16" t="n">
        <f aca="false">IF(COUNT(Z97:Z103)=0,"",AVERAGE(Z97:Z103))</f>
        <v>1.22209466340249</v>
      </c>
      <c r="AB103" s="16" t="n">
        <f aca="false">IF(AD102=1,0,MAX(0,AB102+IF(ISNUMBER(Y103),Y103-CUSUM_k,0)))</f>
        <v>1.60164183473365</v>
      </c>
      <c r="AC103" s="16" t="n">
        <f aca="false">IF(AD102=1,0,MAX(0,AC102+IF(ISNUMBER(Y103),-Y103-CUSUM_k,0)))</f>
        <v>0</v>
      </c>
      <c r="AD103" s="17" t="n">
        <f aca="false">IF(OR(AB103&gt;CUSUM_h,AC103&gt;CUSUM_h,AND(ISNUMBER(AA103),AA103&gt;MAE_Tol)),1,0)</f>
        <v>0</v>
      </c>
      <c r="AE103" s="14" t="n">
        <f aca="false">IF(ISNUMBER(X103),IF(X103+Local_Sensing*UHI_Day_Eff&gt;=T_Day,1,0),0)</f>
        <v>0</v>
      </c>
      <c r="AF103" s="17" t="str">
        <f aca="false">IF(NOT(ISNUMBER(X103)),"n/a",IF(AND(AE103=1,N103=1),"Hit",IF(AND(AE103=0,N103=1),"Miss",IF(AND(AE103=1,N103=0),"False alarm","Correct quiet"))))</f>
        <v>Correct quiet</v>
      </c>
      <c r="AG103" s="14" t="n">
        <f aca="false">IF(H103="",0,IF(H103+Climate_Shift&gt;=T_Day,1,0))</f>
        <v>0</v>
      </c>
      <c r="AH103" s="17" t="n">
        <f aca="false">IF(AND(N103=1,AG103=0),1,0)</f>
        <v>0</v>
      </c>
      <c r="AI103" s="17" t="str">
        <f aca="false">IF(U103=1,"ESCALATE: surge health &amp; transport capacity",IF(AD103=1,"Model drift: retrain, recalibrate, raise change request",IF(S103&gt;=2,"Activate heat plan: outreach and cooling centres",IF(AND(E103=1,OR(N103=1,O103=1)),"Data QA: verify sensor before acting",IF(AF103="Miss","Review missed alert: threshold or model",IF(AH103=1,"Equity: local alert not seen at reference station","Monitor"))))))</f>
        <v>Monitor</v>
      </c>
      <c r="AN103" s="58" t="n">
        <f aca="false">T_Day</f>
        <v>28</v>
      </c>
      <c r="AO103" s="58" t="n">
        <f aca="false">Capacity</f>
        <v>40</v>
      </c>
      <c r="AP103" s="58" t="n">
        <f aca="false">CUSUM_h</f>
        <v>15</v>
      </c>
    </row>
    <row r="104" customFormat="false" ht="15" hidden="false" customHeight="false" outlineLevel="0" collapsed="false">
      <c r="A104" s="14" t="n">
        <v>96</v>
      </c>
      <c r="B104" s="14" t="n">
        <f aca="false">2+(SelYear-1979)*153+A104-1</f>
        <v>6676</v>
      </c>
      <c r="C104" s="55" t="n">
        <f aca="false">INDEX(Data_Heathrow!$A:$A,B104)</f>
        <v>44777</v>
      </c>
      <c r="D104" s="16" t="n">
        <f aca="false">INDEX(Data_Heathrow!$E:$E,B104)</f>
        <v>23.3</v>
      </c>
      <c r="E104" s="17" t="n">
        <f aca="false">INDEX(Data_Heathrow!$Q:$Q,B104)</f>
        <v>0</v>
      </c>
      <c r="F104" s="16" t="n">
        <f aca="false">INDEX(Data_Heathrow!$T:$T,B104)</f>
        <v>24.7735130561317</v>
      </c>
      <c r="G104" s="16" t="n">
        <f aca="false">IF(AND(Drift_Rate&lt;&gt;0,A104&gt;=Drift_Start),Drift_Rate*(A104-Drift_Start+1)/30,0)</f>
        <v>0</v>
      </c>
      <c r="H104" s="16" t="n">
        <f aca="false">IF(AND(E104=1,QA_Policy="Exclude suspect"),"",IF(AND(E104=1,QA_Policy="Impute with model",ISNUMBER(F104)),F104,D104)+G104)</f>
        <v>23.3</v>
      </c>
      <c r="I104" s="16" t="n">
        <f aca="false">IF(H104="","",H104+Climate_Shift+UHI_Day_Eff)</f>
        <v>25.3</v>
      </c>
      <c r="J104" s="16" t="n">
        <f aca="false">INDEX(Data_Heathrow!$G:$G,B104)</f>
        <v>15.8</v>
      </c>
      <c r="K104" s="16" t="n">
        <f aca="false">J104+Climate_Shift+UHI_Night_Eff</f>
        <v>19.8</v>
      </c>
      <c r="L104" s="16" t="n">
        <f aca="false">IF(INDEX(Data_Heathrow!$I:$I,B104)="","",INDEX(Data_Heathrow!$I:$I,B104))</f>
        <v>20.6</v>
      </c>
      <c r="M104" s="16" t="n">
        <f aca="false">IF(L104="","",L104+Climate_Shift+(UHI_Day_Eff+UHI_Night_Eff)/2)</f>
        <v>23.6</v>
      </c>
      <c r="N104" s="14" t="n">
        <f aca="false">IF(I104="",0,IF(I104&gt;=T_Day,1,0))</f>
        <v>0</v>
      </c>
      <c r="O104" s="14" t="n">
        <f aca="false">IF(K104&gt;=T_Night,1,0)</f>
        <v>1</v>
      </c>
      <c r="P104" s="14" t="n">
        <f aca="false">IF(N104=1,P103+1,0)</f>
        <v>0</v>
      </c>
      <c r="Q104" s="14" t="n">
        <f aca="false">IF(P104&gt;=HW_Days,1,0)</f>
        <v>0</v>
      </c>
      <c r="R104" s="17" t="str">
        <f aca="false">IF(AND(N104=1,I104&gt;=T_Red,O104=1),"RED",IF(AND(Q104=1,O104=1),"AMBER",IF(OR(N104=1,O104=1),"YELLOW","GREEN")))</f>
        <v>YELLOW</v>
      </c>
      <c r="S104" s="14" t="n">
        <f aca="false">IF(R104="RED",3,IF(R104="AMBER",2,IF(R104="YELLOW",1,0)))</f>
        <v>1</v>
      </c>
      <c r="T104" s="16" t="n">
        <f aca="false">MAX(0,T103*(1-Decay)+IF(I104="",0,MAX(0,I104-T_Comfort))-Recovery_Rate*MAX(0,T_Night-K104))</f>
        <v>15.0147855832485</v>
      </c>
      <c r="U104" s="14" t="n">
        <f aca="false">IF(T104&gt;Capacity,1,0)</f>
        <v>0</v>
      </c>
      <c r="V104" s="15" t="n">
        <f aca="false">1/(1+EXP(-Logistic_k*(T104-Capacity)))</f>
        <v>0.0230272117641298</v>
      </c>
      <c r="W104" s="16" t="n">
        <f aca="false">IF(M104="",0,Beta*Pop_Share_Sel*(1-Sens_Red)*MAX(0,M104-T_Mort))</f>
        <v>1.99942594718714</v>
      </c>
      <c r="X104" s="16" t="n">
        <f aca="false">IF(ISNUMBER(F104),F104+Coef_B1*(Climate_Shift+G103),"")</f>
        <v>24.7735130561317</v>
      </c>
      <c r="Y104" s="16" t="n">
        <f aca="false">IF(AND(ISNUMBER(X104),H104&lt;&gt;""),H104+Climate_Shift-X104,"")</f>
        <v>-1.47351305613172</v>
      </c>
      <c r="Z104" s="16" t="n">
        <f aca="false">IF(ISNUMBER(Y104),ABS(Y104),"")</f>
        <v>1.47351305613172</v>
      </c>
      <c r="AA104" s="16" t="n">
        <f aca="false">IF(COUNT(Z98:Z104)=0,"",AVERAGE(Z98:Z104))</f>
        <v>0.90898975753606</v>
      </c>
      <c r="AB104" s="16" t="n">
        <f aca="false">IF(AD103=1,0,MAX(0,AB103+IF(ISNUMBER(Y104),Y104-CUSUM_k,0)))</f>
        <v>0</v>
      </c>
      <c r="AC104" s="16" t="n">
        <f aca="false">IF(AD103=1,0,MAX(0,AC103+IF(ISNUMBER(Y104),-Y104-CUSUM_k,0)))</f>
        <v>0.473513056131715</v>
      </c>
      <c r="AD104" s="17" t="n">
        <f aca="false">IF(OR(AB104&gt;CUSUM_h,AC104&gt;CUSUM_h,AND(ISNUMBER(AA104),AA104&gt;MAE_Tol)),1,0)</f>
        <v>0</v>
      </c>
      <c r="AE104" s="14" t="n">
        <f aca="false">IF(ISNUMBER(X104),IF(X104+Local_Sensing*UHI_Day_Eff&gt;=T_Day,1,0),0)</f>
        <v>0</v>
      </c>
      <c r="AF104" s="17" t="str">
        <f aca="false">IF(NOT(ISNUMBER(X104)),"n/a",IF(AND(AE104=1,N104=1),"Hit",IF(AND(AE104=0,N104=1),"Miss",IF(AND(AE104=1,N104=0),"False alarm","Correct quiet"))))</f>
        <v>Correct quiet</v>
      </c>
      <c r="AG104" s="14" t="n">
        <f aca="false">IF(H104="",0,IF(H104+Climate_Shift&gt;=T_Day,1,0))</f>
        <v>0</v>
      </c>
      <c r="AH104" s="17" t="n">
        <f aca="false">IF(AND(N104=1,AG104=0),1,0)</f>
        <v>0</v>
      </c>
      <c r="AI104" s="17" t="str">
        <f aca="false">IF(U104=1,"ESCALATE: surge health &amp; transport capacity",IF(AD104=1,"Model drift: retrain, recalibrate, raise change request",IF(S104&gt;=2,"Activate heat plan: outreach and cooling centres",IF(AND(E104=1,OR(N104=1,O104=1)),"Data QA: verify sensor before acting",IF(AF104="Miss","Review missed alert: threshold or model",IF(AH104=1,"Equity: local alert not seen at reference station","Monitor"))))))</f>
        <v>Monitor</v>
      </c>
      <c r="AN104" s="58" t="n">
        <f aca="false">T_Day</f>
        <v>28</v>
      </c>
      <c r="AO104" s="58" t="n">
        <f aca="false">Capacity</f>
        <v>40</v>
      </c>
      <c r="AP104" s="58" t="n">
        <f aca="false">CUSUM_h</f>
        <v>15</v>
      </c>
    </row>
    <row r="105" customFormat="false" ht="15" hidden="false" customHeight="false" outlineLevel="0" collapsed="false">
      <c r="A105" s="14" t="n">
        <v>97</v>
      </c>
      <c r="B105" s="14" t="n">
        <f aca="false">2+(SelYear-1979)*153+A105-1</f>
        <v>6677</v>
      </c>
      <c r="C105" s="55" t="n">
        <f aca="false">INDEX(Data_Heathrow!$A:$A,B105)</f>
        <v>44778</v>
      </c>
      <c r="D105" s="16" t="n">
        <f aca="false">INDEX(Data_Heathrow!$E:$E,B105)</f>
        <v>24.8</v>
      </c>
      <c r="E105" s="17" t="n">
        <f aca="false">INDEX(Data_Heathrow!$Q:$Q,B105)</f>
        <v>0</v>
      </c>
      <c r="F105" s="16" t="n">
        <f aca="false">INDEX(Data_Heathrow!$T:$T,B105)</f>
        <v>23.0305696312425</v>
      </c>
      <c r="G105" s="16" t="n">
        <f aca="false">IF(AND(Drift_Rate&lt;&gt;0,A105&gt;=Drift_Start),Drift_Rate*(A105-Drift_Start+1)/30,0)</f>
        <v>0</v>
      </c>
      <c r="H105" s="16" t="n">
        <f aca="false">IF(AND(E105=1,QA_Policy="Exclude suspect"),"",IF(AND(E105=1,QA_Policy="Impute with model",ISNUMBER(F105)),F105,D105)+G105)</f>
        <v>24.8</v>
      </c>
      <c r="I105" s="16" t="n">
        <f aca="false">IF(H105="","",H105+Climate_Shift+UHI_Day_Eff)</f>
        <v>26.8</v>
      </c>
      <c r="J105" s="16" t="n">
        <f aca="false">INDEX(Data_Heathrow!$G:$G,B105)</f>
        <v>14.3</v>
      </c>
      <c r="K105" s="16" t="n">
        <f aca="false">J105+Climate_Shift+UHI_Night_Eff</f>
        <v>18.3</v>
      </c>
      <c r="L105" s="16" t="n">
        <f aca="false">IF(INDEX(Data_Heathrow!$I:$I,B105)="","",INDEX(Data_Heathrow!$I:$I,B105))</f>
        <v>18.8</v>
      </c>
      <c r="M105" s="16" t="n">
        <f aca="false">IF(L105="","",L105+Climate_Shift+(UHI_Day_Eff+UHI_Night_Eff)/2)</f>
        <v>21.8</v>
      </c>
      <c r="N105" s="14" t="n">
        <f aca="false">IF(I105="",0,IF(I105&gt;=T_Day,1,0))</f>
        <v>0</v>
      </c>
      <c r="O105" s="14" t="n">
        <f aca="false">IF(K105&gt;=T_Night,1,0)</f>
        <v>1</v>
      </c>
      <c r="P105" s="14" t="n">
        <f aca="false">IF(N105=1,P104+1,0)</f>
        <v>0</v>
      </c>
      <c r="Q105" s="14" t="n">
        <f aca="false">IF(P105&gt;=HW_Days,1,0)</f>
        <v>0</v>
      </c>
      <c r="R105" s="17" t="str">
        <f aca="false">IF(AND(N105=1,I105&gt;=T_Red,O105=1),"RED",IF(AND(Q105=1,O105=1),"AMBER",IF(OR(N105=1,O105=1),"YELLOW","GREEN")))</f>
        <v>YELLOW</v>
      </c>
      <c r="S105" s="14" t="n">
        <f aca="false">IF(R105="RED",3,IF(R105="AMBER",2,IF(R105="YELLOW",1,0)))</f>
        <v>1</v>
      </c>
      <c r="T105" s="16" t="n">
        <f aca="false">MAX(0,T104*(1-Decay)+IF(I105="",0,MAX(0,I105-T_Comfort))-Recovery_Rate*MAX(0,T_Night-K105))</f>
        <v>13.8118284665988</v>
      </c>
      <c r="U105" s="14" t="n">
        <f aca="false">IF(T105&gt;Capacity,1,0)</f>
        <v>0</v>
      </c>
      <c r="V105" s="15" t="n">
        <f aca="false">1/(1+EXP(-Logistic_k*(T105-Capacity)))</f>
        <v>0.0192987844461584</v>
      </c>
      <c r="W105" s="16" t="n">
        <f aca="false">IF(M105="",0,Beta*Pop_Share_Sel*(1-Sens_Red)*MAX(0,M105-T_Mort))</f>
        <v>0.999712973593571</v>
      </c>
      <c r="X105" s="16" t="n">
        <f aca="false">IF(ISNUMBER(F105),F105+Coef_B1*(Climate_Shift+G104),"")</f>
        <v>23.0305696312425</v>
      </c>
      <c r="Y105" s="16" t="n">
        <f aca="false">IF(AND(ISNUMBER(X105),H105&lt;&gt;""),H105+Climate_Shift-X105,"")</f>
        <v>1.76943036875755</v>
      </c>
      <c r="Z105" s="16" t="n">
        <f aca="false">IF(ISNUMBER(Y105),ABS(Y105),"")</f>
        <v>1.76943036875755</v>
      </c>
      <c r="AA105" s="16" t="n">
        <f aca="false">IF(COUNT(Z99:Z105)=0,"",AVERAGE(Z99:Z105))</f>
        <v>1.12291705235457</v>
      </c>
      <c r="AB105" s="16" t="n">
        <f aca="false">IF(AD104=1,0,MAX(0,AB104+IF(ISNUMBER(Y105),Y105-CUSUM_k,0)))</f>
        <v>0.769430368757551</v>
      </c>
      <c r="AC105" s="16" t="n">
        <f aca="false">IF(AD104=1,0,MAX(0,AC104+IF(ISNUMBER(Y105),-Y105-CUSUM_k,0)))</f>
        <v>0</v>
      </c>
      <c r="AD105" s="17" t="n">
        <f aca="false">IF(OR(AB105&gt;CUSUM_h,AC105&gt;CUSUM_h,AND(ISNUMBER(AA105),AA105&gt;MAE_Tol)),1,0)</f>
        <v>0</v>
      </c>
      <c r="AE105" s="14" t="n">
        <f aca="false">IF(ISNUMBER(X105),IF(X105+Local_Sensing*UHI_Day_Eff&gt;=T_Day,1,0),0)</f>
        <v>0</v>
      </c>
      <c r="AF105" s="17" t="str">
        <f aca="false">IF(NOT(ISNUMBER(X105)),"n/a",IF(AND(AE105=1,N105=1),"Hit",IF(AND(AE105=0,N105=1),"Miss",IF(AND(AE105=1,N105=0),"False alarm","Correct quiet"))))</f>
        <v>Correct quiet</v>
      </c>
      <c r="AG105" s="14" t="n">
        <f aca="false">IF(H105="",0,IF(H105+Climate_Shift&gt;=T_Day,1,0))</f>
        <v>0</v>
      </c>
      <c r="AH105" s="17" t="n">
        <f aca="false">IF(AND(N105=1,AG105=0),1,0)</f>
        <v>0</v>
      </c>
      <c r="AI105" s="17" t="str">
        <f aca="false">IF(U105=1,"ESCALATE: surge health &amp; transport capacity",IF(AD105=1,"Model drift: retrain, recalibrate, raise change request",IF(S105&gt;=2,"Activate heat plan: outreach and cooling centres",IF(AND(E105=1,OR(N105=1,O105=1)),"Data QA: verify sensor before acting",IF(AF105="Miss","Review missed alert: threshold or model",IF(AH105=1,"Equity: local alert not seen at reference station","Monitor"))))))</f>
        <v>Monitor</v>
      </c>
      <c r="AN105" s="58" t="n">
        <f aca="false">T_Day</f>
        <v>28</v>
      </c>
      <c r="AO105" s="58" t="n">
        <f aca="false">Capacity</f>
        <v>40</v>
      </c>
      <c r="AP105" s="58" t="n">
        <f aca="false">CUSUM_h</f>
        <v>15</v>
      </c>
    </row>
    <row r="106" customFormat="false" ht="15" hidden="false" customHeight="false" outlineLevel="0" collapsed="false">
      <c r="A106" s="14" t="n">
        <v>98</v>
      </c>
      <c r="B106" s="14" t="n">
        <f aca="false">2+(SelYear-1979)*153+A106-1</f>
        <v>6678</v>
      </c>
      <c r="C106" s="55" t="n">
        <f aca="false">INDEX(Data_Heathrow!$A:$A,B106)</f>
        <v>44779</v>
      </c>
      <c r="D106" s="16" t="n">
        <f aca="false">INDEX(Data_Heathrow!$E:$E,B106)</f>
        <v>27.6</v>
      </c>
      <c r="E106" s="17" t="n">
        <f aca="false">INDEX(Data_Heathrow!$Q:$Q,B106)</f>
        <v>0</v>
      </c>
      <c r="F106" s="16" t="n">
        <f aca="false">INDEX(Data_Heathrow!$T:$T,B106)</f>
        <v>24.4854416621712</v>
      </c>
      <c r="G106" s="16" t="n">
        <f aca="false">IF(AND(Drift_Rate&lt;&gt;0,A106&gt;=Drift_Start),Drift_Rate*(A106-Drift_Start+1)/30,0)</f>
        <v>0</v>
      </c>
      <c r="H106" s="16" t="n">
        <f aca="false">IF(AND(E106=1,QA_Policy="Exclude suspect"),"",IF(AND(E106=1,QA_Policy="Impute with model",ISNUMBER(F106)),F106,D106)+G106)</f>
        <v>27.6</v>
      </c>
      <c r="I106" s="16" t="n">
        <f aca="false">IF(H106="","",H106+Climate_Shift+UHI_Day_Eff)</f>
        <v>29.6</v>
      </c>
      <c r="J106" s="16" t="n">
        <f aca="false">INDEX(Data_Heathrow!$G:$G,B106)</f>
        <v>10.5</v>
      </c>
      <c r="K106" s="16" t="n">
        <f aca="false">J106+Climate_Shift+UHI_Night_Eff</f>
        <v>14.5</v>
      </c>
      <c r="L106" s="16" t="n">
        <f aca="false">IF(INDEX(Data_Heathrow!$I:$I,B106)="","",INDEX(Data_Heathrow!$I:$I,B106))</f>
        <v>17.6</v>
      </c>
      <c r="M106" s="16" t="n">
        <f aca="false">IF(L106="","",L106+Climate_Shift+(UHI_Day_Eff+UHI_Night_Eff)/2)</f>
        <v>20.6</v>
      </c>
      <c r="N106" s="14" t="n">
        <f aca="false">IF(I106="",0,IF(I106&gt;=T_Day,1,0))</f>
        <v>1</v>
      </c>
      <c r="O106" s="14" t="n">
        <f aca="false">IF(K106&gt;=T_Night,1,0)</f>
        <v>0</v>
      </c>
      <c r="P106" s="14" t="n">
        <f aca="false">IF(N106=1,P105+1,0)</f>
        <v>1</v>
      </c>
      <c r="Q106" s="14" t="n">
        <f aca="false">IF(P106&gt;=HW_Days,1,0)</f>
        <v>0</v>
      </c>
      <c r="R106" s="17" t="str">
        <f aca="false">IF(AND(N106=1,I106&gt;=T_Red,O106=1),"RED",IF(AND(Q106=1,O106=1),"AMBER",IF(OR(N106=1,O106=1),"YELLOW","GREEN")))</f>
        <v>YELLOW</v>
      </c>
      <c r="S106" s="14" t="n">
        <f aca="false">IF(R106="RED",3,IF(R106="AMBER",2,IF(R106="YELLOW",1,0)))</f>
        <v>1</v>
      </c>
      <c r="T106" s="16" t="n">
        <f aca="false">MAX(0,T105*(1-Decay)+IF(I106="",0,MAX(0,I106-T_Comfort))-Recovery_Rate*MAX(0,T_Night-K106))</f>
        <v>13.8994627732791</v>
      </c>
      <c r="U106" s="14" t="n">
        <f aca="false">IF(T106&gt;Capacity,1,0)</f>
        <v>0</v>
      </c>
      <c r="V106" s="15" t="n">
        <f aca="false">1/(1+EXP(-Logistic_k*(T106-Capacity)))</f>
        <v>0.0195491524085337</v>
      </c>
      <c r="W106" s="16" t="n">
        <f aca="false">IF(M106="",0,Beta*Pop_Share_Sel*(1-Sens_Red)*MAX(0,M106-T_Mort))</f>
        <v>0.333237657864524</v>
      </c>
      <c r="X106" s="16" t="n">
        <f aca="false">IF(ISNUMBER(F106),F106+Coef_B1*(Climate_Shift+G105),"")</f>
        <v>24.4854416621712</v>
      </c>
      <c r="Y106" s="16" t="n">
        <f aca="false">IF(AND(ISNUMBER(X106),H106&lt;&gt;""),H106+Climate_Shift-X106,"")</f>
        <v>3.11455833782884</v>
      </c>
      <c r="Z106" s="16" t="n">
        <f aca="false">IF(ISNUMBER(Y106),ABS(Y106),"")</f>
        <v>3.11455833782884</v>
      </c>
      <c r="AA106" s="16" t="n">
        <f aca="false">IF(COUNT(Z100:Z106)=0,"",AVERAGE(Z100:Z106))</f>
        <v>1.36160171910187</v>
      </c>
      <c r="AB106" s="16" t="n">
        <f aca="false">IF(AD105=1,0,MAX(0,AB105+IF(ISNUMBER(Y106),Y106-CUSUM_k,0)))</f>
        <v>2.88398870658639</v>
      </c>
      <c r="AC106" s="16" t="n">
        <f aca="false">IF(AD105=1,0,MAX(0,AC105+IF(ISNUMBER(Y106),-Y106-CUSUM_k,0)))</f>
        <v>0</v>
      </c>
      <c r="AD106" s="17" t="n">
        <f aca="false">IF(OR(AB106&gt;CUSUM_h,AC106&gt;CUSUM_h,AND(ISNUMBER(AA106),AA106&gt;MAE_Tol)),1,0)</f>
        <v>0</v>
      </c>
      <c r="AE106" s="14" t="n">
        <f aca="false">IF(ISNUMBER(X106),IF(X106+Local_Sensing*UHI_Day_Eff&gt;=T_Day,1,0),0)</f>
        <v>0</v>
      </c>
      <c r="AF106" s="17" t="str">
        <f aca="false">IF(NOT(ISNUMBER(X106)),"n/a",IF(AND(AE106=1,N106=1),"Hit",IF(AND(AE106=0,N106=1),"Miss",IF(AND(AE106=1,N106=0),"False alarm","Correct quiet"))))</f>
        <v>Miss</v>
      </c>
      <c r="AG106" s="14" t="n">
        <f aca="false">IF(H106="",0,IF(H106+Climate_Shift&gt;=T_Day,1,0))</f>
        <v>0</v>
      </c>
      <c r="AH106" s="17" t="n">
        <f aca="false">IF(AND(N106=1,AG106=0),1,0)</f>
        <v>1</v>
      </c>
      <c r="AI106" s="17" t="str">
        <f aca="false">IF(U106=1,"ESCALATE: surge health &amp; transport capacity",IF(AD106=1,"Model drift: retrain, recalibrate, raise change request",IF(S106&gt;=2,"Activate heat plan: outreach and cooling centres",IF(AND(E106=1,OR(N106=1,O106=1)),"Data QA: verify sensor before acting",IF(AF106="Miss","Review missed alert: threshold or model",IF(AH106=1,"Equity: local alert not seen at reference station","Monitor"))))))</f>
        <v>Review missed alert: threshold or model</v>
      </c>
      <c r="AN106" s="58" t="n">
        <f aca="false">T_Day</f>
        <v>28</v>
      </c>
      <c r="AO106" s="58" t="n">
        <f aca="false">Capacity</f>
        <v>40</v>
      </c>
      <c r="AP106" s="58" t="n">
        <f aca="false">CUSUM_h</f>
        <v>15</v>
      </c>
    </row>
    <row r="107" customFormat="false" ht="15" hidden="false" customHeight="false" outlineLevel="0" collapsed="false">
      <c r="A107" s="14" t="n">
        <v>99</v>
      </c>
      <c r="B107" s="14" t="n">
        <f aca="false">2+(SelYear-1979)*153+A107-1</f>
        <v>6679</v>
      </c>
      <c r="C107" s="55" t="n">
        <f aca="false">INDEX(Data_Heathrow!$A:$A,B107)</f>
        <v>44780</v>
      </c>
      <c r="D107" s="16" t="n">
        <f aca="false">INDEX(Data_Heathrow!$E:$E,B107)</f>
        <v>29.7</v>
      </c>
      <c r="E107" s="17" t="n">
        <f aca="false">INDEX(Data_Heathrow!$Q:$Q,B107)</f>
        <v>0</v>
      </c>
      <c r="F107" s="16" t="n">
        <f aca="false">INDEX(Data_Heathrow!$T:$T,B107)</f>
        <v>26.9583998021043</v>
      </c>
      <c r="G107" s="16" t="n">
        <f aca="false">IF(AND(Drift_Rate&lt;&gt;0,A107&gt;=Drift_Start),Drift_Rate*(A107-Drift_Start+1)/30,0)</f>
        <v>0</v>
      </c>
      <c r="H107" s="16" t="n">
        <f aca="false">IF(AND(E107=1,QA_Policy="Exclude suspect"),"",IF(AND(E107=1,QA_Policy="Impute with model",ISNUMBER(F107)),F107,D107)+G107)</f>
        <v>29.7</v>
      </c>
      <c r="I107" s="16" t="n">
        <f aca="false">IF(H107="","",H107+Climate_Shift+UHI_Day_Eff)</f>
        <v>31.7</v>
      </c>
      <c r="J107" s="16" t="n">
        <f aca="false">INDEX(Data_Heathrow!$G:$G,B107)</f>
        <v>12.6</v>
      </c>
      <c r="K107" s="16" t="n">
        <f aca="false">J107+Climate_Shift+UHI_Night_Eff</f>
        <v>16.6</v>
      </c>
      <c r="L107" s="16" t="n">
        <f aca="false">IF(INDEX(Data_Heathrow!$I:$I,B107)="","",INDEX(Data_Heathrow!$I:$I,B107))</f>
        <v>20.1</v>
      </c>
      <c r="M107" s="16" t="n">
        <f aca="false">IF(L107="","",L107+Climate_Shift+(UHI_Day_Eff+UHI_Night_Eff)/2)</f>
        <v>23.1</v>
      </c>
      <c r="N107" s="14" t="n">
        <f aca="false">IF(I107="",0,IF(I107&gt;=T_Day,1,0))</f>
        <v>1</v>
      </c>
      <c r="O107" s="14" t="n">
        <f aca="false">IF(K107&gt;=T_Night,1,0)</f>
        <v>0</v>
      </c>
      <c r="P107" s="14" t="n">
        <f aca="false">IF(N107=1,P106+1,0)</f>
        <v>2</v>
      </c>
      <c r="Q107" s="14" t="n">
        <f aca="false">IF(P107&gt;=HW_Days,1,0)</f>
        <v>0</v>
      </c>
      <c r="R107" s="17" t="str">
        <f aca="false">IF(AND(N107=1,I107&gt;=T_Red,O107=1),"RED",IF(AND(Q107=1,O107=1),"AMBER",IF(OR(N107=1,O107=1),"YELLOW","GREEN")))</f>
        <v>YELLOW</v>
      </c>
      <c r="S107" s="14" t="n">
        <f aca="false">IF(R107="RED",3,IF(R107="AMBER",2,IF(R107="YELLOW",1,0)))</f>
        <v>1</v>
      </c>
      <c r="T107" s="16" t="n">
        <f aca="false">MAX(0,T106*(1-Decay)+IF(I107="",0,MAX(0,I107-T_Comfort))-Recovery_Rate*MAX(0,T_Night-K107))</f>
        <v>17.1195702186233</v>
      </c>
      <c r="U107" s="14" t="n">
        <f aca="false">IF(T107&gt;Capacity,1,0)</f>
        <v>0</v>
      </c>
      <c r="V107" s="15" t="n">
        <f aca="false">1/(1+EXP(-Logistic_k*(T107-Capacity)))</f>
        <v>0.031308260357961</v>
      </c>
      <c r="W107" s="16" t="n">
        <f aca="false">IF(M107="",0,Beta*Pop_Share_Sel*(1-Sens_Red)*MAX(0,M107-T_Mort))</f>
        <v>1.72172789896671</v>
      </c>
      <c r="X107" s="16" t="n">
        <f aca="false">IF(ISNUMBER(F107),F107+Coef_B1*(Climate_Shift+G106),"")</f>
        <v>26.9583998021043</v>
      </c>
      <c r="Y107" s="16" t="n">
        <f aca="false">IF(AND(ISNUMBER(X107),H107&lt;&gt;""),H107+Climate_Shift-X107,"")</f>
        <v>2.74160019789566</v>
      </c>
      <c r="Z107" s="16" t="n">
        <f aca="false">IF(ISNUMBER(Y107),ABS(Y107),"")</f>
        <v>2.74160019789566</v>
      </c>
      <c r="AA107" s="16" t="n">
        <f aca="false">IF(COUNT(Z101:Z107)=0,"",AVERAGE(Z101:Z107))</f>
        <v>1.58776801398711</v>
      </c>
      <c r="AB107" s="16" t="n">
        <f aca="false">IF(AD106=1,0,MAX(0,AB106+IF(ISNUMBER(Y107),Y107-CUSUM_k,0)))</f>
        <v>4.62558890448205</v>
      </c>
      <c r="AC107" s="16" t="n">
        <f aca="false">IF(AD106=1,0,MAX(0,AC106+IF(ISNUMBER(Y107),-Y107-CUSUM_k,0)))</f>
        <v>0</v>
      </c>
      <c r="AD107" s="17" t="n">
        <f aca="false">IF(OR(AB107&gt;CUSUM_h,AC107&gt;CUSUM_h,AND(ISNUMBER(AA107),AA107&gt;MAE_Tol)),1,0)</f>
        <v>0</v>
      </c>
      <c r="AE107" s="14" t="n">
        <f aca="false">IF(ISNUMBER(X107),IF(X107+Local_Sensing*UHI_Day_Eff&gt;=T_Day,1,0),0)</f>
        <v>0</v>
      </c>
      <c r="AF107" s="17" t="str">
        <f aca="false">IF(NOT(ISNUMBER(X107)),"n/a",IF(AND(AE107=1,N107=1),"Hit",IF(AND(AE107=0,N107=1),"Miss",IF(AND(AE107=1,N107=0),"False alarm","Correct quiet"))))</f>
        <v>Miss</v>
      </c>
      <c r="AG107" s="14" t="n">
        <f aca="false">IF(H107="",0,IF(H107+Climate_Shift&gt;=T_Day,1,0))</f>
        <v>1</v>
      </c>
      <c r="AH107" s="17" t="n">
        <f aca="false">IF(AND(N107=1,AG107=0),1,0)</f>
        <v>0</v>
      </c>
      <c r="AI107" s="17" t="str">
        <f aca="false">IF(U107=1,"ESCALATE: surge health &amp; transport capacity",IF(AD107=1,"Model drift: retrain, recalibrate, raise change request",IF(S107&gt;=2,"Activate heat plan: outreach and cooling centres",IF(AND(E107=1,OR(N107=1,O107=1)),"Data QA: verify sensor before acting",IF(AF107="Miss","Review missed alert: threshold or model",IF(AH107=1,"Equity: local alert not seen at reference station","Monitor"))))))</f>
        <v>Review missed alert: threshold or model</v>
      </c>
      <c r="AN107" s="58" t="n">
        <f aca="false">T_Day</f>
        <v>28</v>
      </c>
      <c r="AO107" s="58" t="n">
        <f aca="false">Capacity</f>
        <v>40</v>
      </c>
      <c r="AP107" s="58" t="n">
        <f aca="false">CUSUM_h</f>
        <v>15</v>
      </c>
    </row>
    <row r="108" customFormat="false" ht="15" hidden="false" customHeight="false" outlineLevel="0" collapsed="false">
      <c r="A108" s="14" t="n">
        <v>100</v>
      </c>
      <c r="B108" s="14" t="n">
        <f aca="false">2+(SelYear-1979)*153+A108-1</f>
        <v>6680</v>
      </c>
      <c r="C108" s="55" t="n">
        <f aca="false">INDEX(Data_Heathrow!$A:$A,B108)</f>
        <v>44781</v>
      </c>
      <c r="D108" s="16" t="n">
        <f aca="false">INDEX(Data_Heathrow!$E:$E,B108)</f>
        <v>29.1</v>
      </c>
      <c r="E108" s="17" t="n">
        <f aca="false">INDEX(Data_Heathrow!$Q:$Q,B108)</f>
        <v>0</v>
      </c>
      <c r="F108" s="16" t="n">
        <f aca="false">INDEX(Data_Heathrow!$T:$T,B108)</f>
        <v>28.6005873709089</v>
      </c>
      <c r="G108" s="16" t="n">
        <f aca="false">IF(AND(Drift_Rate&lt;&gt;0,A108&gt;=Drift_Start),Drift_Rate*(A108-Drift_Start+1)/30,0)</f>
        <v>0</v>
      </c>
      <c r="H108" s="16" t="n">
        <f aca="false">IF(AND(E108=1,QA_Policy="Exclude suspect"),"",IF(AND(E108=1,QA_Policy="Impute with model",ISNUMBER(F108)),F108,D108)+G108)</f>
        <v>29.1</v>
      </c>
      <c r="I108" s="16" t="n">
        <f aca="false">IF(H108="","",H108+Climate_Shift+UHI_Day_Eff)</f>
        <v>31.1</v>
      </c>
      <c r="J108" s="16" t="n">
        <f aca="false">INDEX(Data_Heathrow!$G:$G,B108)</f>
        <v>15.8</v>
      </c>
      <c r="K108" s="16" t="n">
        <f aca="false">J108+Climate_Shift+UHI_Night_Eff</f>
        <v>19.8</v>
      </c>
      <c r="L108" s="16" t="n">
        <f aca="false">IF(INDEX(Data_Heathrow!$I:$I,B108)="","",INDEX(Data_Heathrow!$I:$I,B108))</f>
        <v>22.8</v>
      </c>
      <c r="M108" s="16" t="n">
        <f aca="false">IF(L108="","",L108+Climate_Shift+(UHI_Day_Eff+UHI_Night_Eff)/2)</f>
        <v>25.8</v>
      </c>
      <c r="N108" s="14" t="n">
        <f aca="false">IF(I108="",0,IF(I108&gt;=T_Day,1,0))</f>
        <v>1</v>
      </c>
      <c r="O108" s="14" t="n">
        <f aca="false">IF(K108&gt;=T_Night,1,0)</f>
        <v>1</v>
      </c>
      <c r="P108" s="14" t="n">
        <f aca="false">IF(N108=1,P107+1,0)</f>
        <v>3</v>
      </c>
      <c r="Q108" s="14" t="n">
        <f aca="false">IF(P108&gt;=HW_Days,1,0)</f>
        <v>1</v>
      </c>
      <c r="R108" s="17" t="str">
        <f aca="false">IF(AND(N108=1,I108&gt;=T_Red,O108=1),"RED",IF(AND(Q108=1,O108=1),"AMBER",IF(OR(N108=1,O108=1),"YELLOW","GREEN")))</f>
        <v>AMBER</v>
      </c>
      <c r="S108" s="14" t="n">
        <f aca="false">IF(R108="RED",3,IF(R108="AMBER",2,IF(R108="YELLOW",1,0)))</f>
        <v>2</v>
      </c>
      <c r="T108" s="16" t="n">
        <f aca="false">MAX(0,T107*(1-Decay)+IF(I108="",0,MAX(0,I108-T_Comfort))-Recovery_Rate*MAX(0,T_Night-K108))</f>
        <v>19.7956561748986</v>
      </c>
      <c r="U108" s="14" t="n">
        <f aca="false">IF(T108&gt;Capacity,1,0)</f>
        <v>0</v>
      </c>
      <c r="V108" s="15" t="n">
        <f aca="false">1/(1+EXP(-Logistic_k*(T108-Capacity)))</f>
        <v>0.046060189297473</v>
      </c>
      <c r="W108" s="16" t="n">
        <f aca="false">IF(M108="",0,Beta*Pop_Share_Sel*(1-Sens_Red)*MAX(0,M108-T_Mort))</f>
        <v>3.22129735935706</v>
      </c>
      <c r="X108" s="16" t="n">
        <f aca="false">IF(ISNUMBER(F108),F108+Coef_B1*(Climate_Shift+G107),"")</f>
        <v>28.6005873709089</v>
      </c>
      <c r="Y108" s="16" t="n">
        <f aca="false">IF(AND(ISNUMBER(X108),H108&lt;&gt;""),H108+Climate_Shift-X108,"")</f>
        <v>0.499412629091058</v>
      </c>
      <c r="Z108" s="16" t="n">
        <f aca="false">IF(ISNUMBER(Y108),ABS(Y108),"")</f>
        <v>0.499412629091058</v>
      </c>
      <c r="AA108" s="16" t="n">
        <f aca="false">IF(COUNT(Z102:Z108)=0,"",AVERAGE(Z102:Z108))</f>
        <v>1.63664009180606</v>
      </c>
      <c r="AB108" s="16" t="n">
        <f aca="false">IF(AD107=1,0,MAX(0,AB107+IF(ISNUMBER(Y108),Y108-CUSUM_k,0)))</f>
        <v>4.12500153357311</v>
      </c>
      <c r="AC108" s="16" t="n">
        <f aca="false">IF(AD107=1,0,MAX(0,AC107+IF(ISNUMBER(Y108),-Y108-CUSUM_k,0)))</f>
        <v>0</v>
      </c>
      <c r="AD108" s="17" t="n">
        <f aca="false">IF(OR(AB108&gt;CUSUM_h,AC108&gt;CUSUM_h,AND(ISNUMBER(AA108),AA108&gt;MAE_Tol)),1,0)</f>
        <v>0</v>
      </c>
      <c r="AE108" s="14" t="n">
        <f aca="false">IF(ISNUMBER(X108),IF(X108+Local_Sensing*UHI_Day_Eff&gt;=T_Day,1,0),0)</f>
        <v>1</v>
      </c>
      <c r="AF108" s="17" t="str">
        <f aca="false">IF(NOT(ISNUMBER(X108)),"n/a",IF(AND(AE108=1,N108=1),"Hit",IF(AND(AE108=0,N108=1),"Miss",IF(AND(AE108=1,N108=0),"False alarm","Correct quiet"))))</f>
        <v>Hit</v>
      </c>
      <c r="AG108" s="14" t="n">
        <f aca="false">IF(H108="",0,IF(H108+Climate_Shift&gt;=T_Day,1,0))</f>
        <v>1</v>
      </c>
      <c r="AH108" s="17" t="n">
        <f aca="false">IF(AND(N108=1,AG108=0),1,0)</f>
        <v>0</v>
      </c>
      <c r="AI108" s="17" t="str">
        <f aca="false">IF(U108=1,"ESCALATE: surge health &amp; transport capacity",IF(AD108=1,"Model drift: retrain, recalibrate, raise change request",IF(S108&gt;=2,"Activate heat plan: outreach and cooling centres",IF(AND(E108=1,OR(N108=1,O108=1)),"Data QA: verify sensor before acting",IF(AF108="Miss","Review missed alert: threshold or model",IF(AH108=1,"Equity: local alert not seen at reference station","Monitor"))))))</f>
        <v>Activate heat plan: outreach and cooling centres</v>
      </c>
      <c r="AN108" s="58" t="n">
        <f aca="false">T_Day</f>
        <v>28</v>
      </c>
      <c r="AO108" s="58" t="n">
        <f aca="false">Capacity</f>
        <v>40</v>
      </c>
      <c r="AP108" s="58" t="n">
        <f aca="false">CUSUM_h</f>
        <v>15</v>
      </c>
    </row>
    <row r="109" customFormat="false" ht="15" hidden="false" customHeight="false" outlineLevel="0" collapsed="false">
      <c r="A109" s="14" t="n">
        <v>101</v>
      </c>
      <c r="B109" s="14" t="n">
        <f aca="false">2+(SelYear-1979)*153+A109-1</f>
        <v>6681</v>
      </c>
      <c r="C109" s="55" t="n">
        <f aca="false">INDEX(Data_Heathrow!$A:$A,B109)</f>
        <v>44782</v>
      </c>
      <c r="D109" s="16" t="n">
        <f aca="false">INDEX(Data_Heathrow!$E:$E,B109)</f>
        <v>30.9</v>
      </c>
      <c r="E109" s="17" t="n">
        <f aca="false">INDEX(Data_Heathrow!$Q:$Q,B109)</f>
        <v>0</v>
      </c>
      <c r="F109" s="16" t="n">
        <f aca="false">INDEX(Data_Heathrow!$T:$T,B109)</f>
        <v>28.1309427813271</v>
      </c>
      <c r="G109" s="16" t="n">
        <f aca="false">IF(AND(Drift_Rate&lt;&gt;0,A109&gt;=Drift_Start),Drift_Rate*(A109-Drift_Start+1)/30,0)</f>
        <v>0</v>
      </c>
      <c r="H109" s="16" t="n">
        <f aca="false">IF(AND(E109=1,QA_Policy="Exclude suspect"),"",IF(AND(E109=1,QA_Policy="Impute with model",ISNUMBER(F109)),F109,D109)+G109)</f>
        <v>30.9</v>
      </c>
      <c r="I109" s="16" t="n">
        <f aca="false">IF(H109="","",H109+Climate_Shift+UHI_Day_Eff)</f>
        <v>32.9</v>
      </c>
      <c r="J109" s="16" t="n">
        <f aca="false">INDEX(Data_Heathrow!$G:$G,B109)</f>
        <v>15.6</v>
      </c>
      <c r="K109" s="16" t="n">
        <f aca="false">J109+Climate_Shift+UHI_Night_Eff</f>
        <v>19.6</v>
      </c>
      <c r="L109" s="16" t="n">
        <f aca="false">IF(INDEX(Data_Heathrow!$I:$I,B109)="","",INDEX(Data_Heathrow!$I:$I,B109))</f>
        <v>22.4</v>
      </c>
      <c r="M109" s="16" t="n">
        <f aca="false">IF(L109="","",L109+Climate_Shift+(UHI_Day_Eff+UHI_Night_Eff)/2)</f>
        <v>25.4</v>
      </c>
      <c r="N109" s="14" t="n">
        <f aca="false">IF(I109="",0,IF(I109&gt;=T_Day,1,0))</f>
        <v>1</v>
      </c>
      <c r="O109" s="14" t="n">
        <f aca="false">IF(K109&gt;=T_Night,1,0)</f>
        <v>1</v>
      </c>
      <c r="P109" s="14" t="n">
        <f aca="false">IF(N109=1,P108+1,0)</f>
        <v>4</v>
      </c>
      <c r="Q109" s="14" t="n">
        <f aca="false">IF(P109&gt;=HW_Days,1,0)</f>
        <v>1</v>
      </c>
      <c r="R109" s="17" t="str">
        <f aca="false">IF(AND(N109=1,I109&gt;=T_Red,O109=1),"RED",IF(AND(Q109=1,O109=1),"AMBER",IF(OR(N109=1,O109=1),"YELLOW","GREEN")))</f>
        <v>AMBER</v>
      </c>
      <c r="S109" s="14" t="n">
        <f aca="false">IF(R109="RED",3,IF(R109="AMBER",2,IF(R109="YELLOW",1,0)))</f>
        <v>2</v>
      </c>
      <c r="T109" s="16" t="n">
        <f aca="false">MAX(0,T108*(1-Decay)+IF(I109="",0,MAX(0,I109-T_Comfort))-Recovery_Rate*MAX(0,T_Night-K109))</f>
        <v>23.7365249399189</v>
      </c>
      <c r="U109" s="14" t="n">
        <f aca="false">IF(T109&gt;Capacity,1,0)</f>
        <v>0</v>
      </c>
      <c r="V109" s="15" t="n">
        <f aca="false">1/(1+EXP(-Logistic_k*(T109-Capacity)))</f>
        <v>0.0802082241271444</v>
      </c>
      <c r="W109" s="16" t="n">
        <f aca="false">IF(M109="",0,Beta*Pop_Share_Sel*(1-Sens_Red)*MAX(0,M109-T_Mort))</f>
        <v>2.99913892078071</v>
      </c>
      <c r="X109" s="16" t="n">
        <f aca="false">IF(ISNUMBER(F109),F109+Coef_B1*(Climate_Shift+G108),"")</f>
        <v>28.1309427813271</v>
      </c>
      <c r="Y109" s="16" t="n">
        <f aca="false">IF(AND(ISNUMBER(X109),H109&lt;&gt;""),H109+Climate_Shift-X109,"")</f>
        <v>2.76905721867286</v>
      </c>
      <c r="Z109" s="16" t="n">
        <f aca="false">IF(ISNUMBER(Y109),ABS(Y109),"")</f>
        <v>2.76905721867286</v>
      </c>
      <c r="AA109" s="16" t="n">
        <f aca="false">IF(COUNT(Z103:Z109)=0,"",AVERAGE(Z103:Z109))</f>
        <v>1.8696129019371</v>
      </c>
      <c r="AB109" s="16" t="n">
        <f aca="false">IF(AD108=1,0,MAX(0,AB108+IF(ISNUMBER(Y109),Y109-CUSUM_k,0)))</f>
        <v>5.89405875224596</v>
      </c>
      <c r="AC109" s="16" t="n">
        <f aca="false">IF(AD108=1,0,MAX(0,AC108+IF(ISNUMBER(Y109),-Y109-CUSUM_k,0)))</f>
        <v>0</v>
      </c>
      <c r="AD109" s="17" t="n">
        <f aca="false">IF(OR(AB109&gt;CUSUM_h,AC109&gt;CUSUM_h,AND(ISNUMBER(AA109),AA109&gt;MAE_Tol)),1,0)</f>
        <v>0</v>
      </c>
      <c r="AE109" s="14" t="n">
        <f aca="false">IF(ISNUMBER(X109),IF(X109+Local_Sensing*UHI_Day_Eff&gt;=T_Day,1,0),0)</f>
        <v>1</v>
      </c>
      <c r="AF109" s="17" t="str">
        <f aca="false">IF(NOT(ISNUMBER(X109)),"n/a",IF(AND(AE109=1,N109=1),"Hit",IF(AND(AE109=0,N109=1),"Miss",IF(AND(AE109=1,N109=0),"False alarm","Correct quiet"))))</f>
        <v>Hit</v>
      </c>
      <c r="AG109" s="14" t="n">
        <f aca="false">IF(H109="",0,IF(H109+Climate_Shift&gt;=T_Day,1,0))</f>
        <v>1</v>
      </c>
      <c r="AH109" s="17" t="n">
        <f aca="false">IF(AND(N109=1,AG109=0),1,0)</f>
        <v>0</v>
      </c>
      <c r="AI109" s="17" t="str">
        <f aca="false">IF(U109=1,"ESCALATE: surge health &amp; transport capacity",IF(AD109=1,"Model drift: retrain, recalibrate, raise change request",IF(S109&gt;=2,"Activate heat plan: outreach and cooling centres",IF(AND(E109=1,OR(N109=1,O109=1)),"Data QA: verify sensor before acting",IF(AF109="Miss","Review missed alert: threshold or model",IF(AH109=1,"Equity: local alert not seen at reference station","Monitor"))))))</f>
        <v>Activate heat plan: outreach and cooling centres</v>
      </c>
      <c r="AN109" s="58" t="n">
        <f aca="false">T_Day</f>
        <v>28</v>
      </c>
      <c r="AO109" s="58" t="n">
        <f aca="false">Capacity</f>
        <v>40</v>
      </c>
      <c r="AP109" s="58" t="n">
        <f aca="false">CUSUM_h</f>
        <v>15</v>
      </c>
    </row>
    <row r="110" customFormat="false" ht="15" hidden="false" customHeight="false" outlineLevel="0" collapsed="false">
      <c r="A110" s="14" t="n">
        <v>102</v>
      </c>
      <c r="B110" s="14" t="n">
        <f aca="false">2+(SelYear-1979)*153+A110-1</f>
        <v>6682</v>
      </c>
      <c r="C110" s="55" t="n">
        <f aca="false">INDEX(Data_Heathrow!$A:$A,B110)</f>
        <v>44783</v>
      </c>
      <c r="D110" s="16" t="n">
        <f aca="false">INDEX(Data_Heathrow!$E:$E,B110)</f>
        <v>33.3</v>
      </c>
      <c r="E110" s="17" t="n">
        <f aca="false">INDEX(Data_Heathrow!$Q:$Q,B110)</f>
        <v>0</v>
      </c>
      <c r="F110" s="16" t="n">
        <f aca="false">INDEX(Data_Heathrow!$T:$T,B110)</f>
        <v>29.6684931180719</v>
      </c>
      <c r="G110" s="16" t="n">
        <f aca="false">IF(AND(Drift_Rate&lt;&gt;0,A110&gt;=Drift_Start),Drift_Rate*(A110-Drift_Start+1)/30,0)</f>
        <v>0</v>
      </c>
      <c r="H110" s="16" t="n">
        <f aca="false">IF(AND(E110=1,QA_Policy="Exclude suspect"),"",IF(AND(E110=1,QA_Policy="Impute with model",ISNUMBER(F110)),F110,D110)+G110)</f>
        <v>33.3</v>
      </c>
      <c r="I110" s="16" t="n">
        <f aca="false">IF(H110="","",H110+Climate_Shift+UHI_Day_Eff)</f>
        <v>35.3</v>
      </c>
      <c r="J110" s="16" t="n">
        <f aca="false">INDEX(Data_Heathrow!$G:$G,B110)</f>
        <v>15</v>
      </c>
      <c r="K110" s="16" t="n">
        <f aca="false">J110+Climate_Shift+UHI_Night_Eff</f>
        <v>19</v>
      </c>
      <c r="L110" s="16" t="n">
        <f aca="false">IF(INDEX(Data_Heathrow!$I:$I,B110)="","",INDEX(Data_Heathrow!$I:$I,B110))</f>
        <v>22.9</v>
      </c>
      <c r="M110" s="16" t="n">
        <f aca="false">IF(L110="","",L110+Climate_Shift+(UHI_Day_Eff+UHI_Night_Eff)/2)</f>
        <v>25.9</v>
      </c>
      <c r="N110" s="14" t="n">
        <f aca="false">IF(I110="",0,IF(I110&gt;=T_Day,1,0))</f>
        <v>1</v>
      </c>
      <c r="O110" s="14" t="n">
        <f aca="false">IF(K110&gt;=T_Night,1,0)</f>
        <v>1</v>
      </c>
      <c r="P110" s="14" t="n">
        <f aca="false">IF(N110=1,P109+1,0)</f>
        <v>5</v>
      </c>
      <c r="Q110" s="14" t="n">
        <f aca="false">IF(P110&gt;=HW_Days,1,0)</f>
        <v>1</v>
      </c>
      <c r="R110" s="17" t="str">
        <f aca="false">IF(AND(N110=1,I110&gt;=T_Red,O110=1),"RED",IF(AND(Q110=1,O110=1),"AMBER",IF(OR(N110=1,O110=1),"YELLOW","GREEN")))</f>
        <v>RED</v>
      </c>
      <c r="S110" s="14" t="n">
        <f aca="false">IF(R110="RED",3,IF(R110="AMBER",2,IF(R110="YELLOW",1,0)))</f>
        <v>3</v>
      </c>
      <c r="T110" s="16" t="n">
        <f aca="false">MAX(0,T109*(1-Decay)+IF(I110="",0,MAX(0,I110-T_Comfort))-Recovery_Rate*MAX(0,T_Night-K110))</f>
        <v>29.2892199519351</v>
      </c>
      <c r="U110" s="14" t="n">
        <f aca="false">IF(T110&gt;Capacity,1,0)</f>
        <v>0</v>
      </c>
      <c r="V110" s="15" t="n">
        <f aca="false">1/(1+EXP(-Logistic_k*(T110-Capacity)))</f>
        <v>0.167058827548448</v>
      </c>
      <c r="W110" s="16" t="n">
        <f aca="false">IF(M110="",0,Beta*Pop_Share_Sel*(1-Sens_Red)*MAX(0,M110-T_Mort))</f>
        <v>3.27683696900115</v>
      </c>
      <c r="X110" s="16" t="n">
        <f aca="false">IF(ISNUMBER(F110),F110+Coef_B1*(Climate_Shift+G109),"")</f>
        <v>29.6684931180719</v>
      </c>
      <c r="Y110" s="16" t="n">
        <f aca="false">IF(AND(ISNUMBER(X110),H110&lt;&gt;""),H110+Climate_Shift-X110,"")</f>
        <v>3.63150688192809</v>
      </c>
      <c r="Z110" s="16" t="n">
        <f aca="false">IF(ISNUMBER(Y110),ABS(Y110),"")</f>
        <v>3.63150688192809</v>
      </c>
      <c r="AA110" s="16" t="n">
        <f aca="false">IF(COUNT(Z104:Z110)=0,"",AVERAGE(Z104:Z110))</f>
        <v>2.28558267004368</v>
      </c>
      <c r="AB110" s="16" t="n">
        <f aca="false">IF(AD109=1,0,MAX(0,AB109+IF(ISNUMBER(Y110),Y110-CUSUM_k,0)))</f>
        <v>8.52556563417406</v>
      </c>
      <c r="AC110" s="16" t="n">
        <f aca="false">IF(AD109=1,0,MAX(0,AC109+IF(ISNUMBER(Y110),-Y110-CUSUM_k,0)))</f>
        <v>0</v>
      </c>
      <c r="AD110" s="17" t="n">
        <f aca="false">IF(OR(AB110&gt;CUSUM_h,AC110&gt;CUSUM_h,AND(ISNUMBER(AA110),AA110&gt;MAE_Tol)),1,0)</f>
        <v>0</v>
      </c>
      <c r="AE110" s="14" t="n">
        <f aca="false">IF(ISNUMBER(X110),IF(X110+Local_Sensing*UHI_Day_Eff&gt;=T_Day,1,0),0)</f>
        <v>1</v>
      </c>
      <c r="AF110" s="17" t="str">
        <f aca="false">IF(NOT(ISNUMBER(X110)),"n/a",IF(AND(AE110=1,N110=1),"Hit",IF(AND(AE110=0,N110=1),"Miss",IF(AND(AE110=1,N110=0),"False alarm","Correct quiet"))))</f>
        <v>Hit</v>
      </c>
      <c r="AG110" s="14" t="n">
        <f aca="false">IF(H110="",0,IF(H110+Climate_Shift&gt;=T_Day,1,0))</f>
        <v>1</v>
      </c>
      <c r="AH110" s="17" t="n">
        <f aca="false">IF(AND(N110=1,AG110=0),1,0)</f>
        <v>0</v>
      </c>
      <c r="AI110" s="17" t="str">
        <f aca="false">IF(U110=1,"ESCALATE: surge health &amp; transport capacity",IF(AD110=1,"Model drift: retrain, recalibrate, raise change request",IF(S110&gt;=2,"Activate heat plan: outreach and cooling centres",IF(AND(E110=1,OR(N110=1,O110=1)),"Data QA: verify sensor before acting",IF(AF110="Miss","Review missed alert: threshold or model",IF(AH110=1,"Equity: local alert not seen at reference station","Monitor"))))))</f>
        <v>Activate heat plan: outreach and cooling centres</v>
      </c>
      <c r="AN110" s="58" t="n">
        <f aca="false">T_Day</f>
        <v>28</v>
      </c>
      <c r="AO110" s="58" t="n">
        <f aca="false">Capacity</f>
        <v>40</v>
      </c>
      <c r="AP110" s="58" t="n">
        <f aca="false">CUSUM_h</f>
        <v>15</v>
      </c>
    </row>
    <row r="111" customFormat="false" ht="15" hidden="false" customHeight="false" outlineLevel="0" collapsed="false">
      <c r="A111" s="14" t="n">
        <v>103</v>
      </c>
      <c r="B111" s="14" t="n">
        <f aca="false">2+(SelYear-1979)*153+A111-1</f>
        <v>6683</v>
      </c>
      <c r="C111" s="55" t="n">
        <f aca="false">INDEX(Data_Heathrow!$A:$A,B111)</f>
        <v>44784</v>
      </c>
      <c r="D111" s="16" t="n">
        <f aca="false">INDEX(Data_Heathrow!$E:$E,B111)</f>
        <v>33.9</v>
      </c>
      <c r="E111" s="17" t="n">
        <f aca="false">INDEX(Data_Heathrow!$Q:$Q,B111)</f>
        <v>0</v>
      </c>
      <c r="F111" s="16" t="n">
        <f aca="false">INDEX(Data_Heathrow!$T:$T,B111)</f>
        <v>31.5376605080089</v>
      </c>
      <c r="G111" s="16" t="n">
        <f aca="false">IF(AND(Drift_Rate&lt;&gt;0,A111&gt;=Drift_Start),Drift_Rate*(A111-Drift_Start+1)/30,0)</f>
        <v>0</v>
      </c>
      <c r="H111" s="16" t="n">
        <f aca="false">IF(AND(E111=1,QA_Policy="Exclude suspect"),"",IF(AND(E111=1,QA_Policy="Impute with model",ISNUMBER(F111)),F111,D111)+G111)</f>
        <v>33.9</v>
      </c>
      <c r="I111" s="16" t="n">
        <f aca="false">IF(H111="","",H111+Climate_Shift+UHI_Day_Eff)</f>
        <v>35.9</v>
      </c>
      <c r="J111" s="16" t="n">
        <f aca="false">INDEX(Data_Heathrow!$G:$G,B111)</f>
        <v>15.7</v>
      </c>
      <c r="K111" s="16" t="n">
        <f aca="false">J111+Climate_Shift+UHI_Night_Eff</f>
        <v>19.7</v>
      </c>
      <c r="L111" s="16" t="n">
        <f aca="false">IF(INDEX(Data_Heathrow!$I:$I,B111)="","",INDEX(Data_Heathrow!$I:$I,B111))</f>
        <v>24.5</v>
      </c>
      <c r="M111" s="16" t="n">
        <f aca="false">IF(L111="","",L111+Climate_Shift+(UHI_Day_Eff+UHI_Night_Eff)/2)</f>
        <v>27.5</v>
      </c>
      <c r="N111" s="14" t="n">
        <f aca="false">IF(I111="",0,IF(I111&gt;=T_Day,1,0))</f>
        <v>1</v>
      </c>
      <c r="O111" s="14" t="n">
        <f aca="false">IF(K111&gt;=T_Night,1,0)</f>
        <v>1</v>
      </c>
      <c r="P111" s="14" t="n">
        <f aca="false">IF(N111=1,P110+1,0)</f>
        <v>6</v>
      </c>
      <c r="Q111" s="14" t="n">
        <f aca="false">IF(P111&gt;=HW_Days,1,0)</f>
        <v>1</v>
      </c>
      <c r="R111" s="17" t="str">
        <f aca="false">IF(AND(N111=1,I111&gt;=T_Red,O111=1),"RED",IF(AND(Q111=1,O111=1),"AMBER",IF(OR(N111=1,O111=1),"YELLOW","GREEN")))</f>
        <v>RED</v>
      </c>
      <c r="S111" s="14" t="n">
        <f aca="false">IF(R111="RED",3,IF(R111="AMBER",2,IF(R111="YELLOW",1,0)))</f>
        <v>3</v>
      </c>
      <c r="T111" s="16" t="n">
        <f aca="false">MAX(0,T110*(1-Decay)+IF(I111="",0,MAX(0,I111-T_Comfort))-Recovery_Rate*MAX(0,T_Night-K111))</f>
        <v>34.3313759615481</v>
      </c>
      <c r="U111" s="14" t="n">
        <f aca="false">IF(T111&gt;Capacity,1,0)</f>
        <v>0</v>
      </c>
      <c r="V111" s="15" t="n">
        <f aca="false">1/(1+EXP(-Logistic_k*(T111-Capacity)))</f>
        <v>0.299371270642901</v>
      </c>
      <c r="W111" s="16" t="n">
        <f aca="false">IF(M111="",0,Beta*Pop_Share_Sel*(1-Sens_Red)*MAX(0,M111-T_Mort))</f>
        <v>4.16547072330654</v>
      </c>
      <c r="X111" s="16" t="n">
        <f aca="false">IF(ISNUMBER(F111),F111+Coef_B1*(Climate_Shift+G110),"")</f>
        <v>31.5376605080089</v>
      </c>
      <c r="Y111" s="16" t="n">
        <f aca="false">IF(AND(ISNUMBER(X111),H111&lt;&gt;""),H111+Climate_Shift-X111,"")</f>
        <v>2.36233949199108</v>
      </c>
      <c r="Z111" s="16" t="n">
        <f aca="false">IF(ISNUMBER(Y111),ABS(Y111),"")</f>
        <v>2.36233949199108</v>
      </c>
      <c r="AA111" s="16" t="n">
        <f aca="false">IF(COUNT(Z105:Z111)=0,"",AVERAGE(Z105:Z111))</f>
        <v>2.41255787516645</v>
      </c>
      <c r="AB111" s="16" t="n">
        <f aca="false">IF(AD110=1,0,MAX(0,AB110+IF(ISNUMBER(Y111),Y111-CUSUM_k,0)))</f>
        <v>9.88790512616514</v>
      </c>
      <c r="AC111" s="16" t="n">
        <f aca="false">IF(AD110=1,0,MAX(0,AC110+IF(ISNUMBER(Y111),-Y111-CUSUM_k,0)))</f>
        <v>0</v>
      </c>
      <c r="AD111" s="17" t="n">
        <f aca="false">IF(OR(AB111&gt;CUSUM_h,AC111&gt;CUSUM_h,AND(ISNUMBER(AA111),AA111&gt;MAE_Tol)),1,0)</f>
        <v>0</v>
      </c>
      <c r="AE111" s="14" t="n">
        <f aca="false">IF(ISNUMBER(X111),IF(X111+Local_Sensing*UHI_Day_Eff&gt;=T_Day,1,0),0)</f>
        <v>1</v>
      </c>
      <c r="AF111" s="17" t="str">
        <f aca="false">IF(NOT(ISNUMBER(X111)),"n/a",IF(AND(AE111=1,N111=1),"Hit",IF(AND(AE111=0,N111=1),"Miss",IF(AND(AE111=1,N111=0),"False alarm","Correct quiet"))))</f>
        <v>Hit</v>
      </c>
      <c r="AG111" s="14" t="n">
        <f aca="false">IF(H111="",0,IF(H111+Climate_Shift&gt;=T_Day,1,0))</f>
        <v>1</v>
      </c>
      <c r="AH111" s="17" t="n">
        <f aca="false">IF(AND(N111=1,AG111=0),1,0)</f>
        <v>0</v>
      </c>
      <c r="AI111" s="17" t="str">
        <f aca="false">IF(U111=1,"ESCALATE: surge health &amp; transport capacity",IF(AD111=1,"Model drift: retrain, recalibrate, raise change request",IF(S111&gt;=2,"Activate heat plan: outreach and cooling centres",IF(AND(E111=1,OR(N111=1,O111=1)),"Data QA: verify sensor before acting",IF(AF111="Miss","Review missed alert: threshold or model",IF(AH111=1,"Equity: local alert not seen at reference station","Monitor"))))))</f>
        <v>Activate heat plan: outreach and cooling centres</v>
      </c>
      <c r="AN111" s="58" t="n">
        <f aca="false">T_Day</f>
        <v>28</v>
      </c>
      <c r="AO111" s="58" t="n">
        <f aca="false">Capacity</f>
        <v>40</v>
      </c>
      <c r="AP111" s="58" t="n">
        <f aca="false">CUSUM_h</f>
        <v>15</v>
      </c>
    </row>
    <row r="112" customFormat="false" ht="15" hidden="false" customHeight="false" outlineLevel="0" collapsed="false">
      <c r="A112" s="14" t="n">
        <v>104</v>
      </c>
      <c r="B112" s="14" t="n">
        <f aca="false">2+(SelYear-1979)*153+A112-1</f>
        <v>6684</v>
      </c>
      <c r="C112" s="55" t="n">
        <f aca="false">INDEX(Data_Heathrow!$A:$A,B112)</f>
        <v>44785</v>
      </c>
      <c r="D112" s="16" t="n">
        <f aca="false">INDEX(Data_Heathrow!$E:$E,B112)</f>
        <v>34.2</v>
      </c>
      <c r="E112" s="17" t="n">
        <f aca="false">INDEX(Data_Heathrow!$Q:$Q,B112)</f>
        <v>0</v>
      </c>
      <c r="F112" s="16" t="n">
        <f aca="false">INDEX(Data_Heathrow!$T:$T,B112)</f>
        <v>31.9037844452986</v>
      </c>
      <c r="G112" s="16" t="n">
        <f aca="false">IF(AND(Drift_Rate&lt;&gt;0,A112&gt;=Drift_Start),Drift_Rate*(A112-Drift_Start+1)/30,0)</f>
        <v>0</v>
      </c>
      <c r="H112" s="16" t="n">
        <f aca="false">IF(AND(E112=1,QA_Policy="Exclude suspect"),"",IF(AND(E112=1,QA_Policy="Impute with model",ISNUMBER(F112)),F112,D112)+G112)</f>
        <v>34.2</v>
      </c>
      <c r="I112" s="16" t="n">
        <f aca="false">IF(H112="","",H112+Climate_Shift+UHI_Day_Eff)</f>
        <v>36.2</v>
      </c>
      <c r="J112" s="16" t="n">
        <f aca="false">INDEX(Data_Heathrow!$G:$G,B112)</f>
        <v>17.6</v>
      </c>
      <c r="K112" s="16" t="n">
        <f aca="false">J112+Climate_Shift+UHI_Night_Eff</f>
        <v>21.6</v>
      </c>
      <c r="L112" s="16" t="n">
        <f aca="false">IF(INDEX(Data_Heathrow!$I:$I,B112)="","",INDEX(Data_Heathrow!$I:$I,B112))</f>
        <v>25.8</v>
      </c>
      <c r="M112" s="16" t="n">
        <f aca="false">IF(L112="","",L112+Climate_Shift+(UHI_Day_Eff+UHI_Night_Eff)/2)</f>
        <v>28.8</v>
      </c>
      <c r="N112" s="14" t="n">
        <f aca="false">IF(I112="",0,IF(I112&gt;=T_Day,1,0))</f>
        <v>1</v>
      </c>
      <c r="O112" s="14" t="n">
        <f aca="false">IF(K112&gt;=T_Night,1,0)</f>
        <v>1</v>
      </c>
      <c r="P112" s="14" t="n">
        <f aca="false">IF(N112=1,P111+1,0)</f>
        <v>7</v>
      </c>
      <c r="Q112" s="14" t="n">
        <f aca="false">IF(P112&gt;=HW_Days,1,0)</f>
        <v>1</v>
      </c>
      <c r="R112" s="17" t="str">
        <f aca="false">IF(AND(N112=1,I112&gt;=T_Red,O112=1),"RED",IF(AND(Q112=1,O112=1),"AMBER",IF(OR(N112=1,O112=1),"YELLOW","GREEN")))</f>
        <v>RED</v>
      </c>
      <c r="S112" s="14" t="n">
        <f aca="false">IF(R112="RED",3,IF(R112="AMBER",2,IF(R112="YELLOW",1,0)))</f>
        <v>3</v>
      </c>
      <c r="T112" s="16" t="n">
        <f aca="false">MAX(0,T111*(1-Decay)+IF(I112="",0,MAX(0,I112-T_Comfort))-Recovery_Rate*MAX(0,T_Night-K112))</f>
        <v>38.6651007692385</v>
      </c>
      <c r="U112" s="14" t="n">
        <f aca="false">IF(T112&gt;Capacity,1,0)</f>
        <v>0</v>
      </c>
      <c r="V112" s="15" t="n">
        <f aca="false">1/(1+EXP(-Logistic_k*(T112-Capacity)))</f>
        <v>0.450107865533602</v>
      </c>
      <c r="W112" s="16" t="n">
        <f aca="false">IF(M112="",0,Beta*Pop_Share_Sel*(1-Sens_Red)*MAX(0,M112-T_Mort))</f>
        <v>4.88748564867968</v>
      </c>
      <c r="X112" s="16" t="n">
        <f aca="false">IF(ISNUMBER(F112),F112+Coef_B1*(Climate_Shift+G111),"")</f>
        <v>31.9037844452986</v>
      </c>
      <c r="Y112" s="16" t="n">
        <f aca="false">IF(AND(ISNUMBER(X112),H112&lt;&gt;""),H112+Climate_Shift-X112,"")</f>
        <v>2.29621555470145</v>
      </c>
      <c r="Z112" s="16" t="n">
        <f aca="false">IF(ISNUMBER(Y112),ABS(Y112),"")</f>
        <v>2.29621555470145</v>
      </c>
      <c r="AA112" s="16" t="n">
        <f aca="false">IF(COUNT(Z106:Z112)=0,"",AVERAGE(Z106:Z112))</f>
        <v>2.48781290172986</v>
      </c>
      <c r="AB112" s="16" t="n">
        <f aca="false">IF(AD111=1,0,MAX(0,AB111+IF(ISNUMBER(Y112),Y112-CUSUM_k,0)))</f>
        <v>11.1841206808666</v>
      </c>
      <c r="AC112" s="16" t="n">
        <f aca="false">IF(AD111=1,0,MAX(0,AC111+IF(ISNUMBER(Y112),-Y112-CUSUM_k,0)))</f>
        <v>0</v>
      </c>
      <c r="AD112" s="17" t="n">
        <f aca="false">IF(OR(AB112&gt;CUSUM_h,AC112&gt;CUSUM_h,AND(ISNUMBER(AA112),AA112&gt;MAE_Tol)),1,0)</f>
        <v>0</v>
      </c>
      <c r="AE112" s="14" t="n">
        <f aca="false">IF(ISNUMBER(X112),IF(X112+Local_Sensing*UHI_Day_Eff&gt;=T_Day,1,0),0)</f>
        <v>1</v>
      </c>
      <c r="AF112" s="17" t="str">
        <f aca="false">IF(NOT(ISNUMBER(X112)),"n/a",IF(AND(AE112=1,N112=1),"Hit",IF(AND(AE112=0,N112=1),"Miss",IF(AND(AE112=1,N112=0),"False alarm","Correct quiet"))))</f>
        <v>Hit</v>
      </c>
      <c r="AG112" s="14" t="n">
        <f aca="false">IF(H112="",0,IF(H112+Climate_Shift&gt;=T_Day,1,0))</f>
        <v>1</v>
      </c>
      <c r="AH112" s="17" t="n">
        <f aca="false">IF(AND(N112=1,AG112=0),1,0)</f>
        <v>0</v>
      </c>
      <c r="AI112" s="17" t="str">
        <f aca="false">IF(U112=1,"ESCALATE: surge health &amp; transport capacity",IF(AD112=1,"Model drift: retrain, recalibrate, raise change request",IF(S112&gt;=2,"Activate heat plan: outreach and cooling centres",IF(AND(E112=1,OR(N112=1,O112=1)),"Data QA: verify sensor before acting",IF(AF112="Miss","Review missed alert: threshold or model",IF(AH112=1,"Equity: local alert not seen at reference station","Monitor"))))))</f>
        <v>Activate heat plan: outreach and cooling centres</v>
      </c>
      <c r="AN112" s="58" t="n">
        <f aca="false">T_Day</f>
        <v>28</v>
      </c>
      <c r="AO112" s="58" t="n">
        <f aca="false">Capacity</f>
        <v>40</v>
      </c>
      <c r="AP112" s="58" t="n">
        <f aca="false">CUSUM_h</f>
        <v>15</v>
      </c>
    </row>
    <row r="113" customFormat="false" ht="15" hidden="false" customHeight="false" outlineLevel="0" collapsed="false">
      <c r="A113" s="14" t="n">
        <v>105</v>
      </c>
      <c r="B113" s="14" t="n">
        <f aca="false">2+(SelYear-1979)*153+A113-1</f>
        <v>6685</v>
      </c>
      <c r="C113" s="55" t="n">
        <f aca="false">INDEX(Data_Heathrow!$A:$A,B113)</f>
        <v>44786</v>
      </c>
      <c r="D113" s="16" t="n">
        <f aca="false">INDEX(Data_Heathrow!$E:$E,B113)</f>
        <v>33.1</v>
      </c>
      <c r="E113" s="17" t="n">
        <f aca="false">INDEX(Data_Heathrow!$Q:$Q,B113)</f>
        <v>0</v>
      </c>
      <c r="F113" s="16" t="n">
        <f aca="false">INDEX(Data_Heathrow!$T:$T,B113)</f>
        <v>32.0429285614558</v>
      </c>
      <c r="G113" s="16" t="n">
        <f aca="false">IF(AND(Drift_Rate&lt;&gt;0,A113&gt;=Drift_Start),Drift_Rate*(A113-Drift_Start+1)/30,0)</f>
        <v>0</v>
      </c>
      <c r="H113" s="16" t="n">
        <f aca="false">IF(AND(E113=1,QA_Policy="Exclude suspect"),"",IF(AND(E113=1,QA_Policy="Impute with model",ISNUMBER(F113)),F113,D113)+G113)</f>
        <v>33.1</v>
      </c>
      <c r="I113" s="16" t="n">
        <f aca="false">IF(H113="","",H113+Climate_Shift+UHI_Day_Eff)</f>
        <v>35.1</v>
      </c>
      <c r="J113" s="16" t="n">
        <f aca="false">INDEX(Data_Heathrow!$G:$G,B113)</f>
        <v>18.2</v>
      </c>
      <c r="K113" s="16" t="n">
        <f aca="false">J113+Climate_Shift+UHI_Night_Eff</f>
        <v>22.2</v>
      </c>
      <c r="L113" s="16" t="n">
        <f aca="false">IF(INDEX(Data_Heathrow!$I:$I,B113)="","",INDEX(Data_Heathrow!$I:$I,B113))</f>
        <v>26.2</v>
      </c>
      <c r="M113" s="16" t="n">
        <f aca="false">IF(L113="","",L113+Climate_Shift+(UHI_Day_Eff+UHI_Night_Eff)/2)</f>
        <v>29.2</v>
      </c>
      <c r="N113" s="14" t="n">
        <f aca="false">IF(I113="",0,IF(I113&gt;=T_Day,1,0))</f>
        <v>1</v>
      </c>
      <c r="O113" s="14" t="n">
        <f aca="false">IF(K113&gt;=T_Night,1,0)</f>
        <v>1</v>
      </c>
      <c r="P113" s="14" t="n">
        <f aca="false">IF(N113=1,P112+1,0)</f>
        <v>8</v>
      </c>
      <c r="Q113" s="14" t="n">
        <f aca="false">IF(P113&gt;=HW_Days,1,0)</f>
        <v>1</v>
      </c>
      <c r="R113" s="17" t="str">
        <f aca="false">IF(AND(N113=1,I113&gt;=T_Red,O113=1),"RED",IF(AND(Q113=1,O113=1),"AMBER",IF(OR(N113=1,O113=1),"YELLOW","GREEN")))</f>
        <v>RED</v>
      </c>
      <c r="S113" s="14" t="n">
        <f aca="false">IF(R113="RED",3,IF(R113="AMBER",2,IF(R113="YELLOW",1,0)))</f>
        <v>3</v>
      </c>
      <c r="T113" s="16" t="n">
        <f aca="false">MAX(0,T112*(1-Decay)+IF(I113="",0,MAX(0,I113-T_Comfort))-Recovery_Rate*MAX(0,T_Night-K113))</f>
        <v>41.0320806153908</v>
      </c>
      <c r="U113" s="14" t="n">
        <f aca="false">IF(T113&gt;Capacity,1,0)</f>
        <v>1</v>
      </c>
      <c r="V113" s="15" t="n">
        <f aca="false">1/(1+EXP(-Logistic_k*(T113-Capacity)))</f>
        <v>0.538625908973644</v>
      </c>
      <c r="W113" s="16" t="n">
        <f aca="false">IF(M113="",0,Beta*Pop_Share_Sel*(1-Sens_Red)*MAX(0,M113-T_Mort))</f>
        <v>5.10964408725603</v>
      </c>
      <c r="X113" s="16" t="n">
        <f aca="false">IF(ISNUMBER(F113),F113+Coef_B1*(Climate_Shift+G112),"")</f>
        <v>32.0429285614558</v>
      </c>
      <c r="Y113" s="16" t="n">
        <f aca="false">IF(AND(ISNUMBER(X113),H113&lt;&gt;""),H113+Climate_Shift-X113,"")</f>
        <v>1.05707143854421</v>
      </c>
      <c r="Z113" s="16" t="n">
        <f aca="false">IF(ISNUMBER(Y113),ABS(Y113),"")</f>
        <v>1.05707143854421</v>
      </c>
      <c r="AA113" s="16" t="n">
        <f aca="false">IF(COUNT(Z107:Z113)=0,"",AVERAGE(Z107:Z113))</f>
        <v>2.19388620183206</v>
      </c>
      <c r="AB113" s="16" t="n">
        <f aca="false">IF(AD112=1,0,MAX(0,AB112+IF(ISNUMBER(Y113),Y113-CUSUM_k,0)))</f>
        <v>11.2411921194108</v>
      </c>
      <c r="AC113" s="16" t="n">
        <f aca="false">IF(AD112=1,0,MAX(0,AC112+IF(ISNUMBER(Y113),-Y113-CUSUM_k,0)))</f>
        <v>0</v>
      </c>
      <c r="AD113" s="17" t="n">
        <f aca="false">IF(OR(AB113&gt;CUSUM_h,AC113&gt;CUSUM_h,AND(ISNUMBER(AA113),AA113&gt;MAE_Tol)),1,0)</f>
        <v>0</v>
      </c>
      <c r="AE113" s="14" t="n">
        <f aca="false">IF(ISNUMBER(X113),IF(X113+Local_Sensing*UHI_Day_Eff&gt;=T_Day,1,0),0)</f>
        <v>1</v>
      </c>
      <c r="AF113" s="17" t="str">
        <f aca="false">IF(NOT(ISNUMBER(X113)),"n/a",IF(AND(AE113=1,N113=1),"Hit",IF(AND(AE113=0,N113=1),"Miss",IF(AND(AE113=1,N113=0),"False alarm","Correct quiet"))))</f>
        <v>Hit</v>
      </c>
      <c r="AG113" s="14" t="n">
        <f aca="false">IF(H113="",0,IF(H113+Climate_Shift&gt;=T_Day,1,0))</f>
        <v>1</v>
      </c>
      <c r="AH113" s="17" t="n">
        <f aca="false">IF(AND(N113=1,AG113=0),1,0)</f>
        <v>0</v>
      </c>
      <c r="AI113" s="17" t="str">
        <f aca="false">IF(U113=1,"ESCALATE: surge health &amp; transport capacity",IF(AD113=1,"Model drift: retrain, recalibrate, raise change request",IF(S113&gt;=2,"Activate heat plan: outreach and cooling centres",IF(AND(E113=1,OR(N113=1,O113=1)),"Data QA: verify sensor before acting",IF(AF113="Miss","Review missed alert: threshold or model",IF(AH113=1,"Equity: local alert not seen at reference station","Monitor"))))))</f>
        <v>ESCALATE: surge health &amp; transport capacity</v>
      </c>
      <c r="AN113" s="58" t="n">
        <f aca="false">T_Day</f>
        <v>28</v>
      </c>
      <c r="AO113" s="58" t="n">
        <f aca="false">Capacity</f>
        <v>40</v>
      </c>
      <c r="AP113" s="58" t="n">
        <f aca="false">CUSUM_h</f>
        <v>15</v>
      </c>
    </row>
    <row r="114" customFormat="false" ht="15" hidden="false" customHeight="false" outlineLevel="0" collapsed="false">
      <c r="A114" s="14" t="n">
        <v>106</v>
      </c>
      <c r="B114" s="14" t="n">
        <f aca="false">2+(SelYear-1979)*153+A114-1</f>
        <v>6686</v>
      </c>
      <c r="C114" s="55" t="n">
        <f aca="false">INDEX(Data_Heathrow!$A:$A,B114)</f>
        <v>44787</v>
      </c>
      <c r="D114" s="16" t="n">
        <f aca="false">INDEX(Data_Heathrow!$E:$E,B114)</f>
        <v>29.5</v>
      </c>
      <c r="E114" s="17" t="n">
        <f aca="false">INDEX(Data_Heathrow!$Q:$Q,B114)</f>
        <v>0</v>
      </c>
      <c r="F114" s="16" t="n">
        <f aca="false">INDEX(Data_Heathrow!$T:$T,B114)</f>
        <v>31.0067649021827</v>
      </c>
      <c r="G114" s="16" t="n">
        <f aca="false">IF(AND(Drift_Rate&lt;&gt;0,A114&gt;=Drift_Start),Drift_Rate*(A114-Drift_Start+1)/30,0)</f>
        <v>0</v>
      </c>
      <c r="H114" s="16" t="n">
        <f aca="false">IF(AND(E114=1,QA_Policy="Exclude suspect"),"",IF(AND(E114=1,QA_Policy="Impute with model",ISNUMBER(F114)),F114,D114)+G114)</f>
        <v>29.5</v>
      </c>
      <c r="I114" s="16" t="n">
        <f aca="false">IF(H114="","",H114+Climate_Shift+UHI_Day_Eff)</f>
        <v>31.5</v>
      </c>
      <c r="J114" s="16" t="n">
        <f aca="false">INDEX(Data_Heathrow!$G:$G,B114)</f>
        <v>18.2</v>
      </c>
      <c r="K114" s="16" t="n">
        <f aca="false">J114+Climate_Shift+UHI_Night_Eff</f>
        <v>22.2</v>
      </c>
      <c r="L114" s="16" t="n">
        <f aca="false">IF(INDEX(Data_Heathrow!$I:$I,B114)="","",INDEX(Data_Heathrow!$I:$I,B114))</f>
        <v>25.6</v>
      </c>
      <c r="M114" s="16" t="n">
        <f aca="false">IF(L114="","",L114+Climate_Shift+(UHI_Day_Eff+UHI_Night_Eff)/2)</f>
        <v>28.6</v>
      </c>
      <c r="N114" s="14" t="n">
        <f aca="false">IF(I114="",0,IF(I114&gt;=T_Day,1,0))</f>
        <v>1</v>
      </c>
      <c r="O114" s="14" t="n">
        <f aca="false">IF(K114&gt;=T_Night,1,0)</f>
        <v>1</v>
      </c>
      <c r="P114" s="14" t="n">
        <f aca="false">IF(N114=1,P113+1,0)</f>
        <v>9</v>
      </c>
      <c r="Q114" s="14" t="n">
        <f aca="false">IF(P114&gt;=HW_Days,1,0)</f>
        <v>1</v>
      </c>
      <c r="R114" s="17" t="str">
        <f aca="false">IF(AND(N114=1,I114&gt;=T_Red,O114=1),"RED",IF(AND(Q114=1,O114=1),"AMBER",IF(OR(N114=1,O114=1),"YELLOW","GREEN")))</f>
        <v>AMBER</v>
      </c>
      <c r="S114" s="14" t="n">
        <f aca="false">IF(R114="RED",3,IF(R114="AMBER",2,IF(R114="YELLOW",1,0)))</f>
        <v>2</v>
      </c>
      <c r="T114" s="16" t="n">
        <f aca="false">MAX(0,T113*(1-Decay)+IF(I114="",0,MAX(0,I114-T_Comfort))-Recovery_Rate*MAX(0,T_Night-K114))</f>
        <v>39.3256644923126</v>
      </c>
      <c r="U114" s="14" t="n">
        <f aca="false">IF(T114&gt;Capacity,1,0)</f>
        <v>0</v>
      </c>
      <c r="V114" s="15" t="n">
        <f aca="false">1/(1+EXP(-Logistic_k*(T114-Capacity)))</f>
        <v>0.474733957014267</v>
      </c>
      <c r="W114" s="16" t="n">
        <f aca="false">IF(M114="",0,Beta*Pop_Share_Sel*(1-Sens_Red)*MAX(0,M114-T_Mort))</f>
        <v>4.7764064293915</v>
      </c>
      <c r="X114" s="16" t="n">
        <f aca="false">IF(ISNUMBER(F114),F114+Coef_B1*(Climate_Shift+G113),"")</f>
        <v>31.0067649021827</v>
      </c>
      <c r="Y114" s="16" t="n">
        <f aca="false">IF(AND(ISNUMBER(X114),H114&lt;&gt;""),H114+Climate_Shift-X114,"")</f>
        <v>-1.50676490218271</v>
      </c>
      <c r="Z114" s="16" t="n">
        <f aca="false">IF(ISNUMBER(Y114),ABS(Y114),"")</f>
        <v>1.50676490218271</v>
      </c>
      <c r="AA114" s="16" t="n">
        <f aca="false">IF(COUNT(Z108:Z114)=0,"",AVERAGE(Z108:Z114))</f>
        <v>2.01748115958735</v>
      </c>
      <c r="AB114" s="16" t="n">
        <f aca="false">IF(AD113=1,0,MAX(0,AB113+IF(ISNUMBER(Y114),Y114-CUSUM_k,0)))</f>
        <v>8.73442721722808</v>
      </c>
      <c r="AC114" s="16" t="n">
        <f aca="false">IF(AD113=1,0,MAX(0,AC113+IF(ISNUMBER(Y114),-Y114-CUSUM_k,0)))</f>
        <v>0.506764902182713</v>
      </c>
      <c r="AD114" s="17" t="n">
        <f aca="false">IF(OR(AB114&gt;CUSUM_h,AC114&gt;CUSUM_h,AND(ISNUMBER(AA114),AA114&gt;MAE_Tol)),1,0)</f>
        <v>0</v>
      </c>
      <c r="AE114" s="14" t="n">
        <f aca="false">IF(ISNUMBER(X114),IF(X114+Local_Sensing*UHI_Day_Eff&gt;=T_Day,1,0),0)</f>
        <v>1</v>
      </c>
      <c r="AF114" s="17" t="str">
        <f aca="false">IF(NOT(ISNUMBER(X114)),"n/a",IF(AND(AE114=1,N114=1),"Hit",IF(AND(AE114=0,N114=1),"Miss",IF(AND(AE114=1,N114=0),"False alarm","Correct quiet"))))</f>
        <v>Hit</v>
      </c>
      <c r="AG114" s="14" t="n">
        <f aca="false">IF(H114="",0,IF(H114+Climate_Shift&gt;=T_Day,1,0))</f>
        <v>1</v>
      </c>
      <c r="AH114" s="17" t="n">
        <f aca="false">IF(AND(N114=1,AG114=0),1,0)</f>
        <v>0</v>
      </c>
      <c r="AI114" s="17" t="str">
        <f aca="false">IF(U114=1,"ESCALATE: surge health &amp; transport capacity",IF(AD114=1,"Model drift: retrain, recalibrate, raise change request",IF(S114&gt;=2,"Activate heat plan: outreach and cooling centres",IF(AND(E114=1,OR(N114=1,O114=1)),"Data QA: verify sensor before acting",IF(AF114="Miss","Review missed alert: threshold or model",IF(AH114=1,"Equity: local alert not seen at reference station","Monitor"))))))</f>
        <v>Activate heat plan: outreach and cooling centres</v>
      </c>
      <c r="AN114" s="58" t="n">
        <f aca="false">T_Day</f>
        <v>28</v>
      </c>
      <c r="AO114" s="58" t="n">
        <f aca="false">Capacity</f>
        <v>40</v>
      </c>
      <c r="AP114" s="58" t="n">
        <f aca="false">CUSUM_h</f>
        <v>15</v>
      </c>
    </row>
    <row r="115" customFormat="false" ht="15" hidden="false" customHeight="false" outlineLevel="0" collapsed="false">
      <c r="A115" s="14" t="n">
        <v>107</v>
      </c>
      <c r="B115" s="14" t="n">
        <f aca="false">2+(SelYear-1979)*153+A115-1</f>
        <v>6687</v>
      </c>
      <c r="C115" s="55" t="n">
        <f aca="false">INDEX(Data_Heathrow!$A:$A,B115)</f>
        <v>44788</v>
      </c>
      <c r="D115" s="16" t="n">
        <f aca="false">INDEX(Data_Heathrow!$E:$E,B115)</f>
        <v>23.6</v>
      </c>
      <c r="E115" s="17" t="n">
        <f aca="false">INDEX(Data_Heathrow!$Q:$Q,B115)</f>
        <v>1</v>
      </c>
      <c r="F115" s="16" t="n">
        <f aca="false">INDEX(Data_Heathrow!$T:$T,B115)</f>
        <v>27.8375545447912</v>
      </c>
      <c r="G115" s="16" t="n">
        <f aca="false">IF(AND(Drift_Rate&lt;&gt;0,A115&gt;=Drift_Start),Drift_Rate*(A115-Drift_Start+1)/30,0)</f>
        <v>0</v>
      </c>
      <c r="H115" s="16" t="n">
        <f aca="false">IF(AND(E115=1,QA_Policy="Exclude suspect"),"",IF(AND(E115=1,QA_Policy="Impute with model",ISNUMBER(F115)),F115,D115)+G115)</f>
        <v>23.6</v>
      </c>
      <c r="I115" s="16" t="n">
        <f aca="false">IF(H115="","",H115+Climate_Shift+UHI_Day_Eff)</f>
        <v>25.6</v>
      </c>
      <c r="J115" s="16" t="n">
        <f aca="false">INDEX(Data_Heathrow!$G:$G,B115)</f>
        <v>18.1</v>
      </c>
      <c r="K115" s="16" t="n">
        <f aca="false">J115+Climate_Shift+UHI_Night_Eff</f>
        <v>22.1</v>
      </c>
      <c r="L115" s="16" t="n">
        <f aca="false">IF(INDEX(Data_Heathrow!$I:$I,B115)="","",INDEX(Data_Heathrow!$I:$I,B115))</f>
        <v>23.8</v>
      </c>
      <c r="M115" s="16" t="n">
        <f aca="false">IF(L115="","",L115+Climate_Shift+(UHI_Day_Eff+UHI_Night_Eff)/2)</f>
        <v>26.8</v>
      </c>
      <c r="N115" s="14" t="n">
        <f aca="false">IF(I115="",0,IF(I115&gt;=T_Day,1,0))</f>
        <v>0</v>
      </c>
      <c r="O115" s="14" t="n">
        <f aca="false">IF(K115&gt;=T_Night,1,0)</f>
        <v>1</v>
      </c>
      <c r="P115" s="14" t="n">
        <f aca="false">IF(N115=1,P114+1,0)</f>
        <v>0</v>
      </c>
      <c r="Q115" s="14" t="n">
        <f aca="false">IF(P115&gt;=HW_Days,1,0)</f>
        <v>0</v>
      </c>
      <c r="R115" s="17" t="str">
        <f aca="false">IF(AND(N115=1,I115&gt;=T_Red,O115=1),"RED",IF(AND(Q115=1,O115=1),"AMBER",IF(OR(N115=1,O115=1),"YELLOW","GREEN")))</f>
        <v>YELLOW</v>
      </c>
      <c r="S115" s="14" t="n">
        <f aca="false">IF(R115="RED",3,IF(R115="AMBER",2,IF(R115="YELLOW",1,0)))</f>
        <v>1</v>
      </c>
      <c r="T115" s="16" t="n">
        <f aca="false">MAX(0,T114*(1-Decay)+IF(I115="",0,MAX(0,I115-T_Comfort))-Recovery_Rate*MAX(0,T_Night-K115))</f>
        <v>32.0605315938501</v>
      </c>
      <c r="U115" s="14" t="n">
        <f aca="false">IF(T115&gt;Capacity,1,0)</f>
        <v>0</v>
      </c>
      <c r="V115" s="15" t="n">
        <f aca="false">1/(1+EXP(-Logistic_k*(T115-Capacity)))</f>
        <v>0.233094388240718</v>
      </c>
      <c r="W115" s="16" t="n">
        <f aca="false">IF(M115="",0,Beta*Pop_Share_Sel*(1-Sens_Red)*MAX(0,M115-T_Mort))</f>
        <v>3.77669345579793</v>
      </c>
      <c r="X115" s="16" t="n">
        <f aca="false">IF(ISNUMBER(F115),F115+Coef_B1*(Climate_Shift+G114),"")</f>
        <v>27.8375545447912</v>
      </c>
      <c r="Y115" s="16" t="n">
        <f aca="false">IF(AND(ISNUMBER(X115),H115&lt;&gt;""),H115+Climate_Shift-X115,"")</f>
        <v>-4.23755454479122</v>
      </c>
      <c r="Z115" s="16" t="n">
        <f aca="false">IF(ISNUMBER(Y115),ABS(Y115),"")</f>
        <v>4.23755454479122</v>
      </c>
      <c r="AA115" s="16" t="n">
        <f aca="false">IF(COUNT(Z109:Z115)=0,"",AVERAGE(Z109:Z115))</f>
        <v>2.5515014332588</v>
      </c>
      <c r="AB115" s="16" t="n">
        <f aca="false">IF(AD114=1,0,MAX(0,AB114+IF(ISNUMBER(Y115),Y115-CUSUM_k,0)))</f>
        <v>3.49687267243686</v>
      </c>
      <c r="AC115" s="16" t="n">
        <f aca="false">IF(AD114=1,0,MAX(0,AC114+IF(ISNUMBER(Y115),-Y115-CUSUM_k,0)))</f>
        <v>3.74431944697393</v>
      </c>
      <c r="AD115" s="17" t="n">
        <f aca="false">IF(OR(AB115&gt;CUSUM_h,AC115&gt;CUSUM_h,AND(ISNUMBER(AA115),AA115&gt;MAE_Tol)),1,0)</f>
        <v>0</v>
      </c>
      <c r="AE115" s="14" t="n">
        <f aca="false">IF(ISNUMBER(X115),IF(X115+Local_Sensing*UHI_Day_Eff&gt;=T_Day,1,0),0)</f>
        <v>0</v>
      </c>
      <c r="AF115" s="17" t="str">
        <f aca="false">IF(NOT(ISNUMBER(X115)),"n/a",IF(AND(AE115=1,N115=1),"Hit",IF(AND(AE115=0,N115=1),"Miss",IF(AND(AE115=1,N115=0),"False alarm","Correct quiet"))))</f>
        <v>Correct quiet</v>
      </c>
      <c r="AG115" s="14" t="n">
        <f aca="false">IF(H115="",0,IF(H115+Climate_Shift&gt;=T_Day,1,0))</f>
        <v>0</v>
      </c>
      <c r="AH115" s="17" t="n">
        <f aca="false">IF(AND(N115=1,AG115=0),1,0)</f>
        <v>0</v>
      </c>
      <c r="AI115" s="17" t="str">
        <f aca="false">IF(U115=1,"ESCALATE: surge health &amp; transport capacity",IF(AD115=1,"Model drift: retrain, recalibrate, raise change request",IF(S115&gt;=2,"Activate heat plan: outreach and cooling centres",IF(AND(E115=1,OR(N115=1,O115=1)),"Data QA: verify sensor before acting",IF(AF115="Miss","Review missed alert: threshold or model",IF(AH115=1,"Equity: local alert not seen at reference station","Monitor"))))))</f>
        <v>Data QA: verify sensor before acting</v>
      </c>
      <c r="AN115" s="58" t="n">
        <f aca="false">T_Day</f>
        <v>28</v>
      </c>
      <c r="AO115" s="58" t="n">
        <f aca="false">Capacity</f>
        <v>40</v>
      </c>
      <c r="AP115" s="58" t="n">
        <f aca="false">CUSUM_h</f>
        <v>15</v>
      </c>
    </row>
    <row r="116" customFormat="false" ht="15" hidden="false" customHeight="false" outlineLevel="0" collapsed="false">
      <c r="A116" s="14" t="n">
        <v>108</v>
      </c>
      <c r="B116" s="14" t="n">
        <f aca="false">2+(SelYear-1979)*153+A116-1</f>
        <v>6688</v>
      </c>
      <c r="C116" s="55" t="n">
        <f aca="false">INDEX(Data_Heathrow!$A:$A,B116)</f>
        <v>44789</v>
      </c>
      <c r="D116" s="16" t="n">
        <f aca="false">INDEX(Data_Heathrow!$E:$E,B116)</f>
        <v>24.4</v>
      </c>
      <c r="E116" s="17" t="n">
        <f aca="false">INDEX(Data_Heathrow!$Q:$Q,B116)</f>
        <v>0</v>
      </c>
      <c r="F116" s="16" t="n">
        <f aca="false">INDEX(Data_Heathrow!$T:$T,B116)</f>
        <v>22.8873846956938</v>
      </c>
      <c r="G116" s="16" t="n">
        <f aca="false">IF(AND(Drift_Rate&lt;&gt;0,A116&gt;=Drift_Start),Drift_Rate*(A116-Drift_Start+1)/30,0)</f>
        <v>0</v>
      </c>
      <c r="H116" s="16" t="n">
        <f aca="false">IF(AND(E116=1,QA_Policy="Exclude suspect"),"",IF(AND(E116=1,QA_Policy="Impute with model",ISNUMBER(F116)),F116,D116)+G116)</f>
        <v>24.4</v>
      </c>
      <c r="I116" s="16" t="n">
        <f aca="false">IF(H116="","",H116+Climate_Shift+UHI_Day_Eff)</f>
        <v>26.4</v>
      </c>
      <c r="J116" s="16" t="n">
        <f aca="false">INDEX(Data_Heathrow!$G:$G,B116)</f>
        <v>18.3</v>
      </c>
      <c r="K116" s="16" t="n">
        <f aca="false">J116+Climate_Shift+UHI_Night_Eff</f>
        <v>22.3</v>
      </c>
      <c r="L116" s="16" t="n">
        <f aca="false">IF(INDEX(Data_Heathrow!$I:$I,B116)="","",INDEX(Data_Heathrow!$I:$I,B116))</f>
        <v>20.9</v>
      </c>
      <c r="M116" s="16" t="n">
        <f aca="false">IF(L116="","",L116+Climate_Shift+(UHI_Day_Eff+UHI_Night_Eff)/2)</f>
        <v>23.9</v>
      </c>
      <c r="N116" s="14" t="n">
        <f aca="false">IF(I116="",0,IF(I116&gt;=T_Day,1,0))</f>
        <v>0</v>
      </c>
      <c r="O116" s="14" t="n">
        <f aca="false">IF(K116&gt;=T_Night,1,0)</f>
        <v>1</v>
      </c>
      <c r="P116" s="14" t="n">
        <f aca="false">IF(N116=1,P115+1,0)</f>
        <v>0</v>
      </c>
      <c r="Q116" s="14" t="n">
        <f aca="false">IF(P116&gt;=HW_Days,1,0)</f>
        <v>0</v>
      </c>
      <c r="R116" s="17" t="str">
        <f aca="false">IF(AND(N116=1,I116&gt;=T_Red,O116=1),"RED",IF(AND(Q116=1,O116=1),"AMBER",IF(OR(N116=1,O116=1),"YELLOW","GREEN")))</f>
        <v>YELLOW</v>
      </c>
      <c r="S116" s="14" t="n">
        <f aca="false">IF(R116="RED",3,IF(R116="AMBER",2,IF(R116="YELLOW",1,0)))</f>
        <v>1</v>
      </c>
      <c r="T116" s="16" t="n">
        <f aca="false">MAX(0,T115*(1-Decay)+IF(I116="",0,MAX(0,I116-T_Comfort))-Recovery_Rate*MAX(0,T_Night-K116))</f>
        <v>27.0484252750801</v>
      </c>
      <c r="U116" s="14" t="n">
        <f aca="false">IF(T116&gt;Capacity,1,0)</f>
        <v>0</v>
      </c>
      <c r="V116" s="15" t="n">
        <f aca="false">1/(1+EXP(-Logistic_k*(T116-Capacity)))</f>
        <v>0.125347563109644</v>
      </c>
      <c r="W116" s="16" t="n">
        <f aca="false">IF(M116="",0,Beta*Pop_Share_Sel*(1-Sens_Red)*MAX(0,M116-T_Mort))</f>
        <v>2.1660447761194</v>
      </c>
      <c r="X116" s="16" t="n">
        <f aca="false">IF(ISNUMBER(F116),F116+Coef_B1*(Climate_Shift+G115),"")</f>
        <v>22.8873846956938</v>
      </c>
      <c r="Y116" s="16" t="n">
        <f aca="false">IF(AND(ISNUMBER(X116),H116&lt;&gt;""),H116+Climate_Shift-X116,"")</f>
        <v>1.51261530430622</v>
      </c>
      <c r="Z116" s="16" t="n">
        <f aca="false">IF(ISNUMBER(Y116),ABS(Y116),"")</f>
        <v>1.51261530430622</v>
      </c>
      <c r="AA116" s="16" t="n">
        <f aca="false">IF(COUNT(Z110:Z116)=0,"",AVERAGE(Z110:Z116))</f>
        <v>2.37200973120643</v>
      </c>
      <c r="AB116" s="16" t="n">
        <f aca="false">IF(AD115=1,0,MAX(0,AB115+IF(ISNUMBER(Y116),Y116-CUSUM_k,0)))</f>
        <v>4.00948797674308</v>
      </c>
      <c r="AC116" s="16" t="n">
        <f aca="false">IF(AD115=1,0,MAX(0,AC115+IF(ISNUMBER(Y116),-Y116-CUSUM_k,0)))</f>
        <v>1.23170414266771</v>
      </c>
      <c r="AD116" s="17" t="n">
        <f aca="false">IF(OR(AB116&gt;CUSUM_h,AC116&gt;CUSUM_h,AND(ISNUMBER(AA116),AA116&gt;MAE_Tol)),1,0)</f>
        <v>0</v>
      </c>
      <c r="AE116" s="14" t="n">
        <f aca="false">IF(ISNUMBER(X116),IF(X116+Local_Sensing*UHI_Day_Eff&gt;=T_Day,1,0),0)</f>
        <v>0</v>
      </c>
      <c r="AF116" s="17" t="str">
        <f aca="false">IF(NOT(ISNUMBER(X116)),"n/a",IF(AND(AE116=1,N116=1),"Hit",IF(AND(AE116=0,N116=1),"Miss",IF(AND(AE116=1,N116=0),"False alarm","Correct quiet"))))</f>
        <v>Correct quiet</v>
      </c>
      <c r="AG116" s="14" t="n">
        <f aca="false">IF(H116="",0,IF(H116+Climate_Shift&gt;=T_Day,1,0))</f>
        <v>0</v>
      </c>
      <c r="AH116" s="17" t="n">
        <f aca="false">IF(AND(N116=1,AG116=0),1,0)</f>
        <v>0</v>
      </c>
      <c r="AI116" s="17" t="str">
        <f aca="false">IF(U116=1,"ESCALATE: surge health &amp; transport capacity",IF(AD116=1,"Model drift: retrain, recalibrate, raise change request",IF(S116&gt;=2,"Activate heat plan: outreach and cooling centres",IF(AND(E116=1,OR(N116=1,O116=1)),"Data QA: verify sensor before acting",IF(AF116="Miss","Review missed alert: threshold or model",IF(AH116=1,"Equity: local alert not seen at reference station","Monitor"))))))</f>
        <v>Monitor</v>
      </c>
      <c r="AN116" s="58" t="n">
        <f aca="false">T_Day</f>
        <v>28</v>
      </c>
      <c r="AO116" s="58" t="n">
        <f aca="false">Capacity</f>
        <v>40</v>
      </c>
      <c r="AP116" s="58" t="n">
        <f aca="false">CUSUM_h</f>
        <v>15</v>
      </c>
    </row>
    <row r="117" customFormat="false" ht="15" hidden="false" customHeight="false" outlineLevel="0" collapsed="false">
      <c r="A117" s="14" t="n">
        <v>109</v>
      </c>
      <c r="B117" s="14" t="n">
        <f aca="false">2+(SelYear-1979)*153+A117-1</f>
        <v>6689</v>
      </c>
      <c r="C117" s="55" t="n">
        <f aca="false">INDEX(Data_Heathrow!$A:$A,B117)</f>
        <v>44790</v>
      </c>
      <c r="D117" s="16" t="n">
        <f aca="false">INDEX(Data_Heathrow!$E:$E,B117)</f>
        <v>27.8</v>
      </c>
      <c r="E117" s="17" t="n">
        <f aca="false">INDEX(Data_Heathrow!$Q:$Q,B117)</f>
        <v>0</v>
      </c>
      <c r="F117" s="16" t="n">
        <f aca="false">INDEX(Data_Heathrow!$T:$T,B117)</f>
        <v>23.6808835865175</v>
      </c>
      <c r="G117" s="16" t="n">
        <f aca="false">IF(AND(Drift_Rate&lt;&gt;0,A117&gt;=Drift_Start),Drift_Rate*(A117-Drift_Start+1)/30,0)</f>
        <v>0</v>
      </c>
      <c r="H117" s="16" t="n">
        <f aca="false">IF(AND(E117=1,QA_Policy="Exclude suspect"),"",IF(AND(E117=1,QA_Policy="Impute with model",ISNUMBER(F117)),F117,D117)+G117)</f>
        <v>27.8</v>
      </c>
      <c r="I117" s="16" t="n">
        <f aca="false">IF(H117="","",H117+Climate_Shift+UHI_Day_Eff)</f>
        <v>29.8</v>
      </c>
      <c r="J117" s="16" t="n">
        <f aca="false">INDEX(Data_Heathrow!$G:$G,B117)</f>
        <v>16.7</v>
      </c>
      <c r="K117" s="16" t="n">
        <f aca="false">J117+Climate_Shift+UHI_Night_Eff</f>
        <v>20.7</v>
      </c>
      <c r="L117" s="16" t="n">
        <f aca="false">IF(INDEX(Data_Heathrow!$I:$I,B117)="","",INDEX(Data_Heathrow!$I:$I,B117))</f>
        <v>20.6</v>
      </c>
      <c r="M117" s="16" t="n">
        <f aca="false">IF(L117="","",L117+Climate_Shift+(UHI_Day_Eff+UHI_Night_Eff)/2)</f>
        <v>23.6</v>
      </c>
      <c r="N117" s="14" t="n">
        <f aca="false">IF(I117="",0,IF(I117&gt;=T_Day,1,0))</f>
        <v>1</v>
      </c>
      <c r="O117" s="14" t="n">
        <f aca="false">IF(K117&gt;=T_Night,1,0)</f>
        <v>1</v>
      </c>
      <c r="P117" s="14" t="n">
        <f aca="false">IF(N117=1,P116+1,0)</f>
        <v>1</v>
      </c>
      <c r="Q117" s="14" t="n">
        <f aca="false">IF(P117&gt;=HW_Days,1,0)</f>
        <v>0</v>
      </c>
      <c r="R117" s="17" t="str">
        <f aca="false">IF(AND(N117=1,I117&gt;=T_Red,O117=1),"RED",IF(AND(Q117=1,O117=1),"AMBER",IF(OR(N117=1,O117=1),"YELLOW","GREEN")))</f>
        <v>YELLOW</v>
      </c>
      <c r="S117" s="14" t="n">
        <f aca="false">IF(R117="RED",3,IF(R117="AMBER",2,IF(R117="YELLOW",1,0)))</f>
        <v>1</v>
      </c>
      <c r="T117" s="16" t="n">
        <f aca="false">MAX(0,T116*(1-Decay)+IF(I117="",0,MAX(0,I117-T_Comfort))-Recovery_Rate*MAX(0,T_Night-K117))</f>
        <v>26.4387402200641</v>
      </c>
      <c r="U117" s="14" t="n">
        <f aca="false">IF(T117&gt;Capacity,1,0)</f>
        <v>0</v>
      </c>
      <c r="V117" s="15" t="n">
        <f aca="false">1/(1+EXP(-Logistic_k*(T117-Capacity)))</f>
        <v>0.115659773378026</v>
      </c>
      <c r="W117" s="16" t="n">
        <f aca="false">IF(M117="",0,Beta*Pop_Share_Sel*(1-Sens_Red)*MAX(0,M117-T_Mort))</f>
        <v>1.99942594718714</v>
      </c>
      <c r="X117" s="16" t="n">
        <f aca="false">IF(ISNUMBER(F117),F117+Coef_B1*(Climate_Shift+G116),"")</f>
        <v>23.6808835865175</v>
      </c>
      <c r="Y117" s="16" t="n">
        <f aca="false">IF(AND(ISNUMBER(X117),H117&lt;&gt;""),H117+Climate_Shift-X117,"")</f>
        <v>4.11911641348254</v>
      </c>
      <c r="Z117" s="16" t="n">
        <f aca="false">IF(ISNUMBER(Y117),ABS(Y117),"")</f>
        <v>4.11911641348254</v>
      </c>
      <c r="AA117" s="16" t="n">
        <f aca="false">IF(COUNT(Z111:Z117)=0,"",AVERAGE(Z111:Z117))</f>
        <v>2.4416682357142</v>
      </c>
      <c r="AB117" s="16" t="n">
        <f aca="false">IF(AD116=1,0,MAX(0,AB116+IF(ISNUMBER(Y117),Y117-CUSUM_k,0)))</f>
        <v>7.12860439022562</v>
      </c>
      <c r="AC117" s="16" t="n">
        <f aca="false">IF(AD116=1,0,MAX(0,AC116+IF(ISNUMBER(Y117),-Y117-CUSUM_k,0)))</f>
        <v>0</v>
      </c>
      <c r="AD117" s="17" t="n">
        <f aca="false">IF(OR(AB117&gt;CUSUM_h,AC117&gt;CUSUM_h,AND(ISNUMBER(AA117),AA117&gt;MAE_Tol)),1,0)</f>
        <v>0</v>
      </c>
      <c r="AE117" s="14" t="n">
        <f aca="false">IF(ISNUMBER(X117),IF(X117+Local_Sensing*UHI_Day_Eff&gt;=T_Day,1,0),0)</f>
        <v>0</v>
      </c>
      <c r="AF117" s="17" t="str">
        <f aca="false">IF(NOT(ISNUMBER(X117)),"n/a",IF(AND(AE117=1,N117=1),"Hit",IF(AND(AE117=0,N117=1),"Miss",IF(AND(AE117=1,N117=0),"False alarm","Correct quiet"))))</f>
        <v>Miss</v>
      </c>
      <c r="AG117" s="14" t="n">
        <f aca="false">IF(H117="",0,IF(H117+Climate_Shift&gt;=T_Day,1,0))</f>
        <v>0</v>
      </c>
      <c r="AH117" s="17" t="n">
        <f aca="false">IF(AND(N117=1,AG117=0),1,0)</f>
        <v>1</v>
      </c>
      <c r="AI117" s="17" t="str">
        <f aca="false">IF(U117=1,"ESCALATE: surge health &amp; transport capacity",IF(AD117=1,"Model drift: retrain, recalibrate, raise change request",IF(S117&gt;=2,"Activate heat plan: outreach and cooling centres",IF(AND(E117=1,OR(N117=1,O117=1)),"Data QA: verify sensor before acting",IF(AF117="Miss","Review missed alert: threshold or model",IF(AH117=1,"Equity: local alert not seen at reference station","Monitor"))))))</f>
        <v>Review missed alert: threshold or model</v>
      </c>
      <c r="AN117" s="58" t="n">
        <f aca="false">T_Day</f>
        <v>28</v>
      </c>
      <c r="AO117" s="58" t="n">
        <f aca="false">Capacity</f>
        <v>40</v>
      </c>
      <c r="AP117" s="58" t="n">
        <f aca="false">CUSUM_h</f>
        <v>15</v>
      </c>
    </row>
    <row r="118" customFormat="false" ht="15" hidden="false" customHeight="false" outlineLevel="0" collapsed="false">
      <c r="A118" s="14" t="n">
        <v>110</v>
      </c>
      <c r="B118" s="14" t="n">
        <f aca="false">2+(SelYear-1979)*153+A118-1</f>
        <v>6690</v>
      </c>
      <c r="C118" s="55" t="n">
        <f aca="false">INDEX(Data_Heathrow!$A:$A,B118)</f>
        <v>44791</v>
      </c>
      <c r="D118" s="16" t="n">
        <f aca="false">INDEX(Data_Heathrow!$E:$E,B118)</f>
        <v>25.2</v>
      </c>
      <c r="E118" s="17" t="n">
        <f aca="false">INDEX(Data_Heathrow!$Q:$Q,B118)</f>
        <v>0</v>
      </c>
      <c r="F118" s="16" t="n">
        <f aca="false">INDEX(Data_Heathrow!$T:$T,B118)</f>
        <v>26.6078013687154</v>
      </c>
      <c r="G118" s="16" t="n">
        <f aca="false">IF(AND(Drift_Rate&lt;&gt;0,A118&gt;=Drift_Start),Drift_Rate*(A118-Drift_Start+1)/30,0)</f>
        <v>0</v>
      </c>
      <c r="H118" s="16" t="n">
        <f aca="false">IF(AND(E118=1,QA_Policy="Exclude suspect"),"",IF(AND(E118=1,QA_Policy="Impute with model",ISNUMBER(F118)),F118,D118)+G118)</f>
        <v>25.2</v>
      </c>
      <c r="I118" s="16" t="n">
        <f aca="false">IF(H118="","",H118+Climate_Shift+UHI_Day_Eff)</f>
        <v>27.2</v>
      </c>
      <c r="J118" s="16" t="n">
        <f aca="false">INDEX(Data_Heathrow!$G:$G,B118)</f>
        <v>17.5</v>
      </c>
      <c r="K118" s="16" t="n">
        <f aca="false">J118+Climate_Shift+UHI_Night_Eff</f>
        <v>21.5</v>
      </c>
      <c r="L118" s="16" t="n">
        <f aca="false">IF(INDEX(Data_Heathrow!$I:$I,B118)="","",INDEX(Data_Heathrow!$I:$I,B118))</f>
        <v>22.6</v>
      </c>
      <c r="M118" s="16" t="n">
        <f aca="false">IF(L118="","",L118+Climate_Shift+(UHI_Day_Eff+UHI_Night_Eff)/2)</f>
        <v>25.6</v>
      </c>
      <c r="N118" s="14" t="n">
        <f aca="false">IF(I118="",0,IF(I118&gt;=T_Day,1,0))</f>
        <v>0</v>
      </c>
      <c r="O118" s="14" t="n">
        <f aca="false">IF(K118&gt;=T_Night,1,0)</f>
        <v>1</v>
      </c>
      <c r="P118" s="14" t="n">
        <f aca="false">IF(N118=1,P117+1,0)</f>
        <v>0</v>
      </c>
      <c r="Q118" s="14" t="n">
        <f aca="false">IF(P118&gt;=HW_Days,1,0)</f>
        <v>0</v>
      </c>
      <c r="R118" s="17" t="str">
        <f aca="false">IF(AND(N118=1,I118&gt;=T_Red,O118=1),"RED",IF(AND(Q118=1,O118=1),"AMBER",IF(OR(N118=1,O118=1),"YELLOW","GREEN")))</f>
        <v>YELLOW</v>
      </c>
      <c r="S118" s="14" t="n">
        <f aca="false">IF(R118="RED",3,IF(R118="AMBER",2,IF(R118="YELLOW",1,0)))</f>
        <v>1</v>
      </c>
      <c r="T118" s="16" t="n">
        <f aca="false">MAX(0,T117*(1-Decay)+IF(I118="",0,MAX(0,I118-T_Comfort))-Recovery_Rate*MAX(0,T_Night-K118))</f>
        <v>23.3509921760513</v>
      </c>
      <c r="U118" s="14" t="n">
        <f aca="false">IF(T118&gt;Capacity,1,0)</f>
        <v>0</v>
      </c>
      <c r="V118" s="15" t="n">
        <f aca="false">1/(1+EXP(-Logistic_k*(T118-Capacity)))</f>
        <v>0.0760440813442672</v>
      </c>
      <c r="W118" s="16" t="n">
        <f aca="false">IF(M118="",0,Beta*Pop_Share_Sel*(1-Sens_Red)*MAX(0,M118-T_Mort))</f>
        <v>3.11021814006889</v>
      </c>
      <c r="X118" s="16" t="n">
        <f aca="false">IF(ISNUMBER(F118),F118+Coef_B1*(Climate_Shift+G117),"")</f>
        <v>26.6078013687154</v>
      </c>
      <c r="Y118" s="16" t="n">
        <f aca="false">IF(AND(ISNUMBER(X118),H118&lt;&gt;""),H118+Climate_Shift-X118,"")</f>
        <v>-1.40780136871544</v>
      </c>
      <c r="Z118" s="16" t="n">
        <f aca="false">IF(ISNUMBER(Y118),ABS(Y118),"")</f>
        <v>1.40780136871544</v>
      </c>
      <c r="AA118" s="16" t="n">
        <f aca="false">IF(COUNT(Z112:Z118)=0,"",AVERAGE(Z112:Z118))</f>
        <v>2.30530564667483</v>
      </c>
      <c r="AB118" s="16" t="n">
        <f aca="false">IF(AD117=1,0,MAX(0,AB117+IF(ISNUMBER(Y118),Y118-CUSUM_k,0)))</f>
        <v>4.72080302151018</v>
      </c>
      <c r="AC118" s="16" t="n">
        <f aca="false">IF(AD117=1,0,MAX(0,AC117+IF(ISNUMBER(Y118),-Y118-CUSUM_k,0)))</f>
        <v>0.407801368715443</v>
      </c>
      <c r="AD118" s="17" t="n">
        <f aca="false">IF(OR(AB118&gt;CUSUM_h,AC118&gt;CUSUM_h,AND(ISNUMBER(AA118),AA118&gt;MAE_Tol)),1,0)</f>
        <v>0</v>
      </c>
      <c r="AE118" s="14" t="n">
        <f aca="false">IF(ISNUMBER(X118),IF(X118+Local_Sensing*UHI_Day_Eff&gt;=T_Day,1,0),0)</f>
        <v>0</v>
      </c>
      <c r="AF118" s="17" t="str">
        <f aca="false">IF(NOT(ISNUMBER(X118)),"n/a",IF(AND(AE118=1,N118=1),"Hit",IF(AND(AE118=0,N118=1),"Miss",IF(AND(AE118=1,N118=0),"False alarm","Correct quiet"))))</f>
        <v>Correct quiet</v>
      </c>
      <c r="AG118" s="14" t="n">
        <f aca="false">IF(H118="",0,IF(H118+Climate_Shift&gt;=T_Day,1,0))</f>
        <v>0</v>
      </c>
      <c r="AH118" s="17" t="n">
        <f aca="false">IF(AND(N118=1,AG118=0),1,0)</f>
        <v>0</v>
      </c>
      <c r="AI118" s="17" t="str">
        <f aca="false">IF(U118=1,"ESCALATE: surge health &amp; transport capacity",IF(AD118=1,"Model drift: retrain, recalibrate, raise change request",IF(S118&gt;=2,"Activate heat plan: outreach and cooling centres",IF(AND(E118=1,OR(N118=1,O118=1)),"Data QA: verify sensor before acting",IF(AF118="Miss","Review missed alert: threshold or model",IF(AH118=1,"Equity: local alert not seen at reference station","Monitor"))))))</f>
        <v>Monitor</v>
      </c>
      <c r="AN118" s="58" t="n">
        <f aca="false">T_Day</f>
        <v>28</v>
      </c>
      <c r="AO118" s="58" t="n">
        <f aca="false">Capacity</f>
        <v>40</v>
      </c>
      <c r="AP118" s="58" t="n">
        <f aca="false">CUSUM_h</f>
        <v>15</v>
      </c>
    </row>
    <row r="119" customFormat="false" ht="15" hidden="false" customHeight="false" outlineLevel="0" collapsed="false">
      <c r="A119" s="14" t="n">
        <v>111</v>
      </c>
      <c r="B119" s="14" t="n">
        <f aca="false">2+(SelYear-1979)*153+A119-1</f>
        <v>6691</v>
      </c>
      <c r="C119" s="55" t="n">
        <f aca="false">INDEX(Data_Heathrow!$A:$A,B119)</f>
        <v>44792</v>
      </c>
      <c r="D119" s="16" t="n">
        <f aca="false">INDEX(Data_Heathrow!$E:$E,B119)</f>
        <v>26</v>
      </c>
      <c r="E119" s="17" t="n">
        <f aca="false">INDEX(Data_Heathrow!$Q:$Q,B119)</f>
        <v>0</v>
      </c>
      <c r="F119" s="16" t="n">
        <f aca="false">INDEX(Data_Heathrow!$T:$T,B119)</f>
        <v>24.5433962455359</v>
      </c>
      <c r="G119" s="16" t="n">
        <f aca="false">IF(AND(Drift_Rate&lt;&gt;0,A119&gt;=Drift_Start),Drift_Rate*(A119-Drift_Start+1)/30,0)</f>
        <v>0</v>
      </c>
      <c r="H119" s="16" t="n">
        <f aca="false">IF(AND(E119=1,QA_Policy="Exclude suspect"),"",IF(AND(E119=1,QA_Policy="Impute with model",ISNUMBER(F119)),F119,D119)+G119)</f>
        <v>26</v>
      </c>
      <c r="I119" s="16" t="n">
        <f aca="false">IF(H119="","",H119+Climate_Shift+UHI_Day_Eff)</f>
        <v>28</v>
      </c>
      <c r="J119" s="16" t="n">
        <f aca="false">INDEX(Data_Heathrow!$G:$G,B119)</f>
        <v>18.9</v>
      </c>
      <c r="K119" s="16" t="n">
        <f aca="false">J119+Climate_Shift+UHI_Night_Eff</f>
        <v>22.9</v>
      </c>
      <c r="L119" s="16" t="n">
        <f aca="false">IF(INDEX(Data_Heathrow!$I:$I,B119)="","",INDEX(Data_Heathrow!$I:$I,B119))</f>
        <v>22.1</v>
      </c>
      <c r="M119" s="16" t="n">
        <f aca="false">IF(L119="","",L119+Climate_Shift+(UHI_Day_Eff+UHI_Night_Eff)/2)</f>
        <v>25.1</v>
      </c>
      <c r="N119" s="14" t="n">
        <f aca="false">IF(I119="",0,IF(I119&gt;=T_Day,1,0))</f>
        <v>1</v>
      </c>
      <c r="O119" s="14" t="n">
        <f aca="false">IF(K119&gt;=T_Night,1,0)</f>
        <v>1</v>
      </c>
      <c r="P119" s="14" t="n">
        <f aca="false">IF(N119=1,P118+1,0)</f>
        <v>1</v>
      </c>
      <c r="Q119" s="14" t="n">
        <f aca="false">IF(P119&gt;=HW_Days,1,0)</f>
        <v>0</v>
      </c>
      <c r="R119" s="17" t="str">
        <f aca="false">IF(AND(N119=1,I119&gt;=T_Red,O119=1),"RED",IF(AND(Q119=1,O119=1),"AMBER",IF(OR(N119=1,O119=1),"YELLOW","GREEN")))</f>
        <v>YELLOW</v>
      </c>
      <c r="S119" s="14" t="n">
        <f aca="false">IF(R119="RED",3,IF(R119="AMBER",2,IF(R119="YELLOW",1,0)))</f>
        <v>1</v>
      </c>
      <c r="T119" s="16" t="n">
        <f aca="false">MAX(0,T118*(1-Decay)+IF(I119="",0,MAX(0,I119-T_Comfort))-Recovery_Rate*MAX(0,T_Night-K119))</f>
        <v>21.680793740841</v>
      </c>
      <c r="U119" s="14" t="n">
        <f aca="false">IF(T119&gt;Capacity,1,0)</f>
        <v>0</v>
      </c>
      <c r="V119" s="15" t="n">
        <f aca="false">1/(1+EXP(-Logistic_k*(T119-Capacity)))</f>
        <v>0.0602064384107476</v>
      </c>
      <c r="W119" s="16" t="n">
        <f aca="false">IF(M119="",0,Beta*Pop_Share_Sel*(1-Sens_Red)*MAX(0,M119-T_Mort))</f>
        <v>2.83252009184845</v>
      </c>
      <c r="X119" s="16" t="n">
        <f aca="false">IF(ISNUMBER(F119),F119+Coef_B1*(Climate_Shift+G118),"")</f>
        <v>24.5433962455359</v>
      </c>
      <c r="Y119" s="16" t="n">
        <f aca="false">IF(AND(ISNUMBER(X119),H119&lt;&gt;""),H119+Climate_Shift-X119,"")</f>
        <v>1.45660375446409</v>
      </c>
      <c r="Z119" s="16" t="n">
        <f aca="false">IF(ISNUMBER(Y119),ABS(Y119),"")</f>
        <v>1.45660375446409</v>
      </c>
      <c r="AA119" s="16" t="n">
        <f aca="false">IF(COUNT(Z113:Z119)=0,"",AVERAGE(Z113:Z119))</f>
        <v>2.18536110378378</v>
      </c>
      <c r="AB119" s="16" t="n">
        <f aca="false">IF(AD118=1,0,MAX(0,AB118+IF(ISNUMBER(Y119),Y119-CUSUM_k,0)))</f>
        <v>5.17740677597427</v>
      </c>
      <c r="AC119" s="16" t="n">
        <f aca="false">IF(AD118=1,0,MAX(0,AC118+IF(ISNUMBER(Y119),-Y119-CUSUM_k,0)))</f>
        <v>0</v>
      </c>
      <c r="AD119" s="17" t="n">
        <f aca="false">IF(OR(AB119&gt;CUSUM_h,AC119&gt;CUSUM_h,AND(ISNUMBER(AA119),AA119&gt;MAE_Tol)),1,0)</f>
        <v>0</v>
      </c>
      <c r="AE119" s="14" t="n">
        <f aca="false">IF(ISNUMBER(X119),IF(X119+Local_Sensing*UHI_Day_Eff&gt;=T_Day,1,0),0)</f>
        <v>0</v>
      </c>
      <c r="AF119" s="17" t="str">
        <f aca="false">IF(NOT(ISNUMBER(X119)),"n/a",IF(AND(AE119=1,N119=1),"Hit",IF(AND(AE119=0,N119=1),"Miss",IF(AND(AE119=1,N119=0),"False alarm","Correct quiet"))))</f>
        <v>Miss</v>
      </c>
      <c r="AG119" s="14" t="n">
        <f aca="false">IF(H119="",0,IF(H119+Climate_Shift&gt;=T_Day,1,0))</f>
        <v>0</v>
      </c>
      <c r="AH119" s="17" t="n">
        <f aca="false">IF(AND(N119=1,AG119=0),1,0)</f>
        <v>1</v>
      </c>
      <c r="AI119" s="17" t="str">
        <f aca="false">IF(U119=1,"ESCALATE: surge health &amp; transport capacity",IF(AD119=1,"Model drift: retrain, recalibrate, raise change request",IF(S119&gt;=2,"Activate heat plan: outreach and cooling centres",IF(AND(E119=1,OR(N119=1,O119=1)),"Data QA: verify sensor before acting",IF(AF119="Miss","Review missed alert: threshold or model",IF(AH119=1,"Equity: local alert not seen at reference station","Monitor"))))))</f>
        <v>Review missed alert: threshold or model</v>
      </c>
      <c r="AN119" s="58" t="n">
        <f aca="false">T_Day</f>
        <v>28</v>
      </c>
      <c r="AO119" s="58" t="n">
        <f aca="false">Capacity</f>
        <v>40</v>
      </c>
      <c r="AP119" s="58" t="n">
        <f aca="false">CUSUM_h</f>
        <v>15</v>
      </c>
    </row>
    <row r="120" customFormat="false" ht="15" hidden="false" customHeight="false" outlineLevel="0" collapsed="false">
      <c r="A120" s="14" t="n">
        <v>112</v>
      </c>
      <c r="B120" s="14" t="n">
        <f aca="false">2+(SelYear-1979)*153+A120-1</f>
        <v>6692</v>
      </c>
      <c r="C120" s="55" t="n">
        <f aca="false">INDEX(Data_Heathrow!$A:$A,B120)</f>
        <v>44793</v>
      </c>
      <c r="D120" s="16" t="n">
        <f aca="false">INDEX(Data_Heathrow!$E:$E,B120)</f>
        <v>25.4</v>
      </c>
      <c r="E120" s="17" t="n">
        <f aca="false">INDEX(Data_Heathrow!$Q:$Q,B120)</f>
        <v>0</v>
      </c>
      <c r="F120" s="16" t="n">
        <f aca="false">INDEX(Data_Heathrow!$T:$T,B120)</f>
        <v>25.2239635156772</v>
      </c>
      <c r="G120" s="16" t="n">
        <f aca="false">IF(AND(Drift_Rate&lt;&gt;0,A120&gt;=Drift_Start),Drift_Rate*(A120-Drift_Start+1)/30,0)</f>
        <v>0</v>
      </c>
      <c r="H120" s="16" t="n">
        <f aca="false">IF(AND(E120=1,QA_Policy="Exclude suspect"),"",IF(AND(E120=1,QA_Policy="Impute with model",ISNUMBER(F120)),F120,D120)+G120)</f>
        <v>25.4</v>
      </c>
      <c r="I120" s="16" t="n">
        <f aca="false">IF(H120="","",H120+Climate_Shift+UHI_Day_Eff)</f>
        <v>27.4</v>
      </c>
      <c r="J120" s="16" t="n">
        <f aca="false">INDEX(Data_Heathrow!$G:$G,B120)</f>
        <v>13.3</v>
      </c>
      <c r="K120" s="16" t="n">
        <f aca="false">J120+Climate_Shift+UHI_Night_Eff</f>
        <v>17.3</v>
      </c>
      <c r="L120" s="16" t="n">
        <f aca="false">IF(INDEX(Data_Heathrow!$I:$I,B120)="","",INDEX(Data_Heathrow!$I:$I,B120))</f>
        <v>19.6</v>
      </c>
      <c r="M120" s="16" t="n">
        <f aca="false">IF(L120="","",L120+Climate_Shift+(UHI_Day_Eff+UHI_Night_Eff)/2)</f>
        <v>22.6</v>
      </c>
      <c r="N120" s="14" t="n">
        <f aca="false">IF(I120="",0,IF(I120&gt;=T_Day,1,0))</f>
        <v>0</v>
      </c>
      <c r="O120" s="14" t="n">
        <f aca="false">IF(K120&gt;=T_Night,1,0)</f>
        <v>0</v>
      </c>
      <c r="P120" s="14" t="n">
        <f aca="false">IF(N120=1,P119+1,0)</f>
        <v>0</v>
      </c>
      <c r="Q120" s="14" t="n">
        <f aca="false">IF(P120&gt;=HW_Days,1,0)</f>
        <v>0</v>
      </c>
      <c r="R120" s="17" t="str">
        <f aca="false">IF(AND(N120=1,I120&gt;=T_Red,O120=1),"RED",IF(AND(Q120=1,O120=1),"AMBER",IF(OR(N120=1,O120=1),"YELLOW","GREEN")))</f>
        <v>GREEN</v>
      </c>
      <c r="S120" s="14" t="n">
        <f aca="false">IF(R120="RED",3,IF(R120="AMBER",2,IF(R120="YELLOW",1,0)))</f>
        <v>0</v>
      </c>
      <c r="T120" s="16" t="n">
        <f aca="false">MAX(0,T119*(1-Decay)+IF(I120="",0,MAX(0,I120-T_Comfort))-Recovery_Rate*MAX(0,T_Night-K120))</f>
        <v>19.3946349926728</v>
      </c>
      <c r="U120" s="14" t="n">
        <f aca="false">IF(T120&gt;Capacity,1,0)</f>
        <v>0</v>
      </c>
      <c r="V120" s="15" t="n">
        <f aca="false">1/(1+EXP(-Logistic_k*(T120-Capacity)))</f>
        <v>0.0434881474805679</v>
      </c>
      <c r="W120" s="16" t="n">
        <f aca="false">IF(M120="",0,Beta*Pop_Share_Sel*(1-Sens_Red)*MAX(0,M120-T_Mort))</f>
        <v>1.44402985074627</v>
      </c>
      <c r="X120" s="16" t="n">
        <f aca="false">IF(ISNUMBER(F120),F120+Coef_B1*(Climate_Shift+G119),"")</f>
        <v>25.2239635156772</v>
      </c>
      <c r="Y120" s="16" t="n">
        <f aca="false">IF(AND(ISNUMBER(X120),H120&lt;&gt;""),H120+Climate_Shift-X120,"")</f>
        <v>0.176036484322768</v>
      </c>
      <c r="Z120" s="16" t="n">
        <f aca="false">IF(ISNUMBER(Y120),ABS(Y120),"")</f>
        <v>0.176036484322768</v>
      </c>
      <c r="AA120" s="16" t="n">
        <f aca="false">IF(COUNT(Z114:Z120)=0,"",AVERAGE(Z114:Z120))</f>
        <v>2.05949896746643</v>
      </c>
      <c r="AB120" s="16" t="n">
        <f aca="false">IF(AD119=1,0,MAX(0,AB119+IF(ISNUMBER(Y120),Y120-CUSUM_k,0)))</f>
        <v>4.35344326029703</v>
      </c>
      <c r="AC120" s="16" t="n">
        <f aca="false">IF(AD119=1,0,MAX(0,AC119+IF(ISNUMBER(Y120),-Y120-CUSUM_k,0)))</f>
        <v>0</v>
      </c>
      <c r="AD120" s="17" t="n">
        <f aca="false">IF(OR(AB120&gt;CUSUM_h,AC120&gt;CUSUM_h,AND(ISNUMBER(AA120),AA120&gt;MAE_Tol)),1,0)</f>
        <v>0</v>
      </c>
      <c r="AE120" s="14" t="n">
        <f aca="false">IF(ISNUMBER(X120),IF(X120+Local_Sensing*UHI_Day_Eff&gt;=T_Day,1,0),0)</f>
        <v>0</v>
      </c>
      <c r="AF120" s="17" t="str">
        <f aca="false">IF(NOT(ISNUMBER(X120)),"n/a",IF(AND(AE120=1,N120=1),"Hit",IF(AND(AE120=0,N120=1),"Miss",IF(AND(AE120=1,N120=0),"False alarm","Correct quiet"))))</f>
        <v>Correct quiet</v>
      </c>
      <c r="AG120" s="14" t="n">
        <f aca="false">IF(H120="",0,IF(H120+Climate_Shift&gt;=T_Day,1,0))</f>
        <v>0</v>
      </c>
      <c r="AH120" s="17" t="n">
        <f aca="false">IF(AND(N120=1,AG120=0),1,0)</f>
        <v>0</v>
      </c>
      <c r="AI120" s="17" t="str">
        <f aca="false">IF(U120=1,"ESCALATE: surge health &amp; transport capacity",IF(AD120=1,"Model drift: retrain, recalibrate, raise change request",IF(S120&gt;=2,"Activate heat plan: outreach and cooling centres",IF(AND(E120=1,OR(N120=1,O120=1)),"Data QA: verify sensor before acting",IF(AF120="Miss","Review missed alert: threshold or model",IF(AH120=1,"Equity: local alert not seen at reference station","Monitor"))))))</f>
        <v>Monitor</v>
      </c>
      <c r="AN120" s="58" t="n">
        <f aca="false">T_Day</f>
        <v>28</v>
      </c>
      <c r="AO120" s="58" t="n">
        <f aca="false">Capacity</f>
        <v>40</v>
      </c>
      <c r="AP120" s="58" t="n">
        <f aca="false">CUSUM_h</f>
        <v>15</v>
      </c>
    </row>
    <row r="121" customFormat="false" ht="15" hidden="false" customHeight="false" outlineLevel="0" collapsed="false">
      <c r="A121" s="14" t="n">
        <v>113</v>
      </c>
      <c r="B121" s="14" t="n">
        <f aca="false">2+(SelYear-1979)*153+A121-1</f>
        <v>6693</v>
      </c>
      <c r="C121" s="55" t="n">
        <f aca="false">INDEX(Data_Heathrow!$A:$A,B121)</f>
        <v>44794</v>
      </c>
      <c r="D121" s="16" t="n">
        <f aca="false">INDEX(Data_Heathrow!$E:$E,B121)</f>
        <v>23.4</v>
      </c>
      <c r="E121" s="17" t="n">
        <f aca="false">INDEX(Data_Heathrow!$Q:$Q,B121)</f>
        <v>0</v>
      </c>
      <c r="F121" s="16" t="n">
        <f aca="false">INDEX(Data_Heathrow!$T:$T,B121)</f>
        <v>24.8076477469732</v>
      </c>
      <c r="G121" s="16" t="n">
        <f aca="false">IF(AND(Drift_Rate&lt;&gt;0,A121&gt;=Drift_Start),Drift_Rate*(A121-Drift_Start+1)/30,0)</f>
        <v>0</v>
      </c>
      <c r="H121" s="16" t="n">
        <f aca="false">IF(AND(E121=1,QA_Policy="Exclude suspect"),"",IF(AND(E121=1,QA_Policy="Impute with model",ISNUMBER(F121)),F121,D121)+G121)</f>
        <v>23.4</v>
      </c>
      <c r="I121" s="16" t="n">
        <f aca="false">IF(H121="","",H121+Climate_Shift+UHI_Day_Eff)</f>
        <v>25.4</v>
      </c>
      <c r="J121" s="16" t="n">
        <f aca="false">INDEX(Data_Heathrow!$G:$G,B121)</f>
        <v>14.4</v>
      </c>
      <c r="K121" s="16" t="n">
        <f aca="false">J121+Climate_Shift+UHI_Night_Eff</f>
        <v>18.4</v>
      </c>
      <c r="L121" s="16" t="n">
        <f aca="false">IF(INDEX(Data_Heathrow!$I:$I,B121)="","",INDEX(Data_Heathrow!$I:$I,B121))</f>
        <v>19.9</v>
      </c>
      <c r="M121" s="16" t="n">
        <f aca="false">IF(L121="","",L121+Climate_Shift+(UHI_Day_Eff+UHI_Night_Eff)/2)</f>
        <v>22.9</v>
      </c>
      <c r="N121" s="14" t="n">
        <f aca="false">IF(I121="",0,IF(I121&gt;=T_Day,1,0))</f>
        <v>0</v>
      </c>
      <c r="O121" s="14" t="n">
        <f aca="false">IF(K121&gt;=T_Night,1,0)</f>
        <v>1</v>
      </c>
      <c r="P121" s="14" t="n">
        <f aca="false">IF(N121=1,P120+1,0)</f>
        <v>0</v>
      </c>
      <c r="Q121" s="14" t="n">
        <f aca="false">IF(P121&gt;=HW_Days,1,0)</f>
        <v>0</v>
      </c>
      <c r="R121" s="17" t="str">
        <f aca="false">IF(AND(N121=1,I121&gt;=T_Red,O121=1),"RED",IF(AND(Q121=1,O121=1),"AMBER",IF(OR(N121=1,O121=1),"YELLOW","GREEN")))</f>
        <v>YELLOW</v>
      </c>
      <c r="S121" s="14" t="n">
        <f aca="false">IF(R121="RED",3,IF(R121="AMBER",2,IF(R121="YELLOW",1,0)))</f>
        <v>1</v>
      </c>
      <c r="T121" s="16" t="n">
        <f aca="false">MAX(0,T120*(1-Decay)+IF(I121="",0,MAX(0,I121-T_Comfort))-Recovery_Rate*MAX(0,T_Night-K121))</f>
        <v>15.9157079941382</v>
      </c>
      <c r="U121" s="14" t="n">
        <f aca="false">IF(T121&gt;Capacity,1,0)</f>
        <v>0</v>
      </c>
      <c r="V121" s="15" t="n">
        <f aca="false">1/(1+EXP(-Logistic_k*(T121-Capacity)))</f>
        <v>0.0262716027104912</v>
      </c>
      <c r="W121" s="16" t="n">
        <f aca="false">IF(M121="",0,Beta*Pop_Share_Sel*(1-Sens_Red)*MAX(0,M121-T_Mort))</f>
        <v>1.61064867967853</v>
      </c>
      <c r="X121" s="16" t="n">
        <f aca="false">IF(ISNUMBER(F121),F121+Coef_B1*(Climate_Shift+G120),"")</f>
        <v>24.8076477469732</v>
      </c>
      <c r="Y121" s="16" t="n">
        <f aca="false">IF(AND(ISNUMBER(X121),H121&lt;&gt;""),H121+Climate_Shift-X121,"")</f>
        <v>-1.40764774697321</v>
      </c>
      <c r="Z121" s="16" t="n">
        <f aca="false">IF(ISNUMBER(Y121),ABS(Y121),"")</f>
        <v>1.40764774697321</v>
      </c>
      <c r="AA121" s="16" t="n">
        <f aca="false">IF(COUNT(Z115:Z121)=0,"",AVERAGE(Z115:Z121))</f>
        <v>2.04533937386507</v>
      </c>
      <c r="AB121" s="16" t="n">
        <f aca="false">IF(AD120=1,0,MAX(0,AB120+IF(ISNUMBER(Y121),Y121-CUSUM_k,0)))</f>
        <v>1.94579551332382</v>
      </c>
      <c r="AC121" s="16" t="n">
        <f aca="false">IF(AD120=1,0,MAX(0,AC120+IF(ISNUMBER(Y121),-Y121-CUSUM_k,0)))</f>
        <v>0.407647746973215</v>
      </c>
      <c r="AD121" s="17" t="n">
        <f aca="false">IF(OR(AB121&gt;CUSUM_h,AC121&gt;CUSUM_h,AND(ISNUMBER(AA121),AA121&gt;MAE_Tol)),1,0)</f>
        <v>0</v>
      </c>
      <c r="AE121" s="14" t="n">
        <f aca="false">IF(ISNUMBER(X121),IF(X121+Local_Sensing*UHI_Day_Eff&gt;=T_Day,1,0),0)</f>
        <v>0</v>
      </c>
      <c r="AF121" s="17" t="str">
        <f aca="false">IF(NOT(ISNUMBER(X121)),"n/a",IF(AND(AE121=1,N121=1),"Hit",IF(AND(AE121=0,N121=1),"Miss",IF(AND(AE121=1,N121=0),"False alarm","Correct quiet"))))</f>
        <v>Correct quiet</v>
      </c>
      <c r="AG121" s="14" t="n">
        <f aca="false">IF(H121="",0,IF(H121+Climate_Shift&gt;=T_Day,1,0))</f>
        <v>0</v>
      </c>
      <c r="AH121" s="17" t="n">
        <f aca="false">IF(AND(N121=1,AG121=0),1,0)</f>
        <v>0</v>
      </c>
      <c r="AI121" s="17" t="str">
        <f aca="false">IF(U121=1,"ESCALATE: surge health &amp; transport capacity",IF(AD121=1,"Model drift: retrain, recalibrate, raise change request",IF(S121&gt;=2,"Activate heat plan: outreach and cooling centres",IF(AND(E121=1,OR(N121=1,O121=1)),"Data QA: verify sensor before acting",IF(AF121="Miss","Review missed alert: threshold or model",IF(AH121=1,"Equity: local alert not seen at reference station","Monitor"))))))</f>
        <v>Monitor</v>
      </c>
      <c r="AN121" s="58" t="n">
        <f aca="false">T_Day</f>
        <v>28</v>
      </c>
      <c r="AO121" s="58" t="n">
        <f aca="false">Capacity</f>
        <v>40</v>
      </c>
      <c r="AP121" s="58" t="n">
        <f aca="false">CUSUM_h</f>
        <v>15</v>
      </c>
    </row>
    <row r="122" customFormat="false" ht="15" hidden="false" customHeight="false" outlineLevel="0" collapsed="false">
      <c r="A122" s="14" t="n">
        <v>114</v>
      </c>
      <c r="B122" s="14" t="n">
        <f aca="false">2+(SelYear-1979)*153+A122-1</f>
        <v>6694</v>
      </c>
      <c r="C122" s="55" t="n">
        <f aca="false">INDEX(Data_Heathrow!$A:$A,B122)</f>
        <v>44795</v>
      </c>
      <c r="D122" s="16" t="n">
        <f aca="false">INDEX(Data_Heathrow!$E:$E,B122)</f>
        <v>26.5</v>
      </c>
      <c r="E122" s="17" t="n">
        <f aca="false">INDEX(Data_Heathrow!$Q:$Q,B122)</f>
        <v>0</v>
      </c>
      <c r="F122" s="16" t="n">
        <f aca="false">INDEX(Data_Heathrow!$T:$T,B122)</f>
        <v>23.1250515084003</v>
      </c>
      <c r="G122" s="16" t="n">
        <f aca="false">IF(AND(Drift_Rate&lt;&gt;0,A122&gt;=Drift_Start),Drift_Rate*(A122-Drift_Start+1)/30,0)</f>
        <v>0</v>
      </c>
      <c r="H122" s="16" t="n">
        <f aca="false">IF(AND(E122=1,QA_Policy="Exclude suspect"),"",IF(AND(E122=1,QA_Policy="Impute with model",ISNUMBER(F122)),F122,D122)+G122)</f>
        <v>26.5</v>
      </c>
      <c r="I122" s="16" t="n">
        <f aca="false">IF(H122="","",H122+Climate_Shift+UHI_Day_Eff)</f>
        <v>28.5</v>
      </c>
      <c r="J122" s="16" t="n">
        <f aca="false">INDEX(Data_Heathrow!$G:$G,B122)</f>
        <v>14</v>
      </c>
      <c r="K122" s="16" t="n">
        <f aca="false">J122+Climate_Shift+UHI_Night_Eff</f>
        <v>18</v>
      </c>
      <c r="L122" s="16" t="n">
        <f aca="false">IF(INDEX(Data_Heathrow!$I:$I,B122)="","",INDEX(Data_Heathrow!$I:$I,B122))</f>
        <v>18.7</v>
      </c>
      <c r="M122" s="16" t="n">
        <f aca="false">IF(L122="","",L122+Climate_Shift+(UHI_Day_Eff+UHI_Night_Eff)/2)</f>
        <v>21.7</v>
      </c>
      <c r="N122" s="14" t="n">
        <f aca="false">IF(I122="",0,IF(I122&gt;=T_Day,1,0))</f>
        <v>1</v>
      </c>
      <c r="O122" s="14" t="n">
        <f aca="false">IF(K122&gt;=T_Night,1,0)</f>
        <v>1</v>
      </c>
      <c r="P122" s="14" t="n">
        <f aca="false">IF(N122=1,P121+1,0)</f>
        <v>1</v>
      </c>
      <c r="Q122" s="14" t="n">
        <f aca="false">IF(P122&gt;=HW_Days,1,0)</f>
        <v>0</v>
      </c>
      <c r="R122" s="17" t="str">
        <f aca="false">IF(AND(N122=1,I122&gt;=T_Red,O122=1),"RED",IF(AND(Q122=1,O122=1),"AMBER",IF(OR(N122=1,O122=1),"YELLOW","GREEN")))</f>
        <v>YELLOW</v>
      </c>
      <c r="S122" s="14" t="n">
        <f aca="false">IF(R122="RED",3,IF(R122="AMBER",2,IF(R122="YELLOW",1,0)))</f>
        <v>1</v>
      </c>
      <c r="T122" s="16" t="n">
        <f aca="false">MAX(0,T121*(1-Decay)+IF(I122="",0,MAX(0,I122-T_Comfort))-Recovery_Rate*MAX(0,T_Night-K122))</f>
        <v>16.2325663953106</v>
      </c>
      <c r="U122" s="14" t="n">
        <f aca="false">IF(T122&gt;Capacity,1,0)</f>
        <v>0</v>
      </c>
      <c r="V122" s="15" t="n">
        <f aca="false">1/(1+EXP(-Logistic_k*(T122-Capacity)))</f>
        <v>0.0275152220914858</v>
      </c>
      <c r="W122" s="16" t="n">
        <f aca="false">IF(M122="",0,Beta*Pop_Share_Sel*(1-Sens_Red)*MAX(0,M122-T_Mort))</f>
        <v>0.944173363949483</v>
      </c>
      <c r="X122" s="16" t="n">
        <f aca="false">IF(ISNUMBER(F122),F122+Coef_B1*(Climate_Shift+G121),"")</f>
        <v>23.1250515084003</v>
      </c>
      <c r="Y122" s="16" t="n">
        <f aca="false">IF(AND(ISNUMBER(X122),H122&lt;&gt;""),H122+Climate_Shift-X122,"")</f>
        <v>3.37494849159969</v>
      </c>
      <c r="Z122" s="16" t="n">
        <f aca="false">IF(ISNUMBER(Y122),ABS(Y122),"")</f>
        <v>3.37494849159969</v>
      </c>
      <c r="AA122" s="16" t="n">
        <f aca="false">IF(COUNT(Z116:Z122)=0,"",AVERAGE(Z116:Z122))</f>
        <v>1.92210993769485</v>
      </c>
      <c r="AB122" s="16" t="n">
        <f aca="false">IF(AD121=1,0,MAX(0,AB121+IF(ISNUMBER(Y122),Y122-CUSUM_k,0)))</f>
        <v>4.32074400492351</v>
      </c>
      <c r="AC122" s="16" t="n">
        <f aca="false">IF(AD121=1,0,MAX(0,AC121+IF(ISNUMBER(Y122),-Y122-CUSUM_k,0)))</f>
        <v>0</v>
      </c>
      <c r="AD122" s="17" t="n">
        <f aca="false">IF(OR(AB122&gt;CUSUM_h,AC122&gt;CUSUM_h,AND(ISNUMBER(AA122),AA122&gt;MAE_Tol)),1,0)</f>
        <v>0</v>
      </c>
      <c r="AE122" s="14" t="n">
        <f aca="false">IF(ISNUMBER(X122),IF(X122+Local_Sensing*UHI_Day_Eff&gt;=T_Day,1,0),0)</f>
        <v>0</v>
      </c>
      <c r="AF122" s="17" t="str">
        <f aca="false">IF(NOT(ISNUMBER(X122)),"n/a",IF(AND(AE122=1,N122=1),"Hit",IF(AND(AE122=0,N122=1),"Miss",IF(AND(AE122=1,N122=0),"False alarm","Correct quiet"))))</f>
        <v>Miss</v>
      </c>
      <c r="AG122" s="14" t="n">
        <f aca="false">IF(H122="",0,IF(H122+Climate_Shift&gt;=T_Day,1,0))</f>
        <v>0</v>
      </c>
      <c r="AH122" s="17" t="n">
        <f aca="false">IF(AND(N122=1,AG122=0),1,0)</f>
        <v>1</v>
      </c>
      <c r="AI122" s="17" t="str">
        <f aca="false">IF(U122=1,"ESCALATE: surge health &amp; transport capacity",IF(AD122=1,"Model drift: retrain, recalibrate, raise change request",IF(S122&gt;=2,"Activate heat plan: outreach and cooling centres",IF(AND(E122=1,OR(N122=1,O122=1)),"Data QA: verify sensor before acting",IF(AF122="Miss","Review missed alert: threshold or model",IF(AH122=1,"Equity: local alert not seen at reference station","Monitor"))))))</f>
        <v>Review missed alert: threshold or model</v>
      </c>
      <c r="AN122" s="58" t="n">
        <f aca="false">T_Day</f>
        <v>28</v>
      </c>
      <c r="AO122" s="58" t="n">
        <f aca="false">Capacity</f>
        <v>40</v>
      </c>
      <c r="AP122" s="58" t="n">
        <f aca="false">CUSUM_h</f>
        <v>15</v>
      </c>
    </row>
    <row r="123" customFormat="false" ht="15" hidden="false" customHeight="false" outlineLevel="0" collapsed="false">
      <c r="A123" s="14" t="n">
        <v>115</v>
      </c>
      <c r="B123" s="14" t="n">
        <f aca="false">2+(SelYear-1979)*153+A123-1</f>
        <v>6695</v>
      </c>
      <c r="C123" s="55" t="n">
        <f aca="false">INDEX(Data_Heathrow!$A:$A,B123)</f>
        <v>44796</v>
      </c>
      <c r="D123" s="16" t="n">
        <f aca="false">INDEX(Data_Heathrow!$E:$E,B123)</f>
        <v>29.1</v>
      </c>
      <c r="E123" s="17" t="n">
        <f aca="false">INDEX(Data_Heathrow!$Q:$Q,B123)</f>
        <v>0</v>
      </c>
      <c r="F123" s="16" t="n">
        <f aca="false">INDEX(Data_Heathrow!$T:$T,B123)</f>
        <v>25.6022632175646</v>
      </c>
      <c r="G123" s="16" t="n">
        <f aca="false">IF(AND(Drift_Rate&lt;&gt;0,A123&gt;=Drift_Start),Drift_Rate*(A123-Drift_Start+1)/30,0)</f>
        <v>0</v>
      </c>
      <c r="H123" s="16" t="n">
        <f aca="false">IF(AND(E123=1,QA_Policy="Exclude suspect"),"",IF(AND(E123=1,QA_Policy="Impute with model",ISNUMBER(F123)),F123,D123)+G123)</f>
        <v>29.1</v>
      </c>
      <c r="I123" s="16" t="n">
        <f aca="false">IF(H123="","",H123+Climate_Shift+UHI_Day_Eff)</f>
        <v>31.1</v>
      </c>
      <c r="J123" s="16" t="n">
        <f aca="false">INDEX(Data_Heathrow!$G:$G,B123)</f>
        <v>17.8</v>
      </c>
      <c r="K123" s="16" t="n">
        <f aca="false">J123+Climate_Shift+UHI_Night_Eff</f>
        <v>21.8</v>
      </c>
      <c r="L123" s="16" t="n">
        <f aca="false">IF(INDEX(Data_Heathrow!$I:$I,B123)="","",INDEX(Data_Heathrow!$I:$I,B123))</f>
        <v>22.1</v>
      </c>
      <c r="M123" s="16" t="n">
        <f aca="false">IF(L123="","",L123+Climate_Shift+(UHI_Day_Eff+UHI_Night_Eff)/2)</f>
        <v>25.1</v>
      </c>
      <c r="N123" s="14" t="n">
        <f aca="false">IF(I123="",0,IF(I123&gt;=T_Day,1,0))</f>
        <v>1</v>
      </c>
      <c r="O123" s="14" t="n">
        <f aca="false">IF(K123&gt;=T_Night,1,0)</f>
        <v>1</v>
      </c>
      <c r="P123" s="14" t="n">
        <f aca="false">IF(N123=1,P122+1,0)</f>
        <v>2</v>
      </c>
      <c r="Q123" s="14" t="n">
        <f aca="false">IF(P123&gt;=HW_Days,1,0)</f>
        <v>0</v>
      </c>
      <c r="R123" s="17" t="str">
        <f aca="false">IF(AND(N123=1,I123&gt;=T_Red,O123=1),"RED",IF(AND(Q123=1,O123=1),"AMBER",IF(OR(N123=1,O123=1),"YELLOW","GREEN")))</f>
        <v>YELLOW</v>
      </c>
      <c r="S123" s="14" t="n">
        <f aca="false">IF(R123="RED",3,IF(R123="AMBER",2,IF(R123="YELLOW",1,0)))</f>
        <v>1</v>
      </c>
      <c r="T123" s="16" t="n">
        <f aca="false">MAX(0,T122*(1-Decay)+IF(I123="",0,MAX(0,I123-T_Comfort))-Recovery_Rate*MAX(0,T_Night-K123))</f>
        <v>19.0860531162485</v>
      </c>
      <c r="U123" s="14" t="n">
        <f aca="false">IF(T123&gt;Capacity,1,0)</f>
        <v>0</v>
      </c>
      <c r="V123" s="15" t="n">
        <f aca="false">1/(1+EXP(-Logistic_k*(T123-Capacity)))</f>
        <v>0.0416029116642441</v>
      </c>
      <c r="W123" s="16" t="n">
        <f aca="false">IF(M123="",0,Beta*Pop_Share_Sel*(1-Sens_Red)*MAX(0,M123-T_Mort))</f>
        <v>2.83252009184845</v>
      </c>
      <c r="X123" s="16" t="n">
        <f aca="false">IF(ISNUMBER(F123),F123+Coef_B1*(Climate_Shift+G122),"")</f>
        <v>25.6022632175646</v>
      </c>
      <c r="Y123" s="16" t="n">
        <f aca="false">IF(AND(ISNUMBER(X123),H123&lt;&gt;""),H123+Climate_Shift-X123,"")</f>
        <v>3.49773678243543</v>
      </c>
      <c r="Z123" s="16" t="n">
        <f aca="false">IF(ISNUMBER(Y123),ABS(Y123),"")</f>
        <v>3.49773678243543</v>
      </c>
      <c r="AA123" s="16" t="n">
        <f aca="false">IF(COUNT(Z117:Z123)=0,"",AVERAGE(Z117:Z123))</f>
        <v>2.20569872028474</v>
      </c>
      <c r="AB123" s="16" t="n">
        <f aca="false">IF(AD122=1,0,MAX(0,AB122+IF(ISNUMBER(Y123),Y123-CUSUM_k,0)))</f>
        <v>6.81848078735894</v>
      </c>
      <c r="AC123" s="16" t="n">
        <f aca="false">IF(AD122=1,0,MAX(0,AC122+IF(ISNUMBER(Y123),-Y123-CUSUM_k,0)))</f>
        <v>0</v>
      </c>
      <c r="AD123" s="17" t="n">
        <f aca="false">IF(OR(AB123&gt;CUSUM_h,AC123&gt;CUSUM_h,AND(ISNUMBER(AA123),AA123&gt;MAE_Tol)),1,0)</f>
        <v>0</v>
      </c>
      <c r="AE123" s="14" t="n">
        <f aca="false">IF(ISNUMBER(X123),IF(X123+Local_Sensing*UHI_Day_Eff&gt;=T_Day,1,0),0)</f>
        <v>0</v>
      </c>
      <c r="AF123" s="17" t="str">
        <f aca="false">IF(NOT(ISNUMBER(X123)),"n/a",IF(AND(AE123=1,N123=1),"Hit",IF(AND(AE123=0,N123=1),"Miss",IF(AND(AE123=1,N123=0),"False alarm","Correct quiet"))))</f>
        <v>Miss</v>
      </c>
      <c r="AG123" s="14" t="n">
        <f aca="false">IF(H123="",0,IF(H123+Climate_Shift&gt;=T_Day,1,0))</f>
        <v>1</v>
      </c>
      <c r="AH123" s="17" t="n">
        <f aca="false">IF(AND(N123=1,AG123=0),1,0)</f>
        <v>0</v>
      </c>
      <c r="AI123" s="17" t="str">
        <f aca="false">IF(U123=1,"ESCALATE: surge health &amp; transport capacity",IF(AD123=1,"Model drift: retrain, recalibrate, raise change request",IF(S123&gt;=2,"Activate heat plan: outreach and cooling centres",IF(AND(E123=1,OR(N123=1,O123=1)),"Data QA: verify sensor before acting",IF(AF123="Miss","Review missed alert: threshold or model",IF(AH123=1,"Equity: local alert not seen at reference station","Monitor"))))))</f>
        <v>Review missed alert: threshold or model</v>
      </c>
      <c r="AN123" s="58" t="n">
        <f aca="false">T_Day</f>
        <v>28</v>
      </c>
      <c r="AO123" s="58" t="n">
        <f aca="false">Capacity</f>
        <v>40</v>
      </c>
      <c r="AP123" s="58" t="n">
        <f aca="false">CUSUM_h</f>
        <v>15</v>
      </c>
    </row>
    <row r="124" customFormat="false" ht="15" hidden="false" customHeight="false" outlineLevel="0" collapsed="false">
      <c r="A124" s="14" t="n">
        <v>116</v>
      </c>
      <c r="B124" s="14" t="n">
        <f aca="false">2+(SelYear-1979)*153+A124-1</f>
        <v>6696</v>
      </c>
      <c r="C124" s="55" t="n">
        <f aca="false">INDEX(Data_Heathrow!$A:$A,B124)</f>
        <v>44797</v>
      </c>
      <c r="D124" s="16" t="n">
        <f aca="false">INDEX(Data_Heathrow!$E:$E,B124)</f>
        <v>21.8</v>
      </c>
      <c r="E124" s="17" t="n">
        <f aca="false">INDEX(Data_Heathrow!$Q:$Q,B124)</f>
        <v>1</v>
      </c>
      <c r="F124" s="16" t="n">
        <f aca="false">INDEX(Data_Heathrow!$T:$T,B124)</f>
        <v>27.7388190984023</v>
      </c>
      <c r="G124" s="16" t="n">
        <f aca="false">IF(AND(Drift_Rate&lt;&gt;0,A124&gt;=Drift_Start),Drift_Rate*(A124-Drift_Start+1)/30,0)</f>
        <v>0</v>
      </c>
      <c r="H124" s="16" t="n">
        <f aca="false">IF(AND(E124=1,QA_Policy="Exclude suspect"),"",IF(AND(E124=1,QA_Policy="Impute with model",ISNUMBER(F124)),F124,D124)+G124)</f>
        <v>21.8</v>
      </c>
      <c r="I124" s="16" t="n">
        <f aca="false">IF(H124="","",H124+Climate_Shift+UHI_Day_Eff)</f>
        <v>23.8</v>
      </c>
      <c r="J124" s="16" t="n">
        <f aca="false">INDEX(Data_Heathrow!$G:$G,B124)</f>
        <v>20</v>
      </c>
      <c r="K124" s="16" t="n">
        <f aca="false">J124+Climate_Shift+UHI_Night_Eff</f>
        <v>24</v>
      </c>
      <c r="L124" s="16" t="n">
        <f aca="false">IF(INDEX(Data_Heathrow!$I:$I,B124)="","",INDEX(Data_Heathrow!$I:$I,B124))</f>
        <v>24.6</v>
      </c>
      <c r="M124" s="16" t="n">
        <f aca="false">IF(L124="","",L124+Climate_Shift+(UHI_Day_Eff+UHI_Night_Eff)/2)</f>
        <v>27.6</v>
      </c>
      <c r="N124" s="14" t="n">
        <f aca="false">IF(I124="",0,IF(I124&gt;=T_Day,1,0))</f>
        <v>0</v>
      </c>
      <c r="O124" s="14" t="n">
        <f aca="false">IF(K124&gt;=T_Night,1,0)</f>
        <v>1</v>
      </c>
      <c r="P124" s="14" t="n">
        <f aca="false">IF(N124=1,P123+1,0)</f>
        <v>0</v>
      </c>
      <c r="Q124" s="14" t="n">
        <f aca="false">IF(P124&gt;=HW_Days,1,0)</f>
        <v>0</v>
      </c>
      <c r="R124" s="17" t="str">
        <f aca="false">IF(AND(N124=1,I124&gt;=T_Red,O124=1),"RED",IF(AND(Q124=1,O124=1),"AMBER",IF(OR(N124=1,O124=1),"YELLOW","GREEN")))</f>
        <v>YELLOW</v>
      </c>
      <c r="S124" s="14" t="n">
        <f aca="false">IF(R124="RED",3,IF(R124="AMBER",2,IF(R124="YELLOW",1,0)))</f>
        <v>1</v>
      </c>
      <c r="T124" s="16" t="n">
        <f aca="false">MAX(0,T123*(1-Decay)+IF(I124="",0,MAX(0,I124-T_Comfort))-Recovery_Rate*MAX(0,T_Night-K124))</f>
        <v>15.2688424929988</v>
      </c>
      <c r="U124" s="14" t="n">
        <f aca="false">IF(T124&gt;Capacity,1,0)</f>
        <v>0</v>
      </c>
      <c r="V124" s="15" t="n">
        <f aca="false">1/(1+EXP(-Logistic_k*(T124-Capacity)))</f>
        <v>0.0239003022308474</v>
      </c>
      <c r="W124" s="16" t="n">
        <f aca="false">IF(M124="",0,Beta*Pop_Share_Sel*(1-Sens_Red)*MAX(0,M124-T_Mort))</f>
        <v>4.22101033295063</v>
      </c>
      <c r="X124" s="16" t="n">
        <f aca="false">IF(ISNUMBER(F124),F124+Coef_B1*(Climate_Shift+G123),"")</f>
        <v>27.7388190984023</v>
      </c>
      <c r="Y124" s="16" t="n">
        <f aca="false">IF(AND(ISNUMBER(X124),H124&lt;&gt;""),H124+Climate_Shift-X124,"")</f>
        <v>-5.93881909840228</v>
      </c>
      <c r="Z124" s="16" t="n">
        <f aca="false">IF(ISNUMBER(Y124),ABS(Y124),"")</f>
        <v>5.93881909840228</v>
      </c>
      <c r="AA124" s="16" t="n">
        <f aca="false">IF(COUNT(Z118:Z124)=0,"",AVERAGE(Z118:Z124))</f>
        <v>2.46565624670185</v>
      </c>
      <c r="AB124" s="16" t="n">
        <f aca="false">IF(AD123=1,0,MAX(0,AB123+IF(ISNUMBER(Y124),Y124-CUSUM_k,0)))</f>
        <v>0</v>
      </c>
      <c r="AC124" s="16" t="n">
        <f aca="false">IF(AD123=1,0,MAX(0,AC123+IF(ISNUMBER(Y124),-Y124-CUSUM_k,0)))</f>
        <v>4.93881909840228</v>
      </c>
      <c r="AD124" s="17" t="n">
        <f aca="false">IF(OR(AB124&gt;CUSUM_h,AC124&gt;CUSUM_h,AND(ISNUMBER(AA124),AA124&gt;MAE_Tol)),1,0)</f>
        <v>0</v>
      </c>
      <c r="AE124" s="14" t="n">
        <f aca="false">IF(ISNUMBER(X124),IF(X124+Local_Sensing*UHI_Day_Eff&gt;=T_Day,1,0),0)</f>
        <v>0</v>
      </c>
      <c r="AF124" s="17" t="str">
        <f aca="false">IF(NOT(ISNUMBER(X124)),"n/a",IF(AND(AE124=1,N124=1),"Hit",IF(AND(AE124=0,N124=1),"Miss",IF(AND(AE124=1,N124=0),"False alarm","Correct quiet"))))</f>
        <v>Correct quiet</v>
      </c>
      <c r="AG124" s="14" t="n">
        <f aca="false">IF(H124="",0,IF(H124+Climate_Shift&gt;=T_Day,1,0))</f>
        <v>0</v>
      </c>
      <c r="AH124" s="17" t="n">
        <f aca="false">IF(AND(N124=1,AG124=0),1,0)</f>
        <v>0</v>
      </c>
      <c r="AI124" s="17" t="str">
        <f aca="false">IF(U124=1,"ESCALATE: surge health &amp; transport capacity",IF(AD124=1,"Model drift: retrain, recalibrate, raise change request",IF(S124&gt;=2,"Activate heat plan: outreach and cooling centres",IF(AND(E124=1,OR(N124=1,O124=1)),"Data QA: verify sensor before acting",IF(AF124="Miss","Review missed alert: threshold or model",IF(AH124=1,"Equity: local alert not seen at reference station","Monitor"))))))</f>
        <v>Data QA: verify sensor before acting</v>
      </c>
      <c r="AN124" s="58" t="n">
        <f aca="false">T_Day</f>
        <v>28</v>
      </c>
      <c r="AO124" s="58" t="n">
        <f aca="false">Capacity</f>
        <v>40</v>
      </c>
      <c r="AP124" s="58" t="n">
        <f aca="false">CUSUM_h</f>
        <v>15</v>
      </c>
    </row>
    <row r="125" customFormat="false" ht="15" hidden="false" customHeight="false" outlineLevel="0" collapsed="false">
      <c r="A125" s="14" t="n">
        <v>117</v>
      </c>
      <c r="B125" s="14" t="n">
        <f aca="false">2+(SelYear-1979)*153+A125-1</f>
        <v>6697</v>
      </c>
      <c r="C125" s="55" t="n">
        <f aca="false">INDEX(Data_Heathrow!$A:$A,B125)</f>
        <v>44798</v>
      </c>
      <c r="D125" s="16" t="n">
        <f aca="false">INDEX(Data_Heathrow!$E:$E,B125)</f>
        <v>25.2</v>
      </c>
      <c r="E125" s="17" t="n">
        <f aca="false">INDEX(Data_Heathrow!$Q:$Q,B125)</f>
        <v>0</v>
      </c>
      <c r="F125" s="16" t="n">
        <f aca="false">INDEX(Data_Heathrow!$T:$T,B125)</f>
        <v>21.8266567573857</v>
      </c>
      <c r="G125" s="16" t="n">
        <f aca="false">IF(AND(Drift_Rate&lt;&gt;0,A125&gt;=Drift_Start),Drift_Rate*(A125-Drift_Start+1)/30,0)</f>
        <v>0</v>
      </c>
      <c r="H125" s="16" t="n">
        <f aca="false">IF(AND(E125=1,QA_Policy="Exclude suspect"),"",IF(AND(E125=1,QA_Policy="Impute with model",ISNUMBER(F125)),F125,D125)+G125)</f>
        <v>25.2</v>
      </c>
      <c r="I125" s="16" t="n">
        <f aca="false">IF(H125="","",H125+Climate_Shift+UHI_Day_Eff)</f>
        <v>27.2</v>
      </c>
      <c r="J125" s="16" t="n">
        <f aca="false">INDEX(Data_Heathrow!$G:$G,B125)</f>
        <v>17.8</v>
      </c>
      <c r="K125" s="16" t="n">
        <f aca="false">J125+Climate_Shift+UHI_Night_Eff</f>
        <v>21.8</v>
      </c>
      <c r="L125" s="16" t="n">
        <f aca="false">IF(INDEX(Data_Heathrow!$I:$I,B125)="","",INDEX(Data_Heathrow!$I:$I,B125))</f>
        <v>19.8</v>
      </c>
      <c r="M125" s="16" t="n">
        <f aca="false">IF(L125="","",L125+Climate_Shift+(UHI_Day_Eff+UHI_Night_Eff)/2)</f>
        <v>22.8</v>
      </c>
      <c r="N125" s="14" t="n">
        <f aca="false">IF(I125="",0,IF(I125&gt;=T_Day,1,0))</f>
        <v>0</v>
      </c>
      <c r="O125" s="14" t="n">
        <f aca="false">IF(K125&gt;=T_Night,1,0)</f>
        <v>1</v>
      </c>
      <c r="P125" s="14" t="n">
        <f aca="false">IF(N125=1,P124+1,0)</f>
        <v>0</v>
      </c>
      <c r="Q125" s="14" t="n">
        <f aca="false">IF(P125&gt;=HW_Days,1,0)</f>
        <v>0</v>
      </c>
      <c r="R125" s="17" t="str">
        <f aca="false">IF(AND(N125=1,I125&gt;=T_Red,O125=1),"RED",IF(AND(Q125=1,O125=1),"AMBER",IF(OR(N125=1,O125=1),"YELLOW","GREEN")))</f>
        <v>YELLOW</v>
      </c>
      <c r="S125" s="14" t="n">
        <f aca="false">IF(R125="RED",3,IF(R125="AMBER",2,IF(R125="YELLOW",1,0)))</f>
        <v>1</v>
      </c>
      <c r="T125" s="16" t="n">
        <f aca="false">MAX(0,T124*(1-Decay)+IF(I125="",0,MAX(0,I125-T_Comfort))-Recovery_Rate*MAX(0,T_Night-K125))</f>
        <v>14.415073994399</v>
      </c>
      <c r="U125" s="14" t="n">
        <f aca="false">IF(T125&gt;Capacity,1,0)</f>
        <v>0</v>
      </c>
      <c r="V125" s="15" t="n">
        <f aca="false">1/(1+EXP(-Logistic_k*(T125-Capacity)))</f>
        <v>0.0210879729921794</v>
      </c>
      <c r="W125" s="16" t="n">
        <f aca="false">IF(M125="",0,Beta*Pop_Share_Sel*(1-Sens_Red)*MAX(0,M125-T_Mort))</f>
        <v>1.55510907003444</v>
      </c>
      <c r="X125" s="16" t="n">
        <f aca="false">IF(ISNUMBER(F125),F125+Coef_B1*(Climate_Shift+G124),"")</f>
        <v>21.8266567573857</v>
      </c>
      <c r="Y125" s="16" t="n">
        <f aca="false">IF(AND(ISNUMBER(X125),H125&lt;&gt;""),H125+Climate_Shift-X125,"")</f>
        <v>3.37334324261434</v>
      </c>
      <c r="Z125" s="16" t="n">
        <f aca="false">IF(ISNUMBER(Y125),ABS(Y125),"")</f>
        <v>3.37334324261434</v>
      </c>
      <c r="AA125" s="16" t="n">
        <f aca="false">IF(COUNT(Z119:Z125)=0,"",AVERAGE(Z119:Z125))</f>
        <v>2.74644794297312</v>
      </c>
      <c r="AB125" s="16" t="n">
        <f aca="false">IF(AD124=1,0,MAX(0,AB124+IF(ISNUMBER(Y125),Y125-CUSUM_k,0)))</f>
        <v>2.37334324261434</v>
      </c>
      <c r="AC125" s="16" t="n">
        <f aca="false">IF(AD124=1,0,MAX(0,AC124+IF(ISNUMBER(Y125),-Y125-CUSUM_k,0)))</f>
        <v>0.565475855787934</v>
      </c>
      <c r="AD125" s="17" t="n">
        <f aca="false">IF(OR(AB125&gt;CUSUM_h,AC125&gt;CUSUM_h,AND(ISNUMBER(AA125),AA125&gt;MAE_Tol)),1,0)</f>
        <v>0</v>
      </c>
      <c r="AE125" s="14" t="n">
        <f aca="false">IF(ISNUMBER(X125),IF(X125+Local_Sensing*UHI_Day_Eff&gt;=T_Day,1,0),0)</f>
        <v>0</v>
      </c>
      <c r="AF125" s="17" t="str">
        <f aca="false">IF(NOT(ISNUMBER(X125)),"n/a",IF(AND(AE125=1,N125=1),"Hit",IF(AND(AE125=0,N125=1),"Miss",IF(AND(AE125=1,N125=0),"False alarm","Correct quiet"))))</f>
        <v>Correct quiet</v>
      </c>
      <c r="AG125" s="14" t="n">
        <f aca="false">IF(H125="",0,IF(H125+Climate_Shift&gt;=T_Day,1,0))</f>
        <v>0</v>
      </c>
      <c r="AH125" s="17" t="n">
        <f aca="false">IF(AND(N125=1,AG125=0),1,0)</f>
        <v>0</v>
      </c>
      <c r="AI125" s="17" t="str">
        <f aca="false">IF(U125=1,"ESCALATE: surge health &amp; transport capacity",IF(AD125=1,"Model drift: retrain, recalibrate, raise change request",IF(S125&gt;=2,"Activate heat plan: outreach and cooling centres",IF(AND(E125=1,OR(N125=1,O125=1)),"Data QA: verify sensor before acting",IF(AF125="Miss","Review missed alert: threshold or model",IF(AH125=1,"Equity: local alert not seen at reference station","Monitor"))))))</f>
        <v>Monitor</v>
      </c>
      <c r="AN125" s="58" t="n">
        <f aca="false">T_Day</f>
        <v>28</v>
      </c>
      <c r="AO125" s="58" t="n">
        <f aca="false">Capacity</f>
        <v>40</v>
      </c>
      <c r="AP125" s="58" t="n">
        <f aca="false">CUSUM_h</f>
        <v>15</v>
      </c>
    </row>
    <row r="126" customFormat="false" ht="15" hidden="false" customHeight="false" outlineLevel="0" collapsed="false">
      <c r="A126" s="14" t="n">
        <v>118</v>
      </c>
      <c r="B126" s="14" t="n">
        <f aca="false">2+(SelYear-1979)*153+A126-1</f>
        <v>6698</v>
      </c>
      <c r="C126" s="55" t="n">
        <f aca="false">INDEX(Data_Heathrow!$A:$A,B126)</f>
        <v>44799</v>
      </c>
      <c r="D126" s="16" t="n">
        <f aca="false">INDEX(Data_Heathrow!$E:$E,B126)</f>
        <v>25.3</v>
      </c>
      <c r="E126" s="17" t="n">
        <f aca="false">INDEX(Data_Heathrow!$Q:$Q,B126)</f>
        <v>0</v>
      </c>
      <c r="F126" s="16" t="n">
        <f aca="false">INDEX(Data_Heathrow!$T:$T,B126)</f>
        <v>24.6531908767549</v>
      </c>
      <c r="G126" s="16" t="n">
        <f aca="false">IF(AND(Drift_Rate&lt;&gt;0,A126&gt;=Drift_Start),Drift_Rate*(A126-Drift_Start+1)/30,0)</f>
        <v>0</v>
      </c>
      <c r="H126" s="16" t="n">
        <f aca="false">IF(AND(E126=1,QA_Policy="Exclude suspect"),"",IF(AND(E126=1,QA_Policy="Impute with model",ISNUMBER(F126)),F126,D126)+G126)</f>
        <v>25.3</v>
      </c>
      <c r="I126" s="16" t="n">
        <f aca="false">IF(H126="","",H126+Climate_Shift+UHI_Day_Eff)</f>
        <v>27.3</v>
      </c>
      <c r="J126" s="16" t="n">
        <f aca="false">INDEX(Data_Heathrow!$G:$G,B126)</f>
        <v>11.3</v>
      </c>
      <c r="K126" s="16" t="n">
        <f aca="false">J126+Climate_Shift+UHI_Night_Eff</f>
        <v>15.3</v>
      </c>
      <c r="L126" s="16" t="n">
        <f aca="false">IF(INDEX(Data_Heathrow!$I:$I,B126)="","",INDEX(Data_Heathrow!$I:$I,B126))</f>
        <v>18.2</v>
      </c>
      <c r="M126" s="16" t="n">
        <f aca="false">IF(L126="","",L126+Climate_Shift+(UHI_Day_Eff+UHI_Night_Eff)/2)</f>
        <v>21.2</v>
      </c>
      <c r="N126" s="14" t="n">
        <f aca="false">IF(I126="",0,IF(I126&gt;=T_Day,1,0))</f>
        <v>0</v>
      </c>
      <c r="O126" s="14" t="n">
        <f aca="false">IF(K126&gt;=T_Night,1,0)</f>
        <v>0</v>
      </c>
      <c r="P126" s="14" t="n">
        <f aca="false">IF(N126=1,P125+1,0)</f>
        <v>0</v>
      </c>
      <c r="Q126" s="14" t="n">
        <f aca="false">IF(P126&gt;=HW_Days,1,0)</f>
        <v>0</v>
      </c>
      <c r="R126" s="17" t="str">
        <f aca="false">IF(AND(N126=1,I126&gt;=T_Red,O126=1),"RED",IF(AND(Q126=1,O126=1),"AMBER",IF(OR(N126=1,O126=1),"YELLOW","GREEN")))</f>
        <v>GREEN</v>
      </c>
      <c r="S126" s="14" t="n">
        <f aca="false">IF(R126="RED",3,IF(R126="AMBER",2,IF(R126="YELLOW",1,0)))</f>
        <v>0</v>
      </c>
      <c r="T126" s="16" t="n">
        <f aca="false">MAX(0,T125*(1-Decay)+IF(I126="",0,MAX(0,I126-T_Comfort))-Recovery_Rate*MAX(0,T_Night-K126))</f>
        <v>12.4820591955192</v>
      </c>
      <c r="U126" s="14" t="n">
        <f aca="false">IF(T126&gt;Capacity,1,0)</f>
        <v>0</v>
      </c>
      <c r="V126" s="15" t="n">
        <f aca="false">1/(1+EXP(-Logistic_k*(T126-Capacity)))</f>
        <v>0.0158643214142266</v>
      </c>
      <c r="W126" s="16" t="n">
        <f aca="false">IF(M126="",0,Beta*Pop_Share_Sel*(1-Sens_Red)*MAX(0,M126-T_Mort))</f>
        <v>0.666475315729047</v>
      </c>
      <c r="X126" s="16" t="n">
        <f aca="false">IF(ISNUMBER(F126),F126+Coef_B1*(Climate_Shift+G125),"")</f>
        <v>24.6531908767549</v>
      </c>
      <c r="Y126" s="16" t="n">
        <f aca="false">IF(AND(ISNUMBER(X126),H126&lt;&gt;""),H126+Climate_Shift-X126,"")</f>
        <v>0.646809123245124</v>
      </c>
      <c r="Z126" s="16" t="n">
        <f aca="false">IF(ISNUMBER(Y126),ABS(Y126),"")</f>
        <v>0.646809123245124</v>
      </c>
      <c r="AA126" s="16" t="n">
        <f aca="false">IF(COUNT(Z120:Z126)=0,"",AVERAGE(Z120:Z126))</f>
        <v>2.63076299565612</v>
      </c>
      <c r="AB126" s="16" t="n">
        <f aca="false">IF(AD125=1,0,MAX(0,AB125+IF(ISNUMBER(Y126),Y126-CUSUM_k,0)))</f>
        <v>2.02015236585947</v>
      </c>
      <c r="AC126" s="16" t="n">
        <f aca="false">IF(AD125=1,0,MAX(0,AC125+IF(ISNUMBER(Y126),-Y126-CUSUM_k,0)))</f>
        <v>0</v>
      </c>
      <c r="AD126" s="17" t="n">
        <f aca="false">IF(OR(AB126&gt;CUSUM_h,AC126&gt;CUSUM_h,AND(ISNUMBER(AA126),AA126&gt;MAE_Tol)),1,0)</f>
        <v>0</v>
      </c>
      <c r="AE126" s="14" t="n">
        <f aca="false">IF(ISNUMBER(X126),IF(X126+Local_Sensing*UHI_Day_Eff&gt;=T_Day,1,0),0)</f>
        <v>0</v>
      </c>
      <c r="AF126" s="17" t="str">
        <f aca="false">IF(NOT(ISNUMBER(X126)),"n/a",IF(AND(AE126=1,N126=1),"Hit",IF(AND(AE126=0,N126=1),"Miss",IF(AND(AE126=1,N126=0),"False alarm","Correct quiet"))))</f>
        <v>Correct quiet</v>
      </c>
      <c r="AG126" s="14" t="n">
        <f aca="false">IF(H126="",0,IF(H126+Climate_Shift&gt;=T_Day,1,0))</f>
        <v>0</v>
      </c>
      <c r="AH126" s="17" t="n">
        <f aca="false">IF(AND(N126=1,AG126=0),1,0)</f>
        <v>0</v>
      </c>
      <c r="AI126" s="17" t="str">
        <f aca="false">IF(U126=1,"ESCALATE: surge health &amp; transport capacity",IF(AD126=1,"Model drift: retrain, recalibrate, raise change request",IF(S126&gt;=2,"Activate heat plan: outreach and cooling centres",IF(AND(E126=1,OR(N126=1,O126=1)),"Data QA: verify sensor before acting",IF(AF126="Miss","Review missed alert: threshold or model",IF(AH126=1,"Equity: local alert not seen at reference station","Monitor"))))))</f>
        <v>Monitor</v>
      </c>
      <c r="AN126" s="58" t="n">
        <f aca="false">T_Day</f>
        <v>28</v>
      </c>
      <c r="AO126" s="58" t="n">
        <f aca="false">Capacity</f>
        <v>40</v>
      </c>
      <c r="AP126" s="58" t="n">
        <f aca="false">CUSUM_h</f>
        <v>15</v>
      </c>
    </row>
    <row r="127" customFormat="false" ht="15" hidden="false" customHeight="false" outlineLevel="0" collapsed="false">
      <c r="A127" s="14" t="n">
        <v>119</v>
      </c>
      <c r="B127" s="14" t="n">
        <f aca="false">2+(SelYear-1979)*153+A127-1</f>
        <v>6699</v>
      </c>
      <c r="C127" s="55" t="n">
        <f aca="false">INDEX(Data_Heathrow!$A:$A,B127)</f>
        <v>44800</v>
      </c>
      <c r="D127" s="16" t="n">
        <f aca="false">INDEX(Data_Heathrow!$E:$E,B127)</f>
        <v>24.4</v>
      </c>
      <c r="E127" s="17" t="n">
        <f aca="false">INDEX(Data_Heathrow!$Q:$Q,B127)</f>
        <v>0</v>
      </c>
      <c r="F127" s="16" t="n">
        <f aca="false">INDEX(Data_Heathrow!$T:$T,B127)</f>
        <v>24.7884536169369</v>
      </c>
      <c r="G127" s="16" t="n">
        <f aca="false">IF(AND(Drift_Rate&lt;&gt;0,A127&gt;=Drift_Start),Drift_Rate*(A127-Drift_Start+1)/30,0)</f>
        <v>0</v>
      </c>
      <c r="H127" s="16" t="n">
        <f aca="false">IF(AND(E127=1,QA_Policy="Exclude suspect"),"",IF(AND(E127=1,QA_Policy="Impute with model",ISNUMBER(F127)),F127,D127)+G127)</f>
        <v>24.4</v>
      </c>
      <c r="I127" s="16" t="n">
        <f aca="false">IF(H127="","",H127+Climate_Shift+UHI_Day_Eff)</f>
        <v>26.4</v>
      </c>
      <c r="J127" s="16" t="n">
        <f aca="false">INDEX(Data_Heathrow!$G:$G,B127)</f>
        <v>15.6</v>
      </c>
      <c r="K127" s="16" t="n">
        <f aca="false">J127+Climate_Shift+UHI_Night_Eff</f>
        <v>19.6</v>
      </c>
      <c r="L127" s="16" t="n">
        <f aca="false">IF(INDEX(Data_Heathrow!$I:$I,B127)="","",INDEX(Data_Heathrow!$I:$I,B127))</f>
        <v>20.4</v>
      </c>
      <c r="M127" s="16" t="n">
        <f aca="false">IF(L127="","",L127+Climate_Shift+(UHI_Day_Eff+UHI_Night_Eff)/2)</f>
        <v>23.4</v>
      </c>
      <c r="N127" s="14" t="n">
        <f aca="false">IF(I127="",0,IF(I127&gt;=T_Day,1,0))</f>
        <v>0</v>
      </c>
      <c r="O127" s="14" t="n">
        <f aca="false">IF(K127&gt;=T_Night,1,0)</f>
        <v>1</v>
      </c>
      <c r="P127" s="14" t="n">
        <f aca="false">IF(N127=1,P126+1,0)</f>
        <v>0</v>
      </c>
      <c r="Q127" s="14" t="n">
        <f aca="false">IF(P127&gt;=HW_Days,1,0)</f>
        <v>0</v>
      </c>
      <c r="R127" s="17" t="str">
        <f aca="false">IF(AND(N127=1,I127&gt;=T_Red,O127=1),"RED",IF(AND(Q127=1,O127=1),"AMBER",IF(OR(N127=1,O127=1),"YELLOW","GREEN")))</f>
        <v>YELLOW</v>
      </c>
      <c r="S127" s="14" t="n">
        <f aca="false">IF(R127="RED",3,IF(R127="AMBER",2,IF(R127="YELLOW",1,0)))</f>
        <v>1</v>
      </c>
      <c r="T127" s="16" t="n">
        <f aca="false">MAX(0,T126*(1-Decay)+IF(I127="",0,MAX(0,I127-T_Comfort))-Recovery_Rate*MAX(0,T_Night-K127))</f>
        <v>11.3856473564154</v>
      </c>
      <c r="U127" s="14" t="n">
        <f aca="false">IF(T127&gt;Capacity,1,0)</f>
        <v>0</v>
      </c>
      <c r="V127" s="15" t="n">
        <f aca="false">1/(1+EXP(-Logistic_k*(T127-Capacity)))</f>
        <v>0.0134909568202301</v>
      </c>
      <c r="W127" s="16" t="n">
        <f aca="false">IF(M127="",0,Beta*Pop_Share_Sel*(1-Sens_Red)*MAX(0,M127-T_Mort))</f>
        <v>1.88834672789897</v>
      </c>
      <c r="X127" s="16" t="n">
        <f aca="false">IF(ISNUMBER(F127),F127+Coef_B1*(Climate_Shift+G126),"")</f>
        <v>24.7884536169369</v>
      </c>
      <c r="Y127" s="16" t="n">
        <f aca="false">IF(AND(ISNUMBER(X127),H127&lt;&gt;""),H127+Climate_Shift-X127,"")</f>
        <v>-0.388453616936925</v>
      </c>
      <c r="Z127" s="16" t="n">
        <f aca="false">IF(ISNUMBER(Y127),ABS(Y127),"")</f>
        <v>0.388453616936925</v>
      </c>
      <c r="AA127" s="16" t="n">
        <f aca="false">IF(COUNT(Z121:Z127)=0,"",AVERAGE(Z121:Z127))</f>
        <v>2.66110830031529</v>
      </c>
      <c r="AB127" s="16" t="n">
        <f aca="false">IF(AD126=1,0,MAX(0,AB126+IF(ISNUMBER(Y127),Y127-CUSUM_k,0)))</f>
        <v>0.631698748922542</v>
      </c>
      <c r="AC127" s="16" t="n">
        <f aca="false">IF(AD126=1,0,MAX(0,AC126+IF(ISNUMBER(Y127),-Y127-CUSUM_k,0)))</f>
        <v>0</v>
      </c>
      <c r="AD127" s="17" t="n">
        <f aca="false">IF(OR(AB127&gt;CUSUM_h,AC127&gt;CUSUM_h,AND(ISNUMBER(AA127),AA127&gt;MAE_Tol)),1,0)</f>
        <v>0</v>
      </c>
      <c r="AE127" s="14" t="n">
        <f aca="false">IF(ISNUMBER(X127),IF(X127+Local_Sensing*UHI_Day_Eff&gt;=T_Day,1,0),0)</f>
        <v>0</v>
      </c>
      <c r="AF127" s="17" t="str">
        <f aca="false">IF(NOT(ISNUMBER(X127)),"n/a",IF(AND(AE127=1,N127=1),"Hit",IF(AND(AE127=0,N127=1),"Miss",IF(AND(AE127=1,N127=0),"False alarm","Correct quiet"))))</f>
        <v>Correct quiet</v>
      </c>
      <c r="AG127" s="14" t="n">
        <f aca="false">IF(H127="",0,IF(H127+Climate_Shift&gt;=T_Day,1,0))</f>
        <v>0</v>
      </c>
      <c r="AH127" s="17" t="n">
        <f aca="false">IF(AND(N127=1,AG127=0),1,0)</f>
        <v>0</v>
      </c>
      <c r="AI127" s="17" t="str">
        <f aca="false">IF(U127=1,"ESCALATE: surge health &amp; transport capacity",IF(AD127=1,"Model drift: retrain, recalibrate, raise change request",IF(S127&gt;=2,"Activate heat plan: outreach and cooling centres",IF(AND(E127=1,OR(N127=1,O127=1)),"Data QA: verify sensor before acting",IF(AF127="Miss","Review missed alert: threshold or model",IF(AH127=1,"Equity: local alert not seen at reference station","Monitor"))))))</f>
        <v>Monitor</v>
      </c>
      <c r="AN127" s="58" t="n">
        <f aca="false">T_Day</f>
        <v>28</v>
      </c>
      <c r="AO127" s="58" t="n">
        <f aca="false">Capacity</f>
        <v>40</v>
      </c>
      <c r="AP127" s="58" t="n">
        <f aca="false">CUSUM_h</f>
        <v>15</v>
      </c>
    </row>
    <row r="128" customFormat="false" ht="15" hidden="false" customHeight="false" outlineLevel="0" collapsed="false">
      <c r="A128" s="14" t="n">
        <v>120</v>
      </c>
      <c r="B128" s="14" t="n">
        <f aca="false">2+(SelYear-1979)*153+A128-1</f>
        <v>6700</v>
      </c>
      <c r="C128" s="55" t="n">
        <f aca="false">INDEX(Data_Heathrow!$A:$A,B128)</f>
        <v>44801</v>
      </c>
      <c r="D128" s="16" t="n">
        <f aca="false">INDEX(Data_Heathrow!$E:$E,B128)</f>
        <v>23.3</v>
      </c>
      <c r="E128" s="17" t="n">
        <f aca="false">INDEX(Data_Heathrow!$Q:$Q,B128)</f>
        <v>0</v>
      </c>
      <c r="F128" s="16" t="n">
        <f aca="false">INDEX(Data_Heathrow!$T:$T,B128)</f>
        <v>24.0447743642717</v>
      </c>
      <c r="G128" s="16" t="n">
        <f aca="false">IF(AND(Drift_Rate&lt;&gt;0,A128&gt;=Drift_Start),Drift_Rate*(A128-Drift_Start+1)/30,0)</f>
        <v>0</v>
      </c>
      <c r="H128" s="16" t="n">
        <f aca="false">IF(AND(E128=1,QA_Policy="Exclude suspect"),"",IF(AND(E128=1,QA_Policy="Impute with model",ISNUMBER(F128)),F128,D128)+G128)</f>
        <v>23.3</v>
      </c>
      <c r="I128" s="16" t="n">
        <f aca="false">IF(H128="","",H128+Climate_Shift+UHI_Day_Eff)</f>
        <v>25.3</v>
      </c>
      <c r="J128" s="16" t="n">
        <f aca="false">INDEX(Data_Heathrow!$G:$G,B128)</f>
        <v>13.8</v>
      </c>
      <c r="K128" s="16" t="n">
        <f aca="false">J128+Climate_Shift+UHI_Night_Eff</f>
        <v>17.8</v>
      </c>
      <c r="L128" s="16" t="n">
        <f aca="false">IF(INDEX(Data_Heathrow!$I:$I,B128)="","",INDEX(Data_Heathrow!$I:$I,B128))</f>
        <v>19.1</v>
      </c>
      <c r="M128" s="16" t="n">
        <f aca="false">IF(L128="","",L128+Climate_Shift+(UHI_Day_Eff+UHI_Night_Eff)/2)</f>
        <v>22.1</v>
      </c>
      <c r="N128" s="14" t="n">
        <f aca="false">IF(I128="",0,IF(I128&gt;=T_Day,1,0))</f>
        <v>0</v>
      </c>
      <c r="O128" s="14" t="n">
        <f aca="false">IF(K128&gt;=T_Night,1,0)</f>
        <v>0</v>
      </c>
      <c r="P128" s="14" t="n">
        <f aca="false">IF(N128=1,P127+1,0)</f>
        <v>0</v>
      </c>
      <c r="Q128" s="14" t="n">
        <f aca="false">IF(P128&gt;=HW_Days,1,0)</f>
        <v>0</v>
      </c>
      <c r="R128" s="17" t="str">
        <f aca="false">IF(AND(N128=1,I128&gt;=T_Red,O128=1),"RED",IF(AND(Q128=1,O128=1),"AMBER",IF(OR(N128=1,O128=1),"YELLOW","GREEN")))</f>
        <v>GREEN</v>
      </c>
      <c r="S128" s="14" t="n">
        <f aca="false">IF(R128="RED",3,IF(R128="AMBER",2,IF(R128="YELLOW",1,0)))</f>
        <v>0</v>
      </c>
      <c r="T128" s="16" t="n">
        <f aca="false">MAX(0,T127*(1-Decay)+IF(I128="",0,MAX(0,I128-T_Comfort))-Recovery_Rate*MAX(0,T_Night-K128))</f>
        <v>9.3085178851323</v>
      </c>
      <c r="U128" s="14" t="n">
        <f aca="false">IF(T128&gt;Capacity,1,0)</f>
        <v>0</v>
      </c>
      <c r="V128" s="15" t="n">
        <f aca="false">1/(1+EXP(-Logistic_k*(T128-Capacity)))</f>
        <v>0.00991519357553667</v>
      </c>
      <c r="W128" s="16" t="n">
        <f aca="false">IF(M128="",0,Beta*Pop_Share_Sel*(1-Sens_Red)*MAX(0,M128-T_Mort))</f>
        <v>1.16633180252583</v>
      </c>
      <c r="X128" s="16" t="n">
        <f aca="false">IF(ISNUMBER(F128),F128+Coef_B1*(Climate_Shift+G127),"")</f>
        <v>24.0447743642717</v>
      </c>
      <c r="Y128" s="16" t="n">
        <f aca="false">IF(AND(ISNUMBER(X128),H128&lt;&gt;""),H128+Climate_Shift-X128,"")</f>
        <v>-0.744774364271734</v>
      </c>
      <c r="Z128" s="16" t="n">
        <f aca="false">IF(ISNUMBER(Y128),ABS(Y128),"")</f>
        <v>0.744774364271734</v>
      </c>
      <c r="AA128" s="16" t="n">
        <f aca="false">IF(COUNT(Z122:Z128)=0,"",AVERAGE(Z122:Z128))</f>
        <v>2.5664121027865</v>
      </c>
      <c r="AB128" s="16" t="n">
        <f aca="false">IF(AD127=1,0,MAX(0,AB127+IF(ISNUMBER(Y128),Y128-CUSUM_k,0)))</f>
        <v>0</v>
      </c>
      <c r="AC128" s="16" t="n">
        <f aca="false">IF(AD127=1,0,MAX(0,AC127+IF(ISNUMBER(Y128),-Y128-CUSUM_k,0)))</f>
        <v>0</v>
      </c>
      <c r="AD128" s="17" t="n">
        <f aca="false">IF(OR(AB128&gt;CUSUM_h,AC128&gt;CUSUM_h,AND(ISNUMBER(AA128),AA128&gt;MAE_Tol)),1,0)</f>
        <v>0</v>
      </c>
      <c r="AE128" s="14" t="n">
        <f aca="false">IF(ISNUMBER(X128),IF(X128+Local_Sensing*UHI_Day_Eff&gt;=T_Day,1,0),0)</f>
        <v>0</v>
      </c>
      <c r="AF128" s="17" t="str">
        <f aca="false">IF(NOT(ISNUMBER(X128)),"n/a",IF(AND(AE128=1,N128=1),"Hit",IF(AND(AE128=0,N128=1),"Miss",IF(AND(AE128=1,N128=0),"False alarm","Correct quiet"))))</f>
        <v>Correct quiet</v>
      </c>
      <c r="AG128" s="14" t="n">
        <f aca="false">IF(H128="",0,IF(H128+Climate_Shift&gt;=T_Day,1,0))</f>
        <v>0</v>
      </c>
      <c r="AH128" s="17" t="n">
        <f aca="false">IF(AND(N128=1,AG128=0),1,0)</f>
        <v>0</v>
      </c>
      <c r="AI128" s="17" t="str">
        <f aca="false">IF(U128=1,"ESCALATE: surge health &amp; transport capacity",IF(AD128=1,"Model drift: retrain, recalibrate, raise change request",IF(S128&gt;=2,"Activate heat plan: outreach and cooling centres",IF(AND(E128=1,OR(N128=1,O128=1)),"Data QA: verify sensor before acting",IF(AF128="Miss","Review missed alert: threshold or model",IF(AH128=1,"Equity: local alert not seen at reference station","Monitor"))))))</f>
        <v>Monitor</v>
      </c>
      <c r="AN128" s="58" t="n">
        <f aca="false">T_Day</f>
        <v>28</v>
      </c>
      <c r="AO128" s="58" t="n">
        <f aca="false">Capacity</f>
        <v>40</v>
      </c>
      <c r="AP128" s="58" t="n">
        <f aca="false">CUSUM_h</f>
        <v>15</v>
      </c>
    </row>
    <row r="129" customFormat="false" ht="15" hidden="false" customHeight="false" outlineLevel="0" collapsed="false">
      <c r="A129" s="14" t="n">
        <v>121</v>
      </c>
      <c r="B129" s="14" t="n">
        <f aca="false">2+(SelYear-1979)*153+A129-1</f>
        <v>6701</v>
      </c>
      <c r="C129" s="55" t="n">
        <f aca="false">INDEX(Data_Heathrow!$A:$A,B129)</f>
        <v>44802</v>
      </c>
      <c r="D129" s="16" t="n">
        <f aca="false">INDEX(Data_Heathrow!$E:$E,B129)</f>
        <v>24.4</v>
      </c>
      <c r="E129" s="17" t="n">
        <f aca="false">INDEX(Data_Heathrow!$Q:$Q,B129)</f>
        <v>0</v>
      </c>
      <c r="F129" s="16" t="n">
        <f aca="false">INDEX(Data_Heathrow!$T:$T,B129)</f>
        <v>23.2313369569</v>
      </c>
      <c r="G129" s="16" t="n">
        <f aca="false">IF(AND(Drift_Rate&lt;&gt;0,A129&gt;=Drift_Start),Drift_Rate*(A129-Drift_Start+1)/30,0)</f>
        <v>0</v>
      </c>
      <c r="H129" s="16" t="n">
        <f aca="false">IF(AND(E129=1,QA_Policy="Exclude suspect"),"",IF(AND(E129=1,QA_Policy="Impute with model",ISNUMBER(F129)),F129,D129)+G129)</f>
        <v>24.4</v>
      </c>
      <c r="I129" s="16" t="n">
        <f aca="false">IF(H129="","",H129+Climate_Shift+UHI_Day_Eff)</f>
        <v>26.4</v>
      </c>
      <c r="J129" s="16" t="n">
        <f aca="false">INDEX(Data_Heathrow!$G:$G,B129)</f>
        <v>15.6</v>
      </c>
      <c r="K129" s="16" t="n">
        <f aca="false">J129+Climate_Shift+UHI_Night_Eff</f>
        <v>19.6</v>
      </c>
      <c r="L129" s="16" t="n">
        <f aca="false">IF(INDEX(Data_Heathrow!$I:$I,B129)="","",INDEX(Data_Heathrow!$I:$I,B129))</f>
        <v>19.4</v>
      </c>
      <c r="M129" s="16" t="n">
        <f aca="false">IF(L129="","",L129+Climate_Shift+(UHI_Day_Eff+UHI_Night_Eff)/2)</f>
        <v>22.4</v>
      </c>
      <c r="N129" s="14" t="n">
        <f aca="false">IF(I129="",0,IF(I129&gt;=T_Day,1,0))</f>
        <v>0</v>
      </c>
      <c r="O129" s="14" t="n">
        <f aca="false">IF(K129&gt;=T_Night,1,0)</f>
        <v>1</v>
      </c>
      <c r="P129" s="14" t="n">
        <f aca="false">IF(N129=1,P128+1,0)</f>
        <v>0</v>
      </c>
      <c r="Q129" s="14" t="n">
        <f aca="false">IF(P129&gt;=HW_Days,1,0)</f>
        <v>0</v>
      </c>
      <c r="R129" s="17" t="str">
        <f aca="false">IF(AND(N129=1,I129&gt;=T_Red,O129=1),"RED",IF(AND(Q129=1,O129=1),"AMBER",IF(OR(N129=1,O129=1),"YELLOW","GREEN")))</f>
        <v>YELLOW</v>
      </c>
      <c r="S129" s="14" t="n">
        <f aca="false">IF(R129="RED",3,IF(R129="AMBER",2,IF(R129="YELLOW",1,0)))</f>
        <v>1</v>
      </c>
      <c r="T129" s="16" t="n">
        <f aca="false">MAX(0,T128*(1-Decay)+IF(I129="",0,MAX(0,I129-T_Comfort))-Recovery_Rate*MAX(0,T_Night-K129))</f>
        <v>8.84681430810584</v>
      </c>
      <c r="U129" s="14" t="n">
        <f aca="false">IF(T129&gt;Capacity,1,0)</f>
        <v>0</v>
      </c>
      <c r="V129" s="15" t="n">
        <f aca="false">1/(1+EXP(-Logistic_k*(T129-Capacity)))</f>
        <v>0.0092578923266913</v>
      </c>
      <c r="W129" s="16" t="n">
        <f aca="false">IF(M129="",0,Beta*Pop_Share_Sel*(1-Sens_Red)*MAX(0,M129-T_Mort))</f>
        <v>1.33295063145809</v>
      </c>
      <c r="X129" s="16" t="n">
        <f aca="false">IF(ISNUMBER(F129),F129+Coef_B1*(Climate_Shift+G128),"")</f>
        <v>23.2313369569</v>
      </c>
      <c r="Y129" s="16" t="n">
        <f aca="false">IF(AND(ISNUMBER(X129),H129&lt;&gt;""),H129+Climate_Shift-X129,"")</f>
        <v>1.16866304310002</v>
      </c>
      <c r="Z129" s="16" t="n">
        <f aca="false">IF(ISNUMBER(Y129),ABS(Y129),"")</f>
        <v>1.16866304310002</v>
      </c>
      <c r="AA129" s="16" t="n">
        <f aca="false">IF(COUNT(Z123:Z129)=0,"",AVERAGE(Z123:Z129))</f>
        <v>2.25122846728655</v>
      </c>
      <c r="AB129" s="16" t="n">
        <f aca="false">IF(AD128=1,0,MAX(0,AB128+IF(ISNUMBER(Y129),Y129-CUSUM_k,0)))</f>
        <v>0.168663043100018</v>
      </c>
      <c r="AC129" s="16" t="n">
        <f aca="false">IF(AD128=1,0,MAX(0,AC128+IF(ISNUMBER(Y129),-Y129-CUSUM_k,0)))</f>
        <v>0</v>
      </c>
      <c r="AD129" s="17" t="n">
        <f aca="false">IF(OR(AB129&gt;CUSUM_h,AC129&gt;CUSUM_h,AND(ISNUMBER(AA129),AA129&gt;MAE_Tol)),1,0)</f>
        <v>0</v>
      </c>
      <c r="AE129" s="14" t="n">
        <f aca="false">IF(ISNUMBER(X129),IF(X129+Local_Sensing*UHI_Day_Eff&gt;=T_Day,1,0),0)</f>
        <v>0</v>
      </c>
      <c r="AF129" s="17" t="str">
        <f aca="false">IF(NOT(ISNUMBER(X129)),"n/a",IF(AND(AE129=1,N129=1),"Hit",IF(AND(AE129=0,N129=1),"Miss",IF(AND(AE129=1,N129=0),"False alarm","Correct quiet"))))</f>
        <v>Correct quiet</v>
      </c>
      <c r="AG129" s="14" t="n">
        <f aca="false">IF(H129="",0,IF(H129+Climate_Shift&gt;=T_Day,1,0))</f>
        <v>0</v>
      </c>
      <c r="AH129" s="17" t="n">
        <f aca="false">IF(AND(N129=1,AG129=0),1,0)</f>
        <v>0</v>
      </c>
      <c r="AI129" s="17" t="str">
        <f aca="false">IF(U129=1,"ESCALATE: surge health &amp; transport capacity",IF(AD129=1,"Model drift: retrain, recalibrate, raise change request",IF(S129&gt;=2,"Activate heat plan: outreach and cooling centres",IF(AND(E129=1,OR(N129=1,O129=1)),"Data QA: verify sensor before acting",IF(AF129="Miss","Review missed alert: threshold or model",IF(AH129=1,"Equity: local alert not seen at reference station","Monitor"))))))</f>
        <v>Monitor</v>
      </c>
      <c r="AN129" s="58" t="n">
        <f aca="false">T_Day</f>
        <v>28</v>
      </c>
      <c r="AO129" s="58" t="n">
        <f aca="false">Capacity</f>
        <v>40</v>
      </c>
      <c r="AP129" s="58" t="n">
        <f aca="false">CUSUM_h</f>
        <v>15</v>
      </c>
    </row>
    <row r="130" customFormat="false" ht="15" hidden="false" customHeight="false" outlineLevel="0" collapsed="false">
      <c r="A130" s="14" t="n">
        <v>122</v>
      </c>
      <c r="B130" s="14" t="n">
        <f aca="false">2+(SelYear-1979)*153+A130-1</f>
        <v>6702</v>
      </c>
      <c r="C130" s="55" t="n">
        <f aca="false">INDEX(Data_Heathrow!$A:$A,B130)</f>
        <v>44803</v>
      </c>
      <c r="D130" s="16" t="n">
        <f aca="false">INDEX(Data_Heathrow!$E:$E,B130)</f>
        <v>24.7</v>
      </c>
      <c r="E130" s="17" t="n">
        <f aca="false">INDEX(Data_Heathrow!$Q:$Q,B130)</f>
        <v>0</v>
      </c>
      <c r="F130" s="16" t="n">
        <f aca="false">INDEX(Data_Heathrow!$T:$T,B130)</f>
        <v>24.1639799638809</v>
      </c>
      <c r="G130" s="16" t="n">
        <f aca="false">IF(AND(Drift_Rate&lt;&gt;0,A130&gt;=Drift_Start),Drift_Rate*(A130-Drift_Start+1)/30,0)</f>
        <v>0</v>
      </c>
      <c r="H130" s="16" t="n">
        <f aca="false">IF(AND(E130=1,QA_Policy="Exclude suspect"),"",IF(AND(E130=1,QA_Policy="Impute with model",ISNUMBER(F130)),F130,D130)+G130)</f>
        <v>24.7</v>
      </c>
      <c r="I130" s="16" t="n">
        <f aca="false">IF(H130="","",H130+Climate_Shift+UHI_Day_Eff)</f>
        <v>26.7</v>
      </c>
      <c r="J130" s="16" t="n">
        <f aca="false">INDEX(Data_Heathrow!$G:$G,B130)</f>
        <v>13.5</v>
      </c>
      <c r="K130" s="16" t="n">
        <f aca="false">J130+Climate_Shift+UHI_Night_Eff</f>
        <v>17.5</v>
      </c>
      <c r="L130" s="16" t="n">
        <f aca="false">IF(INDEX(Data_Heathrow!$I:$I,B130)="","",INDEX(Data_Heathrow!$I:$I,B130))</f>
        <v>18.9</v>
      </c>
      <c r="M130" s="16" t="n">
        <f aca="false">IF(L130="","",L130+Climate_Shift+(UHI_Day_Eff+UHI_Night_Eff)/2)</f>
        <v>21.9</v>
      </c>
      <c r="N130" s="14" t="n">
        <f aca="false">IF(I130="",0,IF(I130&gt;=T_Day,1,0))</f>
        <v>0</v>
      </c>
      <c r="O130" s="14" t="n">
        <f aca="false">IF(K130&gt;=T_Night,1,0)</f>
        <v>0</v>
      </c>
      <c r="P130" s="14" t="n">
        <f aca="false">IF(N130=1,P129+1,0)</f>
        <v>0</v>
      </c>
      <c r="Q130" s="14" t="n">
        <f aca="false">IF(P130&gt;=HW_Days,1,0)</f>
        <v>0</v>
      </c>
      <c r="R130" s="17" t="str">
        <f aca="false">IF(AND(N130=1,I130&gt;=T_Red,O130=1),"RED",IF(AND(Q130=1,O130=1),"AMBER",IF(OR(N130=1,O130=1),"YELLOW","GREEN")))</f>
        <v>GREEN</v>
      </c>
      <c r="S130" s="14" t="n">
        <f aca="false">IF(R130="RED",3,IF(R130="AMBER",2,IF(R130="YELLOW",1,0)))</f>
        <v>0</v>
      </c>
      <c r="T130" s="16" t="n">
        <f aca="false">MAX(0,T129*(1-Decay)+IF(I130="",0,MAX(0,I130-T_Comfort))-Recovery_Rate*MAX(0,T_Night-K130))</f>
        <v>8.52745144648467</v>
      </c>
      <c r="U130" s="14" t="n">
        <f aca="false">IF(T130&gt;Capacity,1,0)</f>
        <v>0</v>
      </c>
      <c r="V130" s="15" t="n">
        <f aca="false">1/(1+EXP(-Logistic_k*(T130-Capacity)))</f>
        <v>0.00882867649250489</v>
      </c>
      <c r="W130" s="16" t="n">
        <f aca="false">IF(M130="",0,Beta*Pop_Share_Sel*(1-Sens_Red)*MAX(0,M130-T_Mort))</f>
        <v>1.05525258323766</v>
      </c>
      <c r="X130" s="16" t="n">
        <f aca="false">IF(ISNUMBER(F130),F130+Coef_B1*(Climate_Shift+G129),"")</f>
        <v>24.1639799638809</v>
      </c>
      <c r="Y130" s="16" t="n">
        <f aca="false">IF(AND(ISNUMBER(X130),H130&lt;&gt;""),H130+Climate_Shift-X130,"")</f>
        <v>0.536020036119108</v>
      </c>
      <c r="Z130" s="16" t="n">
        <f aca="false">IF(ISNUMBER(Y130),ABS(Y130),"")</f>
        <v>0.536020036119108</v>
      </c>
      <c r="AA130" s="16" t="n">
        <f aca="false">IF(COUNT(Z124:Z130)=0,"",AVERAGE(Z124:Z130))</f>
        <v>1.82812607495565</v>
      </c>
      <c r="AB130" s="16" t="n">
        <f aca="false">IF(AD129=1,0,MAX(0,AB129+IF(ISNUMBER(Y130),Y130-CUSUM_k,0)))</f>
        <v>0</v>
      </c>
      <c r="AC130" s="16" t="n">
        <f aca="false">IF(AD129=1,0,MAX(0,AC129+IF(ISNUMBER(Y130),-Y130-CUSUM_k,0)))</f>
        <v>0</v>
      </c>
      <c r="AD130" s="17" t="n">
        <f aca="false">IF(OR(AB130&gt;CUSUM_h,AC130&gt;CUSUM_h,AND(ISNUMBER(AA130),AA130&gt;MAE_Tol)),1,0)</f>
        <v>0</v>
      </c>
      <c r="AE130" s="14" t="n">
        <f aca="false">IF(ISNUMBER(X130),IF(X130+Local_Sensing*UHI_Day_Eff&gt;=T_Day,1,0),0)</f>
        <v>0</v>
      </c>
      <c r="AF130" s="17" t="str">
        <f aca="false">IF(NOT(ISNUMBER(X130)),"n/a",IF(AND(AE130=1,N130=1),"Hit",IF(AND(AE130=0,N130=1),"Miss",IF(AND(AE130=1,N130=0),"False alarm","Correct quiet"))))</f>
        <v>Correct quiet</v>
      </c>
      <c r="AG130" s="14" t="n">
        <f aca="false">IF(H130="",0,IF(H130+Climate_Shift&gt;=T_Day,1,0))</f>
        <v>0</v>
      </c>
      <c r="AH130" s="17" t="n">
        <f aca="false">IF(AND(N130=1,AG130=0),1,0)</f>
        <v>0</v>
      </c>
      <c r="AI130" s="17" t="str">
        <f aca="false">IF(U130=1,"ESCALATE: surge health &amp; transport capacity",IF(AD130=1,"Model drift: retrain, recalibrate, raise change request",IF(S130&gt;=2,"Activate heat plan: outreach and cooling centres",IF(AND(E130=1,OR(N130=1,O130=1)),"Data QA: verify sensor before acting",IF(AF130="Miss","Review missed alert: threshold or model",IF(AH130=1,"Equity: local alert not seen at reference station","Monitor"))))))</f>
        <v>Monitor</v>
      </c>
      <c r="AN130" s="58" t="n">
        <f aca="false">T_Day</f>
        <v>28</v>
      </c>
      <c r="AO130" s="58" t="n">
        <f aca="false">Capacity</f>
        <v>40</v>
      </c>
      <c r="AP130" s="58" t="n">
        <f aca="false">CUSUM_h</f>
        <v>15</v>
      </c>
    </row>
    <row r="131" customFormat="false" ht="15" hidden="false" customHeight="false" outlineLevel="0" collapsed="false">
      <c r="A131" s="14" t="n">
        <v>123</v>
      </c>
      <c r="B131" s="14" t="n">
        <f aca="false">2+(SelYear-1979)*153+A131-1</f>
        <v>6703</v>
      </c>
      <c r="C131" s="55" t="n">
        <f aca="false">INDEX(Data_Heathrow!$A:$A,B131)</f>
        <v>44804</v>
      </c>
      <c r="D131" s="16" t="n">
        <f aca="false">INDEX(Data_Heathrow!$E:$E,B131)</f>
        <v>23.7</v>
      </c>
      <c r="E131" s="17" t="n">
        <f aca="false">INDEX(Data_Heathrow!$Q:$Q,B131)</f>
        <v>0</v>
      </c>
      <c r="F131" s="16" t="n">
        <f aca="false">INDEX(Data_Heathrow!$T:$T,B131)</f>
        <v>24.4160557007205</v>
      </c>
      <c r="G131" s="16" t="n">
        <f aca="false">IF(AND(Drift_Rate&lt;&gt;0,A131&gt;=Drift_Start),Drift_Rate*(A131-Drift_Start+1)/30,0)</f>
        <v>0</v>
      </c>
      <c r="H131" s="16" t="n">
        <f aca="false">IF(AND(E131=1,QA_Policy="Exclude suspect"),"",IF(AND(E131=1,QA_Policy="Impute with model",ISNUMBER(F131)),F131,D131)+G131)</f>
        <v>23.7</v>
      </c>
      <c r="I131" s="16" t="n">
        <f aca="false">IF(H131="","",H131+Climate_Shift+UHI_Day_Eff)</f>
        <v>25.7</v>
      </c>
      <c r="J131" s="16" t="n">
        <f aca="false">INDEX(Data_Heathrow!$G:$G,B131)</f>
        <v>13.8</v>
      </c>
      <c r="K131" s="16" t="n">
        <f aca="false">J131+Climate_Shift+UHI_Night_Eff</f>
        <v>17.8</v>
      </c>
      <c r="L131" s="16" t="n">
        <f aca="false">IF(INDEX(Data_Heathrow!$I:$I,B131)="","",INDEX(Data_Heathrow!$I:$I,B131))</f>
        <v>19.2</v>
      </c>
      <c r="M131" s="16" t="n">
        <f aca="false">IF(L131="","",L131+Climate_Shift+(UHI_Day_Eff+UHI_Night_Eff)/2)</f>
        <v>22.2</v>
      </c>
      <c r="N131" s="14" t="n">
        <f aca="false">IF(I131="",0,IF(I131&gt;=T_Day,1,0))</f>
        <v>0</v>
      </c>
      <c r="O131" s="14" t="n">
        <f aca="false">IF(K131&gt;=T_Night,1,0)</f>
        <v>0</v>
      </c>
      <c r="P131" s="14" t="n">
        <f aca="false">IF(N131=1,P130+1,0)</f>
        <v>0</v>
      </c>
      <c r="Q131" s="14" t="n">
        <f aca="false">IF(P131&gt;=HW_Days,1,0)</f>
        <v>0</v>
      </c>
      <c r="R131" s="17" t="str">
        <f aca="false">IF(AND(N131=1,I131&gt;=T_Red,O131=1),"RED",IF(AND(Q131=1,O131=1),"AMBER",IF(OR(N131=1,O131=1),"YELLOW","GREEN")))</f>
        <v>GREEN</v>
      </c>
      <c r="S131" s="14" t="n">
        <f aca="false">IF(R131="RED",3,IF(R131="AMBER",2,IF(R131="YELLOW",1,0)))</f>
        <v>0</v>
      </c>
      <c r="T131" s="16" t="n">
        <f aca="false">MAX(0,T130*(1-Decay)+IF(I131="",0,MAX(0,I131-T_Comfort))-Recovery_Rate*MAX(0,T_Night-K131))</f>
        <v>7.42196115718774</v>
      </c>
      <c r="U131" s="14" t="n">
        <f aca="false">IF(T131&gt;Capacity,1,0)</f>
        <v>0</v>
      </c>
      <c r="V131" s="15" t="n">
        <f aca="false">1/(1+EXP(-Logistic_k*(T131-Capacity)))</f>
        <v>0.00748972096723123</v>
      </c>
      <c r="W131" s="16" t="n">
        <f aca="false">IF(M131="",0,Beta*Pop_Share_Sel*(1-Sens_Red)*MAX(0,M131-T_Mort))</f>
        <v>1.22187141216992</v>
      </c>
      <c r="X131" s="16" t="n">
        <f aca="false">IF(ISNUMBER(F131),F131+Coef_B1*(Climate_Shift+G130),"")</f>
        <v>24.4160557007205</v>
      </c>
      <c r="Y131" s="16" t="n">
        <f aca="false">IF(AND(ISNUMBER(X131),H131&lt;&gt;""),H131+Climate_Shift-X131,"")</f>
        <v>-0.716055700720489</v>
      </c>
      <c r="Z131" s="16" t="n">
        <f aca="false">IF(ISNUMBER(Y131),ABS(Y131),"")</f>
        <v>0.716055700720489</v>
      </c>
      <c r="AA131" s="16" t="n">
        <f aca="false">IF(COUNT(Z125:Z131)=0,"",AVERAGE(Z125:Z131))</f>
        <v>1.08201701814396</v>
      </c>
      <c r="AB131" s="16" t="n">
        <f aca="false">IF(AD130=1,0,MAX(0,AB130+IF(ISNUMBER(Y131),Y131-CUSUM_k,0)))</f>
        <v>0</v>
      </c>
      <c r="AC131" s="16" t="n">
        <f aca="false">IF(AD130=1,0,MAX(0,AC130+IF(ISNUMBER(Y131),-Y131-CUSUM_k,0)))</f>
        <v>0</v>
      </c>
      <c r="AD131" s="17" t="n">
        <f aca="false">IF(OR(AB131&gt;CUSUM_h,AC131&gt;CUSUM_h,AND(ISNUMBER(AA131),AA131&gt;MAE_Tol)),1,0)</f>
        <v>0</v>
      </c>
      <c r="AE131" s="14" t="n">
        <f aca="false">IF(ISNUMBER(X131),IF(X131+Local_Sensing*UHI_Day_Eff&gt;=T_Day,1,0),0)</f>
        <v>0</v>
      </c>
      <c r="AF131" s="17" t="str">
        <f aca="false">IF(NOT(ISNUMBER(X131)),"n/a",IF(AND(AE131=1,N131=1),"Hit",IF(AND(AE131=0,N131=1),"Miss",IF(AND(AE131=1,N131=0),"False alarm","Correct quiet"))))</f>
        <v>Correct quiet</v>
      </c>
      <c r="AG131" s="14" t="n">
        <f aca="false">IF(H131="",0,IF(H131+Climate_Shift&gt;=T_Day,1,0))</f>
        <v>0</v>
      </c>
      <c r="AH131" s="17" t="n">
        <f aca="false">IF(AND(N131=1,AG131=0),1,0)</f>
        <v>0</v>
      </c>
      <c r="AI131" s="17" t="str">
        <f aca="false">IF(U131=1,"ESCALATE: surge health &amp; transport capacity",IF(AD131=1,"Model drift: retrain, recalibrate, raise change request",IF(S131&gt;=2,"Activate heat plan: outreach and cooling centres",IF(AND(E131=1,OR(N131=1,O131=1)),"Data QA: verify sensor before acting",IF(AF131="Miss","Review missed alert: threshold or model",IF(AH131=1,"Equity: local alert not seen at reference station","Monitor"))))))</f>
        <v>Monitor</v>
      </c>
      <c r="AN131" s="58" t="n">
        <f aca="false">T_Day</f>
        <v>28</v>
      </c>
      <c r="AO131" s="58" t="n">
        <f aca="false">Capacity</f>
        <v>40</v>
      </c>
      <c r="AP131" s="58" t="n">
        <f aca="false">CUSUM_h</f>
        <v>15</v>
      </c>
    </row>
    <row r="132" customFormat="false" ht="15" hidden="false" customHeight="false" outlineLevel="0" collapsed="false">
      <c r="A132" s="14" t="n">
        <v>124</v>
      </c>
      <c r="B132" s="14" t="n">
        <f aca="false">2+(SelYear-1979)*153+A132-1</f>
        <v>6704</v>
      </c>
      <c r="C132" s="55" t="n">
        <f aca="false">INDEX(Data_Heathrow!$A:$A,B132)</f>
        <v>44805</v>
      </c>
      <c r="D132" s="16" t="n">
        <f aca="false">INDEX(Data_Heathrow!$E:$E,B132)</f>
        <v>24.2</v>
      </c>
      <c r="E132" s="17" t="n">
        <f aca="false">INDEX(Data_Heathrow!$Q:$Q,B132)</f>
        <v>0</v>
      </c>
      <c r="F132" s="16" t="n">
        <f aca="false">INDEX(Data_Heathrow!$T:$T,B132)</f>
        <v>23.6155384444582</v>
      </c>
      <c r="G132" s="16" t="n">
        <f aca="false">IF(AND(Drift_Rate&lt;&gt;0,A132&gt;=Drift_Start),Drift_Rate*(A132-Drift_Start+1)/30,0)</f>
        <v>0</v>
      </c>
      <c r="H132" s="16" t="n">
        <f aca="false">IF(AND(E132=1,QA_Policy="Exclude suspect"),"",IF(AND(E132=1,QA_Policy="Impute with model",ISNUMBER(F132)),F132,D132)+G132)</f>
        <v>24.2</v>
      </c>
      <c r="I132" s="16" t="n">
        <f aca="false">IF(H132="","",H132+Climate_Shift+UHI_Day_Eff)</f>
        <v>26.2</v>
      </c>
      <c r="J132" s="16" t="n">
        <f aca="false">INDEX(Data_Heathrow!$G:$G,B132)</f>
        <v>15.2</v>
      </c>
      <c r="K132" s="16" t="n">
        <f aca="false">J132+Climate_Shift+UHI_Night_Eff</f>
        <v>19.2</v>
      </c>
      <c r="L132" s="16" t="n">
        <f aca="false">IF(INDEX(Data_Heathrow!$I:$I,B132)="","",INDEX(Data_Heathrow!$I:$I,B132))</f>
        <v>19.4</v>
      </c>
      <c r="M132" s="16" t="n">
        <f aca="false">IF(L132="","",L132+Climate_Shift+(UHI_Day_Eff+UHI_Night_Eff)/2)</f>
        <v>22.4</v>
      </c>
      <c r="N132" s="14" t="n">
        <f aca="false">IF(I132="",0,IF(I132&gt;=T_Day,1,0))</f>
        <v>0</v>
      </c>
      <c r="O132" s="14" t="n">
        <f aca="false">IF(K132&gt;=T_Night,1,0)</f>
        <v>1</v>
      </c>
      <c r="P132" s="14" t="n">
        <f aca="false">IF(N132=1,P131+1,0)</f>
        <v>0</v>
      </c>
      <c r="Q132" s="14" t="n">
        <f aca="false">IF(P132&gt;=HW_Days,1,0)</f>
        <v>0</v>
      </c>
      <c r="R132" s="17" t="str">
        <f aca="false">IF(AND(N132=1,I132&gt;=T_Red,O132=1),"RED",IF(AND(Q132=1,O132=1),"AMBER",IF(OR(N132=1,O132=1),"YELLOW","GREEN")))</f>
        <v>YELLOW</v>
      </c>
      <c r="S132" s="14" t="n">
        <f aca="false">IF(R132="RED",3,IF(R132="AMBER",2,IF(R132="YELLOW",1,0)))</f>
        <v>1</v>
      </c>
      <c r="T132" s="16" t="n">
        <f aca="false">MAX(0,T131*(1-Decay)+IF(I132="",0,MAX(0,I132-T_Comfort))-Recovery_Rate*MAX(0,T_Night-K132))</f>
        <v>7.13756892575019</v>
      </c>
      <c r="U132" s="14" t="n">
        <f aca="false">IF(T132&gt;Capacity,1,0)</f>
        <v>0</v>
      </c>
      <c r="V132" s="15" t="n">
        <f aca="false">1/(1+EXP(-Logistic_k*(T132-Capacity)))</f>
        <v>0.00717918265942389</v>
      </c>
      <c r="W132" s="16" t="n">
        <f aca="false">IF(M132="",0,Beta*Pop_Share_Sel*(1-Sens_Red)*MAX(0,M132-T_Mort))</f>
        <v>1.33295063145809</v>
      </c>
      <c r="X132" s="16" t="n">
        <f aca="false">IF(ISNUMBER(F132),F132+Coef_B1*(Climate_Shift+G131),"")</f>
        <v>23.6155384444582</v>
      </c>
      <c r="Y132" s="16" t="n">
        <f aca="false">IF(AND(ISNUMBER(X132),H132&lt;&gt;""),H132+Climate_Shift-X132,"")</f>
        <v>0.584461555541772</v>
      </c>
      <c r="Z132" s="16" t="n">
        <f aca="false">IF(ISNUMBER(Y132),ABS(Y132),"")</f>
        <v>0.584461555541772</v>
      </c>
      <c r="AA132" s="16" t="n">
        <f aca="false">IF(COUNT(Z126:Z132)=0,"",AVERAGE(Z126:Z132))</f>
        <v>0.683605348562167</v>
      </c>
      <c r="AB132" s="16" t="n">
        <f aca="false">IF(AD131=1,0,MAX(0,AB131+IF(ISNUMBER(Y132),Y132-CUSUM_k,0)))</f>
        <v>0</v>
      </c>
      <c r="AC132" s="16" t="n">
        <f aca="false">IF(AD131=1,0,MAX(0,AC131+IF(ISNUMBER(Y132),-Y132-CUSUM_k,0)))</f>
        <v>0</v>
      </c>
      <c r="AD132" s="17" t="n">
        <f aca="false">IF(OR(AB132&gt;CUSUM_h,AC132&gt;CUSUM_h,AND(ISNUMBER(AA132),AA132&gt;MAE_Tol)),1,0)</f>
        <v>0</v>
      </c>
      <c r="AE132" s="14" t="n">
        <f aca="false">IF(ISNUMBER(X132),IF(X132+Local_Sensing*UHI_Day_Eff&gt;=T_Day,1,0),0)</f>
        <v>0</v>
      </c>
      <c r="AF132" s="17" t="str">
        <f aca="false">IF(NOT(ISNUMBER(X132)),"n/a",IF(AND(AE132=1,N132=1),"Hit",IF(AND(AE132=0,N132=1),"Miss",IF(AND(AE132=1,N132=0),"False alarm","Correct quiet"))))</f>
        <v>Correct quiet</v>
      </c>
      <c r="AG132" s="14" t="n">
        <f aca="false">IF(H132="",0,IF(H132+Climate_Shift&gt;=T_Day,1,0))</f>
        <v>0</v>
      </c>
      <c r="AH132" s="17" t="n">
        <f aca="false">IF(AND(N132=1,AG132=0),1,0)</f>
        <v>0</v>
      </c>
      <c r="AI132" s="17" t="str">
        <f aca="false">IF(U132=1,"ESCALATE: surge health &amp; transport capacity",IF(AD132=1,"Model drift: retrain, recalibrate, raise change request",IF(S132&gt;=2,"Activate heat plan: outreach and cooling centres",IF(AND(E132=1,OR(N132=1,O132=1)),"Data QA: verify sensor before acting",IF(AF132="Miss","Review missed alert: threshold or model",IF(AH132=1,"Equity: local alert not seen at reference station","Monitor"))))))</f>
        <v>Monitor</v>
      </c>
      <c r="AN132" s="58" t="n">
        <f aca="false">T_Day</f>
        <v>28</v>
      </c>
      <c r="AO132" s="58" t="n">
        <f aca="false">Capacity</f>
        <v>40</v>
      </c>
      <c r="AP132" s="58" t="n">
        <f aca="false">CUSUM_h</f>
        <v>15</v>
      </c>
    </row>
    <row r="133" customFormat="false" ht="15" hidden="false" customHeight="false" outlineLevel="0" collapsed="false">
      <c r="A133" s="14" t="n">
        <v>125</v>
      </c>
      <c r="B133" s="14" t="n">
        <f aca="false">2+(SelYear-1979)*153+A133-1</f>
        <v>6705</v>
      </c>
      <c r="C133" s="55" t="n">
        <f aca="false">INDEX(Data_Heathrow!$A:$A,B133)</f>
        <v>44806</v>
      </c>
      <c r="D133" s="16" t="n">
        <f aca="false">INDEX(Data_Heathrow!$E:$E,B133)</f>
        <v>23.7</v>
      </c>
      <c r="E133" s="17" t="n">
        <f aca="false">INDEX(Data_Heathrow!$Q:$Q,B133)</f>
        <v>0</v>
      </c>
      <c r="F133" s="16" t="n">
        <f aca="false">INDEX(Data_Heathrow!$T:$T,B133)</f>
        <v>23.88718050459</v>
      </c>
      <c r="G133" s="16" t="n">
        <f aca="false">IF(AND(Drift_Rate&lt;&gt;0,A133&gt;=Drift_Start),Drift_Rate*(A133-Drift_Start+1)/30,0)</f>
        <v>0</v>
      </c>
      <c r="H133" s="16" t="n">
        <f aca="false">IF(AND(E133=1,QA_Policy="Exclude suspect"),"",IF(AND(E133=1,QA_Policy="Impute with model",ISNUMBER(F133)),F133,D133)+G133)</f>
        <v>23.7</v>
      </c>
      <c r="I133" s="16" t="n">
        <f aca="false">IF(H133="","",H133+Climate_Shift+UHI_Day_Eff)</f>
        <v>25.7</v>
      </c>
      <c r="J133" s="16" t="n">
        <f aca="false">INDEX(Data_Heathrow!$G:$G,B133)</f>
        <v>16.3</v>
      </c>
      <c r="K133" s="16" t="n">
        <f aca="false">J133+Climate_Shift+UHI_Night_Eff</f>
        <v>20.3</v>
      </c>
      <c r="L133" s="16" t="n">
        <f aca="false">IF(INDEX(Data_Heathrow!$I:$I,B133)="","",INDEX(Data_Heathrow!$I:$I,B133))</f>
        <v>20.2</v>
      </c>
      <c r="M133" s="16" t="n">
        <f aca="false">IF(L133="","",L133+Climate_Shift+(UHI_Day_Eff+UHI_Night_Eff)/2)</f>
        <v>23.2</v>
      </c>
      <c r="N133" s="14" t="n">
        <f aca="false">IF(I133="",0,IF(I133&gt;=T_Day,1,0))</f>
        <v>0</v>
      </c>
      <c r="O133" s="14" t="n">
        <f aca="false">IF(K133&gt;=T_Night,1,0)</f>
        <v>1</v>
      </c>
      <c r="P133" s="14" t="n">
        <f aca="false">IF(N133=1,P132+1,0)</f>
        <v>0</v>
      </c>
      <c r="Q133" s="14" t="n">
        <f aca="false">IF(P133&gt;=HW_Days,1,0)</f>
        <v>0</v>
      </c>
      <c r="R133" s="17" t="str">
        <f aca="false">IF(AND(N133=1,I133&gt;=T_Red,O133=1),"RED",IF(AND(Q133=1,O133=1),"AMBER",IF(OR(N133=1,O133=1),"YELLOW","GREEN")))</f>
        <v>YELLOW</v>
      </c>
      <c r="S133" s="14" t="n">
        <f aca="false">IF(R133="RED",3,IF(R133="AMBER",2,IF(R133="YELLOW",1,0)))</f>
        <v>1</v>
      </c>
      <c r="T133" s="16" t="n">
        <f aca="false">MAX(0,T132*(1-Decay)+IF(I133="",0,MAX(0,I133-T_Comfort))-Recovery_Rate*MAX(0,T_Night-K133))</f>
        <v>6.41005514060015</v>
      </c>
      <c r="U133" s="14" t="n">
        <f aca="false">IF(T133&gt;Capacity,1,0)</f>
        <v>0</v>
      </c>
      <c r="V133" s="15" t="n">
        <f aca="false">1/(1+EXP(-Logistic_k*(T133-Capacity)))</f>
        <v>0.00644175460903575</v>
      </c>
      <c r="W133" s="16" t="n">
        <f aca="false">IF(M133="",0,Beta*Pop_Share_Sel*(1-Sens_Red)*MAX(0,M133-T_Mort))</f>
        <v>1.77726750861079</v>
      </c>
      <c r="X133" s="16" t="n">
        <f aca="false">IF(ISNUMBER(F133),F133+Coef_B1*(Climate_Shift+G132),"")</f>
        <v>23.88718050459</v>
      </c>
      <c r="Y133" s="16" t="n">
        <f aca="false">IF(AND(ISNUMBER(X133),H133&lt;&gt;""),H133+Climate_Shift-X133,"")</f>
        <v>-0.18718050459</v>
      </c>
      <c r="Z133" s="16" t="n">
        <f aca="false">IF(ISNUMBER(Y133),ABS(Y133),"")</f>
        <v>0.18718050459</v>
      </c>
      <c r="AA133" s="16" t="n">
        <f aca="false">IF(COUNT(Z127:Z133)=0,"",AVERAGE(Z127:Z133))</f>
        <v>0.617944117325721</v>
      </c>
      <c r="AB133" s="16" t="n">
        <f aca="false">IF(AD132=1,0,MAX(0,AB132+IF(ISNUMBER(Y133),Y133-CUSUM_k,0)))</f>
        <v>0</v>
      </c>
      <c r="AC133" s="16" t="n">
        <f aca="false">IF(AD132=1,0,MAX(0,AC132+IF(ISNUMBER(Y133),-Y133-CUSUM_k,0)))</f>
        <v>0</v>
      </c>
      <c r="AD133" s="17" t="n">
        <f aca="false">IF(OR(AB133&gt;CUSUM_h,AC133&gt;CUSUM_h,AND(ISNUMBER(AA133),AA133&gt;MAE_Tol)),1,0)</f>
        <v>0</v>
      </c>
      <c r="AE133" s="14" t="n">
        <f aca="false">IF(ISNUMBER(X133),IF(X133+Local_Sensing*UHI_Day_Eff&gt;=T_Day,1,0),0)</f>
        <v>0</v>
      </c>
      <c r="AF133" s="17" t="str">
        <f aca="false">IF(NOT(ISNUMBER(X133)),"n/a",IF(AND(AE133=1,N133=1),"Hit",IF(AND(AE133=0,N133=1),"Miss",IF(AND(AE133=1,N133=0),"False alarm","Correct quiet"))))</f>
        <v>Correct quiet</v>
      </c>
      <c r="AG133" s="14" t="n">
        <f aca="false">IF(H133="",0,IF(H133+Climate_Shift&gt;=T_Day,1,0))</f>
        <v>0</v>
      </c>
      <c r="AH133" s="17" t="n">
        <f aca="false">IF(AND(N133=1,AG133=0),1,0)</f>
        <v>0</v>
      </c>
      <c r="AI133" s="17" t="str">
        <f aca="false">IF(U133=1,"ESCALATE: surge health &amp; transport capacity",IF(AD133=1,"Model drift: retrain, recalibrate, raise change request",IF(S133&gt;=2,"Activate heat plan: outreach and cooling centres",IF(AND(E133=1,OR(N133=1,O133=1)),"Data QA: verify sensor before acting",IF(AF133="Miss","Review missed alert: threshold or model",IF(AH133=1,"Equity: local alert not seen at reference station","Monitor"))))))</f>
        <v>Monitor</v>
      </c>
      <c r="AN133" s="58" t="n">
        <f aca="false">T_Day</f>
        <v>28</v>
      </c>
      <c r="AO133" s="58" t="n">
        <f aca="false">Capacity</f>
        <v>40</v>
      </c>
      <c r="AP133" s="58" t="n">
        <f aca="false">CUSUM_h</f>
        <v>15</v>
      </c>
    </row>
    <row r="134" customFormat="false" ht="15" hidden="false" customHeight="false" outlineLevel="0" collapsed="false">
      <c r="A134" s="14" t="n">
        <v>126</v>
      </c>
      <c r="B134" s="14" t="n">
        <f aca="false">2+(SelYear-1979)*153+A134-1</f>
        <v>6706</v>
      </c>
      <c r="C134" s="55" t="n">
        <f aca="false">INDEX(Data_Heathrow!$A:$A,B134)</f>
        <v>44807</v>
      </c>
      <c r="D134" s="16" t="n">
        <f aca="false">INDEX(Data_Heathrow!$E:$E,B134)</f>
        <v>24.6</v>
      </c>
      <c r="E134" s="17" t="n">
        <f aca="false">INDEX(Data_Heathrow!$Q:$Q,B134)</f>
        <v>0</v>
      </c>
      <c r="F134" s="16" t="n">
        <f aca="false">INDEX(Data_Heathrow!$T:$T,B134)</f>
        <v>23.2673326140209</v>
      </c>
      <c r="G134" s="16" t="n">
        <f aca="false">IF(AND(Drift_Rate&lt;&gt;0,A134&gt;=Drift_Start),Drift_Rate*(A134-Drift_Start+1)/30,0)</f>
        <v>0</v>
      </c>
      <c r="H134" s="16" t="n">
        <f aca="false">IF(AND(E134=1,QA_Policy="Exclude suspect"),"",IF(AND(E134=1,QA_Policy="Impute with model",ISNUMBER(F134)),F134,D134)+G134)</f>
        <v>24.6</v>
      </c>
      <c r="I134" s="16" t="n">
        <f aca="false">IF(H134="","",H134+Climate_Shift+UHI_Day_Eff)</f>
        <v>26.6</v>
      </c>
      <c r="J134" s="16" t="n">
        <f aca="false">INDEX(Data_Heathrow!$G:$G,B134)</f>
        <v>15</v>
      </c>
      <c r="K134" s="16" t="n">
        <f aca="false">J134+Climate_Shift+UHI_Night_Eff</f>
        <v>19</v>
      </c>
      <c r="L134" s="16" t="n">
        <f aca="false">IF(INDEX(Data_Heathrow!$I:$I,B134)="","",INDEX(Data_Heathrow!$I:$I,B134))</f>
        <v>19.4</v>
      </c>
      <c r="M134" s="16" t="n">
        <f aca="false">IF(L134="","",L134+Climate_Shift+(UHI_Day_Eff+UHI_Night_Eff)/2)</f>
        <v>22.4</v>
      </c>
      <c r="N134" s="14" t="n">
        <f aca="false">IF(I134="",0,IF(I134&gt;=T_Day,1,0))</f>
        <v>0</v>
      </c>
      <c r="O134" s="14" t="n">
        <f aca="false">IF(K134&gt;=T_Night,1,0)</f>
        <v>1</v>
      </c>
      <c r="P134" s="14" t="n">
        <f aca="false">IF(N134=1,P133+1,0)</f>
        <v>0</v>
      </c>
      <c r="Q134" s="14" t="n">
        <f aca="false">IF(P134&gt;=HW_Days,1,0)</f>
        <v>0</v>
      </c>
      <c r="R134" s="17" t="str">
        <f aca="false">IF(AND(N134=1,I134&gt;=T_Red,O134=1),"RED",IF(AND(Q134=1,O134=1),"AMBER",IF(OR(N134=1,O134=1),"YELLOW","GREEN")))</f>
        <v>YELLOW</v>
      </c>
      <c r="S134" s="14" t="n">
        <f aca="false">IF(R134="RED",3,IF(R134="AMBER",2,IF(R134="YELLOW",1,0)))</f>
        <v>1</v>
      </c>
      <c r="T134" s="16" t="n">
        <f aca="false">MAX(0,T133*(1-Decay)+IF(I134="",0,MAX(0,I134-T_Comfort))-Recovery_Rate*MAX(0,T_Night-K134))</f>
        <v>6.72804411248012</v>
      </c>
      <c r="U134" s="14" t="n">
        <f aca="false">IF(T134&gt;Capacity,1,0)</f>
        <v>0</v>
      </c>
      <c r="V134" s="15" t="n">
        <f aca="false">1/(1+EXP(-Logistic_k*(T134-Capacity)))</f>
        <v>0.00675433584614918</v>
      </c>
      <c r="W134" s="16" t="n">
        <f aca="false">IF(M134="",0,Beta*Pop_Share_Sel*(1-Sens_Red)*MAX(0,M134-T_Mort))</f>
        <v>1.33295063145809</v>
      </c>
      <c r="X134" s="16" t="n">
        <f aca="false">IF(ISNUMBER(F134),F134+Coef_B1*(Climate_Shift+G133),"")</f>
        <v>23.2673326140209</v>
      </c>
      <c r="Y134" s="16" t="n">
        <f aca="false">IF(AND(ISNUMBER(X134),H134&lt;&gt;""),H134+Climate_Shift-X134,"")</f>
        <v>1.33266738597906</v>
      </c>
      <c r="Z134" s="16" t="n">
        <f aca="false">IF(ISNUMBER(Y134),ABS(Y134),"")</f>
        <v>1.33266738597906</v>
      </c>
      <c r="AA134" s="16" t="n">
        <f aca="false">IF(COUNT(Z128:Z134)=0,"",AVERAGE(Z128:Z134))</f>
        <v>0.752831798617455</v>
      </c>
      <c r="AB134" s="16" t="n">
        <f aca="false">IF(AD133=1,0,MAX(0,AB133+IF(ISNUMBER(Y134),Y134-CUSUM_k,0)))</f>
        <v>0.332667385979061</v>
      </c>
      <c r="AC134" s="16" t="n">
        <f aca="false">IF(AD133=1,0,MAX(0,AC133+IF(ISNUMBER(Y134),-Y134-CUSUM_k,0)))</f>
        <v>0</v>
      </c>
      <c r="AD134" s="17" t="n">
        <f aca="false">IF(OR(AB134&gt;CUSUM_h,AC134&gt;CUSUM_h,AND(ISNUMBER(AA134),AA134&gt;MAE_Tol)),1,0)</f>
        <v>0</v>
      </c>
      <c r="AE134" s="14" t="n">
        <f aca="false">IF(ISNUMBER(X134),IF(X134+Local_Sensing*UHI_Day_Eff&gt;=T_Day,1,0),0)</f>
        <v>0</v>
      </c>
      <c r="AF134" s="17" t="str">
        <f aca="false">IF(NOT(ISNUMBER(X134)),"n/a",IF(AND(AE134=1,N134=1),"Hit",IF(AND(AE134=0,N134=1),"Miss",IF(AND(AE134=1,N134=0),"False alarm","Correct quiet"))))</f>
        <v>Correct quiet</v>
      </c>
      <c r="AG134" s="14" t="n">
        <f aca="false">IF(H134="",0,IF(H134+Climate_Shift&gt;=T_Day,1,0))</f>
        <v>0</v>
      </c>
      <c r="AH134" s="17" t="n">
        <f aca="false">IF(AND(N134=1,AG134=0),1,0)</f>
        <v>0</v>
      </c>
      <c r="AI134" s="17" t="str">
        <f aca="false">IF(U134=1,"ESCALATE: surge health &amp; transport capacity",IF(AD134=1,"Model drift: retrain, recalibrate, raise change request",IF(S134&gt;=2,"Activate heat plan: outreach and cooling centres",IF(AND(E134=1,OR(N134=1,O134=1)),"Data QA: verify sensor before acting",IF(AF134="Miss","Review missed alert: threshold or model",IF(AH134=1,"Equity: local alert not seen at reference station","Monitor"))))))</f>
        <v>Monitor</v>
      </c>
      <c r="AN134" s="58" t="n">
        <f aca="false">T_Day</f>
        <v>28</v>
      </c>
      <c r="AO134" s="58" t="n">
        <f aca="false">Capacity</f>
        <v>40</v>
      </c>
      <c r="AP134" s="58" t="n">
        <f aca="false">CUSUM_h</f>
        <v>15</v>
      </c>
    </row>
    <row r="135" customFormat="false" ht="15" hidden="false" customHeight="false" outlineLevel="0" collapsed="false">
      <c r="A135" s="14" t="n">
        <v>127</v>
      </c>
      <c r="B135" s="14" t="n">
        <f aca="false">2+(SelYear-1979)*153+A135-1</f>
        <v>6707</v>
      </c>
      <c r="C135" s="55" t="n">
        <f aca="false">INDEX(Data_Heathrow!$A:$A,B135)</f>
        <v>44808</v>
      </c>
      <c r="D135" s="16" t="n">
        <f aca="false">INDEX(Data_Heathrow!$E:$E,B135)</f>
        <v>22.8</v>
      </c>
      <c r="E135" s="17" t="n">
        <f aca="false">INDEX(Data_Heathrow!$Q:$Q,B135)</f>
        <v>0</v>
      </c>
      <c r="F135" s="16" t="n">
        <f aca="false">INDEX(Data_Heathrow!$T:$T,B135)</f>
        <v>23.9106282038574</v>
      </c>
      <c r="G135" s="16" t="n">
        <f aca="false">IF(AND(Drift_Rate&lt;&gt;0,A135&gt;=Drift_Start),Drift_Rate*(A135-Drift_Start+1)/30,0)</f>
        <v>0</v>
      </c>
      <c r="H135" s="16" t="n">
        <f aca="false">IF(AND(E135=1,QA_Policy="Exclude suspect"),"",IF(AND(E135=1,QA_Policy="Impute with model",ISNUMBER(F135)),F135,D135)+G135)</f>
        <v>22.8</v>
      </c>
      <c r="I135" s="16" t="n">
        <f aca="false">IF(H135="","",H135+Climate_Shift+UHI_Day_Eff)</f>
        <v>24.8</v>
      </c>
      <c r="J135" s="16" t="n">
        <f aca="false">INDEX(Data_Heathrow!$G:$G,B135)</f>
        <v>15.8</v>
      </c>
      <c r="K135" s="16" t="n">
        <f aca="false">J135+Climate_Shift+UHI_Night_Eff</f>
        <v>19.8</v>
      </c>
      <c r="L135" s="16" t="n">
        <f aca="false">IF(INDEX(Data_Heathrow!$I:$I,B135)="","",INDEX(Data_Heathrow!$I:$I,B135))</f>
        <v>20.2</v>
      </c>
      <c r="M135" s="16" t="n">
        <f aca="false">IF(L135="","",L135+Climate_Shift+(UHI_Day_Eff+UHI_Night_Eff)/2)</f>
        <v>23.2</v>
      </c>
      <c r="N135" s="14" t="n">
        <f aca="false">IF(I135="",0,IF(I135&gt;=T_Day,1,0))</f>
        <v>0</v>
      </c>
      <c r="O135" s="14" t="n">
        <f aca="false">IF(K135&gt;=T_Night,1,0)</f>
        <v>1</v>
      </c>
      <c r="P135" s="14" t="n">
        <f aca="false">IF(N135=1,P134+1,0)</f>
        <v>0</v>
      </c>
      <c r="Q135" s="14" t="n">
        <f aca="false">IF(P135&gt;=HW_Days,1,0)</f>
        <v>0</v>
      </c>
      <c r="R135" s="17" t="str">
        <f aca="false">IF(AND(N135=1,I135&gt;=T_Red,O135=1),"RED",IF(AND(Q135=1,O135=1),"AMBER",IF(OR(N135=1,O135=1),"YELLOW","GREEN")))</f>
        <v>YELLOW</v>
      </c>
      <c r="S135" s="14" t="n">
        <f aca="false">IF(R135="RED",3,IF(R135="AMBER",2,IF(R135="YELLOW",1,0)))</f>
        <v>1</v>
      </c>
      <c r="T135" s="16" t="n">
        <f aca="false">MAX(0,T134*(1-Decay)+IF(I135="",0,MAX(0,I135-T_Comfort))-Recovery_Rate*MAX(0,T_Night-K135))</f>
        <v>5.3824352899841</v>
      </c>
      <c r="U135" s="14" t="n">
        <f aca="false">IF(T135&gt;Capacity,1,0)</f>
        <v>0</v>
      </c>
      <c r="V135" s="15" t="n">
        <f aca="false">1/(1+EXP(-Logistic_k*(T135-Capacity)))</f>
        <v>0.00552663213050595</v>
      </c>
      <c r="W135" s="16" t="n">
        <f aca="false">IF(M135="",0,Beta*Pop_Share_Sel*(1-Sens_Red)*MAX(0,M135-T_Mort))</f>
        <v>1.77726750861079</v>
      </c>
      <c r="X135" s="16" t="n">
        <f aca="false">IF(ISNUMBER(F135),F135+Coef_B1*(Climate_Shift+G134),"")</f>
        <v>23.9106282038574</v>
      </c>
      <c r="Y135" s="16" t="n">
        <f aca="false">IF(AND(ISNUMBER(X135),H135&lt;&gt;""),H135+Climate_Shift-X135,"")</f>
        <v>-1.11062820385736</v>
      </c>
      <c r="Z135" s="16" t="n">
        <f aca="false">IF(ISNUMBER(Y135),ABS(Y135),"")</f>
        <v>1.11062820385736</v>
      </c>
      <c r="AA135" s="16" t="n">
        <f aca="false">IF(COUNT(Z129:Z135)=0,"",AVERAGE(Z129:Z135))</f>
        <v>0.805096632843973</v>
      </c>
      <c r="AB135" s="16" t="n">
        <f aca="false">IF(AD134=1,0,MAX(0,AB134+IF(ISNUMBER(Y135),Y135-CUSUM_k,0)))</f>
        <v>0</v>
      </c>
      <c r="AC135" s="16" t="n">
        <f aca="false">IF(AD134=1,0,MAX(0,AC134+IF(ISNUMBER(Y135),-Y135-CUSUM_k,0)))</f>
        <v>0.110628203857363</v>
      </c>
      <c r="AD135" s="17" t="n">
        <f aca="false">IF(OR(AB135&gt;CUSUM_h,AC135&gt;CUSUM_h,AND(ISNUMBER(AA135),AA135&gt;MAE_Tol)),1,0)</f>
        <v>0</v>
      </c>
      <c r="AE135" s="14" t="n">
        <f aca="false">IF(ISNUMBER(X135),IF(X135+Local_Sensing*UHI_Day_Eff&gt;=T_Day,1,0),0)</f>
        <v>0</v>
      </c>
      <c r="AF135" s="17" t="str">
        <f aca="false">IF(NOT(ISNUMBER(X135)),"n/a",IF(AND(AE135=1,N135=1),"Hit",IF(AND(AE135=0,N135=1),"Miss",IF(AND(AE135=1,N135=0),"False alarm","Correct quiet"))))</f>
        <v>Correct quiet</v>
      </c>
      <c r="AG135" s="14" t="n">
        <f aca="false">IF(H135="",0,IF(H135+Climate_Shift&gt;=T_Day,1,0))</f>
        <v>0</v>
      </c>
      <c r="AH135" s="17" t="n">
        <f aca="false">IF(AND(N135=1,AG135=0),1,0)</f>
        <v>0</v>
      </c>
      <c r="AI135" s="17" t="str">
        <f aca="false">IF(U135=1,"ESCALATE: surge health &amp; transport capacity",IF(AD135=1,"Model drift: retrain, recalibrate, raise change request",IF(S135&gt;=2,"Activate heat plan: outreach and cooling centres",IF(AND(E135=1,OR(N135=1,O135=1)),"Data QA: verify sensor before acting",IF(AF135="Miss","Review missed alert: threshold or model",IF(AH135=1,"Equity: local alert not seen at reference station","Monitor"))))))</f>
        <v>Monitor</v>
      </c>
      <c r="AN135" s="58" t="n">
        <f aca="false">T_Day</f>
        <v>28</v>
      </c>
      <c r="AO135" s="58" t="n">
        <f aca="false">Capacity</f>
        <v>40</v>
      </c>
      <c r="AP135" s="58" t="n">
        <f aca="false">CUSUM_h</f>
        <v>15</v>
      </c>
    </row>
    <row r="136" customFormat="false" ht="15" hidden="false" customHeight="false" outlineLevel="0" collapsed="false">
      <c r="A136" s="14" t="n">
        <v>128</v>
      </c>
      <c r="B136" s="14" t="n">
        <f aca="false">2+(SelYear-1979)*153+A136-1</f>
        <v>6708</v>
      </c>
      <c r="C136" s="55" t="n">
        <f aca="false">INDEX(Data_Heathrow!$A:$A,B136)</f>
        <v>44809</v>
      </c>
      <c r="D136" s="16" t="n">
        <f aca="false">INDEX(Data_Heathrow!$E:$E,B136)</f>
        <v>22.2</v>
      </c>
      <c r="E136" s="17" t="n">
        <f aca="false">INDEX(Data_Heathrow!$Q:$Q,B136)</f>
        <v>0</v>
      </c>
      <c r="F136" s="16" t="n">
        <f aca="false">INDEX(Data_Heathrow!$T:$T,B136)</f>
        <v>22.5863931506237</v>
      </c>
      <c r="G136" s="16" t="n">
        <f aca="false">IF(AND(Drift_Rate&lt;&gt;0,A136&gt;=Drift_Start),Drift_Rate*(A136-Drift_Start+1)/30,0)</f>
        <v>0</v>
      </c>
      <c r="H136" s="16" t="n">
        <f aca="false">IF(AND(E136=1,QA_Policy="Exclude suspect"),"",IF(AND(E136=1,QA_Policy="Impute with model",ISNUMBER(F136)),F136,D136)+G136)</f>
        <v>22.2</v>
      </c>
      <c r="I136" s="16" t="n">
        <f aca="false">IF(H136="","",H136+Climate_Shift+UHI_Day_Eff)</f>
        <v>24.2</v>
      </c>
      <c r="J136" s="16" t="n">
        <f aca="false">INDEX(Data_Heathrow!$G:$G,B136)</f>
        <v>14.5</v>
      </c>
      <c r="K136" s="16" t="n">
        <f aca="false">J136+Climate_Shift+UHI_Night_Eff</f>
        <v>18.5</v>
      </c>
      <c r="L136" s="16" t="n">
        <f aca="false">IF(INDEX(Data_Heathrow!$I:$I,B136)="","",INDEX(Data_Heathrow!$I:$I,B136))</f>
        <v>18.6</v>
      </c>
      <c r="M136" s="16" t="n">
        <f aca="false">IF(L136="","",L136+Climate_Shift+(UHI_Day_Eff+UHI_Night_Eff)/2)</f>
        <v>21.6</v>
      </c>
      <c r="N136" s="14" t="n">
        <f aca="false">IF(I136="",0,IF(I136&gt;=T_Day,1,0))</f>
        <v>0</v>
      </c>
      <c r="O136" s="14" t="n">
        <f aca="false">IF(K136&gt;=T_Night,1,0)</f>
        <v>1</v>
      </c>
      <c r="P136" s="14" t="n">
        <f aca="false">IF(N136=1,P135+1,0)</f>
        <v>0</v>
      </c>
      <c r="Q136" s="14" t="n">
        <f aca="false">IF(P136&gt;=HW_Days,1,0)</f>
        <v>0</v>
      </c>
      <c r="R136" s="17" t="str">
        <f aca="false">IF(AND(N136=1,I136&gt;=T_Red,O136=1),"RED",IF(AND(Q136=1,O136=1),"AMBER",IF(OR(N136=1,O136=1),"YELLOW","GREEN")))</f>
        <v>YELLOW</v>
      </c>
      <c r="S136" s="14" t="n">
        <f aca="false">IF(R136="RED",3,IF(R136="AMBER",2,IF(R136="YELLOW",1,0)))</f>
        <v>1</v>
      </c>
      <c r="T136" s="16" t="n">
        <f aca="false">MAX(0,T135*(1-Decay)+IF(I136="",0,MAX(0,I136-T_Comfort))-Recovery_Rate*MAX(0,T_Night-K136))</f>
        <v>4.30594823198728</v>
      </c>
      <c r="U136" s="14" t="n">
        <f aca="false">IF(T136&gt;Capacity,1,0)</f>
        <v>0</v>
      </c>
      <c r="V136" s="15" t="n">
        <f aca="false">1/(1+EXP(-Logistic_k*(T136-Capacity)))</f>
        <v>0.00470643147470001</v>
      </c>
      <c r="W136" s="16" t="n">
        <f aca="false">IF(M136="",0,Beta*Pop_Share_Sel*(1-Sens_Red)*MAX(0,M136-T_Mort))</f>
        <v>0.888633754305397</v>
      </c>
      <c r="X136" s="16" t="n">
        <f aca="false">IF(ISNUMBER(F136),F136+Coef_B1*(Climate_Shift+G135),"")</f>
        <v>22.5863931506237</v>
      </c>
      <c r="Y136" s="16" t="n">
        <f aca="false">IF(AND(ISNUMBER(X136),H136&lt;&gt;""),H136+Climate_Shift-X136,"")</f>
        <v>-0.386393150623732</v>
      </c>
      <c r="Z136" s="16" t="n">
        <f aca="false">IF(ISNUMBER(Y136),ABS(Y136),"")</f>
        <v>0.386393150623732</v>
      </c>
      <c r="AA136" s="16" t="n">
        <f aca="false">IF(COUNT(Z130:Z136)=0,"",AVERAGE(Z130:Z136))</f>
        <v>0.693343791061646</v>
      </c>
      <c r="AB136" s="16" t="n">
        <f aca="false">IF(AD135=1,0,MAX(0,AB135+IF(ISNUMBER(Y136),Y136-CUSUM_k,0)))</f>
        <v>0</v>
      </c>
      <c r="AC136" s="16" t="n">
        <f aca="false">IF(AD135=1,0,MAX(0,AC135+IF(ISNUMBER(Y136),-Y136-CUSUM_k,0)))</f>
        <v>0</v>
      </c>
      <c r="AD136" s="17" t="n">
        <f aca="false">IF(OR(AB136&gt;CUSUM_h,AC136&gt;CUSUM_h,AND(ISNUMBER(AA136),AA136&gt;MAE_Tol)),1,0)</f>
        <v>0</v>
      </c>
      <c r="AE136" s="14" t="n">
        <f aca="false">IF(ISNUMBER(X136),IF(X136+Local_Sensing*UHI_Day_Eff&gt;=T_Day,1,0),0)</f>
        <v>0</v>
      </c>
      <c r="AF136" s="17" t="str">
        <f aca="false">IF(NOT(ISNUMBER(X136)),"n/a",IF(AND(AE136=1,N136=1),"Hit",IF(AND(AE136=0,N136=1),"Miss",IF(AND(AE136=1,N136=0),"False alarm","Correct quiet"))))</f>
        <v>Correct quiet</v>
      </c>
      <c r="AG136" s="14" t="n">
        <f aca="false">IF(H136="",0,IF(H136+Climate_Shift&gt;=T_Day,1,0))</f>
        <v>0</v>
      </c>
      <c r="AH136" s="17" t="n">
        <f aca="false">IF(AND(N136=1,AG136=0),1,0)</f>
        <v>0</v>
      </c>
      <c r="AI136" s="17" t="str">
        <f aca="false">IF(U136=1,"ESCALATE: surge health &amp; transport capacity",IF(AD136=1,"Model drift: retrain, recalibrate, raise change request",IF(S136&gt;=2,"Activate heat plan: outreach and cooling centres",IF(AND(E136=1,OR(N136=1,O136=1)),"Data QA: verify sensor before acting",IF(AF136="Miss","Review missed alert: threshold or model",IF(AH136=1,"Equity: local alert not seen at reference station","Monitor"))))))</f>
        <v>Monitor</v>
      </c>
      <c r="AN136" s="58" t="n">
        <f aca="false">T_Day</f>
        <v>28</v>
      </c>
      <c r="AO136" s="58" t="n">
        <f aca="false">Capacity</f>
        <v>40</v>
      </c>
      <c r="AP136" s="58" t="n">
        <f aca="false">CUSUM_h</f>
        <v>15</v>
      </c>
    </row>
    <row r="137" customFormat="false" ht="15" hidden="false" customHeight="false" outlineLevel="0" collapsed="false">
      <c r="A137" s="14" t="n">
        <v>129</v>
      </c>
      <c r="B137" s="14" t="n">
        <f aca="false">2+(SelYear-1979)*153+A137-1</f>
        <v>6709</v>
      </c>
      <c r="C137" s="55" t="n">
        <f aca="false">INDEX(Data_Heathrow!$A:$A,B137)</f>
        <v>44810</v>
      </c>
      <c r="D137" s="16" t="n">
        <f aca="false">INDEX(Data_Heathrow!$E:$E,B137)</f>
        <v>21.3</v>
      </c>
      <c r="E137" s="17" t="n">
        <f aca="false">INDEX(Data_Heathrow!$Q:$Q,B137)</f>
        <v>0</v>
      </c>
      <c r="F137" s="16" t="n">
        <f aca="false">INDEX(Data_Heathrow!$T:$T,B137)</f>
        <v>22.1230225399687</v>
      </c>
      <c r="G137" s="16" t="n">
        <f aca="false">IF(AND(Drift_Rate&lt;&gt;0,A137&gt;=Drift_Start),Drift_Rate*(A137-Drift_Start+1)/30,0)</f>
        <v>0</v>
      </c>
      <c r="H137" s="16" t="n">
        <f aca="false">IF(AND(E137=1,QA_Policy="Exclude suspect"),"",IF(AND(E137=1,QA_Policy="Impute with model",ISNUMBER(F137)),F137,D137)+G137)</f>
        <v>21.3</v>
      </c>
      <c r="I137" s="16" t="n">
        <f aca="false">IF(H137="","",H137+Climate_Shift+UHI_Day_Eff)</f>
        <v>23.3</v>
      </c>
      <c r="J137" s="16" t="n">
        <f aca="false">INDEX(Data_Heathrow!$G:$G,B137)</f>
        <v>14.9</v>
      </c>
      <c r="K137" s="16" t="n">
        <f aca="false">J137+Climate_Shift+UHI_Night_Eff</f>
        <v>18.9</v>
      </c>
      <c r="L137" s="16" t="n">
        <f aca="false">IF(INDEX(Data_Heathrow!$I:$I,B137)="","",INDEX(Data_Heathrow!$I:$I,B137))</f>
        <v>18.6</v>
      </c>
      <c r="M137" s="16" t="n">
        <f aca="false">IF(L137="","",L137+Climate_Shift+(UHI_Day_Eff+UHI_Night_Eff)/2)</f>
        <v>21.6</v>
      </c>
      <c r="N137" s="14" t="n">
        <f aca="false">IF(I137="",0,IF(I137&gt;=T_Day,1,0))</f>
        <v>0</v>
      </c>
      <c r="O137" s="14" t="n">
        <f aca="false">IF(K137&gt;=T_Night,1,0)</f>
        <v>1</v>
      </c>
      <c r="P137" s="14" t="n">
        <f aca="false">IF(N137=1,P136+1,0)</f>
        <v>0</v>
      </c>
      <c r="Q137" s="14" t="n">
        <f aca="false">IF(P137&gt;=HW_Days,1,0)</f>
        <v>0</v>
      </c>
      <c r="R137" s="17" t="str">
        <f aca="false">IF(AND(N137=1,I137&gt;=T_Red,O137=1),"RED",IF(AND(Q137=1,O137=1),"AMBER",IF(OR(N137=1,O137=1),"YELLOW","GREEN")))</f>
        <v>YELLOW</v>
      </c>
      <c r="S137" s="14" t="n">
        <f aca="false">IF(R137="RED",3,IF(R137="AMBER",2,IF(R137="YELLOW",1,0)))</f>
        <v>1</v>
      </c>
      <c r="T137" s="16" t="n">
        <f aca="false">MAX(0,T136*(1-Decay)+IF(I137="",0,MAX(0,I137-T_Comfort))-Recovery_Rate*MAX(0,T_Night-K137))</f>
        <v>3.44475858558982</v>
      </c>
      <c r="U137" s="14" t="n">
        <f aca="false">IF(T137&gt;Capacity,1,0)</f>
        <v>0</v>
      </c>
      <c r="V137" s="15" t="n">
        <f aca="false">1/(1+EXP(-Logistic_k*(T137-Capacity)))</f>
        <v>0.00413845291846875</v>
      </c>
      <c r="W137" s="16" t="n">
        <f aca="false">IF(M137="",0,Beta*Pop_Share_Sel*(1-Sens_Red)*MAX(0,M137-T_Mort))</f>
        <v>0.888633754305397</v>
      </c>
      <c r="X137" s="16" t="n">
        <f aca="false">IF(ISNUMBER(F137),F137+Coef_B1*(Climate_Shift+G136),"")</f>
        <v>22.1230225399687</v>
      </c>
      <c r="Y137" s="16" t="n">
        <f aca="false">IF(AND(ISNUMBER(X137),H137&lt;&gt;""),H137+Climate_Shift-X137,"")</f>
        <v>-0.823022539968729</v>
      </c>
      <c r="Z137" s="16" t="n">
        <f aca="false">IF(ISNUMBER(Y137),ABS(Y137),"")</f>
        <v>0.823022539968729</v>
      </c>
      <c r="AA137" s="16" t="n">
        <f aca="false">IF(COUNT(Z131:Z137)=0,"",AVERAGE(Z131:Z137))</f>
        <v>0.734344148754449</v>
      </c>
      <c r="AB137" s="16" t="n">
        <f aca="false">IF(AD136=1,0,MAX(0,AB136+IF(ISNUMBER(Y137),Y137-CUSUM_k,0)))</f>
        <v>0</v>
      </c>
      <c r="AC137" s="16" t="n">
        <f aca="false">IF(AD136=1,0,MAX(0,AC136+IF(ISNUMBER(Y137),-Y137-CUSUM_k,0)))</f>
        <v>0</v>
      </c>
      <c r="AD137" s="17" t="n">
        <f aca="false">IF(OR(AB137&gt;CUSUM_h,AC137&gt;CUSUM_h,AND(ISNUMBER(AA137),AA137&gt;MAE_Tol)),1,0)</f>
        <v>0</v>
      </c>
      <c r="AE137" s="14" t="n">
        <f aca="false">IF(ISNUMBER(X137),IF(X137+Local_Sensing*UHI_Day_Eff&gt;=T_Day,1,0),0)</f>
        <v>0</v>
      </c>
      <c r="AF137" s="17" t="str">
        <f aca="false">IF(NOT(ISNUMBER(X137)),"n/a",IF(AND(AE137=1,N137=1),"Hit",IF(AND(AE137=0,N137=1),"Miss",IF(AND(AE137=1,N137=0),"False alarm","Correct quiet"))))</f>
        <v>Correct quiet</v>
      </c>
      <c r="AG137" s="14" t="n">
        <f aca="false">IF(H137="",0,IF(H137+Climate_Shift&gt;=T_Day,1,0))</f>
        <v>0</v>
      </c>
      <c r="AH137" s="17" t="n">
        <f aca="false">IF(AND(N137=1,AG137=0),1,0)</f>
        <v>0</v>
      </c>
      <c r="AI137" s="17" t="str">
        <f aca="false">IF(U137=1,"ESCALATE: surge health &amp; transport capacity",IF(AD137=1,"Model drift: retrain, recalibrate, raise change request",IF(S137&gt;=2,"Activate heat plan: outreach and cooling centres",IF(AND(E137=1,OR(N137=1,O137=1)),"Data QA: verify sensor before acting",IF(AF137="Miss","Review missed alert: threshold or model",IF(AH137=1,"Equity: local alert not seen at reference station","Monitor"))))))</f>
        <v>Monitor</v>
      </c>
      <c r="AN137" s="58" t="n">
        <f aca="false">T_Day</f>
        <v>28</v>
      </c>
      <c r="AO137" s="58" t="n">
        <f aca="false">Capacity</f>
        <v>40</v>
      </c>
      <c r="AP137" s="58" t="n">
        <f aca="false">CUSUM_h</f>
        <v>15</v>
      </c>
    </row>
    <row r="138" customFormat="false" ht="15" hidden="false" customHeight="false" outlineLevel="0" collapsed="false">
      <c r="A138" s="14" t="n">
        <v>130</v>
      </c>
      <c r="B138" s="14" t="n">
        <f aca="false">2+(SelYear-1979)*153+A138-1</f>
        <v>6710</v>
      </c>
      <c r="C138" s="55" t="n">
        <f aca="false">INDEX(Data_Heathrow!$A:$A,B138)</f>
        <v>44811</v>
      </c>
      <c r="D138" s="16" t="n">
        <f aca="false">INDEX(Data_Heathrow!$E:$E,B138)</f>
        <v>20.1</v>
      </c>
      <c r="E138" s="17" t="n">
        <f aca="false">INDEX(Data_Heathrow!$Q:$Q,B138)</f>
        <v>0</v>
      </c>
      <c r="F138" s="16" t="n">
        <f aca="false">INDEX(Data_Heathrow!$T:$T,B138)</f>
        <v>21.272685645548</v>
      </c>
      <c r="G138" s="16" t="n">
        <f aca="false">IF(AND(Drift_Rate&lt;&gt;0,A138&gt;=Drift_Start),Drift_Rate*(A138-Drift_Start+1)/30,0)</f>
        <v>0</v>
      </c>
      <c r="H138" s="16" t="n">
        <f aca="false">IF(AND(E138=1,QA_Policy="Exclude suspect"),"",IF(AND(E138=1,QA_Policy="Impute with model",ISNUMBER(F138)),F138,D138)+G138)</f>
        <v>20.1</v>
      </c>
      <c r="I138" s="16" t="n">
        <f aca="false">IF(H138="","",H138+Climate_Shift+UHI_Day_Eff)</f>
        <v>22.1</v>
      </c>
      <c r="J138" s="16" t="n">
        <f aca="false">INDEX(Data_Heathrow!$G:$G,B138)</f>
        <v>14</v>
      </c>
      <c r="K138" s="16" t="n">
        <f aca="false">J138+Climate_Shift+UHI_Night_Eff</f>
        <v>18</v>
      </c>
      <c r="L138" s="16" t="n">
        <f aca="false">IF(INDEX(Data_Heathrow!$I:$I,B138)="","",INDEX(Data_Heathrow!$I:$I,B138))</f>
        <v>17.6</v>
      </c>
      <c r="M138" s="16" t="n">
        <f aca="false">IF(L138="","",L138+Climate_Shift+(UHI_Day_Eff+UHI_Night_Eff)/2)</f>
        <v>20.6</v>
      </c>
      <c r="N138" s="14" t="n">
        <f aca="false">IF(I138="",0,IF(I138&gt;=T_Day,1,0))</f>
        <v>0</v>
      </c>
      <c r="O138" s="14" t="n">
        <f aca="false">IF(K138&gt;=T_Night,1,0)</f>
        <v>1</v>
      </c>
      <c r="P138" s="14" t="n">
        <f aca="false">IF(N138=1,P137+1,0)</f>
        <v>0</v>
      </c>
      <c r="Q138" s="14" t="n">
        <f aca="false">IF(P138&gt;=HW_Days,1,0)</f>
        <v>0</v>
      </c>
      <c r="R138" s="17" t="str">
        <f aca="false">IF(AND(N138=1,I138&gt;=T_Red,O138=1),"RED",IF(AND(Q138=1,O138=1),"AMBER",IF(OR(N138=1,O138=1),"YELLOW","GREEN")))</f>
        <v>YELLOW</v>
      </c>
      <c r="S138" s="14" t="n">
        <f aca="false">IF(R138="RED",3,IF(R138="AMBER",2,IF(R138="YELLOW",1,0)))</f>
        <v>1</v>
      </c>
      <c r="T138" s="16" t="n">
        <f aca="false">MAX(0,T137*(1-Decay)+IF(I138="",0,MAX(0,I138-T_Comfort))-Recovery_Rate*MAX(0,T_Night-K138))</f>
        <v>2.75580686847186</v>
      </c>
      <c r="U138" s="14" t="n">
        <f aca="false">IF(T138&gt;Capacity,1,0)</f>
        <v>0</v>
      </c>
      <c r="V138" s="15" t="n">
        <f aca="false">1/(1+EXP(-Logistic_k*(T138-Capacity)))</f>
        <v>0.00373364763545352</v>
      </c>
      <c r="W138" s="16" t="n">
        <f aca="false">IF(M138="",0,Beta*Pop_Share_Sel*(1-Sens_Red)*MAX(0,M138-T_Mort))</f>
        <v>0.333237657864524</v>
      </c>
      <c r="X138" s="16" t="n">
        <f aca="false">IF(ISNUMBER(F138),F138+Coef_B1*(Climate_Shift+G137),"")</f>
        <v>21.272685645548</v>
      </c>
      <c r="Y138" s="16" t="n">
        <f aca="false">IF(AND(ISNUMBER(X138),H138&lt;&gt;""),H138+Climate_Shift-X138,"")</f>
        <v>-1.17268564554797</v>
      </c>
      <c r="Z138" s="16" t="n">
        <f aca="false">IF(ISNUMBER(Y138),ABS(Y138),"")</f>
        <v>1.17268564554797</v>
      </c>
      <c r="AA138" s="16" t="n">
        <f aca="false">IF(COUNT(Z132:Z138)=0,"",AVERAGE(Z132:Z138))</f>
        <v>0.799576998015518</v>
      </c>
      <c r="AB138" s="16" t="n">
        <f aca="false">IF(AD137=1,0,MAX(0,AB137+IF(ISNUMBER(Y138),Y138-CUSUM_k,0)))</f>
        <v>0</v>
      </c>
      <c r="AC138" s="16" t="n">
        <f aca="false">IF(AD137=1,0,MAX(0,AC137+IF(ISNUMBER(Y138),-Y138-CUSUM_k,0)))</f>
        <v>0.172685645547972</v>
      </c>
      <c r="AD138" s="17" t="n">
        <f aca="false">IF(OR(AB138&gt;CUSUM_h,AC138&gt;CUSUM_h,AND(ISNUMBER(AA138),AA138&gt;MAE_Tol)),1,0)</f>
        <v>0</v>
      </c>
      <c r="AE138" s="14" t="n">
        <f aca="false">IF(ISNUMBER(X138),IF(X138+Local_Sensing*UHI_Day_Eff&gt;=T_Day,1,0),0)</f>
        <v>0</v>
      </c>
      <c r="AF138" s="17" t="str">
        <f aca="false">IF(NOT(ISNUMBER(X138)),"n/a",IF(AND(AE138=1,N138=1),"Hit",IF(AND(AE138=0,N138=1),"Miss",IF(AND(AE138=1,N138=0),"False alarm","Correct quiet"))))</f>
        <v>Correct quiet</v>
      </c>
      <c r="AG138" s="14" t="n">
        <f aca="false">IF(H138="",0,IF(H138+Climate_Shift&gt;=T_Day,1,0))</f>
        <v>0</v>
      </c>
      <c r="AH138" s="17" t="n">
        <f aca="false">IF(AND(N138=1,AG138=0),1,0)</f>
        <v>0</v>
      </c>
      <c r="AI138" s="17" t="str">
        <f aca="false">IF(U138=1,"ESCALATE: surge health &amp; transport capacity",IF(AD138=1,"Model drift: retrain, recalibrate, raise change request",IF(S138&gt;=2,"Activate heat plan: outreach and cooling centres",IF(AND(E138=1,OR(N138=1,O138=1)),"Data QA: verify sensor before acting",IF(AF138="Miss","Review missed alert: threshold or model",IF(AH138=1,"Equity: local alert not seen at reference station","Monitor"))))))</f>
        <v>Monitor</v>
      </c>
      <c r="AN138" s="58" t="n">
        <f aca="false">T_Day</f>
        <v>28</v>
      </c>
      <c r="AO138" s="58" t="n">
        <f aca="false">Capacity</f>
        <v>40</v>
      </c>
      <c r="AP138" s="58" t="n">
        <f aca="false">CUSUM_h</f>
        <v>15</v>
      </c>
    </row>
    <row r="139" customFormat="false" ht="15" hidden="false" customHeight="false" outlineLevel="0" collapsed="false">
      <c r="A139" s="14" t="n">
        <v>131</v>
      </c>
      <c r="B139" s="14" t="n">
        <f aca="false">2+(SelYear-1979)*153+A139-1</f>
        <v>6711</v>
      </c>
      <c r="C139" s="55" t="n">
        <f aca="false">INDEX(Data_Heathrow!$A:$A,B139)</f>
        <v>44812</v>
      </c>
      <c r="D139" s="16" t="n">
        <f aca="false">INDEX(Data_Heathrow!$E:$E,B139)</f>
        <v>22.1</v>
      </c>
      <c r="E139" s="17" t="n">
        <f aca="false">INDEX(Data_Heathrow!$Q:$Q,B139)</f>
        <v>0</v>
      </c>
      <c r="F139" s="16" t="n">
        <f aca="false">INDEX(Data_Heathrow!$T:$T,B139)</f>
        <v>20.189094951068</v>
      </c>
      <c r="G139" s="16" t="n">
        <f aca="false">IF(AND(Drift_Rate&lt;&gt;0,A139&gt;=Drift_Start),Drift_Rate*(A139-Drift_Start+1)/30,0)</f>
        <v>0</v>
      </c>
      <c r="H139" s="16" t="n">
        <f aca="false">IF(AND(E139=1,QA_Policy="Exclude suspect"),"",IF(AND(E139=1,QA_Policy="Impute with model",ISNUMBER(F139)),F139,D139)+G139)</f>
        <v>22.1</v>
      </c>
      <c r="I139" s="16" t="n">
        <f aca="false">IF(H139="","",H139+Climate_Shift+UHI_Day_Eff)</f>
        <v>24.1</v>
      </c>
      <c r="J139" s="16" t="n">
        <f aca="false">INDEX(Data_Heathrow!$G:$G,B139)</f>
        <v>13</v>
      </c>
      <c r="K139" s="16" t="n">
        <f aca="false">J139+Climate_Shift+UHI_Night_Eff</f>
        <v>17</v>
      </c>
      <c r="L139" s="16" t="n">
        <f aca="false">IF(INDEX(Data_Heathrow!$I:$I,B139)="","",INDEX(Data_Heathrow!$I:$I,B139))</f>
        <v>16.6</v>
      </c>
      <c r="M139" s="16" t="n">
        <f aca="false">IF(L139="","",L139+Climate_Shift+(UHI_Day_Eff+UHI_Night_Eff)/2)</f>
        <v>19.6</v>
      </c>
      <c r="N139" s="14" t="n">
        <f aca="false">IF(I139="",0,IF(I139&gt;=T_Day,1,0))</f>
        <v>0</v>
      </c>
      <c r="O139" s="14" t="n">
        <f aca="false">IF(K139&gt;=T_Night,1,0)</f>
        <v>0</v>
      </c>
      <c r="P139" s="14" t="n">
        <f aca="false">IF(N139=1,P138+1,0)</f>
        <v>0</v>
      </c>
      <c r="Q139" s="14" t="n">
        <f aca="false">IF(P139&gt;=HW_Days,1,0)</f>
        <v>0</v>
      </c>
      <c r="R139" s="17" t="str">
        <f aca="false">IF(AND(N139=1,I139&gt;=T_Red,O139=1),"RED",IF(AND(Q139=1,O139=1),"AMBER",IF(OR(N139=1,O139=1),"YELLOW","GREEN")))</f>
        <v>GREEN</v>
      </c>
      <c r="S139" s="14" t="n">
        <f aca="false">IF(R139="RED",3,IF(R139="AMBER",2,IF(R139="YELLOW",1,0)))</f>
        <v>0</v>
      </c>
      <c r="T139" s="16" t="n">
        <f aca="false">MAX(0,T138*(1-Decay)+IF(I139="",0,MAX(0,I139-T_Comfort))-Recovery_Rate*MAX(0,T_Night-K139))</f>
        <v>1.70464549477749</v>
      </c>
      <c r="U139" s="14" t="n">
        <f aca="false">IF(T139&gt;Capacity,1,0)</f>
        <v>0</v>
      </c>
      <c r="V139" s="15" t="n">
        <f aca="false">1/(1+EXP(-Logistic_k*(T139-Capacity)))</f>
        <v>0.00319075080475125</v>
      </c>
      <c r="W139" s="16" t="n">
        <f aca="false">IF(M139="",0,Beta*Pop_Share_Sel*(1-Sens_Red)*MAX(0,M139-T_Mort))</f>
        <v>0</v>
      </c>
      <c r="X139" s="16" t="n">
        <f aca="false">IF(ISNUMBER(F139),F139+Coef_B1*(Climate_Shift+G138),"")</f>
        <v>20.189094951068</v>
      </c>
      <c r="Y139" s="16" t="n">
        <f aca="false">IF(AND(ISNUMBER(X139),H139&lt;&gt;""),H139+Climate_Shift-X139,"")</f>
        <v>1.91090504893198</v>
      </c>
      <c r="Z139" s="16" t="n">
        <f aca="false">IF(ISNUMBER(Y139),ABS(Y139),"")</f>
        <v>1.91090504893198</v>
      </c>
      <c r="AA139" s="16" t="n">
        <f aca="false">IF(COUNT(Z133:Z139)=0,"",AVERAGE(Z133:Z139))</f>
        <v>0.989068925642691</v>
      </c>
      <c r="AB139" s="16" t="n">
        <f aca="false">IF(AD138=1,0,MAX(0,AB138+IF(ISNUMBER(Y139),Y139-CUSUM_k,0)))</f>
        <v>0.91090504893198</v>
      </c>
      <c r="AC139" s="16" t="n">
        <f aca="false">IF(AD138=1,0,MAX(0,AC138+IF(ISNUMBER(Y139),-Y139-CUSUM_k,0)))</f>
        <v>0</v>
      </c>
      <c r="AD139" s="17" t="n">
        <f aca="false">IF(OR(AB139&gt;CUSUM_h,AC139&gt;CUSUM_h,AND(ISNUMBER(AA139),AA139&gt;MAE_Tol)),1,0)</f>
        <v>0</v>
      </c>
      <c r="AE139" s="14" t="n">
        <f aca="false">IF(ISNUMBER(X139),IF(X139+Local_Sensing*UHI_Day_Eff&gt;=T_Day,1,0),0)</f>
        <v>0</v>
      </c>
      <c r="AF139" s="17" t="str">
        <f aca="false">IF(NOT(ISNUMBER(X139)),"n/a",IF(AND(AE139=1,N139=1),"Hit",IF(AND(AE139=0,N139=1),"Miss",IF(AND(AE139=1,N139=0),"False alarm","Correct quiet"))))</f>
        <v>Correct quiet</v>
      </c>
      <c r="AG139" s="14" t="n">
        <f aca="false">IF(H139="",0,IF(H139+Climate_Shift&gt;=T_Day,1,0))</f>
        <v>0</v>
      </c>
      <c r="AH139" s="17" t="n">
        <f aca="false">IF(AND(N139=1,AG139=0),1,0)</f>
        <v>0</v>
      </c>
      <c r="AI139" s="17" t="str">
        <f aca="false">IF(U139=1,"ESCALATE: surge health &amp; transport capacity",IF(AD139=1,"Model drift: retrain, recalibrate, raise change request",IF(S139&gt;=2,"Activate heat plan: outreach and cooling centres",IF(AND(E139=1,OR(N139=1,O139=1)),"Data QA: verify sensor before acting",IF(AF139="Miss","Review missed alert: threshold or model",IF(AH139=1,"Equity: local alert not seen at reference station","Monitor"))))))</f>
        <v>Monitor</v>
      </c>
      <c r="AN139" s="58" t="n">
        <f aca="false">T_Day</f>
        <v>28</v>
      </c>
      <c r="AO139" s="58" t="n">
        <f aca="false">Capacity</f>
        <v>40</v>
      </c>
      <c r="AP139" s="58" t="n">
        <f aca="false">CUSUM_h</f>
        <v>15</v>
      </c>
    </row>
    <row r="140" customFormat="false" ht="15" hidden="false" customHeight="false" outlineLevel="0" collapsed="false">
      <c r="A140" s="14" t="n">
        <v>132</v>
      </c>
      <c r="B140" s="14" t="n">
        <f aca="false">2+(SelYear-1979)*153+A140-1</f>
        <v>6712</v>
      </c>
      <c r="C140" s="55" t="n">
        <f aca="false">INDEX(Data_Heathrow!$A:$A,B140)</f>
        <v>44813</v>
      </c>
      <c r="D140" s="16" t="n">
        <f aca="false">INDEX(Data_Heathrow!$E:$E,B140)</f>
        <v>22.5</v>
      </c>
      <c r="E140" s="17" t="n">
        <f aca="false">INDEX(Data_Heathrow!$Q:$Q,B140)</f>
        <v>0</v>
      </c>
      <c r="F140" s="16" t="n">
        <f aca="false">INDEX(Data_Heathrow!$T:$T,B140)</f>
        <v>21.6928827902272</v>
      </c>
      <c r="G140" s="16" t="n">
        <f aca="false">IF(AND(Drift_Rate&lt;&gt;0,A140&gt;=Drift_Start),Drift_Rate*(A140-Drift_Start+1)/30,0)</f>
        <v>0</v>
      </c>
      <c r="H140" s="16" t="n">
        <f aca="false">IF(AND(E140=1,QA_Policy="Exclude suspect"),"",IF(AND(E140=1,QA_Policy="Impute with model",ISNUMBER(F140)),F140,D140)+G140)</f>
        <v>22.5</v>
      </c>
      <c r="I140" s="16" t="n">
        <f aca="false">IF(H140="","",H140+Climate_Shift+UHI_Day_Eff)</f>
        <v>24.5</v>
      </c>
      <c r="J140" s="16" t="n">
        <f aca="false">INDEX(Data_Heathrow!$G:$G,B140)</f>
        <v>14.7</v>
      </c>
      <c r="K140" s="16" t="n">
        <f aca="false">J140+Climate_Shift+UHI_Night_Eff</f>
        <v>18.7</v>
      </c>
      <c r="L140" s="16" t="n">
        <f aca="false">IF(INDEX(Data_Heathrow!$I:$I,B140)="","",INDEX(Data_Heathrow!$I:$I,B140))</f>
        <v>18.4</v>
      </c>
      <c r="M140" s="16" t="n">
        <f aca="false">IF(L140="","",L140+Climate_Shift+(UHI_Day_Eff+UHI_Night_Eff)/2)</f>
        <v>21.4</v>
      </c>
      <c r="N140" s="14" t="n">
        <f aca="false">IF(I140="",0,IF(I140&gt;=T_Day,1,0))</f>
        <v>0</v>
      </c>
      <c r="O140" s="14" t="n">
        <f aca="false">IF(K140&gt;=T_Night,1,0)</f>
        <v>1</v>
      </c>
      <c r="P140" s="14" t="n">
        <f aca="false">IF(N140=1,P139+1,0)</f>
        <v>0</v>
      </c>
      <c r="Q140" s="14" t="n">
        <f aca="false">IF(P140&gt;=HW_Days,1,0)</f>
        <v>0</v>
      </c>
      <c r="R140" s="17" t="str">
        <f aca="false">IF(AND(N140=1,I140&gt;=T_Red,O140=1),"RED",IF(AND(Q140=1,O140=1),"AMBER",IF(OR(N140=1,O140=1),"YELLOW","GREEN")))</f>
        <v>YELLOW</v>
      </c>
      <c r="S140" s="14" t="n">
        <f aca="false">IF(R140="RED",3,IF(R140="AMBER",2,IF(R140="YELLOW",1,0)))</f>
        <v>1</v>
      </c>
      <c r="T140" s="16" t="n">
        <f aca="false">MAX(0,T139*(1-Decay)+IF(I140="",0,MAX(0,I140-T_Comfort))-Recovery_Rate*MAX(0,T_Night-K140))</f>
        <v>1.36371639582199</v>
      </c>
      <c r="U140" s="14" t="n">
        <f aca="false">IF(T140&gt;Capacity,1,0)</f>
        <v>0</v>
      </c>
      <c r="V140" s="15" t="n">
        <f aca="false">1/(1+EXP(-Logistic_k*(T140-Capacity)))</f>
        <v>0.00303216222251022</v>
      </c>
      <c r="W140" s="16" t="n">
        <f aca="false">IF(M140="",0,Beta*Pop_Share_Sel*(1-Sens_Red)*MAX(0,M140-T_Mort))</f>
        <v>0.777554535017221</v>
      </c>
      <c r="X140" s="16" t="n">
        <f aca="false">IF(ISNUMBER(F140),F140+Coef_B1*(Climate_Shift+G139),"")</f>
        <v>21.6928827902272</v>
      </c>
      <c r="Y140" s="16" t="n">
        <f aca="false">IF(AND(ISNUMBER(X140),H140&lt;&gt;""),H140+Climate_Shift-X140,"")</f>
        <v>0.807117209772819</v>
      </c>
      <c r="Z140" s="16" t="n">
        <f aca="false">IF(ISNUMBER(Y140),ABS(Y140),"")</f>
        <v>0.807117209772819</v>
      </c>
      <c r="AA140" s="16" t="n">
        <f aca="false">IF(COUNT(Z134:Z140)=0,"",AVERAGE(Z134:Z140))</f>
        <v>1.07763131209738</v>
      </c>
      <c r="AB140" s="16" t="n">
        <f aca="false">IF(AD139=1,0,MAX(0,AB139+IF(ISNUMBER(Y140),Y140-CUSUM_k,0)))</f>
        <v>0.718022258704799</v>
      </c>
      <c r="AC140" s="16" t="n">
        <f aca="false">IF(AD139=1,0,MAX(0,AC139+IF(ISNUMBER(Y140),-Y140-CUSUM_k,0)))</f>
        <v>0</v>
      </c>
      <c r="AD140" s="17" t="n">
        <f aca="false">IF(OR(AB140&gt;CUSUM_h,AC140&gt;CUSUM_h,AND(ISNUMBER(AA140),AA140&gt;MAE_Tol)),1,0)</f>
        <v>0</v>
      </c>
      <c r="AE140" s="14" t="n">
        <f aca="false">IF(ISNUMBER(X140),IF(X140+Local_Sensing*UHI_Day_Eff&gt;=T_Day,1,0),0)</f>
        <v>0</v>
      </c>
      <c r="AF140" s="17" t="str">
        <f aca="false">IF(NOT(ISNUMBER(X140)),"n/a",IF(AND(AE140=1,N140=1),"Hit",IF(AND(AE140=0,N140=1),"Miss",IF(AND(AE140=1,N140=0),"False alarm","Correct quiet"))))</f>
        <v>Correct quiet</v>
      </c>
      <c r="AG140" s="14" t="n">
        <f aca="false">IF(H140="",0,IF(H140+Climate_Shift&gt;=T_Day,1,0))</f>
        <v>0</v>
      </c>
      <c r="AH140" s="17" t="n">
        <f aca="false">IF(AND(N140=1,AG140=0),1,0)</f>
        <v>0</v>
      </c>
      <c r="AI140" s="17" t="str">
        <f aca="false">IF(U140=1,"ESCALATE: surge health &amp; transport capacity",IF(AD140=1,"Model drift: retrain, recalibrate, raise change request",IF(S140&gt;=2,"Activate heat plan: outreach and cooling centres",IF(AND(E140=1,OR(N140=1,O140=1)),"Data QA: verify sensor before acting",IF(AF140="Miss","Review missed alert: threshold or model",IF(AH140=1,"Equity: local alert not seen at reference station","Monitor"))))))</f>
        <v>Monitor</v>
      </c>
      <c r="AN140" s="58" t="n">
        <f aca="false">T_Day</f>
        <v>28</v>
      </c>
      <c r="AO140" s="58" t="n">
        <f aca="false">Capacity</f>
        <v>40</v>
      </c>
      <c r="AP140" s="58" t="n">
        <f aca="false">CUSUM_h</f>
        <v>15</v>
      </c>
    </row>
    <row r="141" customFormat="false" ht="15" hidden="false" customHeight="false" outlineLevel="0" collapsed="false">
      <c r="A141" s="14" t="n">
        <v>133</v>
      </c>
      <c r="B141" s="14" t="n">
        <f aca="false">2+(SelYear-1979)*153+A141-1</f>
        <v>6713</v>
      </c>
      <c r="C141" s="55" t="n">
        <f aca="false">INDEX(Data_Heathrow!$A:$A,B141)</f>
        <v>44814</v>
      </c>
      <c r="D141" s="16" t="n">
        <f aca="false">INDEX(Data_Heathrow!$E:$E,B141)</f>
        <v>23.4</v>
      </c>
      <c r="E141" s="17" t="n">
        <f aca="false">INDEX(Data_Heathrow!$Q:$Q,B141)</f>
        <v>0</v>
      </c>
      <c r="F141" s="16" t="n">
        <f aca="false">INDEX(Data_Heathrow!$T:$T,B141)</f>
        <v>22.089632235639</v>
      </c>
      <c r="G141" s="16" t="n">
        <f aca="false">IF(AND(Drift_Rate&lt;&gt;0,A141&gt;=Drift_Start),Drift_Rate*(A141-Drift_Start+1)/30,0)</f>
        <v>0</v>
      </c>
      <c r="H141" s="16" t="n">
        <f aca="false">IF(AND(E141=1,QA_Policy="Exclude suspect"),"",IF(AND(E141=1,QA_Policy="Impute with model",ISNUMBER(F141)),F141,D141)+G141)</f>
        <v>23.4</v>
      </c>
      <c r="I141" s="16" t="n">
        <f aca="false">IF(H141="","",H141+Climate_Shift+UHI_Day_Eff)</f>
        <v>25.4</v>
      </c>
      <c r="J141" s="16" t="n">
        <f aca="false">INDEX(Data_Heathrow!$G:$G,B141)</f>
        <v>12.4</v>
      </c>
      <c r="K141" s="16" t="n">
        <f aca="false">J141+Climate_Shift+UHI_Night_Eff</f>
        <v>16.4</v>
      </c>
      <c r="L141" s="16" t="n">
        <f aca="false">IF(INDEX(Data_Heathrow!$I:$I,B141)="","",INDEX(Data_Heathrow!$I:$I,B141))</f>
        <v>17.4</v>
      </c>
      <c r="M141" s="16" t="n">
        <f aca="false">IF(L141="","",L141+Climate_Shift+(UHI_Day_Eff+UHI_Night_Eff)/2)</f>
        <v>20.4</v>
      </c>
      <c r="N141" s="14" t="n">
        <f aca="false">IF(I141="",0,IF(I141&gt;=T_Day,1,0))</f>
        <v>0</v>
      </c>
      <c r="O141" s="14" t="n">
        <f aca="false">IF(K141&gt;=T_Night,1,0)</f>
        <v>0</v>
      </c>
      <c r="P141" s="14" t="n">
        <f aca="false">IF(N141=1,P140+1,0)</f>
        <v>0</v>
      </c>
      <c r="Q141" s="14" t="n">
        <f aca="false">IF(P141&gt;=HW_Days,1,0)</f>
        <v>0</v>
      </c>
      <c r="R141" s="17" t="str">
        <f aca="false">IF(AND(N141=1,I141&gt;=T_Red,O141=1),"RED",IF(AND(Q141=1,O141=1),"AMBER",IF(OR(N141=1,O141=1),"YELLOW","GREEN")))</f>
        <v>GREEN</v>
      </c>
      <c r="S141" s="14" t="n">
        <f aca="false">IF(R141="RED",3,IF(R141="AMBER",2,IF(R141="YELLOW",1,0)))</f>
        <v>0</v>
      </c>
      <c r="T141" s="16" t="n">
        <f aca="false">MAX(0,T140*(1-Decay)+IF(I141="",0,MAX(0,I141-T_Comfort))-Recovery_Rate*MAX(0,T_Night-K141))</f>
        <v>0.69097311665759</v>
      </c>
      <c r="U141" s="14" t="n">
        <f aca="false">IF(T141&gt;Capacity,1,0)</f>
        <v>0</v>
      </c>
      <c r="V141" s="15" t="n">
        <f aca="false">1/(1+EXP(-Logistic_k*(T141-Capacity)))</f>
        <v>0.00274191222228433</v>
      </c>
      <c r="W141" s="16" t="n">
        <f aca="false">IF(M141="",0,Beta*Pop_Share_Sel*(1-Sens_Red)*MAX(0,M141-T_Mort))</f>
        <v>0.222158438576348</v>
      </c>
      <c r="X141" s="16" t="n">
        <f aca="false">IF(ISNUMBER(F141),F141+Coef_B1*(Climate_Shift+G140),"")</f>
        <v>22.089632235639</v>
      </c>
      <c r="Y141" s="16" t="n">
        <f aca="false">IF(AND(ISNUMBER(X141),H141&lt;&gt;""),H141+Climate_Shift-X141,"")</f>
        <v>1.31036776436098</v>
      </c>
      <c r="Z141" s="16" t="n">
        <f aca="false">IF(ISNUMBER(Y141),ABS(Y141),"")</f>
        <v>1.31036776436098</v>
      </c>
      <c r="AA141" s="16" t="n">
        <f aca="false">IF(COUNT(Z135:Z141)=0,"",AVERAGE(Z135:Z141))</f>
        <v>1.07444565186623</v>
      </c>
      <c r="AB141" s="16" t="n">
        <f aca="false">IF(AD140=1,0,MAX(0,AB140+IF(ISNUMBER(Y141),Y141-CUSUM_k,0)))</f>
        <v>1.02839002306578</v>
      </c>
      <c r="AC141" s="16" t="n">
        <f aca="false">IF(AD140=1,0,MAX(0,AC140+IF(ISNUMBER(Y141),-Y141-CUSUM_k,0)))</f>
        <v>0</v>
      </c>
      <c r="AD141" s="17" t="n">
        <f aca="false">IF(OR(AB141&gt;CUSUM_h,AC141&gt;CUSUM_h,AND(ISNUMBER(AA141),AA141&gt;MAE_Tol)),1,0)</f>
        <v>0</v>
      </c>
      <c r="AE141" s="14" t="n">
        <f aca="false">IF(ISNUMBER(X141),IF(X141+Local_Sensing*UHI_Day_Eff&gt;=T_Day,1,0),0)</f>
        <v>0</v>
      </c>
      <c r="AF141" s="17" t="str">
        <f aca="false">IF(NOT(ISNUMBER(X141)),"n/a",IF(AND(AE141=1,N141=1),"Hit",IF(AND(AE141=0,N141=1),"Miss",IF(AND(AE141=1,N141=0),"False alarm","Correct quiet"))))</f>
        <v>Correct quiet</v>
      </c>
      <c r="AG141" s="14" t="n">
        <f aca="false">IF(H141="",0,IF(H141+Climate_Shift&gt;=T_Day,1,0))</f>
        <v>0</v>
      </c>
      <c r="AH141" s="17" t="n">
        <f aca="false">IF(AND(N141=1,AG141=0),1,0)</f>
        <v>0</v>
      </c>
      <c r="AI141" s="17" t="str">
        <f aca="false">IF(U141=1,"ESCALATE: surge health &amp; transport capacity",IF(AD141=1,"Model drift: retrain, recalibrate, raise change request",IF(S141&gt;=2,"Activate heat plan: outreach and cooling centres",IF(AND(E141=1,OR(N141=1,O141=1)),"Data QA: verify sensor before acting",IF(AF141="Miss","Review missed alert: threshold or model",IF(AH141=1,"Equity: local alert not seen at reference station","Monitor"))))))</f>
        <v>Monitor</v>
      </c>
      <c r="AN141" s="58" t="n">
        <f aca="false">T_Day</f>
        <v>28</v>
      </c>
      <c r="AO141" s="58" t="n">
        <f aca="false">Capacity</f>
        <v>40</v>
      </c>
      <c r="AP141" s="58" t="n">
        <f aca="false">CUSUM_h</f>
        <v>15</v>
      </c>
    </row>
    <row r="142" customFormat="false" ht="15" hidden="false" customHeight="false" outlineLevel="0" collapsed="false">
      <c r="A142" s="14" t="n">
        <v>134</v>
      </c>
      <c r="B142" s="14" t="n">
        <f aca="false">2+(SelYear-1979)*153+A142-1</f>
        <v>6714</v>
      </c>
      <c r="C142" s="55" t="n">
        <f aca="false">INDEX(Data_Heathrow!$A:$A,B142)</f>
        <v>44815</v>
      </c>
      <c r="D142" s="16" t="n">
        <f aca="false">INDEX(Data_Heathrow!$E:$E,B142)</f>
        <v>26.2</v>
      </c>
      <c r="E142" s="17" t="n">
        <f aca="false">INDEX(Data_Heathrow!$Q:$Q,B142)</f>
        <v>0</v>
      </c>
      <c r="F142" s="16" t="n">
        <f aca="false">INDEX(Data_Heathrow!$T:$T,B142)</f>
        <v>23.1156405400101</v>
      </c>
      <c r="G142" s="16" t="n">
        <f aca="false">IF(AND(Drift_Rate&lt;&gt;0,A142&gt;=Drift_Start),Drift_Rate*(A142-Drift_Start+1)/30,0)</f>
        <v>0</v>
      </c>
      <c r="H142" s="16" t="n">
        <f aca="false">IF(AND(E142=1,QA_Policy="Exclude suspect"),"",IF(AND(E142=1,QA_Policy="Impute with model",ISNUMBER(F142)),F142,D142)+G142)</f>
        <v>26.2</v>
      </c>
      <c r="I142" s="16" t="n">
        <f aca="false">IF(H142="","",H142+Climate_Shift+UHI_Day_Eff)</f>
        <v>28.2</v>
      </c>
      <c r="J142" s="16" t="n">
        <f aca="false">INDEX(Data_Heathrow!$G:$G,B142)</f>
        <v>12.4</v>
      </c>
      <c r="K142" s="16" t="n">
        <f aca="false">J142+Climate_Shift+UHI_Night_Eff</f>
        <v>16.4</v>
      </c>
      <c r="L142" s="16" t="n">
        <f aca="false">IF(INDEX(Data_Heathrow!$I:$I,B142)="","",INDEX(Data_Heathrow!$I:$I,B142))</f>
        <v>17.9</v>
      </c>
      <c r="M142" s="16" t="n">
        <f aca="false">IF(L142="","",L142+Climate_Shift+(UHI_Day_Eff+UHI_Night_Eff)/2)</f>
        <v>20.9</v>
      </c>
      <c r="N142" s="14" t="n">
        <f aca="false">IF(I142="",0,IF(I142&gt;=T_Day,1,0))</f>
        <v>1</v>
      </c>
      <c r="O142" s="14" t="n">
        <f aca="false">IF(K142&gt;=T_Night,1,0)</f>
        <v>0</v>
      </c>
      <c r="P142" s="14" t="n">
        <f aca="false">IF(N142=1,P141+1,0)</f>
        <v>1</v>
      </c>
      <c r="Q142" s="14" t="n">
        <f aca="false">IF(P142&gt;=HW_Days,1,0)</f>
        <v>0</v>
      </c>
      <c r="R142" s="17" t="str">
        <f aca="false">IF(AND(N142=1,I142&gt;=T_Red,O142=1),"RED",IF(AND(Q142=1,O142=1),"AMBER",IF(OR(N142=1,O142=1),"YELLOW","GREEN")))</f>
        <v>YELLOW</v>
      </c>
      <c r="S142" s="14" t="n">
        <f aca="false">IF(R142="RED",3,IF(R142="AMBER",2,IF(R142="YELLOW",1,0)))</f>
        <v>1</v>
      </c>
      <c r="T142" s="16" t="n">
        <f aca="false">MAX(0,T141*(1-Decay)+IF(I142="",0,MAX(0,I142-T_Comfort))-Recovery_Rate*MAX(0,T_Night-K142))</f>
        <v>2.95277849332607</v>
      </c>
      <c r="U142" s="14" t="n">
        <f aca="false">IF(T142&gt;Capacity,1,0)</f>
        <v>0</v>
      </c>
      <c r="V142" s="15" t="n">
        <f aca="false">1/(1+EXP(-Logistic_k*(T142-Capacity)))</f>
        <v>0.00384517634337177</v>
      </c>
      <c r="W142" s="16" t="n">
        <f aca="false">IF(M142="",0,Beta*Pop_Share_Sel*(1-Sens_Red)*MAX(0,M142-T_Mort))</f>
        <v>0.499856486796784</v>
      </c>
      <c r="X142" s="16" t="n">
        <f aca="false">IF(ISNUMBER(F142),F142+Coef_B1*(Climate_Shift+G141),"")</f>
        <v>23.1156405400101</v>
      </c>
      <c r="Y142" s="16" t="n">
        <f aca="false">IF(AND(ISNUMBER(X142),H142&lt;&gt;""),H142+Climate_Shift-X142,"")</f>
        <v>3.08435945998989</v>
      </c>
      <c r="Z142" s="16" t="n">
        <f aca="false">IF(ISNUMBER(Y142),ABS(Y142),"")</f>
        <v>3.08435945998989</v>
      </c>
      <c r="AA142" s="16" t="n">
        <f aca="false">IF(COUNT(Z136:Z142)=0,"",AVERAGE(Z136:Z142))</f>
        <v>1.35640725988516</v>
      </c>
      <c r="AB142" s="16" t="n">
        <f aca="false">IF(AD141=1,0,MAX(0,AB141+IF(ISNUMBER(Y142),Y142-CUSUM_k,0)))</f>
        <v>3.11274948305567</v>
      </c>
      <c r="AC142" s="16" t="n">
        <f aca="false">IF(AD141=1,0,MAX(0,AC141+IF(ISNUMBER(Y142),-Y142-CUSUM_k,0)))</f>
        <v>0</v>
      </c>
      <c r="AD142" s="17" t="n">
        <f aca="false">IF(OR(AB142&gt;CUSUM_h,AC142&gt;CUSUM_h,AND(ISNUMBER(AA142),AA142&gt;MAE_Tol)),1,0)</f>
        <v>0</v>
      </c>
      <c r="AE142" s="14" t="n">
        <f aca="false">IF(ISNUMBER(X142),IF(X142+Local_Sensing*UHI_Day_Eff&gt;=T_Day,1,0),0)</f>
        <v>0</v>
      </c>
      <c r="AF142" s="17" t="str">
        <f aca="false">IF(NOT(ISNUMBER(X142)),"n/a",IF(AND(AE142=1,N142=1),"Hit",IF(AND(AE142=0,N142=1),"Miss",IF(AND(AE142=1,N142=0),"False alarm","Correct quiet"))))</f>
        <v>Miss</v>
      </c>
      <c r="AG142" s="14" t="n">
        <f aca="false">IF(H142="",0,IF(H142+Climate_Shift&gt;=T_Day,1,0))</f>
        <v>0</v>
      </c>
      <c r="AH142" s="17" t="n">
        <f aca="false">IF(AND(N142=1,AG142=0),1,0)</f>
        <v>1</v>
      </c>
      <c r="AI142" s="17" t="str">
        <f aca="false">IF(U142=1,"ESCALATE: surge health &amp; transport capacity",IF(AD142=1,"Model drift: retrain, recalibrate, raise change request",IF(S142&gt;=2,"Activate heat plan: outreach and cooling centres",IF(AND(E142=1,OR(N142=1,O142=1)),"Data QA: verify sensor before acting",IF(AF142="Miss","Review missed alert: threshold or model",IF(AH142=1,"Equity: local alert not seen at reference station","Monitor"))))))</f>
        <v>Review missed alert: threshold or model</v>
      </c>
      <c r="AN142" s="58" t="n">
        <f aca="false">T_Day</f>
        <v>28</v>
      </c>
      <c r="AO142" s="58" t="n">
        <f aca="false">Capacity</f>
        <v>40</v>
      </c>
      <c r="AP142" s="58" t="n">
        <f aca="false">CUSUM_h</f>
        <v>15</v>
      </c>
    </row>
    <row r="143" customFormat="false" ht="15" hidden="false" customHeight="false" outlineLevel="0" collapsed="false">
      <c r="A143" s="14" t="n">
        <v>135</v>
      </c>
      <c r="B143" s="14" t="n">
        <f aca="false">2+(SelYear-1979)*153+A143-1</f>
        <v>6715</v>
      </c>
      <c r="C143" s="55" t="n">
        <f aca="false">INDEX(Data_Heathrow!$A:$A,B143)</f>
        <v>44816</v>
      </c>
      <c r="D143" s="16" t="n">
        <f aca="false">INDEX(Data_Heathrow!$E:$E,B143)</f>
        <v>18.8</v>
      </c>
      <c r="E143" s="17" t="n">
        <f aca="false">INDEX(Data_Heathrow!$Q:$Q,B143)</f>
        <v>1</v>
      </c>
      <c r="F143" s="16" t="n">
        <f aca="false">INDEX(Data_Heathrow!$T:$T,B143)</f>
        <v>25.4850780276511</v>
      </c>
      <c r="G143" s="16" t="n">
        <f aca="false">IF(AND(Drift_Rate&lt;&gt;0,A143&gt;=Drift_Start),Drift_Rate*(A143-Drift_Start+1)/30,0)</f>
        <v>0</v>
      </c>
      <c r="H143" s="16" t="n">
        <f aca="false">IF(AND(E143=1,QA_Policy="Exclude suspect"),"",IF(AND(E143=1,QA_Policy="Impute with model",ISNUMBER(F143)),F143,D143)+G143)</f>
        <v>18.8</v>
      </c>
      <c r="I143" s="16" t="n">
        <f aca="false">IF(H143="","",H143+Climate_Shift+UHI_Day_Eff)</f>
        <v>20.8</v>
      </c>
      <c r="J143" s="16" t="n">
        <f aca="false">INDEX(Data_Heathrow!$G:$G,B143)</f>
        <v>14.8</v>
      </c>
      <c r="K143" s="16" t="n">
        <f aca="false">J143+Climate_Shift+UHI_Night_Eff</f>
        <v>18.8</v>
      </c>
      <c r="L143" s="16" t="n">
        <f aca="false">IF(INDEX(Data_Heathrow!$I:$I,B143)="","",INDEX(Data_Heathrow!$I:$I,B143))</f>
        <v>20.5</v>
      </c>
      <c r="M143" s="16" t="n">
        <f aca="false">IF(L143="","",L143+Climate_Shift+(UHI_Day_Eff+UHI_Night_Eff)/2)</f>
        <v>23.5</v>
      </c>
      <c r="N143" s="14" t="n">
        <f aca="false">IF(I143="",0,IF(I143&gt;=T_Day,1,0))</f>
        <v>0</v>
      </c>
      <c r="O143" s="14" t="n">
        <f aca="false">IF(K143&gt;=T_Night,1,0)</f>
        <v>1</v>
      </c>
      <c r="P143" s="14" t="n">
        <f aca="false">IF(N143=1,P142+1,0)</f>
        <v>0</v>
      </c>
      <c r="Q143" s="14" t="n">
        <f aca="false">IF(P143&gt;=HW_Days,1,0)</f>
        <v>0</v>
      </c>
      <c r="R143" s="17" t="str">
        <f aca="false">IF(AND(N143=1,I143&gt;=T_Red,O143=1),"RED",IF(AND(Q143=1,O143=1),"AMBER",IF(OR(N143=1,O143=1),"YELLOW","GREEN")))</f>
        <v>YELLOW</v>
      </c>
      <c r="S143" s="14" t="n">
        <f aca="false">IF(R143="RED",3,IF(R143="AMBER",2,IF(R143="YELLOW",1,0)))</f>
        <v>1</v>
      </c>
      <c r="T143" s="16" t="n">
        <f aca="false">MAX(0,T142*(1-Decay)+IF(I143="",0,MAX(0,I143-T_Comfort))-Recovery_Rate*MAX(0,T_Night-K143))</f>
        <v>2.36222279466086</v>
      </c>
      <c r="U143" s="14" t="n">
        <f aca="false">IF(T143&gt;Capacity,1,0)</f>
        <v>0</v>
      </c>
      <c r="V143" s="15" t="n">
        <f aca="false">1/(1+EXP(-Logistic_k*(T143-Capacity)))</f>
        <v>0.00352035603608779</v>
      </c>
      <c r="W143" s="16" t="n">
        <f aca="false">IF(M143="",0,Beta*Pop_Share_Sel*(1-Sens_Red)*MAX(0,M143-T_Mort))</f>
        <v>1.94388633754305</v>
      </c>
      <c r="X143" s="16" t="n">
        <f aca="false">IF(ISNUMBER(F143),F143+Coef_B1*(Climate_Shift+G142),"")</f>
        <v>25.4850780276511</v>
      </c>
      <c r="Y143" s="16" t="n">
        <f aca="false">IF(AND(ISNUMBER(X143),H143&lt;&gt;""),H143+Climate_Shift-X143,"")</f>
        <v>-6.68507802765113</v>
      </c>
      <c r="Z143" s="16" t="n">
        <f aca="false">IF(ISNUMBER(Y143),ABS(Y143),"")</f>
        <v>6.68507802765113</v>
      </c>
      <c r="AA143" s="16" t="n">
        <f aca="false">IF(COUNT(Z137:Z143)=0,"",AVERAGE(Z137:Z143))</f>
        <v>2.25621938517478</v>
      </c>
      <c r="AB143" s="16" t="n">
        <f aca="false">IF(AD142=1,0,MAX(0,AB142+IF(ISNUMBER(Y143),Y143-CUSUM_k,0)))</f>
        <v>0</v>
      </c>
      <c r="AC143" s="16" t="n">
        <f aca="false">IF(AD142=1,0,MAX(0,AC142+IF(ISNUMBER(Y143),-Y143-CUSUM_k,0)))</f>
        <v>5.68507802765113</v>
      </c>
      <c r="AD143" s="17" t="n">
        <f aca="false">IF(OR(AB143&gt;CUSUM_h,AC143&gt;CUSUM_h,AND(ISNUMBER(AA143),AA143&gt;MAE_Tol)),1,0)</f>
        <v>0</v>
      </c>
      <c r="AE143" s="14" t="n">
        <f aca="false">IF(ISNUMBER(X143),IF(X143+Local_Sensing*UHI_Day_Eff&gt;=T_Day,1,0),0)</f>
        <v>0</v>
      </c>
      <c r="AF143" s="17" t="str">
        <f aca="false">IF(NOT(ISNUMBER(X143)),"n/a",IF(AND(AE143=1,N143=1),"Hit",IF(AND(AE143=0,N143=1),"Miss",IF(AND(AE143=1,N143=0),"False alarm","Correct quiet"))))</f>
        <v>Correct quiet</v>
      </c>
      <c r="AG143" s="14" t="n">
        <f aca="false">IF(H143="",0,IF(H143+Climate_Shift&gt;=T_Day,1,0))</f>
        <v>0</v>
      </c>
      <c r="AH143" s="17" t="n">
        <f aca="false">IF(AND(N143=1,AG143=0),1,0)</f>
        <v>0</v>
      </c>
      <c r="AI143" s="17" t="str">
        <f aca="false">IF(U143=1,"ESCALATE: surge health &amp; transport capacity",IF(AD143=1,"Model drift: retrain, recalibrate, raise change request",IF(S143&gt;=2,"Activate heat plan: outreach and cooling centres",IF(AND(E143=1,OR(N143=1,O143=1)),"Data QA: verify sensor before acting",IF(AF143="Miss","Review missed alert: threshold or model",IF(AH143=1,"Equity: local alert not seen at reference station","Monitor"))))))</f>
        <v>Data QA: verify sensor before acting</v>
      </c>
      <c r="AN143" s="58" t="n">
        <f aca="false">T_Day</f>
        <v>28</v>
      </c>
      <c r="AO143" s="58" t="n">
        <f aca="false">Capacity</f>
        <v>40</v>
      </c>
      <c r="AP143" s="58" t="n">
        <f aca="false">CUSUM_h</f>
        <v>15</v>
      </c>
    </row>
    <row r="144" customFormat="false" ht="15" hidden="false" customHeight="false" outlineLevel="0" collapsed="false">
      <c r="A144" s="14" t="n">
        <v>136</v>
      </c>
      <c r="B144" s="14" t="n">
        <f aca="false">2+(SelYear-1979)*153+A144-1</f>
        <v>6716</v>
      </c>
      <c r="C144" s="55" t="n">
        <f aca="false">INDEX(Data_Heathrow!$A:$A,B144)</f>
        <v>44817</v>
      </c>
      <c r="D144" s="16" t="n">
        <f aca="false">INDEX(Data_Heathrow!$E:$E,B144)</f>
        <v>22</v>
      </c>
      <c r="E144" s="17" t="n">
        <f aca="false">INDEX(Data_Heathrow!$Q:$Q,B144)</f>
        <v>0</v>
      </c>
      <c r="F144" s="16" t="n">
        <f aca="false">INDEX(Data_Heathrow!$T:$T,B144)</f>
        <v>19.2337486313315</v>
      </c>
      <c r="G144" s="16" t="n">
        <f aca="false">IF(AND(Drift_Rate&lt;&gt;0,A144&gt;=Drift_Start),Drift_Rate*(A144-Drift_Start+1)/30,0)</f>
        <v>0</v>
      </c>
      <c r="H144" s="16" t="n">
        <f aca="false">IF(AND(E144=1,QA_Policy="Exclude suspect"),"",IF(AND(E144=1,QA_Policy="Impute with model",ISNUMBER(F144)),F144,D144)+G144)</f>
        <v>22</v>
      </c>
      <c r="I144" s="16" t="n">
        <f aca="false">IF(H144="","",H144+Climate_Shift+UHI_Day_Eff)</f>
        <v>24</v>
      </c>
      <c r="J144" s="16" t="n">
        <f aca="false">INDEX(Data_Heathrow!$G:$G,B144)</f>
        <v>15.9</v>
      </c>
      <c r="K144" s="16" t="n">
        <f aca="false">J144+Climate_Shift+UHI_Night_Eff</f>
        <v>19.9</v>
      </c>
      <c r="L144" s="16" t="n">
        <f aca="false">IF(INDEX(Data_Heathrow!$I:$I,B144)="","",INDEX(Data_Heathrow!$I:$I,B144))</f>
        <v>17.4</v>
      </c>
      <c r="M144" s="16" t="n">
        <f aca="false">IF(L144="","",L144+Climate_Shift+(UHI_Day_Eff+UHI_Night_Eff)/2)</f>
        <v>20.4</v>
      </c>
      <c r="N144" s="14" t="n">
        <f aca="false">IF(I144="",0,IF(I144&gt;=T_Day,1,0))</f>
        <v>0</v>
      </c>
      <c r="O144" s="14" t="n">
        <f aca="false">IF(K144&gt;=T_Night,1,0)</f>
        <v>1</v>
      </c>
      <c r="P144" s="14" t="n">
        <f aca="false">IF(N144=1,P143+1,0)</f>
        <v>0</v>
      </c>
      <c r="Q144" s="14" t="n">
        <f aca="false">IF(P144&gt;=HW_Days,1,0)</f>
        <v>0</v>
      </c>
      <c r="R144" s="17" t="str">
        <f aca="false">IF(AND(N144=1,I144&gt;=T_Red,O144=1),"RED",IF(AND(Q144=1,O144=1),"AMBER",IF(OR(N144=1,O144=1),"YELLOW","GREEN")))</f>
        <v>YELLOW</v>
      </c>
      <c r="S144" s="14" t="n">
        <f aca="false">IF(R144="RED",3,IF(R144="AMBER",2,IF(R144="YELLOW",1,0)))</f>
        <v>1</v>
      </c>
      <c r="T144" s="16" t="n">
        <f aca="false">MAX(0,T143*(1-Decay)+IF(I144="",0,MAX(0,I144-T_Comfort))-Recovery_Rate*MAX(0,T_Night-K144))</f>
        <v>1.88977823572869</v>
      </c>
      <c r="U144" s="14" t="n">
        <f aca="false">IF(T144&gt;Capacity,1,0)</f>
        <v>0</v>
      </c>
      <c r="V144" s="15" t="n">
        <f aca="false">1/(1+EXP(-Logistic_k*(T144-Capacity)))</f>
        <v>0.0032803047105418</v>
      </c>
      <c r="W144" s="16" t="n">
        <f aca="false">IF(M144="",0,Beta*Pop_Share_Sel*(1-Sens_Red)*MAX(0,M144-T_Mort))</f>
        <v>0.222158438576348</v>
      </c>
      <c r="X144" s="16" t="n">
        <f aca="false">IF(ISNUMBER(F144),F144+Coef_B1*(Climate_Shift+G143),"")</f>
        <v>19.2337486313315</v>
      </c>
      <c r="Y144" s="16" t="n">
        <f aca="false">IF(AND(ISNUMBER(X144),H144&lt;&gt;""),H144+Climate_Shift-X144,"")</f>
        <v>2.76625136866847</v>
      </c>
      <c r="Z144" s="16" t="n">
        <f aca="false">IF(ISNUMBER(Y144),ABS(Y144),"")</f>
        <v>2.76625136866847</v>
      </c>
      <c r="AA144" s="16" t="n">
        <f aca="false">IF(COUNT(Z138:Z144)=0,"",AVERAGE(Z138:Z144))</f>
        <v>2.53382350356046</v>
      </c>
      <c r="AB144" s="16" t="n">
        <f aca="false">IF(AD143=1,0,MAX(0,AB143+IF(ISNUMBER(Y144),Y144-CUSUM_k,0)))</f>
        <v>1.76625136866847</v>
      </c>
      <c r="AC144" s="16" t="n">
        <f aca="false">IF(AD143=1,0,MAX(0,AC143+IF(ISNUMBER(Y144),-Y144-CUSUM_k,0)))</f>
        <v>1.91882665898265</v>
      </c>
      <c r="AD144" s="17" t="n">
        <f aca="false">IF(OR(AB144&gt;CUSUM_h,AC144&gt;CUSUM_h,AND(ISNUMBER(AA144),AA144&gt;MAE_Tol)),1,0)</f>
        <v>0</v>
      </c>
      <c r="AE144" s="14" t="n">
        <f aca="false">IF(ISNUMBER(X144),IF(X144+Local_Sensing*UHI_Day_Eff&gt;=T_Day,1,0),0)</f>
        <v>0</v>
      </c>
      <c r="AF144" s="17" t="str">
        <f aca="false">IF(NOT(ISNUMBER(X144)),"n/a",IF(AND(AE144=1,N144=1),"Hit",IF(AND(AE144=0,N144=1),"Miss",IF(AND(AE144=1,N144=0),"False alarm","Correct quiet"))))</f>
        <v>Correct quiet</v>
      </c>
      <c r="AG144" s="14" t="n">
        <f aca="false">IF(H144="",0,IF(H144+Climate_Shift&gt;=T_Day,1,0))</f>
        <v>0</v>
      </c>
      <c r="AH144" s="17" t="n">
        <f aca="false">IF(AND(N144=1,AG144=0),1,0)</f>
        <v>0</v>
      </c>
      <c r="AI144" s="17" t="str">
        <f aca="false">IF(U144=1,"ESCALATE: surge health &amp; transport capacity",IF(AD144=1,"Model drift: retrain, recalibrate, raise change request",IF(S144&gt;=2,"Activate heat plan: outreach and cooling centres",IF(AND(E144=1,OR(N144=1,O144=1)),"Data QA: verify sensor before acting",IF(AF144="Miss","Review missed alert: threshold or model",IF(AH144=1,"Equity: local alert not seen at reference station","Monitor"))))))</f>
        <v>Monitor</v>
      </c>
      <c r="AN144" s="58" t="n">
        <f aca="false">T_Day</f>
        <v>28</v>
      </c>
      <c r="AO144" s="58" t="n">
        <f aca="false">Capacity</f>
        <v>40</v>
      </c>
      <c r="AP144" s="58" t="n">
        <f aca="false">CUSUM_h</f>
        <v>15</v>
      </c>
    </row>
    <row r="145" customFormat="false" ht="15" hidden="false" customHeight="false" outlineLevel="0" collapsed="false">
      <c r="A145" s="14" t="n">
        <v>137</v>
      </c>
      <c r="B145" s="14" t="n">
        <f aca="false">2+(SelYear-1979)*153+A145-1</f>
        <v>6717</v>
      </c>
      <c r="C145" s="55" t="n">
        <f aca="false">INDEX(Data_Heathrow!$A:$A,B145)</f>
        <v>44818</v>
      </c>
      <c r="D145" s="16" t="n">
        <f aca="false">INDEX(Data_Heathrow!$E:$E,B145)</f>
        <v>19.1</v>
      </c>
      <c r="E145" s="17" t="n">
        <f aca="false">INDEX(Data_Heathrow!$Q:$Q,B145)</f>
        <v>0</v>
      </c>
      <c r="F145" s="16" t="n">
        <f aca="false">INDEX(Data_Heathrow!$T:$T,B145)</f>
        <v>21.8148531860438</v>
      </c>
      <c r="G145" s="16" t="n">
        <f aca="false">IF(AND(Drift_Rate&lt;&gt;0,A145&gt;=Drift_Start),Drift_Rate*(A145-Drift_Start+1)/30,0)</f>
        <v>0</v>
      </c>
      <c r="H145" s="16" t="n">
        <f aca="false">IF(AND(E145=1,QA_Policy="Exclude suspect"),"",IF(AND(E145=1,QA_Policy="Impute with model",ISNUMBER(F145)),F145,D145)+G145)</f>
        <v>19.1</v>
      </c>
      <c r="I145" s="16" t="n">
        <f aca="false">IF(H145="","",H145+Climate_Shift+UHI_Day_Eff)</f>
        <v>21.1</v>
      </c>
      <c r="J145" s="16" t="n">
        <f aca="false">INDEX(Data_Heathrow!$G:$G,B145)</f>
        <v>14.4</v>
      </c>
      <c r="K145" s="16" t="n">
        <f aca="false">J145+Climate_Shift+UHI_Night_Eff</f>
        <v>18.4</v>
      </c>
      <c r="L145" s="16" t="n">
        <f aca="false">IF(INDEX(Data_Heathrow!$I:$I,B145)="","",INDEX(Data_Heathrow!$I:$I,B145))</f>
        <v>18.2</v>
      </c>
      <c r="M145" s="16" t="n">
        <f aca="false">IF(L145="","",L145+Climate_Shift+(UHI_Day_Eff+UHI_Night_Eff)/2)</f>
        <v>21.2</v>
      </c>
      <c r="N145" s="14" t="n">
        <f aca="false">IF(I145="",0,IF(I145&gt;=T_Day,1,0))</f>
        <v>0</v>
      </c>
      <c r="O145" s="14" t="n">
        <f aca="false">IF(K145&gt;=T_Night,1,0)</f>
        <v>1</v>
      </c>
      <c r="P145" s="14" t="n">
        <f aca="false">IF(N145=1,P144+1,0)</f>
        <v>0</v>
      </c>
      <c r="Q145" s="14" t="n">
        <f aca="false">IF(P145&gt;=HW_Days,1,0)</f>
        <v>0</v>
      </c>
      <c r="R145" s="17" t="str">
        <f aca="false">IF(AND(N145=1,I145&gt;=T_Red,O145=1),"RED",IF(AND(Q145=1,O145=1),"AMBER",IF(OR(N145=1,O145=1),"YELLOW","GREEN")))</f>
        <v>YELLOW</v>
      </c>
      <c r="S145" s="14" t="n">
        <f aca="false">IF(R145="RED",3,IF(R145="AMBER",2,IF(R145="YELLOW",1,0)))</f>
        <v>1</v>
      </c>
      <c r="T145" s="16" t="n">
        <f aca="false">MAX(0,T144*(1-Decay)+IF(I145="",0,MAX(0,I145-T_Comfort))-Recovery_Rate*MAX(0,T_Night-K145))</f>
        <v>1.51182258858295</v>
      </c>
      <c r="U145" s="14" t="n">
        <f aca="false">IF(T145&gt;Capacity,1,0)</f>
        <v>0</v>
      </c>
      <c r="V145" s="15" t="n">
        <f aca="false">1/(1+EXP(-Logistic_k*(T145-Capacity)))</f>
        <v>0.003100067188354</v>
      </c>
      <c r="W145" s="16" t="n">
        <f aca="false">IF(M145="",0,Beta*Pop_Share_Sel*(1-Sens_Red)*MAX(0,M145-T_Mort))</f>
        <v>0.666475315729047</v>
      </c>
      <c r="X145" s="16" t="n">
        <f aca="false">IF(ISNUMBER(F145),F145+Coef_B1*(Climate_Shift+G144),"")</f>
        <v>21.8148531860438</v>
      </c>
      <c r="Y145" s="16" t="n">
        <f aca="false">IF(AND(ISNUMBER(X145),H145&lt;&gt;""),H145+Climate_Shift-X145,"")</f>
        <v>-2.71485318604384</v>
      </c>
      <c r="Z145" s="16" t="n">
        <f aca="false">IF(ISNUMBER(Y145),ABS(Y145),"")</f>
        <v>2.71485318604384</v>
      </c>
      <c r="AA145" s="16" t="n">
        <f aca="false">IF(COUNT(Z139:Z145)=0,"",AVERAGE(Z139:Z145))</f>
        <v>2.75413315220273</v>
      </c>
      <c r="AB145" s="16" t="n">
        <f aca="false">IF(AD144=1,0,MAX(0,AB144+IF(ISNUMBER(Y145),Y145-CUSUM_k,0)))</f>
        <v>0</v>
      </c>
      <c r="AC145" s="16" t="n">
        <f aca="false">IF(AD144=1,0,MAX(0,AC144+IF(ISNUMBER(Y145),-Y145-CUSUM_k,0)))</f>
        <v>3.6336798450265</v>
      </c>
      <c r="AD145" s="17" t="n">
        <f aca="false">IF(OR(AB145&gt;CUSUM_h,AC145&gt;CUSUM_h,AND(ISNUMBER(AA145),AA145&gt;MAE_Tol)),1,0)</f>
        <v>0</v>
      </c>
      <c r="AE145" s="14" t="n">
        <f aca="false">IF(ISNUMBER(X145),IF(X145+Local_Sensing*UHI_Day_Eff&gt;=T_Day,1,0),0)</f>
        <v>0</v>
      </c>
      <c r="AF145" s="17" t="str">
        <f aca="false">IF(NOT(ISNUMBER(X145)),"n/a",IF(AND(AE145=1,N145=1),"Hit",IF(AND(AE145=0,N145=1),"Miss",IF(AND(AE145=1,N145=0),"False alarm","Correct quiet"))))</f>
        <v>Correct quiet</v>
      </c>
      <c r="AG145" s="14" t="n">
        <f aca="false">IF(H145="",0,IF(H145+Climate_Shift&gt;=T_Day,1,0))</f>
        <v>0</v>
      </c>
      <c r="AH145" s="17" t="n">
        <f aca="false">IF(AND(N145=1,AG145=0),1,0)</f>
        <v>0</v>
      </c>
      <c r="AI145" s="17" t="str">
        <f aca="false">IF(U145=1,"ESCALATE: surge health &amp; transport capacity",IF(AD145=1,"Model drift: retrain, recalibrate, raise change request",IF(S145&gt;=2,"Activate heat plan: outreach and cooling centres",IF(AND(E145=1,OR(N145=1,O145=1)),"Data QA: verify sensor before acting",IF(AF145="Miss","Review missed alert: threshold or model",IF(AH145=1,"Equity: local alert not seen at reference station","Monitor"))))))</f>
        <v>Monitor</v>
      </c>
      <c r="AN145" s="58" t="n">
        <f aca="false">T_Day</f>
        <v>28</v>
      </c>
      <c r="AO145" s="58" t="n">
        <f aca="false">Capacity</f>
        <v>40</v>
      </c>
      <c r="AP145" s="58" t="n">
        <f aca="false">CUSUM_h</f>
        <v>15</v>
      </c>
    </row>
    <row r="146" customFormat="false" ht="15" hidden="false" customHeight="false" outlineLevel="0" collapsed="false">
      <c r="A146" s="14" t="n">
        <v>138</v>
      </c>
      <c r="B146" s="14" t="n">
        <f aca="false">2+(SelYear-1979)*153+A146-1</f>
        <v>6718</v>
      </c>
      <c r="C146" s="55" t="n">
        <f aca="false">INDEX(Data_Heathrow!$A:$A,B146)</f>
        <v>44819</v>
      </c>
      <c r="D146" s="16" t="n">
        <f aca="false">INDEX(Data_Heathrow!$E:$E,B146)</f>
        <v>17.7</v>
      </c>
      <c r="E146" s="17" t="n">
        <f aca="false">INDEX(Data_Heathrow!$Q:$Q,B146)</f>
        <v>0</v>
      </c>
      <c r="F146" s="16" t="n">
        <f aca="false">INDEX(Data_Heathrow!$T:$T,B146)</f>
        <v>19.3477968317816</v>
      </c>
      <c r="G146" s="16" t="n">
        <f aca="false">IF(AND(Drift_Rate&lt;&gt;0,A146&gt;=Drift_Start),Drift_Rate*(A146-Drift_Start+1)/30,0)</f>
        <v>0</v>
      </c>
      <c r="H146" s="16" t="n">
        <f aca="false">IF(AND(E146=1,QA_Policy="Exclude suspect"),"",IF(AND(E146=1,QA_Policy="Impute with model",ISNUMBER(F146)),F146,D146)+G146)</f>
        <v>17.7</v>
      </c>
      <c r="I146" s="16" t="n">
        <f aca="false">IF(H146="","",H146+Climate_Shift+UHI_Day_Eff)</f>
        <v>19.7</v>
      </c>
      <c r="J146" s="16" t="n">
        <f aca="false">INDEX(Data_Heathrow!$G:$G,B146)</f>
        <v>12.6</v>
      </c>
      <c r="K146" s="16" t="n">
        <f aca="false">J146+Climate_Shift+UHI_Night_Eff</f>
        <v>16.6</v>
      </c>
      <c r="L146" s="16" t="n">
        <f aca="false">IF(INDEX(Data_Heathrow!$I:$I,B146)="","",INDEX(Data_Heathrow!$I:$I,B146))</f>
        <v>15.8</v>
      </c>
      <c r="M146" s="16" t="n">
        <f aca="false">IF(L146="","",L146+Climate_Shift+(UHI_Day_Eff+UHI_Night_Eff)/2)</f>
        <v>18.8</v>
      </c>
      <c r="N146" s="14" t="n">
        <f aca="false">IF(I146="",0,IF(I146&gt;=T_Day,1,0))</f>
        <v>0</v>
      </c>
      <c r="O146" s="14" t="n">
        <f aca="false">IF(K146&gt;=T_Night,1,0)</f>
        <v>0</v>
      </c>
      <c r="P146" s="14" t="n">
        <f aca="false">IF(N146=1,P145+1,0)</f>
        <v>0</v>
      </c>
      <c r="Q146" s="14" t="n">
        <f aca="false">IF(P146&gt;=HW_Days,1,0)</f>
        <v>0</v>
      </c>
      <c r="R146" s="17" t="str">
        <f aca="false">IF(AND(N146=1,I146&gt;=T_Red,O146=1),"RED",IF(AND(Q146=1,O146=1),"AMBER",IF(OR(N146=1,O146=1),"YELLOW","GREEN")))</f>
        <v>GREEN</v>
      </c>
      <c r="S146" s="14" t="n">
        <f aca="false">IF(R146="RED",3,IF(R146="AMBER",2,IF(R146="YELLOW",1,0)))</f>
        <v>0</v>
      </c>
      <c r="T146" s="16" t="n">
        <f aca="false">MAX(0,T145*(1-Decay)+IF(I146="",0,MAX(0,I146-T_Comfort))-Recovery_Rate*MAX(0,T_Night-K146))</f>
        <v>0.509458070866359</v>
      </c>
      <c r="U146" s="14" t="n">
        <f aca="false">IF(T146&gt;Capacity,1,0)</f>
        <v>0</v>
      </c>
      <c r="V146" s="15" t="n">
        <f aca="false">1/(1+EXP(-Logistic_k*(T146-Capacity)))</f>
        <v>0.00266846116018804</v>
      </c>
      <c r="W146" s="16" t="n">
        <f aca="false">IF(M146="",0,Beta*Pop_Share_Sel*(1-Sens_Red)*MAX(0,M146-T_Mort))</f>
        <v>0</v>
      </c>
      <c r="X146" s="16" t="n">
        <f aca="false">IF(ISNUMBER(F146),F146+Coef_B1*(Climate_Shift+G145),"")</f>
        <v>19.3477968317816</v>
      </c>
      <c r="Y146" s="16" t="n">
        <f aca="false">IF(AND(ISNUMBER(X146),H146&lt;&gt;""),H146+Climate_Shift-X146,"")</f>
        <v>-1.64779683178157</v>
      </c>
      <c r="Z146" s="16" t="n">
        <f aca="false">IF(ISNUMBER(Y146),ABS(Y146),"")</f>
        <v>1.64779683178157</v>
      </c>
      <c r="AA146" s="16" t="n">
        <f aca="false">IF(COUNT(Z140:Z146)=0,"",AVERAGE(Z140:Z146))</f>
        <v>2.71654626403839</v>
      </c>
      <c r="AB146" s="16" t="n">
        <f aca="false">IF(AD145=1,0,MAX(0,AB145+IF(ISNUMBER(Y146),Y146-CUSUM_k,0)))</f>
        <v>0</v>
      </c>
      <c r="AC146" s="16" t="n">
        <f aca="false">IF(AD145=1,0,MAX(0,AC145+IF(ISNUMBER(Y146),-Y146-CUSUM_k,0)))</f>
        <v>4.28147667680807</v>
      </c>
      <c r="AD146" s="17" t="n">
        <f aca="false">IF(OR(AB146&gt;CUSUM_h,AC146&gt;CUSUM_h,AND(ISNUMBER(AA146),AA146&gt;MAE_Tol)),1,0)</f>
        <v>0</v>
      </c>
      <c r="AE146" s="14" t="n">
        <f aca="false">IF(ISNUMBER(X146),IF(X146+Local_Sensing*UHI_Day_Eff&gt;=T_Day,1,0),0)</f>
        <v>0</v>
      </c>
      <c r="AF146" s="17" t="str">
        <f aca="false">IF(NOT(ISNUMBER(X146)),"n/a",IF(AND(AE146=1,N146=1),"Hit",IF(AND(AE146=0,N146=1),"Miss",IF(AND(AE146=1,N146=0),"False alarm","Correct quiet"))))</f>
        <v>Correct quiet</v>
      </c>
      <c r="AG146" s="14" t="n">
        <f aca="false">IF(H146="",0,IF(H146+Climate_Shift&gt;=T_Day,1,0))</f>
        <v>0</v>
      </c>
      <c r="AH146" s="17" t="n">
        <f aca="false">IF(AND(N146=1,AG146=0),1,0)</f>
        <v>0</v>
      </c>
      <c r="AI146" s="17" t="str">
        <f aca="false">IF(U146=1,"ESCALATE: surge health &amp; transport capacity",IF(AD146=1,"Model drift: retrain, recalibrate, raise change request",IF(S146&gt;=2,"Activate heat plan: outreach and cooling centres",IF(AND(E146=1,OR(N146=1,O146=1)),"Data QA: verify sensor before acting",IF(AF146="Miss","Review missed alert: threshold or model",IF(AH146=1,"Equity: local alert not seen at reference station","Monitor"))))))</f>
        <v>Monitor</v>
      </c>
      <c r="AN146" s="58" t="n">
        <f aca="false">T_Day</f>
        <v>28</v>
      </c>
      <c r="AO146" s="58" t="n">
        <f aca="false">Capacity</f>
        <v>40</v>
      </c>
      <c r="AP146" s="58" t="n">
        <f aca="false">CUSUM_h</f>
        <v>15</v>
      </c>
    </row>
    <row r="147" customFormat="false" ht="15" hidden="false" customHeight="false" outlineLevel="0" collapsed="false">
      <c r="A147" s="14" t="n">
        <v>139</v>
      </c>
      <c r="B147" s="14" t="n">
        <f aca="false">2+(SelYear-1979)*153+A147-1</f>
        <v>6719</v>
      </c>
      <c r="C147" s="55" t="n">
        <f aca="false">INDEX(Data_Heathrow!$A:$A,B147)</f>
        <v>44820</v>
      </c>
      <c r="D147" s="16" t="n">
        <f aca="false">INDEX(Data_Heathrow!$E:$E,B147)</f>
        <v>17.6</v>
      </c>
      <c r="E147" s="17" t="n">
        <f aca="false">INDEX(Data_Heathrow!$Q:$Q,B147)</f>
        <v>0</v>
      </c>
      <c r="F147" s="16" t="n">
        <f aca="false">INDEX(Data_Heathrow!$T:$T,B147)</f>
        <v>18.3638454136186</v>
      </c>
      <c r="G147" s="16" t="n">
        <f aca="false">IF(AND(Drift_Rate&lt;&gt;0,A147&gt;=Drift_Start),Drift_Rate*(A147-Drift_Start+1)/30,0)</f>
        <v>0</v>
      </c>
      <c r="H147" s="16" t="n">
        <f aca="false">IF(AND(E147=1,QA_Policy="Exclude suspect"),"",IF(AND(E147=1,QA_Policy="Impute with model",ISNUMBER(F147)),F147,D147)+G147)</f>
        <v>17.6</v>
      </c>
      <c r="I147" s="16" t="n">
        <f aca="false">IF(H147="","",H147+Climate_Shift+UHI_Day_Eff)</f>
        <v>19.6</v>
      </c>
      <c r="J147" s="16" t="n">
        <f aca="false">INDEX(Data_Heathrow!$G:$G,B147)</f>
        <v>10.4</v>
      </c>
      <c r="K147" s="16" t="n">
        <f aca="false">J147+Climate_Shift+UHI_Night_Eff</f>
        <v>14.4</v>
      </c>
      <c r="L147" s="16" t="n">
        <f aca="false">IF(INDEX(Data_Heathrow!$I:$I,B147)="","",INDEX(Data_Heathrow!$I:$I,B147))</f>
        <v>14.1</v>
      </c>
      <c r="M147" s="16" t="n">
        <f aca="false">IF(L147="","",L147+Climate_Shift+(UHI_Day_Eff+UHI_Night_Eff)/2)</f>
        <v>17.1</v>
      </c>
      <c r="N147" s="14" t="n">
        <f aca="false">IF(I147="",0,IF(I147&gt;=T_Day,1,0))</f>
        <v>0</v>
      </c>
      <c r="O147" s="14" t="n">
        <f aca="false">IF(K147&gt;=T_Night,1,0)</f>
        <v>0</v>
      </c>
      <c r="P147" s="14" t="n">
        <f aca="false">IF(N147=1,P146+1,0)</f>
        <v>0</v>
      </c>
      <c r="Q147" s="14" t="n">
        <f aca="false">IF(P147&gt;=HW_Days,1,0)</f>
        <v>0</v>
      </c>
      <c r="R147" s="17" t="str">
        <f aca="false">IF(AND(N147=1,I147&gt;=T_Red,O147=1),"RED",IF(AND(Q147=1,O147=1),"AMBER",IF(OR(N147=1,O147=1),"YELLOW","GREEN")))</f>
        <v>GREEN</v>
      </c>
      <c r="S147" s="14" t="n">
        <f aca="false">IF(R147="RED",3,IF(R147="AMBER",2,IF(R147="YELLOW",1,0)))</f>
        <v>0</v>
      </c>
      <c r="T147" s="16" t="n">
        <f aca="false">MAX(0,T146*(1-Decay)+IF(I147="",0,MAX(0,I147-T_Comfort))-Recovery_Rate*MAX(0,T_Night-K147))</f>
        <v>0</v>
      </c>
      <c r="U147" s="14" t="n">
        <f aca="false">IF(T147&gt;Capacity,1,0)</f>
        <v>0</v>
      </c>
      <c r="V147" s="15" t="n">
        <f aca="false">1/(1+EXP(-Logistic_k*(T147-Capacity)))</f>
        <v>0.00247262315663477</v>
      </c>
      <c r="W147" s="16" t="n">
        <f aca="false">IF(M147="",0,Beta*Pop_Share_Sel*(1-Sens_Red)*MAX(0,M147-T_Mort))</f>
        <v>0</v>
      </c>
      <c r="X147" s="16" t="n">
        <f aca="false">IF(ISNUMBER(F147),F147+Coef_B1*(Climate_Shift+G146),"")</f>
        <v>18.3638454136186</v>
      </c>
      <c r="Y147" s="16" t="n">
        <f aca="false">IF(AND(ISNUMBER(X147),H147&lt;&gt;""),H147+Climate_Shift-X147,"")</f>
        <v>-0.76384541361859</v>
      </c>
      <c r="Z147" s="16" t="n">
        <f aca="false">IF(ISNUMBER(Y147),ABS(Y147),"")</f>
        <v>0.76384541361859</v>
      </c>
      <c r="AA147" s="16" t="n">
        <f aca="false">IF(COUNT(Z141:Z147)=0,"",AVERAGE(Z141:Z147))</f>
        <v>2.7103645788735</v>
      </c>
      <c r="AB147" s="16" t="n">
        <f aca="false">IF(AD146=1,0,MAX(0,AB146+IF(ISNUMBER(Y147),Y147-CUSUM_k,0)))</f>
        <v>0</v>
      </c>
      <c r="AC147" s="16" t="n">
        <f aca="false">IF(AD146=1,0,MAX(0,AC146+IF(ISNUMBER(Y147),-Y147-CUSUM_k,0)))</f>
        <v>4.04532209042666</v>
      </c>
      <c r="AD147" s="17" t="n">
        <f aca="false">IF(OR(AB147&gt;CUSUM_h,AC147&gt;CUSUM_h,AND(ISNUMBER(AA147),AA147&gt;MAE_Tol)),1,0)</f>
        <v>0</v>
      </c>
      <c r="AE147" s="14" t="n">
        <f aca="false">IF(ISNUMBER(X147),IF(X147+Local_Sensing*UHI_Day_Eff&gt;=T_Day,1,0),0)</f>
        <v>0</v>
      </c>
      <c r="AF147" s="17" t="str">
        <f aca="false">IF(NOT(ISNUMBER(X147)),"n/a",IF(AND(AE147=1,N147=1),"Hit",IF(AND(AE147=0,N147=1),"Miss",IF(AND(AE147=1,N147=0),"False alarm","Correct quiet"))))</f>
        <v>Correct quiet</v>
      </c>
      <c r="AG147" s="14" t="n">
        <f aca="false">IF(H147="",0,IF(H147+Climate_Shift&gt;=T_Day,1,0))</f>
        <v>0</v>
      </c>
      <c r="AH147" s="17" t="n">
        <f aca="false">IF(AND(N147=1,AG147=0),1,0)</f>
        <v>0</v>
      </c>
      <c r="AI147" s="17" t="str">
        <f aca="false">IF(U147=1,"ESCALATE: surge health &amp; transport capacity",IF(AD147=1,"Model drift: retrain, recalibrate, raise change request",IF(S147&gt;=2,"Activate heat plan: outreach and cooling centres",IF(AND(E147=1,OR(N147=1,O147=1)),"Data QA: verify sensor before acting",IF(AF147="Miss","Review missed alert: threshold or model",IF(AH147=1,"Equity: local alert not seen at reference station","Monitor"))))))</f>
        <v>Monitor</v>
      </c>
      <c r="AN147" s="58" t="n">
        <f aca="false">T_Day</f>
        <v>28</v>
      </c>
      <c r="AO147" s="58" t="n">
        <f aca="false">Capacity</f>
        <v>40</v>
      </c>
      <c r="AP147" s="58" t="n">
        <f aca="false">CUSUM_h</f>
        <v>15</v>
      </c>
    </row>
    <row r="148" customFormat="false" ht="15" hidden="false" customHeight="false" outlineLevel="0" collapsed="false">
      <c r="A148" s="14" t="n">
        <v>140</v>
      </c>
      <c r="B148" s="14" t="n">
        <f aca="false">2+(SelYear-1979)*153+A148-1</f>
        <v>6720</v>
      </c>
      <c r="C148" s="55" t="n">
        <f aca="false">INDEX(Data_Heathrow!$A:$A,B148)</f>
        <v>44821</v>
      </c>
      <c r="D148" s="16" t="n">
        <f aca="false">INDEX(Data_Heathrow!$E:$E,B148)</f>
        <v>18</v>
      </c>
      <c r="E148" s="17" t="n">
        <f aca="false">INDEX(Data_Heathrow!$Q:$Q,B148)</f>
        <v>0</v>
      </c>
      <c r="F148" s="16" t="n">
        <f aca="false">INDEX(Data_Heathrow!$T:$T,B148)</f>
        <v>18.4481719358745</v>
      </c>
      <c r="G148" s="16" t="n">
        <f aca="false">IF(AND(Drift_Rate&lt;&gt;0,A148&gt;=Drift_Start),Drift_Rate*(A148-Drift_Start+1)/30,0)</f>
        <v>0</v>
      </c>
      <c r="H148" s="16" t="n">
        <f aca="false">IF(AND(E148=1,QA_Policy="Exclude suspect"),"",IF(AND(E148=1,QA_Policy="Impute with model",ISNUMBER(F148)),F148,D148)+G148)</f>
        <v>18</v>
      </c>
      <c r="I148" s="16" t="n">
        <f aca="false">IF(H148="","",H148+Climate_Shift+UHI_Day_Eff)</f>
        <v>20</v>
      </c>
      <c r="J148" s="16" t="n">
        <f aca="false">INDEX(Data_Heathrow!$G:$G,B148)</f>
        <v>6</v>
      </c>
      <c r="K148" s="16" t="n">
        <f aca="false">J148+Climate_Shift+UHI_Night_Eff</f>
        <v>10</v>
      </c>
      <c r="L148" s="16" t="n">
        <f aca="false">IF(INDEX(Data_Heathrow!$I:$I,B148)="","",INDEX(Data_Heathrow!$I:$I,B148))</f>
        <v>11.8</v>
      </c>
      <c r="M148" s="16" t="n">
        <f aca="false">IF(L148="","",L148+Climate_Shift+(UHI_Day_Eff+UHI_Night_Eff)/2)</f>
        <v>14.8</v>
      </c>
      <c r="N148" s="14" t="n">
        <f aca="false">IF(I148="",0,IF(I148&gt;=T_Day,1,0))</f>
        <v>0</v>
      </c>
      <c r="O148" s="14" t="n">
        <f aca="false">IF(K148&gt;=T_Night,1,0)</f>
        <v>0</v>
      </c>
      <c r="P148" s="14" t="n">
        <f aca="false">IF(N148=1,P147+1,0)</f>
        <v>0</v>
      </c>
      <c r="Q148" s="14" t="n">
        <f aca="false">IF(P148&gt;=HW_Days,1,0)</f>
        <v>0</v>
      </c>
      <c r="R148" s="17" t="str">
        <f aca="false">IF(AND(N148=1,I148&gt;=T_Red,O148=1),"RED",IF(AND(Q148=1,O148=1),"AMBER",IF(OR(N148=1,O148=1),"YELLOW","GREEN")))</f>
        <v>GREEN</v>
      </c>
      <c r="S148" s="14" t="n">
        <f aca="false">IF(R148="RED",3,IF(R148="AMBER",2,IF(R148="YELLOW",1,0)))</f>
        <v>0</v>
      </c>
      <c r="T148" s="16" t="n">
        <f aca="false">MAX(0,T147*(1-Decay)+IF(I148="",0,MAX(0,I148-T_Comfort))-Recovery_Rate*MAX(0,T_Night-K148))</f>
        <v>0</v>
      </c>
      <c r="U148" s="14" t="n">
        <f aca="false">IF(T148&gt;Capacity,1,0)</f>
        <v>0</v>
      </c>
      <c r="V148" s="15" t="n">
        <f aca="false">1/(1+EXP(-Logistic_k*(T148-Capacity)))</f>
        <v>0.00247262315663477</v>
      </c>
      <c r="W148" s="16" t="n">
        <f aca="false">IF(M148="",0,Beta*Pop_Share_Sel*(1-Sens_Red)*MAX(0,M148-T_Mort))</f>
        <v>0</v>
      </c>
      <c r="X148" s="16" t="n">
        <f aca="false">IF(ISNUMBER(F148),F148+Coef_B1*(Climate_Shift+G147),"")</f>
        <v>18.4481719358745</v>
      </c>
      <c r="Y148" s="16" t="n">
        <f aca="false">IF(AND(ISNUMBER(X148),H148&lt;&gt;""),H148+Climate_Shift-X148,"")</f>
        <v>-0.448171935874477</v>
      </c>
      <c r="Z148" s="16" t="n">
        <f aca="false">IF(ISNUMBER(Y148),ABS(Y148),"")</f>
        <v>0.448171935874477</v>
      </c>
      <c r="AA148" s="16" t="n">
        <f aca="false">IF(COUNT(Z142:Z148)=0,"",AVERAGE(Z142:Z148))</f>
        <v>2.58719374623257</v>
      </c>
      <c r="AB148" s="16" t="n">
        <f aca="false">IF(AD147=1,0,MAX(0,AB147+IF(ISNUMBER(Y148),Y148-CUSUM_k,0)))</f>
        <v>0</v>
      </c>
      <c r="AC148" s="16" t="n">
        <f aca="false">IF(AD147=1,0,MAX(0,AC147+IF(ISNUMBER(Y148),-Y148-CUSUM_k,0)))</f>
        <v>3.49349402630114</v>
      </c>
      <c r="AD148" s="17" t="n">
        <f aca="false">IF(OR(AB148&gt;CUSUM_h,AC148&gt;CUSUM_h,AND(ISNUMBER(AA148),AA148&gt;MAE_Tol)),1,0)</f>
        <v>0</v>
      </c>
      <c r="AE148" s="14" t="n">
        <f aca="false">IF(ISNUMBER(X148),IF(X148+Local_Sensing*UHI_Day_Eff&gt;=T_Day,1,0),0)</f>
        <v>0</v>
      </c>
      <c r="AF148" s="17" t="str">
        <f aca="false">IF(NOT(ISNUMBER(X148)),"n/a",IF(AND(AE148=1,N148=1),"Hit",IF(AND(AE148=0,N148=1),"Miss",IF(AND(AE148=1,N148=0),"False alarm","Correct quiet"))))</f>
        <v>Correct quiet</v>
      </c>
      <c r="AG148" s="14" t="n">
        <f aca="false">IF(H148="",0,IF(H148+Climate_Shift&gt;=T_Day,1,0))</f>
        <v>0</v>
      </c>
      <c r="AH148" s="17" t="n">
        <f aca="false">IF(AND(N148=1,AG148=0),1,0)</f>
        <v>0</v>
      </c>
      <c r="AI148" s="17" t="str">
        <f aca="false">IF(U148=1,"ESCALATE: surge health &amp; transport capacity",IF(AD148=1,"Model drift: retrain, recalibrate, raise change request",IF(S148&gt;=2,"Activate heat plan: outreach and cooling centres",IF(AND(E148=1,OR(N148=1,O148=1)),"Data QA: verify sensor before acting",IF(AF148="Miss","Review missed alert: threshold or model",IF(AH148=1,"Equity: local alert not seen at reference station","Monitor"))))))</f>
        <v>Monitor</v>
      </c>
      <c r="AN148" s="58" t="n">
        <f aca="false">T_Day</f>
        <v>28</v>
      </c>
      <c r="AO148" s="58" t="n">
        <f aca="false">Capacity</f>
        <v>40</v>
      </c>
      <c r="AP148" s="58" t="n">
        <f aca="false">CUSUM_h</f>
        <v>15</v>
      </c>
    </row>
    <row r="149" customFormat="false" ht="15" hidden="false" customHeight="false" outlineLevel="0" collapsed="false">
      <c r="A149" s="14" t="n">
        <v>141</v>
      </c>
      <c r="B149" s="14" t="n">
        <f aca="false">2+(SelYear-1979)*153+A149-1</f>
        <v>6721</v>
      </c>
      <c r="C149" s="55" t="n">
        <f aca="false">INDEX(Data_Heathrow!$A:$A,B149)</f>
        <v>44822</v>
      </c>
      <c r="D149" s="16" t="n">
        <f aca="false">INDEX(Data_Heathrow!$E:$E,B149)</f>
        <v>18.6</v>
      </c>
      <c r="E149" s="17" t="n">
        <f aca="false">INDEX(Data_Heathrow!$Q:$Q,B149)</f>
        <v>0</v>
      </c>
      <c r="F149" s="16" t="n">
        <f aca="false">INDEX(Data_Heathrow!$T:$T,B149)</f>
        <v>18.9107981600177</v>
      </c>
      <c r="G149" s="16" t="n">
        <f aca="false">IF(AND(Drift_Rate&lt;&gt;0,A149&gt;=Drift_Start),Drift_Rate*(A149-Drift_Start+1)/30,0)</f>
        <v>0</v>
      </c>
      <c r="H149" s="16" t="n">
        <f aca="false">IF(AND(E149=1,QA_Policy="Exclude suspect"),"",IF(AND(E149=1,QA_Policy="Impute with model",ISNUMBER(F149)),F149,D149)+G149)</f>
        <v>18.6</v>
      </c>
      <c r="I149" s="16" t="n">
        <f aca="false">IF(H149="","",H149+Climate_Shift+UHI_Day_Eff)</f>
        <v>20.6</v>
      </c>
      <c r="J149" s="16" t="n">
        <f aca="false">INDEX(Data_Heathrow!$G:$G,B149)</f>
        <v>7.7</v>
      </c>
      <c r="K149" s="16" t="n">
        <f aca="false">J149+Climate_Shift+UHI_Night_Eff</f>
        <v>11.7</v>
      </c>
      <c r="L149" s="16" t="n">
        <f aca="false">IF(INDEX(Data_Heathrow!$I:$I,B149)="","",INDEX(Data_Heathrow!$I:$I,B149))</f>
        <v>12.8</v>
      </c>
      <c r="M149" s="16" t="n">
        <f aca="false">IF(L149="","",L149+Climate_Shift+(UHI_Day_Eff+UHI_Night_Eff)/2)</f>
        <v>15.8</v>
      </c>
      <c r="N149" s="14" t="n">
        <f aca="false">IF(I149="",0,IF(I149&gt;=T_Day,1,0))</f>
        <v>0</v>
      </c>
      <c r="O149" s="14" t="n">
        <f aca="false">IF(K149&gt;=T_Night,1,0)</f>
        <v>0</v>
      </c>
      <c r="P149" s="14" t="n">
        <f aca="false">IF(N149=1,P148+1,0)</f>
        <v>0</v>
      </c>
      <c r="Q149" s="14" t="n">
        <f aca="false">IF(P149&gt;=HW_Days,1,0)</f>
        <v>0</v>
      </c>
      <c r="R149" s="17" t="str">
        <f aca="false">IF(AND(N149=1,I149&gt;=T_Red,O149=1),"RED",IF(AND(Q149=1,O149=1),"AMBER",IF(OR(N149=1,O149=1),"YELLOW","GREEN")))</f>
        <v>GREEN</v>
      </c>
      <c r="S149" s="14" t="n">
        <f aca="false">IF(R149="RED",3,IF(R149="AMBER",2,IF(R149="YELLOW",1,0)))</f>
        <v>0</v>
      </c>
      <c r="T149" s="16" t="n">
        <f aca="false">MAX(0,T148*(1-Decay)+IF(I149="",0,MAX(0,I149-T_Comfort))-Recovery_Rate*MAX(0,T_Night-K149))</f>
        <v>0</v>
      </c>
      <c r="U149" s="14" t="n">
        <f aca="false">IF(T149&gt;Capacity,1,0)</f>
        <v>0</v>
      </c>
      <c r="V149" s="15" t="n">
        <f aca="false">1/(1+EXP(-Logistic_k*(T149-Capacity)))</f>
        <v>0.00247262315663477</v>
      </c>
      <c r="W149" s="16" t="n">
        <f aca="false">IF(M149="",0,Beta*Pop_Share_Sel*(1-Sens_Red)*MAX(0,M149-T_Mort))</f>
        <v>0</v>
      </c>
      <c r="X149" s="16" t="n">
        <f aca="false">IF(ISNUMBER(F149),F149+Coef_B1*(Climate_Shift+G148),"")</f>
        <v>18.9107981600177</v>
      </c>
      <c r="Y149" s="16" t="n">
        <f aca="false">IF(AND(ISNUMBER(X149),H149&lt;&gt;""),H149+Climate_Shift-X149,"")</f>
        <v>-0.31079816001769</v>
      </c>
      <c r="Z149" s="16" t="n">
        <f aca="false">IF(ISNUMBER(Y149),ABS(Y149),"")</f>
        <v>0.31079816001769</v>
      </c>
      <c r="AA149" s="16" t="n">
        <f aca="false">IF(COUNT(Z143:Z149)=0,"",AVERAGE(Z143:Z149))</f>
        <v>2.1909707033794</v>
      </c>
      <c r="AB149" s="16" t="n">
        <f aca="false">IF(AD148=1,0,MAX(0,AB148+IF(ISNUMBER(Y149),Y149-CUSUM_k,0)))</f>
        <v>0</v>
      </c>
      <c r="AC149" s="16" t="n">
        <f aca="false">IF(AD148=1,0,MAX(0,AC148+IF(ISNUMBER(Y149),-Y149-CUSUM_k,0)))</f>
        <v>2.80429218631883</v>
      </c>
      <c r="AD149" s="17" t="n">
        <f aca="false">IF(OR(AB149&gt;CUSUM_h,AC149&gt;CUSUM_h,AND(ISNUMBER(AA149),AA149&gt;MAE_Tol)),1,0)</f>
        <v>0</v>
      </c>
      <c r="AE149" s="14" t="n">
        <f aca="false">IF(ISNUMBER(X149),IF(X149+Local_Sensing*UHI_Day_Eff&gt;=T_Day,1,0),0)</f>
        <v>0</v>
      </c>
      <c r="AF149" s="17" t="str">
        <f aca="false">IF(NOT(ISNUMBER(X149)),"n/a",IF(AND(AE149=1,N149=1),"Hit",IF(AND(AE149=0,N149=1),"Miss",IF(AND(AE149=1,N149=0),"False alarm","Correct quiet"))))</f>
        <v>Correct quiet</v>
      </c>
      <c r="AG149" s="14" t="n">
        <f aca="false">IF(H149="",0,IF(H149+Climate_Shift&gt;=T_Day,1,0))</f>
        <v>0</v>
      </c>
      <c r="AH149" s="17" t="n">
        <f aca="false">IF(AND(N149=1,AG149=0),1,0)</f>
        <v>0</v>
      </c>
      <c r="AI149" s="17" t="str">
        <f aca="false">IF(U149=1,"ESCALATE: surge health &amp; transport capacity",IF(AD149=1,"Model drift: retrain, recalibrate, raise change request",IF(S149&gt;=2,"Activate heat plan: outreach and cooling centres",IF(AND(E149=1,OR(N149=1,O149=1)),"Data QA: verify sensor before acting",IF(AF149="Miss","Review missed alert: threshold or model",IF(AH149=1,"Equity: local alert not seen at reference station","Monitor"))))))</f>
        <v>Monitor</v>
      </c>
      <c r="AN149" s="58" t="n">
        <f aca="false">T_Day</f>
        <v>28</v>
      </c>
      <c r="AO149" s="58" t="n">
        <f aca="false">Capacity</f>
        <v>40</v>
      </c>
      <c r="AP149" s="58" t="n">
        <f aca="false">CUSUM_h</f>
        <v>15</v>
      </c>
    </row>
    <row r="150" customFormat="false" ht="15" hidden="false" customHeight="false" outlineLevel="0" collapsed="false">
      <c r="A150" s="14" t="n">
        <v>142</v>
      </c>
      <c r="B150" s="14" t="n">
        <f aca="false">2+(SelYear-1979)*153+A150-1</f>
        <v>6722</v>
      </c>
      <c r="C150" s="55" t="n">
        <f aca="false">INDEX(Data_Heathrow!$A:$A,B150)</f>
        <v>44823</v>
      </c>
      <c r="D150" s="16" t="n">
        <f aca="false">INDEX(Data_Heathrow!$E:$E,B150)</f>
        <v>19.8</v>
      </c>
      <c r="E150" s="17" t="n">
        <f aca="false">INDEX(Data_Heathrow!$Q:$Q,B150)</f>
        <v>0</v>
      </c>
      <c r="F150" s="16" t="n">
        <f aca="false">INDEX(Data_Heathrow!$T:$T,B150)</f>
        <v>19.3741687706727</v>
      </c>
      <c r="G150" s="16" t="n">
        <f aca="false">IF(AND(Drift_Rate&lt;&gt;0,A150&gt;=Drift_Start),Drift_Rate*(A150-Drift_Start+1)/30,0)</f>
        <v>0</v>
      </c>
      <c r="H150" s="16" t="n">
        <f aca="false">IF(AND(E150=1,QA_Policy="Exclude suspect"),"",IF(AND(E150=1,QA_Policy="Impute with model",ISNUMBER(F150)),F150,D150)+G150)</f>
        <v>19.8</v>
      </c>
      <c r="I150" s="16" t="n">
        <f aca="false">IF(H150="","",H150+Climate_Shift+UHI_Day_Eff)</f>
        <v>21.8</v>
      </c>
      <c r="J150" s="16" t="n">
        <f aca="false">INDEX(Data_Heathrow!$G:$G,B150)</f>
        <v>11.6</v>
      </c>
      <c r="K150" s="16" t="n">
        <f aca="false">J150+Climate_Shift+UHI_Night_Eff</f>
        <v>15.6</v>
      </c>
      <c r="L150" s="16" t="n">
        <f aca="false">IF(INDEX(Data_Heathrow!$I:$I,B150)="","",INDEX(Data_Heathrow!$I:$I,B150))</f>
        <v>15.1</v>
      </c>
      <c r="M150" s="16" t="n">
        <f aca="false">IF(L150="","",L150+Climate_Shift+(UHI_Day_Eff+UHI_Night_Eff)/2)</f>
        <v>18.1</v>
      </c>
      <c r="N150" s="14" t="n">
        <f aca="false">IF(I150="",0,IF(I150&gt;=T_Day,1,0))</f>
        <v>0</v>
      </c>
      <c r="O150" s="14" t="n">
        <f aca="false">IF(K150&gt;=T_Night,1,0)</f>
        <v>0</v>
      </c>
      <c r="P150" s="14" t="n">
        <f aca="false">IF(N150=1,P149+1,0)</f>
        <v>0</v>
      </c>
      <c r="Q150" s="14" t="n">
        <f aca="false">IF(P150&gt;=HW_Days,1,0)</f>
        <v>0</v>
      </c>
      <c r="R150" s="17" t="str">
        <f aca="false">IF(AND(N150=1,I150&gt;=T_Red,O150=1),"RED",IF(AND(Q150=1,O150=1),"AMBER",IF(OR(N150=1,O150=1),"YELLOW","GREEN")))</f>
        <v>GREEN</v>
      </c>
      <c r="S150" s="14" t="n">
        <f aca="false">IF(R150="RED",3,IF(R150="AMBER",2,IF(R150="YELLOW",1,0)))</f>
        <v>0</v>
      </c>
      <c r="T150" s="16" t="n">
        <f aca="false">MAX(0,T149*(1-Decay)+IF(I150="",0,MAX(0,I150-T_Comfort))-Recovery_Rate*MAX(0,T_Night-K150))</f>
        <v>0</v>
      </c>
      <c r="U150" s="14" t="n">
        <f aca="false">IF(T150&gt;Capacity,1,0)</f>
        <v>0</v>
      </c>
      <c r="V150" s="15" t="n">
        <f aca="false">1/(1+EXP(-Logistic_k*(T150-Capacity)))</f>
        <v>0.00247262315663477</v>
      </c>
      <c r="W150" s="16" t="n">
        <f aca="false">IF(M150="",0,Beta*Pop_Share_Sel*(1-Sens_Red)*MAX(0,M150-T_Mort))</f>
        <v>0</v>
      </c>
      <c r="X150" s="16" t="n">
        <f aca="false">IF(ISNUMBER(F150),F150+Coef_B1*(Climate_Shift+G149),"")</f>
        <v>19.3741687706727</v>
      </c>
      <c r="Y150" s="16" t="n">
        <f aca="false">IF(AND(ISNUMBER(X150),H150&lt;&gt;""),H150+Climate_Shift-X150,"")</f>
        <v>0.425831229327304</v>
      </c>
      <c r="Z150" s="16" t="n">
        <f aca="false">IF(ISNUMBER(Y150),ABS(Y150),"")</f>
        <v>0.425831229327304</v>
      </c>
      <c r="AA150" s="16" t="n">
        <f aca="false">IF(COUNT(Z144:Z150)=0,"",AVERAGE(Z144:Z150))</f>
        <v>1.29679258933314</v>
      </c>
      <c r="AB150" s="16" t="n">
        <f aca="false">IF(AD149=1,0,MAX(0,AB149+IF(ISNUMBER(Y150),Y150-CUSUM_k,0)))</f>
        <v>0</v>
      </c>
      <c r="AC150" s="16" t="n">
        <f aca="false">IF(AD149=1,0,MAX(0,AC149+IF(ISNUMBER(Y150),-Y150-CUSUM_k,0)))</f>
        <v>1.37846095699152</v>
      </c>
      <c r="AD150" s="17" t="n">
        <f aca="false">IF(OR(AB150&gt;CUSUM_h,AC150&gt;CUSUM_h,AND(ISNUMBER(AA150),AA150&gt;MAE_Tol)),1,0)</f>
        <v>0</v>
      </c>
      <c r="AE150" s="14" t="n">
        <f aca="false">IF(ISNUMBER(X150),IF(X150+Local_Sensing*UHI_Day_Eff&gt;=T_Day,1,0),0)</f>
        <v>0</v>
      </c>
      <c r="AF150" s="17" t="str">
        <f aca="false">IF(NOT(ISNUMBER(X150)),"n/a",IF(AND(AE150=1,N150=1),"Hit",IF(AND(AE150=0,N150=1),"Miss",IF(AND(AE150=1,N150=0),"False alarm","Correct quiet"))))</f>
        <v>Correct quiet</v>
      </c>
      <c r="AG150" s="14" t="n">
        <f aca="false">IF(H150="",0,IF(H150+Climate_Shift&gt;=T_Day,1,0))</f>
        <v>0</v>
      </c>
      <c r="AH150" s="17" t="n">
        <f aca="false">IF(AND(N150=1,AG150=0),1,0)</f>
        <v>0</v>
      </c>
      <c r="AI150" s="17" t="str">
        <f aca="false">IF(U150=1,"ESCALATE: surge health &amp; transport capacity",IF(AD150=1,"Model drift: retrain, recalibrate, raise change request",IF(S150&gt;=2,"Activate heat plan: outreach and cooling centres",IF(AND(E150=1,OR(N150=1,O150=1)),"Data QA: verify sensor before acting",IF(AF150="Miss","Review missed alert: threshold or model",IF(AH150=1,"Equity: local alert not seen at reference station","Monitor"))))))</f>
        <v>Monitor</v>
      </c>
      <c r="AN150" s="58" t="n">
        <f aca="false">T_Day</f>
        <v>28</v>
      </c>
      <c r="AO150" s="58" t="n">
        <f aca="false">Capacity</f>
        <v>40</v>
      </c>
      <c r="AP150" s="58" t="n">
        <f aca="false">CUSUM_h</f>
        <v>15</v>
      </c>
    </row>
    <row r="151" customFormat="false" ht="15" hidden="false" customHeight="false" outlineLevel="0" collapsed="false">
      <c r="A151" s="14" t="n">
        <v>143</v>
      </c>
      <c r="B151" s="14" t="n">
        <f aca="false">2+(SelYear-1979)*153+A151-1</f>
        <v>6723</v>
      </c>
      <c r="C151" s="55" t="n">
        <f aca="false">INDEX(Data_Heathrow!$A:$A,B151)</f>
        <v>44824</v>
      </c>
      <c r="D151" s="16" t="n">
        <f aca="false">INDEX(Data_Heathrow!$E:$E,B151)</f>
        <v>21.2</v>
      </c>
      <c r="E151" s="17" t="n">
        <f aca="false">INDEX(Data_Heathrow!$Q:$Q,B151)</f>
        <v>0</v>
      </c>
      <c r="F151" s="16" t="n">
        <f aca="false">INDEX(Data_Heathrow!$T:$T,B151)</f>
        <v>20.4514854862259</v>
      </c>
      <c r="G151" s="16" t="n">
        <f aca="false">IF(AND(Drift_Rate&lt;&gt;0,A151&gt;=Drift_Start),Drift_Rate*(A151-Drift_Start+1)/30,0)</f>
        <v>0</v>
      </c>
      <c r="H151" s="16" t="n">
        <f aca="false">IF(AND(E151=1,QA_Policy="Exclude suspect"),"",IF(AND(E151=1,QA_Policy="Impute with model",ISNUMBER(F151)),F151,D151)+G151)</f>
        <v>21.2</v>
      </c>
      <c r="I151" s="16" t="n">
        <f aca="false">IF(H151="","",H151+Climate_Shift+UHI_Day_Eff)</f>
        <v>23.2</v>
      </c>
      <c r="J151" s="16" t="n">
        <f aca="false">INDEX(Data_Heathrow!$G:$G,B151)</f>
        <v>8.8</v>
      </c>
      <c r="K151" s="16" t="n">
        <f aca="false">J151+Climate_Shift+UHI_Night_Eff</f>
        <v>12.8</v>
      </c>
      <c r="L151" s="16" t="n">
        <f aca="false">IF(INDEX(Data_Heathrow!$I:$I,B151)="","",INDEX(Data_Heathrow!$I:$I,B151))</f>
        <v>14.3</v>
      </c>
      <c r="M151" s="16" t="n">
        <f aca="false">IF(L151="","",L151+Climate_Shift+(UHI_Day_Eff+UHI_Night_Eff)/2)</f>
        <v>17.3</v>
      </c>
      <c r="N151" s="14" t="n">
        <f aca="false">IF(I151="",0,IF(I151&gt;=T_Day,1,0))</f>
        <v>0</v>
      </c>
      <c r="O151" s="14" t="n">
        <f aca="false">IF(K151&gt;=T_Night,1,0)</f>
        <v>0</v>
      </c>
      <c r="P151" s="14" t="n">
        <f aca="false">IF(N151=1,P150+1,0)</f>
        <v>0</v>
      </c>
      <c r="Q151" s="14" t="n">
        <f aca="false">IF(P151&gt;=HW_Days,1,0)</f>
        <v>0</v>
      </c>
      <c r="R151" s="17" t="str">
        <f aca="false">IF(AND(N151=1,I151&gt;=T_Red,O151=1),"RED",IF(AND(Q151=1,O151=1),"AMBER",IF(OR(N151=1,O151=1),"YELLOW","GREEN")))</f>
        <v>GREEN</v>
      </c>
      <c r="S151" s="14" t="n">
        <f aca="false">IF(R151="RED",3,IF(R151="AMBER",2,IF(R151="YELLOW",1,0)))</f>
        <v>0</v>
      </c>
      <c r="T151" s="16" t="n">
        <f aca="false">MAX(0,T150*(1-Decay)+IF(I151="",0,MAX(0,I151-T_Comfort))-Recovery_Rate*MAX(0,T_Night-K151))</f>
        <v>0</v>
      </c>
      <c r="U151" s="14" t="n">
        <f aca="false">IF(T151&gt;Capacity,1,0)</f>
        <v>0</v>
      </c>
      <c r="V151" s="15" t="n">
        <f aca="false">1/(1+EXP(-Logistic_k*(T151-Capacity)))</f>
        <v>0.00247262315663477</v>
      </c>
      <c r="W151" s="16" t="n">
        <f aca="false">IF(M151="",0,Beta*Pop_Share_Sel*(1-Sens_Red)*MAX(0,M151-T_Mort))</f>
        <v>0</v>
      </c>
      <c r="X151" s="16" t="n">
        <f aca="false">IF(ISNUMBER(F151),F151+Coef_B1*(Climate_Shift+G150),"")</f>
        <v>20.4514854862259</v>
      </c>
      <c r="Y151" s="16" t="n">
        <f aca="false">IF(AND(ISNUMBER(X151),H151&lt;&gt;""),H151+Climate_Shift-X151,"")</f>
        <v>0.748514513774151</v>
      </c>
      <c r="Z151" s="16" t="n">
        <f aca="false">IF(ISNUMBER(Y151),ABS(Y151),"")</f>
        <v>0.748514513774151</v>
      </c>
      <c r="AA151" s="16" t="n">
        <f aca="false">IF(COUNT(Z145:Z151)=0,"",AVERAGE(Z145:Z151))</f>
        <v>1.00854446720538</v>
      </c>
      <c r="AB151" s="16" t="n">
        <f aca="false">IF(AD150=1,0,MAX(0,AB150+IF(ISNUMBER(Y151),Y151-CUSUM_k,0)))</f>
        <v>0</v>
      </c>
      <c r="AC151" s="16" t="n">
        <f aca="false">IF(AD150=1,0,MAX(0,AC150+IF(ISNUMBER(Y151),-Y151-CUSUM_k,0)))</f>
        <v>0</v>
      </c>
      <c r="AD151" s="17" t="n">
        <f aca="false">IF(OR(AB151&gt;CUSUM_h,AC151&gt;CUSUM_h,AND(ISNUMBER(AA151),AA151&gt;MAE_Tol)),1,0)</f>
        <v>0</v>
      </c>
      <c r="AE151" s="14" t="n">
        <f aca="false">IF(ISNUMBER(X151),IF(X151+Local_Sensing*UHI_Day_Eff&gt;=T_Day,1,0),0)</f>
        <v>0</v>
      </c>
      <c r="AF151" s="17" t="str">
        <f aca="false">IF(NOT(ISNUMBER(X151)),"n/a",IF(AND(AE151=1,N151=1),"Hit",IF(AND(AE151=0,N151=1),"Miss",IF(AND(AE151=1,N151=0),"False alarm","Correct quiet"))))</f>
        <v>Correct quiet</v>
      </c>
      <c r="AG151" s="14" t="n">
        <f aca="false">IF(H151="",0,IF(H151+Climate_Shift&gt;=T_Day,1,0))</f>
        <v>0</v>
      </c>
      <c r="AH151" s="17" t="n">
        <f aca="false">IF(AND(N151=1,AG151=0),1,0)</f>
        <v>0</v>
      </c>
      <c r="AI151" s="17" t="str">
        <f aca="false">IF(U151=1,"ESCALATE: surge health &amp; transport capacity",IF(AD151=1,"Model drift: retrain, recalibrate, raise change request",IF(S151&gt;=2,"Activate heat plan: outreach and cooling centres",IF(AND(E151=1,OR(N151=1,O151=1)),"Data QA: verify sensor before acting",IF(AF151="Miss","Review missed alert: threshold or model",IF(AH151=1,"Equity: local alert not seen at reference station","Monitor"))))))</f>
        <v>Monitor</v>
      </c>
      <c r="AN151" s="58" t="n">
        <f aca="false">T_Day</f>
        <v>28</v>
      </c>
      <c r="AO151" s="58" t="n">
        <f aca="false">Capacity</f>
        <v>40</v>
      </c>
      <c r="AP151" s="58" t="n">
        <f aca="false">CUSUM_h</f>
        <v>15</v>
      </c>
    </row>
    <row r="152" customFormat="false" ht="15" hidden="false" customHeight="false" outlineLevel="0" collapsed="false">
      <c r="A152" s="14" t="n">
        <v>144</v>
      </c>
      <c r="B152" s="14" t="n">
        <f aca="false">2+(SelYear-1979)*153+A152-1</f>
        <v>6724</v>
      </c>
      <c r="C152" s="55" t="n">
        <f aca="false">INDEX(Data_Heathrow!$A:$A,B152)</f>
        <v>44825</v>
      </c>
      <c r="D152" s="16" t="n">
        <f aca="false">INDEX(Data_Heathrow!$E:$E,B152)</f>
        <v>20.7</v>
      </c>
      <c r="E152" s="17" t="n">
        <f aca="false">INDEX(Data_Heathrow!$Q:$Q,B152)</f>
        <v>0</v>
      </c>
      <c r="F152" s="16" t="n">
        <f aca="false">INDEX(Data_Heathrow!$T:$T,B152)</f>
        <v>21.6487521879</v>
      </c>
      <c r="G152" s="16" t="n">
        <f aca="false">IF(AND(Drift_Rate&lt;&gt;0,A152&gt;=Drift_Start),Drift_Rate*(A152-Drift_Start+1)/30,0)</f>
        <v>0</v>
      </c>
      <c r="H152" s="16" t="n">
        <f aca="false">IF(AND(E152=1,QA_Policy="Exclude suspect"),"",IF(AND(E152=1,QA_Policy="Impute with model",ISNUMBER(F152)),F152,D152)+G152)</f>
        <v>20.7</v>
      </c>
      <c r="I152" s="16" t="n">
        <f aca="false">IF(H152="","",H152+Climate_Shift+UHI_Day_Eff)</f>
        <v>22.7</v>
      </c>
      <c r="J152" s="16" t="n">
        <f aca="false">INDEX(Data_Heathrow!$G:$G,B152)</f>
        <v>13.6</v>
      </c>
      <c r="K152" s="16" t="n">
        <f aca="false">J152+Climate_Shift+UHI_Night_Eff</f>
        <v>17.6</v>
      </c>
      <c r="L152" s="16" t="n">
        <f aca="false">IF(INDEX(Data_Heathrow!$I:$I,B152)="","",INDEX(Data_Heathrow!$I:$I,B152))</f>
        <v>17.4</v>
      </c>
      <c r="M152" s="16" t="n">
        <f aca="false">IF(L152="","",L152+Climate_Shift+(UHI_Day_Eff+UHI_Night_Eff)/2)</f>
        <v>20.4</v>
      </c>
      <c r="N152" s="14" t="n">
        <f aca="false">IF(I152="",0,IF(I152&gt;=T_Day,1,0))</f>
        <v>0</v>
      </c>
      <c r="O152" s="14" t="n">
        <f aca="false">IF(K152&gt;=T_Night,1,0)</f>
        <v>0</v>
      </c>
      <c r="P152" s="14" t="n">
        <f aca="false">IF(N152=1,P151+1,0)</f>
        <v>0</v>
      </c>
      <c r="Q152" s="14" t="n">
        <f aca="false">IF(P152&gt;=HW_Days,1,0)</f>
        <v>0</v>
      </c>
      <c r="R152" s="17" t="str">
        <f aca="false">IF(AND(N152=1,I152&gt;=T_Red,O152=1),"RED",IF(AND(Q152=1,O152=1),"AMBER",IF(OR(N152=1,O152=1),"YELLOW","GREEN")))</f>
        <v>GREEN</v>
      </c>
      <c r="S152" s="14" t="n">
        <f aca="false">IF(R152="RED",3,IF(R152="AMBER",2,IF(R152="YELLOW",1,0)))</f>
        <v>0</v>
      </c>
      <c r="T152" s="16" t="n">
        <f aca="false">MAX(0,T151*(1-Decay)+IF(I152="",0,MAX(0,I152-T_Comfort))-Recovery_Rate*MAX(0,T_Night-K152))</f>
        <v>0</v>
      </c>
      <c r="U152" s="14" t="n">
        <f aca="false">IF(T152&gt;Capacity,1,0)</f>
        <v>0</v>
      </c>
      <c r="V152" s="15" t="n">
        <f aca="false">1/(1+EXP(-Logistic_k*(T152-Capacity)))</f>
        <v>0.00247262315663477</v>
      </c>
      <c r="W152" s="16" t="n">
        <f aca="false">IF(M152="",0,Beta*Pop_Share_Sel*(1-Sens_Red)*MAX(0,M152-T_Mort))</f>
        <v>0.222158438576348</v>
      </c>
      <c r="X152" s="16" t="n">
        <f aca="false">IF(ISNUMBER(F152),F152+Coef_B1*(Climate_Shift+G151),"")</f>
        <v>21.6487521879</v>
      </c>
      <c r="Y152" s="16" t="n">
        <f aca="false">IF(AND(ISNUMBER(X152),H152&lt;&gt;""),H152+Climate_Shift-X152,"")</f>
        <v>-0.948752187899956</v>
      </c>
      <c r="Z152" s="16" t="n">
        <f aca="false">IF(ISNUMBER(Y152),ABS(Y152),"")</f>
        <v>0.948752187899956</v>
      </c>
      <c r="AA152" s="16" t="n">
        <f aca="false">IF(COUNT(Z146:Z152)=0,"",AVERAGE(Z146:Z152))</f>
        <v>0.756244324613392</v>
      </c>
      <c r="AB152" s="16" t="n">
        <f aca="false">IF(AD151=1,0,MAX(0,AB151+IF(ISNUMBER(Y152),Y152-CUSUM_k,0)))</f>
        <v>0</v>
      </c>
      <c r="AC152" s="16" t="n">
        <f aca="false">IF(AD151=1,0,MAX(0,AC151+IF(ISNUMBER(Y152),-Y152-CUSUM_k,0)))</f>
        <v>0</v>
      </c>
      <c r="AD152" s="17" t="n">
        <f aca="false">IF(OR(AB152&gt;CUSUM_h,AC152&gt;CUSUM_h,AND(ISNUMBER(AA152),AA152&gt;MAE_Tol)),1,0)</f>
        <v>0</v>
      </c>
      <c r="AE152" s="14" t="n">
        <f aca="false">IF(ISNUMBER(X152),IF(X152+Local_Sensing*UHI_Day_Eff&gt;=T_Day,1,0),0)</f>
        <v>0</v>
      </c>
      <c r="AF152" s="17" t="str">
        <f aca="false">IF(NOT(ISNUMBER(X152)),"n/a",IF(AND(AE152=1,N152=1),"Hit",IF(AND(AE152=0,N152=1),"Miss",IF(AND(AE152=1,N152=0),"False alarm","Correct quiet"))))</f>
        <v>Correct quiet</v>
      </c>
      <c r="AG152" s="14" t="n">
        <f aca="false">IF(H152="",0,IF(H152+Climate_Shift&gt;=T_Day,1,0))</f>
        <v>0</v>
      </c>
      <c r="AH152" s="17" t="n">
        <f aca="false">IF(AND(N152=1,AG152=0),1,0)</f>
        <v>0</v>
      </c>
      <c r="AI152" s="17" t="str">
        <f aca="false">IF(U152=1,"ESCALATE: surge health &amp; transport capacity",IF(AD152=1,"Model drift: retrain, recalibrate, raise change request",IF(S152&gt;=2,"Activate heat plan: outreach and cooling centres",IF(AND(E152=1,OR(N152=1,O152=1)),"Data QA: verify sensor before acting",IF(AF152="Miss","Review missed alert: threshold or model",IF(AH152=1,"Equity: local alert not seen at reference station","Monitor"))))))</f>
        <v>Monitor</v>
      </c>
      <c r="AN152" s="58" t="n">
        <f aca="false">T_Day</f>
        <v>28</v>
      </c>
      <c r="AO152" s="58" t="n">
        <f aca="false">Capacity</f>
        <v>40</v>
      </c>
      <c r="AP152" s="58" t="n">
        <f aca="false">CUSUM_h</f>
        <v>15</v>
      </c>
    </row>
    <row r="153" customFormat="false" ht="15" hidden="false" customHeight="false" outlineLevel="0" collapsed="false">
      <c r="A153" s="14" t="n">
        <v>145</v>
      </c>
      <c r="B153" s="14" t="n">
        <f aca="false">2+(SelYear-1979)*153+A153-1</f>
        <v>6725</v>
      </c>
      <c r="C153" s="55" t="n">
        <f aca="false">INDEX(Data_Heathrow!$A:$A,B153)</f>
        <v>44826</v>
      </c>
      <c r="D153" s="16" t="n">
        <f aca="false">INDEX(Data_Heathrow!$E:$E,B153)</f>
        <v>18.9</v>
      </c>
      <c r="E153" s="17" t="n">
        <f aca="false">INDEX(Data_Heathrow!$Q:$Q,B153)</f>
        <v>0</v>
      </c>
      <c r="F153" s="16" t="n">
        <f aca="false">INDEX(Data_Heathrow!$T:$T,B153)</f>
        <v>21.2202606545982</v>
      </c>
      <c r="G153" s="16" t="n">
        <f aca="false">IF(AND(Drift_Rate&lt;&gt;0,A153&gt;=Drift_Start),Drift_Rate*(A153-Drift_Start+1)/30,0)</f>
        <v>0</v>
      </c>
      <c r="H153" s="16" t="n">
        <f aca="false">IF(AND(E153=1,QA_Policy="Exclude suspect"),"",IF(AND(E153=1,QA_Policy="Impute with model",ISNUMBER(F153)),F153,D153)+G153)</f>
        <v>18.9</v>
      </c>
      <c r="I153" s="16" t="n">
        <f aca="false">IF(H153="","",H153+Climate_Shift+UHI_Day_Eff)</f>
        <v>20.9</v>
      </c>
      <c r="J153" s="16" t="n">
        <f aca="false">INDEX(Data_Heathrow!$G:$G,B153)</f>
        <v>9.6</v>
      </c>
      <c r="K153" s="16" t="n">
        <f aca="false">J153+Climate_Shift+UHI_Night_Eff</f>
        <v>13.6</v>
      </c>
      <c r="L153" s="16" t="n">
        <f aca="false">IF(INDEX(Data_Heathrow!$I:$I,B153)="","",INDEX(Data_Heathrow!$I:$I,B153))</f>
        <v>15.2</v>
      </c>
      <c r="M153" s="16" t="n">
        <f aca="false">IF(L153="","",L153+Climate_Shift+(UHI_Day_Eff+UHI_Night_Eff)/2)</f>
        <v>18.2</v>
      </c>
      <c r="N153" s="14" t="n">
        <f aca="false">IF(I153="",0,IF(I153&gt;=T_Day,1,0))</f>
        <v>0</v>
      </c>
      <c r="O153" s="14" t="n">
        <f aca="false">IF(K153&gt;=T_Night,1,0)</f>
        <v>0</v>
      </c>
      <c r="P153" s="14" t="n">
        <f aca="false">IF(N153=1,P152+1,0)</f>
        <v>0</v>
      </c>
      <c r="Q153" s="14" t="n">
        <f aca="false">IF(P153&gt;=HW_Days,1,0)</f>
        <v>0</v>
      </c>
      <c r="R153" s="17" t="str">
        <f aca="false">IF(AND(N153=1,I153&gt;=T_Red,O153=1),"RED",IF(AND(Q153=1,O153=1),"AMBER",IF(OR(N153=1,O153=1),"YELLOW","GREEN")))</f>
        <v>GREEN</v>
      </c>
      <c r="S153" s="14" t="n">
        <f aca="false">IF(R153="RED",3,IF(R153="AMBER",2,IF(R153="YELLOW",1,0)))</f>
        <v>0</v>
      </c>
      <c r="T153" s="16" t="n">
        <f aca="false">MAX(0,T152*(1-Decay)+IF(I153="",0,MAX(0,I153-T_Comfort))-Recovery_Rate*MAX(0,T_Night-K153))</f>
        <v>0</v>
      </c>
      <c r="U153" s="14" t="n">
        <f aca="false">IF(T153&gt;Capacity,1,0)</f>
        <v>0</v>
      </c>
      <c r="V153" s="15" t="n">
        <f aca="false">1/(1+EXP(-Logistic_k*(T153-Capacity)))</f>
        <v>0.00247262315663477</v>
      </c>
      <c r="W153" s="16" t="n">
        <f aca="false">IF(M153="",0,Beta*Pop_Share_Sel*(1-Sens_Red)*MAX(0,M153-T_Mort))</f>
        <v>0</v>
      </c>
      <c r="X153" s="16" t="n">
        <f aca="false">IF(ISNUMBER(F153),F153+Coef_B1*(Climate_Shift+G152),"")</f>
        <v>21.2202606545982</v>
      </c>
      <c r="Y153" s="16" t="n">
        <f aca="false">IF(AND(ISNUMBER(X153),H153&lt;&gt;""),H153+Climate_Shift-X153,"")</f>
        <v>-2.32026065459823</v>
      </c>
      <c r="Z153" s="16" t="n">
        <f aca="false">IF(ISNUMBER(Y153),ABS(Y153),"")</f>
        <v>2.32026065459823</v>
      </c>
      <c r="AA153" s="16" t="n">
        <f aca="false">IF(COUNT(Z147:Z153)=0,"",AVERAGE(Z147:Z153))</f>
        <v>0.852310585015771</v>
      </c>
      <c r="AB153" s="16" t="n">
        <f aca="false">IF(AD152=1,0,MAX(0,AB152+IF(ISNUMBER(Y153),Y153-CUSUM_k,0)))</f>
        <v>0</v>
      </c>
      <c r="AC153" s="16" t="n">
        <f aca="false">IF(AD152=1,0,MAX(0,AC152+IF(ISNUMBER(Y153),-Y153-CUSUM_k,0)))</f>
        <v>1.32026065459823</v>
      </c>
      <c r="AD153" s="17" t="n">
        <f aca="false">IF(OR(AB153&gt;CUSUM_h,AC153&gt;CUSUM_h,AND(ISNUMBER(AA153),AA153&gt;MAE_Tol)),1,0)</f>
        <v>0</v>
      </c>
      <c r="AE153" s="14" t="n">
        <f aca="false">IF(ISNUMBER(X153),IF(X153+Local_Sensing*UHI_Day_Eff&gt;=T_Day,1,0),0)</f>
        <v>0</v>
      </c>
      <c r="AF153" s="17" t="str">
        <f aca="false">IF(NOT(ISNUMBER(X153)),"n/a",IF(AND(AE153=1,N153=1),"Hit",IF(AND(AE153=0,N153=1),"Miss",IF(AND(AE153=1,N153=0),"False alarm","Correct quiet"))))</f>
        <v>Correct quiet</v>
      </c>
      <c r="AG153" s="14" t="n">
        <f aca="false">IF(H153="",0,IF(H153+Climate_Shift&gt;=T_Day,1,0))</f>
        <v>0</v>
      </c>
      <c r="AH153" s="17" t="n">
        <f aca="false">IF(AND(N153=1,AG153=0),1,0)</f>
        <v>0</v>
      </c>
      <c r="AI153" s="17" t="str">
        <f aca="false">IF(U153=1,"ESCALATE: surge health &amp; transport capacity",IF(AD153=1,"Model drift: retrain, recalibrate, raise change request",IF(S153&gt;=2,"Activate heat plan: outreach and cooling centres",IF(AND(E153=1,OR(N153=1,O153=1)),"Data QA: verify sensor before acting",IF(AF153="Miss","Review missed alert: threshold or model",IF(AH153=1,"Equity: local alert not seen at reference station","Monitor"))))))</f>
        <v>Monitor</v>
      </c>
      <c r="AN153" s="58" t="n">
        <f aca="false">T_Day</f>
        <v>28</v>
      </c>
      <c r="AO153" s="58" t="n">
        <f aca="false">Capacity</f>
        <v>40</v>
      </c>
      <c r="AP153" s="58" t="n">
        <f aca="false">CUSUM_h</f>
        <v>15</v>
      </c>
    </row>
    <row r="154" customFormat="false" ht="15" hidden="false" customHeight="false" outlineLevel="0" collapsed="false">
      <c r="A154" s="14" t="n">
        <v>146</v>
      </c>
      <c r="B154" s="14" t="n">
        <f aca="false">2+(SelYear-1979)*153+A154-1</f>
        <v>6726</v>
      </c>
      <c r="C154" s="55" t="n">
        <f aca="false">INDEX(Data_Heathrow!$A:$A,B154)</f>
        <v>44827</v>
      </c>
      <c r="D154" s="16" t="n">
        <f aca="false">INDEX(Data_Heathrow!$E:$E,B154)</f>
        <v>18.9</v>
      </c>
      <c r="E154" s="17" t="n">
        <f aca="false">INDEX(Data_Heathrow!$Q:$Q,B154)</f>
        <v>0</v>
      </c>
      <c r="F154" s="16" t="n">
        <f aca="false">INDEX(Data_Heathrow!$T:$T,B154)</f>
        <v>19.5666417077077</v>
      </c>
      <c r="G154" s="16" t="n">
        <f aca="false">IF(AND(Drift_Rate&lt;&gt;0,A154&gt;=Drift_Start),Drift_Rate*(A154-Drift_Start+1)/30,0)</f>
        <v>0</v>
      </c>
      <c r="H154" s="16" t="n">
        <f aca="false">IF(AND(E154=1,QA_Policy="Exclude suspect"),"",IF(AND(E154=1,QA_Policy="Impute with model",ISNUMBER(F154)),F154,D154)+G154)</f>
        <v>18.9</v>
      </c>
      <c r="I154" s="16" t="n">
        <f aca="false">IF(H154="","",H154+Climate_Shift+UHI_Day_Eff)</f>
        <v>20.9</v>
      </c>
      <c r="J154" s="16" t="n">
        <f aca="false">INDEX(Data_Heathrow!$G:$G,B154)</f>
        <v>14.4</v>
      </c>
      <c r="K154" s="16" t="n">
        <f aca="false">J154+Climate_Shift+UHI_Night_Eff</f>
        <v>18.4</v>
      </c>
      <c r="L154" s="16" t="n">
        <f aca="false">IF(INDEX(Data_Heathrow!$I:$I,B154)="","",INDEX(Data_Heathrow!$I:$I,B154))</f>
        <v>16.6</v>
      </c>
      <c r="M154" s="16" t="n">
        <f aca="false">IF(L154="","",L154+Climate_Shift+(UHI_Day_Eff+UHI_Night_Eff)/2)</f>
        <v>19.6</v>
      </c>
      <c r="N154" s="14" t="n">
        <f aca="false">IF(I154="",0,IF(I154&gt;=T_Day,1,0))</f>
        <v>0</v>
      </c>
      <c r="O154" s="14" t="n">
        <f aca="false">IF(K154&gt;=T_Night,1,0)</f>
        <v>1</v>
      </c>
      <c r="P154" s="14" t="n">
        <f aca="false">IF(N154=1,P153+1,0)</f>
        <v>0</v>
      </c>
      <c r="Q154" s="14" t="n">
        <f aca="false">IF(P154&gt;=HW_Days,1,0)</f>
        <v>0</v>
      </c>
      <c r="R154" s="17" t="str">
        <f aca="false">IF(AND(N154=1,I154&gt;=T_Red,O154=1),"RED",IF(AND(Q154=1,O154=1),"AMBER",IF(OR(N154=1,O154=1),"YELLOW","GREEN")))</f>
        <v>YELLOW</v>
      </c>
      <c r="S154" s="14" t="n">
        <f aca="false">IF(R154="RED",3,IF(R154="AMBER",2,IF(R154="YELLOW",1,0)))</f>
        <v>1</v>
      </c>
      <c r="T154" s="16" t="n">
        <f aca="false">MAX(0,T153*(1-Decay)+IF(I154="",0,MAX(0,I154-T_Comfort))-Recovery_Rate*MAX(0,T_Night-K154))</f>
        <v>0</v>
      </c>
      <c r="U154" s="14" t="n">
        <f aca="false">IF(T154&gt;Capacity,1,0)</f>
        <v>0</v>
      </c>
      <c r="V154" s="15" t="n">
        <f aca="false">1/(1+EXP(-Logistic_k*(T154-Capacity)))</f>
        <v>0.00247262315663477</v>
      </c>
      <c r="W154" s="16" t="n">
        <f aca="false">IF(M154="",0,Beta*Pop_Share_Sel*(1-Sens_Red)*MAX(0,M154-T_Mort))</f>
        <v>0</v>
      </c>
      <c r="X154" s="16" t="n">
        <f aca="false">IF(ISNUMBER(F154),F154+Coef_B1*(Climate_Shift+G153),"")</f>
        <v>19.5666417077077</v>
      </c>
      <c r="Y154" s="16" t="n">
        <f aca="false">IF(AND(ISNUMBER(X154),H154&lt;&gt;""),H154+Climate_Shift-X154,"")</f>
        <v>-0.666641707707704</v>
      </c>
      <c r="Z154" s="16" t="n">
        <f aca="false">IF(ISNUMBER(Y154),ABS(Y154),"")</f>
        <v>0.666641707707704</v>
      </c>
      <c r="AA154" s="16" t="n">
        <f aca="false">IF(COUNT(Z148:Z154)=0,"",AVERAGE(Z148:Z154))</f>
        <v>0.838424341314216</v>
      </c>
      <c r="AB154" s="16" t="n">
        <f aca="false">IF(AD153=1,0,MAX(0,AB153+IF(ISNUMBER(Y154),Y154-CUSUM_k,0)))</f>
        <v>0</v>
      </c>
      <c r="AC154" s="16" t="n">
        <f aca="false">IF(AD153=1,0,MAX(0,AC153+IF(ISNUMBER(Y154),-Y154-CUSUM_k,0)))</f>
        <v>0.986902362305933</v>
      </c>
      <c r="AD154" s="17" t="n">
        <f aca="false">IF(OR(AB154&gt;CUSUM_h,AC154&gt;CUSUM_h,AND(ISNUMBER(AA154),AA154&gt;MAE_Tol)),1,0)</f>
        <v>0</v>
      </c>
      <c r="AE154" s="14" t="n">
        <f aca="false">IF(ISNUMBER(X154),IF(X154+Local_Sensing*UHI_Day_Eff&gt;=T_Day,1,0),0)</f>
        <v>0</v>
      </c>
      <c r="AF154" s="17" t="str">
        <f aca="false">IF(NOT(ISNUMBER(X154)),"n/a",IF(AND(AE154=1,N154=1),"Hit",IF(AND(AE154=0,N154=1),"Miss",IF(AND(AE154=1,N154=0),"False alarm","Correct quiet"))))</f>
        <v>Correct quiet</v>
      </c>
      <c r="AG154" s="14" t="n">
        <f aca="false">IF(H154="",0,IF(H154+Climate_Shift&gt;=T_Day,1,0))</f>
        <v>0</v>
      </c>
      <c r="AH154" s="17" t="n">
        <f aca="false">IF(AND(N154=1,AG154=0),1,0)</f>
        <v>0</v>
      </c>
      <c r="AI154" s="17" t="str">
        <f aca="false">IF(U154=1,"ESCALATE: surge health &amp; transport capacity",IF(AD154=1,"Model drift: retrain, recalibrate, raise change request",IF(S154&gt;=2,"Activate heat plan: outreach and cooling centres",IF(AND(E154=1,OR(N154=1,O154=1)),"Data QA: verify sensor before acting",IF(AF154="Miss","Review missed alert: threshold or model",IF(AH154=1,"Equity: local alert not seen at reference station","Monitor"))))))</f>
        <v>Monitor</v>
      </c>
      <c r="AN154" s="58" t="n">
        <f aca="false">T_Day</f>
        <v>28</v>
      </c>
      <c r="AO154" s="58" t="n">
        <f aca="false">Capacity</f>
        <v>40</v>
      </c>
      <c r="AP154" s="58" t="n">
        <f aca="false">CUSUM_h</f>
        <v>15</v>
      </c>
    </row>
    <row r="155" customFormat="false" ht="15" hidden="false" customHeight="false" outlineLevel="0" collapsed="false">
      <c r="A155" s="14" t="n">
        <v>147</v>
      </c>
      <c r="B155" s="14" t="n">
        <f aca="false">2+(SelYear-1979)*153+A155-1</f>
        <v>6727</v>
      </c>
      <c r="C155" s="55" t="n">
        <f aca="false">INDEX(Data_Heathrow!$A:$A,B155)</f>
        <v>44828</v>
      </c>
      <c r="D155" s="16" t="n">
        <f aca="false">INDEX(Data_Heathrow!$E:$E,B155)</f>
        <v>16.7</v>
      </c>
      <c r="E155" s="17" t="n">
        <f aca="false">INDEX(Data_Heathrow!$Q:$Q,B155)</f>
        <v>0</v>
      </c>
      <c r="F155" s="16" t="n">
        <f aca="false">INDEX(Data_Heathrow!$T:$T,B155)</f>
        <v>19.419203202928</v>
      </c>
      <c r="G155" s="16" t="n">
        <f aca="false">IF(AND(Drift_Rate&lt;&gt;0,A155&gt;=Drift_Start),Drift_Rate*(A155-Drift_Start+1)/30,0)</f>
        <v>0</v>
      </c>
      <c r="H155" s="16" t="n">
        <f aca="false">IF(AND(E155=1,QA_Policy="Exclude suspect"),"",IF(AND(E155=1,QA_Policy="Impute with model",ISNUMBER(F155)),F155,D155)+G155)</f>
        <v>16.7</v>
      </c>
      <c r="I155" s="16" t="n">
        <f aca="false">IF(H155="","",H155+Climate_Shift+UHI_Day_Eff)</f>
        <v>18.7</v>
      </c>
      <c r="J155" s="16" t="n">
        <f aca="false">INDEX(Data_Heathrow!$G:$G,B155)</f>
        <v>9</v>
      </c>
      <c r="K155" s="16" t="n">
        <f aca="false">J155+Climate_Shift+UHI_Night_Eff</f>
        <v>13</v>
      </c>
      <c r="L155" s="16" t="n">
        <f aca="false">IF(INDEX(Data_Heathrow!$I:$I,B155)="","",INDEX(Data_Heathrow!$I:$I,B155))</f>
        <v>13.9</v>
      </c>
      <c r="M155" s="16" t="n">
        <f aca="false">IF(L155="","",L155+Climate_Shift+(UHI_Day_Eff+UHI_Night_Eff)/2)</f>
        <v>16.9</v>
      </c>
      <c r="N155" s="14" t="n">
        <f aca="false">IF(I155="",0,IF(I155&gt;=T_Day,1,0))</f>
        <v>0</v>
      </c>
      <c r="O155" s="14" t="n">
        <f aca="false">IF(K155&gt;=T_Night,1,0)</f>
        <v>0</v>
      </c>
      <c r="P155" s="14" t="n">
        <f aca="false">IF(N155=1,P154+1,0)</f>
        <v>0</v>
      </c>
      <c r="Q155" s="14" t="n">
        <f aca="false">IF(P155&gt;=HW_Days,1,0)</f>
        <v>0</v>
      </c>
      <c r="R155" s="17" t="str">
        <f aca="false">IF(AND(N155=1,I155&gt;=T_Red,O155=1),"RED",IF(AND(Q155=1,O155=1),"AMBER",IF(OR(N155=1,O155=1),"YELLOW","GREEN")))</f>
        <v>GREEN</v>
      </c>
      <c r="S155" s="14" t="n">
        <f aca="false">IF(R155="RED",3,IF(R155="AMBER",2,IF(R155="YELLOW",1,0)))</f>
        <v>0</v>
      </c>
      <c r="T155" s="16" t="n">
        <f aca="false">MAX(0,T154*(1-Decay)+IF(I155="",0,MAX(0,I155-T_Comfort))-Recovery_Rate*MAX(0,T_Night-K155))</f>
        <v>0</v>
      </c>
      <c r="U155" s="14" t="n">
        <f aca="false">IF(T155&gt;Capacity,1,0)</f>
        <v>0</v>
      </c>
      <c r="V155" s="15" t="n">
        <f aca="false">1/(1+EXP(-Logistic_k*(T155-Capacity)))</f>
        <v>0.00247262315663477</v>
      </c>
      <c r="W155" s="16" t="n">
        <f aca="false">IF(M155="",0,Beta*Pop_Share_Sel*(1-Sens_Red)*MAX(0,M155-T_Mort))</f>
        <v>0</v>
      </c>
      <c r="X155" s="16" t="n">
        <f aca="false">IF(ISNUMBER(F155),F155+Coef_B1*(Climate_Shift+G154),"")</f>
        <v>19.419203202928</v>
      </c>
      <c r="Y155" s="16" t="n">
        <f aca="false">IF(AND(ISNUMBER(X155),H155&lt;&gt;""),H155+Climate_Shift-X155,"")</f>
        <v>-2.71920320292796</v>
      </c>
      <c r="Z155" s="16" t="n">
        <f aca="false">IF(ISNUMBER(Y155),ABS(Y155),"")</f>
        <v>2.71920320292796</v>
      </c>
      <c r="AA155" s="16" t="n">
        <f aca="false">IF(COUNT(Z149:Z155)=0,"",AVERAGE(Z149:Z155))</f>
        <v>1.16285737946471</v>
      </c>
      <c r="AB155" s="16" t="n">
        <f aca="false">IF(AD154=1,0,MAX(0,AB154+IF(ISNUMBER(Y155),Y155-CUSUM_k,0)))</f>
        <v>0</v>
      </c>
      <c r="AC155" s="16" t="n">
        <f aca="false">IF(AD154=1,0,MAX(0,AC154+IF(ISNUMBER(Y155),-Y155-CUSUM_k,0)))</f>
        <v>2.70610556523389</v>
      </c>
      <c r="AD155" s="17" t="n">
        <f aca="false">IF(OR(AB155&gt;CUSUM_h,AC155&gt;CUSUM_h,AND(ISNUMBER(AA155),AA155&gt;MAE_Tol)),1,0)</f>
        <v>0</v>
      </c>
      <c r="AE155" s="14" t="n">
        <f aca="false">IF(ISNUMBER(X155),IF(X155+Local_Sensing*UHI_Day_Eff&gt;=T_Day,1,0),0)</f>
        <v>0</v>
      </c>
      <c r="AF155" s="17" t="str">
        <f aca="false">IF(NOT(ISNUMBER(X155)),"n/a",IF(AND(AE155=1,N155=1),"Hit",IF(AND(AE155=0,N155=1),"Miss",IF(AND(AE155=1,N155=0),"False alarm","Correct quiet"))))</f>
        <v>Correct quiet</v>
      </c>
      <c r="AG155" s="14" t="n">
        <f aca="false">IF(H155="",0,IF(H155+Climate_Shift&gt;=T_Day,1,0))</f>
        <v>0</v>
      </c>
      <c r="AH155" s="17" t="n">
        <f aca="false">IF(AND(N155=1,AG155=0),1,0)</f>
        <v>0</v>
      </c>
      <c r="AI155" s="17" t="str">
        <f aca="false">IF(U155=1,"ESCALATE: surge health &amp; transport capacity",IF(AD155=1,"Model drift: retrain, recalibrate, raise change request",IF(S155&gt;=2,"Activate heat plan: outreach and cooling centres",IF(AND(E155=1,OR(N155=1,O155=1)),"Data QA: verify sensor before acting",IF(AF155="Miss","Review missed alert: threshold or model",IF(AH155=1,"Equity: local alert not seen at reference station","Monitor"))))))</f>
        <v>Monitor</v>
      </c>
      <c r="AN155" s="58" t="n">
        <f aca="false">T_Day</f>
        <v>28</v>
      </c>
      <c r="AO155" s="58" t="n">
        <f aca="false">Capacity</f>
        <v>40</v>
      </c>
      <c r="AP155" s="58" t="n">
        <f aca="false">CUSUM_h</f>
        <v>15</v>
      </c>
    </row>
    <row r="156" customFormat="false" ht="15" hidden="false" customHeight="false" outlineLevel="0" collapsed="false">
      <c r="A156" s="14" t="n">
        <v>148</v>
      </c>
      <c r="B156" s="14" t="n">
        <f aca="false">2+(SelYear-1979)*153+A156-1</f>
        <v>6728</v>
      </c>
      <c r="C156" s="55" t="n">
        <f aca="false">INDEX(Data_Heathrow!$A:$A,B156)</f>
        <v>44829</v>
      </c>
      <c r="D156" s="16" t="n">
        <f aca="false">INDEX(Data_Heathrow!$E:$E,B156)</f>
        <v>15.7</v>
      </c>
      <c r="E156" s="17" t="n">
        <f aca="false">INDEX(Data_Heathrow!$Q:$Q,B156)</f>
        <v>0</v>
      </c>
      <c r="F156" s="16" t="n">
        <f aca="false">INDEX(Data_Heathrow!$T:$T,B156)</f>
        <v>17.6762597780387</v>
      </c>
      <c r="G156" s="16" t="n">
        <f aca="false">IF(AND(Drift_Rate&lt;&gt;0,A156&gt;=Drift_Start),Drift_Rate*(A156-Drift_Start+1)/30,0)</f>
        <v>0</v>
      </c>
      <c r="H156" s="16" t="n">
        <f aca="false">IF(AND(E156=1,QA_Policy="Exclude suspect"),"",IF(AND(E156=1,QA_Policy="Impute with model",ISNUMBER(F156)),F156,D156)+G156)</f>
        <v>15.7</v>
      </c>
      <c r="I156" s="16" t="n">
        <f aca="false">IF(H156="","",H156+Climate_Shift+UHI_Day_Eff)</f>
        <v>17.7</v>
      </c>
      <c r="J156" s="16" t="n">
        <f aca="false">INDEX(Data_Heathrow!$G:$G,B156)</f>
        <v>8.9</v>
      </c>
      <c r="K156" s="16" t="n">
        <f aca="false">J156+Climate_Shift+UHI_Night_Eff</f>
        <v>12.9</v>
      </c>
      <c r="L156" s="16" t="n">
        <f aca="false">IF(INDEX(Data_Heathrow!$I:$I,B156)="","",INDEX(Data_Heathrow!$I:$I,B156))</f>
        <v>12.8</v>
      </c>
      <c r="M156" s="16" t="n">
        <f aca="false">IF(L156="","",L156+Climate_Shift+(UHI_Day_Eff+UHI_Night_Eff)/2)</f>
        <v>15.8</v>
      </c>
      <c r="N156" s="14" t="n">
        <f aca="false">IF(I156="",0,IF(I156&gt;=T_Day,1,0))</f>
        <v>0</v>
      </c>
      <c r="O156" s="14" t="n">
        <f aca="false">IF(K156&gt;=T_Night,1,0)</f>
        <v>0</v>
      </c>
      <c r="P156" s="14" t="n">
        <f aca="false">IF(N156=1,P155+1,0)</f>
        <v>0</v>
      </c>
      <c r="Q156" s="14" t="n">
        <f aca="false">IF(P156&gt;=HW_Days,1,0)</f>
        <v>0</v>
      </c>
      <c r="R156" s="17" t="str">
        <f aca="false">IF(AND(N156=1,I156&gt;=T_Red,O156=1),"RED",IF(AND(Q156=1,O156=1),"AMBER",IF(OR(N156=1,O156=1),"YELLOW","GREEN")))</f>
        <v>GREEN</v>
      </c>
      <c r="S156" s="14" t="n">
        <f aca="false">IF(R156="RED",3,IF(R156="AMBER",2,IF(R156="YELLOW",1,0)))</f>
        <v>0</v>
      </c>
      <c r="T156" s="16" t="n">
        <f aca="false">MAX(0,T155*(1-Decay)+IF(I156="",0,MAX(0,I156-T_Comfort))-Recovery_Rate*MAX(0,T_Night-K156))</f>
        <v>0</v>
      </c>
      <c r="U156" s="14" t="n">
        <f aca="false">IF(T156&gt;Capacity,1,0)</f>
        <v>0</v>
      </c>
      <c r="V156" s="15" t="n">
        <f aca="false">1/(1+EXP(-Logistic_k*(T156-Capacity)))</f>
        <v>0.00247262315663477</v>
      </c>
      <c r="W156" s="16" t="n">
        <f aca="false">IF(M156="",0,Beta*Pop_Share_Sel*(1-Sens_Red)*MAX(0,M156-T_Mort))</f>
        <v>0</v>
      </c>
      <c r="X156" s="16" t="n">
        <f aca="false">IF(ISNUMBER(F156),F156+Coef_B1*(Climate_Shift+G155),"")</f>
        <v>17.6762597780387</v>
      </c>
      <c r="Y156" s="16" t="n">
        <f aca="false">IF(AND(ISNUMBER(X156),H156&lt;&gt;""),H156+Climate_Shift-X156,"")</f>
        <v>-1.97625977803869</v>
      </c>
      <c r="Z156" s="16" t="n">
        <f aca="false">IF(ISNUMBER(Y156),ABS(Y156),"")</f>
        <v>1.97625977803869</v>
      </c>
      <c r="AA156" s="16" t="n">
        <f aca="false">IF(COUNT(Z150:Z156)=0,"",AVERAGE(Z150:Z156))</f>
        <v>1.40078046775343</v>
      </c>
      <c r="AB156" s="16" t="n">
        <f aca="false">IF(AD155=1,0,MAX(0,AB155+IF(ISNUMBER(Y156),Y156-CUSUM_k,0)))</f>
        <v>0</v>
      </c>
      <c r="AC156" s="16" t="n">
        <f aca="false">IF(AD155=1,0,MAX(0,AC155+IF(ISNUMBER(Y156),-Y156-CUSUM_k,0)))</f>
        <v>3.68236534327259</v>
      </c>
      <c r="AD156" s="17" t="n">
        <f aca="false">IF(OR(AB156&gt;CUSUM_h,AC156&gt;CUSUM_h,AND(ISNUMBER(AA156),AA156&gt;MAE_Tol)),1,0)</f>
        <v>0</v>
      </c>
      <c r="AE156" s="14" t="n">
        <f aca="false">IF(ISNUMBER(X156),IF(X156+Local_Sensing*UHI_Day_Eff&gt;=T_Day,1,0),0)</f>
        <v>0</v>
      </c>
      <c r="AF156" s="17" t="str">
        <f aca="false">IF(NOT(ISNUMBER(X156)),"n/a",IF(AND(AE156=1,N156=1),"Hit",IF(AND(AE156=0,N156=1),"Miss",IF(AND(AE156=1,N156=0),"False alarm","Correct quiet"))))</f>
        <v>Correct quiet</v>
      </c>
      <c r="AG156" s="14" t="n">
        <f aca="false">IF(H156="",0,IF(H156+Climate_Shift&gt;=T_Day,1,0))</f>
        <v>0</v>
      </c>
      <c r="AH156" s="17" t="n">
        <f aca="false">IF(AND(N156=1,AG156=0),1,0)</f>
        <v>0</v>
      </c>
      <c r="AI156" s="17" t="str">
        <f aca="false">IF(U156=1,"ESCALATE: surge health &amp; transport capacity",IF(AD156=1,"Model drift: retrain, recalibrate, raise change request",IF(S156&gt;=2,"Activate heat plan: outreach and cooling centres",IF(AND(E156=1,OR(N156=1,O156=1)),"Data QA: verify sensor before acting",IF(AF156="Miss","Review missed alert: threshold or model",IF(AH156=1,"Equity: local alert not seen at reference station","Monitor"))))))</f>
        <v>Monitor</v>
      </c>
      <c r="AN156" s="58" t="n">
        <f aca="false">T_Day</f>
        <v>28</v>
      </c>
      <c r="AO156" s="58" t="n">
        <f aca="false">Capacity</f>
        <v>40</v>
      </c>
      <c r="AP156" s="58" t="n">
        <f aca="false">CUSUM_h</f>
        <v>15</v>
      </c>
    </row>
    <row r="157" customFormat="false" ht="15" hidden="false" customHeight="false" outlineLevel="0" collapsed="false">
      <c r="A157" s="14" t="n">
        <v>149</v>
      </c>
      <c r="B157" s="14" t="n">
        <f aca="false">2+(SelYear-1979)*153+A157-1</f>
        <v>6729</v>
      </c>
      <c r="C157" s="55" t="n">
        <f aca="false">INDEX(Data_Heathrow!$A:$A,B157)</f>
        <v>44830</v>
      </c>
      <c r="D157" s="16" t="n">
        <f aca="false">INDEX(Data_Heathrow!$E:$E,B157)</f>
        <v>15</v>
      </c>
      <c r="E157" s="17" t="n">
        <f aca="false">INDEX(Data_Heathrow!$Q:$Q,B157)</f>
        <v>0</v>
      </c>
      <c r="F157" s="16" t="n">
        <f aca="false">INDEX(Data_Heathrow!$T:$T,B157)</f>
        <v>16.88829047963</v>
      </c>
      <c r="G157" s="16" t="n">
        <f aca="false">IF(AND(Drift_Rate&lt;&gt;0,A157&gt;=Drift_Start),Drift_Rate*(A157-Drift_Start+1)/30,0)</f>
        <v>0</v>
      </c>
      <c r="H157" s="16" t="n">
        <f aca="false">IF(AND(E157=1,QA_Policy="Exclude suspect"),"",IF(AND(E157=1,QA_Policy="Impute with model",ISNUMBER(F157)),F157,D157)+G157)</f>
        <v>15</v>
      </c>
      <c r="I157" s="16" t="n">
        <f aca="false">IF(H157="","",H157+Climate_Shift+UHI_Day_Eff)</f>
        <v>17</v>
      </c>
      <c r="J157" s="16" t="n">
        <f aca="false">INDEX(Data_Heathrow!$G:$G,B157)</f>
        <v>11.1</v>
      </c>
      <c r="K157" s="16" t="n">
        <f aca="false">J157+Climate_Shift+UHI_Night_Eff</f>
        <v>15.1</v>
      </c>
      <c r="L157" s="16" t="n">
        <f aca="false">IF(INDEX(Data_Heathrow!$I:$I,B157)="","",INDEX(Data_Heathrow!$I:$I,B157))</f>
        <v>13.4</v>
      </c>
      <c r="M157" s="16" t="n">
        <f aca="false">IF(L157="","",L157+Climate_Shift+(UHI_Day_Eff+UHI_Night_Eff)/2)</f>
        <v>16.4</v>
      </c>
      <c r="N157" s="14" t="n">
        <f aca="false">IF(I157="",0,IF(I157&gt;=T_Day,1,0))</f>
        <v>0</v>
      </c>
      <c r="O157" s="14" t="n">
        <f aca="false">IF(K157&gt;=T_Night,1,0)</f>
        <v>0</v>
      </c>
      <c r="P157" s="14" t="n">
        <f aca="false">IF(N157=1,P156+1,0)</f>
        <v>0</v>
      </c>
      <c r="Q157" s="14" t="n">
        <f aca="false">IF(P157&gt;=HW_Days,1,0)</f>
        <v>0</v>
      </c>
      <c r="R157" s="17" t="str">
        <f aca="false">IF(AND(N157=1,I157&gt;=T_Red,O157=1),"RED",IF(AND(Q157=1,O157=1),"AMBER",IF(OR(N157=1,O157=1),"YELLOW","GREEN")))</f>
        <v>GREEN</v>
      </c>
      <c r="S157" s="14" t="n">
        <f aca="false">IF(R157="RED",3,IF(R157="AMBER",2,IF(R157="YELLOW",1,0)))</f>
        <v>0</v>
      </c>
      <c r="T157" s="16" t="n">
        <f aca="false">MAX(0,T156*(1-Decay)+IF(I157="",0,MAX(0,I157-T_Comfort))-Recovery_Rate*MAX(0,T_Night-K157))</f>
        <v>0</v>
      </c>
      <c r="U157" s="14" t="n">
        <f aca="false">IF(T157&gt;Capacity,1,0)</f>
        <v>0</v>
      </c>
      <c r="V157" s="15" t="n">
        <f aca="false">1/(1+EXP(-Logistic_k*(T157-Capacity)))</f>
        <v>0.00247262315663477</v>
      </c>
      <c r="W157" s="16" t="n">
        <f aca="false">IF(M157="",0,Beta*Pop_Share_Sel*(1-Sens_Red)*MAX(0,M157-T_Mort))</f>
        <v>0</v>
      </c>
      <c r="X157" s="16" t="n">
        <f aca="false">IF(ISNUMBER(F157),F157+Coef_B1*(Climate_Shift+G156),"")</f>
        <v>16.88829047963</v>
      </c>
      <c r="Y157" s="16" t="n">
        <f aca="false">IF(AND(ISNUMBER(X157),H157&lt;&gt;""),H157+Climate_Shift-X157,"")</f>
        <v>-1.88829047963002</v>
      </c>
      <c r="Z157" s="16" t="n">
        <f aca="false">IF(ISNUMBER(Y157),ABS(Y157),"")</f>
        <v>1.88829047963002</v>
      </c>
      <c r="AA157" s="16" t="n">
        <f aca="false">IF(COUNT(Z151:Z157)=0,"",AVERAGE(Z151:Z157))</f>
        <v>1.60970321779667</v>
      </c>
      <c r="AB157" s="16" t="n">
        <f aca="false">IF(AD156=1,0,MAX(0,AB156+IF(ISNUMBER(Y157),Y157-CUSUM_k,0)))</f>
        <v>0</v>
      </c>
      <c r="AC157" s="16" t="n">
        <f aca="false">IF(AD156=1,0,MAX(0,AC156+IF(ISNUMBER(Y157),-Y157-CUSUM_k,0)))</f>
        <v>4.57065582290261</v>
      </c>
      <c r="AD157" s="17" t="n">
        <f aca="false">IF(OR(AB157&gt;CUSUM_h,AC157&gt;CUSUM_h,AND(ISNUMBER(AA157),AA157&gt;MAE_Tol)),1,0)</f>
        <v>0</v>
      </c>
      <c r="AE157" s="14" t="n">
        <f aca="false">IF(ISNUMBER(X157),IF(X157+Local_Sensing*UHI_Day_Eff&gt;=T_Day,1,0),0)</f>
        <v>0</v>
      </c>
      <c r="AF157" s="17" t="str">
        <f aca="false">IF(NOT(ISNUMBER(X157)),"n/a",IF(AND(AE157=1,N157=1),"Hit",IF(AND(AE157=0,N157=1),"Miss",IF(AND(AE157=1,N157=0),"False alarm","Correct quiet"))))</f>
        <v>Correct quiet</v>
      </c>
      <c r="AG157" s="14" t="n">
        <f aca="false">IF(H157="",0,IF(H157+Climate_Shift&gt;=T_Day,1,0))</f>
        <v>0</v>
      </c>
      <c r="AH157" s="17" t="n">
        <f aca="false">IF(AND(N157=1,AG157=0),1,0)</f>
        <v>0</v>
      </c>
      <c r="AI157" s="17" t="str">
        <f aca="false">IF(U157=1,"ESCALATE: surge health &amp; transport capacity",IF(AD157=1,"Model drift: retrain, recalibrate, raise change request",IF(S157&gt;=2,"Activate heat plan: outreach and cooling centres",IF(AND(E157=1,OR(N157=1,O157=1)),"Data QA: verify sensor before acting",IF(AF157="Miss","Review missed alert: threshold or model",IF(AH157=1,"Equity: local alert not seen at reference station","Monitor"))))))</f>
        <v>Monitor</v>
      </c>
      <c r="AN157" s="58" t="n">
        <f aca="false">T_Day</f>
        <v>28</v>
      </c>
      <c r="AO157" s="58" t="n">
        <f aca="false">Capacity</f>
        <v>40</v>
      </c>
      <c r="AP157" s="58" t="n">
        <f aca="false">CUSUM_h</f>
        <v>15</v>
      </c>
    </row>
    <row r="158" customFormat="false" ht="15" hidden="false" customHeight="false" outlineLevel="0" collapsed="false">
      <c r="A158" s="14" t="n">
        <v>150</v>
      </c>
      <c r="B158" s="14" t="n">
        <f aca="false">2+(SelYear-1979)*153+A158-1</f>
        <v>6730</v>
      </c>
      <c r="C158" s="55" t="n">
        <f aca="false">INDEX(Data_Heathrow!$A:$A,B158)</f>
        <v>44831</v>
      </c>
      <c r="D158" s="16" t="n">
        <f aca="false">INDEX(Data_Heathrow!$E:$E,B158)</f>
        <v>15.6</v>
      </c>
      <c r="E158" s="17" t="n">
        <f aca="false">INDEX(Data_Heathrow!$Q:$Q,B158)</f>
        <v>0</v>
      </c>
      <c r="F158" s="16" t="n">
        <f aca="false">INDEX(Data_Heathrow!$T:$T,B158)</f>
        <v>15.8504786039171</v>
      </c>
      <c r="G158" s="16" t="n">
        <f aca="false">IF(AND(Drift_Rate&lt;&gt;0,A158&gt;=Drift_Start),Drift_Rate*(A158-Drift_Start+1)/30,0)</f>
        <v>0</v>
      </c>
      <c r="H158" s="16" t="n">
        <f aca="false">IF(AND(E158=1,QA_Policy="Exclude suspect"),"",IF(AND(E158=1,QA_Policy="Impute with model",ISNUMBER(F158)),F158,D158)+G158)</f>
        <v>15.6</v>
      </c>
      <c r="I158" s="16" t="n">
        <f aca="false">IF(H158="","",H158+Climate_Shift+UHI_Day_Eff)</f>
        <v>17.6</v>
      </c>
      <c r="J158" s="16" t="n">
        <f aca="false">INDEX(Data_Heathrow!$G:$G,B158)</f>
        <v>8.6</v>
      </c>
      <c r="K158" s="16" t="n">
        <f aca="false">J158+Climate_Shift+UHI_Night_Eff</f>
        <v>12.6</v>
      </c>
      <c r="L158" s="16" t="n">
        <f aca="false">IF(INDEX(Data_Heathrow!$I:$I,B158)="","",INDEX(Data_Heathrow!$I:$I,B158))</f>
        <v>11.8</v>
      </c>
      <c r="M158" s="16" t="n">
        <f aca="false">IF(L158="","",L158+Climate_Shift+(UHI_Day_Eff+UHI_Night_Eff)/2)</f>
        <v>14.8</v>
      </c>
      <c r="N158" s="14" t="n">
        <f aca="false">IF(I158="",0,IF(I158&gt;=T_Day,1,0))</f>
        <v>0</v>
      </c>
      <c r="O158" s="14" t="n">
        <f aca="false">IF(K158&gt;=T_Night,1,0)</f>
        <v>0</v>
      </c>
      <c r="P158" s="14" t="n">
        <f aca="false">IF(N158=1,P157+1,0)</f>
        <v>0</v>
      </c>
      <c r="Q158" s="14" t="n">
        <f aca="false">IF(P158&gt;=HW_Days,1,0)</f>
        <v>0</v>
      </c>
      <c r="R158" s="17" t="str">
        <f aca="false">IF(AND(N158=1,I158&gt;=T_Red,O158=1),"RED",IF(AND(Q158=1,O158=1),"AMBER",IF(OR(N158=1,O158=1),"YELLOW","GREEN")))</f>
        <v>GREEN</v>
      </c>
      <c r="S158" s="14" t="n">
        <f aca="false">IF(R158="RED",3,IF(R158="AMBER",2,IF(R158="YELLOW",1,0)))</f>
        <v>0</v>
      </c>
      <c r="T158" s="16" t="n">
        <f aca="false">MAX(0,T157*(1-Decay)+IF(I158="",0,MAX(0,I158-T_Comfort))-Recovery_Rate*MAX(0,T_Night-K158))</f>
        <v>0</v>
      </c>
      <c r="U158" s="14" t="n">
        <f aca="false">IF(T158&gt;Capacity,1,0)</f>
        <v>0</v>
      </c>
      <c r="V158" s="15" t="n">
        <f aca="false">1/(1+EXP(-Logistic_k*(T158-Capacity)))</f>
        <v>0.00247262315663477</v>
      </c>
      <c r="W158" s="16" t="n">
        <f aca="false">IF(M158="",0,Beta*Pop_Share_Sel*(1-Sens_Red)*MAX(0,M158-T_Mort))</f>
        <v>0</v>
      </c>
      <c r="X158" s="16" t="n">
        <f aca="false">IF(ISNUMBER(F158),F158+Coef_B1*(Climate_Shift+G157),"")</f>
        <v>15.8504786039171</v>
      </c>
      <c r="Y158" s="16" t="n">
        <f aca="false">IF(AND(ISNUMBER(X158),H158&lt;&gt;""),H158+Climate_Shift-X158,"")</f>
        <v>-0.250478603917118</v>
      </c>
      <c r="Z158" s="16" t="n">
        <f aca="false">IF(ISNUMBER(Y158),ABS(Y158),"")</f>
        <v>0.250478603917118</v>
      </c>
      <c r="AA158" s="16" t="n">
        <f aca="false">IF(COUNT(Z152:Z158)=0,"",AVERAGE(Z152:Z158))</f>
        <v>1.53855523067424</v>
      </c>
      <c r="AB158" s="16" t="n">
        <f aca="false">IF(AD157=1,0,MAX(0,AB157+IF(ISNUMBER(Y158),Y158-CUSUM_k,0)))</f>
        <v>0</v>
      </c>
      <c r="AC158" s="16" t="n">
        <f aca="false">IF(AD157=1,0,MAX(0,AC157+IF(ISNUMBER(Y158),-Y158-CUSUM_k,0)))</f>
        <v>3.82113442681973</v>
      </c>
      <c r="AD158" s="17" t="n">
        <f aca="false">IF(OR(AB158&gt;CUSUM_h,AC158&gt;CUSUM_h,AND(ISNUMBER(AA158),AA158&gt;MAE_Tol)),1,0)</f>
        <v>0</v>
      </c>
      <c r="AE158" s="14" t="n">
        <f aca="false">IF(ISNUMBER(X158),IF(X158+Local_Sensing*UHI_Day_Eff&gt;=T_Day,1,0),0)</f>
        <v>0</v>
      </c>
      <c r="AF158" s="17" t="str">
        <f aca="false">IF(NOT(ISNUMBER(X158)),"n/a",IF(AND(AE158=1,N158=1),"Hit",IF(AND(AE158=0,N158=1),"Miss",IF(AND(AE158=1,N158=0),"False alarm","Correct quiet"))))</f>
        <v>Correct quiet</v>
      </c>
      <c r="AG158" s="14" t="n">
        <f aca="false">IF(H158="",0,IF(H158+Climate_Shift&gt;=T_Day,1,0))</f>
        <v>0</v>
      </c>
      <c r="AH158" s="17" t="n">
        <f aca="false">IF(AND(N158=1,AG158=0),1,0)</f>
        <v>0</v>
      </c>
      <c r="AI158" s="17" t="str">
        <f aca="false">IF(U158=1,"ESCALATE: surge health &amp; transport capacity",IF(AD158=1,"Model drift: retrain, recalibrate, raise change request",IF(S158&gt;=2,"Activate heat plan: outreach and cooling centres",IF(AND(E158=1,OR(N158=1,O158=1)),"Data QA: verify sensor before acting",IF(AF158="Miss","Review missed alert: threshold or model",IF(AH158=1,"Equity: local alert not seen at reference station","Monitor"))))))</f>
        <v>Monitor</v>
      </c>
      <c r="AN158" s="58" t="n">
        <f aca="false">T_Day</f>
        <v>28</v>
      </c>
      <c r="AO158" s="58" t="n">
        <f aca="false">Capacity</f>
        <v>40</v>
      </c>
      <c r="AP158" s="58" t="n">
        <f aca="false">CUSUM_h</f>
        <v>15</v>
      </c>
    </row>
    <row r="159" customFormat="false" ht="15" hidden="false" customHeight="false" outlineLevel="0" collapsed="false">
      <c r="A159" s="14" t="n">
        <v>151</v>
      </c>
      <c r="B159" s="14" t="n">
        <f aca="false">2+(SelYear-1979)*153+A159-1</f>
        <v>6731</v>
      </c>
      <c r="C159" s="55" t="n">
        <f aca="false">INDEX(Data_Heathrow!$A:$A,B159)</f>
        <v>44832</v>
      </c>
      <c r="D159" s="16" t="n">
        <f aca="false">INDEX(Data_Heathrow!$E:$E,B159)</f>
        <v>16.9</v>
      </c>
      <c r="E159" s="17" t="n">
        <f aca="false">INDEX(Data_Heathrow!$Q:$Q,B159)</f>
        <v>0</v>
      </c>
      <c r="F159" s="16" t="n">
        <f aca="false">INDEX(Data_Heathrow!$T:$T,B159)</f>
        <v>16.2918902883283</v>
      </c>
      <c r="G159" s="16" t="n">
        <f aca="false">IF(AND(Drift_Rate&lt;&gt;0,A159&gt;=Drift_Start),Drift_Rate*(A159-Drift_Start+1)/30,0)</f>
        <v>0</v>
      </c>
      <c r="H159" s="16" t="n">
        <f aca="false">IF(AND(E159=1,QA_Policy="Exclude suspect"),"",IF(AND(E159=1,QA_Policy="Impute with model",ISNUMBER(F159)),F159,D159)+G159)</f>
        <v>16.9</v>
      </c>
      <c r="I159" s="16" t="n">
        <f aca="false">IF(H159="","",H159+Climate_Shift+UHI_Day_Eff)</f>
        <v>18.9</v>
      </c>
      <c r="J159" s="16" t="n">
        <f aca="false">INDEX(Data_Heathrow!$G:$G,B159)</f>
        <v>5.2</v>
      </c>
      <c r="K159" s="16" t="n">
        <f aca="false">J159+Climate_Shift+UHI_Night_Eff</f>
        <v>9.2</v>
      </c>
      <c r="L159" s="16" t="n">
        <f aca="false">IF(INDEX(Data_Heathrow!$I:$I,B159)="","",INDEX(Data_Heathrow!$I:$I,B159))</f>
        <v>10.4</v>
      </c>
      <c r="M159" s="16" t="n">
        <f aca="false">IF(L159="","",L159+Climate_Shift+(UHI_Day_Eff+UHI_Night_Eff)/2)</f>
        <v>13.4</v>
      </c>
      <c r="N159" s="14" t="n">
        <f aca="false">IF(I159="",0,IF(I159&gt;=T_Day,1,0))</f>
        <v>0</v>
      </c>
      <c r="O159" s="14" t="n">
        <f aca="false">IF(K159&gt;=T_Night,1,0)</f>
        <v>0</v>
      </c>
      <c r="P159" s="14" t="n">
        <f aca="false">IF(N159=1,P158+1,0)</f>
        <v>0</v>
      </c>
      <c r="Q159" s="14" t="n">
        <f aca="false">IF(P159&gt;=HW_Days,1,0)</f>
        <v>0</v>
      </c>
      <c r="R159" s="17" t="str">
        <f aca="false">IF(AND(N159=1,I159&gt;=T_Red,O159=1),"RED",IF(AND(Q159=1,O159=1),"AMBER",IF(OR(N159=1,O159=1),"YELLOW","GREEN")))</f>
        <v>GREEN</v>
      </c>
      <c r="S159" s="14" t="n">
        <f aca="false">IF(R159="RED",3,IF(R159="AMBER",2,IF(R159="YELLOW",1,0)))</f>
        <v>0</v>
      </c>
      <c r="T159" s="16" t="n">
        <f aca="false">MAX(0,T158*(1-Decay)+IF(I159="",0,MAX(0,I159-T_Comfort))-Recovery_Rate*MAX(0,T_Night-K159))</f>
        <v>0</v>
      </c>
      <c r="U159" s="14" t="n">
        <f aca="false">IF(T159&gt;Capacity,1,0)</f>
        <v>0</v>
      </c>
      <c r="V159" s="15" t="n">
        <f aca="false">1/(1+EXP(-Logistic_k*(T159-Capacity)))</f>
        <v>0.00247262315663477</v>
      </c>
      <c r="W159" s="16" t="n">
        <f aca="false">IF(M159="",0,Beta*Pop_Share_Sel*(1-Sens_Red)*MAX(0,M159-T_Mort))</f>
        <v>0</v>
      </c>
      <c r="X159" s="16" t="n">
        <f aca="false">IF(ISNUMBER(F159),F159+Coef_B1*(Climate_Shift+G158),"")</f>
        <v>16.2918902883283</v>
      </c>
      <c r="Y159" s="16" t="n">
        <f aca="false">IF(AND(ISNUMBER(X159),H159&lt;&gt;""),H159+Climate_Shift-X159,"")</f>
        <v>0.608109711671666</v>
      </c>
      <c r="Z159" s="16" t="n">
        <f aca="false">IF(ISNUMBER(Y159),ABS(Y159),"")</f>
        <v>0.608109711671666</v>
      </c>
      <c r="AA159" s="16" t="n">
        <f aca="false">IF(COUNT(Z153:Z159)=0,"",AVERAGE(Z153:Z159))</f>
        <v>1.48989201978448</v>
      </c>
      <c r="AB159" s="16" t="n">
        <f aca="false">IF(AD158=1,0,MAX(0,AB158+IF(ISNUMBER(Y159),Y159-CUSUM_k,0)))</f>
        <v>0</v>
      </c>
      <c r="AC159" s="16" t="n">
        <f aca="false">IF(AD158=1,0,MAX(0,AC158+IF(ISNUMBER(Y159),-Y159-CUSUM_k,0)))</f>
        <v>2.21302471514806</v>
      </c>
      <c r="AD159" s="17" t="n">
        <f aca="false">IF(OR(AB159&gt;CUSUM_h,AC159&gt;CUSUM_h,AND(ISNUMBER(AA159),AA159&gt;MAE_Tol)),1,0)</f>
        <v>0</v>
      </c>
      <c r="AE159" s="14" t="n">
        <f aca="false">IF(ISNUMBER(X159),IF(X159+Local_Sensing*UHI_Day_Eff&gt;=T_Day,1,0),0)</f>
        <v>0</v>
      </c>
      <c r="AF159" s="17" t="str">
        <f aca="false">IF(NOT(ISNUMBER(X159)),"n/a",IF(AND(AE159=1,N159=1),"Hit",IF(AND(AE159=0,N159=1),"Miss",IF(AND(AE159=1,N159=0),"False alarm","Correct quiet"))))</f>
        <v>Correct quiet</v>
      </c>
      <c r="AG159" s="14" t="n">
        <f aca="false">IF(H159="",0,IF(H159+Climate_Shift&gt;=T_Day,1,0))</f>
        <v>0</v>
      </c>
      <c r="AH159" s="17" t="n">
        <f aca="false">IF(AND(N159=1,AG159=0),1,0)</f>
        <v>0</v>
      </c>
      <c r="AI159" s="17" t="str">
        <f aca="false">IF(U159=1,"ESCALATE: surge health &amp; transport capacity",IF(AD159=1,"Model drift: retrain, recalibrate, raise change request",IF(S159&gt;=2,"Activate heat plan: outreach and cooling centres",IF(AND(E159=1,OR(N159=1,O159=1)),"Data QA: verify sensor before acting",IF(AF159="Miss","Review missed alert: threshold or model",IF(AH159=1,"Equity: local alert not seen at reference station","Monitor"))))))</f>
        <v>Monitor</v>
      </c>
      <c r="AN159" s="58" t="n">
        <f aca="false">T_Day</f>
        <v>28</v>
      </c>
      <c r="AO159" s="58" t="n">
        <f aca="false">Capacity</f>
        <v>40</v>
      </c>
      <c r="AP159" s="58" t="n">
        <f aca="false">CUSUM_h</f>
        <v>15</v>
      </c>
    </row>
    <row r="160" customFormat="false" ht="15" hidden="false" customHeight="false" outlineLevel="0" collapsed="false">
      <c r="A160" s="14" t="n">
        <v>152</v>
      </c>
      <c r="B160" s="14" t="n">
        <f aca="false">2+(SelYear-1979)*153+A160-1</f>
        <v>6732</v>
      </c>
      <c r="C160" s="55" t="n">
        <f aca="false">INDEX(Data_Heathrow!$A:$A,B160)</f>
        <v>44833</v>
      </c>
      <c r="D160" s="16" t="n">
        <f aca="false">INDEX(Data_Heathrow!$E:$E,B160)</f>
        <v>16.7</v>
      </c>
      <c r="E160" s="17" t="n">
        <f aca="false">INDEX(Data_Heathrow!$Q:$Q,B160)</f>
        <v>0</v>
      </c>
      <c r="F160" s="16" t="n">
        <f aca="false">INDEX(Data_Heathrow!$T:$T,B160)</f>
        <v>17.3162503762596</v>
      </c>
      <c r="G160" s="16" t="n">
        <f aca="false">IF(AND(Drift_Rate&lt;&gt;0,A160&gt;=Drift_Start),Drift_Rate*(A160-Drift_Start+1)/30,0)</f>
        <v>0</v>
      </c>
      <c r="H160" s="16" t="n">
        <f aca="false">IF(AND(E160=1,QA_Policy="Exclude suspect"),"",IF(AND(E160=1,QA_Policy="Impute with model",ISNUMBER(F160)),F160,D160)+G160)</f>
        <v>16.7</v>
      </c>
      <c r="I160" s="16" t="n">
        <f aca="false">IF(H160="","",H160+Climate_Shift+UHI_Day_Eff)</f>
        <v>18.7</v>
      </c>
      <c r="J160" s="16" t="n">
        <f aca="false">INDEX(Data_Heathrow!$G:$G,B160)</f>
        <v>5.9</v>
      </c>
      <c r="K160" s="16" t="n">
        <f aca="false">J160+Climate_Shift+UHI_Night_Eff</f>
        <v>9.9</v>
      </c>
      <c r="L160" s="16" t="n">
        <f aca="false">IF(INDEX(Data_Heathrow!$I:$I,B160)="","",INDEX(Data_Heathrow!$I:$I,B160))</f>
        <v>11.4</v>
      </c>
      <c r="M160" s="16" t="n">
        <f aca="false">IF(L160="","",L160+Climate_Shift+(UHI_Day_Eff+UHI_Night_Eff)/2)</f>
        <v>14.4</v>
      </c>
      <c r="N160" s="14" t="n">
        <f aca="false">IF(I160="",0,IF(I160&gt;=T_Day,1,0))</f>
        <v>0</v>
      </c>
      <c r="O160" s="14" t="n">
        <f aca="false">IF(K160&gt;=T_Night,1,0)</f>
        <v>0</v>
      </c>
      <c r="P160" s="14" t="n">
        <f aca="false">IF(N160=1,P159+1,0)</f>
        <v>0</v>
      </c>
      <c r="Q160" s="14" t="n">
        <f aca="false">IF(P160&gt;=HW_Days,1,0)</f>
        <v>0</v>
      </c>
      <c r="R160" s="17" t="str">
        <f aca="false">IF(AND(N160=1,I160&gt;=T_Red,O160=1),"RED",IF(AND(Q160=1,O160=1),"AMBER",IF(OR(N160=1,O160=1),"YELLOW","GREEN")))</f>
        <v>GREEN</v>
      </c>
      <c r="S160" s="14" t="n">
        <f aca="false">IF(R160="RED",3,IF(R160="AMBER",2,IF(R160="YELLOW",1,0)))</f>
        <v>0</v>
      </c>
      <c r="T160" s="16" t="n">
        <f aca="false">MAX(0,T159*(1-Decay)+IF(I160="",0,MAX(0,I160-T_Comfort))-Recovery_Rate*MAX(0,T_Night-K160))</f>
        <v>0</v>
      </c>
      <c r="U160" s="14" t="n">
        <f aca="false">IF(T160&gt;Capacity,1,0)</f>
        <v>0</v>
      </c>
      <c r="V160" s="15" t="n">
        <f aca="false">1/(1+EXP(-Logistic_k*(T160-Capacity)))</f>
        <v>0.00247262315663477</v>
      </c>
      <c r="W160" s="16" t="n">
        <f aca="false">IF(M160="",0,Beta*Pop_Share_Sel*(1-Sens_Red)*MAX(0,M160-T_Mort))</f>
        <v>0</v>
      </c>
      <c r="X160" s="16" t="n">
        <f aca="false">IF(ISNUMBER(F160),F160+Coef_B1*(Climate_Shift+G159),"")</f>
        <v>17.3162503762596</v>
      </c>
      <c r="Y160" s="16" t="n">
        <f aca="false">IF(AND(ISNUMBER(X160),H160&lt;&gt;""),H160+Climate_Shift-X160,"")</f>
        <v>-0.616250376259597</v>
      </c>
      <c r="Z160" s="16" t="n">
        <f aca="false">IF(ISNUMBER(Y160),ABS(Y160),"")</f>
        <v>0.616250376259597</v>
      </c>
      <c r="AA160" s="16" t="n">
        <f aca="false">IF(COUNT(Z154:Z160)=0,"",AVERAGE(Z154:Z160))</f>
        <v>1.24646198002182</v>
      </c>
      <c r="AB160" s="16" t="n">
        <f aca="false">IF(AD159=1,0,MAX(0,AB159+IF(ISNUMBER(Y160),Y160-CUSUM_k,0)))</f>
        <v>0</v>
      </c>
      <c r="AC160" s="16" t="n">
        <f aca="false">IF(AD159=1,0,MAX(0,AC159+IF(ISNUMBER(Y160),-Y160-CUSUM_k,0)))</f>
        <v>1.82927509140766</v>
      </c>
      <c r="AD160" s="17" t="n">
        <f aca="false">IF(OR(AB160&gt;CUSUM_h,AC160&gt;CUSUM_h,AND(ISNUMBER(AA160),AA160&gt;MAE_Tol)),1,0)</f>
        <v>0</v>
      </c>
      <c r="AE160" s="14" t="n">
        <f aca="false">IF(ISNUMBER(X160),IF(X160+Local_Sensing*UHI_Day_Eff&gt;=T_Day,1,0),0)</f>
        <v>0</v>
      </c>
      <c r="AF160" s="17" t="str">
        <f aca="false">IF(NOT(ISNUMBER(X160)),"n/a",IF(AND(AE160=1,N160=1),"Hit",IF(AND(AE160=0,N160=1),"Miss",IF(AND(AE160=1,N160=0),"False alarm","Correct quiet"))))</f>
        <v>Correct quiet</v>
      </c>
      <c r="AG160" s="14" t="n">
        <f aca="false">IF(H160="",0,IF(H160+Climate_Shift&gt;=T_Day,1,0))</f>
        <v>0</v>
      </c>
      <c r="AH160" s="17" t="n">
        <f aca="false">IF(AND(N160=1,AG160=0),1,0)</f>
        <v>0</v>
      </c>
      <c r="AI160" s="17" t="str">
        <f aca="false">IF(U160=1,"ESCALATE: surge health &amp; transport capacity",IF(AD160=1,"Model drift: retrain, recalibrate, raise change request",IF(S160&gt;=2,"Activate heat plan: outreach and cooling centres",IF(AND(E160=1,OR(N160=1,O160=1)),"Data QA: verify sensor before acting",IF(AF160="Miss","Review missed alert: threshold or model",IF(AH160=1,"Equity: local alert not seen at reference station","Monitor"))))))</f>
        <v>Monitor</v>
      </c>
      <c r="AN160" s="58" t="n">
        <f aca="false">T_Day</f>
        <v>28</v>
      </c>
      <c r="AO160" s="58" t="n">
        <f aca="false">Capacity</f>
        <v>40</v>
      </c>
      <c r="AP160" s="58" t="n">
        <f aca="false">CUSUM_h</f>
        <v>15</v>
      </c>
    </row>
    <row r="161" customFormat="false" ht="15" hidden="false" customHeight="false" outlineLevel="0" collapsed="false">
      <c r="A161" s="14" t="n">
        <v>153</v>
      </c>
      <c r="B161" s="14" t="n">
        <f aca="false">2+(SelYear-1979)*153+A161-1</f>
        <v>6733</v>
      </c>
      <c r="C161" s="55" t="n">
        <f aca="false">INDEX(Data_Heathrow!$A:$A,B161)</f>
        <v>44834</v>
      </c>
      <c r="D161" s="16" t="n">
        <f aca="false">INDEX(Data_Heathrow!$E:$E,B161)</f>
        <v>19.4</v>
      </c>
      <c r="E161" s="17" t="n">
        <f aca="false">INDEX(Data_Heathrow!$Q:$Q,B161)</f>
        <v>0</v>
      </c>
      <c r="F161" s="16" t="n">
        <f aca="false">INDEX(Data_Heathrow!$T:$T,B161)</f>
        <v>17.2684511477968</v>
      </c>
      <c r="G161" s="16" t="n">
        <f aca="false">IF(AND(Drift_Rate&lt;&gt;0,A161&gt;=Drift_Start),Drift_Rate*(A161-Drift_Start+1)/30,0)</f>
        <v>0</v>
      </c>
      <c r="H161" s="16" t="n">
        <f aca="false">IF(AND(E161=1,QA_Policy="Exclude suspect"),"",IF(AND(E161=1,QA_Policy="Impute with model",ISNUMBER(F161)),F161,D161)+G161)</f>
        <v>19.4</v>
      </c>
      <c r="I161" s="16" t="n">
        <f aca="false">IF(H161="","",H161+Climate_Shift+UHI_Day_Eff)</f>
        <v>21.4</v>
      </c>
      <c r="J161" s="16" t="n">
        <f aca="false">INDEX(Data_Heathrow!$G:$G,B161)</f>
        <v>7.4</v>
      </c>
      <c r="K161" s="16" t="n">
        <f aca="false">J161+Climate_Shift+UHI_Night_Eff</f>
        <v>11.4</v>
      </c>
      <c r="L161" s="16" t="n">
        <f aca="false">IF(INDEX(Data_Heathrow!$I:$I,B161)="","",INDEX(Data_Heathrow!$I:$I,B161))</f>
        <v>12.1</v>
      </c>
      <c r="M161" s="16" t="n">
        <f aca="false">IF(L161="","",L161+Climate_Shift+(UHI_Day_Eff+UHI_Night_Eff)/2)</f>
        <v>15.1</v>
      </c>
      <c r="N161" s="14" t="n">
        <f aca="false">IF(I161="",0,IF(I161&gt;=T_Day,1,0))</f>
        <v>0</v>
      </c>
      <c r="O161" s="14" t="n">
        <f aca="false">IF(K161&gt;=T_Night,1,0)</f>
        <v>0</v>
      </c>
      <c r="P161" s="14" t="n">
        <f aca="false">IF(N161=1,P160+1,0)</f>
        <v>0</v>
      </c>
      <c r="Q161" s="14" t="n">
        <f aca="false">IF(P161&gt;=HW_Days,1,0)</f>
        <v>0</v>
      </c>
      <c r="R161" s="17" t="str">
        <f aca="false">IF(AND(N161=1,I161&gt;=T_Red,O161=1),"RED",IF(AND(Q161=1,O161=1),"AMBER",IF(OR(N161=1,O161=1),"YELLOW","GREEN")))</f>
        <v>GREEN</v>
      </c>
      <c r="S161" s="14" t="n">
        <f aca="false">IF(R161="RED",3,IF(R161="AMBER",2,IF(R161="YELLOW",1,0)))</f>
        <v>0</v>
      </c>
      <c r="T161" s="16" t="n">
        <f aca="false">MAX(0,T160*(1-Decay)+IF(I161="",0,MAX(0,I161-T_Comfort))-Recovery_Rate*MAX(0,T_Night-K161))</f>
        <v>0</v>
      </c>
      <c r="U161" s="14" t="n">
        <f aca="false">IF(T161&gt;Capacity,1,0)</f>
        <v>0</v>
      </c>
      <c r="V161" s="15" t="n">
        <f aca="false">1/(1+EXP(-Logistic_k*(T161-Capacity)))</f>
        <v>0.00247262315663477</v>
      </c>
      <c r="W161" s="16" t="n">
        <f aca="false">IF(M161="",0,Beta*Pop_Share_Sel*(1-Sens_Red)*MAX(0,M161-T_Mort))</f>
        <v>0</v>
      </c>
      <c r="X161" s="16" t="n">
        <f aca="false">IF(ISNUMBER(F161),F161+Coef_B1*(Climate_Shift+G160),"")</f>
        <v>17.2684511477968</v>
      </c>
      <c r="Y161" s="16" t="n">
        <f aca="false">IF(AND(ISNUMBER(X161),H161&lt;&gt;""),H161+Climate_Shift-X161,"")</f>
        <v>2.13154885220317</v>
      </c>
      <c r="Z161" s="16" t="n">
        <f aca="false">IF(ISNUMBER(Y161),ABS(Y161),"")</f>
        <v>2.13154885220317</v>
      </c>
      <c r="AA161" s="16" t="n">
        <f aca="false">IF(COUNT(Z155:Z161)=0,"",AVERAGE(Z155:Z161))</f>
        <v>1.45573442923546</v>
      </c>
      <c r="AB161" s="16" t="n">
        <f aca="false">IF(AD160=1,0,MAX(0,AB160+IF(ISNUMBER(Y161),Y161-CUSUM_k,0)))</f>
        <v>1.13154885220317</v>
      </c>
      <c r="AC161" s="16" t="n">
        <f aca="false">IF(AD160=1,0,MAX(0,AC160+IF(ISNUMBER(Y161),-Y161-CUSUM_k,0)))</f>
        <v>0</v>
      </c>
      <c r="AD161" s="17" t="n">
        <f aca="false">IF(OR(AB161&gt;CUSUM_h,AC161&gt;CUSUM_h,AND(ISNUMBER(AA161),AA161&gt;MAE_Tol)),1,0)</f>
        <v>0</v>
      </c>
      <c r="AE161" s="14" t="n">
        <f aca="false">IF(ISNUMBER(X161),IF(X161+Local_Sensing*UHI_Day_Eff&gt;=T_Day,1,0),0)</f>
        <v>0</v>
      </c>
      <c r="AF161" s="17" t="str">
        <f aca="false">IF(NOT(ISNUMBER(X161)),"n/a",IF(AND(AE161=1,N161=1),"Hit",IF(AND(AE161=0,N161=1),"Miss",IF(AND(AE161=1,N161=0),"False alarm","Correct quiet"))))</f>
        <v>Correct quiet</v>
      </c>
      <c r="AG161" s="14" t="n">
        <f aca="false">IF(H161="",0,IF(H161+Climate_Shift&gt;=T_Day,1,0))</f>
        <v>0</v>
      </c>
      <c r="AH161" s="17" t="n">
        <f aca="false">IF(AND(N161=1,AG161=0),1,0)</f>
        <v>0</v>
      </c>
      <c r="AI161" s="17" t="str">
        <f aca="false">IF(U161=1,"ESCALATE: surge health &amp; transport capacity",IF(AD161=1,"Model drift: retrain, recalibrate, raise change request",IF(S161&gt;=2,"Activate heat plan: outreach and cooling centres",IF(AND(E161=1,OR(N161=1,O161=1)),"Data QA: verify sensor before acting",IF(AF161="Miss","Review missed alert: threshold or model",IF(AH161=1,"Equity: local alert not seen at reference station","Monitor"))))))</f>
        <v>Monitor</v>
      </c>
      <c r="AN161" s="58" t="n">
        <f aca="false">T_Day</f>
        <v>28</v>
      </c>
      <c r="AO161" s="58" t="n">
        <f aca="false">Capacity</f>
        <v>40</v>
      </c>
      <c r="AP161" s="58" t="n">
        <f aca="false">CUSUM_h</f>
        <v>15</v>
      </c>
    </row>
  </sheetData>
  <mergeCells count="37">
    <mergeCell ref="D3:E3"/>
    <mergeCell ref="F3:G3"/>
    <mergeCell ref="H3:I3"/>
    <mergeCell ref="J3:K3"/>
    <mergeCell ref="L3:M3"/>
    <mergeCell ref="N3:O3"/>
    <mergeCell ref="P3:Q3"/>
    <mergeCell ref="R3:S3"/>
    <mergeCell ref="D4:E4"/>
    <mergeCell ref="F4:G4"/>
    <mergeCell ref="H4:I4"/>
    <mergeCell ref="J4:K4"/>
    <mergeCell ref="L4:M4"/>
    <mergeCell ref="N4:O4"/>
    <mergeCell ref="P4:Q4"/>
    <mergeCell ref="R4:S4"/>
    <mergeCell ref="D5:E5"/>
    <mergeCell ref="F5:G5"/>
    <mergeCell ref="H5:I5"/>
    <mergeCell ref="J5:K5"/>
    <mergeCell ref="L5:M5"/>
    <mergeCell ref="N5:O5"/>
    <mergeCell ref="P5:Q5"/>
    <mergeCell ref="R5:S5"/>
    <mergeCell ref="D6:E6"/>
    <mergeCell ref="F6:G6"/>
    <mergeCell ref="H6:I6"/>
    <mergeCell ref="J6:K6"/>
    <mergeCell ref="L6:M6"/>
    <mergeCell ref="N6:O6"/>
    <mergeCell ref="P6:Q6"/>
    <mergeCell ref="R6:S6"/>
    <mergeCell ref="A7:C7"/>
    <mergeCell ref="D7:M7"/>
    <mergeCell ref="N7:S7"/>
    <mergeCell ref="T7:W7"/>
    <mergeCell ref="X7:AH7"/>
  </mergeCells>
  <conditionalFormatting sqref="R9:R161">
    <cfRule type="cellIs" priority="2" operator="equal" aboveAverage="0" equalAverage="0" bottom="0" percent="0" rank="0" text="" dxfId="0">
      <formula>"RED"</formula>
    </cfRule>
    <cfRule type="cellIs" priority="3" operator="equal" aboveAverage="0" equalAverage="0" bottom="0" percent="0" rank="0" text="" dxfId="2">
      <formula>"AMBER"</formula>
    </cfRule>
    <cfRule type="cellIs" priority="4" operator="equal" aboveAverage="0" equalAverage="0" bottom="0" percent="0" rank="0" text="" dxfId="3">
      <formula>"YELLOW"</formula>
    </cfRule>
    <cfRule type="cellIs" priority="5" operator="equal" aboveAverage="0" equalAverage="0" bottom="0" percent="0" rank="0" text="" dxfId="1">
      <formula>"GREEN"</formula>
    </cfRule>
  </conditionalFormatting>
  <conditionalFormatting sqref="E9:E161">
    <cfRule type="cellIs" priority="6" operator="equal" aboveAverage="0" equalAverage="0" bottom="0" percent="0" rank="0" text="" dxfId="0">
      <formula>1</formula>
    </cfRule>
  </conditionalFormatting>
  <conditionalFormatting sqref="U9:U161">
    <cfRule type="cellIs" priority="7" operator="equal" aboveAverage="0" equalAverage="0" bottom="0" percent="0" rank="0" text="" dxfId="0">
      <formula>1</formula>
    </cfRule>
  </conditionalFormatting>
  <conditionalFormatting sqref="AD9:AD161">
    <cfRule type="cellIs" priority="8" operator="equal" aboveAverage="0" equalAverage="0" bottom="0" percent="0" rank="0" text="" dxfId="0">
      <formula>1</formula>
    </cfRule>
  </conditionalFormatting>
  <conditionalFormatting sqref="AH9:AH161">
    <cfRule type="cellIs" priority="9" operator="equal" aboveAverage="0" equalAverage="0" bottom="0" percent="0" rank="0" text="" dxfId="0">
      <formula>1</formula>
    </cfRule>
  </conditionalFormatting>
  <conditionalFormatting sqref="AF9:AF161">
    <cfRule type="cellIs" priority="10" operator="equal" aboveAverage="0" equalAverage="0" bottom="0" percent="0" rank="0" text="" dxfId="0">
      <formula>"Miss"</formula>
    </cfRule>
  </conditionalFormatting>
  <conditionalFormatting sqref="AI9:AI161">
    <cfRule type="expression" priority="11" aboveAverage="0" equalAverage="0" bottom="0" percent="0" rank="0" text="" dxfId="2">
      <formula>AI9&lt;&gt;"Monitor"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70"/>
  </cols>
  <sheetData>
    <row r="1" customFormat="false" ht="19.7" hidden="false" customHeight="false" outlineLevel="0" collapsed="false">
      <c r="A1" s="1" t="s">
        <v>346</v>
      </c>
    </row>
    <row r="2" customFormat="false" ht="15" hidden="false" customHeight="false" outlineLevel="0" collapsed="false">
      <c r="A2" s="2" t="s">
        <v>347</v>
      </c>
    </row>
    <row r="4" customFormat="false" ht="15" hidden="false" customHeight="false" outlineLevel="0" collapsed="false">
      <c r="B4" s="5" t="s">
        <v>348</v>
      </c>
      <c r="C4" s="6"/>
      <c r="D4" s="6"/>
    </row>
    <row r="5" customFormat="false" ht="15" hidden="false" customHeight="false" outlineLevel="0" collapsed="false">
      <c r="B5" s="14" t="s">
        <v>349</v>
      </c>
      <c r="C5" s="59" t="n">
        <f aca="false">Train_Start</f>
        <v>1979</v>
      </c>
      <c r="D5" s="30" t="s">
        <v>350</v>
      </c>
    </row>
    <row r="6" customFormat="false" ht="15" hidden="false" customHeight="false" outlineLevel="0" collapsed="false">
      <c r="B6" s="14" t="s">
        <v>351</v>
      </c>
      <c r="C6" s="59" t="n">
        <f aca="false">Train_End</f>
        <v>1998</v>
      </c>
      <c r="D6" s="30"/>
    </row>
    <row r="7" customFormat="false" ht="15" hidden="false" customHeight="false" outlineLevel="0" collapsed="false">
      <c r="B7" s="14" t="s">
        <v>352</v>
      </c>
      <c r="C7" s="59" t="n">
        <f aca="false">Retrain_On</f>
        <v>0</v>
      </c>
      <c r="D7" s="30" t="s">
        <v>353</v>
      </c>
    </row>
    <row r="8" customFormat="false" ht="15" hidden="false" customHeight="false" outlineLevel="0" collapsed="false">
      <c r="B8" s="14" t="s">
        <v>354</v>
      </c>
      <c r="C8" s="60" t="n">
        <f aca="false">SUM(Data_Heathrow!$S$2:$S$6886)</f>
        <v>2789</v>
      </c>
      <c r="D8" s="30" t="s">
        <v>355</v>
      </c>
    </row>
    <row r="9" customFormat="false" ht="15" hidden="false" customHeight="false" outlineLevel="0" collapsed="false">
      <c r="B9" s="5" t="s">
        <v>356</v>
      </c>
      <c r="C9" s="6"/>
      <c r="D9" s="6"/>
    </row>
    <row r="10" customFormat="false" ht="15" hidden="false" customHeight="false" outlineLevel="0" collapsed="false">
      <c r="B10" s="14" t="s">
        <v>357</v>
      </c>
      <c r="C10" s="61" t="n">
        <f aca="false">SUMPRODUCT(Data_Heathrow!$S$2:$S$6886,Data_Heathrow!$O$2:$O$6886)</f>
        <v>58016.5</v>
      </c>
      <c r="D10" s="30"/>
    </row>
    <row r="11" customFormat="false" ht="15" hidden="false" customHeight="false" outlineLevel="0" collapsed="false">
      <c r="B11" s="14" t="s">
        <v>358</v>
      </c>
      <c r="C11" s="61" t="n">
        <f aca="false">SUMPRODUCT(Data_Heathrow!$S$2:$S$6886,Data_Heathrow!$P$2:$P$6886)</f>
        <v>2834406.5</v>
      </c>
      <c r="D11" s="30"/>
    </row>
    <row r="12" customFormat="false" ht="15" hidden="false" customHeight="false" outlineLevel="0" collapsed="false">
      <c r="B12" s="14" t="s">
        <v>359</v>
      </c>
      <c r="C12" s="61" t="n">
        <f aca="false">SUMPRODUCT(Data_Heathrow!$S$2:$S$6886,Data_Heathrow!$E$2:$E$6886)</f>
        <v>58600.8</v>
      </c>
      <c r="D12" s="30"/>
    </row>
    <row r="13" customFormat="false" ht="15" hidden="false" customHeight="false" outlineLevel="0" collapsed="false">
      <c r="B13" s="14" t="s">
        <v>360</v>
      </c>
      <c r="C13" s="61" t="n">
        <f aca="false">SUMPRODUCT(Data_Heathrow!$S$2:$S$6886,Data_Heathrow!$O$2:$O$6886,Data_Heathrow!$O$2:$O$6886)</f>
        <v>1254904.29</v>
      </c>
      <c r="D13" s="30"/>
    </row>
    <row r="14" customFormat="false" ht="15" hidden="false" customHeight="false" outlineLevel="0" collapsed="false">
      <c r="B14" s="14" t="s">
        <v>361</v>
      </c>
      <c r="C14" s="61" t="n">
        <f aca="false">SUMPRODUCT(Data_Heathrow!$S$2:$S$6886,Data_Heathrow!$P$2:$P$6886,Data_Heathrow!$P$2:$P$6886)</f>
        <v>2880708243.71</v>
      </c>
      <c r="D14" s="30"/>
    </row>
    <row r="15" customFormat="false" ht="15" hidden="false" customHeight="false" outlineLevel="0" collapsed="false">
      <c r="B15" s="14" t="s">
        <v>362</v>
      </c>
      <c r="C15" s="61" t="n">
        <f aca="false">SUMPRODUCT(Data_Heathrow!$S$2:$S$6886,Data_Heathrow!$O$2:$O$6886,Data_Heathrow!$P$2:$P$6886)</f>
        <v>58991739.81</v>
      </c>
      <c r="D15" s="30"/>
    </row>
    <row r="16" customFormat="false" ht="15" hidden="false" customHeight="false" outlineLevel="0" collapsed="false">
      <c r="B16" s="14" t="s">
        <v>363</v>
      </c>
      <c r="C16" s="61" t="n">
        <f aca="false">SUMPRODUCT(Data_Heathrow!$S$2:$S$6886,Data_Heathrow!$O$2:$O$6886,Data_Heathrow!$E$2:$E$6886)</f>
        <v>1259340.94</v>
      </c>
      <c r="D16" s="30"/>
    </row>
    <row r="17" customFormat="false" ht="15" hidden="false" customHeight="false" outlineLevel="0" collapsed="false">
      <c r="B17" s="14" t="s">
        <v>364</v>
      </c>
      <c r="C17" s="61" t="n">
        <f aca="false">SUMPRODUCT(Data_Heathrow!$S$2:$S$6886,Data_Heathrow!$P$2:$P$6886,Data_Heathrow!$E$2:$E$6886)</f>
        <v>59584900.27</v>
      </c>
      <c r="D17" s="30"/>
    </row>
    <row r="18" customFormat="false" ht="15" hidden="false" customHeight="false" outlineLevel="0" collapsed="false">
      <c r="B18" s="5" t="s">
        <v>365</v>
      </c>
      <c r="C18" s="6"/>
      <c r="D18" s="6"/>
    </row>
    <row r="19" customFormat="false" ht="15" hidden="false" customHeight="false" outlineLevel="0" collapsed="false">
      <c r="B19" s="14" t="s">
        <v>366</v>
      </c>
      <c r="C19" s="62" t="n">
        <f aca="false">C10/C8</f>
        <v>20.8019003226963</v>
      </c>
      <c r="D19" s="30"/>
    </row>
    <row r="20" customFormat="false" ht="15" hidden="false" customHeight="false" outlineLevel="0" collapsed="false">
      <c r="B20" s="14" t="s">
        <v>367</v>
      </c>
      <c r="C20" s="62" t="n">
        <f aca="false">C11/C8</f>
        <v>1016.28056651129</v>
      </c>
      <c r="D20" s="30"/>
    </row>
    <row r="21" customFormat="false" ht="15" hidden="false" customHeight="false" outlineLevel="0" collapsed="false">
      <c r="B21" s="14" t="s">
        <v>368</v>
      </c>
      <c r="C21" s="62" t="n">
        <f aca="false">C12/C8</f>
        <v>21.0114019361778</v>
      </c>
      <c r="D21" s="30"/>
    </row>
    <row r="22" customFormat="false" ht="15" hidden="false" customHeight="false" outlineLevel="0" collapsed="false">
      <c r="B22" s="14" t="s">
        <v>369</v>
      </c>
      <c r="C22" s="63" t="n">
        <f aca="false">C13/C8-C19^2</f>
        <v>17.2286984325169</v>
      </c>
      <c r="D22" s="30"/>
    </row>
    <row r="23" customFormat="false" ht="15" hidden="false" customHeight="false" outlineLevel="0" collapsed="false">
      <c r="B23" s="14" t="s">
        <v>370</v>
      </c>
      <c r="C23" s="63" t="n">
        <f aca="false">C14/C8-C20^2</f>
        <v>55.9340863050893</v>
      </c>
      <c r="D23" s="30"/>
    </row>
    <row r="24" customFormat="false" ht="15" hidden="false" customHeight="false" outlineLevel="0" collapsed="false">
      <c r="B24" s="14" t="s">
        <v>371</v>
      </c>
      <c r="C24" s="63" t="n">
        <f aca="false">C15/C8-C19*C20</f>
        <v>11.0069282888071</v>
      </c>
      <c r="D24" s="30"/>
    </row>
    <row r="25" customFormat="false" ht="15" hidden="false" customHeight="false" outlineLevel="0" collapsed="false">
      <c r="B25" s="14" t="s">
        <v>372</v>
      </c>
      <c r="C25" s="63" t="n">
        <f aca="false">C16/C8-C19*C21</f>
        <v>14.4614340515374</v>
      </c>
      <c r="D25" s="30"/>
    </row>
    <row r="26" customFormat="false" ht="15" hidden="false" customHeight="false" outlineLevel="0" collapsed="false">
      <c r="B26" s="14" t="s">
        <v>373</v>
      </c>
      <c r="C26" s="63" t="n">
        <f aca="false">C17/C8-C20*C21</f>
        <v>10.7730541358687</v>
      </c>
      <c r="D26" s="30"/>
    </row>
    <row r="27" customFormat="false" ht="15" hidden="false" customHeight="false" outlineLevel="0" collapsed="false">
      <c r="B27" s="14" t="s">
        <v>374</v>
      </c>
      <c r="C27" s="63" t="n">
        <f aca="false">C22*C23-C24^2</f>
        <v>842.519034693813</v>
      </c>
      <c r="D27" s="30"/>
    </row>
    <row r="28" customFormat="false" ht="15" hidden="false" customHeight="false" outlineLevel="0" collapsed="false">
      <c r="B28" s="5" t="s">
        <v>375</v>
      </c>
      <c r="C28" s="6"/>
      <c r="D28" s="6"/>
    </row>
    <row r="29" customFormat="false" ht="15" hidden="false" customHeight="false" outlineLevel="0" collapsed="false">
      <c r="B29" s="14" t="s">
        <v>376</v>
      </c>
      <c r="C29" s="63" t="n">
        <f aca="false">(C23*C25-C24*C26)/C27</f>
        <v>0.819339193042658</v>
      </c>
      <c r="D29" s="30" t="s">
        <v>377</v>
      </c>
    </row>
    <row r="30" customFormat="false" ht="15" hidden="false" customHeight="false" outlineLevel="0" collapsed="false">
      <c r="B30" s="14" t="s">
        <v>378</v>
      </c>
      <c r="C30" s="63" t="n">
        <f aca="false">(C22*C26-C24*C25)/C27</f>
        <v>0.0313698946339894</v>
      </c>
      <c r="D30" s="30" t="s">
        <v>379</v>
      </c>
    </row>
    <row r="31" customFormat="false" ht="15" hidden="false" customHeight="false" outlineLevel="0" collapsed="false">
      <c r="B31" s="14" t="s">
        <v>380</v>
      </c>
      <c r="C31" s="63" t="n">
        <f aca="false">C21-C29*C19-C30*C20</f>
        <v>-27.9130245780043</v>
      </c>
      <c r="D31" s="30"/>
    </row>
    <row r="33" customFormat="false" ht="15" hidden="false" customHeight="false" outlineLevel="0" collapsed="false">
      <c r="B33" s="5" t="s">
        <v>381</v>
      </c>
      <c r="C33" s="6"/>
      <c r="D33" s="6"/>
    </row>
    <row r="34" customFormat="false" ht="15" hidden="false" customHeight="false" outlineLevel="0" collapsed="false">
      <c r="B34" s="14" t="s">
        <v>382</v>
      </c>
      <c r="C34" s="64" t="n">
        <f aca="false">IFERROR(SUMPRODUCT(Data_Heathrow!$S$2:$S$6886,Data_Heathrow!$U$2:$U$6886)/C8,0)</f>
        <v>3.24826815379752E-017</v>
      </c>
      <c r="D34" s="30" t="s">
        <v>383</v>
      </c>
    </row>
    <row r="35" customFormat="false" ht="15" hidden="false" customHeight="false" outlineLevel="0" collapsed="false">
      <c r="B35" s="14" t="s">
        <v>384</v>
      </c>
      <c r="C35" s="64" t="n">
        <f aca="false">IFERROR(AVERAGEIFS(Data_Heathrow!$U$2:$U$6886,Data_Heathrow!$B$2:$B$6886,SelYear),"n/a")</f>
        <v>0.535421135074359</v>
      </c>
      <c r="D35" s="30" t="s">
        <v>385</v>
      </c>
    </row>
    <row r="36" customFormat="false" ht="15" hidden="false" customHeight="false" outlineLevel="0" collapsed="false">
      <c r="B36" s="14" t="s">
        <v>386</v>
      </c>
      <c r="C36" s="64" t="n">
        <f aca="false">IFERROR(AVERAGEIFS(Data_Heathrow!$W$2:$W$6886,Data_Heathrow!$B$2:$B$6886,SelYear),"n/a")</f>
        <v>1.88124066343048</v>
      </c>
      <c r="D36" s="30"/>
    </row>
    <row r="37" customFormat="false" ht="15" hidden="false" customHeight="false" outlineLevel="0" collapsed="false">
      <c r="B37" s="14" t="s">
        <v>387</v>
      </c>
      <c r="C37" s="64" t="n">
        <f aca="false">IFERROR(AVERAGEIFS(Data_Heathrow!$W$2:$W$6886,Data_Heathrow!$B$2:$B$6886,SelYear,Data_Heathrow!$E$2:$E$6886,"&gt;="&amp;T_Day),"n/a")</f>
        <v>2.87761958479246</v>
      </c>
      <c r="D37" s="30" t="s">
        <v>388</v>
      </c>
    </row>
    <row r="38" customFormat="false" ht="15" hidden="false" customHeight="false" outlineLevel="0" collapsed="false">
      <c r="B38" s="14" t="s">
        <v>389</v>
      </c>
      <c r="C38" s="64" t="n">
        <f aca="false">IF(AND(SelYear&gt;=Train_Start,SelYear&lt;=Train_End),1,0)</f>
        <v>0</v>
      </c>
      <c r="D38" s="30" t="s">
        <v>390</v>
      </c>
    </row>
    <row r="40" customFormat="false" ht="15" hidden="false" customHeight="true" outlineLevel="0" collapsed="false">
      <c r="B40" s="22" t="s">
        <v>391</v>
      </c>
      <c r="C40" s="22"/>
      <c r="D40" s="22"/>
    </row>
    <row r="41" customFormat="false" ht="15" hidden="false" customHeight="false" outlineLevel="0" collapsed="false">
      <c r="B41" s="22"/>
      <c r="C41" s="22"/>
      <c r="D41" s="22"/>
    </row>
  </sheetData>
  <mergeCells count="1">
    <mergeCell ref="B40: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6" min="3" style="0" width="12"/>
    <col collapsed="false" customWidth="true" hidden="false" outlineLevel="0" max="7" min="7" style="0" width="3"/>
    <col collapsed="false" customWidth="true" hidden="false" outlineLevel="0" max="8" min="8" style="0" width="16"/>
    <col collapsed="false" customWidth="true" hidden="false" outlineLevel="0" max="9" min="9" style="0" width="14"/>
    <col collapsed="false" customWidth="true" hidden="false" outlineLevel="0" max="10" min="10" style="0" width="18"/>
  </cols>
  <sheetData>
    <row r="1" customFormat="false" ht="19.7" hidden="false" customHeight="false" outlineLevel="0" collapsed="false">
      <c r="A1" s="1" t="s">
        <v>392</v>
      </c>
    </row>
    <row r="2" customFormat="false" ht="15" hidden="false" customHeight="false" outlineLevel="0" collapsed="false">
      <c r="A2" s="2" t="s">
        <v>393</v>
      </c>
    </row>
    <row r="4" customFormat="false" ht="15" hidden="false" customHeight="false" outlineLevel="0" collapsed="false">
      <c r="B4" s="5" t="s">
        <v>394</v>
      </c>
      <c r="C4" s="6"/>
      <c r="D4" s="6"/>
      <c r="E4" s="6"/>
      <c r="F4" s="6"/>
      <c r="H4" s="5" t="s">
        <v>395</v>
      </c>
      <c r="I4" s="6"/>
      <c r="J4" s="6"/>
    </row>
    <row r="5" customFormat="false" ht="23.85" hidden="false" customHeight="false" outlineLevel="0" collapsed="false">
      <c r="B5" s="9" t="s">
        <v>396</v>
      </c>
      <c r="C5" s="9" t="s">
        <v>180</v>
      </c>
      <c r="D5" s="9" t="s">
        <v>397</v>
      </c>
      <c r="E5" s="9" t="s">
        <v>398</v>
      </c>
      <c r="F5" s="9" t="s">
        <v>399</v>
      </c>
      <c r="H5" s="9" t="s">
        <v>400</v>
      </c>
      <c r="I5" s="9" t="s">
        <v>401</v>
      </c>
      <c r="J5" s="9" t="s">
        <v>402</v>
      </c>
    </row>
    <row r="6" customFormat="false" ht="15" hidden="false" customHeight="false" outlineLevel="0" collapsed="false">
      <c r="B6" s="20" t="n">
        <v>24</v>
      </c>
      <c r="C6" s="25" t="n">
        <f aca="false">COUNTIFS(Data_Heathrow!$B$2:$B$6886,SelYear,Data_Heathrow!$E$2:$E$6886,"&gt;="&amp;(B6-Climate_Shift-UHI_Day_Eff))</f>
        <v>102</v>
      </c>
      <c r="D6" s="25" t="n">
        <f aca="false">SUMPRODUCT((Data_Heathrow!$B$2:$B$6886=SelYear)*(Data_Heathrow!$R$2:$R$6886=1)*((Data_Heathrow!$E$2:$E$6886+Climate_Shift+UHI_Day_Eff)&gt;=B6)*((Data_Heathrow!$V$2:$V$6886+Coef_B1*Climate_Shift+Local_Sensing*UHI_Day_Eff)&gt;=B6))</f>
        <v>52</v>
      </c>
      <c r="E6" s="25" t="n">
        <f aca="false">SUMPRODUCT((Data_Heathrow!$B$2:$B$6886=SelYear)*(Data_Heathrow!$R$2:$R$6886=1)*((Data_Heathrow!$E$2:$E$6886+Climate_Shift+UHI_Day_Eff)&gt;=B6))</f>
        <v>95</v>
      </c>
      <c r="F6" s="15" t="n">
        <f aca="false">IF(E6=0,"n/a",D6/E6)</f>
        <v>0.547368421052632</v>
      </c>
      <c r="H6" s="65" t="n">
        <v>0</v>
      </c>
      <c r="I6" s="25" t="n">
        <f aca="false">COUNTIFS(Data_Heathrow!$B$2:$B$6886,SelYear,Data_Heathrow!$E$2:$E$6886,"&gt;="&amp;(T_Day-H6-UHI_Day_Eff))</f>
        <v>41</v>
      </c>
      <c r="J6" s="25" t="n">
        <f aca="false">Beta*(1-Sens_Red)*(Equity_Lens!$E$6*SUMPRODUCT((Data_Heathrow!$B$2:$B$6886=SelYear)*(Data_Heathrow!$I$2:$I$6886&lt;&gt;"")*((Data_Heathrow!$I$2:$I$6886+H6+(Equity_Lens!$F$6+Equity_Lens!$G$6)/2-T_Mort)&gt;0)*(Data_Heathrow!$I$2:$I$6886+H6+(Equity_Lens!$F$6+Equity_Lens!$G$6)/2-T_Mort))+Equity_Lens!$E$7*SUMPRODUCT((Data_Heathrow!$B$2:$B$6886=SelYear)*(Data_Heathrow!$I$2:$I$6886&lt;&gt;"")*((Data_Heathrow!$I$2:$I$6886+H6+(Equity_Lens!$F$7+Equity_Lens!$G$7)/2-T_Mort)&gt;0)*(Data_Heathrow!$I$2:$I$6886+H6+(Equity_Lens!$F$7+Equity_Lens!$G$7)/2-T_Mort))+Equity_Lens!$E$8*SUMPRODUCT((Data_Heathrow!$B$2:$B$6886=SelYear)*(Data_Heathrow!$I$2:$I$6886&lt;&gt;"")*((Data_Heathrow!$I$2:$I$6886+H6+(Equity_Lens!$F$8+Equity_Lens!$G$8)/2-T_Mort)&gt;0)*(Data_Heathrow!$I$2:$I$6886+H6+(Equity_Lens!$F$8+Equity_Lens!$G$8)/2-T_Mort))+Equity_Lens!$E$9*SUMPRODUCT((Data_Heathrow!$B$2:$B$6886=SelYear)*(Data_Heathrow!$I$2:$I$6886&lt;&gt;"")*((Data_Heathrow!$I$2:$I$6886+H6+(Equity_Lens!$F$9+Equity_Lens!$G$9)/2-T_Mort)&gt;0)*(Data_Heathrow!$I$2:$I$6886+H6+(Equity_Lens!$F$9+Equity_Lens!$G$9)/2-T_Mort)))</f>
        <v>387</v>
      </c>
    </row>
    <row r="7" customFormat="false" ht="15" hidden="false" customHeight="false" outlineLevel="0" collapsed="false">
      <c r="B7" s="20" t="n">
        <v>25</v>
      </c>
      <c r="C7" s="25" t="n">
        <f aca="false">COUNTIFS(Data_Heathrow!$B$2:$B$6886,SelYear,Data_Heathrow!$E$2:$E$6886,"&gt;="&amp;(B7-Climate_Shift-UHI_Day_Eff))</f>
        <v>83</v>
      </c>
      <c r="D7" s="25" t="n">
        <f aca="false">SUMPRODUCT((Data_Heathrow!$B$2:$B$6886=SelYear)*(Data_Heathrow!$R$2:$R$6886=1)*((Data_Heathrow!$E$2:$E$6886+Climate_Shift+UHI_Day_Eff)&gt;=B7)*((Data_Heathrow!$V$2:$V$6886+Coef_B1*Climate_Shift+Local_Sensing*UHI_Day_Eff)&gt;=B7))</f>
        <v>35</v>
      </c>
      <c r="E7" s="25" t="n">
        <f aca="false">SUMPRODUCT((Data_Heathrow!$B$2:$B$6886=SelYear)*(Data_Heathrow!$R$2:$R$6886=1)*((Data_Heathrow!$E$2:$E$6886+Climate_Shift+UHI_Day_Eff)&gt;=B7))</f>
        <v>78</v>
      </c>
      <c r="F7" s="15" t="n">
        <f aca="false">IF(E7=0,"n/a",D7/E7)</f>
        <v>0.448717948717949</v>
      </c>
      <c r="H7" s="65" t="n">
        <v>0.5</v>
      </c>
      <c r="I7" s="25" t="n">
        <f aca="false">COUNTIFS(Data_Heathrow!$B$2:$B$6886,SelYear,Data_Heathrow!$E$2:$E$6886,"&gt;="&amp;(T_Day-H7-UHI_Day_Eff))</f>
        <v>42</v>
      </c>
      <c r="J7" s="25" t="n">
        <f aca="false">Beta*(1-Sens_Red)*(Equity_Lens!$E$6*SUMPRODUCT((Data_Heathrow!$B$2:$B$6886=SelYear)*(Data_Heathrow!$I$2:$I$6886&lt;&gt;"")*((Data_Heathrow!$I$2:$I$6886+H7+(Equity_Lens!$F$6+Equity_Lens!$G$6)/2-T_Mort)&gt;0)*(Data_Heathrow!$I$2:$I$6886+H7+(Equity_Lens!$F$6+Equity_Lens!$G$6)/2-T_Mort))+Equity_Lens!$E$7*SUMPRODUCT((Data_Heathrow!$B$2:$B$6886=SelYear)*(Data_Heathrow!$I$2:$I$6886&lt;&gt;"")*((Data_Heathrow!$I$2:$I$6886+H7+(Equity_Lens!$F$7+Equity_Lens!$G$7)/2-T_Mort)&gt;0)*(Data_Heathrow!$I$2:$I$6886+H7+(Equity_Lens!$F$7+Equity_Lens!$G$7)/2-T_Mort))+Equity_Lens!$E$8*SUMPRODUCT((Data_Heathrow!$B$2:$B$6886=SelYear)*(Data_Heathrow!$I$2:$I$6886&lt;&gt;"")*((Data_Heathrow!$I$2:$I$6886+H7+(Equity_Lens!$F$8+Equity_Lens!$G$8)/2-T_Mort)&gt;0)*(Data_Heathrow!$I$2:$I$6886+H7+(Equity_Lens!$F$8+Equity_Lens!$G$8)/2-T_Mort))+Equity_Lens!$E$9*SUMPRODUCT((Data_Heathrow!$B$2:$B$6886=SelYear)*(Data_Heathrow!$I$2:$I$6886&lt;&gt;"")*((Data_Heathrow!$I$2:$I$6886+H7+(Equity_Lens!$F$9+Equity_Lens!$G$9)/2-T_Mort)&gt;0)*(Data_Heathrow!$I$2:$I$6886+H7+(Equity_Lens!$F$9+Equity_Lens!$G$9)/2-T_Mort)))</f>
        <v>454.013167336395</v>
      </c>
    </row>
    <row r="8" customFormat="false" ht="15" hidden="false" customHeight="false" outlineLevel="0" collapsed="false">
      <c r="B8" s="20" t="n">
        <v>26</v>
      </c>
      <c r="C8" s="25" t="n">
        <f aca="false">COUNTIFS(Data_Heathrow!$B$2:$B$6886,SelYear,Data_Heathrow!$E$2:$E$6886,"&gt;="&amp;(B8-Climate_Shift-UHI_Day_Eff))</f>
        <v>63</v>
      </c>
      <c r="D8" s="25" t="n">
        <f aca="false">SUMPRODUCT((Data_Heathrow!$B$2:$B$6886=SelYear)*(Data_Heathrow!$R$2:$R$6886=1)*((Data_Heathrow!$E$2:$E$6886+Climate_Shift+UHI_Day_Eff)&gt;=B8)*((Data_Heathrow!$V$2:$V$6886+Coef_B1*Climate_Shift+Local_Sensing*UHI_Day_Eff)&gt;=B8))</f>
        <v>31</v>
      </c>
      <c r="E8" s="25" t="n">
        <f aca="false">SUMPRODUCT((Data_Heathrow!$B$2:$B$6886=SelYear)*(Data_Heathrow!$R$2:$R$6886=1)*((Data_Heathrow!$E$2:$E$6886+Climate_Shift+UHI_Day_Eff)&gt;=B8))</f>
        <v>59</v>
      </c>
      <c r="F8" s="15" t="n">
        <f aca="false">IF(E8=0,"n/a",D8/E8)</f>
        <v>0.525423728813559</v>
      </c>
      <c r="H8" s="65" t="n">
        <v>1</v>
      </c>
      <c r="I8" s="25" t="n">
        <f aca="false">COUNTIFS(Data_Heathrow!$B$2:$B$6886,SelYear,Data_Heathrow!$E$2:$E$6886,"&gt;="&amp;(T_Day-H8-UHI_Day_Eff))</f>
        <v>50</v>
      </c>
      <c r="J8" s="25" t="n">
        <f aca="false">Beta*(1-Sens_Red)*(Equity_Lens!$E$6*SUMPRODUCT((Data_Heathrow!$B$2:$B$6886=SelYear)*(Data_Heathrow!$I$2:$I$6886&lt;&gt;"")*((Data_Heathrow!$I$2:$I$6886+H8+(Equity_Lens!$F$6+Equity_Lens!$G$6)/2-T_Mort)&gt;0)*(Data_Heathrow!$I$2:$I$6886+H8+(Equity_Lens!$F$6+Equity_Lens!$G$6)/2-T_Mort))+Equity_Lens!$E$7*SUMPRODUCT((Data_Heathrow!$B$2:$B$6886=SelYear)*(Data_Heathrow!$I$2:$I$6886&lt;&gt;"")*((Data_Heathrow!$I$2:$I$6886+H8+(Equity_Lens!$F$7+Equity_Lens!$G$7)/2-T_Mort)&gt;0)*(Data_Heathrow!$I$2:$I$6886+H8+(Equity_Lens!$F$7+Equity_Lens!$G$7)/2-T_Mort))+Equity_Lens!$E$8*SUMPRODUCT((Data_Heathrow!$B$2:$B$6886=SelYear)*(Data_Heathrow!$I$2:$I$6886&lt;&gt;"")*((Data_Heathrow!$I$2:$I$6886+H8+(Equity_Lens!$F$8+Equity_Lens!$G$8)/2-T_Mort)&gt;0)*(Data_Heathrow!$I$2:$I$6886+H8+(Equity_Lens!$F$8+Equity_Lens!$G$8)/2-T_Mort))+Equity_Lens!$E$9*SUMPRODUCT((Data_Heathrow!$B$2:$B$6886=SelYear)*(Data_Heathrow!$I$2:$I$6886&lt;&gt;"")*((Data_Heathrow!$I$2:$I$6886+H8+(Equity_Lens!$F$9+Equity_Lens!$G$9)/2-T_Mort)&gt;0)*(Data_Heathrow!$I$2:$I$6886+H8+(Equity_Lens!$F$9+Equity_Lens!$G$9)/2-T_Mort)))</f>
        <v>527.718857634902</v>
      </c>
    </row>
    <row r="9" customFormat="false" ht="15" hidden="false" customHeight="false" outlineLevel="0" collapsed="false">
      <c r="B9" s="20" t="n">
        <v>27</v>
      </c>
      <c r="C9" s="25" t="n">
        <f aca="false">COUNTIFS(Data_Heathrow!$B$2:$B$6886,SelYear,Data_Heathrow!$E$2:$E$6886,"&gt;="&amp;(B9-Climate_Shift-UHI_Day_Eff))</f>
        <v>50</v>
      </c>
      <c r="D9" s="25" t="n">
        <f aca="false">SUMPRODUCT((Data_Heathrow!$B$2:$B$6886=SelYear)*(Data_Heathrow!$R$2:$R$6886=1)*((Data_Heathrow!$E$2:$E$6886+Climate_Shift+UHI_Day_Eff)&gt;=B9)*((Data_Heathrow!$V$2:$V$6886+Coef_B1*Climate_Shift+Local_Sensing*UHI_Day_Eff)&gt;=B9))</f>
        <v>17</v>
      </c>
      <c r="E9" s="25" t="n">
        <f aca="false">SUMPRODUCT((Data_Heathrow!$B$2:$B$6886=SelYear)*(Data_Heathrow!$R$2:$R$6886=1)*((Data_Heathrow!$E$2:$E$6886+Climate_Shift+UHI_Day_Eff)&gt;=B9))</f>
        <v>48</v>
      </c>
      <c r="F9" s="15" t="n">
        <f aca="false">IF(E9=0,"n/a",D9/E9)</f>
        <v>0.354166666666667</v>
      </c>
      <c r="H9" s="65" t="n">
        <v>1.5</v>
      </c>
      <c r="I9" s="25" t="n">
        <f aca="false">COUNTIFS(Data_Heathrow!$B$2:$B$6886,SelYear,Data_Heathrow!$E$2:$E$6886,"&gt;="&amp;(T_Day-H9-UHI_Day_Eff))</f>
        <v>57</v>
      </c>
      <c r="J9" s="25" t="n">
        <f aca="false">Beta*(1-Sens_Red)*(Equity_Lens!$E$6*SUMPRODUCT((Data_Heathrow!$B$2:$B$6886=SelYear)*(Data_Heathrow!$I$2:$I$6886&lt;&gt;"")*((Data_Heathrow!$I$2:$I$6886+H9+(Equity_Lens!$F$6+Equity_Lens!$G$6)/2-T_Mort)&gt;0)*(Data_Heathrow!$I$2:$I$6886+H9+(Equity_Lens!$F$6+Equity_Lens!$G$6)/2-T_Mort))+Equity_Lens!$E$7*SUMPRODUCT((Data_Heathrow!$B$2:$B$6886=SelYear)*(Data_Heathrow!$I$2:$I$6886&lt;&gt;"")*((Data_Heathrow!$I$2:$I$6886+H9+(Equity_Lens!$F$7+Equity_Lens!$G$7)/2-T_Mort)&gt;0)*(Data_Heathrow!$I$2:$I$6886+H9+(Equity_Lens!$F$7+Equity_Lens!$G$7)/2-T_Mort))+Equity_Lens!$E$8*SUMPRODUCT((Data_Heathrow!$B$2:$B$6886=SelYear)*(Data_Heathrow!$I$2:$I$6886&lt;&gt;"")*((Data_Heathrow!$I$2:$I$6886+H9+(Equity_Lens!$F$8+Equity_Lens!$G$8)/2-T_Mort)&gt;0)*(Data_Heathrow!$I$2:$I$6886+H9+(Equity_Lens!$F$8+Equity_Lens!$G$8)/2-T_Mort))+Equity_Lens!$E$9*SUMPRODUCT((Data_Heathrow!$B$2:$B$6886=SelYear)*(Data_Heathrow!$I$2:$I$6886&lt;&gt;"")*((Data_Heathrow!$I$2:$I$6886+H9+(Equity_Lens!$F$9+Equity_Lens!$G$9)/2-T_Mort)&gt;0)*(Data_Heathrow!$I$2:$I$6886+H9+(Equity_Lens!$F$9+Equity_Lens!$G$9)/2-T_Mort)))</f>
        <v>607.885655855339</v>
      </c>
    </row>
    <row r="10" customFormat="false" ht="15" hidden="false" customHeight="false" outlineLevel="0" collapsed="false">
      <c r="B10" s="20" t="n">
        <v>28</v>
      </c>
      <c r="C10" s="25" t="n">
        <f aca="false">COUNTIFS(Data_Heathrow!$B$2:$B$6886,SelYear,Data_Heathrow!$E$2:$E$6886,"&gt;="&amp;(B10-Climate_Shift-UHI_Day_Eff))</f>
        <v>41</v>
      </c>
      <c r="D10" s="25" t="n">
        <f aca="false">SUMPRODUCT((Data_Heathrow!$B$2:$B$6886=SelYear)*(Data_Heathrow!$R$2:$R$6886=1)*((Data_Heathrow!$E$2:$E$6886+Climate_Shift+UHI_Day_Eff)&gt;=B10)*((Data_Heathrow!$V$2:$V$6886+Coef_B1*Climate_Shift+Local_Sensing*UHI_Day_Eff)&gt;=B10))</f>
        <v>14</v>
      </c>
      <c r="E10" s="25" t="n">
        <f aca="false">SUMPRODUCT((Data_Heathrow!$B$2:$B$6886=SelYear)*(Data_Heathrow!$R$2:$R$6886=1)*((Data_Heathrow!$E$2:$E$6886+Climate_Shift+UHI_Day_Eff)&gt;=B10))</f>
        <v>40</v>
      </c>
      <c r="F10" s="15" t="n">
        <f aca="false">IF(E10=0,"n/a",D10/E10)</f>
        <v>0.35</v>
      </c>
      <c r="H10" s="65" t="n">
        <v>2</v>
      </c>
      <c r="I10" s="25" t="n">
        <f aca="false">COUNTIFS(Data_Heathrow!$B$2:$B$6886,SelYear,Data_Heathrow!$E$2:$E$6886,"&gt;="&amp;(T_Day-H10-UHI_Day_Eff))</f>
        <v>63</v>
      </c>
      <c r="J10" s="25" t="n">
        <f aca="false">Beta*(1-Sens_Red)*(Equity_Lens!$E$6*SUMPRODUCT((Data_Heathrow!$B$2:$B$6886=SelYear)*(Data_Heathrow!$I$2:$I$6886&lt;&gt;"")*((Data_Heathrow!$I$2:$I$6886+H10+(Equity_Lens!$F$6+Equity_Lens!$G$6)/2-T_Mort)&gt;0)*(Data_Heathrow!$I$2:$I$6886+H10+(Equity_Lens!$F$6+Equity_Lens!$G$6)/2-T_Mort))+Equity_Lens!$E$7*SUMPRODUCT((Data_Heathrow!$B$2:$B$6886=SelYear)*(Data_Heathrow!$I$2:$I$6886&lt;&gt;"")*((Data_Heathrow!$I$2:$I$6886+H10+(Equity_Lens!$F$7+Equity_Lens!$G$7)/2-T_Mort)&gt;0)*(Data_Heathrow!$I$2:$I$6886+H10+(Equity_Lens!$F$7+Equity_Lens!$G$7)/2-T_Mort))+Equity_Lens!$E$8*SUMPRODUCT((Data_Heathrow!$B$2:$B$6886=SelYear)*(Data_Heathrow!$I$2:$I$6886&lt;&gt;"")*((Data_Heathrow!$I$2:$I$6886+H10+(Equity_Lens!$F$8+Equity_Lens!$G$8)/2-T_Mort)&gt;0)*(Data_Heathrow!$I$2:$I$6886+H10+(Equity_Lens!$F$8+Equity_Lens!$G$8)/2-T_Mort))+Equity_Lens!$E$9*SUMPRODUCT((Data_Heathrow!$B$2:$B$6886=SelYear)*(Data_Heathrow!$I$2:$I$6886&lt;&gt;"")*((Data_Heathrow!$I$2:$I$6886+H10+(Equity_Lens!$F$9+Equity_Lens!$G$9)/2-T_Mort)&gt;0)*(Data_Heathrow!$I$2:$I$6886+H10+(Equity_Lens!$F$9+Equity_Lens!$G$9)/2-T_Mort)))</f>
        <v>694.717207233065</v>
      </c>
    </row>
    <row r="11" customFormat="false" ht="15" hidden="false" customHeight="false" outlineLevel="0" collapsed="false">
      <c r="B11" s="20" t="n">
        <v>29</v>
      </c>
      <c r="C11" s="25" t="n">
        <f aca="false">COUNTIFS(Data_Heathrow!$B$2:$B$6886,SelYear,Data_Heathrow!$E$2:$E$6886,"&gt;="&amp;(B11-Climate_Shift-UHI_Day_Eff))</f>
        <v>35</v>
      </c>
      <c r="D11" s="25" t="n">
        <f aca="false">SUMPRODUCT((Data_Heathrow!$B$2:$B$6886=SelYear)*(Data_Heathrow!$R$2:$R$6886=1)*((Data_Heathrow!$E$2:$E$6886+Climate_Shift+UHI_Day_Eff)&gt;=B11)*((Data_Heathrow!$V$2:$V$6886+Coef_B1*Climate_Shift+Local_Sensing*UHI_Day_Eff)&gt;=B11))</f>
        <v>9</v>
      </c>
      <c r="E11" s="25" t="n">
        <f aca="false">SUMPRODUCT((Data_Heathrow!$B$2:$B$6886=SelYear)*(Data_Heathrow!$R$2:$R$6886=1)*((Data_Heathrow!$E$2:$E$6886+Climate_Shift+UHI_Day_Eff)&gt;=B11))</f>
        <v>34</v>
      </c>
      <c r="F11" s="15" t="n">
        <f aca="false">IF(E11=0,"n/a",D11/E11)</f>
        <v>0.264705882352941</v>
      </c>
      <c r="H11" s="65" t="n">
        <v>2.5</v>
      </c>
      <c r="I11" s="25" t="n">
        <f aca="false">COUNTIFS(Data_Heathrow!$B$2:$B$6886,SelYear,Data_Heathrow!$E$2:$E$6886,"&gt;="&amp;(T_Day-H11-UHI_Day_Eff))</f>
        <v>70</v>
      </c>
      <c r="J11" s="25" t="n">
        <f aca="false">Beta*(1-Sens_Red)*(Equity_Lens!$E$6*SUMPRODUCT((Data_Heathrow!$B$2:$B$6886=SelYear)*(Data_Heathrow!$I$2:$I$6886&lt;&gt;"")*((Data_Heathrow!$I$2:$I$6886+H11+(Equity_Lens!$F$6+Equity_Lens!$G$6)/2-T_Mort)&gt;0)*(Data_Heathrow!$I$2:$I$6886+H11+(Equity_Lens!$F$6+Equity_Lens!$G$6)/2-T_Mort))+Equity_Lens!$E$7*SUMPRODUCT((Data_Heathrow!$B$2:$B$6886=SelYear)*(Data_Heathrow!$I$2:$I$6886&lt;&gt;"")*((Data_Heathrow!$I$2:$I$6886+H11+(Equity_Lens!$F$7+Equity_Lens!$G$7)/2-T_Mort)&gt;0)*(Data_Heathrow!$I$2:$I$6886+H11+(Equity_Lens!$F$7+Equity_Lens!$G$7)/2-T_Mort))+Equity_Lens!$E$8*SUMPRODUCT((Data_Heathrow!$B$2:$B$6886=SelYear)*(Data_Heathrow!$I$2:$I$6886&lt;&gt;"")*((Data_Heathrow!$I$2:$I$6886+H11+(Equity_Lens!$F$8+Equity_Lens!$G$8)/2-T_Mort)&gt;0)*(Data_Heathrow!$I$2:$I$6886+H11+(Equity_Lens!$F$8+Equity_Lens!$G$8)/2-T_Mort))+Equity_Lens!$E$9*SUMPRODUCT((Data_Heathrow!$B$2:$B$6886=SelYear)*(Data_Heathrow!$I$2:$I$6886&lt;&gt;"")*((Data_Heathrow!$I$2:$I$6886+H11+(Equity_Lens!$F$9+Equity_Lens!$G$9)/2-T_Mort)&gt;0)*(Data_Heathrow!$I$2:$I$6886+H11+(Equity_Lens!$F$9+Equity_Lens!$G$9)/2-T_Mort)))</f>
        <v>790.106486796785</v>
      </c>
    </row>
    <row r="12" customFormat="false" ht="15" hidden="false" customHeight="false" outlineLevel="0" collapsed="false">
      <c r="B12" s="20" t="n">
        <v>30</v>
      </c>
      <c r="C12" s="25" t="n">
        <f aca="false">COUNTIFS(Data_Heathrow!$B$2:$B$6886,SelYear,Data_Heathrow!$E$2:$E$6886,"&gt;="&amp;(B12-Climate_Shift-UHI_Day_Eff))</f>
        <v>22</v>
      </c>
      <c r="D12" s="25" t="n">
        <f aca="false">SUMPRODUCT((Data_Heathrow!$B$2:$B$6886=SelYear)*(Data_Heathrow!$R$2:$R$6886=1)*((Data_Heathrow!$E$2:$E$6886+Climate_Shift+UHI_Day_Eff)&gt;=B12)*((Data_Heathrow!$V$2:$V$6886+Coef_B1*Climate_Shift+Local_Sensing*UHI_Day_Eff)&gt;=B12))</f>
        <v>6</v>
      </c>
      <c r="E12" s="25" t="n">
        <f aca="false">SUMPRODUCT((Data_Heathrow!$B$2:$B$6886=SelYear)*(Data_Heathrow!$R$2:$R$6886=1)*((Data_Heathrow!$E$2:$E$6886+Climate_Shift+UHI_Day_Eff)&gt;=B12))</f>
        <v>22</v>
      </c>
      <c r="F12" s="15" t="n">
        <f aca="false">IF(E12=0,"n/a",D12/E12)</f>
        <v>0.272727272727273</v>
      </c>
      <c r="H12" s="65" t="n">
        <v>3</v>
      </c>
      <c r="I12" s="25" t="n">
        <f aca="false">COUNTIFS(Data_Heathrow!$B$2:$B$6886,SelYear,Data_Heathrow!$E$2:$E$6886,"&gt;="&amp;(T_Day-H12-UHI_Day_Eff))</f>
        <v>83</v>
      </c>
      <c r="J12" s="25" t="n">
        <f aca="false">Beta*(1-Sens_Red)*(Equity_Lens!$E$6*SUMPRODUCT((Data_Heathrow!$B$2:$B$6886=SelYear)*(Data_Heathrow!$I$2:$I$6886&lt;&gt;"")*((Data_Heathrow!$I$2:$I$6886+H12+(Equity_Lens!$F$6+Equity_Lens!$G$6)/2-T_Mort)&gt;0)*(Data_Heathrow!$I$2:$I$6886+H12+(Equity_Lens!$F$6+Equity_Lens!$G$6)/2-T_Mort))+Equity_Lens!$E$7*SUMPRODUCT((Data_Heathrow!$B$2:$B$6886=SelYear)*(Data_Heathrow!$I$2:$I$6886&lt;&gt;"")*((Data_Heathrow!$I$2:$I$6886+H12+(Equity_Lens!$F$7+Equity_Lens!$G$7)/2-T_Mort)&gt;0)*(Data_Heathrow!$I$2:$I$6886+H12+(Equity_Lens!$F$7+Equity_Lens!$G$7)/2-T_Mort))+Equity_Lens!$E$8*SUMPRODUCT((Data_Heathrow!$B$2:$B$6886=SelYear)*(Data_Heathrow!$I$2:$I$6886&lt;&gt;"")*((Data_Heathrow!$I$2:$I$6886+H12+(Equity_Lens!$F$8+Equity_Lens!$G$8)/2-T_Mort)&gt;0)*(Data_Heathrow!$I$2:$I$6886+H12+(Equity_Lens!$F$8+Equity_Lens!$G$8)/2-T_Mort))+Equity_Lens!$E$9*SUMPRODUCT((Data_Heathrow!$B$2:$B$6886=SelYear)*(Data_Heathrow!$I$2:$I$6886&lt;&gt;"")*((Data_Heathrow!$I$2:$I$6886+H12+(Equity_Lens!$F$9+Equity_Lens!$G$9)/2-T_Mort)&gt;0)*(Data_Heathrow!$I$2:$I$6886+H12+(Equity_Lens!$F$9+Equity_Lens!$G$9)/2-T_Mort)))</f>
        <v>891.628264925373</v>
      </c>
    </row>
    <row r="13" customFormat="false" ht="15" hidden="false" customHeight="false" outlineLevel="0" collapsed="false">
      <c r="B13" s="20" t="n">
        <v>31</v>
      </c>
      <c r="C13" s="25" t="n">
        <f aca="false">COUNTIFS(Data_Heathrow!$B$2:$B$6886,SelYear,Data_Heathrow!$E$2:$E$6886,"&gt;="&amp;(B13-Climate_Shift-UHI_Day_Eff))</f>
        <v>19</v>
      </c>
      <c r="D13" s="25" t="n">
        <f aca="false">SUMPRODUCT((Data_Heathrow!$B$2:$B$6886=SelYear)*(Data_Heathrow!$R$2:$R$6886=1)*((Data_Heathrow!$E$2:$E$6886+Climate_Shift+UHI_Day_Eff)&gt;=B13)*((Data_Heathrow!$V$2:$V$6886+Coef_B1*Climate_Shift+Local_Sensing*UHI_Day_Eff)&gt;=B13))</f>
        <v>5</v>
      </c>
      <c r="E13" s="25" t="n">
        <f aca="false">SUMPRODUCT((Data_Heathrow!$B$2:$B$6886=SelYear)*(Data_Heathrow!$R$2:$R$6886=1)*((Data_Heathrow!$E$2:$E$6886+Climate_Shift+UHI_Day_Eff)&gt;=B13))</f>
        <v>19</v>
      </c>
      <c r="F13" s="15" t="n">
        <f aca="false">IF(E13=0,"n/a",D13/E13)</f>
        <v>0.263157894736842</v>
      </c>
      <c r="H13" s="65" t="n">
        <v>3.5</v>
      </c>
      <c r="I13" s="25" t="n">
        <f aca="false">COUNTIFS(Data_Heathrow!$B$2:$B$6886,SelYear,Data_Heathrow!$E$2:$E$6886,"&gt;="&amp;(T_Day-H13-UHI_Day_Eff))</f>
        <v>90</v>
      </c>
      <c r="J13" s="25" t="n">
        <f aca="false">Beta*(1-Sens_Red)*(Equity_Lens!$E$6*SUMPRODUCT((Data_Heathrow!$B$2:$B$6886=SelYear)*(Data_Heathrow!$I$2:$I$6886&lt;&gt;"")*((Data_Heathrow!$I$2:$I$6886+H13+(Equity_Lens!$F$6+Equity_Lens!$G$6)/2-T_Mort)&gt;0)*(Data_Heathrow!$I$2:$I$6886+H13+(Equity_Lens!$F$6+Equity_Lens!$G$6)/2-T_Mort))+Equity_Lens!$E$7*SUMPRODUCT((Data_Heathrow!$B$2:$B$6886=SelYear)*(Data_Heathrow!$I$2:$I$6886&lt;&gt;"")*((Data_Heathrow!$I$2:$I$6886+H13+(Equity_Lens!$F$7+Equity_Lens!$G$7)/2-T_Mort)&gt;0)*(Data_Heathrow!$I$2:$I$6886+H13+(Equity_Lens!$F$7+Equity_Lens!$G$7)/2-T_Mort))+Equity_Lens!$E$8*SUMPRODUCT((Data_Heathrow!$B$2:$B$6886=SelYear)*(Data_Heathrow!$I$2:$I$6886&lt;&gt;"")*((Data_Heathrow!$I$2:$I$6886+H13+(Equity_Lens!$F$8+Equity_Lens!$G$8)/2-T_Mort)&gt;0)*(Data_Heathrow!$I$2:$I$6886+H13+(Equity_Lens!$F$8+Equity_Lens!$G$8)/2-T_Mort))+Equity_Lens!$E$9*SUMPRODUCT((Data_Heathrow!$B$2:$B$6886=SelYear)*(Data_Heathrow!$I$2:$I$6886&lt;&gt;"")*((Data_Heathrow!$I$2:$I$6886+H13+(Equity_Lens!$F$9+Equity_Lens!$G$9)/2-T_Mort)&gt;0)*(Data_Heathrow!$I$2:$I$6886+H13+(Equity_Lens!$F$9+Equity_Lens!$G$9)/2-T_Mort)))</f>
        <v>999.328824626866</v>
      </c>
    </row>
    <row r="14" customFormat="false" ht="15" hidden="false" customHeight="false" outlineLevel="0" collapsed="false">
      <c r="B14" s="20" t="n">
        <v>32</v>
      </c>
      <c r="C14" s="25" t="n">
        <f aca="false">COUNTIFS(Data_Heathrow!$B$2:$B$6886,SelYear,Data_Heathrow!$E$2:$E$6886,"&gt;="&amp;(B14-Climate_Shift-UHI_Day_Eff))</f>
        <v>11</v>
      </c>
      <c r="D14" s="25" t="n">
        <f aca="false">SUMPRODUCT((Data_Heathrow!$B$2:$B$6886=SelYear)*(Data_Heathrow!$R$2:$R$6886=1)*((Data_Heathrow!$E$2:$E$6886+Climate_Shift+UHI_Day_Eff)&gt;=B14)*((Data_Heathrow!$V$2:$V$6886+Coef_B1*Climate_Shift+Local_Sensing*UHI_Day_Eff)&gt;=B14))</f>
        <v>2</v>
      </c>
      <c r="E14" s="25" t="n">
        <f aca="false">SUMPRODUCT((Data_Heathrow!$B$2:$B$6886=SelYear)*(Data_Heathrow!$R$2:$R$6886=1)*((Data_Heathrow!$E$2:$E$6886+Climate_Shift+UHI_Day_Eff)&gt;=B14))</f>
        <v>11</v>
      </c>
      <c r="F14" s="15" t="n">
        <f aca="false">IF(E14=0,"n/a",D14/E14)</f>
        <v>0.181818181818182</v>
      </c>
      <c r="H14" s="65" t="n">
        <v>4</v>
      </c>
      <c r="I14" s="25" t="n">
        <f aca="false">COUNTIFS(Data_Heathrow!$B$2:$B$6886,SelYear,Data_Heathrow!$E$2:$E$6886,"&gt;="&amp;(T_Day-H14-UHI_Day_Eff))</f>
        <v>102</v>
      </c>
      <c r="J14" s="25" t="n">
        <f aca="false">Beta*(1-Sens_Red)*(Equity_Lens!$E$6*SUMPRODUCT((Data_Heathrow!$B$2:$B$6886=SelYear)*(Data_Heathrow!$I$2:$I$6886&lt;&gt;"")*((Data_Heathrow!$I$2:$I$6886+H14+(Equity_Lens!$F$6+Equity_Lens!$G$6)/2-T_Mort)&gt;0)*(Data_Heathrow!$I$2:$I$6886+H14+(Equity_Lens!$F$6+Equity_Lens!$G$6)/2-T_Mort))+Equity_Lens!$E$7*SUMPRODUCT((Data_Heathrow!$B$2:$B$6886=SelYear)*(Data_Heathrow!$I$2:$I$6886&lt;&gt;"")*((Data_Heathrow!$I$2:$I$6886+H14+(Equity_Lens!$F$7+Equity_Lens!$G$7)/2-T_Mort)&gt;0)*(Data_Heathrow!$I$2:$I$6886+H14+(Equity_Lens!$F$7+Equity_Lens!$G$7)/2-T_Mort))+Equity_Lens!$E$8*SUMPRODUCT((Data_Heathrow!$B$2:$B$6886=SelYear)*(Data_Heathrow!$I$2:$I$6886&lt;&gt;"")*((Data_Heathrow!$I$2:$I$6886+H14+(Equity_Lens!$F$8+Equity_Lens!$G$8)/2-T_Mort)&gt;0)*(Data_Heathrow!$I$2:$I$6886+H14+(Equity_Lens!$F$8+Equity_Lens!$G$8)/2-T_Mort))+Equity_Lens!$E$9*SUMPRODUCT((Data_Heathrow!$B$2:$B$6886=SelYear)*(Data_Heathrow!$I$2:$I$6886&lt;&gt;"")*((Data_Heathrow!$I$2:$I$6886+H14+(Equity_Lens!$F$9+Equity_Lens!$G$9)/2-T_Mort)&gt;0)*(Data_Heathrow!$I$2:$I$6886+H14+(Equity_Lens!$F$9+Equity_Lens!$G$9)/2-T_Mort)))</f>
        <v>1113.18502439724</v>
      </c>
    </row>
    <row r="15" customFormat="false" ht="15" hidden="false" customHeight="false" outlineLevel="0" collapsed="false">
      <c r="B15" s="20" t="n">
        <v>33</v>
      </c>
      <c r="C15" s="25" t="n">
        <f aca="false">COUNTIFS(Data_Heathrow!$B$2:$B$6886,SelYear,Data_Heathrow!$E$2:$E$6886,"&gt;="&amp;(B15-Climate_Shift-UHI_Day_Eff))</f>
        <v>9</v>
      </c>
      <c r="D15" s="25" t="n">
        <f aca="false">SUMPRODUCT((Data_Heathrow!$B$2:$B$6886=SelYear)*(Data_Heathrow!$R$2:$R$6886=1)*((Data_Heathrow!$E$2:$E$6886+Climate_Shift+UHI_Day_Eff)&gt;=B15)*((Data_Heathrow!$V$2:$V$6886+Coef_B1*Climate_Shift+Local_Sensing*UHI_Day_Eff)&gt;=B15))</f>
        <v>1</v>
      </c>
      <c r="E15" s="25" t="n">
        <f aca="false">SUMPRODUCT((Data_Heathrow!$B$2:$B$6886=SelYear)*(Data_Heathrow!$R$2:$R$6886=1)*((Data_Heathrow!$E$2:$E$6886+Climate_Shift+UHI_Day_Eff)&gt;=B15))</f>
        <v>9</v>
      </c>
      <c r="F15" s="15" t="n">
        <f aca="false">IF(E15=0,"n/a",D15/E15)</f>
        <v>0.111111111111111</v>
      </c>
    </row>
    <row r="16" customFormat="false" ht="15" hidden="false" customHeight="false" outlineLevel="0" collapsed="false">
      <c r="B16" s="20" t="n">
        <v>34</v>
      </c>
      <c r="C16" s="25" t="n">
        <f aca="false">COUNTIFS(Data_Heathrow!$B$2:$B$6886,SelYear,Data_Heathrow!$E$2:$E$6886,"&gt;="&amp;(B16-Climate_Shift-UHI_Day_Eff))</f>
        <v>7</v>
      </c>
      <c r="D16" s="25" t="n">
        <f aca="false">SUMPRODUCT((Data_Heathrow!$B$2:$B$6886=SelYear)*(Data_Heathrow!$R$2:$R$6886=1)*((Data_Heathrow!$E$2:$E$6886+Climate_Shift+UHI_Day_Eff)&gt;=B16)*((Data_Heathrow!$V$2:$V$6886+Coef_B1*Climate_Shift+Local_Sensing*UHI_Day_Eff)&gt;=B16))</f>
        <v>1</v>
      </c>
      <c r="E16" s="25" t="n">
        <f aca="false">SUMPRODUCT((Data_Heathrow!$B$2:$B$6886=SelYear)*(Data_Heathrow!$R$2:$R$6886=1)*((Data_Heathrow!$E$2:$E$6886+Climate_Shift+UHI_Day_Eff)&gt;=B16))</f>
        <v>7</v>
      </c>
      <c r="F16" s="15" t="n">
        <f aca="false">IF(E16=0,"n/a",D16/E16)</f>
        <v>0.142857142857143</v>
      </c>
      <c r="H16" s="7" t="s">
        <v>403</v>
      </c>
      <c r="J16" s="66" t="n">
        <f aca="false">IFERROR(J10/J6,"n/a")</f>
        <v>1.79513490241102</v>
      </c>
    </row>
    <row r="17" customFormat="false" ht="15" hidden="false" customHeight="false" outlineLevel="0" collapsed="false">
      <c r="B17" s="20" t="n">
        <v>35</v>
      </c>
      <c r="C17" s="25" t="n">
        <f aca="false">COUNTIFS(Data_Heathrow!$B$2:$B$6886,SelYear,Data_Heathrow!$E$2:$E$6886,"&gt;="&amp;(B17-Climate_Shift-UHI_Day_Eff))</f>
        <v>6</v>
      </c>
      <c r="D17" s="25" t="n">
        <f aca="false">SUMPRODUCT((Data_Heathrow!$B$2:$B$6886=SelYear)*(Data_Heathrow!$R$2:$R$6886=1)*((Data_Heathrow!$E$2:$E$6886+Climate_Shift+UHI_Day_Eff)&gt;=B17)*((Data_Heathrow!$V$2:$V$6886+Coef_B1*Climate_Shift+Local_Sensing*UHI_Day_Eff)&gt;=B17))</f>
        <v>0</v>
      </c>
      <c r="E17" s="25" t="n">
        <f aca="false">SUMPRODUCT((Data_Heathrow!$B$2:$B$6886=SelYear)*(Data_Heathrow!$R$2:$R$6886=1)*((Data_Heathrow!$E$2:$E$6886+Climate_Shift+UHI_Day_Eff)&gt;=B17))</f>
        <v>6</v>
      </c>
      <c r="F17" s="15" t="n">
        <f aca="false">IF(E17=0,"n/a",D17/E17)</f>
        <v>0</v>
      </c>
      <c r="H17" s="2" t="s">
        <v>404</v>
      </c>
    </row>
    <row r="18" customFormat="false" ht="15" hidden="false" customHeight="false" outlineLevel="0" collapsed="false">
      <c r="B18" s="20" t="n">
        <v>36</v>
      </c>
      <c r="C18" s="25" t="n">
        <f aca="false">COUNTIFS(Data_Heathrow!$B$2:$B$6886,SelYear,Data_Heathrow!$E$2:$E$6886,"&gt;="&amp;(B18-Climate_Shift-UHI_Day_Eff))</f>
        <v>3</v>
      </c>
      <c r="D18" s="25" t="n">
        <f aca="false">SUMPRODUCT((Data_Heathrow!$B$2:$B$6886=SelYear)*(Data_Heathrow!$R$2:$R$6886=1)*((Data_Heathrow!$E$2:$E$6886+Climate_Shift+UHI_Day_Eff)&gt;=B18)*((Data_Heathrow!$V$2:$V$6886+Coef_B1*Climate_Shift+Local_Sensing*UHI_Day_Eff)&gt;=B18))</f>
        <v>0</v>
      </c>
      <c r="E18" s="25" t="n">
        <f aca="false">SUMPRODUCT((Data_Heathrow!$B$2:$B$6886=SelYear)*(Data_Heathrow!$R$2:$R$6886=1)*((Data_Heathrow!$E$2:$E$6886+Climate_Shift+UHI_Day_Eff)&gt;=B18))</f>
        <v>3</v>
      </c>
      <c r="F18" s="15" t="n">
        <f aca="false">IF(E18=0,"n/a",D18/E18)</f>
        <v>0</v>
      </c>
    </row>
    <row r="19" customFormat="false" ht="15" hidden="false" customHeight="false" outlineLevel="0" collapsed="false">
      <c r="B19" s="20" t="n">
        <v>37</v>
      </c>
      <c r="C19" s="25" t="n">
        <f aca="false">COUNTIFS(Data_Heathrow!$B$2:$B$6886,SelYear,Data_Heathrow!$E$2:$E$6886,"&gt;="&amp;(B19-Climate_Shift-UHI_Day_Eff))</f>
        <v>2</v>
      </c>
      <c r="D19" s="25" t="n">
        <f aca="false">SUMPRODUCT((Data_Heathrow!$B$2:$B$6886=SelYear)*(Data_Heathrow!$R$2:$R$6886=1)*((Data_Heathrow!$E$2:$E$6886+Climate_Shift+UHI_Day_Eff)&gt;=B19)*((Data_Heathrow!$V$2:$V$6886+Coef_B1*Climate_Shift+Local_Sensing*UHI_Day_Eff)&gt;=B19))</f>
        <v>0</v>
      </c>
      <c r="E19" s="25" t="n">
        <f aca="false">SUMPRODUCT((Data_Heathrow!$B$2:$B$6886=SelYear)*(Data_Heathrow!$R$2:$R$6886=1)*((Data_Heathrow!$E$2:$E$6886+Climate_Shift+UHI_Day_Eff)&gt;=B19))</f>
        <v>2</v>
      </c>
      <c r="F19" s="15" t="n">
        <f aca="false">IF(E19=0,"n/a",D19/E19)</f>
        <v>0</v>
      </c>
    </row>
    <row r="20" customFormat="false" ht="15" hidden="false" customHeight="false" outlineLevel="0" collapsed="false">
      <c r="B20" s="20" t="n">
        <v>38</v>
      </c>
      <c r="C20" s="25" t="n">
        <f aca="false">COUNTIFS(Data_Heathrow!$B$2:$B$6886,SelYear,Data_Heathrow!$E$2:$E$6886,"&gt;="&amp;(B20-Climate_Shift-UHI_Day_Eff))</f>
        <v>2</v>
      </c>
      <c r="D20" s="25" t="n">
        <f aca="false">SUMPRODUCT((Data_Heathrow!$B$2:$B$6886=SelYear)*(Data_Heathrow!$R$2:$R$6886=1)*((Data_Heathrow!$E$2:$E$6886+Climate_Shift+UHI_Day_Eff)&gt;=B20)*((Data_Heathrow!$V$2:$V$6886+Coef_B1*Climate_Shift+Local_Sensing*UHI_Day_Eff)&gt;=B20))</f>
        <v>0</v>
      </c>
      <c r="E20" s="25" t="n">
        <f aca="false">SUMPRODUCT((Data_Heathrow!$B$2:$B$6886=SelYear)*(Data_Heathrow!$R$2:$R$6886=1)*((Data_Heathrow!$E$2:$E$6886+Climate_Shift+UHI_Day_Eff)&gt;=B20))</f>
        <v>2</v>
      </c>
      <c r="F20" s="15" t="n">
        <f aca="false">IF(E20=0,"n/a",D20/E20)</f>
        <v>0</v>
      </c>
    </row>
    <row r="21" customFormat="false" ht="15" hidden="false" customHeight="false" outlineLevel="0" collapsed="false">
      <c r="B21" s="20" t="n">
        <v>39</v>
      </c>
      <c r="C21" s="25" t="n">
        <f aca="false">COUNTIFS(Data_Heathrow!$B$2:$B$6886,SelYear,Data_Heathrow!$E$2:$E$6886,"&gt;="&amp;(B21-Climate_Shift-UHI_Day_Eff))</f>
        <v>2</v>
      </c>
      <c r="D21" s="25" t="n">
        <f aca="false">SUMPRODUCT((Data_Heathrow!$B$2:$B$6886=SelYear)*(Data_Heathrow!$R$2:$R$6886=1)*((Data_Heathrow!$E$2:$E$6886+Climate_Shift+UHI_Day_Eff)&gt;=B21)*((Data_Heathrow!$V$2:$V$6886+Coef_B1*Climate_Shift+Local_Sensing*UHI_Day_Eff)&gt;=B21))</f>
        <v>0</v>
      </c>
      <c r="E21" s="25" t="n">
        <f aca="false">SUMPRODUCT((Data_Heathrow!$B$2:$B$6886=SelYear)*(Data_Heathrow!$R$2:$R$6886=1)*((Data_Heathrow!$E$2:$E$6886+Climate_Shift+UHI_Day_Eff)&gt;=B21))</f>
        <v>2</v>
      </c>
      <c r="F21" s="15" t="n">
        <f aca="false">IF(E21=0,"n/a",D21/E21)</f>
        <v>0</v>
      </c>
    </row>
    <row r="22" customFormat="false" ht="15" hidden="false" customHeight="false" outlineLevel="0" collapsed="false">
      <c r="B22" s="20" t="n">
        <v>40</v>
      </c>
      <c r="C22" s="25" t="n">
        <f aca="false">COUNTIFS(Data_Heathrow!$B$2:$B$6886,SelYear,Data_Heathrow!$E$2:$E$6886,"&gt;="&amp;(B22-Climate_Shift-UHI_Day_Eff))</f>
        <v>1</v>
      </c>
      <c r="D22" s="25" t="n">
        <f aca="false">SUMPRODUCT((Data_Heathrow!$B$2:$B$6886=SelYear)*(Data_Heathrow!$R$2:$R$6886=1)*((Data_Heathrow!$E$2:$E$6886+Climate_Shift+UHI_Day_Eff)&gt;=B22)*((Data_Heathrow!$V$2:$V$6886+Coef_B1*Climate_Shift+Local_Sensing*UHI_Day_Eff)&gt;=B22))</f>
        <v>0</v>
      </c>
      <c r="E22" s="25" t="n">
        <f aca="false">SUMPRODUCT((Data_Heathrow!$B$2:$B$6886=SelYear)*(Data_Heathrow!$R$2:$R$6886=1)*((Data_Heathrow!$E$2:$E$6886+Climate_Shift+UHI_Day_Eff)&gt;=B22))</f>
        <v>1</v>
      </c>
      <c r="F22" s="15" t="n">
        <f aca="false">IF(E22=0,"n/a",D22/E22)</f>
        <v>0</v>
      </c>
    </row>
    <row r="25" customFormat="false" ht="15" hidden="false" customHeight="false" outlineLevel="0" collapsed="false">
      <c r="B25" s="5" t="s">
        <v>405</v>
      </c>
      <c r="C25" s="6"/>
      <c r="D25" s="6"/>
      <c r="E25" s="6"/>
      <c r="F25" s="6"/>
      <c r="G25" s="6"/>
      <c r="H25" s="6"/>
      <c r="I25" s="6"/>
      <c r="J25" s="6"/>
    </row>
    <row r="26" customFormat="false" ht="15" hidden="false" customHeight="false" outlineLevel="0" collapsed="false">
      <c r="B26" s="56" t="s">
        <v>406</v>
      </c>
    </row>
    <row r="27" customFormat="false" ht="15" hidden="false" customHeight="false" outlineLevel="0" collapsed="false">
      <c r="B27" s="56" t="s">
        <v>407</v>
      </c>
    </row>
    <row r="28" customFormat="false" ht="15" hidden="false" customHeight="false" outlineLevel="0" collapsed="false">
      <c r="B28" s="56" t="s">
        <v>408</v>
      </c>
    </row>
    <row r="29" customFormat="false" ht="15" hidden="false" customHeight="false" outlineLevel="0" collapsed="false">
      <c r="B29" s="56" t="s">
        <v>409</v>
      </c>
    </row>
    <row r="30" customFormat="false" ht="15" hidden="false" customHeight="false" outlineLevel="0" collapsed="false">
      <c r="B30" s="56" t="s">
        <v>410</v>
      </c>
    </row>
    <row r="32" customFormat="false" ht="15" hidden="false" customHeight="false" outlineLevel="0" collapsed="false">
      <c r="B32" s="17" t="s">
        <v>411</v>
      </c>
      <c r="C32" s="17"/>
      <c r="D32" s="17"/>
      <c r="E32" s="67" t="n">
        <f aca="false">KPI_PeakStock</f>
        <v>45.5750935681434</v>
      </c>
    </row>
    <row r="33" customFormat="false" ht="15" hidden="false" customHeight="false" outlineLevel="0" collapsed="false">
      <c r="B33" s="17" t="s">
        <v>412</v>
      </c>
      <c r="C33" s="17"/>
      <c r="D33" s="17"/>
      <c r="E33" s="67" t="n">
        <f aca="false">Capacity</f>
        <v>40</v>
      </c>
    </row>
    <row r="34" customFormat="false" ht="15" hidden="false" customHeight="false" outlineLevel="0" collapsed="false">
      <c r="B34" s="17" t="s">
        <v>413</v>
      </c>
      <c r="C34" s="17"/>
      <c r="D34" s="17"/>
      <c r="E34" s="67" t="n">
        <f aca="false">Capacity-KPI_PeakStock</f>
        <v>-5.57509356814337</v>
      </c>
    </row>
    <row r="35" customFormat="false" ht="15" hidden="false" customHeight="false" outlineLevel="0" collapsed="false">
      <c r="B35" s="17" t="s">
        <v>122</v>
      </c>
      <c r="C35" s="17"/>
      <c r="D35" s="17"/>
      <c r="E35" s="68" t="n">
        <f aca="false">KPI_TipDays</f>
        <v>3</v>
      </c>
    </row>
    <row r="36" customFormat="false" ht="15" hidden="false" customHeight="false" outlineLevel="0" collapsed="false">
      <c r="B36" s="17" t="s">
        <v>205</v>
      </c>
      <c r="C36" s="17"/>
      <c r="D36" s="17"/>
      <c r="E36" s="69" t="n">
        <f aca="false">First_Tip</f>
        <v>44760</v>
      </c>
    </row>
    <row r="38" customFormat="false" ht="15" hidden="false" customHeight="true" outlineLevel="0" collapsed="false">
      <c r="B38" s="22" t="s">
        <v>414</v>
      </c>
      <c r="C38" s="22"/>
      <c r="D38" s="22"/>
      <c r="E38" s="22"/>
      <c r="F38" s="22"/>
      <c r="G38" s="22"/>
      <c r="H38" s="22"/>
      <c r="I38" s="22"/>
      <c r="J38" s="22"/>
    </row>
    <row r="39" customFormat="false" ht="15" hidden="false" customHeight="false" outlineLevel="0" collapsed="false">
      <c r="B39" s="22"/>
      <c r="C39" s="22"/>
      <c r="D39" s="22"/>
      <c r="E39" s="22"/>
      <c r="F39" s="22"/>
      <c r="G39" s="22"/>
      <c r="H39" s="22"/>
      <c r="I39" s="22"/>
      <c r="J39" s="22"/>
    </row>
    <row r="40" customFormat="false" ht="15" hidden="false" customHeight="false" outlineLevel="0" collapsed="false">
      <c r="B40" s="22"/>
      <c r="C40" s="22"/>
      <c r="D40" s="22"/>
      <c r="E40" s="22"/>
      <c r="F40" s="22"/>
      <c r="G40" s="22"/>
      <c r="H40" s="22"/>
      <c r="I40" s="22"/>
      <c r="J40" s="22"/>
    </row>
  </sheetData>
  <mergeCells count="6">
    <mergeCell ref="B32:D32"/>
    <mergeCell ref="B33:D33"/>
    <mergeCell ref="B34:D34"/>
    <mergeCell ref="B35:D35"/>
    <mergeCell ref="B36:D36"/>
    <mergeCell ref="B38:J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9" min="3" style="0" width="10"/>
    <col collapsed="false" customWidth="true" hidden="false" outlineLevel="0" max="13" min="10" style="0" width="12"/>
    <col collapsed="false" customWidth="true" hidden="false" outlineLevel="0" max="15" min="14" style="0" width="13"/>
  </cols>
  <sheetData>
    <row r="1" customFormat="false" ht="19.7" hidden="false" customHeight="false" outlineLevel="0" collapsed="false">
      <c r="A1" s="1" t="s">
        <v>415</v>
      </c>
    </row>
    <row r="2" customFormat="false" ht="15" hidden="false" customHeight="false" outlineLevel="0" collapsed="false">
      <c r="A2" s="2" t="s">
        <v>416</v>
      </c>
    </row>
    <row r="4" customFormat="false" ht="15" hidden="false" customHeight="false" outlineLevel="0" collapsed="false">
      <c r="B4" s="5" t="s">
        <v>417</v>
      </c>
      <c r="C4" s="6"/>
      <c r="D4" s="6"/>
      <c r="E4" s="6"/>
      <c r="F4" s="6"/>
      <c r="G4" s="6"/>
      <c r="H4" s="6"/>
      <c r="I4" s="6"/>
      <c r="J4" s="6"/>
      <c r="K4" s="6"/>
      <c r="L4" s="6"/>
      <c r="M4" s="6"/>
      <c r="N4" s="6"/>
      <c r="O4" s="6"/>
    </row>
    <row r="5" customFormat="false" ht="35.05" hidden="false" customHeight="false" outlineLevel="0" collapsed="false">
      <c r="B5" s="9" t="s">
        <v>418</v>
      </c>
      <c r="C5" s="9" t="s">
        <v>419</v>
      </c>
      <c r="D5" s="9" t="s">
        <v>420</v>
      </c>
      <c r="E5" s="9" t="s">
        <v>421</v>
      </c>
      <c r="F5" s="9" t="s">
        <v>422</v>
      </c>
      <c r="G5" s="9" t="s">
        <v>423</v>
      </c>
      <c r="H5" s="9" t="s">
        <v>180</v>
      </c>
      <c r="I5" s="9" t="s">
        <v>285</v>
      </c>
      <c r="J5" s="9" t="s">
        <v>424</v>
      </c>
      <c r="K5" s="9" t="s">
        <v>425</v>
      </c>
      <c r="L5" s="9" t="s">
        <v>426</v>
      </c>
      <c r="M5" s="9" t="s">
        <v>427</v>
      </c>
      <c r="N5" s="9" t="s">
        <v>428</v>
      </c>
      <c r="O5" s="9" t="s">
        <v>429</v>
      </c>
    </row>
    <row r="6" customFormat="false" ht="15" hidden="false" customHeight="false" outlineLevel="0" collapsed="false">
      <c r="B6" s="14" t="s">
        <v>430</v>
      </c>
      <c r="C6" s="65" t="n">
        <v>0</v>
      </c>
      <c r="D6" s="65" t="n">
        <v>0</v>
      </c>
      <c r="E6" s="70" t="n">
        <v>0</v>
      </c>
      <c r="F6" s="23" t="n">
        <f aca="false">C6-Day_Red_Frac*MAX(0,C6)</f>
        <v>0</v>
      </c>
      <c r="G6" s="23" t="n">
        <f aca="false">D6-Night_Red_Frac*MAX(0,D6)</f>
        <v>0</v>
      </c>
      <c r="H6" s="25" t="n">
        <f aca="false">COUNTIFS(Data_Heathrow!$B$2:$B$6886,SelYear,Data_Heathrow!$E$2:$E$6886,"&gt;="&amp;(T_Day-Climate_Shift-F6))</f>
        <v>22</v>
      </c>
      <c r="I6" s="25" t="n">
        <f aca="false">COUNTIFS(Data_Heathrow!$B$2:$B$6886,SelYear,Data_Heathrow!$G$2:$G$6886,"&gt;="&amp;(T_Night-Climate_Shift-G6))</f>
        <v>14</v>
      </c>
      <c r="J6" s="16" t="n">
        <f aca="false">SUMPRODUCT((Data_Heathrow!$B$2:$B$6886=SelYear)*(Data_Heathrow!$I$2:$I$6886&lt;&gt;"")*((Data_Heathrow!$I$2:$I$6886+Climate_Shift+(F6+G6)/2-T_Mort)&gt;0)*(Data_Heathrow!$I$2:$I$6886+Climate_Shift+(F6+G6)/2-T_Mort))</f>
        <v>124.5</v>
      </c>
      <c r="K6" s="25" t="n">
        <f aca="false">Beta*E6*(1-Sens_Red)*J6</f>
        <v>0</v>
      </c>
      <c r="L6" s="25" t="n">
        <f aca="false">COUNTIFS(Data_Heathrow!$B$2:$B$6886,SelYear,Data_Heathrow!$E$2:$E$6886,"&gt;="&amp;(T_Day-Climate_Shift-F6),Data_Heathrow!$E$2:$E$6886,"&lt;"&amp;(T_Day-Climate_Shift))</f>
        <v>0</v>
      </c>
      <c r="M6" s="25" t="n">
        <f aca="false">SUMPRODUCT((Data_Heathrow!$B$2:$B$6886=SelYear)*(Data_Heathrow!$R$2:$R$6886=1)*((Data_Heathrow!$E$2:$E$6886+Climate_Shift+F6)&gt;=T_Day)*((Data_Heathrow!$V$2:$V$6886+Coef_B1*Climate_Shift)&lt;T_Day))</f>
        <v>8</v>
      </c>
      <c r="N6" s="25" t="n">
        <f aca="false">SUMPRODUCT((Data_Heathrow!$B$2:$B$6886=SelYear)*(Data_Heathrow!$R$2:$R$6886=1)*((Data_Heathrow!$E$2:$E$6886+Climate_Shift+F6)&gt;=T_Day)*((Data_Heathrow!$V$2:$V$6886+Coef_B1*Climate_Shift+F6)&lt;T_Day))</f>
        <v>8</v>
      </c>
      <c r="O6" s="16" t="n">
        <f aca="false">SUMPRODUCT((Data_Heathrow!$B$2:$B$6886=Calib_Year)*(Data_Heathrow!$I$2:$I$6886&lt;&gt;"")*((Data_Heathrow!$I$2:$I$6886+(C6+D6)/2-T_Mort)&gt;0)*(Data_Heathrow!$I$2:$I$6886+(C6+D6)/2-T_Mort))</f>
        <v>124.5</v>
      </c>
    </row>
    <row r="7" customFormat="false" ht="15" hidden="false" customHeight="false" outlineLevel="0" collapsed="false">
      <c r="B7" s="14" t="s">
        <v>178</v>
      </c>
      <c r="C7" s="65" t="n">
        <v>2</v>
      </c>
      <c r="D7" s="65" t="n">
        <v>4</v>
      </c>
      <c r="E7" s="70" t="n">
        <v>0.3</v>
      </c>
      <c r="F7" s="23" t="n">
        <f aca="false">C7-Day_Red_Frac*MAX(0,C7)</f>
        <v>2</v>
      </c>
      <c r="G7" s="23" t="n">
        <f aca="false">D7-Night_Red_Frac*MAX(0,D7)</f>
        <v>4</v>
      </c>
      <c r="H7" s="25" t="n">
        <f aca="false">COUNTIFS(Data_Heathrow!$B$2:$B$6886,SelYear,Data_Heathrow!$E$2:$E$6886,"&gt;="&amp;(T_Day-Climate_Shift-F7))</f>
        <v>41</v>
      </c>
      <c r="I7" s="25" t="n">
        <f aca="false">COUNTIFS(Data_Heathrow!$B$2:$B$6886,SelYear,Data_Heathrow!$G$2:$G$6886,"&gt;="&amp;(T_Night-Climate_Shift-G7))</f>
        <v>64</v>
      </c>
      <c r="J7" s="16" t="n">
        <f aca="false">SUMPRODUCT((Data_Heathrow!$B$2:$B$6886=SelYear)*(Data_Heathrow!$I$2:$I$6886&lt;&gt;"")*((Data_Heathrow!$I$2:$I$6886+Climate_Shift+(F7+G7)/2-T_Mort)&gt;0)*(Data_Heathrow!$I$2:$I$6886+Climate_Shift+(F7+G7)/2-T_Mort))</f>
        <v>336.6</v>
      </c>
      <c r="K7" s="25" t="n">
        <f aca="false">Beta*E7*(1-Sens_Red)*J7</f>
        <v>186.946326061998</v>
      </c>
      <c r="L7" s="25" t="n">
        <f aca="false">COUNTIFS(Data_Heathrow!$B$2:$B$6886,SelYear,Data_Heathrow!$E$2:$E$6886,"&gt;="&amp;(T_Day-Climate_Shift-F7),Data_Heathrow!$E$2:$E$6886,"&lt;"&amp;(T_Day-Climate_Shift))</f>
        <v>19</v>
      </c>
      <c r="M7" s="25" t="n">
        <f aca="false">SUMPRODUCT((Data_Heathrow!$B$2:$B$6886=SelYear)*(Data_Heathrow!$R$2:$R$6886=1)*((Data_Heathrow!$E$2:$E$6886+Climate_Shift+F7)&gt;=T_Day)*((Data_Heathrow!$V$2:$V$6886+Coef_B1*Climate_Shift)&lt;T_Day))</f>
        <v>26</v>
      </c>
      <c r="N7" s="25" t="n">
        <f aca="false">SUMPRODUCT((Data_Heathrow!$B$2:$B$6886=SelYear)*(Data_Heathrow!$R$2:$R$6886=1)*((Data_Heathrow!$E$2:$E$6886+Climate_Shift+F7)&gt;=T_Day)*((Data_Heathrow!$V$2:$V$6886+Coef_B1*Climate_Shift+F7)&lt;T_Day))</f>
        <v>14</v>
      </c>
      <c r="O7" s="16" t="n">
        <f aca="false">SUMPRODUCT((Data_Heathrow!$B$2:$B$6886=Calib_Year)*(Data_Heathrow!$I$2:$I$6886&lt;&gt;"")*((Data_Heathrow!$I$2:$I$6886+(C7+D7)/2-T_Mort)&gt;0)*(Data_Heathrow!$I$2:$I$6886+(C7+D7)/2-T_Mort))</f>
        <v>336.6</v>
      </c>
    </row>
    <row r="8" customFormat="false" ht="15" hidden="false" customHeight="false" outlineLevel="0" collapsed="false">
      <c r="B8" s="14" t="s">
        <v>431</v>
      </c>
      <c r="C8" s="65" t="n">
        <v>0.5</v>
      </c>
      <c r="D8" s="65" t="n">
        <v>1</v>
      </c>
      <c r="E8" s="70" t="n">
        <v>0.55</v>
      </c>
      <c r="F8" s="23" t="n">
        <f aca="false">C8-Day_Red_Frac*MAX(0,C8)</f>
        <v>0.5</v>
      </c>
      <c r="G8" s="23" t="n">
        <f aca="false">D8-Night_Red_Frac*MAX(0,D8)</f>
        <v>1</v>
      </c>
      <c r="H8" s="25" t="n">
        <f aca="false">COUNTIFS(Data_Heathrow!$B$2:$B$6886,SelYear,Data_Heathrow!$E$2:$E$6886,"&gt;="&amp;(T_Day-Climate_Shift-F8))</f>
        <v>31</v>
      </c>
      <c r="I8" s="25" t="n">
        <f aca="false">COUNTIFS(Data_Heathrow!$B$2:$B$6886,SelYear,Data_Heathrow!$G$2:$G$6886,"&gt;="&amp;(T_Night-Climate_Shift-G8))</f>
        <v>23</v>
      </c>
      <c r="J8" s="16" t="n">
        <f aca="false">SUMPRODUCT((Data_Heathrow!$B$2:$B$6886=SelYear)*(Data_Heathrow!$I$2:$I$6886&lt;&gt;"")*((Data_Heathrow!$I$2:$I$6886+Climate_Shift+(F8+G8)/2-T_Mort)&gt;0)*(Data_Heathrow!$I$2:$I$6886+Climate_Shift+(F8+G8)/2-T_Mort))</f>
        <v>165.75</v>
      </c>
      <c r="K8" s="25" t="n">
        <f aca="false">Beta*E8*(1-Sens_Red)*J8</f>
        <v>168.77098880597</v>
      </c>
      <c r="L8" s="25" t="n">
        <f aca="false">COUNTIFS(Data_Heathrow!$B$2:$B$6886,SelYear,Data_Heathrow!$E$2:$E$6886,"&gt;="&amp;(T_Day-Climate_Shift-F8),Data_Heathrow!$E$2:$E$6886,"&lt;"&amp;(T_Day-Climate_Shift))</f>
        <v>9</v>
      </c>
      <c r="M8" s="25" t="n">
        <f aca="false">SUMPRODUCT((Data_Heathrow!$B$2:$B$6886=SelYear)*(Data_Heathrow!$R$2:$R$6886=1)*((Data_Heathrow!$E$2:$E$6886+Climate_Shift+F8)&gt;=T_Day)*((Data_Heathrow!$V$2:$V$6886+Coef_B1*Climate_Shift)&lt;T_Day))</f>
        <v>17</v>
      </c>
      <c r="N8" s="25" t="n">
        <f aca="false">SUMPRODUCT((Data_Heathrow!$B$2:$B$6886=SelYear)*(Data_Heathrow!$R$2:$R$6886=1)*((Data_Heathrow!$E$2:$E$6886+Climate_Shift+F8)&gt;=T_Day)*((Data_Heathrow!$V$2:$V$6886+Coef_B1*Climate_Shift+F8)&lt;T_Day))</f>
        <v>16</v>
      </c>
      <c r="O8" s="16" t="n">
        <f aca="false">SUMPRODUCT((Data_Heathrow!$B$2:$B$6886=Calib_Year)*(Data_Heathrow!$I$2:$I$6886&lt;&gt;"")*((Data_Heathrow!$I$2:$I$6886+(C8+D8)/2-T_Mort)&gt;0)*(Data_Heathrow!$I$2:$I$6886+(C8+D8)/2-T_Mort))</f>
        <v>165.75</v>
      </c>
    </row>
    <row r="9" customFormat="false" ht="15" hidden="false" customHeight="false" outlineLevel="0" collapsed="false">
      <c r="B9" s="14" t="s">
        <v>432</v>
      </c>
      <c r="C9" s="65" t="n">
        <v>-0.5</v>
      </c>
      <c r="D9" s="65" t="n">
        <v>0</v>
      </c>
      <c r="E9" s="70" t="n">
        <v>0.15</v>
      </c>
      <c r="F9" s="23" t="n">
        <f aca="false">C9-Day_Red_Frac*MAX(0,C9)</f>
        <v>-0.5</v>
      </c>
      <c r="G9" s="23" t="n">
        <f aca="false">D9-Night_Red_Frac*MAX(0,D9)</f>
        <v>0</v>
      </c>
      <c r="H9" s="25" t="n">
        <f aca="false">COUNTIFS(Data_Heathrow!$B$2:$B$6886,SelYear,Data_Heathrow!$E$2:$E$6886,"&gt;="&amp;(T_Day-Climate_Shift-F9))</f>
        <v>21</v>
      </c>
      <c r="I9" s="25" t="n">
        <f aca="false">COUNTIFS(Data_Heathrow!$B$2:$B$6886,SelYear,Data_Heathrow!$G$2:$G$6886,"&gt;="&amp;(T_Night-Climate_Shift-G9))</f>
        <v>14</v>
      </c>
      <c r="J9" s="16" t="n">
        <f aca="false">SUMPRODUCT((Data_Heathrow!$B$2:$B$6886=SelYear)*(Data_Heathrow!$I$2:$I$6886&lt;&gt;"")*((Data_Heathrow!$I$2:$I$6886+Climate_Shift+(F9+G9)/2-T_Mort)&gt;0)*(Data_Heathrow!$I$2:$I$6886+Climate_Shift+(F9+G9)/2-T_Mort))</f>
        <v>112.65</v>
      </c>
      <c r="K9" s="25" t="n">
        <f aca="false">Beta*E9*(1-Sens_Red)*J9</f>
        <v>31.2826851320321</v>
      </c>
      <c r="L9" s="25" t="n">
        <f aca="false">COUNTIFS(Data_Heathrow!$B$2:$B$6886,SelYear,Data_Heathrow!$E$2:$E$6886,"&gt;="&amp;(T_Day-Climate_Shift-F9),Data_Heathrow!$E$2:$E$6886,"&lt;"&amp;(T_Day-Climate_Shift))</f>
        <v>0</v>
      </c>
      <c r="M9" s="25" t="n">
        <f aca="false">SUMPRODUCT((Data_Heathrow!$B$2:$B$6886=SelYear)*(Data_Heathrow!$R$2:$R$6886=1)*((Data_Heathrow!$E$2:$E$6886+Climate_Shift+F9)&gt;=T_Day)*((Data_Heathrow!$V$2:$V$6886+Coef_B1*Climate_Shift)&lt;T_Day))</f>
        <v>7</v>
      </c>
      <c r="N9" s="25" t="n">
        <f aca="false">SUMPRODUCT((Data_Heathrow!$B$2:$B$6886=SelYear)*(Data_Heathrow!$R$2:$R$6886=1)*((Data_Heathrow!$E$2:$E$6886+Climate_Shift+F9)&gt;=T_Day)*((Data_Heathrow!$V$2:$V$6886+Coef_B1*Climate_Shift+F9)&lt;T_Day))</f>
        <v>10</v>
      </c>
      <c r="O9" s="16" t="n">
        <f aca="false">SUMPRODUCT((Data_Heathrow!$B$2:$B$6886=Calib_Year)*(Data_Heathrow!$I$2:$I$6886&lt;&gt;"")*((Data_Heathrow!$I$2:$I$6886+(C9+D9)/2-T_Mort)&gt;0)*(Data_Heathrow!$I$2:$I$6886+(C9+D9)/2-T_Mort))</f>
        <v>112.65</v>
      </c>
    </row>
    <row r="10" customFormat="false" ht="15" hidden="false" customHeight="false" outlineLevel="0" collapsed="false">
      <c r="B10" s="7" t="s">
        <v>433</v>
      </c>
      <c r="E10" s="71" t="n">
        <f aca="false">SUM(E6:E9)</f>
        <v>1</v>
      </c>
      <c r="H10" s="72" t="n">
        <f aca="false">SUMPRODUCT($E$6:$E$9,H6:H9)</f>
        <v>32.5</v>
      </c>
      <c r="I10" s="72" t="n">
        <f aca="false">SUMPRODUCT($E$6:$E$9,I6:I9)</f>
        <v>33.95</v>
      </c>
      <c r="J10" s="72" t="n">
        <f aca="false">SUMPRODUCT($E$6:$E$9,J6:J9)</f>
        <v>209.04</v>
      </c>
      <c r="K10" s="73" t="n">
        <f aca="false">SUM(K6:K9)</f>
        <v>387</v>
      </c>
      <c r="L10" s="72" t="n">
        <f aca="false">SUMPRODUCT($E$6:$E$9,L6:L9)</f>
        <v>10.65</v>
      </c>
      <c r="M10" s="72" t="n">
        <f aca="false">SUMPRODUCT($E$6:$E$9,M6:M9)</f>
        <v>18.2</v>
      </c>
      <c r="N10" s="72" t="n">
        <f aca="false">SUMPRODUCT($E$6:$E$9,N6:N9)</f>
        <v>14.5</v>
      </c>
      <c r="O10" s="72" t="n">
        <f aca="false">SUMPRODUCT($E$6:$E$9,O6:O9)</f>
        <v>209.04</v>
      </c>
      <c r="P10" s="2" t="s">
        <v>434</v>
      </c>
    </row>
    <row r="11" customFormat="false" ht="15" hidden="false" customHeight="true" outlineLevel="0" collapsed="false">
      <c r="B11" s="22" t="s">
        <v>435</v>
      </c>
      <c r="C11" s="22"/>
      <c r="D11" s="22"/>
      <c r="E11" s="22"/>
      <c r="F11" s="22"/>
      <c r="G11" s="22"/>
      <c r="H11" s="22"/>
      <c r="I11" s="22"/>
      <c r="J11" s="22"/>
      <c r="K11" s="22"/>
      <c r="L11" s="22"/>
      <c r="M11" s="22"/>
      <c r="N11" s="22"/>
      <c r="O11" s="22"/>
    </row>
    <row r="12" customFormat="false" ht="15" hidden="false" customHeight="false" outlineLevel="0" collapsed="false">
      <c r="B12" s="22"/>
      <c r="C12" s="22"/>
      <c r="D12" s="22"/>
      <c r="E12" s="22"/>
      <c r="F12" s="22"/>
      <c r="G12" s="22"/>
      <c r="H12" s="22"/>
      <c r="I12" s="22"/>
      <c r="J12" s="22"/>
      <c r="K12" s="22"/>
      <c r="L12" s="22"/>
      <c r="M12" s="22"/>
      <c r="N12" s="22"/>
      <c r="O12" s="22"/>
    </row>
    <row r="14" customFormat="false" ht="15" hidden="false" customHeight="false" outlineLevel="0" collapsed="false">
      <c r="B14" s="5" t="s">
        <v>436</v>
      </c>
      <c r="C14" s="6"/>
      <c r="D14" s="6"/>
      <c r="E14" s="6"/>
      <c r="F14" s="6"/>
      <c r="G14" s="6"/>
      <c r="H14" s="6"/>
      <c r="I14" s="6"/>
      <c r="J14" s="6"/>
      <c r="K14" s="6"/>
      <c r="L14" s="6"/>
      <c r="M14" s="6"/>
      <c r="N14" s="6"/>
      <c r="O14" s="6"/>
    </row>
    <row r="15" customFormat="false" ht="35.05" hidden="false" customHeight="false" outlineLevel="0" collapsed="false">
      <c r="B15" s="9" t="s">
        <v>437</v>
      </c>
      <c r="C15" s="9" t="s">
        <v>438</v>
      </c>
      <c r="D15" s="9" t="s">
        <v>439</v>
      </c>
      <c r="E15" s="9" t="s">
        <v>440</v>
      </c>
      <c r="F15" s="9" t="s">
        <v>441</v>
      </c>
      <c r="G15" s="9" t="s">
        <v>442</v>
      </c>
      <c r="H15" s="9" t="s">
        <v>443</v>
      </c>
      <c r="I15" s="9" t="s">
        <v>444</v>
      </c>
      <c r="J15" s="9" t="s">
        <v>445</v>
      </c>
      <c r="K15" s="9" t="s">
        <v>446</v>
      </c>
    </row>
    <row r="16" customFormat="false" ht="15" hidden="false" customHeight="false" outlineLevel="0" collapsed="false">
      <c r="B16" s="4" t="s">
        <v>447</v>
      </c>
      <c r="C16" s="65" t="n">
        <v>2.5</v>
      </c>
      <c r="D16" s="21" t="n">
        <v>0.4</v>
      </c>
      <c r="E16" s="70" t="n">
        <v>0.25</v>
      </c>
      <c r="F16" s="70" t="n">
        <v>0.6</v>
      </c>
      <c r="G16" s="70" t="n">
        <v>0.15</v>
      </c>
      <c r="H16" s="16" t="n">
        <f aca="false">E16*$J$7+F16*$J$8+G16*$J$9</f>
        <v>200.4975</v>
      </c>
      <c r="I16" s="16" t="n">
        <f aca="false">H16*C16*(1-D16)*(1-Sens_Red)</f>
        <v>300.74625</v>
      </c>
      <c r="J16" s="25" t="n">
        <f aca="false">RANK(I16,$I$16:$I$21,0)</f>
        <v>3</v>
      </c>
      <c r="K16" s="74" t="n">
        <f aca="false">IFERROR(I16/MIN($I$16:$I$21),0)</f>
        <v>2.76673446745562</v>
      </c>
    </row>
    <row r="17" customFormat="false" ht="15" hidden="false" customHeight="false" outlineLevel="0" collapsed="false">
      <c r="B17" s="4" t="s">
        <v>448</v>
      </c>
      <c r="C17" s="65" t="n">
        <v>2</v>
      </c>
      <c r="D17" s="21" t="n">
        <v>0.4</v>
      </c>
      <c r="E17" s="70" t="n">
        <v>0.3</v>
      </c>
      <c r="F17" s="70" t="n">
        <v>0.55</v>
      </c>
      <c r="G17" s="70" t="n">
        <v>0.15</v>
      </c>
      <c r="H17" s="16" t="n">
        <f aca="false">E17*$J$7+F17*$J$8+G17*$J$9</f>
        <v>209.04</v>
      </c>
      <c r="I17" s="16" t="n">
        <f aca="false">H17*C17*(1-D17)*(1-Sens_Red)</f>
        <v>250.848</v>
      </c>
      <c r="J17" s="25" t="n">
        <f aca="false">RANK(I17,$I$16:$I$21,0)</f>
        <v>4</v>
      </c>
      <c r="K17" s="74" t="n">
        <f aca="false">IFERROR(I17/MIN($I$16:$I$21),0)</f>
        <v>2.30769230769231</v>
      </c>
    </row>
    <row r="18" customFormat="false" ht="15" hidden="false" customHeight="false" outlineLevel="0" collapsed="false">
      <c r="B18" s="4" t="s">
        <v>449</v>
      </c>
      <c r="C18" s="65" t="n">
        <v>1.5</v>
      </c>
      <c r="D18" s="21" t="n">
        <v>0.5</v>
      </c>
      <c r="E18" s="70" t="n">
        <v>0.35</v>
      </c>
      <c r="F18" s="70" t="n">
        <v>0.5</v>
      </c>
      <c r="G18" s="70" t="n">
        <v>0.15</v>
      </c>
      <c r="H18" s="16" t="n">
        <f aca="false">E18*$J$7+F18*$J$8+G18*$J$9</f>
        <v>217.5825</v>
      </c>
      <c r="I18" s="16" t="n">
        <f aca="false">H18*C18*(1-D18)*(1-Sens_Red)</f>
        <v>163.186875</v>
      </c>
      <c r="J18" s="25" t="n">
        <f aca="false">RANK(I18,$I$16:$I$21,0)</f>
        <v>5</v>
      </c>
      <c r="K18" s="74" t="n">
        <f aca="false">IFERROR(I18/MIN($I$16:$I$21),0)</f>
        <v>1.50124815088757</v>
      </c>
    </row>
    <row r="19" customFormat="false" ht="23.85" hidden="false" customHeight="false" outlineLevel="0" collapsed="false">
      <c r="B19" s="4" t="s">
        <v>450</v>
      </c>
      <c r="C19" s="65" t="n">
        <v>1.8</v>
      </c>
      <c r="D19" s="21" t="n">
        <v>0.3</v>
      </c>
      <c r="E19" s="70" t="n">
        <v>0.5</v>
      </c>
      <c r="F19" s="70" t="n">
        <v>0.4</v>
      </c>
      <c r="G19" s="70" t="n">
        <v>0.1</v>
      </c>
      <c r="H19" s="16" t="n">
        <f aca="false">E19*$J$7+F19*$J$8+G19*$J$9</f>
        <v>245.865</v>
      </c>
      <c r="I19" s="16" t="n">
        <f aca="false">H19*C19*(1-D19)*(1-Sens_Red)</f>
        <v>309.7899</v>
      </c>
      <c r="J19" s="25" t="n">
        <f aca="false">RANK(I19,$I$16:$I$21,0)</f>
        <v>2</v>
      </c>
      <c r="K19" s="74" t="n">
        <f aca="false">IFERROR(I19/MIN($I$16:$I$21),0)</f>
        <v>2.8499321072154</v>
      </c>
    </row>
    <row r="20" customFormat="false" ht="15" hidden="false" customHeight="false" outlineLevel="0" collapsed="false">
      <c r="B20" s="4" t="s">
        <v>451</v>
      </c>
      <c r="C20" s="65" t="n">
        <v>2.5</v>
      </c>
      <c r="D20" s="21" t="n">
        <v>0.1</v>
      </c>
      <c r="E20" s="70" t="n">
        <v>0.6</v>
      </c>
      <c r="F20" s="70" t="n">
        <v>0.3</v>
      </c>
      <c r="G20" s="70" t="n">
        <v>0.1</v>
      </c>
      <c r="H20" s="16" t="n">
        <f aca="false">E20*$J$7+F20*$J$8+G20*$J$9</f>
        <v>262.95</v>
      </c>
      <c r="I20" s="16" t="n">
        <f aca="false">H20*C20*(1-D20)*(1-Sens_Red)</f>
        <v>591.6375</v>
      </c>
      <c r="J20" s="25" t="n">
        <f aca="false">RANK(I20,$I$16:$I$21,0)</f>
        <v>1</v>
      </c>
      <c r="K20" s="74" t="n">
        <f aca="false">IFERROR(I20/MIN($I$16:$I$21),0)</f>
        <v>5.44280722864965</v>
      </c>
    </row>
    <row r="21" customFormat="false" ht="15" hidden="false" customHeight="false" outlineLevel="0" collapsed="false">
      <c r="B21" s="4" t="s">
        <v>452</v>
      </c>
      <c r="C21" s="65" t="n">
        <v>1.3</v>
      </c>
      <c r="D21" s="21" t="n">
        <v>0.6</v>
      </c>
      <c r="E21" s="70" t="n">
        <v>0.3</v>
      </c>
      <c r="F21" s="70" t="n">
        <v>0.55</v>
      </c>
      <c r="G21" s="70" t="n">
        <v>0.15</v>
      </c>
      <c r="H21" s="16" t="n">
        <f aca="false">E21*$J$7+F21*$J$8+G21*$J$9</f>
        <v>209.04</v>
      </c>
      <c r="I21" s="16" t="n">
        <f aca="false">H21*C21*(1-D21)*(1-Sens_Red)</f>
        <v>108.7008</v>
      </c>
      <c r="J21" s="25" t="n">
        <f aca="false">RANK(I21,$I$16:$I$21,0)</f>
        <v>6</v>
      </c>
      <c r="K21" s="74" t="n">
        <f aca="false">IFERROR(I21/MIN($I$16:$I$21),0)</f>
        <v>1</v>
      </c>
    </row>
    <row r="23" customFormat="false" ht="15" hidden="false" customHeight="true" outlineLevel="0" collapsed="false">
      <c r="B23" s="22" t="s">
        <v>453</v>
      </c>
      <c r="C23" s="22"/>
      <c r="D23" s="22"/>
      <c r="E23" s="22"/>
      <c r="F23" s="22"/>
      <c r="G23" s="22"/>
      <c r="H23" s="22"/>
      <c r="I23" s="22"/>
      <c r="J23" s="22"/>
      <c r="K23" s="22"/>
      <c r="L23" s="22"/>
      <c r="M23" s="22"/>
      <c r="N23" s="22"/>
      <c r="O23" s="22"/>
    </row>
    <row r="24" customFormat="false" ht="15" hidden="false" customHeight="false" outlineLevel="0" collapsed="false">
      <c r="B24" s="22"/>
      <c r="C24" s="22"/>
      <c r="D24" s="22"/>
      <c r="E24" s="22"/>
      <c r="F24" s="22"/>
      <c r="G24" s="22"/>
      <c r="H24" s="22"/>
      <c r="I24" s="22"/>
      <c r="J24" s="22"/>
      <c r="K24" s="22"/>
      <c r="L24" s="22"/>
      <c r="M24" s="22"/>
      <c r="N24" s="22"/>
      <c r="O24" s="22"/>
    </row>
  </sheetData>
  <mergeCells count="2">
    <mergeCell ref="B11:O12"/>
    <mergeCell ref="B23:O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4" min="3" style="0" width="16"/>
    <col collapsed="false" customWidth="true" hidden="false" outlineLevel="0" max="5" min="5" style="0" width="60"/>
  </cols>
  <sheetData>
    <row r="1" customFormat="false" ht="19.7" hidden="false" customHeight="false" outlineLevel="0" collapsed="false">
      <c r="A1" s="1" t="s">
        <v>454</v>
      </c>
    </row>
    <row r="2" customFormat="false" ht="15" hidden="false" customHeight="false" outlineLevel="0" collapsed="false">
      <c r="A2" s="2" t="s">
        <v>455</v>
      </c>
    </row>
    <row r="4" customFormat="false" ht="15" hidden="false" customHeight="false" outlineLevel="0" collapsed="false">
      <c r="B4" s="5" t="s">
        <v>456</v>
      </c>
      <c r="C4" s="6"/>
      <c r="D4" s="6"/>
      <c r="E4" s="6"/>
    </row>
    <row r="5" customFormat="false" ht="15" hidden="false" customHeight="false" outlineLevel="0" collapsed="false">
      <c r="B5" s="14" t="s">
        <v>457</v>
      </c>
      <c r="C5" s="65" t="n">
        <v>22</v>
      </c>
      <c r="D5" s="14" t="s">
        <v>185</v>
      </c>
      <c r="E5" s="30" t="s">
        <v>458</v>
      </c>
    </row>
    <row r="6" customFormat="false" ht="15" hidden="false" customHeight="false" outlineLevel="0" collapsed="false">
      <c r="B6" s="14" t="s">
        <v>459</v>
      </c>
      <c r="C6" s="75" t="n">
        <v>3600000</v>
      </c>
      <c r="D6" s="14" t="s">
        <v>460</v>
      </c>
      <c r="E6" s="30" t="s">
        <v>461</v>
      </c>
    </row>
    <row r="7" customFormat="false" ht="15" hidden="false" customHeight="false" outlineLevel="0" collapsed="false">
      <c r="B7" s="14" t="s">
        <v>462</v>
      </c>
      <c r="C7" s="70" t="n">
        <v>0.05</v>
      </c>
      <c r="D7" s="14"/>
      <c r="E7" s="30" t="s">
        <v>463</v>
      </c>
    </row>
    <row r="8" customFormat="false" ht="15" hidden="false" customHeight="false" outlineLevel="0" collapsed="false">
      <c r="B8" s="14" t="s">
        <v>464</v>
      </c>
      <c r="C8" s="65" t="n">
        <v>1.5</v>
      </c>
      <c r="D8" s="14" t="s">
        <v>465</v>
      </c>
      <c r="E8" s="30" t="s">
        <v>466</v>
      </c>
    </row>
    <row r="9" customFormat="false" ht="15" hidden="false" customHeight="false" outlineLevel="0" collapsed="false">
      <c r="B9" s="14" t="s">
        <v>467</v>
      </c>
      <c r="C9" s="76" t="n">
        <v>0.15</v>
      </c>
      <c r="D9" s="14" t="s">
        <v>468</v>
      </c>
      <c r="E9" s="30" t="s">
        <v>469</v>
      </c>
    </row>
    <row r="10" customFormat="false" ht="15" hidden="false" customHeight="false" outlineLevel="0" collapsed="false">
      <c r="B10" s="14" t="s">
        <v>470</v>
      </c>
      <c r="C10" s="75" t="n">
        <v>2000</v>
      </c>
      <c r="D10" s="14" t="s">
        <v>471</v>
      </c>
      <c r="E10" s="30" t="s">
        <v>472</v>
      </c>
    </row>
    <row r="11" customFormat="false" ht="15" hidden="false" customHeight="false" outlineLevel="0" collapsed="false">
      <c r="B11" s="14" t="s">
        <v>473</v>
      </c>
      <c r="C11" s="20" t="n">
        <v>26</v>
      </c>
      <c r="D11" s="14" t="s">
        <v>474</v>
      </c>
      <c r="E11" s="30" t="s">
        <v>475</v>
      </c>
    </row>
    <row r="12" customFormat="false" ht="15" hidden="false" customHeight="false" outlineLevel="0" collapsed="false">
      <c r="B12" s="14" t="s">
        <v>476</v>
      </c>
      <c r="C12" s="65" t="n">
        <v>5</v>
      </c>
      <c r="D12" s="14" t="s">
        <v>465</v>
      </c>
      <c r="E12" s="30" t="s">
        <v>477</v>
      </c>
    </row>
    <row r="14" customFormat="false" ht="15" hidden="false" customHeight="false" outlineLevel="0" collapsed="false">
      <c r="B14" s="5" t="s">
        <v>478</v>
      </c>
      <c r="C14" s="6"/>
      <c r="D14" s="6"/>
      <c r="E14" s="6"/>
    </row>
    <row r="15" customFormat="false" ht="15" hidden="false" customHeight="false" outlineLevel="0" collapsed="false">
      <c r="B15" s="9" t="s">
        <v>418</v>
      </c>
      <c r="C15" s="9" t="s">
        <v>479</v>
      </c>
      <c r="D15" s="9" t="s">
        <v>480</v>
      </c>
    </row>
    <row r="16" customFormat="false" ht="15" hidden="false" customHeight="false" outlineLevel="0" collapsed="false">
      <c r="B16" s="19" t="str">
        <f aca="false">Optimise!B24</f>
        <v>Reference: Heathrow station</v>
      </c>
      <c r="C16" s="16" t="n">
        <f aca="false">SUMPRODUCT((Data_Heathrow!$B$2:$B$6886=SelYear)*(Data_Heathrow!$I$2:$I$6886&lt;&gt;"")*((Data_Heathrow!$I$2:$I$6886+Climate_Shift+Optimise!D24-CDD_Base)&gt;0)*(Data_Heathrow!$I$2:$I$6886+Climate_Shift+Optimise!D24-CDD_Base))</f>
        <v>53.5</v>
      </c>
      <c r="D16" s="16" t="n">
        <f aca="false">SUMPRODUCT((Data_Heathrow!$B$2:$B$6886=SelYear)*(Data_Heathrow!$I$2:$I$6886&lt;&gt;"")*((Data_Heathrow!$I$2:$I$6886+Climate_Shift+Optimise!E24-CDD_Base)&gt;0)*(Data_Heathrow!$I$2:$I$6886+Climate_Shift+Optimise!E24-CDD_Base))</f>
        <v>53.5</v>
      </c>
    </row>
    <row r="17" customFormat="false" ht="15" hidden="false" customHeight="false" outlineLevel="0" collapsed="false">
      <c r="B17" s="19" t="str">
        <f aca="false">Optimise!B25</f>
        <v>Inner London: dense, low green</v>
      </c>
      <c r="C17" s="16" t="n">
        <f aca="false">SUMPRODUCT((Data_Heathrow!$B$2:$B$6886=SelYear)*(Data_Heathrow!$I$2:$I$6886&lt;&gt;"")*((Data_Heathrow!$I$2:$I$6886+Climate_Shift+Optimise!D25-CDD_Base)&gt;0)*(Data_Heathrow!$I$2:$I$6886+Climate_Shift+Optimise!D25-CDD_Base))</f>
        <v>181</v>
      </c>
      <c r="D17" s="16" t="n">
        <f aca="false">SUMPRODUCT((Data_Heathrow!$B$2:$B$6886=SelYear)*(Data_Heathrow!$I$2:$I$6886&lt;&gt;"")*((Data_Heathrow!$I$2:$I$6886+Climate_Shift+Optimise!E25-CDD_Base)&gt;0)*(Data_Heathrow!$I$2:$I$6886+Climate_Shift+Optimise!E25-CDD_Base))</f>
        <v>132.25</v>
      </c>
    </row>
    <row r="18" customFormat="false" ht="15" hidden="false" customHeight="false" outlineLevel="0" collapsed="false">
      <c r="B18" s="19" t="str">
        <f aca="false">Optimise!B26</f>
        <v>Outer London: suburban</v>
      </c>
      <c r="C18" s="16" t="n">
        <f aca="false">SUMPRODUCT((Data_Heathrow!$B$2:$B$6886=SelYear)*(Data_Heathrow!$I$2:$I$6886&lt;&gt;"")*((Data_Heathrow!$I$2:$I$6886+Climate_Shift+Optimise!D26-CDD_Base)&gt;0)*(Data_Heathrow!$I$2:$I$6886+Climate_Shift+Optimise!D26-CDD_Base))</f>
        <v>75.1</v>
      </c>
      <c r="D18" s="16" t="n">
        <f aca="false">SUMPRODUCT((Data_Heathrow!$B$2:$B$6886=SelYear)*(Data_Heathrow!$I$2:$I$6886&lt;&gt;"")*((Data_Heathrow!$I$2:$I$6886+Climate_Shift+Optimise!E26-CDD_Base)&gt;0)*(Data_Heathrow!$I$2:$I$6886+Climate_Shift+Optimise!E26-CDD_Base))</f>
        <v>68.1250000000001</v>
      </c>
    </row>
    <row r="19" customFormat="false" ht="15" hidden="false" customHeight="false" outlineLevel="0" collapsed="false">
      <c r="B19" s="19" t="str">
        <f aca="false">Optimise!B27</f>
        <v>Green &amp; blue corridors</v>
      </c>
      <c r="C19" s="16" t="n">
        <f aca="false">SUMPRODUCT((Data_Heathrow!$B$2:$B$6886=SelYear)*(Data_Heathrow!$I$2:$I$6886&lt;&gt;"")*((Data_Heathrow!$I$2:$I$6886+Climate_Shift+Optimise!D27-CDD_Base)&gt;0)*(Data_Heathrow!$I$2:$I$6886+Climate_Shift+Optimise!D27-CDD_Base))</f>
        <v>47.45</v>
      </c>
      <c r="D19" s="16" t="n">
        <f aca="false">SUMPRODUCT((Data_Heathrow!$B$2:$B$6886=SelYear)*(Data_Heathrow!$I$2:$I$6886&lt;&gt;"")*((Data_Heathrow!$I$2:$I$6886+Climate_Shift+Optimise!E27-CDD_Base)&gt;0)*(Data_Heathrow!$I$2:$I$6886+Climate_Shift+Optimise!E27-CDD_Base))</f>
        <v>47.45</v>
      </c>
    </row>
    <row r="20" customFormat="false" ht="15" hidden="false" customHeight="false" outlineLevel="0" collapsed="false">
      <c r="B20" s="7" t="s">
        <v>481</v>
      </c>
      <c r="C20" s="72" t="n">
        <f aca="false">SUMPRODUCT(Optimise!$C$24:$C$27,C16:C19)</f>
        <v>102.7225</v>
      </c>
      <c r="D20" s="72" t="n">
        <f aca="false">SUMPRODUCT(Optimise!$C$24:$C$27,D16:D19)</f>
        <v>84.26125</v>
      </c>
    </row>
    <row r="22" customFormat="false" ht="15" hidden="false" customHeight="false" outlineLevel="0" collapsed="false">
      <c r="B22" s="5" t="s">
        <v>482</v>
      </c>
      <c r="C22" s="6"/>
      <c r="D22" s="6"/>
      <c r="E22" s="6"/>
    </row>
    <row r="23" customFormat="false" ht="15" hidden="false" customHeight="false" outlineLevel="0" collapsed="false">
      <c r="B23" s="9" t="s">
        <v>483</v>
      </c>
      <c r="C23" s="9" t="s">
        <v>100</v>
      </c>
      <c r="D23" s="9" t="s">
        <v>484</v>
      </c>
    </row>
    <row r="24" customFormat="false" ht="15" hidden="false" customHeight="false" outlineLevel="0" collapsed="false">
      <c r="B24" s="14" t="s">
        <v>485</v>
      </c>
      <c r="C24" s="18" t="n">
        <f aca="false">Households*AC_Pen</f>
        <v>180000</v>
      </c>
      <c r="D24" s="18" t="n">
        <f aca="false">Households*(AC_Pen+Opt_AC_Extra)</f>
        <v>180000</v>
      </c>
    </row>
    <row r="25" customFormat="false" ht="15" hidden="false" customHeight="false" outlineLevel="0" collapsed="false">
      <c r="B25" s="14" t="s">
        <v>486</v>
      </c>
      <c r="C25" s="18" t="n">
        <f aca="false">C24*kWh_CDD*C20/1000</f>
        <v>27735.075</v>
      </c>
      <c r="D25" s="18" t="n">
        <f aca="false">D24*kWh_CDD*D20/1000</f>
        <v>22750.5375</v>
      </c>
    </row>
    <row r="26" customFormat="false" ht="15" hidden="false" customHeight="false" outlineLevel="0" collapsed="false">
      <c r="B26" s="7" t="s">
        <v>487</v>
      </c>
      <c r="C26" s="77" t="n">
        <f aca="false">C25*Grid_CF</f>
        <v>4160.26125</v>
      </c>
    </row>
    <row r="27" customFormat="false" ht="15" hidden="false" customHeight="false" outlineLevel="0" collapsed="false">
      <c r="B27" s="7" t="s">
        <v>488</v>
      </c>
      <c r="C27" s="77" t="n">
        <f aca="false">D25*Grid_CF-Optimise!C6*Green_Seq+Optimise!C10*Retrains*kWh_Retrain*Grid_CF/1000</f>
        <v>2412.590375</v>
      </c>
    </row>
    <row r="28" customFormat="false" ht="15" hidden="false" customHeight="false" outlineLevel="0" collapsed="false">
      <c r="B28" s="14" t="s">
        <v>489</v>
      </c>
      <c r="C28" s="78" t="n">
        <f aca="false">Optimise!C10*Retrains*kWh_Retrain*Grid_CF/1000</f>
        <v>0.00975</v>
      </c>
    </row>
    <row r="29" customFormat="false" ht="15" hidden="false" customHeight="false" outlineLevel="0" collapsed="false">
      <c r="B29" s="7" t="s">
        <v>490</v>
      </c>
      <c r="C29" s="77" t="n">
        <f aca="false">IF(Mit_On=1,C27,C26)</f>
        <v>4160.26125</v>
      </c>
    </row>
    <row r="31" customFormat="false" ht="15" hidden="false" customHeight="true" outlineLevel="0" collapsed="false">
      <c r="B31" s="22" t="s">
        <v>491</v>
      </c>
      <c r="C31" s="22"/>
      <c r="D31" s="22"/>
      <c r="E31" s="22"/>
    </row>
    <row r="32" customFormat="false" ht="15" hidden="false" customHeight="false" outlineLevel="0" collapsed="false">
      <c r="B32" s="22"/>
      <c r="C32" s="22"/>
      <c r="D32" s="22"/>
      <c r="E32" s="22"/>
    </row>
  </sheetData>
  <mergeCells count="1">
    <mergeCell ref="B31: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6" min="3" style="0" width="12"/>
    <col collapsed="false" customWidth="true" hidden="false" outlineLevel="0" max="7" min="7" style="0" width="13"/>
    <col collapsed="false" customWidth="true" hidden="false" outlineLevel="0" max="8" min="8" style="0" width="12"/>
    <col collapsed="false" customWidth="true" hidden="false" outlineLevel="0" max="9" min="9" style="0" width="44"/>
    <col collapsed="false" customWidth="true" hidden="false" outlineLevel="0" max="10" min="10" style="0" width="12"/>
  </cols>
  <sheetData>
    <row r="1" customFormat="false" ht="19.7" hidden="false" customHeight="false" outlineLevel="0" collapsed="false">
      <c r="A1" s="1" t="s">
        <v>492</v>
      </c>
    </row>
    <row r="2" customFormat="false" ht="15" hidden="false" customHeight="false" outlineLevel="0" collapsed="false">
      <c r="A2" s="2" t="s">
        <v>493</v>
      </c>
    </row>
    <row r="4" customFormat="false" ht="15" hidden="false" customHeight="false" outlineLevel="0" collapsed="false">
      <c r="B4" s="5" t="s">
        <v>494</v>
      </c>
      <c r="C4" s="6"/>
      <c r="D4" s="6"/>
      <c r="E4" s="6"/>
      <c r="F4" s="6"/>
      <c r="G4" s="6"/>
      <c r="H4" s="6"/>
      <c r="I4" s="6"/>
      <c r="J4" s="6"/>
    </row>
    <row r="5" customFormat="false" ht="35.05" hidden="false" customHeight="false" outlineLevel="0" collapsed="false">
      <c r="B5" s="9" t="s">
        <v>495</v>
      </c>
      <c r="C5" s="9" t="s">
        <v>496</v>
      </c>
      <c r="D5" s="9" t="s">
        <v>497</v>
      </c>
      <c r="E5" s="9" t="s">
        <v>498</v>
      </c>
      <c r="F5" s="9" t="s">
        <v>499</v>
      </c>
      <c r="G5" s="9" t="s">
        <v>500</v>
      </c>
      <c r="H5" s="9" t="s">
        <v>79</v>
      </c>
      <c r="I5" s="9" t="s">
        <v>501</v>
      </c>
      <c r="J5" s="9" t="s">
        <v>502</v>
      </c>
    </row>
    <row r="6" customFormat="false" ht="22.35" hidden="false" customHeight="false" outlineLevel="0" collapsed="false">
      <c r="B6" s="4" t="s">
        <v>503</v>
      </c>
      <c r="C6" s="70" t="n">
        <v>0.5</v>
      </c>
      <c r="D6" s="70" t="n">
        <v>0.35</v>
      </c>
      <c r="E6" s="70" t="n">
        <v>0.4</v>
      </c>
      <c r="F6" s="70" t="n">
        <v>0</v>
      </c>
      <c r="G6" s="65" t="n">
        <v>40</v>
      </c>
      <c r="H6" s="16" t="n">
        <f aca="false">C6*G6</f>
        <v>20</v>
      </c>
      <c r="I6" s="30" t="s">
        <v>504</v>
      </c>
      <c r="J6" s="70" t="n">
        <v>0</v>
      </c>
    </row>
    <row r="7" customFormat="false" ht="15" hidden="false" customHeight="false" outlineLevel="0" collapsed="false">
      <c r="B7" s="4" t="s">
        <v>505</v>
      </c>
      <c r="C7" s="70" t="n">
        <v>0.5</v>
      </c>
      <c r="D7" s="70" t="n">
        <v>0.25</v>
      </c>
      <c r="E7" s="70" t="n">
        <v>0.15</v>
      </c>
      <c r="F7" s="70" t="n">
        <v>0</v>
      </c>
      <c r="G7" s="65" t="n">
        <v>25</v>
      </c>
      <c r="H7" s="16" t="n">
        <f aca="false">C7*G7</f>
        <v>12.5</v>
      </c>
      <c r="I7" s="30" t="s">
        <v>506</v>
      </c>
      <c r="J7" s="70" t="n">
        <v>0</v>
      </c>
    </row>
    <row r="8" customFormat="false" ht="22.35" hidden="false" customHeight="false" outlineLevel="0" collapsed="false">
      <c r="B8" s="4" t="s">
        <v>507</v>
      </c>
      <c r="C8" s="70" t="n">
        <v>0.5</v>
      </c>
      <c r="D8" s="70" t="n">
        <v>0</v>
      </c>
      <c r="E8" s="70" t="n">
        <v>0</v>
      </c>
      <c r="F8" s="70" t="n">
        <v>0.25</v>
      </c>
      <c r="G8" s="65" t="n">
        <v>3</v>
      </c>
      <c r="H8" s="16" t="n">
        <f aca="false">C8*G8</f>
        <v>1.5</v>
      </c>
      <c r="I8" s="30" t="s">
        <v>508</v>
      </c>
      <c r="J8" s="70" t="n">
        <v>0</v>
      </c>
    </row>
    <row r="9" customFormat="false" ht="22.35" hidden="false" customHeight="false" outlineLevel="0" collapsed="false">
      <c r="B9" s="4" t="s">
        <v>509</v>
      </c>
      <c r="C9" s="70" t="n">
        <v>0.5</v>
      </c>
      <c r="D9" s="70" t="n">
        <v>0</v>
      </c>
      <c r="E9" s="70" t="n">
        <v>0</v>
      </c>
      <c r="F9" s="70" t="n">
        <v>0</v>
      </c>
      <c r="G9" s="65" t="n">
        <v>2</v>
      </c>
      <c r="H9" s="16" t="n">
        <f aca="false">C9*G9</f>
        <v>1</v>
      </c>
      <c r="I9" s="30" t="s">
        <v>510</v>
      </c>
      <c r="J9" s="70" t="n">
        <v>0</v>
      </c>
    </row>
    <row r="10" customFormat="false" ht="22.35" hidden="false" customHeight="false" outlineLevel="0" collapsed="false">
      <c r="B10" s="4" t="s">
        <v>511</v>
      </c>
      <c r="C10" s="70" t="n">
        <v>0.5</v>
      </c>
      <c r="D10" s="70" t="n">
        <v>0</v>
      </c>
      <c r="E10" s="70" t="n">
        <v>0</v>
      </c>
      <c r="F10" s="70" t="n">
        <v>0</v>
      </c>
      <c r="G10" s="65" t="n">
        <v>0.5</v>
      </c>
      <c r="H10" s="16" t="n">
        <f aca="false">C10*G10</f>
        <v>0.25</v>
      </c>
      <c r="I10" s="30" t="s">
        <v>512</v>
      </c>
      <c r="J10" s="70" t="n">
        <v>0</v>
      </c>
    </row>
    <row r="11" customFormat="false" ht="22.35" hidden="false" customHeight="false" outlineLevel="0" collapsed="false">
      <c r="B11" s="4" t="s">
        <v>513</v>
      </c>
      <c r="C11" s="70" t="n">
        <v>0</v>
      </c>
      <c r="D11" s="70" t="n">
        <v>0</v>
      </c>
      <c r="E11" s="70" t="n">
        <v>0</v>
      </c>
      <c r="F11" s="70" t="n">
        <v>0.3</v>
      </c>
      <c r="G11" s="65" t="n">
        <v>15</v>
      </c>
      <c r="H11" s="16" t="n">
        <f aca="false">C11*G11</f>
        <v>0</v>
      </c>
      <c r="I11" s="30" t="s">
        <v>514</v>
      </c>
      <c r="J11" s="70" t="n">
        <v>0.2</v>
      </c>
    </row>
    <row r="12" customFormat="false" ht="15" hidden="false" customHeight="false" outlineLevel="0" collapsed="false">
      <c r="B12" s="2" t="s">
        <v>515</v>
      </c>
    </row>
    <row r="14" customFormat="false" ht="15" hidden="false" customHeight="false" outlineLevel="0" collapsed="false">
      <c r="B14" s="5" t="s">
        <v>516</v>
      </c>
      <c r="C14" s="6"/>
      <c r="D14" s="6"/>
      <c r="E14" s="6"/>
      <c r="F14" s="6"/>
      <c r="G14" s="6"/>
      <c r="H14" s="6"/>
      <c r="I14" s="6"/>
      <c r="J14" s="6"/>
    </row>
    <row r="15" customFormat="false" ht="15" hidden="false" customHeight="false" outlineLevel="0" collapsed="false">
      <c r="B15" s="14" t="s">
        <v>272</v>
      </c>
      <c r="C15" s="15" t="n">
        <f aca="false">MIN(0.9,SUMPRODUCT(C6:C11,D6:D11))</f>
        <v>0.3</v>
      </c>
    </row>
    <row r="16" customFormat="false" ht="15" hidden="false" customHeight="false" outlineLevel="0" collapsed="false">
      <c r="B16" s="14" t="s">
        <v>273</v>
      </c>
      <c r="C16" s="15" t="n">
        <f aca="false">MIN(0.9,SUMPRODUCT(C6:C11,E6:E11))</f>
        <v>0.275</v>
      </c>
    </row>
    <row r="17" customFormat="false" ht="15" hidden="false" customHeight="false" outlineLevel="0" collapsed="false">
      <c r="B17" s="14" t="s">
        <v>276</v>
      </c>
      <c r="C17" s="15" t="n">
        <f aca="false">1-(1-C8*F8)*(1-C11*F11)</f>
        <v>0.125</v>
      </c>
    </row>
    <row r="18" customFormat="false" ht="15" hidden="false" customHeight="false" outlineLevel="0" collapsed="false">
      <c r="B18" s="14" t="s">
        <v>517</v>
      </c>
      <c r="C18" s="15" t="n">
        <f aca="false">C9</f>
        <v>0.5</v>
      </c>
    </row>
    <row r="19" customFormat="false" ht="15" hidden="false" customHeight="false" outlineLevel="0" collapsed="false">
      <c r="B19" s="14" t="s">
        <v>518</v>
      </c>
      <c r="C19" s="15" t="n">
        <f aca="false">C10</f>
        <v>0.5</v>
      </c>
    </row>
    <row r="20" customFormat="false" ht="15" hidden="false" customHeight="false" outlineLevel="0" collapsed="false">
      <c r="B20" s="14" t="s">
        <v>519</v>
      </c>
      <c r="C20" s="15" t="n">
        <f aca="false">C11*J11</f>
        <v>0</v>
      </c>
    </row>
    <row r="22" customFormat="false" ht="15" hidden="false" customHeight="false" outlineLevel="0" collapsed="false">
      <c r="B22" s="5" t="s">
        <v>520</v>
      </c>
      <c r="C22" s="6"/>
      <c r="D22" s="6"/>
      <c r="E22" s="6"/>
      <c r="F22" s="6"/>
      <c r="G22" s="6"/>
      <c r="H22" s="6"/>
      <c r="I22" s="6"/>
      <c r="J22" s="6"/>
    </row>
    <row r="23" customFormat="false" ht="23.85" hidden="false" customHeight="false" outlineLevel="0" collapsed="false">
      <c r="B23" s="9" t="s">
        <v>418</v>
      </c>
      <c r="C23" s="9" t="s">
        <v>421</v>
      </c>
      <c r="D23" s="9" t="s">
        <v>521</v>
      </c>
      <c r="E23" s="9" t="s">
        <v>522</v>
      </c>
      <c r="F23" s="9" t="s">
        <v>523</v>
      </c>
      <c r="G23" s="9" t="s">
        <v>524</v>
      </c>
    </row>
    <row r="24" customFormat="false" ht="15" hidden="false" customHeight="false" outlineLevel="0" collapsed="false">
      <c r="B24" s="19" t="str">
        <f aca="false">Equity_Lens!B6</f>
        <v>Reference: Heathrow station</v>
      </c>
      <c r="C24" s="79" t="n">
        <f aca="false">Equity_Lens!E6</f>
        <v>0</v>
      </c>
      <c r="D24" s="23" t="n">
        <f aca="false">(Equity_Lens!C6+Equity_Lens!D6)/2</f>
        <v>0</v>
      </c>
      <c r="E24" s="23" t="n">
        <f aca="false">((Equity_Lens!C6-Opt_Day_Frac*MAX(0,Equity_Lens!C6))+(Equity_Lens!D6-Opt_Night_Frac*MAX(0,Equity_Lens!D6)))/2</f>
        <v>0</v>
      </c>
      <c r="F24" s="16" t="n">
        <f aca="false">SUMPRODUCT((Data_Heathrow!$B$2:$B$6886=SelYear)*(Data_Heathrow!$I$2:$I$6886&lt;&gt;"")*((Data_Heathrow!$I$2:$I$6886+Climate_Shift+D24-T_Mort)&gt;0)*(Data_Heathrow!$I$2:$I$6886+Climate_Shift+D24-T_Mort))</f>
        <v>124.5</v>
      </c>
      <c r="G24" s="16" t="n">
        <f aca="false">SUMPRODUCT((Data_Heathrow!$B$2:$B$6886=SelYear)*(Data_Heathrow!$I$2:$I$6886&lt;&gt;"")*((Data_Heathrow!$I$2:$I$6886+Climate_Shift+E24-T_Mort)&gt;0)*(Data_Heathrow!$I$2:$I$6886+Climate_Shift+E24-T_Mort))</f>
        <v>124.5</v>
      </c>
    </row>
    <row r="25" customFormat="false" ht="15" hidden="false" customHeight="false" outlineLevel="0" collapsed="false">
      <c r="B25" s="19" t="str">
        <f aca="false">Equity_Lens!B7</f>
        <v>Inner London: dense, low green</v>
      </c>
      <c r="C25" s="79" t="n">
        <f aca="false">Equity_Lens!E7</f>
        <v>0.3</v>
      </c>
      <c r="D25" s="23" t="n">
        <f aca="false">(Equity_Lens!C7+Equity_Lens!D7)/2</f>
        <v>3</v>
      </c>
      <c r="E25" s="23" t="n">
        <f aca="false">((Equity_Lens!C7-Opt_Day_Frac*MAX(0,Equity_Lens!C7))+(Equity_Lens!D7-Opt_Night_Frac*MAX(0,Equity_Lens!D7)))/2</f>
        <v>2.15</v>
      </c>
      <c r="F25" s="16" t="n">
        <f aca="false">SUMPRODUCT((Data_Heathrow!$B$2:$B$6886=SelYear)*(Data_Heathrow!$I$2:$I$6886&lt;&gt;"")*((Data_Heathrow!$I$2:$I$6886+Climate_Shift+D25-T_Mort)&gt;0)*(Data_Heathrow!$I$2:$I$6886+Climate_Shift+D25-T_Mort))</f>
        <v>336.6</v>
      </c>
      <c r="G25" s="16" t="n">
        <f aca="false">SUMPRODUCT((Data_Heathrow!$B$2:$B$6886=SelYear)*(Data_Heathrow!$I$2:$I$6886&lt;&gt;"")*((Data_Heathrow!$I$2:$I$6886+Climate_Shift+E25-T_Mort)&gt;0)*(Data_Heathrow!$I$2:$I$6886+Climate_Shift+E25-T_Mort))</f>
        <v>262.75</v>
      </c>
    </row>
    <row r="26" customFormat="false" ht="15" hidden="false" customHeight="false" outlineLevel="0" collapsed="false">
      <c r="B26" s="19" t="str">
        <f aca="false">Equity_Lens!B8</f>
        <v>Outer London: suburban</v>
      </c>
      <c r="C26" s="79" t="n">
        <f aca="false">Equity_Lens!E8</f>
        <v>0.55</v>
      </c>
      <c r="D26" s="23" t="n">
        <f aca="false">(Equity_Lens!C8+Equity_Lens!D8)/2</f>
        <v>0.75</v>
      </c>
      <c r="E26" s="23" t="n">
        <f aca="false">((Equity_Lens!C8-Opt_Day_Frac*MAX(0,Equity_Lens!C8))+(Equity_Lens!D8-Opt_Night_Frac*MAX(0,Equity_Lens!D8)))/2</f>
        <v>0.5375</v>
      </c>
      <c r="F26" s="16" t="n">
        <f aca="false">SUMPRODUCT((Data_Heathrow!$B$2:$B$6886=SelYear)*(Data_Heathrow!$I$2:$I$6886&lt;&gt;"")*((Data_Heathrow!$I$2:$I$6886+Climate_Shift+D26-T_Mort)&gt;0)*(Data_Heathrow!$I$2:$I$6886+Climate_Shift+D26-T_Mort))</f>
        <v>165.75</v>
      </c>
      <c r="G26" s="16" t="n">
        <f aca="false">SUMPRODUCT((Data_Heathrow!$B$2:$B$6886=SelYear)*(Data_Heathrow!$I$2:$I$6886&lt;&gt;"")*((Data_Heathrow!$I$2:$I$6886+Climate_Shift+E26-T_Mort)&gt;0)*(Data_Heathrow!$I$2:$I$6886+Climate_Shift+E26-T_Mort))</f>
        <v>153.4</v>
      </c>
    </row>
    <row r="27" customFormat="false" ht="15" hidden="false" customHeight="false" outlineLevel="0" collapsed="false">
      <c r="B27" s="19" t="str">
        <f aca="false">Equity_Lens!B9</f>
        <v>Green &amp; blue corridors</v>
      </c>
      <c r="C27" s="79" t="n">
        <f aca="false">Equity_Lens!E9</f>
        <v>0.15</v>
      </c>
      <c r="D27" s="23" t="n">
        <f aca="false">(Equity_Lens!C9+Equity_Lens!D9)/2</f>
        <v>-0.25</v>
      </c>
      <c r="E27" s="23" t="n">
        <f aca="false">((Equity_Lens!C9-Opt_Day_Frac*MAX(0,Equity_Lens!C9))+(Equity_Lens!D9-Opt_Night_Frac*MAX(0,Equity_Lens!D9)))/2</f>
        <v>-0.25</v>
      </c>
      <c r="F27" s="16" t="n">
        <f aca="false">SUMPRODUCT((Data_Heathrow!$B$2:$B$6886=SelYear)*(Data_Heathrow!$I$2:$I$6886&lt;&gt;"")*((Data_Heathrow!$I$2:$I$6886+Climate_Shift+D27-T_Mort)&gt;0)*(Data_Heathrow!$I$2:$I$6886+Climate_Shift+D27-T_Mort))</f>
        <v>112.65</v>
      </c>
      <c r="G27" s="16" t="n">
        <f aca="false">SUMPRODUCT((Data_Heathrow!$B$2:$B$6886=SelYear)*(Data_Heathrow!$I$2:$I$6886&lt;&gt;"")*((Data_Heathrow!$I$2:$I$6886+Climate_Shift+E27-T_Mort)&gt;0)*(Data_Heathrow!$I$2:$I$6886+Climate_Shift+E27-T_Mort))</f>
        <v>112.65</v>
      </c>
    </row>
    <row r="29" customFormat="false" ht="15" hidden="false" customHeight="false" outlineLevel="0" collapsed="false">
      <c r="B29" s="14" t="s">
        <v>525</v>
      </c>
      <c r="C29" s="16" t="n">
        <f aca="false">SUM(H6:H11)</f>
        <v>35.25</v>
      </c>
    </row>
    <row r="30" customFormat="false" ht="15" hidden="false" customHeight="false" outlineLevel="0" collapsed="false">
      <c r="B30" s="14" t="s">
        <v>526</v>
      </c>
      <c r="C30" s="14" t="str">
        <f aca="false">IF(C29&lt;=Budget,"Yes","NO — over budget")</f>
        <v>Yes</v>
      </c>
    </row>
    <row r="31" customFormat="false" ht="15" hidden="false" customHeight="false" outlineLevel="0" collapsed="false">
      <c r="B31" s="14" t="s">
        <v>527</v>
      </c>
      <c r="C31" s="25" t="n">
        <f aca="false">Beta*SUMPRODUCT(C24:C27,F24:F27)</f>
        <v>387</v>
      </c>
    </row>
    <row r="32" customFormat="false" ht="15" hidden="false" customHeight="false" outlineLevel="0" collapsed="false">
      <c r="B32" s="14" t="s">
        <v>528</v>
      </c>
      <c r="C32" s="25" t="n">
        <f aca="false">Beta*(1-Opt_Sens_Red)*SUMPRODUCT(C24:C27,G24:G27)</f>
        <v>291.732791869977</v>
      </c>
    </row>
    <row r="33" customFormat="false" ht="15" hidden="false" customHeight="false" outlineLevel="0" collapsed="false">
      <c r="B33" s="7" t="s">
        <v>529</v>
      </c>
      <c r="C33" s="16" t="n">
        <f aca="false">C31-C32</f>
        <v>95.2672081300229</v>
      </c>
    </row>
    <row r="34" customFormat="false" ht="15" hidden="false" customHeight="false" outlineLevel="0" collapsed="false">
      <c r="B34" s="14" t="s">
        <v>530</v>
      </c>
      <c r="C34" s="23" t="n">
        <f aca="false">IFERROR(C29/C33,"n/a")</f>
        <v>0.370011892779412</v>
      </c>
    </row>
    <row r="35" customFormat="false" ht="15" hidden="false" customHeight="false" outlineLevel="0" collapsed="false">
      <c r="B35" s="14" t="s">
        <v>531</v>
      </c>
      <c r="C35" s="18" t="n">
        <f aca="false">Sustainability!C27-Sustainability!C26</f>
        <v>-1747.670875</v>
      </c>
    </row>
    <row r="36" customFormat="false" ht="15" hidden="false" customHeight="false" outlineLevel="0" collapsed="false">
      <c r="B36" s="14" t="s">
        <v>532</v>
      </c>
      <c r="C36" s="14" t="str">
        <f aca="false">IF(Sustainability!C27&lt;=Carbon_Budget,"Yes","NO")</f>
        <v>Yes</v>
      </c>
    </row>
    <row r="38" customFormat="false" ht="15" hidden="false" customHeight="true" outlineLevel="0" collapsed="false">
      <c r="B38" s="22" t="s">
        <v>533</v>
      </c>
      <c r="C38" s="22"/>
      <c r="D38" s="22"/>
      <c r="E38" s="22"/>
      <c r="F38" s="22"/>
      <c r="G38" s="22"/>
      <c r="H38" s="22"/>
      <c r="I38" s="22"/>
      <c r="J38" s="22"/>
    </row>
    <row r="39" customFormat="false" ht="15" hidden="false" customHeight="false" outlineLevel="0" collapsed="false">
      <c r="B39" s="22"/>
      <c r="C39" s="22"/>
      <c r="D39" s="22"/>
      <c r="E39" s="22"/>
      <c r="F39" s="22"/>
      <c r="G39" s="22"/>
      <c r="H39" s="22"/>
      <c r="I39" s="22"/>
      <c r="J39" s="22"/>
    </row>
  </sheetData>
  <mergeCells count="1">
    <mergeCell ref="B38:J39"/>
  </mergeCells>
  <dataValidations count="1">
    <dataValidation allowBlank="false" errorStyle="stop" operator="between" showDropDown="false" showErrorMessage="false" showInputMessage="false" sqref="C6:C11"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S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0" width="7"/>
    <col collapsed="false" customWidth="true" hidden="false" outlineLevel="0" max="3" min="3" style="0" width="40"/>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6"/>
    <col collapsed="false" customWidth="true" hidden="false" outlineLevel="0" max="9" min="9" style="0" width="40"/>
    <col collapsed="false" customWidth="true" hidden="false" outlineLevel="0" max="10" min="10" style="0" width="11"/>
    <col collapsed="false" customWidth="true" hidden="false" outlineLevel="0" max="11" min="11" style="0" width="10"/>
    <col collapsed="false" customWidth="true" hidden="false" outlineLevel="0" max="12" min="12" style="0" width="30"/>
    <col collapsed="false" customWidth="true" hidden="false" outlineLevel="0" max="13" min="13" style="0" width="26"/>
    <col collapsed="false" customWidth="true" hidden="false" outlineLevel="0" max="14" min="14" style="0" width="24"/>
    <col collapsed="false" customWidth="true" hidden="false" outlineLevel="0" max="15" min="15" style="0" width="11"/>
    <col collapsed="false" customWidth="true" hidden="false" outlineLevel="0" max="16" min="16" style="0" width="9"/>
    <col collapsed="false" customWidth="true" hidden="false" outlineLevel="0" max="17" min="17" style="0" width="8"/>
    <col collapsed="false" customWidth="true" hidden="false" outlineLevel="0" max="18" min="18" style="0" width="11"/>
    <col collapsed="false" customWidth="true" hidden="false" outlineLevel="0" max="19" min="19" style="0" width="9"/>
  </cols>
  <sheetData>
    <row r="1" customFormat="false" ht="19.7" hidden="false" customHeight="false" outlineLevel="0" collapsed="false">
      <c r="A1" s="1" t="s">
        <v>534</v>
      </c>
    </row>
    <row r="2" customFormat="false" ht="15" hidden="false" customHeight="false" outlineLevel="0" collapsed="false">
      <c r="A2" s="2" t="s">
        <v>535</v>
      </c>
    </row>
    <row r="4" customFormat="false" ht="42" hidden="false" customHeight="true" outlineLevel="0" collapsed="false">
      <c r="B4" s="9" t="s">
        <v>536</v>
      </c>
      <c r="C4" s="9" t="s">
        <v>537</v>
      </c>
      <c r="D4" s="9" t="s">
        <v>538</v>
      </c>
      <c r="E4" s="9" t="s">
        <v>539</v>
      </c>
      <c r="F4" s="9" t="s">
        <v>540</v>
      </c>
      <c r="G4" s="9" t="s">
        <v>541</v>
      </c>
      <c r="H4" s="9" t="s">
        <v>542</v>
      </c>
      <c r="I4" s="9" t="s">
        <v>543</v>
      </c>
      <c r="J4" s="9" t="s">
        <v>544</v>
      </c>
      <c r="K4" s="9" t="s">
        <v>545</v>
      </c>
      <c r="L4" s="9" t="s">
        <v>546</v>
      </c>
      <c r="M4" s="9" t="s">
        <v>547</v>
      </c>
      <c r="N4" s="9" t="s">
        <v>548</v>
      </c>
      <c r="O4" s="9" t="s">
        <v>549</v>
      </c>
      <c r="P4" s="9" t="s">
        <v>550</v>
      </c>
      <c r="Q4" s="9" t="s">
        <v>551</v>
      </c>
      <c r="R4" s="9" t="s">
        <v>552</v>
      </c>
      <c r="S4" s="9" t="s">
        <v>553</v>
      </c>
    </row>
    <row r="5" customFormat="false" ht="39.75" hidden="false" customHeight="true" outlineLevel="0" collapsed="false">
      <c r="B5" s="14" t="s">
        <v>554</v>
      </c>
      <c r="C5" s="4" t="s">
        <v>555</v>
      </c>
      <c r="D5" s="69" t="n">
        <f aca="false">First_HW</f>
        <v>44728</v>
      </c>
      <c r="E5" s="68" t="n">
        <f aca="false">HW_Prob</f>
        <v>5</v>
      </c>
      <c r="F5" s="20" t="n">
        <v>5</v>
      </c>
      <c r="G5" s="25" t="n">
        <f aca="false">E5*F5</f>
        <v>25</v>
      </c>
      <c r="H5" s="26" t="s">
        <v>556</v>
      </c>
      <c r="I5" s="26" t="s">
        <v>557</v>
      </c>
      <c r="J5" s="20" t="n">
        <v>3</v>
      </c>
      <c r="K5" s="20" t="n">
        <v>4</v>
      </c>
      <c r="L5" s="30" t="s">
        <v>558</v>
      </c>
      <c r="M5" s="4" t="s">
        <v>187</v>
      </c>
      <c r="N5" s="4" t="s">
        <v>559</v>
      </c>
      <c r="O5" s="80" t="n">
        <f aca="false">KPI_MaxRun</f>
        <v>9</v>
      </c>
      <c r="P5" s="25" t="n">
        <f aca="false">IF(KPI_MaxRun&gt;=HW_Days,1,0)</f>
        <v>1</v>
      </c>
      <c r="Q5" s="17" t="str">
        <f aca="false">IF(P5=1,"RED",IF(G5&gt;=12,"AMBER","GREEN"))</f>
        <v>RED</v>
      </c>
      <c r="R5" s="14" t="s">
        <v>560</v>
      </c>
      <c r="S5" s="25" t="n">
        <f aca="false">J5*K5</f>
        <v>12</v>
      </c>
    </row>
    <row r="6" customFormat="false" ht="39.75" hidden="false" customHeight="true" outlineLevel="0" collapsed="false">
      <c r="B6" s="14" t="s">
        <v>561</v>
      </c>
      <c r="C6" s="4" t="s">
        <v>562</v>
      </c>
      <c r="D6" s="69" t="n">
        <f aca="false">First_Tip</f>
        <v>44760</v>
      </c>
      <c r="E6" s="20" t="n">
        <v>4</v>
      </c>
      <c r="F6" s="20" t="n">
        <v>5</v>
      </c>
      <c r="G6" s="25" t="n">
        <f aca="false">E6*F6</f>
        <v>20</v>
      </c>
      <c r="H6" s="26" t="s">
        <v>563</v>
      </c>
      <c r="I6" s="26" t="s">
        <v>564</v>
      </c>
      <c r="J6" s="20" t="n">
        <v>3</v>
      </c>
      <c r="K6" s="20" t="n">
        <v>3</v>
      </c>
      <c r="L6" s="30" t="s">
        <v>565</v>
      </c>
      <c r="M6" s="4" t="s">
        <v>122</v>
      </c>
      <c r="N6" s="4" t="s">
        <v>566</v>
      </c>
      <c r="O6" s="80" t="n">
        <f aca="false">KPI_TipDays</f>
        <v>3</v>
      </c>
      <c r="P6" s="25" t="n">
        <f aca="false">IF(KPI_TipDays&gt;0,1,0)</f>
        <v>1</v>
      </c>
      <c r="Q6" s="17" t="str">
        <f aca="false">IF(P6=1,"RED",IF(G6&gt;=12,"AMBER","GREEN"))</f>
        <v>RED</v>
      </c>
      <c r="R6" s="14" t="s">
        <v>567</v>
      </c>
      <c r="S6" s="25" t="n">
        <f aca="false">J6*K6</f>
        <v>9</v>
      </c>
    </row>
    <row r="7" customFormat="false" ht="39.75" hidden="false" customHeight="true" outlineLevel="0" collapsed="false">
      <c r="B7" s="14" t="s">
        <v>568</v>
      </c>
      <c r="C7" s="4" t="s">
        <v>569</v>
      </c>
      <c r="D7" s="81"/>
      <c r="E7" s="20" t="n">
        <v>4</v>
      </c>
      <c r="F7" s="20" t="n">
        <v>5</v>
      </c>
      <c r="G7" s="25" t="n">
        <f aca="false">E7*F7</f>
        <v>20</v>
      </c>
      <c r="H7" s="26" t="s">
        <v>570</v>
      </c>
      <c r="I7" s="26" t="s">
        <v>571</v>
      </c>
      <c r="J7" s="20" t="n">
        <v>3</v>
      </c>
      <c r="K7" s="20" t="n">
        <v>4</v>
      </c>
      <c r="L7" s="30" t="s">
        <v>572</v>
      </c>
      <c r="M7" s="4" t="s">
        <v>573</v>
      </c>
      <c r="N7" s="4" t="s">
        <v>574</v>
      </c>
      <c r="O7" s="80" t="n">
        <f aca="false">London_Deaths</f>
        <v>387</v>
      </c>
      <c r="P7" s="25" t="n">
        <f aca="false">IF(London_Deaths&gt;Deaths_Appetite,1,0)</f>
        <v>1</v>
      </c>
      <c r="Q7" s="17" t="str">
        <f aca="false">IF(P7=1,"RED",IF(G7&gt;=12,"AMBER","GREEN"))</f>
        <v>RED</v>
      </c>
      <c r="R7" s="14" t="s">
        <v>575</v>
      </c>
      <c r="S7" s="25" t="n">
        <f aca="false">J7*K7</f>
        <v>12</v>
      </c>
    </row>
    <row r="8" customFormat="false" ht="39.75" hidden="false" customHeight="true" outlineLevel="0" collapsed="false">
      <c r="B8" s="14" t="s">
        <v>576</v>
      </c>
      <c r="C8" s="4" t="s">
        <v>577</v>
      </c>
      <c r="D8" s="69" t="n">
        <f aca="false">First_Drift</f>
        <v>44760</v>
      </c>
      <c r="E8" s="20" t="n">
        <v>3</v>
      </c>
      <c r="F8" s="20" t="n">
        <v>4</v>
      </c>
      <c r="G8" s="25" t="n">
        <f aca="false">E8*F8</f>
        <v>12</v>
      </c>
      <c r="H8" s="26" t="s">
        <v>578</v>
      </c>
      <c r="I8" s="26" t="s">
        <v>579</v>
      </c>
      <c r="J8" s="20" t="n">
        <v>2</v>
      </c>
      <c r="K8" s="20" t="n">
        <v>3</v>
      </c>
      <c r="L8" s="30" t="s">
        <v>580</v>
      </c>
      <c r="M8" s="4" t="s">
        <v>295</v>
      </c>
      <c r="N8" s="4" t="s">
        <v>566</v>
      </c>
      <c r="O8" s="80" t="n">
        <f aca="false">KPI_DriftDays</f>
        <v>2</v>
      </c>
      <c r="P8" s="25" t="n">
        <f aca="false">IF(KPI_DriftDays&gt;0,1,0)</f>
        <v>1</v>
      </c>
      <c r="Q8" s="17" t="str">
        <f aca="false">IF(P8=1,"RED",IF(G8&gt;=12,"AMBER","GREEN"))</f>
        <v>RED</v>
      </c>
      <c r="R8" s="14" t="s">
        <v>581</v>
      </c>
      <c r="S8" s="25" t="n">
        <f aca="false">J8*K8</f>
        <v>6</v>
      </c>
    </row>
    <row r="9" customFormat="false" ht="39.75" hidden="false" customHeight="true" outlineLevel="0" collapsed="false">
      <c r="B9" s="14" t="s">
        <v>582</v>
      </c>
      <c r="C9" s="4" t="s">
        <v>583</v>
      </c>
      <c r="D9" s="81"/>
      <c r="E9" s="20" t="n">
        <v>3</v>
      </c>
      <c r="F9" s="20" t="n">
        <v>4</v>
      </c>
      <c r="G9" s="25" t="n">
        <f aca="false">E9*F9</f>
        <v>12</v>
      </c>
      <c r="H9" s="26" t="s">
        <v>584</v>
      </c>
      <c r="I9" s="26" t="s">
        <v>585</v>
      </c>
      <c r="J9" s="20" t="n">
        <v>2</v>
      </c>
      <c r="K9" s="20" t="n">
        <v>3</v>
      </c>
      <c r="L9" s="30" t="s">
        <v>586</v>
      </c>
      <c r="M9" s="4" t="s">
        <v>220</v>
      </c>
      <c r="N9" s="4" t="s">
        <v>587</v>
      </c>
      <c r="O9" s="79" t="n">
        <f aca="false">KPI_Recall</f>
        <v>0.365853658536585</v>
      </c>
      <c r="P9" s="25" t="n">
        <f aca="false">IF(ISNUMBER(KPI_Recall),IF(KPI_Recall&lt;Recall_Target,1,0),0)</f>
        <v>1</v>
      </c>
      <c r="Q9" s="17" t="str">
        <f aca="false">IF(P9=1,"RED",IF(G9&gt;=12,"AMBER","GREEN"))</f>
        <v>RED</v>
      </c>
      <c r="R9" s="14" t="s">
        <v>588</v>
      </c>
      <c r="S9" s="25" t="n">
        <f aca="false">J9*K9</f>
        <v>6</v>
      </c>
    </row>
    <row r="10" customFormat="false" ht="39.75" hidden="false" customHeight="true" outlineLevel="0" collapsed="false">
      <c r="B10" s="14" t="s">
        <v>589</v>
      </c>
      <c r="C10" s="4" t="s">
        <v>590</v>
      </c>
      <c r="D10" s="81"/>
      <c r="E10" s="20" t="n">
        <v>3</v>
      </c>
      <c r="F10" s="20" t="n">
        <v>4</v>
      </c>
      <c r="G10" s="25" t="n">
        <f aca="false">E10*F10</f>
        <v>12</v>
      </c>
      <c r="H10" s="26" t="s">
        <v>591</v>
      </c>
      <c r="I10" s="26" t="s">
        <v>592</v>
      </c>
      <c r="J10" s="20" t="n">
        <v>2</v>
      </c>
      <c r="K10" s="20" t="n">
        <v>2</v>
      </c>
      <c r="L10" s="30" t="s">
        <v>593</v>
      </c>
      <c r="M10" s="4" t="s">
        <v>294</v>
      </c>
      <c r="N10" s="4" t="s">
        <v>566</v>
      </c>
      <c r="O10" s="80" t="n">
        <f aca="false">KPI_SuspectHot</f>
        <v>5</v>
      </c>
      <c r="P10" s="25" t="n">
        <f aca="false">IF(KPI_SuspectHot&gt;0,1,0)</f>
        <v>1</v>
      </c>
      <c r="Q10" s="17" t="str">
        <f aca="false">IF(P10=1,"RED",IF(G10&gt;=12,"AMBER","GREEN"))</f>
        <v>RED</v>
      </c>
      <c r="R10" s="14" t="s">
        <v>594</v>
      </c>
      <c r="S10" s="25" t="n">
        <f aca="false">J10*K10</f>
        <v>4</v>
      </c>
    </row>
    <row r="11" customFormat="false" ht="39.75" hidden="false" customHeight="true" outlineLevel="0" collapsed="false">
      <c r="B11" s="14" t="s">
        <v>595</v>
      </c>
      <c r="C11" s="4" t="s">
        <v>596</v>
      </c>
      <c r="D11" s="69" t="n">
        <f aca="false">First_Gap</f>
        <v>44697</v>
      </c>
      <c r="E11" s="20" t="n">
        <v>4</v>
      </c>
      <c r="F11" s="20" t="n">
        <v>4</v>
      </c>
      <c r="G11" s="25" t="n">
        <f aca="false">E11*F11</f>
        <v>16</v>
      </c>
      <c r="H11" s="26" t="s">
        <v>597</v>
      </c>
      <c r="I11" s="26" t="s">
        <v>598</v>
      </c>
      <c r="J11" s="20" t="n">
        <v>2</v>
      </c>
      <c r="K11" s="20" t="n">
        <v>3</v>
      </c>
      <c r="L11" s="30" t="s">
        <v>599</v>
      </c>
      <c r="M11" s="4" t="s">
        <v>229</v>
      </c>
      <c r="N11" s="4" t="s">
        <v>566</v>
      </c>
      <c r="O11" s="80" t="n">
        <f aca="false">KPI_RepGap</f>
        <v>19</v>
      </c>
      <c r="P11" s="25" t="n">
        <f aca="false">IF(KPI_RepGap&gt;0,1,0)</f>
        <v>1</v>
      </c>
      <c r="Q11" s="17" t="str">
        <f aca="false">IF(P11=1,"RED",IF(G11&gt;=12,"AMBER","GREEN"))</f>
        <v>RED</v>
      </c>
      <c r="R11" s="14" t="s">
        <v>600</v>
      </c>
      <c r="S11" s="25" t="n">
        <f aca="false">J11*K11</f>
        <v>6</v>
      </c>
    </row>
    <row r="12" customFormat="false" ht="39.75" hidden="false" customHeight="true" outlineLevel="0" collapsed="false">
      <c r="B12" s="14" t="s">
        <v>601</v>
      </c>
      <c r="C12" s="4" t="s">
        <v>602</v>
      </c>
      <c r="D12" s="81"/>
      <c r="E12" s="20" t="n">
        <v>3</v>
      </c>
      <c r="F12" s="20" t="n">
        <v>3</v>
      </c>
      <c r="G12" s="25" t="n">
        <f aca="false">E12*F12</f>
        <v>9</v>
      </c>
      <c r="H12" s="26" t="s">
        <v>603</v>
      </c>
      <c r="I12" s="26" t="s">
        <v>604</v>
      </c>
      <c r="J12" s="20" t="n">
        <v>2</v>
      </c>
      <c r="K12" s="20" t="n">
        <v>2</v>
      </c>
      <c r="L12" s="30" t="s">
        <v>605</v>
      </c>
      <c r="M12" s="4" t="s">
        <v>117</v>
      </c>
      <c r="N12" s="4" t="s">
        <v>606</v>
      </c>
      <c r="O12" s="80" t="n">
        <f aca="false">Carbon_Now</f>
        <v>4160.26125</v>
      </c>
      <c r="P12" s="25" t="n">
        <f aca="false">IF(Carbon_Now&gt;Carbon_Budget,1,0)</f>
        <v>0</v>
      </c>
      <c r="Q12" s="17" t="str">
        <f aca="false">IF(P12=1,"RED",IF(G12&gt;=12,"AMBER","GREEN"))</f>
        <v>GREEN</v>
      </c>
      <c r="R12" s="14" t="s">
        <v>607</v>
      </c>
      <c r="S12" s="25" t="n">
        <f aca="false">J12*K12</f>
        <v>4</v>
      </c>
    </row>
    <row r="13" customFormat="false" ht="39.75" hidden="false" customHeight="true" outlineLevel="0" collapsed="false">
      <c r="B13" s="14" t="s">
        <v>608</v>
      </c>
      <c r="C13" s="4" t="s">
        <v>609</v>
      </c>
      <c r="D13" s="81"/>
      <c r="E13" s="20" t="n">
        <v>2</v>
      </c>
      <c r="F13" s="20" t="n">
        <v>3</v>
      </c>
      <c r="G13" s="25" t="n">
        <f aca="false">E13*F13</f>
        <v>6</v>
      </c>
      <c r="H13" s="26" t="s">
        <v>610</v>
      </c>
      <c r="I13" s="26" t="s">
        <v>611</v>
      </c>
      <c r="J13" s="20" t="n">
        <v>1</v>
      </c>
      <c r="K13" s="20" t="n">
        <v>3</v>
      </c>
      <c r="L13" s="30" t="s">
        <v>612</v>
      </c>
      <c r="M13" s="4" t="s">
        <v>115</v>
      </c>
      <c r="N13" s="4" t="s">
        <v>613</v>
      </c>
      <c r="O13" s="80" t="n">
        <f aca="false">Optimise!C29</f>
        <v>35.25</v>
      </c>
      <c r="P13" s="25" t="n">
        <f aca="false">IF(Optimise!C29&gt;Budget,1,0)</f>
        <v>0</v>
      </c>
      <c r="Q13" s="17" t="str">
        <f aca="false">IF(P13=1,"RED",IF(G13&gt;=12,"AMBER","GREEN"))</f>
        <v>GREEN</v>
      </c>
      <c r="R13" s="14" t="s">
        <v>614</v>
      </c>
      <c r="S13" s="25" t="n">
        <f aca="false">J13*K13</f>
        <v>3</v>
      </c>
    </row>
    <row r="15" customFormat="false" ht="15" hidden="false" customHeight="false" outlineLevel="0" collapsed="false">
      <c r="B15" s="2" t="s">
        <v>615</v>
      </c>
    </row>
    <row r="16" customFormat="false" ht="15" hidden="false" customHeight="false" outlineLevel="0" collapsed="false">
      <c r="B16" s="2" t="s">
        <v>616</v>
      </c>
    </row>
  </sheetData>
  <conditionalFormatting sqref="Q5:Q13">
    <cfRule type="cellIs" priority="2" operator="equal" aboveAverage="0" equalAverage="0" bottom="0" percent="0" rank="0" text="" dxfId="0">
      <formula>"RED"</formula>
    </cfRule>
    <cfRule type="cellIs" priority="3" operator="equal" aboveAverage="0" equalAverage="0" bottom="0" percent="0" rank="0" text="" dxfId="2">
      <formula>"AMBER"</formula>
    </cfRule>
    <cfRule type="cellIs" priority="4" operator="equal" aboveAverage="0" equalAverage="0" bottom="0" percent="0" rank="0" text="" dxfId="1">
      <formula>"GREEN"</formula>
    </cfRule>
  </conditionalFormatting>
  <conditionalFormatting sqref="G5:G13">
    <cfRule type="cellIs" priority="5" operator="greaterThanOrEqual" aboveAverage="0" equalAverage="0" bottom="0" percent="0" rank="0" text="" dxfId="0">
      <formula>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0" width="11"/>
    <col collapsed="false" customWidth="true" hidden="false" outlineLevel="0" max="3" min="3" style="0" width="9"/>
    <col collapsed="false" customWidth="true" hidden="false" outlineLevel="0" max="4" min="4" style="0" width="22"/>
    <col collapsed="false" customWidth="true" hidden="false" outlineLevel="0" max="5" min="5" style="0" width="62"/>
    <col collapsed="false" customWidth="true" hidden="false" outlineLevel="0" max="6" min="6" style="0" width="13"/>
    <col collapsed="false" customWidth="true" hidden="false" outlineLevel="0" max="8" min="7" style="0" width="26"/>
    <col collapsed="false" customWidth="true" hidden="false" outlineLevel="0" max="9" min="9" style="0" width="11"/>
    <col collapsed="false" customWidth="true" hidden="false" outlineLevel="0" max="11" min="10" style="0" width="32"/>
    <col collapsed="false" customWidth="true" hidden="false" outlineLevel="0" max="12" min="12" style="0" width="16"/>
  </cols>
  <sheetData>
    <row r="1" customFormat="false" ht="19.7" hidden="false" customHeight="false" outlineLevel="0" collapsed="false">
      <c r="A1" s="1" t="s">
        <v>617</v>
      </c>
    </row>
    <row r="2" customFormat="false" ht="15" hidden="false" customHeight="false" outlineLevel="0" collapsed="false">
      <c r="A2" s="2" t="s">
        <v>618</v>
      </c>
    </row>
    <row r="4" customFormat="false" ht="31.5" hidden="false" customHeight="true" outlineLevel="0" collapsed="false">
      <c r="B4" s="9" t="s">
        <v>619</v>
      </c>
      <c r="C4" s="9" t="s">
        <v>620</v>
      </c>
      <c r="D4" s="9" t="s">
        <v>621</v>
      </c>
      <c r="E4" s="9" t="s">
        <v>622</v>
      </c>
      <c r="F4" s="9" t="s">
        <v>623</v>
      </c>
      <c r="G4" s="9" t="s">
        <v>624</v>
      </c>
      <c r="H4" s="9" t="s">
        <v>625</v>
      </c>
      <c r="I4" s="9" t="s">
        <v>626</v>
      </c>
      <c r="J4" s="9" t="s">
        <v>627</v>
      </c>
      <c r="K4" s="9" t="s">
        <v>628</v>
      </c>
      <c r="L4" s="9" t="s">
        <v>542</v>
      </c>
    </row>
    <row r="5" customFormat="false" ht="57.75" hidden="false" customHeight="true" outlineLevel="0" collapsed="false">
      <c r="B5" s="14" t="s">
        <v>560</v>
      </c>
      <c r="C5" s="14" t="s">
        <v>554</v>
      </c>
      <c r="D5" s="17" t="str">
        <f aca="false">IF(Risk_Register!P5=1,"CHANGE REQUEST RAISED","Baseline — monitor")</f>
        <v>CHANGE REQUEST RAISED</v>
      </c>
      <c r="E5" s="4" t="str">
        <f aca="false">"The alert service shall issue an Amber alert when the local daily maximum is ≥ "&amp;TEXT(T_Day,"0.0")&amp;"°C for ≥ "&amp;HW_Days&amp;" consecutive days and the night minimum is ≥ "&amp;TEXT(T_Night,"0.0")&amp;"°C."</f>
        <v>The alert service shall issue an Amber alert when the local daily maximum is ≥ 28.0°C for ≥ 3 consecutive days and the night minimum is ≥ 18.0°C.</v>
      </c>
      <c r="F5" s="14" t="s">
        <v>629</v>
      </c>
      <c r="G5" s="4" t="s">
        <v>630</v>
      </c>
      <c r="H5" s="4" t="s">
        <v>631</v>
      </c>
      <c r="I5" s="24" t="s">
        <v>632</v>
      </c>
      <c r="J5" s="26" t="s">
        <v>633</v>
      </c>
      <c r="K5" s="26" t="s">
        <v>634</v>
      </c>
      <c r="L5" s="24"/>
    </row>
    <row r="6" customFormat="false" ht="57.75" hidden="false" customHeight="true" outlineLevel="0" collapsed="false">
      <c r="B6" s="14" t="s">
        <v>567</v>
      </c>
      <c r="C6" s="14" t="s">
        <v>561</v>
      </c>
      <c r="D6" s="17" t="str">
        <f aca="false">IF(Risk_Register!P6=1,"CHANGE REQUEST RAISED","Baseline — monitor")</f>
        <v>CHANGE REQUEST RAISED</v>
      </c>
      <c r="E6" s="4" t="str">
        <f aca="false">"Health and transport services shall maintain surge capacity sufficient for a heat-stress stock of "&amp;TEXT(MAX(Capacity,KPI_PeakStock)*1.2,"0")&amp;" °C·days (peak + 20% margin)."</f>
        <v>Health and transport services shall maintain surge capacity sufficient for a heat-stress stock of 55 °C·days (peak + 20% margin).</v>
      </c>
      <c r="F6" s="14" t="s">
        <v>635</v>
      </c>
      <c r="G6" s="4" t="s">
        <v>636</v>
      </c>
      <c r="H6" s="4" t="s">
        <v>637</v>
      </c>
      <c r="I6" s="24"/>
      <c r="J6" s="26"/>
      <c r="K6" s="26"/>
      <c r="L6" s="24"/>
    </row>
    <row r="7" customFormat="false" ht="57.75" hidden="false" customHeight="true" outlineLevel="0" collapsed="false">
      <c r="B7" s="14" t="s">
        <v>575</v>
      </c>
      <c r="C7" s="14" t="s">
        <v>568</v>
      </c>
      <c r="D7" s="17" t="str">
        <f aca="false">IF(Risk_Register!P7=1,"CHANGE REQUEST RAISED","Baseline — monitor")</f>
        <v>CHANGE REQUEST RAISED</v>
      </c>
      <c r="E7" s="4" t="str">
        <f aca="false">"The programme shall keep modelled London heat-related excess deaths below "&amp;Deaths_Appetite&amp;" per summer under a +"&amp;TEXT(Climate_Shift,"0.0")&amp;"°C scenario."</f>
        <v>The programme shall keep modelled London heat-related excess deaths below 150 per summer under a +0.0°C scenario.</v>
      </c>
      <c r="F7" s="14" t="s">
        <v>638</v>
      </c>
      <c r="G7" s="4" t="s">
        <v>639</v>
      </c>
      <c r="H7" s="4" t="s">
        <v>640</v>
      </c>
      <c r="I7" s="24"/>
      <c r="J7" s="26"/>
      <c r="K7" s="26"/>
      <c r="L7" s="24"/>
    </row>
    <row r="8" customFormat="false" ht="57.75" hidden="false" customHeight="true" outlineLevel="0" collapsed="false">
      <c r="B8" s="14" t="s">
        <v>581</v>
      </c>
      <c r="C8" s="14" t="s">
        <v>576</v>
      </c>
      <c r="D8" s="17" t="str">
        <f aca="false">IF(Risk_Register!P8=1,"CHANGE REQUEST RAISED","Baseline — monitor")</f>
        <v>CHANGE REQUEST RAISED</v>
      </c>
      <c r="E8" s="4" t="str">
        <f aca="false">"The forecasting model shall raise a drift alarm when CUSUM exceeds "&amp;TEXT(CUSUM_h,"0")&amp;"°C or 7-day MAE exceeds "&amp;TEXT(MAE_Tol,"0.0")&amp;"°C, and shall be retrained on a window ending no earlier than the previous year."</f>
        <v>The forecasting model shall raise a drift alarm when CUSUM exceeds 15°C or 7-day MAE exceeds 4.5°C, and shall be retrained on a window ending no earlier than the previous year.</v>
      </c>
      <c r="F8" s="14" t="s">
        <v>641</v>
      </c>
      <c r="G8" s="4" t="s">
        <v>642</v>
      </c>
      <c r="H8" s="4" t="s">
        <v>643</v>
      </c>
      <c r="I8" s="24"/>
      <c r="J8" s="26"/>
      <c r="K8" s="26"/>
      <c r="L8" s="24"/>
    </row>
    <row r="9" customFormat="false" ht="57.75" hidden="false" customHeight="true" outlineLevel="0" collapsed="false">
      <c r="B9" s="14" t="s">
        <v>588</v>
      </c>
      <c r="C9" s="14" t="s">
        <v>582</v>
      </c>
      <c r="D9" s="17" t="str">
        <f aca="false">IF(Risk_Register!P9=1,"CHANGE REQUEST RAISED","Baseline — monitor")</f>
        <v>CHANGE REQUEST RAISED</v>
      </c>
      <c r="E9" s="4" t="str">
        <f aca="false">"The AI alert shall achieve hot-day recall ≥ "&amp;TEXT(Recall_Target,"0%")&amp;" at the operational threshold, validated on the most recent unseen summer."</f>
        <v>The AI alert shall achieve hot-day recall ≥ 80% at the operational threshold, validated on the most recent unseen summer.</v>
      </c>
      <c r="F9" s="14" t="s">
        <v>641</v>
      </c>
      <c r="G9" s="4" t="s">
        <v>644</v>
      </c>
      <c r="H9" s="4" t="s">
        <v>645</v>
      </c>
      <c r="I9" s="24"/>
      <c r="J9" s="26"/>
      <c r="K9" s="26"/>
      <c r="L9" s="24"/>
    </row>
    <row r="10" customFormat="false" ht="57.75" hidden="false" customHeight="true" outlineLevel="0" collapsed="false">
      <c r="B10" s="14" t="s">
        <v>594</v>
      </c>
      <c r="C10" s="14" t="s">
        <v>589</v>
      </c>
      <c r="D10" s="17" t="str">
        <f aca="false">IF(Risk_Register!P10=1,"CHANGE REQUEST RAISED","Baseline — monitor")</f>
        <v>CHANGE REQUEST RAISED</v>
      </c>
      <c r="E10" s="4" t="str">
        <f aca="false">"Observations shall pass automated QA (flag checks and TX ≥ TG) before use; suspect values shall be "&amp;IF(QA_Policy="Use raw","flagged and reviewed",LOWER(QA_Policy))&amp;" with provenance recorded."</f>
        <v>Observations shall pass automated QA (flag checks and TX ≥ TG) before use; suspect values shall be flagged and reviewed with provenance recorded.</v>
      </c>
      <c r="F10" s="14" t="s">
        <v>646</v>
      </c>
      <c r="G10" s="4" t="s">
        <v>647</v>
      </c>
      <c r="H10" s="4" t="s">
        <v>648</v>
      </c>
      <c r="I10" s="24"/>
      <c r="J10" s="26"/>
      <c r="K10" s="26"/>
      <c r="L10" s="24"/>
    </row>
    <row r="11" customFormat="false" ht="57.75" hidden="false" customHeight="true" outlineLevel="0" collapsed="false">
      <c r="B11" s="14" t="s">
        <v>600</v>
      </c>
      <c r="C11" s="14" t="s">
        <v>595</v>
      </c>
      <c r="D11" s="17" t="str">
        <f aca="false">IF(Risk_Register!P11=1,"CHANGE REQUEST RAISED","Baseline — monitor")</f>
        <v>CHANGE REQUEST RAISED</v>
      </c>
      <c r="E11" s="4" t="str">
        <f aca="false">"Alerts shall be computed at neighbourhood level so that no typology experiences more than 0 representation-gap days per summer (current: "&amp;KPI_RepGap&amp;")."</f>
        <v>Alerts shall be computed at neighbourhood level so that no typology experiences more than 0 representation-gap days per summer (current: 19).</v>
      </c>
      <c r="F11" s="14" t="s">
        <v>649</v>
      </c>
      <c r="G11" s="4" t="s">
        <v>650</v>
      </c>
      <c r="H11" s="4" t="s">
        <v>651</v>
      </c>
      <c r="I11" s="24"/>
      <c r="J11" s="26"/>
      <c r="K11" s="26"/>
      <c r="L11" s="24"/>
    </row>
    <row r="12" customFormat="false" ht="57.75" hidden="false" customHeight="true" outlineLevel="0" collapsed="false">
      <c r="B12" s="14" t="s">
        <v>607</v>
      </c>
      <c r="C12" s="14" t="s">
        <v>601</v>
      </c>
      <c r="D12" s="17" t="str">
        <f aca="false">IF(Risk_Register!P12=1,"CHANGE REQUEST RAISED","Baseline — monitor")</f>
        <v>Baseline — monitor</v>
      </c>
      <c r="E12" s="4" t="str">
        <f aca="false">"Net cooling-related emissions from the portfolio shall not exceed "&amp;TEXT(Carbon_Budget,"#,##0")&amp;" tCO₂e per summer."</f>
        <v>Net cooling-related emissions from the portfolio shall not exceed 20,000 tCO₂e per summer.</v>
      </c>
      <c r="F12" s="14" t="s">
        <v>35</v>
      </c>
      <c r="G12" s="4" t="s">
        <v>652</v>
      </c>
      <c r="H12" s="4" t="s">
        <v>653</v>
      </c>
      <c r="I12" s="24"/>
      <c r="J12" s="26"/>
      <c r="K12" s="26"/>
      <c r="L12" s="24"/>
    </row>
    <row r="13" customFormat="false" ht="57.75" hidden="false" customHeight="true" outlineLevel="0" collapsed="false">
      <c r="B13" s="14" t="s">
        <v>614</v>
      </c>
      <c r="C13" s="14" t="s">
        <v>608</v>
      </c>
      <c r="D13" s="17" t="str">
        <f aca="false">IF(Risk_Register!P13=1,"CHANGE REQUEST RAISED","Baseline — monitor")</f>
        <v>Baseline — monitor</v>
      </c>
      <c r="E13" s="4" t="str">
        <f aca="false">"The intervention portfolio shall be delivered within £"&amp;TEXT(Budget,"0.0")&amp;"m."</f>
        <v>The intervention portfolio shall be delivered within £50.0m.</v>
      </c>
      <c r="F13" s="14" t="s">
        <v>654</v>
      </c>
      <c r="G13" s="4" t="s">
        <v>655</v>
      </c>
      <c r="H13" s="4" t="s">
        <v>656</v>
      </c>
      <c r="I13" s="24"/>
      <c r="J13" s="26"/>
      <c r="K13" s="26"/>
      <c r="L13" s="24"/>
    </row>
    <row r="15" customFormat="false" ht="15" hidden="false" customHeight="false" outlineLevel="0" collapsed="false">
      <c r="B15" s="46" t="s">
        <v>657</v>
      </c>
      <c r="D15" s="7" t="n">
        <f aca="false">COUNTIF(D5:D13,"CHANGE REQUEST RAISED")</f>
        <v>7</v>
      </c>
    </row>
    <row r="16" customFormat="false" ht="15" hidden="false" customHeight="false" outlineLevel="0" collapsed="false">
      <c r="B16" s="2" t="s">
        <v>658</v>
      </c>
    </row>
  </sheetData>
  <conditionalFormatting sqref="D5:D13">
    <cfRule type="cellIs" priority="2" operator="equal" aboveAverage="0" equalAverage="0" bottom="0" percent="0" rank="0" text="" dxfId="2">
      <formula>"CHANGE REQUEST RAISED"</formula>
    </cfRule>
  </conditionalFormatting>
  <dataValidations count="1">
    <dataValidation allowBlank="false" errorStyle="stop" operator="between" showDropDown="false" showErrorMessage="false" showInputMessage="false" sqref="I5:I13" type="list">
      <formula1>"Must,Should,Could,Won't"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0"/>
    <col collapsed="false" customWidth="true" hidden="false" outlineLevel="0" max="6" min="4" style="0" width="9"/>
    <col collapsed="false" customWidth="true" hidden="false" outlineLevel="0" max="7" min="7" style="0" width="10"/>
    <col collapsed="false" customWidth="true" hidden="false" outlineLevel="0" max="8" min="8" style="0" width="9"/>
    <col collapsed="false" customWidth="true" hidden="false" outlineLevel="0" max="9" min="9" style="0" width="10"/>
    <col collapsed="false" customWidth="true" hidden="false" outlineLevel="0" max="10" min="10" style="0" width="9"/>
    <col collapsed="false" customWidth="true" hidden="false" outlineLevel="0" max="11" min="11" style="0" width="14"/>
  </cols>
  <sheetData>
    <row r="1" customFormat="false" ht="19.7" hidden="false" customHeight="false" outlineLevel="0" collapsed="false">
      <c r="A1" s="1" t="s">
        <v>659</v>
      </c>
    </row>
    <row r="2" customFormat="false" ht="15" hidden="false" customHeight="false" outlineLevel="0" collapsed="false">
      <c r="A2" s="2" t="s">
        <v>660</v>
      </c>
    </row>
    <row r="4" customFormat="false" ht="35.05" hidden="false" customHeight="false" outlineLevel="0" collapsed="false">
      <c r="B4" s="9" t="s">
        <v>65</v>
      </c>
      <c r="C4" s="9" t="s">
        <v>661</v>
      </c>
      <c r="D4" s="9" t="s">
        <v>180</v>
      </c>
      <c r="E4" s="9" t="s">
        <v>285</v>
      </c>
      <c r="F4" s="9" t="s">
        <v>662</v>
      </c>
      <c r="G4" s="9" t="s">
        <v>663</v>
      </c>
      <c r="H4" s="9" t="s">
        <v>664</v>
      </c>
      <c r="I4" s="9" t="s">
        <v>665</v>
      </c>
      <c r="J4" s="9" t="s">
        <v>308</v>
      </c>
      <c r="K4" s="9" t="s">
        <v>666</v>
      </c>
    </row>
    <row r="5" customFormat="false" ht="15" hidden="false" customHeight="false" outlineLevel="0" collapsed="false">
      <c r="B5" s="25" t="n">
        <v>1979</v>
      </c>
      <c r="C5" s="25" t="n">
        <f aca="false">IF(AND(B5&gt;=Train_Start,B5&lt;=Train_End),1,0)</f>
        <v>1</v>
      </c>
      <c r="D5" s="25" t="n">
        <f aca="false">COUNTIFS(Data_Heathrow!$B$2:$B$6886,B5,Data_Heathrow!$E$2:$E$6886,"&gt;="&amp;(T_Day-Climate_Shift-UHI_Day_Eff))</f>
        <v>8</v>
      </c>
      <c r="E5" s="25" t="n">
        <f aca="false">COUNTIFS(Data_Heathrow!$B$2:$B$6886,B5,Data_Heathrow!$G$2:$G$6886,"&gt;="&amp;(T_Night-Climate_Shift-UHI_Night_Eff))</f>
        <v>27</v>
      </c>
      <c r="F5" s="16" t="n">
        <f aca="false">_xlfn.MAXIFS(Data_Heathrow!$E$2:$E$6886,Data_Heathrow!$B$2:$B$6886,B5)+Climate_Shift+UHI_Day_Eff</f>
        <v>31.9</v>
      </c>
      <c r="G5" s="23" t="n">
        <f aca="false">IFERROR(AVERAGEIFS(Data_Heathrow!$U$2:$U$6886,Data_Heathrow!$B$2:$B$6886,B5),"")</f>
        <v>-0.290948664980937</v>
      </c>
      <c r="H5" s="23" t="n">
        <f aca="false">IFERROR(AVERAGEIFS(Data_Heathrow!$W$2:$W$6886,Data_Heathrow!$B$2:$B$6886,B5),"")</f>
        <v>1.72351299018032</v>
      </c>
      <c r="I5" s="23" t="n">
        <f aca="false">IFERROR(AVERAGEIFS(Data_Heathrow!$W$2:$W$6886,Data_Heathrow!$B$2:$B$6886,B5,Data_Heathrow!$E$2:$E$6886,"&gt;="&amp;T_Day),"")</f>
        <v>3.65555777236668</v>
      </c>
      <c r="J5" s="25" t="n">
        <f aca="false">SUMIFS(Data_Heathrow!$Q$2:$Q$6886,Data_Heathrow!$B$2:$B$6886,B5)</f>
        <v>3</v>
      </c>
      <c r="K5" s="25" t="n">
        <f aca="false">COUNTIF(D5:D5,"&gt;=10")</f>
        <v>0</v>
      </c>
    </row>
    <row r="6" customFormat="false" ht="15" hidden="false" customHeight="false" outlineLevel="0" collapsed="false">
      <c r="B6" s="25" t="n">
        <v>1980</v>
      </c>
      <c r="C6" s="25" t="n">
        <f aca="false">IF(AND(B6&gt;=Train_Start,B6&lt;=Train_End),1,0)</f>
        <v>1</v>
      </c>
      <c r="D6" s="25" t="n">
        <f aca="false">COUNTIFS(Data_Heathrow!$B$2:$B$6886,B6,Data_Heathrow!$E$2:$E$6886,"&gt;="&amp;(T_Day-Climate_Shift-UHI_Day_Eff))</f>
        <v>4</v>
      </c>
      <c r="E6" s="25" t="n">
        <f aca="false">COUNTIFS(Data_Heathrow!$B$2:$B$6886,B6,Data_Heathrow!$G$2:$G$6886,"&gt;="&amp;(T_Night-Climate_Shift-UHI_Night_Eff))</f>
        <v>26</v>
      </c>
      <c r="F6" s="16" t="n">
        <f aca="false">_xlfn.MAXIFS(Data_Heathrow!$E$2:$E$6886,Data_Heathrow!$B$2:$B$6886,B6)+Climate_Shift+UHI_Day_Eff</f>
        <v>31</v>
      </c>
      <c r="G6" s="23" t="n">
        <f aca="false">IFERROR(AVERAGEIFS(Data_Heathrow!$U$2:$U$6886,Data_Heathrow!$B$2:$B$6886,B6),"")</f>
        <v>-0.158163678116953</v>
      </c>
      <c r="H6" s="23" t="n">
        <f aca="false">IFERROR(AVERAGEIFS(Data_Heathrow!$W$2:$W$6886,Data_Heathrow!$B$2:$B$6886,B6),"")</f>
        <v>1.8279279747184</v>
      </c>
      <c r="I6" s="23" t="n">
        <f aca="false">IFERROR(AVERAGEIFS(Data_Heathrow!$W$2:$W$6886,Data_Heathrow!$B$2:$B$6886,B6,Data_Heathrow!$E$2:$E$6886,"&gt;="&amp;T_Day),"")</f>
        <v>3.79948418359014</v>
      </c>
      <c r="J6" s="25" t="n">
        <f aca="false">SUMIFS(Data_Heathrow!$Q$2:$Q$6886,Data_Heathrow!$B$2:$B$6886,B6)</f>
        <v>6</v>
      </c>
      <c r="K6" s="25" t="n">
        <f aca="false">COUNTIF(D5:D6,"&gt;=10")</f>
        <v>0</v>
      </c>
    </row>
    <row r="7" customFormat="false" ht="15" hidden="false" customHeight="false" outlineLevel="0" collapsed="false">
      <c r="B7" s="25" t="n">
        <v>1981</v>
      </c>
      <c r="C7" s="25" t="n">
        <f aca="false">IF(AND(B7&gt;=Train_Start,B7&lt;=Train_End),1,0)</f>
        <v>1</v>
      </c>
      <c r="D7" s="25" t="n">
        <f aca="false">COUNTIFS(Data_Heathrow!$B$2:$B$6886,B7,Data_Heathrow!$E$2:$E$6886,"&gt;="&amp;(T_Day-Climate_Shift-UHI_Day_Eff))</f>
        <v>11</v>
      </c>
      <c r="E7" s="25" t="n">
        <f aca="false">COUNTIFS(Data_Heathrow!$B$2:$B$6886,B7,Data_Heathrow!$G$2:$G$6886,"&gt;="&amp;(T_Night-Climate_Shift-UHI_Night_Eff))</f>
        <v>29</v>
      </c>
      <c r="F7" s="16" t="n">
        <f aca="false">_xlfn.MAXIFS(Data_Heathrow!$E$2:$E$6886,Data_Heathrow!$B$2:$B$6886,B7)+Climate_Shift+UHI_Day_Eff</f>
        <v>30.8</v>
      </c>
      <c r="G7" s="23" t="n">
        <f aca="false">IFERROR(AVERAGEIFS(Data_Heathrow!$U$2:$U$6886,Data_Heathrow!$B$2:$B$6886,B7),"")</f>
        <v>-0.0537535422293665</v>
      </c>
      <c r="H7" s="23" t="n">
        <f aca="false">IFERROR(AVERAGEIFS(Data_Heathrow!$W$2:$W$6886,Data_Heathrow!$B$2:$B$6886,B7),"")</f>
        <v>1.84624546255827</v>
      </c>
      <c r="I7" s="23" t="n">
        <f aca="false">IFERROR(AVERAGEIFS(Data_Heathrow!$W$2:$W$6886,Data_Heathrow!$B$2:$B$6886,B7,Data_Heathrow!$E$2:$E$6886,"&gt;="&amp;T_Day),"")</f>
        <v>2.36771059781864</v>
      </c>
      <c r="J7" s="25" t="n">
        <f aca="false">SUMIFS(Data_Heathrow!$Q$2:$Q$6886,Data_Heathrow!$B$2:$B$6886,B7)</f>
        <v>5</v>
      </c>
      <c r="K7" s="25" t="n">
        <f aca="false">COUNTIF(D5:D7,"&gt;=10")</f>
        <v>1</v>
      </c>
    </row>
    <row r="8" customFormat="false" ht="15" hidden="false" customHeight="false" outlineLevel="0" collapsed="false">
      <c r="B8" s="25" t="n">
        <v>1982</v>
      </c>
      <c r="C8" s="25" t="n">
        <f aca="false">IF(AND(B8&gt;=Train_Start,B8&lt;=Train_End),1,0)</f>
        <v>1</v>
      </c>
      <c r="D8" s="25" t="n">
        <f aca="false">COUNTIFS(Data_Heathrow!$B$2:$B$6886,B8,Data_Heathrow!$E$2:$E$6886,"&gt;="&amp;(T_Day-Climate_Shift-UHI_Day_Eff))</f>
        <v>18</v>
      </c>
      <c r="E8" s="25" t="n">
        <f aca="false">COUNTIFS(Data_Heathrow!$B$2:$B$6886,B8,Data_Heathrow!$G$2:$G$6886,"&gt;="&amp;(T_Night-Climate_Shift-UHI_Night_Eff))</f>
        <v>40</v>
      </c>
      <c r="F8" s="16" t="n">
        <f aca="false">_xlfn.MAXIFS(Data_Heathrow!$E$2:$E$6886,Data_Heathrow!$B$2:$B$6886,B8)+Climate_Shift+UHI_Day_Eff</f>
        <v>31.3</v>
      </c>
      <c r="G8" s="23" t="n">
        <f aca="false">IFERROR(AVERAGEIFS(Data_Heathrow!$U$2:$U$6886,Data_Heathrow!$B$2:$B$6886,B8),"")</f>
        <v>0.0320594163396219</v>
      </c>
      <c r="H8" s="23" t="n">
        <f aca="false">IFERROR(AVERAGEIFS(Data_Heathrow!$W$2:$W$6886,Data_Heathrow!$B$2:$B$6886,B8),"")</f>
        <v>1.81794961316581</v>
      </c>
      <c r="I8" s="23" t="n">
        <f aca="false">IFERROR(AVERAGEIFS(Data_Heathrow!$W$2:$W$6886,Data_Heathrow!$B$2:$B$6886,B8,Data_Heathrow!$E$2:$E$6886,"&gt;="&amp;T_Day),"")</f>
        <v>3.3828012287074</v>
      </c>
      <c r="J8" s="25" t="n">
        <f aca="false">SUMIFS(Data_Heathrow!$Q$2:$Q$6886,Data_Heathrow!$B$2:$B$6886,B8)</f>
        <v>7</v>
      </c>
      <c r="K8" s="25" t="n">
        <f aca="false">COUNTIF(D5:D8,"&gt;=10")</f>
        <v>2</v>
      </c>
    </row>
    <row r="9" customFormat="false" ht="15" hidden="false" customHeight="false" outlineLevel="0" collapsed="false">
      <c r="B9" s="25" t="n">
        <v>1983</v>
      </c>
      <c r="C9" s="25" t="n">
        <f aca="false">IF(AND(B9&gt;=Train_Start,B9&lt;=Train_End),1,0)</f>
        <v>1</v>
      </c>
      <c r="D9" s="25" t="n">
        <f aca="false">COUNTIFS(Data_Heathrow!$B$2:$B$6886,B9,Data_Heathrow!$E$2:$E$6886,"&gt;="&amp;(T_Day-Climate_Shift-UHI_Day_Eff))</f>
        <v>34</v>
      </c>
      <c r="E9" s="25" t="n">
        <f aca="false">COUNTIFS(Data_Heathrow!$B$2:$B$6886,B9,Data_Heathrow!$G$2:$G$6886,"&gt;="&amp;(T_Night-Climate_Shift-UHI_Night_Eff))</f>
        <v>48</v>
      </c>
      <c r="F9" s="16" t="n">
        <f aca="false">_xlfn.MAXIFS(Data_Heathrow!$E$2:$E$6886,Data_Heathrow!$B$2:$B$6886,B9)+Climate_Shift+UHI_Day_Eff</f>
        <v>34.8</v>
      </c>
      <c r="G9" s="23" t="n">
        <f aca="false">IFERROR(AVERAGEIFS(Data_Heathrow!$U$2:$U$6886,Data_Heathrow!$B$2:$B$6886,B9),"")</f>
        <v>0.147981324545888</v>
      </c>
      <c r="H9" s="23" t="n">
        <f aca="false">IFERROR(AVERAGEIFS(Data_Heathrow!$W$2:$W$6886,Data_Heathrow!$B$2:$B$6886,B9),"")</f>
        <v>1.86739870197224</v>
      </c>
      <c r="I9" s="23" t="n">
        <f aca="false">IFERROR(AVERAGEIFS(Data_Heathrow!$W$2:$W$6886,Data_Heathrow!$B$2:$B$6886,B9,Data_Heathrow!$E$2:$E$6886,"&gt;="&amp;T_Day),"")</f>
        <v>2.53149983165863</v>
      </c>
      <c r="J9" s="25" t="n">
        <f aca="false">SUMIFS(Data_Heathrow!$Q$2:$Q$6886,Data_Heathrow!$B$2:$B$6886,B9)</f>
        <v>5</v>
      </c>
      <c r="K9" s="25" t="n">
        <f aca="false">COUNTIF(D5:D9,"&gt;=10")</f>
        <v>3</v>
      </c>
    </row>
    <row r="10" customFormat="false" ht="15" hidden="false" customHeight="false" outlineLevel="0" collapsed="false">
      <c r="B10" s="25" t="n">
        <v>1984</v>
      </c>
      <c r="C10" s="25" t="n">
        <f aca="false">IF(AND(B10&gt;=Train_Start,B10&lt;=Train_End),1,0)</f>
        <v>1</v>
      </c>
      <c r="D10" s="25" t="n">
        <f aca="false">COUNTIFS(Data_Heathrow!$B$2:$B$6886,B10,Data_Heathrow!$E$2:$E$6886,"&gt;="&amp;(T_Day-Climate_Shift-UHI_Day_Eff))</f>
        <v>23</v>
      </c>
      <c r="E10" s="25" t="n">
        <f aca="false">COUNTIFS(Data_Heathrow!$B$2:$B$6886,B10,Data_Heathrow!$G$2:$G$6886,"&gt;="&amp;(T_Night-Climate_Shift-UHI_Night_Eff))</f>
        <v>39</v>
      </c>
      <c r="F10" s="16" t="n">
        <f aca="false">_xlfn.MAXIFS(Data_Heathrow!$E$2:$E$6886,Data_Heathrow!$B$2:$B$6886,B10)+Climate_Shift+UHI_Day_Eff</f>
        <v>33.7</v>
      </c>
      <c r="G10" s="23" t="n">
        <f aca="false">IFERROR(AVERAGEIFS(Data_Heathrow!$U$2:$U$6886,Data_Heathrow!$B$2:$B$6886,B10),"")</f>
        <v>0.0866039636472855</v>
      </c>
      <c r="H10" s="23" t="n">
        <f aca="false">IFERROR(AVERAGEIFS(Data_Heathrow!$W$2:$W$6886,Data_Heathrow!$B$2:$B$6886,B10),"")</f>
        <v>1.92895974835651</v>
      </c>
      <c r="I10" s="23" t="n">
        <f aca="false">IFERROR(AVERAGEIFS(Data_Heathrow!$W$2:$W$6886,Data_Heathrow!$B$2:$B$6886,B10,Data_Heathrow!$E$2:$E$6886,"&gt;="&amp;T_Day),"")</f>
        <v>2.50767601624595</v>
      </c>
      <c r="J10" s="25" t="n">
        <f aca="false">SUMIFS(Data_Heathrow!$Q$2:$Q$6886,Data_Heathrow!$B$2:$B$6886,B10)</f>
        <v>7</v>
      </c>
      <c r="K10" s="25" t="n">
        <f aca="false">COUNTIF(D5:D10,"&gt;=10")</f>
        <v>4</v>
      </c>
    </row>
    <row r="11" customFormat="false" ht="15" hidden="false" customHeight="false" outlineLevel="0" collapsed="false">
      <c r="B11" s="25" t="n">
        <v>1985</v>
      </c>
      <c r="C11" s="25" t="n">
        <f aca="false">IF(AND(B11&gt;=Train_Start,B11&lt;=Train_End),1,0)</f>
        <v>1</v>
      </c>
      <c r="D11" s="25" t="n">
        <f aca="false">COUNTIFS(Data_Heathrow!$B$2:$B$6886,B11,Data_Heathrow!$E$2:$E$6886,"&gt;="&amp;(T_Day-Climate_Shift-UHI_Day_Eff))</f>
        <v>8</v>
      </c>
      <c r="E11" s="25" t="n">
        <f aca="false">COUNTIFS(Data_Heathrow!$B$2:$B$6886,B11,Data_Heathrow!$G$2:$G$6886,"&gt;="&amp;(T_Night-Climate_Shift-UHI_Night_Eff))</f>
        <v>18</v>
      </c>
      <c r="F11" s="16" t="n">
        <f aca="false">_xlfn.MAXIFS(Data_Heathrow!$E$2:$E$6886,Data_Heathrow!$B$2:$B$6886,B11)+Climate_Shift+UHI_Day_Eff</f>
        <v>31.8</v>
      </c>
      <c r="G11" s="23" t="n">
        <f aca="false">IFERROR(AVERAGEIFS(Data_Heathrow!$U$2:$U$6886,Data_Heathrow!$B$2:$B$6886,B11),"")</f>
        <v>-0.0852482361815004</v>
      </c>
      <c r="H11" s="23" t="n">
        <f aca="false">IFERROR(AVERAGEIFS(Data_Heathrow!$W$2:$W$6886,Data_Heathrow!$B$2:$B$6886,B11),"")</f>
        <v>1.73447639078315</v>
      </c>
      <c r="I11" s="23" t="n">
        <f aca="false">IFERROR(AVERAGEIFS(Data_Heathrow!$W$2:$W$6886,Data_Heathrow!$B$2:$B$6886,B11,Data_Heathrow!$E$2:$E$6886,"&gt;="&amp;T_Day),"")</f>
        <v>4.33004717436352</v>
      </c>
      <c r="J11" s="25" t="n">
        <f aca="false">SUMIFS(Data_Heathrow!$Q$2:$Q$6886,Data_Heathrow!$B$2:$B$6886,B11)</f>
        <v>6</v>
      </c>
      <c r="K11" s="25" t="n">
        <f aca="false">COUNTIF(D5:D11,"&gt;=10")</f>
        <v>4</v>
      </c>
    </row>
    <row r="12" customFormat="false" ht="15" hidden="false" customHeight="false" outlineLevel="0" collapsed="false">
      <c r="B12" s="25" t="n">
        <v>1986</v>
      </c>
      <c r="C12" s="25" t="n">
        <f aca="false">IF(AND(B12&gt;=Train_Start,B12&lt;=Train_End),1,0)</f>
        <v>1</v>
      </c>
      <c r="D12" s="25" t="n">
        <f aca="false">COUNTIFS(Data_Heathrow!$B$2:$B$6886,B12,Data_Heathrow!$E$2:$E$6886,"&gt;="&amp;(T_Day-Climate_Shift-UHI_Day_Eff))</f>
        <v>12</v>
      </c>
      <c r="E12" s="25" t="n">
        <f aca="false">COUNTIFS(Data_Heathrow!$B$2:$B$6886,B12,Data_Heathrow!$G$2:$G$6886,"&gt;="&amp;(T_Night-Climate_Shift-UHI_Night_Eff))</f>
        <v>23</v>
      </c>
      <c r="F12" s="16" t="n">
        <f aca="false">_xlfn.MAXIFS(Data_Heathrow!$E$2:$E$6886,Data_Heathrow!$B$2:$B$6886,B12)+Climate_Shift+UHI_Day_Eff</f>
        <v>32.6</v>
      </c>
      <c r="G12" s="23" t="n">
        <f aca="false">IFERROR(AVERAGEIFS(Data_Heathrow!$U$2:$U$6886,Data_Heathrow!$B$2:$B$6886,B12),"")</f>
        <v>-0.273715644777291</v>
      </c>
      <c r="H12" s="23" t="n">
        <f aca="false">IFERROR(AVERAGEIFS(Data_Heathrow!$W$2:$W$6886,Data_Heathrow!$B$2:$B$6886,B12),"")</f>
        <v>1.78475529305318</v>
      </c>
      <c r="I12" s="23" t="n">
        <f aca="false">IFERROR(AVERAGEIFS(Data_Heathrow!$W$2:$W$6886,Data_Heathrow!$B$2:$B$6886,B12,Data_Heathrow!$E$2:$E$6886,"&gt;="&amp;T_Day),"")</f>
        <v>2.13603530024573</v>
      </c>
      <c r="J12" s="25" t="n">
        <f aca="false">SUMIFS(Data_Heathrow!$Q$2:$Q$6886,Data_Heathrow!$B$2:$B$6886,B12)</f>
        <v>7</v>
      </c>
      <c r="K12" s="25" t="n">
        <f aca="false">COUNTIF(D5:D12,"&gt;=10")</f>
        <v>5</v>
      </c>
    </row>
    <row r="13" customFormat="false" ht="15" hidden="false" customHeight="false" outlineLevel="0" collapsed="false">
      <c r="B13" s="25" t="n">
        <v>1987</v>
      </c>
      <c r="C13" s="25" t="n">
        <f aca="false">IF(AND(B13&gt;=Train_Start,B13&lt;=Train_End),1,0)</f>
        <v>1</v>
      </c>
      <c r="D13" s="25" t="n">
        <f aca="false">COUNTIFS(Data_Heathrow!$B$2:$B$6886,B13,Data_Heathrow!$E$2:$E$6886,"&gt;="&amp;(T_Day-Climate_Shift-UHI_Day_Eff))</f>
        <v>9</v>
      </c>
      <c r="E13" s="25" t="n">
        <f aca="false">COUNTIFS(Data_Heathrow!$B$2:$B$6886,B13,Data_Heathrow!$G$2:$G$6886,"&gt;="&amp;(T_Night-Climate_Shift-UHI_Night_Eff))</f>
        <v>25</v>
      </c>
      <c r="F13" s="16" t="n">
        <f aca="false">_xlfn.MAXIFS(Data_Heathrow!$E$2:$E$6886,Data_Heathrow!$B$2:$B$6886,B13)+Climate_Shift+UHI_Day_Eff</f>
        <v>31.2</v>
      </c>
      <c r="G13" s="23" t="n">
        <f aca="false">IFERROR(AVERAGEIFS(Data_Heathrow!$U$2:$U$6886,Data_Heathrow!$B$2:$B$6886,B13),"")</f>
        <v>-0.247047516358506</v>
      </c>
      <c r="H13" s="23" t="n">
        <f aca="false">IFERROR(AVERAGEIFS(Data_Heathrow!$W$2:$W$6886,Data_Heathrow!$B$2:$B$6886,B13),"")</f>
        <v>1.90997580761771</v>
      </c>
      <c r="I13" s="23" t="n">
        <f aca="false">IFERROR(AVERAGEIFS(Data_Heathrow!$W$2:$W$6886,Data_Heathrow!$B$2:$B$6886,B13,Data_Heathrow!$E$2:$E$6886,"&gt;="&amp;T_Day),"")</f>
        <v>2.73019482640323</v>
      </c>
      <c r="J13" s="25" t="n">
        <f aca="false">SUMIFS(Data_Heathrow!$Q$2:$Q$6886,Data_Heathrow!$B$2:$B$6886,B13)</f>
        <v>9</v>
      </c>
      <c r="K13" s="25" t="n">
        <f aca="false">COUNTIF(D5:D13,"&gt;=10")</f>
        <v>5</v>
      </c>
    </row>
    <row r="14" customFormat="false" ht="15" hidden="false" customHeight="false" outlineLevel="0" collapsed="false">
      <c r="B14" s="25" t="n">
        <v>1988</v>
      </c>
      <c r="C14" s="25" t="n">
        <f aca="false">IF(AND(B14&gt;=Train_Start,B14&lt;=Train_End),1,0)</f>
        <v>1</v>
      </c>
      <c r="D14" s="25" t="n">
        <f aca="false">COUNTIFS(Data_Heathrow!$B$2:$B$6886,B14,Data_Heathrow!$E$2:$E$6886,"&gt;="&amp;(T_Day-Climate_Shift-UHI_Day_Eff))</f>
        <v>5</v>
      </c>
      <c r="E14" s="25" t="n">
        <f aca="false">COUNTIFS(Data_Heathrow!$B$2:$B$6886,B14,Data_Heathrow!$G$2:$G$6886,"&gt;="&amp;(T_Night-Climate_Shift-UHI_Night_Eff))</f>
        <v>21</v>
      </c>
      <c r="F14" s="16" t="n">
        <f aca="false">_xlfn.MAXIFS(Data_Heathrow!$E$2:$E$6886,Data_Heathrow!$B$2:$B$6886,B14)+Climate_Shift+UHI_Day_Eff</f>
        <v>31.1</v>
      </c>
      <c r="G14" s="23" t="n">
        <f aca="false">IFERROR(AVERAGEIFS(Data_Heathrow!$U$2:$U$6886,Data_Heathrow!$B$2:$B$6886,B14),"")</f>
        <v>-0.211308164614518</v>
      </c>
      <c r="H14" s="23" t="n">
        <f aca="false">IFERROR(AVERAGEIFS(Data_Heathrow!$W$2:$W$6886,Data_Heathrow!$B$2:$B$6886,B14),"")</f>
        <v>1.69538167833641</v>
      </c>
      <c r="I14" s="23" t="n">
        <f aca="false">IFERROR(AVERAGEIFS(Data_Heathrow!$W$2:$W$6886,Data_Heathrow!$B$2:$B$6886,B14,Data_Heathrow!$E$2:$E$6886,"&gt;="&amp;T_Day),"")</f>
        <v>2.54074224625912</v>
      </c>
      <c r="J14" s="25" t="n">
        <f aca="false">SUMIFS(Data_Heathrow!$Q$2:$Q$6886,Data_Heathrow!$B$2:$B$6886,B14)</f>
        <v>5</v>
      </c>
      <c r="K14" s="25" t="n">
        <f aca="false">COUNTIF(D5:D14,"&gt;=10")</f>
        <v>5</v>
      </c>
    </row>
    <row r="15" customFormat="false" ht="15" hidden="false" customHeight="false" outlineLevel="0" collapsed="false">
      <c r="B15" s="25" t="n">
        <v>1989</v>
      </c>
      <c r="C15" s="25" t="n">
        <f aca="false">IF(AND(B15&gt;=Train_Start,B15&lt;=Train_End),1,0)</f>
        <v>1</v>
      </c>
      <c r="D15" s="25" t="n">
        <f aca="false">COUNTIFS(Data_Heathrow!$B$2:$B$6886,B15,Data_Heathrow!$E$2:$E$6886,"&gt;="&amp;(T_Day-Climate_Shift-UHI_Day_Eff))</f>
        <v>39</v>
      </c>
      <c r="E15" s="25" t="n">
        <f aca="false">COUNTIFS(Data_Heathrow!$B$2:$B$6886,B15,Data_Heathrow!$G$2:$G$6886,"&gt;="&amp;(T_Night-Climate_Shift-UHI_Night_Eff))</f>
        <v>54</v>
      </c>
      <c r="F15" s="16" t="n">
        <f aca="false">_xlfn.MAXIFS(Data_Heathrow!$E$2:$E$6886,Data_Heathrow!$B$2:$B$6886,B15)+Climate_Shift+UHI_Day_Eff</f>
        <v>36.2</v>
      </c>
      <c r="G15" s="23" t="n">
        <f aca="false">IFERROR(AVERAGEIFS(Data_Heathrow!$U$2:$U$6886,Data_Heathrow!$B$2:$B$6886,B15),"")</f>
        <v>0.432394799210297</v>
      </c>
      <c r="H15" s="23" t="n">
        <f aca="false">IFERROR(AVERAGEIFS(Data_Heathrow!$W$2:$W$6886,Data_Heathrow!$B$2:$B$6886,B15),"")</f>
        <v>1.98763010873621</v>
      </c>
      <c r="I15" s="23" t="n">
        <f aca="false">IFERROR(AVERAGEIFS(Data_Heathrow!$W$2:$W$6886,Data_Heathrow!$B$2:$B$6886,B15,Data_Heathrow!$E$2:$E$6886,"&gt;="&amp;T_Day),"")</f>
        <v>2.87283239181174</v>
      </c>
      <c r="J15" s="25" t="n">
        <f aca="false">SUMIFS(Data_Heathrow!$Q$2:$Q$6886,Data_Heathrow!$B$2:$B$6886,B15)</f>
        <v>10</v>
      </c>
      <c r="K15" s="25" t="n">
        <f aca="false">COUNTIF(D6:D15,"&gt;=10")</f>
        <v>6</v>
      </c>
    </row>
    <row r="16" customFormat="false" ht="15" hidden="false" customHeight="false" outlineLevel="0" collapsed="false">
      <c r="B16" s="25" t="n">
        <v>1990</v>
      </c>
      <c r="C16" s="25" t="n">
        <f aca="false">IF(AND(B16&gt;=Train_Start,B16&lt;=Train_End),1,0)</f>
        <v>1</v>
      </c>
      <c r="D16" s="25" t="n">
        <f aca="false">COUNTIFS(Data_Heathrow!$B$2:$B$6886,B16,Data_Heathrow!$E$2:$E$6886,"&gt;="&amp;(T_Day-Climate_Shift-UHI_Day_Eff))</f>
        <v>34</v>
      </c>
      <c r="E16" s="25" t="n">
        <f aca="false">COUNTIFS(Data_Heathrow!$B$2:$B$6886,B16,Data_Heathrow!$G$2:$G$6886,"&gt;="&amp;(T_Night-Climate_Shift-UHI_Night_Eff))</f>
        <v>40</v>
      </c>
      <c r="F16" s="16" t="n">
        <f aca="false">_xlfn.MAXIFS(Data_Heathrow!$E$2:$E$6886,Data_Heathrow!$B$2:$B$6886,B16)+Climate_Shift+UHI_Day_Eff</f>
        <v>38.5</v>
      </c>
      <c r="G16" s="23" t="n">
        <f aca="false">IFERROR(AVERAGEIFS(Data_Heathrow!$U$2:$U$6886,Data_Heathrow!$B$2:$B$6886,B16),"")</f>
        <v>0.305231053521726</v>
      </c>
      <c r="H16" s="23" t="n">
        <f aca="false">IFERROR(AVERAGEIFS(Data_Heathrow!$W$2:$W$6886,Data_Heathrow!$B$2:$B$6886,B16),"")</f>
        <v>1.89937080925764</v>
      </c>
      <c r="I16" s="23" t="n">
        <f aca="false">IFERROR(AVERAGEIFS(Data_Heathrow!$W$2:$W$6886,Data_Heathrow!$B$2:$B$6886,B16,Data_Heathrow!$E$2:$E$6886,"&gt;="&amp;T_Day),"")</f>
        <v>3.27949182721502</v>
      </c>
      <c r="J16" s="25" t="n">
        <f aca="false">SUMIFS(Data_Heathrow!$Q$2:$Q$6886,Data_Heathrow!$B$2:$B$6886,B16)</f>
        <v>10</v>
      </c>
      <c r="K16" s="25" t="n">
        <f aca="false">COUNTIF(D7:D16,"&gt;=10")</f>
        <v>7</v>
      </c>
    </row>
    <row r="17" customFormat="false" ht="15" hidden="false" customHeight="false" outlineLevel="0" collapsed="false">
      <c r="B17" s="25" t="n">
        <v>1991</v>
      </c>
      <c r="C17" s="25" t="n">
        <f aca="false">IF(AND(B17&gt;=Train_Start,B17&lt;=Train_End),1,0)</f>
        <v>1</v>
      </c>
      <c r="D17" s="25" t="n">
        <f aca="false">COUNTIFS(Data_Heathrow!$B$2:$B$6886,B17,Data_Heathrow!$E$2:$E$6886,"&gt;="&amp;(T_Day-Climate_Shift-UHI_Day_Eff))</f>
        <v>14</v>
      </c>
      <c r="E17" s="25" t="n">
        <f aca="false">COUNTIFS(Data_Heathrow!$B$2:$B$6886,B17,Data_Heathrow!$G$2:$G$6886,"&gt;="&amp;(T_Night-Climate_Shift-UHI_Night_Eff))</f>
        <v>44</v>
      </c>
      <c r="F17" s="16" t="n">
        <f aca="false">_xlfn.MAXIFS(Data_Heathrow!$E$2:$E$6886,Data_Heathrow!$B$2:$B$6886,B17)+Climate_Shift+UHI_Day_Eff</f>
        <v>31.7</v>
      </c>
      <c r="G17" s="23" t="n">
        <f aca="false">IFERROR(AVERAGEIFS(Data_Heathrow!$U$2:$U$6886,Data_Heathrow!$B$2:$B$6886,B17),"")</f>
        <v>-0.0152942092151067</v>
      </c>
      <c r="H17" s="23" t="n">
        <f aca="false">IFERROR(AVERAGEIFS(Data_Heathrow!$W$2:$W$6886,Data_Heathrow!$B$2:$B$6886,B17),"")</f>
        <v>1.84587789820873</v>
      </c>
      <c r="I17" s="23" t="n">
        <f aca="false">IFERROR(AVERAGEIFS(Data_Heathrow!$W$2:$W$6886,Data_Heathrow!$B$2:$B$6886,B17,Data_Heathrow!$E$2:$E$6886,"&gt;="&amp;T_Day),"")</f>
        <v>3.54609430078204</v>
      </c>
      <c r="J17" s="25" t="n">
        <f aca="false">SUMIFS(Data_Heathrow!$Q$2:$Q$6886,Data_Heathrow!$B$2:$B$6886,B17)</f>
        <v>8</v>
      </c>
      <c r="K17" s="25" t="n">
        <f aca="false">COUNTIF(D8:D17,"&gt;=10")</f>
        <v>7</v>
      </c>
    </row>
    <row r="18" customFormat="false" ht="15" hidden="false" customHeight="false" outlineLevel="0" collapsed="false">
      <c r="B18" s="25" t="n">
        <v>1992</v>
      </c>
      <c r="C18" s="25" t="n">
        <f aca="false">IF(AND(B18&gt;=Train_Start,B18&lt;=Train_End),1,0)</f>
        <v>1</v>
      </c>
      <c r="D18" s="25" t="n">
        <f aca="false">COUNTIFS(Data_Heathrow!$B$2:$B$6886,B18,Data_Heathrow!$E$2:$E$6886,"&gt;="&amp;(T_Day-Climate_Shift-UHI_Day_Eff))</f>
        <v>19</v>
      </c>
      <c r="E18" s="25" t="n">
        <f aca="false">COUNTIFS(Data_Heathrow!$B$2:$B$6886,B18,Data_Heathrow!$G$2:$G$6886,"&gt;="&amp;(T_Night-Climate_Shift-UHI_Night_Eff))</f>
        <v>49</v>
      </c>
      <c r="F18" s="16" t="n">
        <f aca="false">_xlfn.MAXIFS(Data_Heathrow!$E$2:$E$6886,Data_Heathrow!$B$2:$B$6886,B18)+Climate_Shift+UHI_Day_Eff</f>
        <v>32.2</v>
      </c>
      <c r="G18" s="23" t="n">
        <f aca="false">IFERROR(AVERAGEIFS(Data_Heathrow!$U$2:$U$6886,Data_Heathrow!$B$2:$B$6886,B18),"")</f>
        <v>0.0505267088785833</v>
      </c>
      <c r="H18" s="23" t="n">
        <f aca="false">IFERROR(AVERAGEIFS(Data_Heathrow!$W$2:$W$6886,Data_Heathrow!$B$2:$B$6886,B18),"")</f>
        <v>1.98612221314933</v>
      </c>
      <c r="I18" s="23" t="n">
        <f aca="false">IFERROR(AVERAGEIFS(Data_Heathrow!$W$2:$W$6886,Data_Heathrow!$B$2:$B$6886,B18,Data_Heathrow!$E$2:$E$6886,"&gt;="&amp;T_Day),"")</f>
        <v>2.14167919189453</v>
      </c>
      <c r="J18" s="25" t="n">
        <f aca="false">SUMIFS(Data_Heathrow!$Q$2:$Q$6886,Data_Heathrow!$B$2:$B$6886,B18)</f>
        <v>4</v>
      </c>
      <c r="K18" s="25" t="n">
        <f aca="false">COUNTIF(D9:D18,"&gt;=10")</f>
        <v>7</v>
      </c>
    </row>
    <row r="19" customFormat="false" ht="15" hidden="false" customHeight="false" outlineLevel="0" collapsed="false">
      <c r="B19" s="25" t="n">
        <v>1993</v>
      </c>
      <c r="C19" s="25" t="n">
        <f aca="false">IF(AND(B19&gt;=Train_Start,B19&lt;=Train_End),1,0)</f>
        <v>1</v>
      </c>
      <c r="D19" s="25" t="n">
        <f aca="false">COUNTIFS(Data_Heathrow!$B$2:$B$6886,B19,Data_Heathrow!$E$2:$E$6886,"&gt;="&amp;(T_Day-Climate_Shift-UHI_Day_Eff))</f>
        <v>9</v>
      </c>
      <c r="E19" s="25" t="n">
        <f aca="false">COUNTIFS(Data_Heathrow!$B$2:$B$6886,B19,Data_Heathrow!$G$2:$G$6886,"&gt;="&amp;(T_Night-Climate_Shift-UHI_Night_Eff))</f>
        <v>26</v>
      </c>
      <c r="F19" s="16" t="n">
        <f aca="false">_xlfn.MAXIFS(Data_Heathrow!$E$2:$E$6886,Data_Heathrow!$B$2:$B$6886,B19)+Climate_Shift+UHI_Day_Eff</f>
        <v>30.4</v>
      </c>
      <c r="G19" s="23" t="n">
        <f aca="false">IFERROR(AVERAGEIFS(Data_Heathrow!$U$2:$U$6886,Data_Heathrow!$B$2:$B$6886,B19),"")</f>
        <v>-0.0829101947857656</v>
      </c>
      <c r="H19" s="23" t="n">
        <f aca="false">IFERROR(AVERAGEIFS(Data_Heathrow!$W$2:$W$6886,Data_Heathrow!$B$2:$B$6886,B19),"")</f>
        <v>1.77224103792452</v>
      </c>
      <c r="I19" s="23" t="n">
        <f aca="false">IFERROR(AVERAGEIFS(Data_Heathrow!$W$2:$W$6886,Data_Heathrow!$B$2:$B$6886,B19,Data_Heathrow!$E$2:$E$6886,"&gt;="&amp;T_Day),"")</f>
        <v>2.00260687953123</v>
      </c>
      <c r="J19" s="25" t="n">
        <f aca="false">SUMIFS(Data_Heathrow!$Q$2:$Q$6886,Data_Heathrow!$B$2:$B$6886,B19)</f>
        <v>9</v>
      </c>
      <c r="K19" s="25" t="n">
        <f aca="false">COUNTIF(D10:D19,"&gt;=10")</f>
        <v>6</v>
      </c>
    </row>
    <row r="20" customFormat="false" ht="15" hidden="false" customHeight="false" outlineLevel="0" collapsed="false">
      <c r="B20" s="25" t="n">
        <v>1994</v>
      </c>
      <c r="C20" s="25" t="n">
        <f aca="false">IF(AND(B20&gt;=Train_Start,B20&lt;=Train_End),1,0)</f>
        <v>1</v>
      </c>
      <c r="D20" s="25" t="n">
        <f aca="false">COUNTIFS(Data_Heathrow!$B$2:$B$6886,B20,Data_Heathrow!$E$2:$E$6886,"&gt;="&amp;(T_Day-Climate_Shift-UHI_Day_Eff))</f>
        <v>25</v>
      </c>
      <c r="E20" s="25" t="n">
        <f aca="false">COUNTIFS(Data_Heathrow!$B$2:$B$6886,B20,Data_Heathrow!$G$2:$G$6886,"&gt;="&amp;(T_Night-Climate_Shift-UHI_Night_Eff))</f>
        <v>41</v>
      </c>
      <c r="F20" s="16" t="n">
        <f aca="false">_xlfn.MAXIFS(Data_Heathrow!$E$2:$E$6886,Data_Heathrow!$B$2:$B$6886,B20)+Climate_Shift+UHI_Day_Eff</f>
        <v>35.1</v>
      </c>
      <c r="G20" s="23" t="n">
        <f aca="false">IFERROR(AVERAGEIFS(Data_Heathrow!$U$2:$U$6886,Data_Heathrow!$B$2:$B$6886,B20),"")</f>
        <v>-0.0267007311104887</v>
      </c>
      <c r="H20" s="23" t="n">
        <f aca="false">IFERROR(AVERAGEIFS(Data_Heathrow!$W$2:$W$6886,Data_Heathrow!$B$2:$B$6886,B20),"")</f>
        <v>1.97248912581143</v>
      </c>
      <c r="I20" s="23" t="n">
        <f aca="false">IFERROR(AVERAGEIFS(Data_Heathrow!$W$2:$W$6886,Data_Heathrow!$B$2:$B$6886,B20,Data_Heathrow!$E$2:$E$6886,"&gt;="&amp;T_Day),"")</f>
        <v>3.80329956560816</v>
      </c>
      <c r="J20" s="25" t="n">
        <f aca="false">SUMIFS(Data_Heathrow!$Q$2:$Q$6886,Data_Heathrow!$B$2:$B$6886,B20)</f>
        <v>7</v>
      </c>
      <c r="K20" s="25" t="n">
        <f aca="false">COUNTIF(D11:D20,"&gt;=10")</f>
        <v>6</v>
      </c>
    </row>
    <row r="21" customFormat="false" ht="15" hidden="false" customHeight="false" outlineLevel="0" collapsed="false">
      <c r="B21" s="25" t="n">
        <v>1995</v>
      </c>
      <c r="C21" s="25" t="n">
        <f aca="false">IF(AND(B21&gt;=Train_Start,B21&lt;=Train_End),1,0)</f>
        <v>1</v>
      </c>
      <c r="D21" s="25" t="n">
        <f aca="false">COUNTIFS(Data_Heathrow!$B$2:$B$6886,B21,Data_Heathrow!$E$2:$E$6886,"&gt;="&amp;(T_Day-Climate_Shift-UHI_Day_Eff))</f>
        <v>43</v>
      </c>
      <c r="E21" s="25" t="n">
        <f aca="false">COUNTIFS(Data_Heathrow!$B$2:$B$6886,B21,Data_Heathrow!$G$2:$G$6886,"&gt;="&amp;(T_Night-Climate_Shift-UHI_Night_Eff))</f>
        <v>50</v>
      </c>
      <c r="F21" s="16" t="n">
        <f aca="false">_xlfn.MAXIFS(Data_Heathrow!$E$2:$E$6886,Data_Heathrow!$B$2:$B$6886,B21)+Climate_Shift+UHI_Day_Eff</f>
        <v>36.3</v>
      </c>
      <c r="G21" s="23" t="n">
        <f aca="false">IFERROR(AVERAGEIFS(Data_Heathrow!$U$2:$U$6886,Data_Heathrow!$B$2:$B$6886,B21),"")</f>
        <v>0.250034978637623</v>
      </c>
      <c r="H21" s="23" t="n">
        <f aca="false">IFERROR(AVERAGEIFS(Data_Heathrow!$W$2:$W$6886,Data_Heathrow!$B$2:$B$6886,B21),"")</f>
        <v>1.82820739325283</v>
      </c>
      <c r="I21" s="23" t="n">
        <f aca="false">IFERROR(AVERAGEIFS(Data_Heathrow!$W$2:$W$6886,Data_Heathrow!$B$2:$B$6886,B21,Data_Heathrow!$E$2:$E$6886,"&gt;="&amp;T_Day),"")</f>
        <v>2.67127274027736</v>
      </c>
      <c r="J21" s="25" t="n">
        <f aca="false">SUMIFS(Data_Heathrow!$Q$2:$Q$6886,Data_Heathrow!$B$2:$B$6886,B21)</f>
        <v>4</v>
      </c>
      <c r="K21" s="25" t="n">
        <f aca="false">COUNTIF(D12:D21,"&gt;=10")</f>
        <v>7</v>
      </c>
    </row>
    <row r="22" customFormat="false" ht="15" hidden="false" customHeight="false" outlineLevel="0" collapsed="false">
      <c r="B22" s="25" t="n">
        <v>1996</v>
      </c>
      <c r="C22" s="25" t="n">
        <f aca="false">IF(AND(B22&gt;=Train_Start,B22&lt;=Train_End),1,0)</f>
        <v>1</v>
      </c>
      <c r="D22" s="25" t="n">
        <f aca="false">COUNTIFS(Data_Heathrow!$B$2:$B$6886,B22,Data_Heathrow!$E$2:$E$6886,"&gt;="&amp;(T_Day-Climate_Shift-UHI_Day_Eff))</f>
        <v>20</v>
      </c>
      <c r="E22" s="25" t="n">
        <f aca="false">COUNTIFS(Data_Heathrow!$B$2:$B$6886,B22,Data_Heathrow!$G$2:$G$6886,"&gt;="&amp;(T_Night-Climate_Shift-UHI_Night_Eff))</f>
        <v>34</v>
      </c>
      <c r="F22" s="16" t="n">
        <f aca="false">_xlfn.MAXIFS(Data_Heathrow!$E$2:$E$6886,Data_Heathrow!$B$2:$B$6886,B22)+Climate_Shift+UHI_Day_Eff</f>
        <v>33.8</v>
      </c>
      <c r="G22" s="23" t="n">
        <f aca="false">IFERROR(AVERAGEIFS(Data_Heathrow!$U$2:$U$6886,Data_Heathrow!$B$2:$B$6886,B22),"")</f>
        <v>0.0515580036821478</v>
      </c>
      <c r="H22" s="23" t="n">
        <f aca="false">IFERROR(AVERAGEIFS(Data_Heathrow!$W$2:$W$6886,Data_Heathrow!$B$2:$B$6886,B22),"")</f>
        <v>1.84058963917022</v>
      </c>
      <c r="I22" s="23" t="n">
        <f aca="false">IFERROR(AVERAGEIFS(Data_Heathrow!$W$2:$W$6886,Data_Heathrow!$B$2:$B$6886,B22,Data_Heathrow!$E$2:$E$6886,"&gt;="&amp;T_Day),"")</f>
        <v>2.76075651402446</v>
      </c>
      <c r="J22" s="25" t="n">
        <f aca="false">SUMIFS(Data_Heathrow!$Q$2:$Q$6886,Data_Heathrow!$B$2:$B$6886,B22)</f>
        <v>6</v>
      </c>
      <c r="K22" s="25" t="n">
        <f aca="false">COUNTIF(D13:D22,"&gt;=10")</f>
        <v>7</v>
      </c>
    </row>
    <row r="23" customFormat="false" ht="15" hidden="false" customHeight="false" outlineLevel="0" collapsed="false">
      <c r="B23" s="25" t="n">
        <v>1997</v>
      </c>
      <c r="C23" s="25" t="n">
        <f aca="false">IF(AND(B23&gt;=Train_Start,B23&lt;=Train_End),1,0)</f>
        <v>1</v>
      </c>
      <c r="D23" s="25" t="n">
        <f aca="false">COUNTIFS(Data_Heathrow!$B$2:$B$6886,B23,Data_Heathrow!$E$2:$E$6886,"&gt;="&amp;(T_Day-Climate_Shift-UHI_Day_Eff))</f>
        <v>25</v>
      </c>
      <c r="E23" s="25" t="n">
        <f aca="false">COUNTIFS(Data_Heathrow!$B$2:$B$6886,B23,Data_Heathrow!$G$2:$G$6886,"&gt;="&amp;(T_Night-Climate_Shift-UHI_Night_Eff))</f>
        <v>61</v>
      </c>
      <c r="F23" s="16" t="n">
        <f aca="false">_xlfn.MAXIFS(Data_Heathrow!$E$2:$E$6886,Data_Heathrow!$B$2:$B$6886,B23)+Climate_Shift+UHI_Day_Eff</f>
        <v>33.5</v>
      </c>
      <c r="G23" s="23" t="n">
        <f aca="false">IFERROR(AVERAGEIFS(Data_Heathrow!$U$2:$U$6886,Data_Heathrow!$B$2:$B$6886,B23),"")</f>
        <v>0.136994334059684</v>
      </c>
      <c r="H23" s="23" t="n">
        <f aca="false">IFERROR(AVERAGEIFS(Data_Heathrow!$W$2:$W$6886,Data_Heathrow!$B$2:$B$6886,B23),"")</f>
        <v>1.69369225720261</v>
      </c>
      <c r="I23" s="23" t="n">
        <f aca="false">IFERROR(AVERAGEIFS(Data_Heathrow!$W$2:$W$6886,Data_Heathrow!$B$2:$B$6886,B23,Data_Heathrow!$E$2:$E$6886,"&gt;="&amp;T_Day),"")</f>
        <v>2.42001451745171</v>
      </c>
      <c r="J23" s="25" t="n">
        <f aca="false">SUMIFS(Data_Heathrow!$Q$2:$Q$6886,Data_Heathrow!$B$2:$B$6886,B23)</f>
        <v>6</v>
      </c>
      <c r="K23" s="25" t="n">
        <f aca="false">COUNTIF(D14:D23,"&gt;=10")</f>
        <v>8</v>
      </c>
    </row>
    <row r="24" customFormat="false" ht="15" hidden="false" customHeight="false" outlineLevel="0" collapsed="false">
      <c r="B24" s="25" t="n">
        <v>1998</v>
      </c>
      <c r="C24" s="25" t="n">
        <f aca="false">IF(AND(B24&gt;=Train_Start,B24&lt;=Train_End),1,0)</f>
        <v>1</v>
      </c>
      <c r="D24" s="25" t="n">
        <f aca="false">COUNTIFS(Data_Heathrow!$B$2:$B$6886,B24,Data_Heathrow!$E$2:$E$6886,"&gt;="&amp;(T_Day-Climate_Shift-UHI_Day_Eff))</f>
        <v>10</v>
      </c>
      <c r="E24" s="25" t="n">
        <f aca="false">COUNTIFS(Data_Heathrow!$B$2:$B$6886,B24,Data_Heathrow!$G$2:$G$6886,"&gt;="&amp;(T_Night-Climate_Shift-UHI_Night_Eff))</f>
        <v>40</v>
      </c>
      <c r="F24" s="16" t="n">
        <f aca="false">_xlfn.MAXIFS(Data_Heathrow!$E$2:$E$6886,Data_Heathrow!$B$2:$B$6886,B24)+Climate_Shift+UHI_Day_Eff</f>
        <v>33.2</v>
      </c>
      <c r="G24" s="23" t="n">
        <f aca="false">IFERROR(AVERAGEIFS(Data_Heathrow!$U$2:$U$6886,Data_Heathrow!$B$2:$B$6886,B24),"")</f>
        <v>-0.012486264554161</v>
      </c>
      <c r="H24" s="23" t="n">
        <f aca="false">IFERROR(AVERAGEIFS(Data_Heathrow!$W$2:$W$6886,Data_Heathrow!$B$2:$B$6886,B24),"")</f>
        <v>1.74261926162359</v>
      </c>
      <c r="I24" s="23" t="n">
        <f aca="false">IFERROR(AVERAGEIFS(Data_Heathrow!$W$2:$W$6886,Data_Heathrow!$B$2:$B$6886,B24,Data_Heathrow!$E$2:$E$6886,"&gt;="&amp;T_Day),"")</f>
        <v>2.75739376646166</v>
      </c>
      <c r="J24" s="25" t="n">
        <f aca="false">SUMIFS(Data_Heathrow!$Q$2:$Q$6886,Data_Heathrow!$B$2:$B$6886,B24)</f>
        <v>4</v>
      </c>
      <c r="K24" s="25" t="n">
        <f aca="false">COUNTIF(D15:D24,"&gt;=10")</f>
        <v>9</v>
      </c>
    </row>
    <row r="25" customFormat="false" ht="15" hidden="false" customHeight="false" outlineLevel="0" collapsed="false">
      <c r="B25" s="25" t="n">
        <v>1999</v>
      </c>
      <c r="C25" s="25" t="n">
        <f aca="false">IF(AND(B25&gt;=Train_Start,B25&lt;=Train_End),1,0)</f>
        <v>0</v>
      </c>
      <c r="D25" s="25" t="n">
        <f aca="false">COUNTIFS(Data_Heathrow!$B$2:$B$6886,B25,Data_Heathrow!$E$2:$E$6886,"&gt;="&amp;(T_Day-Climate_Shift-UHI_Day_Eff))</f>
        <v>25</v>
      </c>
      <c r="E25" s="25" t="n">
        <f aca="false">COUNTIFS(Data_Heathrow!$B$2:$B$6886,B25,Data_Heathrow!$G$2:$G$6886,"&gt;="&amp;(T_Night-Climate_Shift-UHI_Night_Eff))</f>
        <v>47</v>
      </c>
      <c r="F25" s="16" t="n">
        <f aca="false">_xlfn.MAXIFS(Data_Heathrow!$E$2:$E$6886,Data_Heathrow!$B$2:$B$6886,B25)+Climate_Shift+UHI_Day_Eff</f>
        <v>34.7</v>
      </c>
      <c r="G25" s="23" t="n">
        <f aca="false">IFERROR(AVERAGEIFS(Data_Heathrow!$U$2:$U$6886,Data_Heathrow!$B$2:$B$6886,B25),"")</f>
        <v>0.172679333451704</v>
      </c>
      <c r="H25" s="23" t="n">
        <f aca="false">IFERROR(AVERAGEIFS(Data_Heathrow!$W$2:$W$6886,Data_Heathrow!$B$2:$B$6886,B25),"")</f>
        <v>1.75796303743946</v>
      </c>
      <c r="I25" s="23" t="n">
        <f aca="false">IFERROR(AVERAGEIFS(Data_Heathrow!$W$2:$W$6886,Data_Heathrow!$B$2:$B$6886,B25,Data_Heathrow!$E$2:$E$6886,"&gt;="&amp;T_Day),"")</f>
        <v>3.05828581936437</v>
      </c>
      <c r="J25" s="25" t="n">
        <f aca="false">SUMIFS(Data_Heathrow!$Q$2:$Q$6886,Data_Heathrow!$B$2:$B$6886,B25)</f>
        <v>8</v>
      </c>
      <c r="K25" s="25" t="n">
        <f aca="false">COUNTIF(D16:D25,"&gt;=10")</f>
        <v>9</v>
      </c>
    </row>
    <row r="26" customFormat="false" ht="15" hidden="false" customHeight="false" outlineLevel="0" collapsed="false">
      <c r="B26" s="25" t="n">
        <v>2000</v>
      </c>
      <c r="C26" s="25" t="n">
        <f aca="false">IF(AND(B26&gt;=Train_Start,B26&lt;=Train_End),1,0)</f>
        <v>0</v>
      </c>
      <c r="D26" s="25" t="n">
        <f aca="false">COUNTIFS(Data_Heathrow!$B$2:$B$6886,B26,Data_Heathrow!$E$2:$E$6886,"&gt;="&amp;(T_Day-Climate_Shift-UHI_Day_Eff))</f>
        <v>7</v>
      </c>
      <c r="E26" s="25" t="n">
        <f aca="false">COUNTIFS(Data_Heathrow!$B$2:$B$6886,B26,Data_Heathrow!$G$2:$G$6886,"&gt;="&amp;(T_Night-Climate_Shift-UHI_Night_Eff))</f>
        <v>46</v>
      </c>
      <c r="F26" s="16" t="n">
        <f aca="false">_xlfn.MAXIFS(Data_Heathrow!$E$2:$E$6886,Data_Heathrow!$B$2:$B$6886,B26)+Climate_Shift+UHI_Day_Eff</f>
        <v>33.4</v>
      </c>
      <c r="G26" s="23" t="n">
        <f aca="false">IFERROR(AVERAGEIFS(Data_Heathrow!$U$2:$U$6886,Data_Heathrow!$B$2:$B$6886,B26),"")</f>
        <v>0.222098649235296</v>
      </c>
      <c r="H26" s="23" t="n">
        <f aca="false">IFERROR(AVERAGEIFS(Data_Heathrow!$W$2:$W$6886,Data_Heathrow!$B$2:$B$6886,B26),"")</f>
        <v>1.85450301482751</v>
      </c>
      <c r="I26" s="23" t="n">
        <f aca="false">IFERROR(AVERAGEIFS(Data_Heathrow!$W$2:$W$6886,Data_Heathrow!$B$2:$B$6886,B26,Data_Heathrow!$E$2:$E$6886,"&gt;="&amp;T_Day),"")</f>
        <v>3.58042462399145</v>
      </c>
      <c r="J26" s="25" t="n">
        <f aca="false">SUMIFS(Data_Heathrow!$Q$2:$Q$6886,Data_Heathrow!$B$2:$B$6886,B26)</f>
        <v>10</v>
      </c>
      <c r="K26" s="25" t="n">
        <f aca="false">COUNTIF(D17:D26,"&gt;=10")</f>
        <v>8</v>
      </c>
    </row>
    <row r="27" customFormat="false" ht="15" hidden="false" customHeight="false" outlineLevel="0" collapsed="false">
      <c r="B27" s="25" t="n">
        <v>2001</v>
      </c>
      <c r="C27" s="25" t="n">
        <f aca="false">IF(AND(B27&gt;=Train_Start,B27&lt;=Train_End),1,0)</f>
        <v>0</v>
      </c>
      <c r="D27" s="25" t="n">
        <f aca="false">COUNTIFS(Data_Heathrow!$B$2:$B$6886,B27,Data_Heathrow!$E$2:$E$6886,"&gt;="&amp;(T_Day-Climate_Shift-UHI_Day_Eff))</f>
        <v>23</v>
      </c>
      <c r="E27" s="25" t="n">
        <f aca="false">COUNTIFS(Data_Heathrow!$B$2:$B$6886,B27,Data_Heathrow!$G$2:$G$6886,"&gt;="&amp;(T_Night-Climate_Shift-UHI_Night_Eff))</f>
        <v>43</v>
      </c>
      <c r="F27" s="16" t="n">
        <f aca="false">_xlfn.MAXIFS(Data_Heathrow!$E$2:$E$6886,Data_Heathrow!$B$2:$B$6886,B27)+Climate_Shift+UHI_Day_Eff</f>
        <v>33.9</v>
      </c>
      <c r="G27" s="23" t="n">
        <f aca="false">IFERROR(AVERAGEIFS(Data_Heathrow!$U$2:$U$6886,Data_Heathrow!$B$2:$B$6886,B27),"")</f>
        <v>0.16718577060573</v>
      </c>
      <c r="H27" s="23" t="n">
        <f aca="false">IFERROR(AVERAGEIFS(Data_Heathrow!$W$2:$W$6886,Data_Heathrow!$B$2:$B$6886,B27),"")</f>
        <v>1.89676014071619</v>
      </c>
      <c r="I27" s="23" t="n">
        <f aca="false">IFERROR(AVERAGEIFS(Data_Heathrow!$W$2:$W$6886,Data_Heathrow!$B$2:$B$6886,B27,Data_Heathrow!$E$2:$E$6886,"&gt;="&amp;T_Day),"")</f>
        <v>2.85586786168852</v>
      </c>
      <c r="J27" s="25" t="n">
        <f aca="false">SUMIFS(Data_Heathrow!$Q$2:$Q$6886,Data_Heathrow!$B$2:$B$6886,B27)</f>
        <v>9</v>
      </c>
      <c r="K27" s="25" t="n">
        <f aca="false">COUNTIF(D18:D27,"&gt;=10")</f>
        <v>8</v>
      </c>
    </row>
    <row r="28" customFormat="false" ht="15" hidden="false" customHeight="false" outlineLevel="0" collapsed="false">
      <c r="B28" s="25" t="n">
        <v>2002</v>
      </c>
      <c r="C28" s="25" t="n">
        <f aca="false">IF(AND(B28&gt;=Train_Start,B28&lt;=Train_End),1,0)</f>
        <v>0</v>
      </c>
      <c r="D28" s="25" t="n">
        <f aca="false">COUNTIFS(Data_Heathrow!$B$2:$B$6886,B28,Data_Heathrow!$E$2:$E$6886,"&gt;="&amp;(T_Day-Climate_Shift-UHI_Day_Eff))</f>
        <v>9</v>
      </c>
      <c r="E28" s="25" t="n">
        <f aca="false">COUNTIFS(Data_Heathrow!$B$2:$B$6886,B28,Data_Heathrow!$G$2:$G$6886,"&gt;="&amp;(T_Night-Climate_Shift-UHI_Night_Eff))</f>
        <v>48</v>
      </c>
      <c r="F28" s="16" t="n">
        <f aca="false">_xlfn.MAXIFS(Data_Heathrow!$E$2:$E$6886,Data_Heathrow!$B$2:$B$6886,B28)+Climate_Shift+UHI_Day_Eff</f>
        <v>34.5</v>
      </c>
      <c r="G28" s="23" t="n">
        <f aca="false">IFERROR(AVERAGEIFS(Data_Heathrow!$U$2:$U$6886,Data_Heathrow!$B$2:$B$6886,B28),"")</f>
        <v>-0.015558508226417</v>
      </c>
      <c r="H28" s="23" t="n">
        <f aca="false">IFERROR(AVERAGEIFS(Data_Heathrow!$W$2:$W$6886,Data_Heathrow!$B$2:$B$6886,B28),"")</f>
        <v>1.71713694088468</v>
      </c>
      <c r="I28" s="23" t="n">
        <f aca="false">IFERROR(AVERAGEIFS(Data_Heathrow!$W$2:$W$6886,Data_Heathrow!$B$2:$B$6886,B28,Data_Heathrow!$E$2:$E$6886,"&gt;="&amp;T_Day),"")</f>
        <v>4.20321290473954</v>
      </c>
      <c r="J28" s="25" t="n">
        <f aca="false">SUMIFS(Data_Heathrow!$Q$2:$Q$6886,Data_Heathrow!$B$2:$B$6886,B28)</f>
        <v>4</v>
      </c>
      <c r="K28" s="25" t="n">
        <f aca="false">COUNTIF(D19:D28,"&gt;=10")</f>
        <v>7</v>
      </c>
    </row>
    <row r="29" customFormat="false" ht="15" hidden="false" customHeight="false" outlineLevel="0" collapsed="false">
      <c r="B29" s="25" t="n">
        <v>2003</v>
      </c>
      <c r="C29" s="25" t="n">
        <f aca="false">IF(AND(B29&gt;=Train_Start,B29&lt;=Train_End),1,0)</f>
        <v>0</v>
      </c>
      <c r="D29" s="25" t="n">
        <f aca="false">COUNTIFS(Data_Heathrow!$B$2:$B$6886,B29,Data_Heathrow!$E$2:$E$6886,"&gt;="&amp;(T_Day-Climate_Shift-UHI_Day_Eff))</f>
        <v>34</v>
      </c>
      <c r="E29" s="25" t="n">
        <f aca="false">COUNTIFS(Data_Heathrow!$B$2:$B$6886,B29,Data_Heathrow!$G$2:$G$6886,"&gt;="&amp;(T_Night-Climate_Shift-UHI_Night_Eff))</f>
        <v>62</v>
      </c>
      <c r="F29" s="16" t="n">
        <f aca="false">_xlfn.MAXIFS(Data_Heathrow!$E$2:$E$6886,Data_Heathrow!$B$2:$B$6886,B29)+Climate_Shift+UHI_Day_Eff</f>
        <v>39.9</v>
      </c>
      <c r="G29" s="23" t="n">
        <f aca="false">IFERROR(AVERAGEIFS(Data_Heathrow!$U$2:$U$6886,Data_Heathrow!$B$2:$B$6886,B29),"")</f>
        <v>0.292886059017662</v>
      </c>
      <c r="H29" s="23" t="n">
        <f aca="false">IFERROR(AVERAGEIFS(Data_Heathrow!$W$2:$W$6886,Data_Heathrow!$B$2:$B$6886,B29),"")</f>
        <v>1.99269910407137</v>
      </c>
      <c r="I29" s="23" t="n">
        <f aca="false">IFERROR(AVERAGEIFS(Data_Heathrow!$W$2:$W$6886,Data_Heathrow!$B$2:$B$6886,B29,Data_Heathrow!$E$2:$E$6886,"&gt;="&amp;T_Day),"")</f>
        <v>3.10896445125217</v>
      </c>
      <c r="J29" s="25" t="n">
        <f aca="false">SUMIFS(Data_Heathrow!$Q$2:$Q$6886,Data_Heathrow!$B$2:$B$6886,B29)</f>
        <v>5</v>
      </c>
      <c r="K29" s="25" t="n">
        <f aca="false">COUNTIF(D20:D29,"&gt;=10")</f>
        <v>8</v>
      </c>
    </row>
    <row r="30" customFormat="false" ht="15" hidden="false" customHeight="false" outlineLevel="0" collapsed="false">
      <c r="B30" s="25" t="n">
        <v>2004</v>
      </c>
      <c r="C30" s="25" t="n">
        <f aca="false">IF(AND(B30&gt;=Train_Start,B30&lt;=Train_End),1,0)</f>
        <v>0</v>
      </c>
      <c r="D30" s="25" t="n">
        <f aca="false">COUNTIFS(Data_Heathrow!$B$2:$B$6886,B30,Data_Heathrow!$E$2:$E$6886,"&gt;="&amp;(T_Day-Climate_Shift-UHI_Day_Eff))</f>
        <v>20</v>
      </c>
      <c r="E30" s="25" t="n">
        <f aca="false">COUNTIFS(Data_Heathrow!$B$2:$B$6886,B30,Data_Heathrow!$G$2:$G$6886,"&gt;="&amp;(T_Night-Climate_Shift-UHI_Night_Eff))</f>
        <v>58</v>
      </c>
      <c r="F30" s="16" t="n">
        <f aca="false">_xlfn.MAXIFS(Data_Heathrow!$E$2:$E$6886,Data_Heathrow!$B$2:$B$6886,B30)+Climate_Shift+UHI_Day_Eff</f>
        <v>32.5</v>
      </c>
      <c r="G30" s="23" t="n">
        <f aca="false">IFERROR(AVERAGEIFS(Data_Heathrow!$U$2:$U$6886,Data_Heathrow!$B$2:$B$6886,B30),"")</f>
        <v>0.190678662547939</v>
      </c>
      <c r="H30" s="23" t="n">
        <f aca="false">IFERROR(AVERAGEIFS(Data_Heathrow!$W$2:$W$6886,Data_Heathrow!$B$2:$B$6886,B30),"")</f>
        <v>1.66886929508305</v>
      </c>
      <c r="I30" s="23" t="n">
        <f aca="false">IFERROR(AVERAGEIFS(Data_Heathrow!$W$2:$W$6886,Data_Heathrow!$B$2:$B$6886,B30,Data_Heathrow!$E$2:$E$6886,"&gt;="&amp;T_Day),"")</f>
        <v>2.90610796525099</v>
      </c>
      <c r="J30" s="25" t="n">
        <f aca="false">SUMIFS(Data_Heathrow!$Q$2:$Q$6886,Data_Heathrow!$B$2:$B$6886,B30)</f>
        <v>7</v>
      </c>
      <c r="K30" s="25" t="n">
        <f aca="false">COUNTIF(D21:D30,"&gt;=10")</f>
        <v>8</v>
      </c>
    </row>
    <row r="31" customFormat="false" ht="15" hidden="false" customHeight="false" outlineLevel="0" collapsed="false">
      <c r="B31" s="25" t="n">
        <v>2005</v>
      </c>
      <c r="C31" s="25" t="n">
        <f aca="false">IF(AND(B31&gt;=Train_Start,B31&lt;=Train_End),1,0)</f>
        <v>0</v>
      </c>
      <c r="D31" s="25" t="n">
        <f aca="false">COUNTIFS(Data_Heathrow!$B$2:$B$6886,B31,Data_Heathrow!$E$2:$E$6886,"&gt;="&amp;(T_Day-Climate_Shift-UHI_Day_Eff))</f>
        <v>28</v>
      </c>
      <c r="E31" s="25" t="n">
        <f aca="false">COUNTIFS(Data_Heathrow!$B$2:$B$6886,B31,Data_Heathrow!$G$2:$G$6886,"&gt;="&amp;(T_Night-Climate_Shift-UHI_Night_Eff))</f>
        <v>55</v>
      </c>
      <c r="F31" s="16" t="n">
        <f aca="false">_xlfn.MAXIFS(Data_Heathrow!$E$2:$E$6886,Data_Heathrow!$B$2:$B$6886,B31)+Climate_Shift+UHI_Day_Eff</f>
        <v>34.6</v>
      </c>
      <c r="G31" s="23" t="n">
        <f aca="false">IFERROR(AVERAGEIFS(Data_Heathrow!$U$2:$U$6886,Data_Heathrow!$B$2:$B$6886,B31),"")</f>
        <v>-0.106663723280647</v>
      </c>
      <c r="H31" s="23" t="n">
        <f aca="false">IFERROR(AVERAGEIFS(Data_Heathrow!$W$2:$W$6886,Data_Heathrow!$B$2:$B$6886,B31),"")</f>
        <v>2.35569489184535</v>
      </c>
      <c r="I31" s="23" t="n">
        <f aca="false">IFERROR(AVERAGEIFS(Data_Heathrow!$W$2:$W$6886,Data_Heathrow!$B$2:$B$6886,B31,Data_Heathrow!$E$2:$E$6886,"&gt;="&amp;T_Day),"")</f>
        <v>3.90817446531631</v>
      </c>
      <c r="J31" s="25" t="n">
        <f aca="false">SUMIFS(Data_Heathrow!$Q$2:$Q$6886,Data_Heathrow!$B$2:$B$6886,B31)</f>
        <v>0</v>
      </c>
      <c r="K31" s="25" t="n">
        <f aca="false">COUNTIF(D22:D31,"&gt;=10")</f>
        <v>8</v>
      </c>
    </row>
    <row r="32" customFormat="false" ht="15" hidden="false" customHeight="false" outlineLevel="0" collapsed="false">
      <c r="B32" s="25" t="n">
        <v>2006</v>
      </c>
      <c r="C32" s="25" t="n">
        <f aca="false">IF(AND(B32&gt;=Train_Start,B32&lt;=Train_End),1,0)</f>
        <v>0</v>
      </c>
      <c r="D32" s="25" t="n">
        <f aca="false">COUNTIFS(Data_Heathrow!$B$2:$B$6886,B32,Data_Heathrow!$E$2:$E$6886,"&gt;="&amp;(T_Day-Climate_Shift-UHI_Day_Eff))</f>
        <v>38</v>
      </c>
      <c r="E32" s="25" t="n">
        <f aca="false">COUNTIFS(Data_Heathrow!$B$2:$B$6886,B32,Data_Heathrow!$G$2:$G$6886,"&gt;="&amp;(T_Night-Climate_Shift-UHI_Night_Eff))</f>
        <v>73</v>
      </c>
      <c r="F32" s="16" t="n">
        <f aca="false">_xlfn.MAXIFS(Data_Heathrow!$E$2:$E$6886,Data_Heathrow!$B$2:$B$6886,B32)+Climate_Shift+UHI_Day_Eff</f>
        <v>37.5</v>
      </c>
      <c r="G32" s="23" t="n">
        <f aca="false">IFERROR(AVERAGEIFS(Data_Heathrow!$U$2:$U$6886,Data_Heathrow!$B$2:$B$6886,B32),"")</f>
        <v>0.238009172543535</v>
      </c>
      <c r="H32" s="23" t="n">
        <f aca="false">IFERROR(AVERAGEIFS(Data_Heathrow!$W$2:$W$6886,Data_Heathrow!$B$2:$B$6886,B32),"")</f>
        <v>2.19032167201005</v>
      </c>
      <c r="I32" s="23" t="n">
        <f aca="false">IFERROR(AVERAGEIFS(Data_Heathrow!$W$2:$W$6886,Data_Heathrow!$B$2:$B$6886,B32,Data_Heathrow!$E$2:$E$6886,"&gt;="&amp;T_Day),"")</f>
        <v>2.48689723862557</v>
      </c>
      <c r="J32" s="25" t="n">
        <f aca="false">SUMIFS(Data_Heathrow!$Q$2:$Q$6886,Data_Heathrow!$B$2:$B$6886,B32)</f>
        <v>0</v>
      </c>
      <c r="K32" s="25" t="n">
        <f aca="false">COUNTIF(D23:D32,"&gt;=10")</f>
        <v>8</v>
      </c>
    </row>
    <row r="33" customFormat="false" ht="15" hidden="false" customHeight="false" outlineLevel="0" collapsed="false">
      <c r="B33" s="25" t="n">
        <v>2007</v>
      </c>
      <c r="C33" s="25" t="n">
        <f aca="false">IF(AND(B33&gt;=Train_Start,B33&lt;=Train_End),1,0)</f>
        <v>0</v>
      </c>
      <c r="D33" s="25" t="n">
        <f aca="false">COUNTIFS(Data_Heathrow!$B$2:$B$6886,B33,Data_Heathrow!$E$2:$E$6886,"&gt;="&amp;(T_Day-Climate_Shift-UHI_Day_Eff))</f>
        <v>3</v>
      </c>
      <c r="E33" s="25" t="n">
        <f aca="false">COUNTIFS(Data_Heathrow!$B$2:$B$6886,B33,Data_Heathrow!$G$2:$G$6886,"&gt;="&amp;(T_Night-Climate_Shift-UHI_Night_Eff))</f>
        <v>31</v>
      </c>
      <c r="F33" s="16" t="n">
        <f aca="false">_xlfn.MAXIFS(Data_Heathrow!$E$2:$E$6886,Data_Heathrow!$B$2:$B$6886,B33)+Climate_Shift+UHI_Day_Eff</f>
        <v>31</v>
      </c>
      <c r="G33" s="23" t="n">
        <f aca="false">IFERROR(AVERAGEIFS(Data_Heathrow!$U$2:$U$6886,Data_Heathrow!$B$2:$B$6886,B33),"")</f>
        <v>-0.231758260211245</v>
      </c>
      <c r="H33" s="23" t="n">
        <f aca="false">IFERROR(AVERAGEIFS(Data_Heathrow!$W$2:$W$6886,Data_Heathrow!$B$2:$B$6886,B33),"")</f>
        <v>1.79136895427976</v>
      </c>
      <c r="I33" s="23" t="n">
        <f aca="false">IFERROR(AVERAGEIFS(Data_Heathrow!$W$2:$W$6886,Data_Heathrow!$B$2:$B$6886,B33,Data_Heathrow!$E$2:$E$6886,"&gt;="&amp;T_Day),"")</f>
        <v>3.4427712146907</v>
      </c>
      <c r="J33" s="25" t="n">
        <f aca="false">SUMIFS(Data_Heathrow!$Q$2:$Q$6886,Data_Heathrow!$B$2:$B$6886,B33)</f>
        <v>0</v>
      </c>
      <c r="K33" s="25" t="n">
        <f aca="false">COUNTIF(D24:D33,"&gt;=10")</f>
        <v>7</v>
      </c>
    </row>
    <row r="34" customFormat="false" ht="15" hidden="false" customHeight="false" outlineLevel="0" collapsed="false">
      <c r="B34" s="25" t="n">
        <v>2008</v>
      </c>
      <c r="C34" s="25" t="n">
        <f aca="false">IF(AND(B34&gt;=Train_Start,B34&lt;=Train_End),1,0)</f>
        <v>0</v>
      </c>
      <c r="D34" s="25" t="n">
        <f aca="false">COUNTIFS(Data_Heathrow!$B$2:$B$6886,B34,Data_Heathrow!$E$2:$E$6886,"&gt;="&amp;(T_Day-Climate_Shift-UHI_Day_Eff))</f>
        <v>11</v>
      </c>
      <c r="E34" s="25" t="n">
        <f aca="false">COUNTIFS(Data_Heathrow!$B$2:$B$6886,B34,Data_Heathrow!$G$2:$G$6886,"&gt;="&amp;(T_Night-Climate_Shift-UHI_Night_Eff))</f>
        <v>44</v>
      </c>
      <c r="F34" s="16" t="n">
        <f aca="false">_xlfn.MAXIFS(Data_Heathrow!$E$2:$E$6886,Data_Heathrow!$B$2:$B$6886,B34)+Climate_Shift+UHI_Day_Eff</f>
        <v>31.5</v>
      </c>
      <c r="G34" s="23" t="n">
        <f aca="false">IFERROR(AVERAGEIFS(Data_Heathrow!$U$2:$U$6886,Data_Heathrow!$B$2:$B$6886,B34),"")</f>
        <v>-0.171706500752731</v>
      </c>
      <c r="H34" s="23" t="n">
        <f aca="false">IFERROR(AVERAGEIFS(Data_Heathrow!$W$2:$W$6886,Data_Heathrow!$B$2:$B$6886,B34),"")</f>
        <v>1.76868668930768</v>
      </c>
      <c r="I34" s="23" t="n">
        <f aca="false">IFERROR(AVERAGEIFS(Data_Heathrow!$W$2:$W$6886,Data_Heathrow!$B$2:$B$6886,B34,Data_Heathrow!$E$2:$E$6886,"&gt;="&amp;T_Day),"")</f>
        <v>2.40076274074309</v>
      </c>
      <c r="J34" s="25" t="n">
        <f aca="false">SUMIFS(Data_Heathrow!$Q$2:$Q$6886,Data_Heathrow!$B$2:$B$6886,B34)</f>
        <v>0</v>
      </c>
      <c r="K34" s="25" t="n">
        <f aca="false">COUNTIF(D25:D34,"&gt;=10")</f>
        <v>7</v>
      </c>
    </row>
    <row r="35" customFormat="false" ht="15" hidden="false" customHeight="false" outlineLevel="0" collapsed="false">
      <c r="B35" s="25" t="n">
        <v>2009</v>
      </c>
      <c r="C35" s="25" t="n">
        <f aca="false">IF(AND(B35&gt;=Train_Start,B35&lt;=Train_End),1,0)</f>
        <v>0</v>
      </c>
      <c r="D35" s="25" t="n">
        <f aca="false">COUNTIFS(Data_Heathrow!$B$2:$B$6886,B35,Data_Heathrow!$E$2:$E$6886,"&gt;="&amp;(T_Day-Climate_Shift-UHI_Day_Eff))</f>
        <v>13</v>
      </c>
      <c r="E35" s="25" t="n">
        <f aca="false">COUNTIFS(Data_Heathrow!$B$2:$B$6886,B35,Data_Heathrow!$G$2:$G$6886,"&gt;="&amp;(T_Night-Climate_Shift-UHI_Night_Eff))</f>
        <v>47</v>
      </c>
      <c r="F35" s="16" t="n">
        <f aca="false">_xlfn.MAXIFS(Data_Heathrow!$E$2:$E$6886,Data_Heathrow!$B$2:$B$6886,B35)+Climate_Shift+UHI_Day_Eff</f>
        <v>32.9</v>
      </c>
      <c r="G35" s="23" t="n">
        <f aca="false">IFERROR(AVERAGEIFS(Data_Heathrow!$U$2:$U$6886,Data_Heathrow!$B$2:$B$6886,B35),"")</f>
        <v>-0.0140710097330244</v>
      </c>
      <c r="H35" s="23" t="n">
        <f aca="false">IFERROR(AVERAGEIFS(Data_Heathrow!$W$2:$W$6886,Data_Heathrow!$B$2:$B$6886,B35),"")</f>
        <v>1.77221121670415</v>
      </c>
      <c r="I35" s="23" t="n">
        <f aca="false">IFERROR(AVERAGEIFS(Data_Heathrow!$W$2:$W$6886,Data_Heathrow!$B$2:$B$6886,B35,Data_Heathrow!$E$2:$E$6886,"&gt;="&amp;T_Day),"")</f>
        <v>3.49261629700142</v>
      </c>
      <c r="J35" s="25" t="n">
        <f aca="false">SUMIFS(Data_Heathrow!$Q$2:$Q$6886,Data_Heathrow!$B$2:$B$6886,B35)</f>
        <v>2</v>
      </c>
      <c r="K35" s="25" t="n">
        <f aca="false">COUNTIF(D26:D35,"&gt;=10")</f>
        <v>7</v>
      </c>
    </row>
    <row r="36" customFormat="false" ht="15" hidden="false" customHeight="false" outlineLevel="0" collapsed="false">
      <c r="B36" s="25" t="n">
        <v>2010</v>
      </c>
      <c r="C36" s="25" t="n">
        <f aca="false">IF(AND(B36&gt;=Train_Start,B36&lt;=Train_End),1,0)</f>
        <v>0</v>
      </c>
      <c r="D36" s="25" t="n">
        <f aca="false">COUNTIFS(Data_Heathrow!$B$2:$B$6886,B36,Data_Heathrow!$E$2:$E$6886,"&gt;="&amp;(T_Day-Climate_Shift-UHI_Day_Eff))</f>
        <v>23</v>
      </c>
      <c r="E36" s="25" t="n">
        <f aca="false">COUNTIFS(Data_Heathrow!$B$2:$B$6886,B36,Data_Heathrow!$G$2:$G$6886,"&gt;="&amp;(T_Night-Climate_Shift-UHI_Night_Eff))</f>
        <v>45</v>
      </c>
      <c r="F36" s="16" t="n">
        <f aca="false">_xlfn.MAXIFS(Data_Heathrow!$E$2:$E$6886,Data_Heathrow!$B$2:$B$6886,B36)+Climate_Shift+UHI_Day_Eff</f>
        <v>33.2</v>
      </c>
      <c r="G36" s="23" t="n">
        <f aca="false">IFERROR(AVERAGEIFS(Data_Heathrow!$U$2:$U$6886,Data_Heathrow!$B$2:$B$6886,B36),"")</f>
        <v>0.128020281296828</v>
      </c>
      <c r="H36" s="23" t="n">
        <f aca="false">IFERROR(AVERAGEIFS(Data_Heathrow!$W$2:$W$6886,Data_Heathrow!$B$2:$B$6886,B36),"")</f>
        <v>1.57455250350229</v>
      </c>
      <c r="I36" s="23" t="n">
        <f aca="false">IFERROR(AVERAGEIFS(Data_Heathrow!$W$2:$W$6886,Data_Heathrow!$B$2:$B$6886,B36,Data_Heathrow!$E$2:$E$6886,"&gt;="&amp;T_Day),"")</f>
        <v>2.20294765540226</v>
      </c>
      <c r="J36" s="25" t="n">
        <f aca="false">SUMIFS(Data_Heathrow!$Q$2:$Q$6886,Data_Heathrow!$B$2:$B$6886,B36)</f>
        <v>6</v>
      </c>
      <c r="K36" s="25" t="n">
        <f aca="false">COUNTIF(D27:D36,"&gt;=10")</f>
        <v>8</v>
      </c>
    </row>
    <row r="37" customFormat="false" ht="15" hidden="false" customHeight="false" outlineLevel="0" collapsed="false">
      <c r="B37" s="25" t="n">
        <v>2011</v>
      </c>
      <c r="C37" s="25" t="n">
        <f aca="false">IF(AND(B37&gt;=Train_Start,B37&lt;=Train_End),1,0)</f>
        <v>0</v>
      </c>
      <c r="D37" s="25" t="n">
        <f aca="false">COUNTIFS(Data_Heathrow!$B$2:$B$6886,B37,Data_Heathrow!$E$2:$E$6886,"&gt;="&amp;(T_Day-Climate_Shift-UHI_Day_Eff))</f>
        <v>10</v>
      </c>
      <c r="E37" s="25" t="n">
        <f aca="false">COUNTIFS(Data_Heathrow!$B$2:$B$6886,B37,Data_Heathrow!$G$2:$G$6886,"&gt;="&amp;(T_Night-Climate_Shift-UHI_Night_Eff))</f>
        <v>32</v>
      </c>
      <c r="F37" s="16" t="n">
        <f aca="false">_xlfn.MAXIFS(Data_Heathrow!$E$2:$E$6886,Data_Heathrow!$B$2:$B$6886,B37)+Climate_Shift+UHI_Day_Eff</f>
        <v>33.2</v>
      </c>
      <c r="G37" s="23" t="n">
        <f aca="false">IFERROR(AVERAGEIFS(Data_Heathrow!$U$2:$U$6886,Data_Heathrow!$B$2:$B$6886,B37),"")</f>
        <v>0.121602214242149</v>
      </c>
      <c r="H37" s="23" t="n">
        <f aca="false">IFERROR(AVERAGEIFS(Data_Heathrow!$W$2:$W$6886,Data_Heathrow!$B$2:$B$6886,B37),"")</f>
        <v>1.72551440925544</v>
      </c>
      <c r="I37" s="23" t="n">
        <f aca="false">IFERROR(AVERAGEIFS(Data_Heathrow!$W$2:$W$6886,Data_Heathrow!$B$2:$B$6886,B37,Data_Heathrow!$E$2:$E$6886,"&gt;="&amp;T_Day),"")</f>
        <v>2.73310793933956</v>
      </c>
      <c r="J37" s="25" t="n">
        <f aca="false">SUMIFS(Data_Heathrow!$Q$2:$Q$6886,Data_Heathrow!$B$2:$B$6886,B37)</f>
        <v>6</v>
      </c>
      <c r="K37" s="25" t="n">
        <f aca="false">COUNTIF(D28:D37,"&gt;=10")</f>
        <v>8</v>
      </c>
    </row>
    <row r="38" customFormat="false" ht="15" hidden="false" customHeight="false" outlineLevel="0" collapsed="false">
      <c r="B38" s="25" t="n">
        <v>2012</v>
      </c>
      <c r="C38" s="25" t="n">
        <f aca="false">IF(AND(B38&gt;=Train_Start,B38&lt;=Train_End),1,0)</f>
        <v>0</v>
      </c>
      <c r="D38" s="25" t="n">
        <f aca="false">COUNTIFS(Data_Heathrow!$B$2:$B$6886,B38,Data_Heathrow!$E$2:$E$6886,"&gt;="&amp;(T_Day-Climate_Shift-UHI_Day_Eff))</f>
        <v>18</v>
      </c>
      <c r="E38" s="25" t="n">
        <f aca="false">COUNTIFS(Data_Heathrow!$B$2:$B$6886,B38,Data_Heathrow!$G$2:$G$6886,"&gt;="&amp;(T_Night-Climate_Shift-UHI_Night_Eff))</f>
        <v>39</v>
      </c>
      <c r="F38" s="16" t="n">
        <f aca="false">_xlfn.MAXIFS(Data_Heathrow!$E$2:$E$6886,Data_Heathrow!$B$2:$B$6886,B38)+Climate_Shift+UHI_Day_Eff</f>
        <v>32.5</v>
      </c>
      <c r="G38" s="23" t="n">
        <f aca="false">IFERROR(AVERAGEIFS(Data_Heathrow!$U$2:$U$6886,Data_Heathrow!$B$2:$B$6886,B38),"")</f>
        <v>-0.0404946820861822</v>
      </c>
      <c r="H38" s="23" t="n">
        <f aca="false">IFERROR(AVERAGEIFS(Data_Heathrow!$W$2:$W$6886,Data_Heathrow!$B$2:$B$6886,B38),"")</f>
        <v>1.7795128615376</v>
      </c>
      <c r="I38" s="23" t="n">
        <f aca="false">IFERROR(AVERAGEIFS(Data_Heathrow!$W$2:$W$6886,Data_Heathrow!$B$2:$B$6886,B38,Data_Heathrow!$E$2:$E$6886,"&gt;="&amp;T_Day),"")</f>
        <v>2.85619990385512</v>
      </c>
      <c r="J38" s="25" t="n">
        <f aca="false">SUMIFS(Data_Heathrow!$Q$2:$Q$6886,Data_Heathrow!$B$2:$B$6886,B38)</f>
        <v>4</v>
      </c>
      <c r="K38" s="25" t="n">
        <f aca="false">COUNTIF(D29:D38,"&gt;=10")</f>
        <v>9</v>
      </c>
    </row>
    <row r="39" customFormat="false" ht="15" hidden="false" customHeight="false" outlineLevel="0" collapsed="false">
      <c r="B39" s="25" t="n">
        <v>2013</v>
      </c>
      <c r="C39" s="25" t="n">
        <f aca="false">IF(AND(B39&gt;=Train_Start,B39&lt;=Train_End),1,0)</f>
        <v>0</v>
      </c>
      <c r="D39" s="25" t="n">
        <f aca="false">COUNTIFS(Data_Heathrow!$B$2:$B$6886,B39,Data_Heathrow!$E$2:$E$6886,"&gt;="&amp;(T_Day-Climate_Shift-UHI_Day_Eff))</f>
        <v>30</v>
      </c>
      <c r="E39" s="25" t="n">
        <f aca="false">COUNTIFS(Data_Heathrow!$B$2:$B$6886,B39,Data_Heathrow!$G$2:$G$6886,"&gt;="&amp;(T_Night-Climate_Shift-UHI_Night_Eff))</f>
        <v>48</v>
      </c>
      <c r="F39" s="16" t="n">
        <f aca="false">_xlfn.MAXIFS(Data_Heathrow!$E$2:$E$6886,Data_Heathrow!$B$2:$B$6886,B39)+Climate_Shift+UHI_Day_Eff</f>
        <v>36.1</v>
      </c>
      <c r="G39" s="23" t="n">
        <f aca="false">IFERROR(AVERAGEIFS(Data_Heathrow!$U$2:$U$6886,Data_Heathrow!$B$2:$B$6886,B39),"")</f>
        <v>0.177173305036933</v>
      </c>
      <c r="H39" s="23" t="n">
        <f aca="false">IFERROR(AVERAGEIFS(Data_Heathrow!$W$2:$W$6886,Data_Heathrow!$B$2:$B$6886,B39),"")</f>
        <v>1.95106294502481</v>
      </c>
      <c r="I39" s="23" t="n">
        <f aca="false">IFERROR(AVERAGEIFS(Data_Heathrow!$W$2:$W$6886,Data_Heathrow!$B$2:$B$6886,B39,Data_Heathrow!$E$2:$E$6886,"&gt;="&amp;T_Day),"")</f>
        <v>2.88025893573523</v>
      </c>
      <c r="J39" s="25" t="n">
        <f aca="false">SUMIFS(Data_Heathrow!$Q$2:$Q$6886,Data_Heathrow!$B$2:$B$6886,B39)</f>
        <v>7</v>
      </c>
      <c r="K39" s="25" t="n">
        <f aca="false">COUNTIF(D30:D39,"&gt;=10")</f>
        <v>9</v>
      </c>
    </row>
    <row r="40" customFormat="false" ht="15" hidden="false" customHeight="false" outlineLevel="0" collapsed="false">
      <c r="B40" s="25" t="n">
        <v>2014</v>
      </c>
      <c r="C40" s="25" t="n">
        <f aca="false">IF(AND(B40&gt;=Train_Start,B40&lt;=Train_End),1,0)</f>
        <v>0</v>
      </c>
      <c r="D40" s="25" t="n">
        <f aca="false">COUNTIFS(Data_Heathrow!$B$2:$B$6886,B40,Data_Heathrow!$E$2:$E$6886,"&gt;="&amp;(T_Day-Climate_Shift-UHI_Day_Eff))</f>
        <v>23</v>
      </c>
      <c r="E40" s="25" t="n">
        <f aca="false">COUNTIFS(Data_Heathrow!$B$2:$B$6886,B40,Data_Heathrow!$G$2:$G$6886,"&gt;="&amp;(T_Night-Climate_Shift-UHI_Night_Eff))</f>
        <v>46</v>
      </c>
      <c r="F40" s="16" t="n">
        <f aca="false">_xlfn.MAXIFS(Data_Heathrow!$E$2:$E$6886,Data_Heathrow!$B$2:$B$6886,B40)+Climate_Shift+UHI_Day_Eff</f>
        <v>32.3</v>
      </c>
      <c r="G40" s="23" t="n">
        <f aca="false">IFERROR(AVERAGEIFS(Data_Heathrow!$U$2:$U$6886,Data_Heathrow!$B$2:$B$6886,B40),"")</f>
        <v>0.16642979675417</v>
      </c>
      <c r="H40" s="23" t="n">
        <f aca="false">IFERROR(AVERAGEIFS(Data_Heathrow!$W$2:$W$6886,Data_Heathrow!$B$2:$B$6886,B40),"")</f>
        <v>1.5677985848459</v>
      </c>
      <c r="I40" s="23" t="n">
        <f aca="false">IFERROR(AVERAGEIFS(Data_Heathrow!$W$2:$W$6886,Data_Heathrow!$B$2:$B$6886,B40,Data_Heathrow!$E$2:$E$6886,"&gt;="&amp;T_Day),"")</f>
        <v>2.0972777114177</v>
      </c>
      <c r="J40" s="25" t="n">
        <f aca="false">SUMIFS(Data_Heathrow!$Q$2:$Q$6886,Data_Heathrow!$B$2:$B$6886,B40)</f>
        <v>4</v>
      </c>
      <c r="K40" s="25" t="n">
        <f aca="false">COUNTIF(D31:D40,"&gt;=10")</f>
        <v>9</v>
      </c>
    </row>
    <row r="41" customFormat="false" ht="15" hidden="false" customHeight="false" outlineLevel="0" collapsed="false">
      <c r="B41" s="25" t="n">
        <v>2015</v>
      </c>
      <c r="C41" s="25" t="n">
        <f aca="false">IF(AND(B41&gt;=Train_Start,B41&lt;=Train_End),1,0)</f>
        <v>0</v>
      </c>
      <c r="D41" s="25" t="n">
        <f aca="false">COUNTIFS(Data_Heathrow!$B$2:$B$6886,B41,Data_Heathrow!$E$2:$E$6886,"&gt;="&amp;(T_Day-Climate_Shift-UHI_Day_Eff))</f>
        <v>15</v>
      </c>
      <c r="E41" s="25" t="n">
        <f aca="false">COUNTIFS(Data_Heathrow!$B$2:$B$6886,B41,Data_Heathrow!$G$2:$G$6886,"&gt;="&amp;(T_Night-Climate_Shift-UHI_Night_Eff))</f>
        <v>37</v>
      </c>
      <c r="F41" s="16" t="n">
        <f aca="false">_xlfn.MAXIFS(Data_Heathrow!$E$2:$E$6886,Data_Heathrow!$B$2:$B$6886,B41)+Climate_Shift+UHI_Day_Eff</f>
        <v>38.7</v>
      </c>
      <c r="G41" s="23" t="n">
        <f aca="false">IFERROR(AVERAGEIFS(Data_Heathrow!$U$2:$U$6886,Data_Heathrow!$B$2:$B$6886,B41),"")</f>
        <v>0.0389237184265488</v>
      </c>
      <c r="H41" s="23" t="n">
        <f aca="false">IFERROR(AVERAGEIFS(Data_Heathrow!$W$2:$W$6886,Data_Heathrow!$B$2:$B$6886,B41),"")</f>
        <v>1.85384040903821</v>
      </c>
      <c r="I41" s="23" t="n">
        <f aca="false">IFERROR(AVERAGEIFS(Data_Heathrow!$W$2:$W$6886,Data_Heathrow!$B$2:$B$6886,B41,Data_Heathrow!$E$2:$E$6886,"&gt;="&amp;T_Day),"")</f>
        <v>6.02006758299218</v>
      </c>
      <c r="J41" s="25" t="n">
        <f aca="false">SUMIFS(Data_Heathrow!$Q$2:$Q$6886,Data_Heathrow!$B$2:$B$6886,B41)</f>
        <v>7</v>
      </c>
      <c r="K41" s="25" t="n">
        <f aca="false">COUNTIF(D32:D41,"&gt;=10")</f>
        <v>9</v>
      </c>
    </row>
    <row r="42" customFormat="false" ht="15" hidden="false" customHeight="false" outlineLevel="0" collapsed="false">
      <c r="B42" s="25" t="n">
        <v>2016</v>
      </c>
      <c r="C42" s="25" t="n">
        <f aca="false">IF(AND(B42&gt;=Train_Start,B42&lt;=Train_End),1,0)</f>
        <v>0</v>
      </c>
      <c r="D42" s="25" t="n">
        <f aca="false">COUNTIFS(Data_Heathrow!$B$2:$B$6886,B42,Data_Heathrow!$E$2:$E$6886,"&gt;="&amp;(T_Day-Climate_Shift-UHI_Day_Eff))</f>
        <v>22</v>
      </c>
      <c r="E42" s="25" t="n">
        <f aca="false">COUNTIFS(Data_Heathrow!$B$2:$B$6886,B42,Data_Heathrow!$G$2:$G$6886,"&gt;="&amp;(T_Night-Climate_Shift-UHI_Night_Eff))</f>
        <v>65</v>
      </c>
      <c r="F42" s="16" t="n">
        <f aca="false">_xlfn.MAXIFS(Data_Heathrow!$E$2:$E$6886,Data_Heathrow!$B$2:$B$6886,B42)+Climate_Shift+UHI_Day_Eff</f>
        <v>35.2</v>
      </c>
      <c r="G42" s="23" t="n">
        <f aca="false">IFERROR(AVERAGEIFS(Data_Heathrow!$U$2:$U$6886,Data_Heathrow!$B$2:$B$6886,B42),"")</f>
        <v>0.321971601687034</v>
      </c>
      <c r="H42" s="23" t="n">
        <f aca="false">IFERROR(AVERAGEIFS(Data_Heathrow!$W$2:$W$6886,Data_Heathrow!$B$2:$B$6886,B42),"")</f>
        <v>1.92970770365005</v>
      </c>
      <c r="I42" s="23" t="n">
        <f aca="false">IFERROR(AVERAGEIFS(Data_Heathrow!$W$2:$W$6886,Data_Heathrow!$B$2:$B$6886,B42,Data_Heathrow!$E$2:$E$6886,"&gt;="&amp;T_Day),"")</f>
        <v>4.1325177704065</v>
      </c>
      <c r="J42" s="25" t="n">
        <f aca="false">SUMIFS(Data_Heathrow!$Q$2:$Q$6886,Data_Heathrow!$B$2:$B$6886,B42)</f>
        <v>8</v>
      </c>
      <c r="K42" s="25" t="n">
        <f aca="false">COUNTIF(D33:D42,"&gt;=10")</f>
        <v>9</v>
      </c>
    </row>
    <row r="43" customFormat="false" ht="15" hidden="false" customHeight="false" outlineLevel="0" collapsed="false">
      <c r="B43" s="25" t="n">
        <v>2017</v>
      </c>
      <c r="C43" s="25" t="n">
        <f aca="false">IF(AND(B43&gt;=Train_Start,B43&lt;=Train_End),1,0)</f>
        <v>0</v>
      </c>
      <c r="D43" s="25" t="n">
        <f aca="false">COUNTIFS(Data_Heathrow!$B$2:$B$6886,B43,Data_Heathrow!$E$2:$E$6886,"&gt;="&amp;(T_Day-Climate_Shift-UHI_Day_Eff))</f>
        <v>20</v>
      </c>
      <c r="E43" s="25" t="n">
        <f aca="false">COUNTIFS(Data_Heathrow!$B$2:$B$6886,B43,Data_Heathrow!$G$2:$G$6886,"&gt;="&amp;(T_Night-Climate_Shift-UHI_Night_Eff))</f>
        <v>60</v>
      </c>
      <c r="F43" s="16" t="n">
        <f aca="false">_xlfn.MAXIFS(Data_Heathrow!$E$2:$E$6886,Data_Heathrow!$B$2:$B$6886,B43)+Climate_Shift+UHI_Day_Eff</f>
        <v>36.5</v>
      </c>
      <c r="G43" s="23" t="n">
        <f aca="false">IFERROR(AVERAGEIFS(Data_Heathrow!$U$2:$U$6886,Data_Heathrow!$B$2:$B$6886,B43),"")</f>
        <v>0.368211445127756</v>
      </c>
      <c r="H43" s="23" t="n">
        <f aca="false">IFERROR(AVERAGEIFS(Data_Heathrow!$W$2:$W$6886,Data_Heathrow!$B$2:$B$6886,B43),"")</f>
        <v>1.70662133164847</v>
      </c>
      <c r="I43" s="23" t="n">
        <f aca="false">IFERROR(AVERAGEIFS(Data_Heathrow!$W$2:$W$6886,Data_Heathrow!$B$2:$B$6886,B43,Data_Heathrow!$E$2:$E$6886,"&gt;="&amp;T_Day),"")</f>
        <v>3.18072175523427</v>
      </c>
      <c r="J43" s="25" t="n">
        <f aca="false">SUMIFS(Data_Heathrow!$Q$2:$Q$6886,Data_Heathrow!$B$2:$B$6886,B43)</f>
        <v>8</v>
      </c>
      <c r="K43" s="25" t="n">
        <f aca="false">COUNTIF(D34:D43,"&gt;=10")</f>
        <v>10</v>
      </c>
    </row>
    <row r="44" customFormat="false" ht="15" hidden="false" customHeight="false" outlineLevel="0" collapsed="false">
      <c r="B44" s="25" t="n">
        <v>2018</v>
      </c>
      <c r="C44" s="25" t="n">
        <f aca="false">IF(AND(B44&gt;=Train_Start,B44&lt;=Train_End),1,0)</f>
        <v>0</v>
      </c>
      <c r="D44" s="25" t="n">
        <f aca="false">COUNTIFS(Data_Heathrow!$B$2:$B$6886,B44,Data_Heathrow!$E$2:$E$6886,"&gt;="&amp;(T_Day-Climate_Shift-UHI_Day_Eff))</f>
        <v>48</v>
      </c>
      <c r="E44" s="25" t="n">
        <f aca="false">COUNTIFS(Data_Heathrow!$B$2:$B$6886,B44,Data_Heathrow!$G$2:$G$6886,"&gt;="&amp;(T_Night-Climate_Shift-UHI_Night_Eff))</f>
        <v>65</v>
      </c>
      <c r="F44" s="16" t="n">
        <f aca="false">_xlfn.MAXIFS(Data_Heathrow!$E$2:$E$6886,Data_Heathrow!$B$2:$B$6886,B44)+Climate_Shift+UHI_Day_Eff</f>
        <v>37</v>
      </c>
      <c r="G44" s="23" t="n">
        <f aca="false">IFERROR(AVERAGEIFS(Data_Heathrow!$U$2:$U$6886,Data_Heathrow!$B$2:$B$6886,B44),"")</f>
        <v>0.72451786937791</v>
      </c>
      <c r="H44" s="23" t="n">
        <f aca="false">IFERROR(AVERAGEIFS(Data_Heathrow!$W$2:$W$6886,Data_Heathrow!$B$2:$B$6886,B44),"")</f>
        <v>1.99291213330418</v>
      </c>
      <c r="I44" s="23" t="n">
        <f aca="false">IFERROR(AVERAGEIFS(Data_Heathrow!$W$2:$W$6886,Data_Heathrow!$B$2:$B$6886,B44,Data_Heathrow!$E$2:$E$6886,"&gt;="&amp;T_Day),"")</f>
        <v>2.41355984832092</v>
      </c>
      <c r="J44" s="25" t="n">
        <f aca="false">SUMIFS(Data_Heathrow!$Q$2:$Q$6886,Data_Heathrow!$B$2:$B$6886,B44)</f>
        <v>10</v>
      </c>
      <c r="K44" s="25" t="n">
        <f aca="false">COUNTIF(D35:D44,"&gt;=10")</f>
        <v>10</v>
      </c>
    </row>
    <row r="45" customFormat="false" ht="15" hidden="false" customHeight="false" outlineLevel="0" collapsed="false">
      <c r="B45" s="25" t="n">
        <v>2019</v>
      </c>
      <c r="C45" s="25" t="n">
        <f aca="false">IF(AND(B45&gt;=Train_Start,B45&lt;=Train_End),1,0)</f>
        <v>0</v>
      </c>
      <c r="D45" s="25" t="n">
        <f aca="false">COUNTIFS(Data_Heathrow!$B$2:$B$6886,B45,Data_Heathrow!$E$2:$E$6886,"&gt;="&amp;(T_Day-Climate_Shift-UHI_Day_Eff))</f>
        <v>25</v>
      </c>
      <c r="E45" s="25" t="n">
        <f aca="false">COUNTIFS(Data_Heathrow!$B$2:$B$6886,B45,Data_Heathrow!$G$2:$G$6886,"&gt;="&amp;(T_Night-Climate_Shift-UHI_Night_Eff))</f>
        <v>53</v>
      </c>
      <c r="F45" s="16" t="n">
        <f aca="false">_xlfn.MAXIFS(Data_Heathrow!$E$2:$E$6886,Data_Heathrow!$B$2:$B$6886,B45)+Climate_Shift+UHI_Day_Eff</f>
        <v>39.9</v>
      </c>
      <c r="G45" s="23" t="n">
        <f aca="false">IFERROR(AVERAGEIFS(Data_Heathrow!$U$2:$U$6886,Data_Heathrow!$B$2:$B$6886,B45),"")</f>
        <v>0.222503065276594</v>
      </c>
      <c r="H45" s="23" t="n">
        <f aca="false">IFERROR(AVERAGEIFS(Data_Heathrow!$W$2:$W$6886,Data_Heathrow!$B$2:$B$6886,B45),"")</f>
        <v>2.04557522786878</v>
      </c>
      <c r="I45" s="23" t="n">
        <f aca="false">IFERROR(AVERAGEIFS(Data_Heathrow!$W$2:$W$6886,Data_Heathrow!$B$2:$B$6886,B45,Data_Heathrow!$E$2:$E$6886,"&gt;="&amp;T_Day),"")</f>
        <v>4.49569170625224</v>
      </c>
      <c r="J45" s="25" t="n">
        <f aca="false">SUMIFS(Data_Heathrow!$Q$2:$Q$6886,Data_Heathrow!$B$2:$B$6886,B45)</f>
        <v>4</v>
      </c>
      <c r="K45" s="25" t="n">
        <f aca="false">COUNTIF(D36:D45,"&gt;=10")</f>
        <v>10</v>
      </c>
    </row>
    <row r="46" customFormat="false" ht="15" hidden="false" customHeight="false" outlineLevel="0" collapsed="false">
      <c r="B46" s="25" t="n">
        <v>2020</v>
      </c>
      <c r="C46" s="25" t="n">
        <f aca="false">IF(AND(B46&gt;=Train_Start,B46&lt;=Train_End),1,0)</f>
        <v>0</v>
      </c>
      <c r="D46" s="25" t="n">
        <f aca="false">COUNTIFS(Data_Heathrow!$B$2:$B$6886,B46,Data_Heathrow!$E$2:$E$6886,"&gt;="&amp;(T_Day-Climate_Shift-UHI_Day_Eff))</f>
        <v>31</v>
      </c>
      <c r="E46" s="25" t="n">
        <f aca="false">COUNTIFS(Data_Heathrow!$B$2:$B$6886,B46,Data_Heathrow!$G$2:$G$6886,"&gt;="&amp;(T_Night-Climate_Shift-UHI_Night_Eff))</f>
        <v>45</v>
      </c>
      <c r="F46" s="16" t="n">
        <f aca="false">_xlfn.MAXIFS(Data_Heathrow!$E$2:$E$6886,Data_Heathrow!$B$2:$B$6886,B46)+Climate_Shift+UHI_Day_Eff</f>
        <v>39.8</v>
      </c>
      <c r="G46" s="23" t="n">
        <f aca="false">IFERROR(AVERAGEIFS(Data_Heathrow!$U$2:$U$6886,Data_Heathrow!$B$2:$B$6886,B46),"")</f>
        <v>0.478547401202919</v>
      </c>
      <c r="H46" s="23" t="n">
        <f aca="false">IFERROR(AVERAGEIFS(Data_Heathrow!$W$2:$W$6886,Data_Heathrow!$B$2:$B$6886,B46),"")</f>
        <v>2.13848799311029</v>
      </c>
      <c r="I46" s="23" t="n">
        <f aca="false">IFERROR(AVERAGEIFS(Data_Heathrow!$W$2:$W$6886,Data_Heathrow!$B$2:$B$6886,B46,Data_Heathrow!$E$2:$E$6886,"&gt;="&amp;T_Day),"")</f>
        <v>3.86410891645884</v>
      </c>
      <c r="J46" s="25" t="n">
        <f aca="false">SUMIFS(Data_Heathrow!$Q$2:$Q$6886,Data_Heathrow!$B$2:$B$6886,B46)</f>
        <v>8</v>
      </c>
      <c r="K46" s="25" t="n">
        <f aca="false">COUNTIF(D37:D46,"&gt;=10")</f>
        <v>10</v>
      </c>
    </row>
    <row r="47" customFormat="false" ht="15" hidden="false" customHeight="false" outlineLevel="0" collapsed="false">
      <c r="B47" s="25" t="n">
        <v>2021</v>
      </c>
      <c r="C47" s="25" t="n">
        <f aca="false">IF(AND(B47&gt;=Train_Start,B47&lt;=Train_End),1,0)</f>
        <v>0</v>
      </c>
      <c r="D47" s="25" t="n">
        <f aca="false">COUNTIFS(Data_Heathrow!$B$2:$B$6886,B47,Data_Heathrow!$E$2:$E$6886,"&gt;="&amp;(T_Day-Climate_Shift-UHI_Day_Eff))</f>
        <v>18</v>
      </c>
      <c r="E47" s="25" t="n">
        <f aca="false">COUNTIFS(Data_Heathrow!$B$2:$B$6886,B47,Data_Heathrow!$G$2:$G$6886,"&gt;="&amp;(T_Night-Climate_Shift-UHI_Night_Eff))</f>
        <v>58</v>
      </c>
      <c r="F47" s="16" t="n">
        <f aca="false">_xlfn.MAXIFS(Data_Heathrow!$E$2:$E$6886,Data_Heathrow!$B$2:$B$6886,B47)+Climate_Shift+UHI_Day_Eff</f>
        <v>34.2</v>
      </c>
      <c r="G47" s="23" t="n">
        <f aca="false">IFERROR(AVERAGEIFS(Data_Heathrow!$U$2:$U$6886,Data_Heathrow!$B$2:$B$6886,B47),"")</f>
        <v>0.184144988142422</v>
      </c>
      <c r="H47" s="23" t="n">
        <f aca="false">IFERROR(AVERAGEIFS(Data_Heathrow!$W$2:$W$6886,Data_Heathrow!$B$2:$B$6886,B47),"")</f>
        <v>1.70754801413771</v>
      </c>
      <c r="I47" s="23" t="n">
        <f aca="false">IFERROR(AVERAGEIFS(Data_Heathrow!$W$2:$W$6886,Data_Heathrow!$B$2:$B$6886,B47,Data_Heathrow!$E$2:$E$6886,"&gt;="&amp;T_Day),"")</f>
        <v>2.18942847932621</v>
      </c>
      <c r="J47" s="25" t="n">
        <f aca="false">SUMIFS(Data_Heathrow!$Q$2:$Q$6886,Data_Heathrow!$B$2:$B$6886,B47)</f>
        <v>8</v>
      </c>
      <c r="K47" s="25" t="n">
        <f aca="false">COUNTIF(D38:D47,"&gt;=10")</f>
        <v>10</v>
      </c>
    </row>
    <row r="48" customFormat="false" ht="15" hidden="false" customHeight="false" outlineLevel="0" collapsed="false">
      <c r="B48" s="25" t="n">
        <v>2022</v>
      </c>
      <c r="C48" s="25" t="n">
        <f aca="false">IF(AND(B48&gt;=Train_Start,B48&lt;=Train_End),1,0)</f>
        <v>0</v>
      </c>
      <c r="D48" s="25" t="n">
        <f aca="false">COUNTIFS(Data_Heathrow!$B$2:$B$6886,B48,Data_Heathrow!$E$2:$E$6886,"&gt;="&amp;(T_Day-Climate_Shift-UHI_Day_Eff))</f>
        <v>41</v>
      </c>
      <c r="E48" s="25" t="n">
        <f aca="false">COUNTIFS(Data_Heathrow!$B$2:$B$6886,B48,Data_Heathrow!$G$2:$G$6886,"&gt;="&amp;(T_Night-Climate_Shift-UHI_Night_Eff))</f>
        <v>64</v>
      </c>
      <c r="F48" s="16" t="n">
        <f aca="false">_xlfn.MAXIFS(Data_Heathrow!$E$2:$E$6886,Data_Heathrow!$B$2:$B$6886,B48)+Climate_Shift+UHI_Day_Eff</f>
        <v>42.2</v>
      </c>
      <c r="G48" s="23" t="n">
        <f aca="false">IFERROR(AVERAGEIFS(Data_Heathrow!$U$2:$U$6886,Data_Heathrow!$B$2:$B$6886,B48),"")</f>
        <v>0.535421135074359</v>
      </c>
      <c r="H48" s="23" t="n">
        <f aca="false">IFERROR(AVERAGEIFS(Data_Heathrow!$W$2:$W$6886,Data_Heathrow!$B$2:$B$6886,B48),"")</f>
        <v>1.88124066343048</v>
      </c>
      <c r="I48" s="23" t="n">
        <f aca="false">IFERROR(AVERAGEIFS(Data_Heathrow!$W$2:$W$6886,Data_Heathrow!$B$2:$B$6886,B48,Data_Heathrow!$E$2:$E$6886,"&gt;="&amp;T_Day),"")</f>
        <v>2.87761958479246</v>
      </c>
      <c r="J48" s="25" t="n">
        <f aca="false">SUMIFS(Data_Heathrow!$Q$2:$Q$6886,Data_Heathrow!$B$2:$B$6886,B48)</f>
        <v>7</v>
      </c>
      <c r="K48" s="25" t="n">
        <f aca="false">COUNTIF(D39:D48,"&gt;=10")</f>
        <v>10</v>
      </c>
    </row>
    <row r="49" customFormat="false" ht="15" hidden="false" customHeight="false" outlineLevel="0" collapsed="false">
      <c r="B49" s="25" t="n">
        <v>2023</v>
      </c>
      <c r="C49" s="25" t="n">
        <f aca="false">IF(AND(B49&gt;=Train_Start,B49&lt;=Train_End),1,0)</f>
        <v>0</v>
      </c>
      <c r="D49" s="25" t="n">
        <f aca="false">COUNTIFS(Data_Heathrow!$B$2:$B$6886,B49,Data_Heathrow!$E$2:$E$6886,"&gt;="&amp;(T_Day-Climate_Shift-UHI_Day_Eff))</f>
        <v>31</v>
      </c>
      <c r="E49" s="25" t="n">
        <f aca="false">COUNTIFS(Data_Heathrow!$B$2:$B$6886,B49,Data_Heathrow!$G$2:$G$6886,"&gt;="&amp;(T_Night-Climate_Shift-UHI_Night_Eff))</f>
        <v>64</v>
      </c>
      <c r="F49" s="16" t="n">
        <f aca="false">_xlfn.MAXIFS(Data_Heathrow!$E$2:$E$6886,Data_Heathrow!$B$2:$B$6886,B49)+Climate_Shift+UHI_Day_Eff</f>
        <v>35</v>
      </c>
      <c r="G49" s="23" t="n">
        <f aca="false">IFERROR(AVERAGEIFS(Data_Heathrow!$U$2:$U$6886,Data_Heathrow!$B$2:$B$6886,B49),"")</f>
        <v>0.321974642081624</v>
      </c>
      <c r="H49" s="23" t="n">
        <f aca="false">IFERROR(AVERAGEIFS(Data_Heathrow!$W$2:$W$6886,Data_Heathrow!$B$2:$B$6886,B49),"")</f>
        <v>1.78553725459247</v>
      </c>
      <c r="I49" s="23" t="n">
        <f aca="false">IFERROR(AVERAGEIFS(Data_Heathrow!$W$2:$W$6886,Data_Heathrow!$B$2:$B$6886,B49,Data_Heathrow!$E$2:$E$6886,"&gt;="&amp;T_Day),"")</f>
        <v>2.58068112529429</v>
      </c>
      <c r="J49" s="25" t="n">
        <f aca="false">SUMIFS(Data_Heathrow!$Q$2:$Q$6886,Data_Heathrow!$B$2:$B$6886,B49)</f>
        <v>4</v>
      </c>
      <c r="K49" s="25" t="n">
        <f aca="false">COUNTIF(D40:D49,"&gt;=10")</f>
        <v>10</v>
      </c>
    </row>
    <row r="52" customFormat="false" ht="15" hidden="false" customHeight="false" outlineLevel="0" collapsed="false">
      <c r="B52" s="46" t="s">
        <v>667</v>
      </c>
      <c r="H52" s="73" t="n">
        <f aca="false">MIN(5,1+ROUNDUP(INDEX(K5:K49,SelYear-1978)/2,0))</f>
        <v>5</v>
      </c>
    </row>
  </sheetData>
  <conditionalFormatting sqref="C5:C49">
    <cfRule type="cellIs" priority="2" operator="equal" aboveAverage="0" equalAverage="0" bottom="0" percent="0" rank="0" text="" dxfId="4">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30"/>
    <col collapsed="false" customWidth="true" hidden="false" outlineLevel="0" max="4" min="4" style="0" width="70"/>
    <col collapsed="false" customWidth="true" hidden="false" outlineLevel="0" max="5" min="5" style="0" width="40"/>
    <col collapsed="false" customWidth="true" hidden="false" outlineLevel="0" max="6" min="6" style="0" width="18"/>
  </cols>
  <sheetData>
    <row r="1" customFormat="false" ht="19.7" hidden="false" customHeight="false" outlineLevel="0" collapsed="false">
      <c r="A1" s="1" t="s">
        <v>668</v>
      </c>
    </row>
    <row r="2" customFormat="false" ht="15" hidden="false" customHeight="false" outlineLevel="0" collapsed="false">
      <c r="A2" s="2" t="s">
        <v>669</v>
      </c>
    </row>
    <row r="4" customFormat="false" ht="15" hidden="false" customHeight="false" outlineLevel="0" collapsed="false">
      <c r="B4" s="9" t="s">
        <v>670</v>
      </c>
      <c r="C4" s="9" t="s">
        <v>671</v>
      </c>
      <c r="D4" s="9" t="s">
        <v>672</v>
      </c>
      <c r="E4" s="9" t="s">
        <v>673</v>
      </c>
      <c r="F4" s="9" t="s">
        <v>674</v>
      </c>
    </row>
    <row r="5" customFormat="false" ht="75" hidden="false" customHeight="true" outlineLevel="0" collapsed="false">
      <c r="B5" s="4" t="s">
        <v>675</v>
      </c>
      <c r="C5" s="4" t="s">
        <v>676</v>
      </c>
      <c r="D5" s="4" t="s">
        <v>677</v>
      </c>
      <c r="E5" s="4" t="s">
        <v>678</v>
      </c>
      <c r="F5" s="4" t="s">
        <v>679</v>
      </c>
    </row>
    <row r="6" customFormat="false" ht="75" hidden="false" customHeight="true" outlineLevel="0" collapsed="false">
      <c r="B6" s="4" t="s">
        <v>679</v>
      </c>
      <c r="C6" s="4" t="s">
        <v>680</v>
      </c>
      <c r="D6" s="4" t="s">
        <v>681</v>
      </c>
      <c r="E6" s="4" t="s">
        <v>682</v>
      </c>
      <c r="F6" s="4" t="s">
        <v>683</v>
      </c>
    </row>
    <row r="7" customFormat="false" ht="75" hidden="false" customHeight="true" outlineLevel="0" collapsed="false">
      <c r="B7" s="4" t="s">
        <v>684</v>
      </c>
      <c r="C7" s="4" t="s">
        <v>685</v>
      </c>
      <c r="D7" s="4" t="s">
        <v>686</v>
      </c>
      <c r="E7" s="4" t="s">
        <v>687</v>
      </c>
      <c r="F7" s="4" t="s">
        <v>688</v>
      </c>
    </row>
    <row r="8" customFormat="false" ht="75" hidden="false" customHeight="true" outlineLevel="0" collapsed="false">
      <c r="B8" s="4" t="s">
        <v>689</v>
      </c>
      <c r="C8" s="4" t="s">
        <v>690</v>
      </c>
      <c r="D8" s="4" t="s">
        <v>691</v>
      </c>
      <c r="E8" s="4" t="s">
        <v>692</v>
      </c>
      <c r="F8" s="4" t="s">
        <v>688</v>
      </c>
    </row>
    <row r="9" customFormat="false" ht="75" hidden="false" customHeight="true" outlineLevel="0" collapsed="false">
      <c r="B9" s="4" t="s">
        <v>693</v>
      </c>
      <c r="C9" s="4" t="s">
        <v>694</v>
      </c>
      <c r="D9" s="4" t="s">
        <v>695</v>
      </c>
      <c r="E9" s="4" t="s">
        <v>696</v>
      </c>
      <c r="F9" s="4" t="s">
        <v>697</v>
      </c>
    </row>
    <row r="10" customFormat="false" ht="75" hidden="false" customHeight="true" outlineLevel="0" collapsed="false">
      <c r="B10" s="4" t="s">
        <v>698</v>
      </c>
      <c r="C10" s="4" t="s">
        <v>699</v>
      </c>
      <c r="D10" s="4" t="s">
        <v>700</v>
      </c>
      <c r="E10" s="4" t="s">
        <v>701</v>
      </c>
      <c r="F10" s="4" t="s">
        <v>702</v>
      </c>
    </row>
    <row r="11" customFormat="false" ht="75" hidden="false" customHeight="true" outlineLevel="0" collapsed="false">
      <c r="B11" s="4" t="s">
        <v>703</v>
      </c>
      <c r="C11" s="4" t="s">
        <v>704</v>
      </c>
      <c r="D11" s="4" t="s">
        <v>705</v>
      </c>
      <c r="E11" s="4" t="s">
        <v>706</v>
      </c>
      <c r="F11" s="4" t="s">
        <v>707</v>
      </c>
    </row>
    <row r="12" customFormat="false" ht="75" hidden="false" customHeight="true" outlineLevel="0" collapsed="false">
      <c r="B12" s="4" t="s">
        <v>708</v>
      </c>
      <c r="C12" s="4" t="s">
        <v>709</v>
      </c>
      <c r="D12" s="4" t="s">
        <v>710</v>
      </c>
      <c r="E12" s="4" t="s">
        <v>711</v>
      </c>
      <c r="F12" s="4" t="s">
        <v>712</v>
      </c>
    </row>
    <row r="14" customFormat="false" ht="15" hidden="false" customHeight="false" outlineLevel="0" collapsed="false">
      <c r="B14" s="5" t="s">
        <v>713</v>
      </c>
      <c r="C14" s="6"/>
      <c r="D14" s="6"/>
      <c r="E14" s="6"/>
      <c r="F14" s="6"/>
    </row>
    <row r="15" customFormat="false" ht="15" hidden="false" customHeight="false" outlineLevel="0" collapsed="false">
      <c r="C15" s="82" t="s">
        <v>714</v>
      </c>
      <c r="D15" s="82"/>
      <c r="E15" s="82"/>
      <c r="F15" s="82"/>
    </row>
    <row r="16" customFormat="false" ht="15" hidden="false" customHeight="false" outlineLevel="0" collapsed="false">
      <c r="C16" s="82" t="s">
        <v>715</v>
      </c>
      <c r="D16" s="82"/>
      <c r="E16" s="82"/>
      <c r="F16" s="82"/>
    </row>
    <row r="17" customFormat="false" ht="15" hidden="false" customHeight="false" outlineLevel="0" collapsed="false">
      <c r="C17" s="82" t="s">
        <v>716</v>
      </c>
      <c r="D17" s="82"/>
      <c r="E17" s="82"/>
      <c r="F17" s="82"/>
    </row>
    <row r="18" customFormat="false" ht="15" hidden="false" customHeight="false" outlineLevel="0" collapsed="false">
      <c r="C18" s="82" t="s">
        <v>717</v>
      </c>
      <c r="D18" s="82"/>
      <c r="E18" s="82"/>
      <c r="F18" s="82"/>
    </row>
    <row r="19" customFormat="false" ht="15" hidden="false" customHeight="false" outlineLevel="0" collapsed="false">
      <c r="C19" s="82" t="s">
        <v>718</v>
      </c>
      <c r="D19" s="82"/>
      <c r="E19" s="82"/>
      <c r="F19" s="82"/>
    </row>
    <row r="20" customFormat="false" ht="15" hidden="false" customHeight="false" outlineLevel="0" collapsed="false">
      <c r="C20" s="82" t="s">
        <v>719</v>
      </c>
      <c r="D20" s="82"/>
      <c r="E20" s="82"/>
      <c r="F20" s="82"/>
    </row>
    <row r="21" customFormat="false" ht="15" hidden="false" customHeight="false" outlineLevel="0" collapsed="false">
      <c r="C21" s="82" t="s">
        <v>720</v>
      </c>
      <c r="D21" s="82"/>
      <c r="E21" s="82"/>
      <c r="F21" s="82"/>
    </row>
    <row r="22" customFormat="false" ht="15" hidden="false" customHeight="false" outlineLevel="0" collapsed="false">
      <c r="C22" s="82" t="s">
        <v>721</v>
      </c>
      <c r="D22" s="82"/>
      <c r="E22" s="82"/>
      <c r="F22" s="82"/>
    </row>
    <row r="23" customFormat="false" ht="15" hidden="false" customHeight="false" outlineLevel="0" collapsed="false">
      <c r="C23" s="82" t="s">
        <v>722</v>
      </c>
      <c r="D23" s="82"/>
      <c r="E23" s="82"/>
      <c r="F23" s="82"/>
    </row>
    <row r="25" customFormat="false" ht="15" hidden="false" customHeight="false" outlineLevel="0" collapsed="false">
      <c r="B25" s="5" t="s">
        <v>723</v>
      </c>
      <c r="C25" s="6"/>
      <c r="D25" s="6"/>
      <c r="E25" s="6"/>
      <c r="F25" s="6"/>
    </row>
    <row r="26" customFormat="false" ht="15" hidden="false" customHeight="true" outlineLevel="0" collapsed="false">
      <c r="C26" s="83" t="s">
        <v>724</v>
      </c>
      <c r="D26" s="83"/>
      <c r="E26" s="83"/>
      <c r="F26" s="83"/>
    </row>
    <row r="27" customFormat="false" ht="15" hidden="false" customHeight="false" outlineLevel="0" collapsed="false">
      <c r="C27" s="83"/>
      <c r="D27" s="83"/>
      <c r="E27" s="83"/>
      <c r="F27" s="83"/>
    </row>
    <row r="28" customFormat="false" ht="15" hidden="false" customHeight="false" outlineLevel="0" collapsed="false">
      <c r="C28" s="83"/>
      <c r="D28" s="83"/>
      <c r="E28" s="83"/>
      <c r="F28" s="83"/>
    </row>
  </sheetData>
  <mergeCells count="10">
    <mergeCell ref="C15:F15"/>
    <mergeCell ref="C16:F16"/>
    <mergeCell ref="C17:F17"/>
    <mergeCell ref="C18:F18"/>
    <mergeCell ref="C19:F19"/>
    <mergeCell ref="C20:F20"/>
    <mergeCell ref="C21:F21"/>
    <mergeCell ref="C22:F22"/>
    <mergeCell ref="C23:F23"/>
    <mergeCell ref="C26: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W68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4" min="4" style="0" width="8"/>
    <col collapsed="false" customWidth="true" hidden="false" outlineLevel="0" max="5" min="5" style="0" width="9"/>
    <col collapsed="false" customWidth="true" hidden="false" outlineLevel="0" max="6" min="6" style="0" width="6"/>
    <col collapsed="false" customWidth="true" hidden="false" outlineLevel="0" max="7" min="7" style="0" width="9"/>
    <col collapsed="false" customWidth="true" hidden="false" outlineLevel="0" max="8" min="8" style="0" width="6"/>
    <col collapsed="false" customWidth="true" hidden="false" outlineLevel="0" max="9" min="9" style="0" width="9"/>
    <col collapsed="false" customWidth="true" hidden="false" outlineLevel="0" max="10" min="10" style="0" width="6"/>
    <col collapsed="false" customWidth="true" hidden="false" outlineLevel="0" max="11" min="11" style="0" width="10"/>
    <col collapsed="false" customWidth="true" hidden="false" outlineLevel="0" max="12" min="12" style="0" width="6"/>
    <col collapsed="false" customWidth="true" hidden="false" outlineLevel="0" max="14" min="13" style="0" width="9"/>
    <col collapsed="false" customWidth="true" hidden="false" outlineLevel="0" max="17" min="15" style="0" width="10"/>
    <col collapsed="false" customWidth="true" hidden="false" outlineLevel="0" max="19" min="18" style="0" width="9"/>
    <col collapsed="false" customWidth="true" hidden="false" outlineLevel="0" max="20" min="20" style="0" width="11"/>
    <col collapsed="false" customWidth="true" hidden="false" outlineLevel="0" max="21" min="21" style="0" width="10"/>
    <col collapsed="false" customWidth="true" hidden="false" outlineLevel="0" max="22" min="22" style="0" width="11"/>
    <col collapsed="false" customWidth="true" hidden="false" outlineLevel="0" max="23" min="23" style="0" width="9"/>
  </cols>
  <sheetData>
    <row r="1" customFormat="false" ht="35.05" hidden="false" customHeight="false" outlineLevel="0" collapsed="false">
      <c r="A1" s="9" t="s">
        <v>306</v>
      </c>
      <c r="B1" s="9" t="s">
        <v>65</v>
      </c>
      <c r="C1" s="9" t="s">
        <v>725</v>
      </c>
      <c r="D1" s="9" t="s">
        <v>726</v>
      </c>
      <c r="E1" s="9" t="s">
        <v>727</v>
      </c>
      <c r="F1" s="9" t="s">
        <v>728</v>
      </c>
      <c r="G1" s="9" t="s">
        <v>729</v>
      </c>
      <c r="H1" s="9" t="s">
        <v>730</v>
      </c>
      <c r="I1" s="9" t="s">
        <v>731</v>
      </c>
      <c r="J1" s="9" t="s">
        <v>732</v>
      </c>
      <c r="K1" s="9" t="s">
        <v>733</v>
      </c>
      <c r="L1" s="9" t="s">
        <v>734</v>
      </c>
      <c r="M1" s="9" t="s">
        <v>735</v>
      </c>
      <c r="N1" s="9" t="s">
        <v>736</v>
      </c>
      <c r="O1" s="9" t="s">
        <v>737</v>
      </c>
      <c r="P1" s="9" t="s">
        <v>738</v>
      </c>
      <c r="Q1" s="9" t="s">
        <v>739</v>
      </c>
      <c r="R1" s="9" t="s">
        <v>740</v>
      </c>
      <c r="S1" s="9" t="s">
        <v>661</v>
      </c>
      <c r="T1" s="9" t="s">
        <v>741</v>
      </c>
      <c r="U1" s="9" t="s">
        <v>742</v>
      </c>
      <c r="V1" s="9" t="s">
        <v>743</v>
      </c>
      <c r="W1" s="9" t="s">
        <v>328</v>
      </c>
    </row>
    <row r="2" customFormat="false" ht="15" hidden="false" customHeight="false" outlineLevel="0" collapsed="false">
      <c r="A2" s="57" t="n">
        <v>28976</v>
      </c>
      <c r="B2" s="56" t="n">
        <v>1979</v>
      </c>
      <c r="C2" s="56" t="n">
        <v>5</v>
      </c>
      <c r="D2" s="56" t="n">
        <v>1</v>
      </c>
      <c r="E2" s="56" t="n">
        <v>8</v>
      </c>
      <c r="F2" s="56" t="n">
        <v>0</v>
      </c>
      <c r="G2" s="56" t="n">
        <v>3.8</v>
      </c>
      <c r="H2" s="56" t="n">
        <v>0</v>
      </c>
      <c r="I2" s="56" t="n">
        <v>5.6</v>
      </c>
      <c r="J2" s="56" t="n">
        <v>0</v>
      </c>
      <c r="K2" s="56" t="n">
        <v>1002.8</v>
      </c>
      <c r="L2" s="56" t="n">
        <v>0</v>
      </c>
      <c r="M2" s="56" t="n">
        <v>86</v>
      </c>
      <c r="N2" s="56" t="n">
        <v>0.3</v>
      </c>
      <c r="O2" s="56" t="str">
        <f aca="false">""</f>
        <v/>
      </c>
      <c r="P2" s="56" t="str">
        <f aca="false">""</f>
        <v/>
      </c>
      <c r="Q2" s="56" t="n">
        <f aca="false">IF(OR(F2&lt;&gt;0,AND(I2&lt;&gt;"",E2&lt;I2)),1,0)</f>
        <v>0</v>
      </c>
      <c r="R2" s="56" t="n">
        <f aca="false">0</f>
        <v>0</v>
      </c>
      <c r="S2" s="56" t="n">
        <f aca="false">R2*(B2&gt;=Train_Start)*(B2&lt;=Train_End)</f>
        <v>0</v>
      </c>
      <c r="T2" s="84" t="str">
        <f aca="false">IF(AND(ISNUMBER(O2),ISNUMBER(P2)),Coef_A+Coef_B1*O2+Coef_B2*P2,"")</f>
        <v/>
      </c>
      <c r="U2" s="84" t="str">
        <f aca="false">IF(AND(R2=1,ISNUMBER(T2)),E2-T2,"")</f>
        <v/>
      </c>
      <c r="V2" s="84" t="n">
        <f aca="false">IF(ISNUMBER(T2),T2,-99)</f>
        <v>-99</v>
      </c>
      <c r="W2" s="84" t="str">
        <f aca="false">IF(ISNUMBER(U2),ABS(U2),"")</f>
        <v/>
      </c>
    </row>
    <row r="3" customFormat="false" ht="15" hidden="false" customHeight="false" outlineLevel="0" collapsed="false">
      <c r="A3" s="57" t="n">
        <v>28977</v>
      </c>
      <c r="B3" s="56" t="n">
        <v>1979</v>
      </c>
      <c r="C3" s="56" t="n">
        <v>5</v>
      </c>
      <c r="D3" s="56" t="n">
        <v>2</v>
      </c>
      <c r="E3" s="56" t="n">
        <v>10</v>
      </c>
      <c r="F3" s="56" t="n">
        <v>0</v>
      </c>
      <c r="G3" s="56" t="n">
        <v>1.1</v>
      </c>
      <c r="H3" s="56" t="n">
        <v>0</v>
      </c>
      <c r="I3" s="56" t="n">
        <v>4.6</v>
      </c>
      <c r="J3" s="56" t="n">
        <v>0</v>
      </c>
      <c r="K3" s="56" t="n">
        <v>1004.8</v>
      </c>
      <c r="L3" s="56" t="n">
        <v>0</v>
      </c>
      <c r="M3" s="56" t="n">
        <v>82</v>
      </c>
      <c r="N3" s="56" t="n">
        <v>7.2</v>
      </c>
      <c r="O3" s="56" t="n">
        <f aca="false">IF(D3=1,"",E2)</f>
        <v>8</v>
      </c>
      <c r="P3" s="56" t="n">
        <f aca="false">IF(OR(D3=1,K2=""),"",K2)</f>
        <v>1002.8</v>
      </c>
      <c r="Q3" s="56" t="n">
        <f aca="false">IF(OR(F3&lt;&gt;0,AND(I3&lt;&gt;"",E3&lt;I3)),1,0)</f>
        <v>0</v>
      </c>
      <c r="R3" s="56" t="n">
        <f aca="false">IF(AND(D3&gt;1,Q3=0,ISNUMBER(O3),ISNUMBER(P3)),IF(Q2=0,1,0),0)</f>
        <v>1</v>
      </c>
      <c r="S3" s="56" t="n">
        <f aca="false">R3*(B3&gt;=Train_Start)*(B3&lt;=Train_End)</f>
        <v>1</v>
      </c>
      <c r="T3" s="84" t="n">
        <f aca="false">IF(AND(ISNUMBER(O3),ISNUMBER(P3)),Coef_A+Coef_B1*O3+Coef_B2*P3,"")</f>
        <v>10.0994193053015</v>
      </c>
      <c r="U3" s="84" t="n">
        <f aca="false">IF(AND(R3=1,ISNUMBER(T3)),E3-T3,"")</f>
        <v>-0.0994193053015202</v>
      </c>
      <c r="V3" s="84" t="n">
        <f aca="false">IF(ISNUMBER(T3),T3,-99)</f>
        <v>10.0994193053015</v>
      </c>
      <c r="W3" s="84" t="n">
        <f aca="false">IF(ISNUMBER(U3),ABS(U3),"")</f>
        <v>0.0994193053015202</v>
      </c>
    </row>
    <row r="4" customFormat="false" ht="15" hidden="false" customHeight="false" outlineLevel="0" collapsed="false">
      <c r="A4" s="57" t="n">
        <v>28978</v>
      </c>
      <c r="B4" s="56" t="n">
        <v>1979</v>
      </c>
      <c r="C4" s="56" t="n">
        <v>5</v>
      </c>
      <c r="D4" s="56" t="n">
        <v>3</v>
      </c>
      <c r="E4" s="56" t="n">
        <v>9.1</v>
      </c>
      <c r="F4" s="56" t="n">
        <v>0</v>
      </c>
      <c r="G4" s="56" t="n">
        <v>-0.9</v>
      </c>
      <c r="H4" s="56" t="n">
        <v>0</v>
      </c>
      <c r="I4" s="56" t="n">
        <v>4.6</v>
      </c>
      <c r="J4" s="56" t="n">
        <v>0</v>
      </c>
      <c r="K4" s="56" t="n">
        <v>1009.3</v>
      </c>
      <c r="L4" s="56" t="n">
        <v>0</v>
      </c>
      <c r="M4" s="56" t="n">
        <v>80</v>
      </c>
      <c r="N4" s="56" t="n">
        <v>9.4</v>
      </c>
      <c r="O4" s="56" t="n">
        <f aca="false">IF(D4=1,"",E3)</f>
        <v>10</v>
      </c>
      <c r="P4" s="56" t="n">
        <f aca="false">IF(OR(D4=1,K3=""),"",K3)</f>
        <v>1004.8</v>
      </c>
      <c r="Q4" s="56" t="n">
        <f aca="false">IF(OR(F4&lt;&gt;0,AND(I4&lt;&gt;"",E4&lt;I4)),1,0)</f>
        <v>0</v>
      </c>
      <c r="R4" s="56" t="n">
        <f aca="false">IF(AND(D4&gt;1,Q4=0,ISNUMBER(O4),ISNUMBER(P4)),IF(Q3=0,1,0),0)</f>
        <v>1</v>
      </c>
      <c r="S4" s="56" t="n">
        <f aca="false">R4*(B4&gt;=Train_Start)*(B4&lt;=Train_End)</f>
        <v>1</v>
      </c>
      <c r="T4" s="84" t="n">
        <f aca="false">IF(AND(ISNUMBER(O4),ISNUMBER(P4)),Coef_A+Coef_B1*O4+Coef_B2*P4,"")</f>
        <v>11.8008374806548</v>
      </c>
      <c r="U4" s="84" t="n">
        <f aca="false">IF(AND(R4=1,ISNUMBER(T4)),E4-T4,"")</f>
        <v>-2.70083748065481</v>
      </c>
      <c r="V4" s="84" t="n">
        <f aca="false">IF(ISNUMBER(T4),T4,-99)</f>
        <v>11.8008374806548</v>
      </c>
      <c r="W4" s="84" t="n">
        <f aca="false">IF(ISNUMBER(U4),ABS(U4),"")</f>
        <v>2.70083748065481</v>
      </c>
    </row>
    <row r="5" customFormat="false" ht="15" hidden="false" customHeight="false" outlineLevel="0" collapsed="false">
      <c r="A5" s="57" t="n">
        <v>28979</v>
      </c>
      <c r="B5" s="56" t="n">
        <v>1979</v>
      </c>
      <c r="C5" s="56" t="n">
        <v>5</v>
      </c>
      <c r="D5" s="56" t="n">
        <v>4</v>
      </c>
      <c r="E5" s="56" t="n">
        <v>11.1</v>
      </c>
      <c r="F5" s="56" t="n">
        <v>0</v>
      </c>
      <c r="G5" s="56" t="n">
        <v>-0.3</v>
      </c>
      <c r="H5" s="56" t="n">
        <v>0</v>
      </c>
      <c r="I5" s="56" t="n">
        <v>4.4</v>
      </c>
      <c r="J5" s="56" t="n">
        <v>0</v>
      </c>
      <c r="K5" s="56" t="n">
        <v>1015.9</v>
      </c>
      <c r="L5" s="56" t="n">
        <v>0</v>
      </c>
      <c r="M5" s="56" t="n">
        <v>76</v>
      </c>
      <c r="N5" s="56" t="n">
        <v>9.9</v>
      </c>
      <c r="O5" s="56" t="n">
        <f aca="false">IF(D5=1,"",E4)</f>
        <v>9.1</v>
      </c>
      <c r="P5" s="56" t="n">
        <f aca="false">IF(OR(D5=1,K4=""),"",K4)</f>
        <v>1009.3</v>
      </c>
      <c r="Q5" s="56" t="n">
        <f aca="false">IF(OR(F5&lt;&gt;0,AND(I5&lt;&gt;"",E5&lt;I5)),1,0)</f>
        <v>0</v>
      </c>
      <c r="R5" s="56" t="n">
        <f aca="false">IF(AND(D5&gt;1,Q5=0,ISNUMBER(O5),ISNUMBER(P5)),IF(Q4=0,1,0),0)</f>
        <v>1</v>
      </c>
      <c r="S5" s="56" t="n">
        <f aca="false">R5*(B5&gt;=Train_Start)*(B5&lt;=Train_End)</f>
        <v>1</v>
      </c>
      <c r="T5" s="84" t="n">
        <f aca="false">IF(AND(ISNUMBER(O5),ISNUMBER(P5)),Coef_A+Coef_B1*O5+Coef_B2*P5,"")</f>
        <v>11.2045967327694</v>
      </c>
      <c r="U5" s="84" t="n">
        <f aca="false">IF(AND(R5=1,ISNUMBER(T5)),E5-T5,"")</f>
        <v>-0.104596732769371</v>
      </c>
      <c r="V5" s="84" t="n">
        <f aca="false">IF(ISNUMBER(T5),T5,-99)</f>
        <v>11.2045967327694</v>
      </c>
      <c r="W5" s="84" t="n">
        <f aca="false">IF(ISNUMBER(U5),ABS(U5),"")</f>
        <v>0.104596732769371</v>
      </c>
    </row>
    <row r="6" customFormat="false" ht="15" hidden="false" customHeight="false" outlineLevel="0" collapsed="false">
      <c r="A6" s="57" t="n">
        <v>28980</v>
      </c>
      <c r="B6" s="56" t="n">
        <v>1979</v>
      </c>
      <c r="C6" s="56" t="n">
        <v>5</v>
      </c>
      <c r="D6" s="56" t="n">
        <v>5</v>
      </c>
      <c r="E6" s="56" t="n">
        <v>12.4</v>
      </c>
      <c r="F6" s="56" t="n">
        <v>0</v>
      </c>
      <c r="G6" s="56" t="n">
        <v>1.7</v>
      </c>
      <c r="H6" s="56" t="n">
        <v>0</v>
      </c>
      <c r="I6" s="56" t="n">
        <v>6.4</v>
      </c>
      <c r="J6" s="56" t="n">
        <v>0</v>
      </c>
      <c r="K6" s="56" t="n">
        <v>1020.6</v>
      </c>
      <c r="L6" s="56" t="n">
        <v>0</v>
      </c>
      <c r="M6" s="56" t="n">
        <v>80</v>
      </c>
      <c r="N6" s="56" t="n">
        <v>9.1</v>
      </c>
      <c r="O6" s="56" t="n">
        <f aca="false">IF(D6=1,"",E5)</f>
        <v>11.1</v>
      </c>
      <c r="P6" s="56" t="n">
        <f aca="false">IF(OR(D6=1,K5=""),"",K5)</f>
        <v>1015.9</v>
      </c>
      <c r="Q6" s="56" t="n">
        <f aca="false">IF(OR(F6&lt;&gt;0,AND(I6&lt;&gt;"",E6&lt;I6)),1,0)</f>
        <v>0</v>
      </c>
      <c r="R6" s="56" t="n">
        <f aca="false">IF(AND(D6&gt;1,Q6=0,ISNUMBER(O6),ISNUMBER(P6)),IF(Q5=0,1,0),0)</f>
        <v>1</v>
      </c>
      <c r="S6" s="56" t="n">
        <f aca="false">R6*(B6&gt;=Train_Start)*(B6&lt;=Train_End)</f>
        <v>1</v>
      </c>
      <c r="T6" s="84" t="n">
        <f aca="false">IF(AND(ISNUMBER(O6),ISNUMBER(P6)),Coef_A+Coef_B1*O6+Coef_B2*P6,"")</f>
        <v>13.050316423439</v>
      </c>
      <c r="U6" s="84" t="n">
        <f aca="false">IF(AND(R6=1,ISNUMBER(T6)),E6-T6,"")</f>
        <v>-0.650316423439021</v>
      </c>
      <c r="V6" s="84" t="n">
        <f aca="false">IF(ISNUMBER(T6),T6,-99)</f>
        <v>13.050316423439</v>
      </c>
      <c r="W6" s="84" t="n">
        <f aca="false">IF(ISNUMBER(U6),ABS(U6),"")</f>
        <v>0.650316423439021</v>
      </c>
    </row>
    <row r="7" customFormat="false" ht="15" hidden="false" customHeight="false" outlineLevel="0" collapsed="false">
      <c r="A7" s="57" t="n">
        <v>28981</v>
      </c>
      <c r="B7" s="56" t="n">
        <v>1979</v>
      </c>
      <c r="C7" s="56" t="n">
        <v>5</v>
      </c>
      <c r="D7" s="56" t="n">
        <v>6</v>
      </c>
      <c r="E7" s="56" t="n">
        <v>15</v>
      </c>
      <c r="F7" s="56" t="n">
        <v>0</v>
      </c>
      <c r="G7" s="56" t="n">
        <v>1</v>
      </c>
      <c r="H7" s="56" t="n">
        <v>0</v>
      </c>
      <c r="I7" s="56" t="n">
        <v>6.7</v>
      </c>
      <c r="J7" s="56" t="n">
        <v>0</v>
      </c>
      <c r="K7" s="56" t="n">
        <v>1023.4</v>
      </c>
      <c r="L7" s="56" t="n">
        <v>0</v>
      </c>
      <c r="M7" s="56" t="n">
        <v>73</v>
      </c>
      <c r="N7" s="56" t="n">
        <v>8.8</v>
      </c>
      <c r="O7" s="56" t="n">
        <f aca="false">IF(D7=1,"",E6)</f>
        <v>12.4</v>
      </c>
      <c r="P7" s="56" t="n">
        <f aca="false">IF(OR(D7=1,K6=""),"",K6)</f>
        <v>1020.6</v>
      </c>
      <c r="Q7" s="56" t="n">
        <f aca="false">IF(OR(F7&lt;&gt;0,AND(I7&lt;&gt;"",E7&lt;I7)),1,0)</f>
        <v>0</v>
      </c>
      <c r="R7" s="56" t="n">
        <f aca="false">IF(AND(D7&gt;1,Q7=0,ISNUMBER(O7),ISNUMBER(P7)),IF(Q6=0,1,0),0)</f>
        <v>1</v>
      </c>
      <c r="S7" s="56" t="n">
        <f aca="false">R7*(B7&gt;=Train_Start)*(B7&lt;=Train_End)</f>
        <v>1</v>
      </c>
      <c r="T7" s="84" t="n">
        <f aca="false">IF(AND(ISNUMBER(O7),ISNUMBER(P7)),Coef_A+Coef_B1*O7+Coef_B2*P7,"")</f>
        <v>14.2628958791742</v>
      </c>
      <c r="U7" s="84" t="n">
        <f aca="false">IF(AND(R7=1,ISNUMBER(T7)),E7-T7,"")</f>
        <v>0.737104120825769</v>
      </c>
      <c r="V7" s="84" t="n">
        <f aca="false">IF(ISNUMBER(T7),T7,-99)</f>
        <v>14.2628958791742</v>
      </c>
      <c r="W7" s="84" t="n">
        <f aca="false">IF(ISNUMBER(U7),ABS(U7),"")</f>
        <v>0.737104120825769</v>
      </c>
    </row>
    <row r="8" customFormat="false" ht="15" hidden="false" customHeight="false" outlineLevel="0" collapsed="false">
      <c r="A8" s="57" t="n">
        <v>28982</v>
      </c>
      <c r="B8" s="56" t="n">
        <v>1979</v>
      </c>
      <c r="C8" s="56" t="n">
        <v>5</v>
      </c>
      <c r="D8" s="56" t="n">
        <v>7</v>
      </c>
      <c r="E8" s="56" t="n">
        <v>16</v>
      </c>
      <c r="F8" s="56" t="n">
        <v>0</v>
      </c>
      <c r="G8" s="56" t="n">
        <v>3.9</v>
      </c>
      <c r="H8" s="56" t="n">
        <v>0</v>
      </c>
      <c r="I8" s="56" t="n">
        <v>9.4</v>
      </c>
      <c r="J8" s="56" t="n">
        <v>0</v>
      </c>
      <c r="K8" s="56" t="n">
        <v>1021.1</v>
      </c>
      <c r="L8" s="56" t="n">
        <v>0</v>
      </c>
      <c r="M8" s="56" t="n">
        <v>66</v>
      </c>
      <c r="N8" s="56" t="n">
        <v>5.9</v>
      </c>
      <c r="O8" s="56" t="n">
        <f aca="false">IF(D8=1,"",E7)</f>
        <v>15</v>
      </c>
      <c r="P8" s="56" t="n">
        <f aca="false">IF(OR(D8=1,K7=""),"",K7)</f>
        <v>1023.4</v>
      </c>
      <c r="Q8" s="56" t="n">
        <f aca="false">IF(OR(F8&lt;&gt;0,AND(I8&lt;&gt;"",E8&lt;I8)),1,0)</f>
        <v>0</v>
      </c>
      <c r="R8" s="56" t="n">
        <f aca="false">IF(AND(D8&gt;1,Q8=0,ISNUMBER(O8),ISNUMBER(P8)),IF(Q7=0,1,0),0)</f>
        <v>1</v>
      </c>
      <c r="S8" s="56" t="n">
        <f aca="false">R8*(B8&gt;=Train_Start)*(B8&lt;=Train_End)</f>
        <v>1</v>
      </c>
      <c r="T8" s="84" t="n">
        <f aca="false">IF(AND(ISNUMBER(O8),ISNUMBER(P8)),Coef_A+Coef_B1*O8+Coef_B2*P8,"")</f>
        <v>16.4810134860603</v>
      </c>
      <c r="U8" s="84" t="n">
        <f aca="false">IF(AND(R8=1,ISNUMBER(T8)),E8-T8,"")</f>
        <v>-0.481013486060309</v>
      </c>
      <c r="V8" s="84" t="n">
        <f aca="false">IF(ISNUMBER(T8),T8,-99)</f>
        <v>16.4810134860603</v>
      </c>
      <c r="W8" s="84" t="n">
        <f aca="false">IF(ISNUMBER(U8),ABS(U8),"")</f>
        <v>0.481013486060309</v>
      </c>
    </row>
    <row r="9" customFormat="false" ht="15" hidden="false" customHeight="false" outlineLevel="0" collapsed="false">
      <c r="A9" s="57" t="n">
        <v>28983</v>
      </c>
      <c r="B9" s="56" t="n">
        <v>1979</v>
      </c>
      <c r="C9" s="56" t="n">
        <v>5</v>
      </c>
      <c r="D9" s="56" t="n">
        <v>8</v>
      </c>
      <c r="E9" s="56" t="n">
        <v>15.6</v>
      </c>
      <c r="F9" s="56" t="n">
        <v>0</v>
      </c>
      <c r="G9" s="56" t="n">
        <v>6.4</v>
      </c>
      <c r="H9" s="56" t="n">
        <v>0</v>
      </c>
      <c r="I9" s="56" t="n">
        <v>11.2</v>
      </c>
      <c r="J9" s="56" t="n">
        <v>0</v>
      </c>
      <c r="K9" s="56" t="n">
        <v>1019.6</v>
      </c>
      <c r="L9" s="56" t="n">
        <v>0</v>
      </c>
      <c r="M9" s="56" t="n">
        <v>71</v>
      </c>
      <c r="N9" s="56" t="n">
        <v>3.2</v>
      </c>
      <c r="O9" s="56" t="n">
        <f aca="false">IF(D9=1,"",E8)</f>
        <v>16</v>
      </c>
      <c r="P9" s="56" t="n">
        <f aca="false">IF(OR(D9=1,K8=""),"",K8)</f>
        <v>1021.1</v>
      </c>
      <c r="Q9" s="56" t="n">
        <f aca="false">IF(OR(F9&lt;&gt;0,AND(I9&lt;&gt;"",E9&lt;I9)),1,0)</f>
        <v>0</v>
      </c>
      <c r="R9" s="56" t="n">
        <f aca="false">IF(AND(D9&gt;1,Q9=0,ISNUMBER(O9),ISNUMBER(P9)),IF(Q8=0,1,0),0)</f>
        <v>1</v>
      </c>
      <c r="S9" s="56" t="n">
        <f aca="false">R9*(B9&gt;=Train_Start)*(B9&lt;=Train_End)</f>
        <v>1</v>
      </c>
      <c r="T9" s="84" t="n">
        <f aca="false">IF(AND(ISNUMBER(O9),ISNUMBER(P9)),Coef_A+Coef_B1*O9+Coef_B2*P9,"")</f>
        <v>17.2282019214448</v>
      </c>
      <c r="U9" s="84" t="n">
        <f aca="false">IF(AND(R9=1,ISNUMBER(T9)),E9-T9,"")</f>
        <v>-1.62820192144479</v>
      </c>
      <c r="V9" s="84" t="n">
        <f aca="false">IF(ISNUMBER(T9),T9,-99)</f>
        <v>17.2282019214448</v>
      </c>
      <c r="W9" s="84" t="n">
        <f aca="false">IF(ISNUMBER(U9),ABS(U9),"")</f>
        <v>1.62820192144479</v>
      </c>
    </row>
    <row r="10" customFormat="false" ht="15" hidden="false" customHeight="false" outlineLevel="0" collapsed="false">
      <c r="A10" s="57" t="n">
        <v>28984</v>
      </c>
      <c r="B10" s="56" t="n">
        <v>1979</v>
      </c>
      <c r="C10" s="56" t="n">
        <v>5</v>
      </c>
      <c r="D10" s="56" t="n">
        <v>9</v>
      </c>
      <c r="E10" s="56" t="n">
        <v>13.6</v>
      </c>
      <c r="F10" s="56" t="n">
        <v>0</v>
      </c>
      <c r="G10" s="56" t="n">
        <v>4.5</v>
      </c>
      <c r="H10" s="56" t="n">
        <v>0</v>
      </c>
      <c r="I10" s="56" t="n">
        <v>10</v>
      </c>
      <c r="J10" s="56" t="n">
        <v>0</v>
      </c>
      <c r="K10" s="56" t="n">
        <v>1023</v>
      </c>
      <c r="L10" s="56" t="n">
        <v>0</v>
      </c>
      <c r="M10" s="56" t="n">
        <v>66</v>
      </c>
      <c r="N10" s="56" t="n">
        <v>8.4</v>
      </c>
      <c r="O10" s="56" t="n">
        <f aca="false">IF(D10=1,"",E9)</f>
        <v>15.6</v>
      </c>
      <c r="P10" s="56" t="n">
        <f aca="false">IF(OR(D10=1,K9=""),"",K9)</f>
        <v>1019.6</v>
      </c>
      <c r="Q10" s="56" t="n">
        <f aca="false">IF(OR(F10&lt;&gt;0,AND(I10&lt;&gt;"",E10&lt;I10)),1,0)</f>
        <v>0</v>
      </c>
      <c r="R10" s="56" t="n">
        <f aca="false">IF(AND(D10&gt;1,Q10=0,ISNUMBER(O10),ISNUMBER(P10)),IF(Q9=0,1,0),0)</f>
        <v>1</v>
      </c>
      <c r="S10" s="56" t="n">
        <f aca="false">R10*(B10&gt;=Train_Start)*(B10&lt;=Train_End)</f>
        <v>1</v>
      </c>
      <c r="T10" s="84" t="n">
        <f aca="false">IF(AND(ISNUMBER(O10),ISNUMBER(P10)),Coef_A+Coef_B1*O10+Coef_B2*P10,"")</f>
        <v>16.8534114022767</v>
      </c>
      <c r="U10" s="84" t="n">
        <f aca="false">IF(AND(R10=1,ISNUMBER(T10)),E10-T10,"")</f>
        <v>-3.25341140227674</v>
      </c>
      <c r="V10" s="84" t="n">
        <f aca="false">IF(ISNUMBER(T10),T10,-99)</f>
        <v>16.8534114022767</v>
      </c>
      <c r="W10" s="84" t="n">
        <f aca="false">IF(ISNUMBER(U10),ABS(U10),"")</f>
        <v>3.25341140227674</v>
      </c>
    </row>
    <row r="11" customFormat="false" ht="15" hidden="false" customHeight="false" outlineLevel="0" collapsed="false">
      <c r="A11" s="57" t="n">
        <v>28985</v>
      </c>
      <c r="B11" s="56" t="n">
        <v>1979</v>
      </c>
      <c r="C11" s="56" t="n">
        <v>5</v>
      </c>
      <c r="D11" s="56" t="n">
        <v>10</v>
      </c>
      <c r="E11" s="56" t="n">
        <v>16.1</v>
      </c>
      <c r="F11" s="56" t="n">
        <v>0</v>
      </c>
      <c r="G11" s="56" t="n">
        <v>7.3</v>
      </c>
      <c r="H11" s="56" t="n">
        <v>0</v>
      </c>
      <c r="I11" s="56" t="n">
        <v>10.4</v>
      </c>
      <c r="J11" s="56" t="n">
        <v>0</v>
      </c>
      <c r="K11" s="56" t="n">
        <v>1027</v>
      </c>
      <c r="L11" s="56" t="n">
        <v>0</v>
      </c>
      <c r="M11" s="56" t="n">
        <v>73</v>
      </c>
      <c r="N11" s="56" t="n">
        <v>0.5</v>
      </c>
      <c r="O11" s="56" t="n">
        <f aca="false">IF(D11=1,"",E10)</f>
        <v>13.6</v>
      </c>
      <c r="P11" s="56" t="n">
        <f aca="false">IF(OR(D11=1,K10=""),"",K10)</f>
        <v>1023</v>
      </c>
      <c r="Q11" s="56" t="n">
        <f aca="false">IF(OR(F11&lt;&gt;0,AND(I11&lt;&gt;"",E11&lt;I11)),1,0)</f>
        <v>0</v>
      </c>
      <c r="R11" s="56" t="n">
        <f aca="false">IF(AND(D11&gt;1,Q11=0,ISNUMBER(O11),ISNUMBER(P11)),IF(Q10=0,1,0),0)</f>
        <v>1</v>
      </c>
      <c r="S11" s="56" t="n">
        <f aca="false">R11*(B11&gt;=Train_Start)*(B11&lt;=Train_End)</f>
        <v>1</v>
      </c>
      <c r="T11" s="84" t="n">
        <f aca="false">IF(AND(ISNUMBER(O11),ISNUMBER(P11)),Coef_A+Coef_B1*O11+Coef_B2*P11,"")</f>
        <v>15.321390657947</v>
      </c>
      <c r="U11" s="84" t="n">
        <f aca="false">IF(AND(R11=1,ISNUMBER(T11)),E11-T11,"")</f>
        <v>0.778609342053013</v>
      </c>
      <c r="V11" s="84" t="n">
        <f aca="false">IF(ISNUMBER(T11),T11,-99)</f>
        <v>15.321390657947</v>
      </c>
      <c r="W11" s="84" t="n">
        <f aca="false">IF(ISNUMBER(U11),ABS(U11),"")</f>
        <v>0.778609342053013</v>
      </c>
    </row>
    <row r="12" customFormat="false" ht="15" hidden="false" customHeight="false" outlineLevel="0" collapsed="false">
      <c r="A12" s="57" t="n">
        <v>28986</v>
      </c>
      <c r="B12" s="56" t="n">
        <v>1979</v>
      </c>
      <c r="C12" s="56" t="n">
        <v>5</v>
      </c>
      <c r="D12" s="56" t="n">
        <v>11</v>
      </c>
      <c r="E12" s="56" t="n">
        <v>20.8</v>
      </c>
      <c r="F12" s="56" t="n">
        <v>0</v>
      </c>
      <c r="G12" s="56" t="n">
        <v>9.2</v>
      </c>
      <c r="H12" s="56" t="n">
        <v>0</v>
      </c>
      <c r="I12" s="56" t="n">
        <v>12.6</v>
      </c>
      <c r="J12" s="56" t="n">
        <v>0</v>
      </c>
      <c r="K12" s="56" t="n">
        <v>1022.3</v>
      </c>
      <c r="L12" s="56" t="n">
        <v>0</v>
      </c>
      <c r="M12" s="56" t="n">
        <v>92</v>
      </c>
      <c r="N12" s="56" t="n">
        <v>0.1</v>
      </c>
      <c r="O12" s="56" t="n">
        <f aca="false">IF(D12=1,"",E11)</f>
        <v>16.1</v>
      </c>
      <c r="P12" s="56" t="n">
        <f aca="false">IF(OR(D12=1,K11=""),"",K11)</f>
        <v>1027</v>
      </c>
      <c r="Q12" s="56" t="n">
        <f aca="false">IF(OR(F12&lt;&gt;0,AND(I12&lt;&gt;"",E12&lt;I12)),1,0)</f>
        <v>0</v>
      </c>
      <c r="R12" s="56" t="n">
        <f aca="false">IF(AND(D12&gt;1,Q12=0,ISNUMBER(O12),ISNUMBER(P12)),IF(Q11=0,1,0),0)</f>
        <v>1</v>
      </c>
      <c r="S12" s="56" t="n">
        <f aca="false">R12*(B12&gt;=Train_Start)*(B12&lt;=Train_End)</f>
        <v>1</v>
      </c>
      <c r="T12" s="84" t="n">
        <f aca="false">IF(AND(ISNUMBER(O12),ISNUMBER(P12)),Coef_A+Coef_B1*O12+Coef_B2*P12,"")</f>
        <v>17.4952182190896</v>
      </c>
      <c r="U12" s="84" t="n">
        <f aca="false">IF(AND(R12=1,ISNUMBER(T12)),E12-T12,"")</f>
        <v>3.30478178091041</v>
      </c>
      <c r="V12" s="84" t="n">
        <f aca="false">IF(ISNUMBER(T12),T12,-99)</f>
        <v>17.4952182190896</v>
      </c>
      <c r="W12" s="84" t="n">
        <f aca="false">IF(ISNUMBER(U12),ABS(U12),"")</f>
        <v>3.30478178091041</v>
      </c>
    </row>
    <row r="13" customFormat="false" ht="15" hidden="false" customHeight="false" outlineLevel="0" collapsed="false">
      <c r="A13" s="57" t="n">
        <v>28987</v>
      </c>
      <c r="B13" s="56" t="n">
        <v>1979</v>
      </c>
      <c r="C13" s="56" t="n">
        <v>5</v>
      </c>
      <c r="D13" s="56" t="n">
        <v>12</v>
      </c>
      <c r="E13" s="56" t="n">
        <v>23.4</v>
      </c>
      <c r="F13" s="56" t="n">
        <v>0</v>
      </c>
      <c r="G13" s="56" t="n">
        <v>11.2</v>
      </c>
      <c r="H13" s="56" t="n">
        <v>0</v>
      </c>
      <c r="I13" s="56" t="n">
        <v>16</v>
      </c>
      <c r="J13" s="56" t="n">
        <v>0</v>
      </c>
      <c r="K13" s="56" t="n">
        <v>1030</v>
      </c>
      <c r="L13" s="56" t="n">
        <v>0</v>
      </c>
      <c r="M13" s="56" t="n">
        <v>82</v>
      </c>
      <c r="N13" s="56" t="n">
        <v>4.9</v>
      </c>
      <c r="O13" s="56" t="n">
        <f aca="false">IF(D13=1,"",E12)</f>
        <v>20.8</v>
      </c>
      <c r="P13" s="56" t="n">
        <f aca="false">IF(OR(D13=1,K12=""),"",K12)</f>
        <v>1022.3</v>
      </c>
      <c r="Q13" s="56" t="n">
        <f aca="false">IF(OR(F13&lt;&gt;0,AND(I13&lt;&gt;"",E13&lt;I13)),1,0)</f>
        <v>0</v>
      </c>
      <c r="R13" s="56" t="n">
        <f aca="false">IF(AND(D13&gt;1,Q13=0,ISNUMBER(O13),ISNUMBER(P13)),IF(Q12=0,1,0),0)</f>
        <v>1</v>
      </c>
      <c r="S13" s="56" t="n">
        <f aca="false">R13*(B13&gt;=Train_Start)*(B13&lt;=Train_End)</f>
        <v>1</v>
      </c>
      <c r="T13" s="84" t="n">
        <f aca="false">IF(AND(ISNUMBER(O13),ISNUMBER(P13)),Coef_A+Coef_B1*O13+Coef_B2*P13,"")</f>
        <v>21.1986739216103</v>
      </c>
      <c r="U13" s="84" t="n">
        <f aca="false">IF(AND(R13=1,ISNUMBER(T13)),E13-T13,"")</f>
        <v>2.20132607838967</v>
      </c>
      <c r="V13" s="84" t="n">
        <f aca="false">IF(ISNUMBER(T13),T13,-99)</f>
        <v>21.1986739216103</v>
      </c>
      <c r="W13" s="84" t="n">
        <f aca="false">IF(ISNUMBER(U13),ABS(U13),"")</f>
        <v>2.20132607838967</v>
      </c>
    </row>
    <row r="14" customFormat="false" ht="15" hidden="false" customHeight="false" outlineLevel="0" collapsed="false">
      <c r="A14" s="57" t="n">
        <v>28988</v>
      </c>
      <c r="B14" s="56" t="n">
        <v>1979</v>
      </c>
      <c r="C14" s="56" t="n">
        <v>5</v>
      </c>
      <c r="D14" s="56" t="n">
        <v>13</v>
      </c>
      <c r="E14" s="56" t="n">
        <v>26.1</v>
      </c>
      <c r="F14" s="56" t="n">
        <v>0</v>
      </c>
      <c r="G14" s="56" t="n">
        <v>11.5</v>
      </c>
      <c r="H14" s="56" t="n">
        <v>0</v>
      </c>
      <c r="I14" s="56" t="n">
        <v>17.4</v>
      </c>
      <c r="J14" s="56" t="n">
        <v>0</v>
      </c>
      <c r="K14" s="56" t="n">
        <v>1031.6</v>
      </c>
      <c r="L14" s="56" t="n">
        <v>0</v>
      </c>
      <c r="M14" s="56" t="n">
        <v>76</v>
      </c>
      <c r="N14" s="56" t="n">
        <v>13</v>
      </c>
      <c r="O14" s="56" t="n">
        <f aca="false">IF(D14=1,"",E13)</f>
        <v>23.4</v>
      </c>
      <c r="P14" s="56" t="n">
        <f aca="false">IF(OR(D14=1,K13=""),"",K13)</f>
        <v>1030</v>
      </c>
      <c r="Q14" s="56" t="n">
        <f aca="false">IF(OR(F14&lt;&gt;0,AND(I14&lt;&gt;"",E14&lt;I14)),1,0)</f>
        <v>0</v>
      </c>
      <c r="R14" s="56" t="n">
        <f aca="false">IF(AND(D14&gt;1,Q14=0,ISNUMBER(O14),ISNUMBER(P14)),IF(Q13=0,1,0),0)</f>
        <v>1</v>
      </c>
      <c r="S14" s="56" t="n">
        <f aca="false">R14*(B14&gt;=Train_Start)*(B14&lt;=Train_End)</f>
        <v>1</v>
      </c>
      <c r="T14" s="84" t="n">
        <f aca="false">IF(AND(ISNUMBER(O14),ISNUMBER(P14)),Coef_A+Coef_B1*O14+Coef_B2*P14,"")</f>
        <v>23.570504012203</v>
      </c>
      <c r="U14" s="84" t="n">
        <f aca="false">IF(AND(R14=1,ISNUMBER(T14)),E14-T14,"")</f>
        <v>2.52949598779704</v>
      </c>
      <c r="V14" s="84" t="n">
        <f aca="false">IF(ISNUMBER(T14),T14,-99)</f>
        <v>23.570504012203</v>
      </c>
      <c r="W14" s="84" t="n">
        <f aca="false">IF(ISNUMBER(U14),ABS(U14),"")</f>
        <v>2.52949598779704</v>
      </c>
    </row>
    <row r="15" customFormat="false" ht="15" hidden="false" customHeight="false" outlineLevel="0" collapsed="false">
      <c r="A15" s="57" t="n">
        <v>28989</v>
      </c>
      <c r="B15" s="56" t="n">
        <v>1979</v>
      </c>
      <c r="C15" s="56" t="n">
        <v>5</v>
      </c>
      <c r="D15" s="56" t="n">
        <v>14</v>
      </c>
      <c r="E15" s="56" t="n">
        <v>26.2</v>
      </c>
      <c r="F15" s="56" t="n">
        <v>0</v>
      </c>
      <c r="G15" s="56" t="n">
        <v>10.9</v>
      </c>
      <c r="H15" s="56" t="n">
        <v>0</v>
      </c>
      <c r="I15" s="56" t="n">
        <v>18.5</v>
      </c>
      <c r="J15" s="56" t="n">
        <v>0</v>
      </c>
      <c r="K15" s="56" t="n">
        <v>1028.1</v>
      </c>
      <c r="L15" s="56" t="n">
        <v>0</v>
      </c>
      <c r="M15" s="56" t="n">
        <v>64</v>
      </c>
      <c r="N15" s="56" t="n">
        <v>14.2</v>
      </c>
      <c r="O15" s="56" t="n">
        <f aca="false">IF(D15=1,"",E14)</f>
        <v>26.1</v>
      </c>
      <c r="P15" s="56" t="n">
        <f aca="false">IF(OR(D15=1,K14=""),"",K14)</f>
        <v>1031.6</v>
      </c>
      <c r="Q15" s="56" t="n">
        <f aca="false">IF(OR(F15&lt;&gt;0,AND(I15&lt;&gt;"",E15&lt;I15)),1,0)</f>
        <v>0</v>
      </c>
      <c r="R15" s="56" t="n">
        <f aca="false">IF(AND(D15&gt;1,Q15=0,ISNUMBER(O15),ISNUMBER(P15)),IF(Q14=0,1,0),0)</f>
        <v>1</v>
      </c>
      <c r="S15" s="56" t="n">
        <f aca="false">R15*(B15&gt;=Train_Start)*(B15&lt;=Train_End)</f>
        <v>1</v>
      </c>
      <c r="T15" s="84" t="n">
        <f aca="false">IF(AND(ISNUMBER(O15),ISNUMBER(P15)),Coef_A+Coef_B1*O15+Coef_B2*P15,"")</f>
        <v>25.8329116648325</v>
      </c>
      <c r="U15" s="84" t="n">
        <f aca="false">IF(AND(R15=1,ISNUMBER(T15)),E15-T15,"")</f>
        <v>0.36708833516748</v>
      </c>
      <c r="V15" s="84" t="n">
        <f aca="false">IF(ISNUMBER(T15),T15,-99)</f>
        <v>25.8329116648325</v>
      </c>
      <c r="W15" s="84" t="n">
        <f aca="false">IF(ISNUMBER(U15),ABS(U15),"")</f>
        <v>0.36708833516748</v>
      </c>
    </row>
    <row r="16" customFormat="false" ht="15" hidden="false" customHeight="false" outlineLevel="0" collapsed="false">
      <c r="A16" s="57" t="n">
        <v>28990</v>
      </c>
      <c r="B16" s="56" t="n">
        <v>1979</v>
      </c>
      <c r="C16" s="56" t="n">
        <v>5</v>
      </c>
      <c r="D16" s="56" t="n">
        <v>15</v>
      </c>
      <c r="E16" s="56" t="n">
        <v>22.5</v>
      </c>
      <c r="F16" s="56" t="n">
        <v>0</v>
      </c>
      <c r="G16" s="56" t="n">
        <v>12.9</v>
      </c>
      <c r="H16" s="56" t="n">
        <v>0</v>
      </c>
      <c r="I16" s="56" t="n">
        <v>19.6</v>
      </c>
      <c r="J16" s="56" t="n">
        <v>0</v>
      </c>
      <c r="K16" s="56" t="n">
        <v>1017.7</v>
      </c>
      <c r="L16" s="56" t="n">
        <v>0</v>
      </c>
      <c r="M16" s="56" t="n">
        <v>63</v>
      </c>
      <c r="N16" s="56" t="n">
        <v>13.4</v>
      </c>
      <c r="O16" s="56" t="n">
        <f aca="false">IF(D16=1,"",E15)</f>
        <v>26.2</v>
      </c>
      <c r="P16" s="56" t="n">
        <f aca="false">IF(OR(D16=1,K15=""),"",K15)</f>
        <v>1028.1</v>
      </c>
      <c r="Q16" s="56" t="n">
        <f aca="false">IF(OR(F16&lt;&gt;0,AND(I16&lt;&gt;"",E16&lt;I16)),1,0)</f>
        <v>0</v>
      </c>
      <c r="R16" s="56" t="n">
        <f aca="false">IF(AND(D16&gt;1,Q16=0,ISNUMBER(O16),ISNUMBER(P16)),IF(Q15=0,1,0),0)</f>
        <v>1</v>
      </c>
      <c r="S16" s="56" t="n">
        <f aca="false">R16*(B16&gt;=Train_Start)*(B16&lt;=Train_End)</f>
        <v>1</v>
      </c>
      <c r="T16" s="84" t="n">
        <f aca="false">IF(AND(ISNUMBER(O16),ISNUMBER(P16)),Coef_A+Coef_B1*O16+Coef_B2*P16,"")</f>
        <v>25.8050509529178</v>
      </c>
      <c r="U16" s="84" t="n">
        <f aca="false">IF(AND(R16=1,ISNUMBER(T16)),E16-T16,"")</f>
        <v>-3.30505095291781</v>
      </c>
      <c r="V16" s="84" t="n">
        <f aca="false">IF(ISNUMBER(T16),T16,-99)</f>
        <v>25.8050509529178</v>
      </c>
      <c r="W16" s="84" t="n">
        <f aca="false">IF(ISNUMBER(U16),ABS(U16),"")</f>
        <v>3.30505095291781</v>
      </c>
    </row>
    <row r="17" customFormat="false" ht="15" hidden="false" customHeight="false" outlineLevel="0" collapsed="false">
      <c r="A17" s="57" t="n">
        <v>28991</v>
      </c>
      <c r="B17" s="56" t="n">
        <v>1979</v>
      </c>
      <c r="C17" s="56" t="n">
        <v>5</v>
      </c>
      <c r="D17" s="56" t="n">
        <v>16</v>
      </c>
      <c r="E17" s="56" t="n">
        <v>15.2</v>
      </c>
      <c r="F17" s="56" t="n">
        <v>1</v>
      </c>
      <c r="G17" s="56" t="n">
        <v>12.4</v>
      </c>
      <c r="H17" s="56" t="n">
        <v>0</v>
      </c>
      <c r="I17" s="56" t="n">
        <v>17.4</v>
      </c>
      <c r="J17" s="56" t="n">
        <v>1</v>
      </c>
      <c r="K17" s="56" t="n">
        <v>1004.1</v>
      </c>
      <c r="L17" s="56" t="n">
        <v>0</v>
      </c>
      <c r="M17" s="56" t="n">
        <v>73</v>
      </c>
      <c r="N17" s="56" t="n">
        <v>6.7</v>
      </c>
      <c r="O17" s="56" t="n">
        <f aca="false">IF(D17=1,"",E16)</f>
        <v>22.5</v>
      </c>
      <c r="P17" s="56" t="n">
        <f aca="false">IF(OR(D17=1,K16=""),"",K16)</f>
        <v>1017.7</v>
      </c>
      <c r="Q17" s="56" t="n">
        <f aca="false">IF(OR(F17&lt;&gt;0,AND(I17&lt;&gt;"",E17&lt;I17)),1,0)</f>
        <v>1</v>
      </c>
      <c r="R17" s="56" t="n">
        <f aca="false">IF(AND(D17&gt;1,Q17=0,ISNUMBER(O17),ISNUMBER(P17)),IF(Q16=0,1,0),0)</f>
        <v>0</v>
      </c>
      <c r="S17" s="56" t="n">
        <f aca="false">R17*(B17&gt;=Train_Start)*(B17&lt;=Train_End)</f>
        <v>0</v>
      </c>
      <c r="T17" s="84" t="n">
        <f aca="false">IF(AND(ISNUMBER(O17),ISNUMBER(P17)),Coef_A+Coef_B1*O17+Coef_B2*P17,"")</f>
        <v>22.4472490344665</v>
      </c>
      <c r="U17" s="84" t="str">
        <f aca="false">IF(AND(R17=1,ISNUMBER(T17)),E17-T17,"")</f>
        <v/>
      </c>
      <c r="V17" s="84" t="n">
        <f aca="false">IF(ISNUMBER(T17),T17,-99)</f>
        <v>22.4472490344665</v>
      </c>
      <c r="W17" s="84" t="str">
        <f aca="false">IF(ISNUMBER(U17),ABS(U17),"")</f>
        <v/>
      </c>
    </row>
    <row r="18" customFormat="false" ht="15" hidden="false" customHeight="false" outlineLevel="0" collapsed="false">
      <c r="A18" s="57" t="n">
        <v>28992</v>
      </c>
      <c r="B18" s="56" t="n">
        <v>1979</v>
      </c>
      <c r="C18" s="56" t="n">
        <v>5</v>
      </c>
      <c r="D18" s="56" t="n">
        <v>17</v>
      </c>
      <c r="E18" s="56" t="n">
        <v>16</v>
      </c>
      <c r="F18" s="56" t="n">
        <v>0</v>
      </c>
      <c r="G18" s="56" t="n">
        <v>8.5</v>
      </c>
      <c r="H18" s="56" t="n">
        <v>0</v>
      </c>
      <c r="I18" s="56" t="n">
        <v>11.8</v>
      </c>
      <c r="J18" s="56" t="n">
        <v>0</v>
      </c>
      <c r="K18" s="56" t="n">
        <v>1001.3</v>
      </c>
      <c r="L18" s="56" t="n">
        <v>0</v>
      </c>
      <c r="M18" s="56" t="n">
        <v>72</v>
      </c>
      <c r="N18" s="56" t="n">
        <v>10</v>
      </c>
      <c r="O18" s="56" t="n">
        <f aca="false">IF(D18=1,"",E17)</f>
        <v>15.2</v>
      </c>
      <c r="P18" s="56" t="n">
        <f aca="false">IF(OR(D18=1,K17=""),"",K17)</f>
        <v>1004.1</v>
      </c>
      <c r="Q18" s="56" t="n">
        <f aca="false">IF(OR(F18&lt;&gt;0,AND(I18&lt;&gt;"",E18&lt;I18)),1,0)</f>
        <v>0</v>
      </c>
      <c r="R18" s="56" t="n">
        <f aca="false">IF(AND(D18&gt;1,Q18=0,ISNUMBER(O18),ISNUMBER(P18)),IF(Q17=0,1,0),0)</f>
        <v>0</v>
      </c>
      <c r="S18" s="56" t="n">
        <f aca="false">R18*(B18&gt;=Train_Start)*(B18&lt;=Train_End)</f>
        <v>0</v>
      </c>
      <c r="T18" s="84" t="n">
        <f aca="false">IF(AND(ISNUMBER(O18),ISNUMBER(P18)),Coef_A+Coef_B1*O18+Coef_B2*P18,"")</f>
        <v>16.0394423582328</v>
      </c>
      <c r="U18" s="84" t="str">
        <f aca="false">IF(AND(R18=1,ISNUMBER(T18)),E18-T18,"")</f>
        <v/>
      </c>
      <c r="V18" s="84" t="n">
        <f aca="false">IF(ISNUMBER(T18),T18,-99)</f>
        <v>16.0394423582328</v>
      </c>
      <c r="W18" s="84" t="str">
        <f aca="false">IF(ISNUMBER(U18),ABS(U18),"")</f>
        <v/>
      </c>
    </row>
    <row r="19" customFormat="false" ht="15" hidden="false" customHeight="false" outlineLevel="0" collapsed="false">
      <c r="A19" s="57" t="n">
        <v>28993</v>
      </c>
      <c r="B19" s="56" t="n">
        <v>1979</v>
      </c>
      <c r="C19" s="56" t="n">
        <v>5</v>
      </c>
      <c r="D19" s="56" t="n">
        <v>18</v>
      </c>
      <c r="E19" s="56" t="n">
        <v>17.2</v>
      </c>
      <c r="F19" s="56" t="n">
        <v>0</v>
      </c>
      <c r="G19" s="56" t="n">
        <v>8.3</v>
      </c>
      <c r="H19" s="56" t="n">
        <v>0</v>
      </c>
      <c r="I19" s="56" t="n">
        <v>12.2</v>
      </c>
      <c r="J19" s="56" t="n">
        <v>0</v>
      </c>
      <c r="K19" s="56" t="n">
        <v>1009.1</v>
      </c>
      <c r="L19" s="56" t="n">
        <v>0</v>
      </c>
      <c r="M19" s="56" t="n">
        <v>68</v>
      </c>
      <c r="N19" s="56" t="n">
        <v>10.7</v>
      </c>
      <c r="O19" s="56" t="n">
        <f aca="false">IF(D19=1,"",E18)</f>
        <v>16</v>
      </c>
      <c r="P19" s="56" t="n">
        <f aca="false">IF(OR(D19=1,K18=""),"",K18)</f>
        <v>1001.3</v>
      </c>
      <c r="Q19" s="56" t="n">
        <f aca="false">IF(OR(F19&lt;&gt;0,AND(I19&lt;&gt;"",E19&lt;I19)),1,0)</f>
        <v>0</v>
      </c>
      <c r="R19" s="56" t="n">
        <f aca="false">IF(AND(D19&gt;1,Q19=0,ISNUMBER(O19),ISNUMBER(P19)),IF(Q18=0,1,0),0)</f>
        <v>1</v>
      </c>
      <c r="S19" s="56" t="n">
        <f aca="false">R19*(B19&gt;=Train_Start)*(B19&lt;=Train_End)</f>
        <v>1</v>
      </c>
      <c r="T19" s="84" t="n">
        <f aca="false">IF(AND(ISNUMBER(O19),ISNUMBER(P19)),Coef_A+Coef_B1*O19+Coef_B2*P19,"")</f>
        <v>16.6070780076918</v>
      </c>
      <c r="U19" s="84" t="n">
        <f aca="false">IF(AND(R19=1,ISNUMBER(T19)),E19-T19,"")</f>
        <v>0.592921992308202</v>
      </c>
      <c r="V19" s="84" t="n">
        <f aca="false">IF(ISNUMBER(T19),T19,-99)</f>
        <v>16.6070780076918</v>
      </c>
      <c r="W19" s="84" t="n">
        <f aca="false">IF(ISNUMBER(U19),ABS(U19),"")</f>
        <v>0.592921992308202</v>
      </c>
    </row>
    <row r="20" customFormat="false" ht="15" hidden="false" customHeight="false" outlineLevel="0" collapsed="false">
      <c r="A20" s="57" t="n">
        <v>28994</v>
      </c>
      <c r="B20" s="56" t="n">
        <v>1979</v>
      </c>
      <c r="C20" s="56" t="n">
        <v>5</v>
      </c>
      <c r="D20" s="56" t="n">
        <v>19</v>
      </c>
      <c r="E20" s="56" t="n">
        <v>14</v>
      </c>
      <c r="F20" s="56" t="n">
        <v>0</v>
      </c>
      <c r="G20" s="56" t="n">
        <v>4.6</v>
      </c>
      <c r="H20" s="56" t="n">
        <v>0</v>
      </c>
      <c r="I20" s="56" t="n">
        <v>10.9</v>
      </c>
      <c r="J20" s="56" t="n">
        <v>0</v>
      </c>
      <c r="K20" s="56" t="n">
        <v>1017.8</v>
      </c>
      <c r="L20" s="56" t="n">
        <v>0</v>
      </c>
      <c r="M20" s="56" t="n">
        <v>69</v>
      </c>
      <c r="N20" s="56" t="n">
        <v>14.3</v>
      </c>
      <c r="O20" s="56" t="n">
        <f aca="false">IF(D20=1,"",E19)</f>
        <v>17.2</v>
      </c>
      <c r="P20" s="56" t="n">
        <f aca="false">IF(OR(D20=1,K19=""),"",K19)</f>
        <v>1009.1</v>
      </c>
      <c r="Q20" s="56" t="n">
        <f aca="false">IF(OR(F20&lt;&gt;0,AND(I20&lt;&gt;"",E20&lt;I20)),1,0)</f>
        <v>0</v>
      </c>
      <c r="R20" s="56" t="n">
        <f aca="false">IF(AND(D20&gt;1,Q20=0,ISNUMBER(O20),ISNUMBER(P20)),IF(Q19=0,1,0),0)</f>
        <v>1</v>
      </c>
      <c r="S20" s="56" t="n">
        <f aca="false">R20*(B20&gt;=Train_Start)*(B20&lt;=Train_End)</f>
        <v>1</v>
      </c>
      <c r="T20" s="84" t="n">
        <f aca="false">IF(AND(ISNUMBER(O20),ISNUMBER(P20)),Coef_A+Coef_B1*O20+Coef_B2*P20,"")</f>
        <v>17.8349702174881</v>
      </c>
      <c r="U20" s="84" t="n">
        <f aca="false">IF(AND(R20=1,ISNUMBER(T20)),E20-T20,"")</f>
        <v>-3.83497021748811</v>
      </c>
      <c r="V20" s="84" t="n">
        <f aca="false">IF(ISNUMBER(T20),T20,-99)</f>
        <v>17.8349702174881</v>
      </c>
      <c r="W20" s="84" t="n">
        <f aca="false">IF(ISNUMBER(U20),ABS(U20),"")</f>
        <v>3.83497021748811</v>
      </c>
    </row>
    <row r="21" customFormat="false" ht="15" hidden="false" customHeight="false" outlineLevel="0" collapsed="false">
      <c r="A21" s="57" t="n">
        <v>28995</v>
      </c>
      <c r="B21" s="56" t="n">
        <v>1979</v>
      </c>
      <c r="C21" s="56" t="n">
        <v>5</v>
      </c>
      <c r="D21" s="56" t="n">
        <v>20</v>
      </c>
      <c r="E21" s="56" t="n">
        <v>15.1</v>
      </c>
      <c r="F21" s="56" t="n">
        <v>0</v>
      </c>
      <c r="G21" s="56" t="n">
        <v>8.5</v>
      </c>
      <c r="H21" s="56" t="n">
        <v>0</v>
      </c>
      <c r="I21" s="56" t="n">
        <v>11.2</v>
      </c>
      <c r="J21" s="56" t="n">
        <v>0</v>
      </c>
      <c r="K21" s="56" t="n">
        <v>1006.5</v>
      </c>
      <c r="L21" s="56" t="n">
        <v>0</v>
      </c>
      <c r="M21" s="56" t="n">
        <v>91</v>
      </c>
      <c r="N21" s="56" t="n">
        <v>0</v>
      </c>
      <c r="O21" s="56" t="n">
        <f aca="false">IF(D21=1,"",E20)</f>
        <v>14</v>
      </c>
      <c r="P21" s="56" t="n">
        <f aca="false">IF(OR(D21=1,K20=""),"",K20)</f>
        <v>1017.8</v>
      </c>
      <c r="Q21" s="56" t="n">
        <f aca="false">IF(OR(F21&lt;&gt;0,AND(I21&lt;&gt;"",E21&lt;I21)),1,0)</f>
        <v>0</v>
      </c>
      <c r="R21" s="56" t="n">
        <f aca="false">IF(AND(D21&gt;1,Q21=0,ISNUMBER(O21),ISNUMBER(P21)),IF(Q20=0,1,0),0)</f>
        <v>1</v>
      </c>
      <c r="S21" s="56" t="n">
        <f aca="false">R21*(B21&gt;=Train_Start)*(B21&lt;=Train_End)</f>
        <v>1</v>
      </c>
      <c r="T21" s="84" t="n">
        <f aca="false">IF(AND(ISNUMBER(O21),ISNUMBER(P21)),Coef_A+Coef_B1*O21+Coef_B2*P21,"")</f>
        <v>15.4860028830673</v>
      </c>
      <c r="U21" s="84" t="n">
        <f aca="false">IF(AND(R21=1,ISNUMBER(T21)),E21-T21,"")</f>
        <v>-0.386002883067308</v>
      </c>
      <c r="V21" s="84" t="n">
        <f aca="false">IF(ISNUMBER(T21),T21,-99)</f>
        <v>15.4860028830673</v>
      </c>
      <c r="W21" s="84" t="n">
        <f aca="false">IF(ISNUMBER(U21),ABS(U21),"")</f>
        <v>0.386002883067308</v>
      </c>
    </row>
    <row r="22" customFormat="false" ht="15" hidden="false" customHeight="false" outlineLevel="0" collapsed="false">
      <c r="A22" s="57" t="n">
        <v>28996</v>
      </c>
      <c r="B22" s="56" t="n">
        <v>1979</v>
      </c>
      <c r="C22" s="56" t="n">
        <v>5</v>
      </c>
      <c r="D22" s="56" t="n">
        <v>21</v>
      </c>
      <c r="E22" s="56" t="n">
        <v>15.8</v>
      </c>
      <c r="F22" s="56" t="n">
        <v>0</v>
      </c>
      <c r="G22" s="56" t="n">
        <v>8.4</v>
      </c>
      <c r="H22" s="56" t="n">
        <v>0</v>
      </c>
      <c r="I22" s="56" t="n">
        <v>11.8</v>
      </c>
      <c r="J22" s="56" t="n">
        <v>0</v>
      </c>
      <c r="K22" s="56" t="n">
        <v>1004.7</v>
      </c>
      <c r="L22" s="56" t="n">
        <v>0</v>
      </c>
      <c r="M22" s="56" t="n">
        <v>85</v>
      </c>
      <c r="N22" s="56" t="n">
        <v>6.3</v>
      </c>
      <c r="O22" s="56" t="n">
        <f aca="false">IF(D22=1,"",E21)</f>
        <v>15.1</v>
      </c>
      <c r="P22" s="56" t="n">
        <f aca="false">IF(OR(D22=1,K21=""),"",K21)</f>
        <v>1006.5</v>
      </c>
      <c r="Q22" s="56" t="n">
        <f aca="false">IF(OR(F22&lt;&gt;0,AND(I22&lt;&gt;"",E22&lt;I22)),1,0)</f>
        <v>0</v>
      </c>
      <c r="R22" s="56" t="n">
        <f aca="false">IF(AND(D22&gt;1,Q22=0,ISNUMBER(O22),ISNUMBER(P22)),IF(Q21=0,1,0),0)</f>
        <v>1</v>
      </c>
      <c r="S22" s="56" t="n">
        <f aca="false">R22*(B22&gt;=Train_Start)*(B22&lt;=Train_End)</f>
        <v>1</v>
      </c>
      <c r="T22" s="84" t="n">
        <f aca="false">IF(AND(ISNUMBER(O22),ISNUMBER(P22)),Coef_A+Coef_B1*O22+Coef_B2*P22,"")</f>
        <v>16.0327961860502</v>
      </c>
      <c r="U22" s="84" t="n">
        <f aca="false">IF(AND(R22=1,ISNUMBER(T22)),E22-T22,"")</f>
        <v>-0.232796186050148</v>
      </c>
      <c r="V22" s="84" t="n">
        <f aca="false">IF(ISNUMBER(T22),T22,-99)</f>
        <v>16.0327961860502</v>
      </c>
      <c r="W22" s="84" t="n">
        <f aca="false">IF(ISNUMBER(U22),ABS(U22),"")</f>
        <v>0.232796186050148</v>
      </c>
    </row>
    <row r="23" customFormat="false" ht="15" hidden="false" customHeight="false" outlineLevel="0" collapsed="false">
      <c r="A23" s="57" t="n">
        <v>28997</v>
      </c>
      <c r="B23" s="56" t="n">
        <v>1979</v>
      </c>
      <c r="C23" s="56" t="n">
        <v>5</v>
      </c>
      <c r="D23" s="56" t="n">
        <v>22</v>
      </c>
      <c r="E23" s="56" t="n">
        <v>14.3</v>
      </c>
      <c r="F23" s="56" t="n">
        <v>0</v>
      </c>
      <c r="G23" s="56" t="n">
        <v>7.6</v>
      </c>
      <c r="H23" s="56" t="n">
        <v>0</v>
      </c>
      <c r="I23" s="56" t="n">
        <v>11.7</v>
      </c>
      <c r="J23" s="56" t="n">
        <v>0</v>
      </c>
      <c r="K23" s="56" t="n">
        <v>1007.9</v>
      </c>
      <c r="L23" s="56" t="n">
        <v>0</v>
      </c>
      <c r="M23" s="56" t="n">
        <v>82</v>
      </c>
      <c r="N23" s="56" t="n">
        <v>8.7</v>
      </c>
      <c r="O23" s="56" t="n">
        <f aca="false">IF(D23=1,"",E22)</f>
        <v>15.8</v>
      </c>
      <c r="P23" s="56" t="n">
        <f aca="false">IF(OR(D23=1,K22=""),"",K22)</f>
        <v>1004.7</v>
      </c>
      <c r="Q23" s="56" t="n">
        <f aca="false">IF(OR(F23&lt;&gt;0,AND(I23&lt;&gt;"",E23&lt;I23)),1,0)</f>
        <v>0</v>
      </c>
      <c r="R23" s="56" t="n">
        <f aca="false">IF(AND(D23&gt;1,Q23=0,ISNUMBER(O23),ISNUMBER(P23)),IF(Q22=0,1,0),0)</f>
        <v>1</v>
      </c>
      <c r="S23" s="56" t="n">
        <f aca="false">R23*(B23&gt;=Train_Start)*(B23&lt;=Train_End)</f>
        <v>1</v>
      </c>
      <c r="T23" s="84" t="n">
        <f aca="false">IF(AND(ISNUMBER(O23),ISNUMBER(P23)),Coef_A+Coef_B1*O23+Coef_B2*P23,"")</f>
        <v>16.5498678108388</v>
      </c>
      <c r="U23" s="84" t="n">
        <f aca="false">IF(AND(R23=1,ISNUMBER(T23)),E23-T23,"")</f>
        <v>-2.24986781083883</v>
      </c>
      <c r="V23" s="84" t="n">
        <f aca="false">IF(ISNUMBER(T23),T23,-99)</f>
        <v>16.5498678108388</v>
      </c>
      <c r="W23" s="84" t="n">
        <f aca="false">IF(ISNUMBER(U23),ABS(U23),"")</f>
        <v>2.24986781083883</v>
      </c>
    </row>
    <row r="24" customFormat="false" ht="15" hidden="false" customHeight="false" outlineLevel="0" collapsed="false">
      <c r="A24" s="57" t="n">
        <v>28998</v>
      </c>
      <c r="B24" s="56" t="n">
        <v>1979</v>
      </c>
      <c r="C24" s="56" t="n">
        <v>5</v>
      </c>
      <c r="D24" s="56" t="n">
        <v>23</v>
      </c>
      <c r="E24" s="56" t="n">
        <v>14.6</v>
      </c>
      <c r="F24" s="56" t="n">
        <v>0</v>
      </c>
      <c r="G24" s="56" t="n">
        <v>9.4</v>
      </c>
      <c r="H24" s="56" t="n">
        <v>0</v>
      </c>
      <c r="I24" s="56" t="n">
        <v>11.8</v>
      </c>
      <c r="J24" s="56" t="n">
        <v>0</v>
      </c>
      <c r="K24" s="56" t="n">
        <v>1004.4</v>
      </c>
      <c r="L24" s="56" t="n">
        <v>0</v>
      </c>
      <c r="M24" s="56" t="n">
        <v>80</v>
      </c>
      <c r="N24" s="56" t="n">
        <v>6</v>
      </c>
      <c r="O24" s="56" t="n">
        <f aca="false">IF(D24=1,"",E23)</f>
        <v>14.3</v>
      </c>
      <c r="P24" s="56" t="n">
        <f aca="false">IF(OR(D24=1,K23=""),"",K23)</f>
        <v>1007.9</v>
      </c>
      <c r="Q24" s="56" t="n">
        <f aca="false">IF(OR(F24&lt;&gt;0,AND(I24&lt;&gt;"",E24&lt;I24)),1,0)</f>
        <v>0</v>
      </c>
      <c r="R24" s="56" t="n">
        <f aca="false">IF(AND(D24&gt;1,Q24=0,ISNUMBER(O24),ISNUMBER(P24)),IF(Q23=0,1,0),0)</f>
        <v>1</v>
      </c>
      <c r="S24" s="56" t="n">
        <f aca="false">R24*(B24&gt;=Train_Start)*(B24&lt;=Train_End)</f>
        <v>1</v>
      </c>
      <c r="T24" s="84" t="n">
        <f aca="false">IF(AND(ISNUMBER(O24),ISNUMBER(P24)),Coef_A+Coef_B1*O24+Coef_B2*P24,"")</f>
        <v>15.4212426841036</v>
      </c>
      <c r="U24" s="84" t="n">
        <f aca="false">IF(AND(R24=1,ISNUMBER(T24)),E24-T24,"")</f>
        <v>-0.821242684103611</v>
      </c>
      <c r="V24" s="84" t="n">
        <f aca="false">IF(ISNUMBER(T24),T24,-99)</f>
        <v>15.4212426841036</v>
      </c>
      <c r="W24" s="84" t="n">
        <f aca="false">IF(ISNUMBER(U24),ABS(U24),"")</f>
        <v>0.821242684103611</v>
      </c>
    </row>
    <row r="25" customFormat="false" ht="15" hidden="false" customHeight="false" outlineLevel="0" collapsed="false">
      <c r="A25" s="57" t="n">
        <v>28999</v>
      </c>
      <c r="B25" s="56" t="n">
        <v>1979</v>
      </c>
      <c r="C25" s="56" t="n">
        <v>5</v>
      </c>
      <c r="D25" s="56" t="n">
        <v>24</v>
      </c>
      <c r="E25" s="56" t="n">
        <v>13.4</v>
      </c>
      <c r="F25" s="56" t="n">
        <v>0</v>
      </c>
      <c r="G25" s="56" t="n">
        <v>7.3</v>
      </c>
      <c r="H25" s="56" t="n">
        <v>0</v>
      </c>
      <c r="I25" s="56" t="n">
        <v>11</v>
      </c>
      <c r="J25" s="56" t="n">
        <v>0</v>
      </c>
      <c r="K25" s="56" t="n">
        <v>1006.2</v>
      </c>
      <c r="L25" s="56" t="n">
        <v>0</v>
      </c>
      <c r="M25" s="56" t="n">
        <v>80</v>
      </c>
      <c r="N25" s="56" t="n">
        <v>10</v>
      </c>
      <c r="O25" s="56" t="n">
        <f aca="false">IF(D25=1,"",E24)</f>
        <v>14.6</v>
      </c>
      <c r="P25" s="56" t="n">
        <f aca="false">IF(OR(D25=1,K24=""),"",K24)</f>
        <v>1004.4</v>
      </c>
      <c r="Q25" s="56" t="n">
        <f aca="false">IF(OR(F25&lt;&gt;0,AND(I25&lt;&gt;"",E25&lt;I25)),1,0)</f>
        <v>0</v>
      </c>
      <c r="R25" s="56" t="n">
        <f aca="false">IF(AND(D25&gt;1,Q25=0,ISNUMBER(O25),ISNUMBER(P25)),IF(Q24=0,1,0),0)</f>
        <v>1</v>
      </c>
      <c r="S25" s="56" t="n">
        <f aca="false">R25*(B25&gt;=Train_Start)*(B25&lt;=Train_End)</f>
        <v>1</v>
      </c>
      <c r="T25" s="84" t="n">
        <f aca="false">IF(AND(ISNUMBER(O25),ISNUMBER(P25)),Coef_A+Coef_B1*O25+Coef_B2*P25,"")</f>
        <v>15.5572498107974</v>
      </c>
      <c r="U25" s="84" t="n">
        <f aca="false">IF(AND(R25=1,ISNUMBER(T25)),E25-T25,"")</f>
        <v>-2.15724981079744</v>
      </c>
      <c r="V25" s="84" t="n">
        <f aca="false">IF(ISNUMBER(T25),T25,-99)</f>
        <v>15.5572498107974</v>
      </c>
      <c r="W25" s="84" t="n">
        <f aca="false">IF(ISNUMBER(U25),ABS(U25),"")</f>
        <v>2.15724981079744</v>
      </c>
    </row>
    <row r="26" customFormat="false" ht="15" hidden="false" customHeight="false" outlineLevel="0" collapsed="false">
      <c r="A26" s="57" t="n">
        <v>29000</v>
      </c>
      <c r="B26" s="56" t="n">
        <v>1979</v>
      </c>
      <c r="C26" s="56" t="n">
        <v>5</v>
      </c>
      <c r="D26" s="56" t="n">
        <v>25</v>
      </c>
      <c r="E26" s="56" t="n">
        <v>15.5</v>
      </c>
      <c r="F26" s="56" t="n">
        <v>0</v>
      </c>
      <c r="G26" s="56" t="n">
        <v>5.4</v>
      </c>
      <c r="H26" s="56" t="n">
        <v>0</v>
      </c>
      <c r="I26" s="56" t="n">
        <v>9.4</v>
      </c>
      <c r="J26" s="56" t="n">
        <v>0</v>
      </c>
      <c r="K26" s="56" t="n">
        <v>1005.6</v>
      </c>
      <c r="L26" s="56" t="n">
        <v>0</v>
      </c>
      <c r="M26" s="56" t="n">
        <v>82</v>
      </c>
      <c r="N26" s="56" t="n">
        <v>8.5</v>
      </c>
      <c r="O26" s="56" t="n">
        <f aca="false">IF(D26=1,"",E25)</f>
        <v>13.4</v>
      </c>
      <c r="P26" s="56" t="n">
        <f aca="false">IF(OR(D26=1,K25=""),"",K25)</f>
        <v>1006.2</v>
      </c>
      <c r="Q26" s="56" t="n">
        <f aca="false">IF(OR(F26&lt;&gt;0,AND(I26&lt;&gt;"",E26&lt;I26)),1,0)</f>
        <v>0</v>
      </c>
      <c r="R26" s="56" t="n">
        <f aca="false">IF(AND(D26&gt;1,Q26=0,ISNUMBER(O26),ISNUMBER(P26)),IF(Q25=0,1,0),0)</f>
        <v>1</v>
      </c>
      <c r="S26" s="56" t="n">
        <f aca="false">R26*(B26&gt;=Train_Start)*(B26&lt;=Train_End)</f>
        <v>1</v>
      </c>
      <c r="T26" s="84" t="n">
        <f aca="false">IF(AND(ISNUMBER(O26),ISNUMBER(P26)),Coef_A+Coef_B1*O26+Coef_B2*P26,"")</f>
        <v>14.6305085894874</v>
      </c>
      <c r="U26" s="84" t="n">
        <f aca="false">IF(AND(R26=1,ISNUMBER(T26)),E26-T26,"")</f>
        <v>0.869491410512559</v>
      </c>
      <c r="V26" s="84" t="n">
        <f aca="false">IF(ISNUMBER(T26),T26,-99)</f>
        <v>14.6305085894874</v>
      </c>
      <c r="W26" s="84" t="n">
        <f aca="false">IF(ISNUMBER(U26),ABS(U26),"")</f>
        <v>0.869491410512559</v>
      </c>
    </row>
    <row r="27" customFormat="false" ht="15" hidden="false" customHeight="false" outlineLevel="0" collapsed="false">
      <c r="A27" s="57" t="n">
        <v>29001</v>
      </c>
      <c r="B27" s="56" t="n">
        <v>1979</v>
      </c>
      <c r="C27" s="56" t="n">
        <v>5</v>
      </c>
      <c r="D27" s="56" t="n">
        <v>26</v>
      </c>
      <c r="E27" s="56" t="n">
        <v>15.9</v>
      </c>
      <c r="F27" s="56" t="n">
        <v>0</v>
      </c>
      <c r="G27" s="56" t="n">
        <v>6.6</v>
      </c>
      <c r="H27" s="56" t="n">
        <v>0</v>
      </c>
      <c r="I27" s="56" t="n">
        <v>11</v>
      </c>
      <c r="J27" s="56" t="n">
        <v>0</v>
      </c>
      <c r="K27" s="56" t="n">
        <v>1000.8</v>
      </c>
      <c r="L27" s="56" t="n">
        <v>0</v>
      </c>
      <c r="M27" s="56" t="n">
        <v>89</v>
      </c>
      <c r="N27" s="56" t="n">
        <v>0.9</v>
      </c>
      <c r="O27" s="56" t="n">
        <f aca="false">IF(D27=1,"",E26)</f>
        <v>15.5</v>
      </c>
      <c r="P27" s="56" t="n">
        <f aca="false">IF(OR(D27=1,K26=""),"",K26)</f>
        <v>1005.6</v>
      </c>
      <c r="Q27" s="56" t="n">
        <f aca="false">IF(OR(F27&lt;&gt;0,AND(I27&lt;&gt;"",E27&lt;I27)),1,0)</f>
        <v>0</v>
      </c>
      <c r="R27" s="56" t="n">
        <f aca="false">IF(AND(D27&gt;1,Q27=0,ISNUMBER(O27),ISNUMBER(P27)),IF(Q26=0,1,0),0)</f>
        <v>1</v>
      </c>
      <c r="S27" s="56" t="n">
        <f aca="false">R27*(B27&gt;=Train_Start)*(B27&lt;=Train_End)</f>
        <v>1</v>
      </c>
      <c r="T27" s="84" t="n">
        <f aca="false">IF(AND(ISNUMBER(O27),ISNUMBER(P27)),Coef_A+Coef_B1*O27+Coef_B2*P27,"")</f>
        <v>16.3322989580966</v>
      </c>
      <c r="U27" s="84" t="n">
        <f aca="false">IF(AND(R27=1,ISNUMBER(T27)),E27-T27,"")</f>
        <v>-0.432298958096622</v>
      </c>
      <c r="V27" s="84" t="n">
        <f aca="false">IF(ISNUMBER(T27),T27,-99)</f>
        <v>16.3322989580966</v>
      </c>
      <c r="W27" s="84" t="n">
        <f aca="false">IF(ISNUMBER(U27),ABS(U27),"")</f>
        <v>0.432298958096622</v>
      </c>
    </row>
    <row r="28" customFormat="false" ht="15" hidden="false" customHeight="false" outlineLevel="0" collapsed="false">
      <c r="A28" s="57" t="n">
        <v>29002</v>
      </c>
      <c r="B28" s="56" t="n">
        <v>1979</v>
      </c>
      <c r="C28" s="56" t="n">
        <v>5</v>
      </c>
      <c r="D28" s="56" t="n">
        <v>27</v>
      </c>
      <c r="E28" s="56" t="n">
        <v>15.9</v>
      </c>
      <c r="F28" s="56" t="n">
        <v>0</v>
      </c>
      <c r="G28" s="56" t="n">
        <v>6.7</v>
      </c>
      <c r="H28" s="56" t="n">
        <v>0</v>
      </c>
      <c r="I28" s="56" t="n">
        <v>11.3</v>
      </c>
      <c r="J28" s="56" t="n">
        <v>0</v>
      </c>
      <c r="K28" s="56" t="n">
        <v>1005.2</v>
      </c>
      <c r="L28" s="56" t="n">
        <v>0</v>
      </c>
      <c r="M28" s="56" t="n">
        <v>79</v>
      </c>
      <c r="N28" s="56" t="n">
        <v>3.3</v>
      </c>
      <c r="O28" s="56" t="n">
        <f aca="false">IF(D28=1,"",E27)</f>
        <v>15.9</v>
      </c>
      <c r="P28" s="56" t="n">
        <f aca="false">IF(OR(D28=1,K27=""),"",K27)</f>
        <v>1000.8</v>
      </c>
      <c r="Q28" s="56" t="n">
        <f aca="false">IF(OR(F28&lt;&gt;0,AND(I28&lt;&gt;"",E28&lt;I28)),1,0)</f>
        <v>0</v>
      </c>
      <c r="R28" s="56" t="n">
        <f aca="false">IF(AND(D28&gt;1,Q28=0,ISNUMBER(O28),ISNUMBER(P28)),IF(Q27=0,1,0),0)</f>
        <v>1</v>
      </c>
      <c r="S28" s="56" t="n">
        <f aca="false">R28*(B28&gt;=Train_Start)*(B28&lt;=Train_End)</f>
        <v>1</v>
      </c>
      <c r="T28" s="84" t="n">
        <f aca="false">IF(AND(ISNUMBER(O28),ISNUMBER(P28)),Coef_A+Coef_B1*O28+Coef_B2*P28,"")</f>
        <v>16.5094591410705</v>
      </c>
      <c r="U28" s="84" t="n">
        <f aca="false">IF(AND(R28=1,ISNUMBER(T28)),E28-T28,"")</f>
        <v>-0.609459141070536</v>
      </c>
      <c r="V28" s="84" t="n">
        <f aca="false">IF(ISNUMBER(T28),T28,-99)</f>
        <v>16.5094591410705</v>
      </c>
      <c r="W28" s="84" t="n">
        <f aca="false">IF(ISNUMBER(U28),ABS(U28),"")</f>
        <v>0.609459141070536</v>
      </c>
    </row>
    <row r="29" customFormat="false" ht="15" hidden="false" customHeight="false" outlineLevel="0" collapsed="false">
      <c r="A29" s="57" t="n">
        <v>29003</v>
      </c>
      <c r="B29" s="56" t="n">
        <v>1979</v>
      </c>
      <c r="C29" s="56" t="n">
        <v>5</v>
      </c>
      <c r="D29" s="56" t="n">
        <v>28</v>
      </c>
      <c r="E29" s="56" t="n">
        <v>18.6</v>
      </c>
      <c r="F29" s="56" t="n">
        <v>0</v>
      </c>
      <c r="G29" s="56" t="n">
        <v>7.2</v>
      </c>
      <c r="H29" s="56" t="n">
        <v>0</v>
      </c>
      <c r="I29" s="56" t="n">
        <v>11.6</v>
      </c>
      <c r="J29" s="56" t="n">
        <v>0</v>
      </c>
      <c r="K29" s="56" t="n">
        <v>1009.1</v>
      </c>
      <c r="L29" s="56" t="n">
        <v>0</v>
      </c>
      <c r="M29" s="56" t="n">
        <v>88</v>
      </c>
      <c r="N29" s="56" t="n">
        <v>1.3</v>
      </c>
      <c r="O29" s="56" t="n">
        <f aca="false">IF(D29=1,"",E28)</f>
        <v>15.9</v>
      </c>
      <c r="P29" s="56" t="n">
        <f aca="false">IF(OR(D29=1,K28=""),"",K28)</f>
        <v>1005.2</v>
      </c>
      <c r="Q29" s="56" t="n">
        <f aca="false">IF(OR(F29&lt;&gt;0,AND(I29&lt;&gt;"",E29&lt;I29)),1,0)</f>
        <v>0</v>
      </c>
      <c r="R29" s="56" t="n">
        <f aca="false">IF(AND(D29&gt;1,Q29=0,ISNUMBER(O29),ISNUMBER(P29)),IF(Q28=0,1,0),0)</f>
        <v>1</v>
      </c>
      <c r="S29" s="56" t="n">
        <f aca="false">R29*(B29&gt;=Train_Start)*(B29&lt;=Train_End)</f>
        <v>1</v>
      </c>
      <c r="T29" s="84" t="n">
        <f aca="false">IF(AND(ISNUMBER(O29),ISNUMBER(P29)),Coef_A+Coef_B1*O29+Coef_B2*P29,"")</f>
        <v>16.6474866774601</v>
      </c>
      <c r="U29" s="84" t="n">
        <f aca="false">IF(AND(R29=1,ISNUMBER(T29)),E29-T29,"")</f>
        <v>1.95251332253991</v>
      </c>
      <c r="V29" s="84" t="n">
        <f aca="false">IF(ISNUMBER(T29),T29,-99)</f>
        <v>16.6474866774601</v>
      </c>
      <c r="W29" s="84" t="n">
        <f aca="false">IF(ISNUMBER(U29),ABS(U29),"")</f>
        <v>1.95251332253991</v>
      </c>
    </row>
    <row r="30" customFormat="false" ht="15" hidden="false" customHeight="false" outlineLevel="0" collapsed="false">
      <c r="A30" s="57" t="n">
        <v>29004</v>
      </c>
      <c r="B30" s="56" t="n">
        <v>1979</v>
      </c>
      <c r="C30" s="56" t="n">
        <v>5</v>
      </c>
      <c r="D30" s="56" t="n">
        <v>29</v>
      </c>
      <c r="E30" s="56" t="n">
        <v>20.1</v>
      </c>
      <c r="F30" s="56" t="n">
        <v>0</v>
      </c>
      <c r="G30" s="56" t="n">
        <v>13</v>
      </c>
      <c r="H30" s="56" t="n">
        <v>0</v>
      </c>
      <c r="I30" s="56" t="n">
        <v>15.8</v>
      </c>
      <c r="J30" s="56" t="n">
        <v>0</v>
      </c>
      <c r="K30" s="56" t="n">
        <v>1011.6</v>
      </c>
      <c r="L30" s="56" t="n">
        <v>0</v>
      </c>
      <c r="M30" s="56" t="n">
        <v>84</v>
      </c>
      <c r="N30" s="56" t="n">
        <v>3.3</v>
      </c>
      <c r="O30" s="56" t="n">
        <f aca="false">IF(D30=1,"",E29)</f>
        <v>18.6</v>
      </c>
      <c r="P30" s="56" t="n">
        <f aca="false">IF(OR(D30=1,K29=""),"",K29)</f>
        <v>1009.1</v>
      </c>
      <c r="Q30" s="56" t="n">
        <f aca="false">IF(OR(F30&lt;&gt;0,AND(I30&lt;&gt;"",E30&lt;I30)),1,0)</f>
        <v>0</v>
      </c>
      <c r="R30" s="56" t="n">
        <f aca="false">IF(AND(D30&gt;1,Q30=0,ISNUMBER(O30),ISNUMBER(P30)),IF(Q29=0,1,0),0)</f>
        <v>1</v>
      </c>
      <c r="S30" s="56" t="n">
        <f aca="false">R30*(B30&gt;=Train_Start)*(B30&lt;=Train_End)</f>
        <v>1</v>
      </c>
      <c r="T30" s="84" t="n">
        <f aca="false">IF(AND(ISNUMBER(O30),ISNUMBER(P30)),Coef_A+Coef_B1*O30+Coef_B2*P30,"")</f>
        <v>18.9820450877478</v>
      </c>
      <c r="U30" s="84" t="n">
        <f aca="false">IF(AND(R30=1,ISNUMBER(T30)),E30-T30,"")</f>
        <v>1.11795491225217</v>
      </c>
      <c r="V30" s="84" t="n">
        <f aca="false">IF(ISNUMBER(T30),T30,-99)</f>
        <v>18.9820450877478</v>
      </c>
      <c r="W30" s="84" t="n">
        <f aca="false">IF(ISNUMBER(U30),ABS(U30),"")</f>
        <v>1.11795491225217</v>
      </c>
    </row>
    <row r="31" customFormat="false" ht="15" hidden="false" customHeight="false" outlineLevel="0" collapsed="false">
      <c r="A31" s="57" t="n">
        <v>29005</v>
      </c>
      <c r="B31" s="56" t="n">
        <v>1979</v>
      </c>
      <c r="C31" s="56" t="n">
        <v>5</v>
      </c>
      <c r="D31" s="56" t="n">
        <v>30</v>
      </c>
      <c r="E31" s="56" t="n">
        <v>16.2</v>
      </c>
      <c r="F31" s="56" t="n">
        <v>0</v>
      </c>
      <c r="G31" s="56" t="n">
        <v>12.1</v>
      </c>
      <c r="H31" s="56" t="n">
        <v>0</v>
      </c>
      <c r="I31" s="56" t="n">
        <v>16.1</v>
      </c>
      <c r="J31" s="56" t="n">
        <v>0</v>
      </c>
      <c r="K31" s="56" t="n">
        <v>1013.9</v>
      </c>
      <c r="L31" s="56" t="n">
        <v>0</v>
      </c>
      <c r="M31" s="56" t="n">
        <v>87</v>
      </c>
      <c r="N31" s="56" t="n">
        <v>1.7</v>
      </c>
      <c r="O31" s="56" t="n">
        <f aca="false">IF(D31=1,"",E30)</f>
        <v>20.1</v>
      </c>
      <c r="P31" s="56" t="n">
        <f aca="false">IF(OR(D31=1,K30=""),"",K30)</f>
        <v>1011.6</v>
      </c>
      <c r="Q31" s="56" t="n">
        <f aca="false">IF(OR(F31&lt;&gt;0,AND(I31&lt;&gt;"",E31&lt;I31)),1,0)</f>
        <v>0</v>
      </c>
      <c r="R31" s="56" t="n">
        <f aca="false">IF(AND(D31&gt;1,Q31=0,ISNUMBER(O31),ISNUMBER(P31)),IF(Q30=0,1,0),0)</f>
        <v>1</v>
      </c>
      <c r="S31" s="56" t="n">
        <f aca="false">R31*(B31&gt;=Train_Start)*(B31&lt;=Train_End)</f>
        <v>1</v>
      </c>
      <c r="T31" s="84" t="n">
        <f aca="false">IF(AND(ISNUMBER(O31),ISNUMBER(P31)),Coef_A+Coef_B1*O31+Coef_B2*P31,"")</f>
        <v>20.2894786138968</v>
      </c>
      <c r="U31" s="84" t="n">
        <f aca="false">IF(AND(R31=1,ISNUMBER(T31)),E31-T31,"")</f>
        <v>-4.08947861389679</v>
      </c>
      <c r="V31" s="84" t="n">
        <f aca="false">IF(ISNUMBER(T31),T31,-99)</f>
        <v>20.2894786138968</v>
      </c>
      <c r="W31" s="84" t="n">
        <f aca="false">IF(ISNUMBER(U31),ABS(U31),"")</f>
        <v>4.08947861389679</v>
      </c>
    </row>
    <row r="32" customFormat="false" ht="15" hidden="false" customHeight="false" outlineLevel="0" collapsed="false">
      <c r="A32" s="57" t="n">
        <v>29006</v>
      </c>
      <c r="B32" s="56" t="n">
        <v>1979</v>
      </c>
      <c r="C32" s="56" t="n">
        <v>5</v>
      </c>
      <c r="D32" s="56" t="n">
        <v>31</v>
      </c>
      <c r="E32" s="56" t="n">
        <v>18.7</v>
      </c>
      <c r="F32" s="56" t="n">
        <v>0</v>
      </c>
      <c r="G32" s="56" t="n">
        <v>11.5</v>
      </c>
      <c r="H32" s="56" t="n">
        <v>0</v>
      </c>
      <c r="I32" s="56" t="n">
        <v>13.8</v>
      </c>
      <c r="J32" s="56" t="n">
        <v>0</v>
      </c>
      <c r="K32" s="56" t="n">
        <v>1017</v>
      </c>
      <c r="L32" s="56" t="n">
        <v>0</v>
      </c>
      <c r="M32" s="56" t="n">
        <v>84</v>
      </c>
      <c r="N32" s="56" t="n">
        <v>0.6</v>
      </c>
      <c r="O32" s="56" t="n">
        <f aca="false">IF(D32=1,"",E31)</f>
        <v>16.2</v>
      </c>
      <c r="P32" s="56" t="n">
        <f aca="false">IF(OR(D32=1,K31=""),"",K31)</f>
        <v>1013.9</v>
      </c>
      <c r="Q32" s="56" t="n">
        <f aca="false">IF(OR(F32&lt;&gt;0,AND(I32&lt;&gt;"",E32&lt;I32)),1,0)</f>
        <v>0</v>
      </c>
      <c r="R32" s="56" t="n">
        <f aca="false">IF(AND(D32&gt;1,Q32=0,ISNUMBER(O32),ISNUMBER(P32)),IF(Q31=0,1,0),0)</f>
        <v>1</v>
      </c>
      <c r="S32" s="56" t="n">
        <f aca="false">R32*(B32&gt;=Train_Start)*(B32&lt;=Train_End)</f>
        <v>1</v>
      </c>
      <c r="T32" s="84" t="n">
        <f aca="false">IF(AND(ISNUMBER(O32),ISNUMBER(P32)),Coef_A+Coef_B1*O32+Coef_B2*P32,"")</f>
        <v>17.1662065186886</v>
      </c>
      <c r="U32" s="84" t="n">
        <f aca="false">IF(AND(R32=1,ISNUMBER(T32)),E32-T32,"")</f>
        <v>1.5337934813114</v>
      </c>
      <c r="V32" s="84" t="n">
        <f aca="false">IF(ISNUMBER(T32),T32,-99)</f>
        <v>17.1662065186886</v>
      </c>
      <c r="W32" s="84" t="n">
        <f aca="false">IF(ISNUMBER(U32),ABS(U32),"")</f>
        <v>1.5337934813114</v>
      </c>
    </row>
    <row r="33" customFormat="false" ht="15" hidden="false" customHeight="false" outlineLevel="0" collapsed="false">
      <c r="A33" s="57" t="n">
        <v>29007</v>
      </c>
      <c r="B33" s="56" t="n">
        <v>1979</v>
      </c>
      <c r="C33" s="56" t="n">
        <v>6</v>
      </c>
      <c r="D33" s="56" t="n">
        <v>32</v>
      </c>
      <c r="E33" s="56" t="n">
        <v>21.2</v>
      </c>
      <c r="F33" s="56" t="n">
        <v>0</v>
      </c>
      <c r="G33" s="56" t="n">
        <v>8.4</v>
      </c>
      <c r="H33" s="56" t="n">
        <v>0</v>
      </c>
      <c r="I33" s="56" t="n">
        <v>13.6</v>
      </c>
      <c r="J33" s="56" t="n">
        <v>0</v>
      </c>
      <c r="K33" s="56" t="n">
        <v>1027.5</v>
      </c>
      <c r="L33" s="56" t="n">
        <v>0</v>
      </c>
      <c r="M33" s="56" t="n">
        <v>73</v>
      </c>
      <c r="N33" s="56" t="n">
        <v>6.8</v>
      </c>
      <c r="O33" s="56" t="n">
        <f aca="false">IF(D33=1,"",E32)</f>
        <v>18.7</v>
      </c>
      <c r="P33" s="56" t="n">
        <f aca="false">IF(OR(D33=1,K32=""),"",K32)</f>
        <v>1017</v>
      </c>
      <c r="Q33" s="56" t="n">
        <f aca="false">IF(OR(F33&lt;&gt;0,AND(I33&lt;&gt;"",E33&lt;I33)),1,0)</f>
        <v>0</v>
      </c>
      <c r="R33" s="56" t="n">
        <f aca="false">IF(AND(D33&gt;1,Q33=0,ISNUMBER(O33),ISNUMBER(P33)),IF(Q32=0,1,0),0)</f>
        <v>1</v>
      </c>
      <c r="S33" s="56" t="n">
        <f aca="false">R33*(B33&gt;=Train_Start)*(B33&lt;=Train_End)</f>
        <v>1</v>
      </c>
      <c r="T33" s="84" t="n">
        <f aca="false">IF(AND(ISNUMBER(O33),ISNUMBER(P33)),Coef_A+Coef_B1*O33+Coef_B2*P33,"")</f>
        <v>19.3118011746606</v>
      </c>
      <c r="U33" s="84" t="n">
        <f aca="false">IF(AND(R33=1,ISNUMBER(T33)),E33-T33,"")</f>
        <v>1.88819882533939</v>
      </c>
      <c r="V33" s="84" t="n">
        <f aca="false">IF(ISNUMBER(T33),T33,-99)</f>
        <v>19.3118011746606</v>
      </c>
      <c r="W33" s="84" t="n">
        <f aca="false">IF(ISNUMBER(U33),ABS(U33),"")</f>
        <v>1.88819882533939</v>
      </c>
    </row>
    <row r="34" customFormat="false" ht="15" hidden="false" customHeight="false" outlineLevel="0" collapsed="false">
      <c r="A34" s="57" t="n">
        <v>29008</v>
      </c>
      <c r="B34" s="56" t="n">
        <v>1979</v>
      </c>
      <c r="C34" s="56" t="n">
        <v>6</v>
      </c>
      <c r="D34" s="56" t="n">
        <v>33</v>
      </c>
      <c r="E34" s="56" t="n">
        <v>19.2</v>
      </c>
      <c r="F34" s="56" t="n">
        <v>0</v>
      </c>
      <c r="G34" s="56" t="n">
        <v>11.5</v>
      </c>
      <c r="H34" s="56" t="n">
        <v>0</v>
      </c>
      <c r="I34" s="56" t="n">
        <v>16.4</v>
      </c>
      <c r="J34" s="56" t="n">
        <v>0</v>
      </c>
      <c r="K34" s="56" t="n">
        <v>1027.6</v>
      </c>
      <c r="L34" s="56" t="n">
        <v>0</v>
      </c>
      <c r="M34" s="56" t="n">
        <v>77</v>
      </c>
      <c r="N34" s="56" t="n">
        <v>5.9</v>
      </c>
      <c r="O34" s="56" t="n">
        <f aca="false">IF(D34=1,"",E33)</f>
        <v>21.2</v>
      </c>
      <c r="P34" s="56" t="n">
        <f aca="false">IF(OR(D34=1,K33=""),"",K33)</f>
        <v>1027.5</v>
      </c>
      <c r="Q34" s="56" t="n">
        <f aca="false">IF(OR(F34&lt;&gt;0,AND(I34&lt;&gt;"",E34&lt;I34)),1,0)</f>
        <v>0</v>
      </c>
      <c r="R34" s="56" t="n">
        <f aca="false">IF(AND(D34&gt;1,Q34=0,ISNUMBER(O34),ISNUMBER(P34)),IF(Q33=0,1,0),0)</f>
        <v>1</v>
      </c>
      <c r="S34" s="56" t="n">
        <f aca="false">R34*(B34&gt;=Train_Start)*(B34&lt;=Train_End)</f>
        <v>1</v>
      </c>
      <c r="T34" s="84" t="n">
        <f aca="false">IF(AND(ISNUMBER(O34),ISNUMBER(P34)),Coef_A+Coef_B1*O34+Coef_B2*P34,"")</f>
        <v>21.6895330509241</v>
      </c>
      <c r="U34" s="84" t="n">
        <f aca="false">IF(AND(R34=1,ISNUMBER(T34)),E34-T34,"")</f>
        <v>-2.48953305092414</v>
      </c>
      <c r="V34" s="84" t="n">
        <f aca="false">IF(ISNUMBER(T34),T34,-99)</f>
        <v>21.6895330509241</v>
      </c>
      <c r="W34" s="84" t="n">
        <f aca="false">IF(ISNUMBER(U34),ABS(U34),"")</f>
        <v>2.48953305092414</v>
      </c>
    </row>
    <row r="35" customFormat="false" ht="15" hidden="false" customHeight="false" outlineLevel="0" collapsed="false">
      <c r="A35" s="57" t="n">
        <v>29009</v>
      </c>
      <c r="B35" s="56" t="n">
        <v>1979</v>
      </c>
      <c r="C35" s="56" t="n">
        <v>6</v>
      </c>
      <c r="D35" s="56" t="n">
        <v>34</v>
      </c>
      <c r="E35" s="56" t="n">
        <v>19.3</v>
      </c>
      <c r="F35" s="56" t="n">
        <v>0</v>
      </c>
      <c r="G35" s="56" t="n">
        <v>10.8</v>
      </c>
      <c r="H35" s="56" t="n">
        <v>0</v>
      </c>
      <c r="I35" s="56" t="n">
        <v>15</v>
      </c>
      <c r="J35" s="56" t="n">
        <v>0</v>
      </c>
      <c r="K35" s="56" t="n">
        <v>1022.9</v>
      </c>
      <c r="L35" s="56" t="n">
        <v>0</v>
      </c>
      <c r="M35" s="56" t="n">
        <v>92</v>
      </c>
      <c r="N35" s="56" t="n">
        <v>2</v>
      </c>
      <c r="O35" s="56" t="n">
        <f aca="false">IF(D35=1,"",E34)</f>
        <v>19.2</v>
      </c>
      <c r="P35" s="56" t="n">
        <f aca="false">IF(OR(D35=1,K34=""),"",K34)</f>
        <v>1027.6</v>
      </c>
      <c r="Q35" s="56" t="n">
        <f aca="false">IF(OR(F35&lt;&gt;0,AND(I35&lt;&gt;"",E35&lt;I35)),1,0)</f>
        <v>0</v>
      </c>
      <c r="R35" s="56" t="n">
        <f aca="false">IF(AND(D35&gt;1,Q35=0,ISNUMBER(O35),ISNUMBER(P35)),IF(Q34=0,1,0),0)</f>
        <v>1</v>
      </c>
      <c r="S35" s="56" t="n">
        <f aca="false">R35*(B35&gt;=Train_Start)*(B35&lt;=Train_End)</f>
        <v>1</v>
      </c>
      <c r="T35" s="84" t="n">
        <f aca="false">IF(AND(ISNUMBER(O35),ISNUMBER(P35)),Coef_A+Coef_B1*O35+Coef_B2*P35,"")</f>
        <v>20.0539916543022</v>
      </c>
      <c r="U35" s="84" t="n">
        <f aca="false">IF(AND(R35=1,ISNUMBER(T35)),E35-T35,"")</f>
        <v>-0.753991654302222</v>
      </c>
      <c r="V35" s="84" t="n">
        <f aca="false">IF(ISNUMBER(T35),T35,-99)</f>
        <v>20.0539916543022</v>
      </c>
      <c r="W35" s="84" t="n">
        <f aca="false">IF(ISNUMBER(U35),ABS(U35),"")</f>
        <v>0.753991654302222</v>
      </c>
    </row>
    <row r="36" customFormat="false" ht="15" hidden="false" customHeight="false" outlineLevel="0" collapsed="false">
      <c r="A36" s="57" t="n">
        <v>29010</v>
      </c>
      <c r="B36" s="56" t="n">
        <v>1979</v>
      </c>
      <c r="C36" s="56" t="n">
        <v>6</v>
      </c>
      <c r="D36" s="56" t="n">
        <v>35</v>
      </c>
      <c r="E36" s="56" t="n">
        <v>20.4</v>
      </c>
      <c r="F36" s="56" t="n">
        <v>0</v>
      </c>
      <c r="G36" s="56" t="n">
        <v>12.5</v>
      </c>
      <c r="H36" s="56" t="n">
        <v>0</v>
      </c>
      <c r="I36" s="56" t="n">
        <v>15.9</v>
      </c>
      <c r="J36" s="56" t="n">
        <v>0</v>
      </c>
      <c r="K36" s="56" t="n">
        <v>1017.9</v>
      </c>
      <c r="L36" s="56" t="n">
        <v>0</v>
      </c>
      <c r="M36" s="56" t="n">
        <v>90</v>
      </c>
      <c r="N36" s="56" t="n">
        <v>0</v>
      </c>
      <c r="O36" s="56" t="n">
        <f aca="false">IF(D36=1,"",E35)</f>
        <v>19.3</v>
      </c>
      <c r="P36" s="56" t="n">
        <f aca="false">IF(OR(D36=1,K35=""),"",K35)</f>
        <v>1022.9</v>
      </c>
      <c r="Q36" s="56" t="n">
        <f aca="false">IF(OR(F36&lt;&gt;0,AND(I36&lt;&gt;"",E36&lt;I36)),1,0)</f>
        <v>0</v>
      </c>
      <c r="R36" s="56" t="n">
        <f aca="false">IF(AND(D36&gt;1,Q36=0,ISNUMBER(O36),ISNUMBER(P36)),IF(Q35=0,1,0),0)</f>
        <v>1</v>
      </c>
      <c r="S36" s="56" t="n">
        <f aca="false">R36*(B36&gt;=Train_Start)*(B36&lt;=Train_End)</f>
        <v>1</v>
      </c>
      <c r="T36" s="84" t="n">
        <f aca="false">IF(AND(ISNUMBER(O36),ISNUMBER(P36)),Coef_A+Coef_B1*O36+Coef_B2*P36,"")</f>
        <v>19.9884870688267</v>
      </c>
      <c r="U36" s="84" t="n">
        <f aca="false">IF(AND(R36=1,ISNUMBER(T36)),E36-T36,"")</f>
        <v>0.411512931173263</v>
      </c>
      <c r="V36" s="84" t="n">
        <f aca="false">IF(ISNUMBER(T36),T36,-99)</f>
        <v>19.9884870688267</v>
      </c>
      <c r="W36" s="84" t="n">
        <f aca="false">IF(ISNUMBER(U36),ABS(U36),"")</f>
        <v>0.411512931173263</v>
      </c>
    </row>
    <row r="37" customFormat="false" ht="15" hidden="false" customHeight="false" outlineLevel="0" collapsed="false">
      <c r="A37" s="57" t="n">
        <v>29011</v>
      </c>
      <c r="B37" s="56" t="n">
        <v>1979</v>
      </c>
      <c r="C37" s="56" t="n">
        <v>6</v>
      </c>
      <c r="D37" s="56" t="n">
        <v>36</v>
      </c>
      <c r="E37" s="56" t="n">
        <v>16.7</v>
      </c>
      <c r="F37" s="56" t="n">
        <v>0</v>
      </c>
      <c r="G37" s="56" t="n">
        <v>12.6</v>
      </c>
      <c r="H37" s="56" t="n">
        <v>0</v>
      </c>
      <c r="I37" s="56" t="n">
        <v>16.5</v>
      </c>
      <c r="J37" s="56" t="n">
        <v>0</v>
      </c>
      <c r="K37" s="56" t="n">
        <v>1018.3</v>
      </c>
      <c r="L37" s="56" t="n">
        <v>0</v>
      </c>
      <c r="M37" s="56" t="n">
        <v>78</v>
      </c>
      <c r="N37" s="56" t="n">
        <v>6.2</v>
      </c>
      <c r="O37" s="56" t="n">
        <f aca="false">IF(D37=1,"",E36)</f>
        <v>20.4</v>
      </c>
      <c r="P37" s="56" t="n">
        <f aca="false">IF(OR(D37=1,K36=""),"",K36)</f>
        <v>1017.9</v>
      </c>
      <c r="Q37" s="56" t="n">
        <f aca="false">IF(OR(F37&lt;&gt;0,AND(I37&lt;&gt;"",E37&lt;I37)),1,0)</f>
        <v>0</v>
      </c>
      <c r="R37" s="56" t="n">
        <f aca="false">IF(AND(D37&gt;1,Q37=0,ISNUMBER(O37),ISNUMBER(P37)),IF(Q36=0,1,0),0)</f>
        <v>1</v>
      </c>
      <c r="S37" s="56" t="n">
        <f aca="false">R37*(B37&gt;=Train_Start)*(B37&lt;=Train_End)</f>
        <v>1</v>
      </c>
      <c r="T37" s="84" t="n">
        <f aca="false">IF(AND(ISNUMBER(O37),ISNUMBER(P37)),Coef_A+Coef_B1*O37+Coef_B2*P37,"")</f>
        <v>20.7329107080037</v>
      </c>
      <c r="U37" s="84" t="n">
        <f aca="false">IF(AND(R37=1,ISNUMBER(T37)),E37-T37,"")</f>
        <v>-4.03291070800372</v>
      </c>
      <c r="V37" s="84" t="n">
        <f aca="false">IF(ISNUMBER(T37),T37,-99)</f>
        <v>20.7329107080037</v>
      </c>
      <c r="W37" s="84" t="n">
        <f aca="false">IF(ISNUMBER(U37),ABS(U37),"")</f>
        <v>4.03291070800372</v>
      </c>
    </row>
    <row r="38" customFormat="false" ht="15" hidden="false" customHeight="false" outlineLevel="0" collapsed="false">
      <c r="A38" s="57" t="n">
        <v>29012</v>
      </c>
      <c r="B38" s="56" t="n">
        <v>1979</v>
      </c>
      <c r="C38" s="56" t="n">
        <v>6</v>
      </c>
      <c r="D38" s="56" t="n">
        <v>37</v>
      </c>
      <c r="E38" s="56" t="n">
        <v>14.4</v>
      </c>
      <c r="F38" s="56" t="n">
        <v>0</v>
      </c>
      <c r="G38" s="56" t="n">
        <v>8.3</v>
      </c>
      <c r="H38" s="56" t="n">
        <v>0</v>
      </c>
      <c r="I38" s="56" t="n">
        <v>12.5</v>
      </c>
      <c r="J38" s="56" t="n">
        <v>0</v>
      </c>
      <c r="K38" s="56" t="n">
        <v>1018.7</v>
      </c>
      <c r="L38" s="56" t="n">
        <v>0</v>
      </c>
      <c r="M38" s="56" t="n">
        <v>78</v>
      </c>
      <c r="N38" s="56" t="n">
        <v>7.3</v>
      </c>
      <c r="O38" s="56" t="n">
        <f aca="false">IF(D38=1,"",E37)</f>
        <v>16.7</v>
      </c>
      <c r="P38" s="56" t="n">
        <f aca="false">IF(OR(D38=1,K37=""),"",K37)</f>
        <v>1018.3</v>
      </c>
      <c r="Q38" s="56" t="n">
        <f aca="false">IF(OR(F38&lt;&gt;0,AND(I38&lt;&gt;"",E38&lt;I38)),1,0)</f>
        <v>0</v>
      </c>
      <c r="R38" s="56" t="n">
        <f aca="false">IF(AND(D38&gt;1,Q38=0,ISNUMBER(O38),ISNUMBER(P38)),IF(Q37=0,1,0),0)</f>
        <v>1</v>
      </c>
      <c r="S38" s="56" t="n">
        <f aca="false">R38*(B38&gt;=Train_Start)*(B38&lt;=Train_End)</f>
        <v>1</v>
      </c>
      <c r="T38" s="84" t="n">
        <f aca="false">IF(AND(ISNUMBER(O38),ISNUMBER(P38)),Coef_A+Coef_B1*O38+Coef_B2*P38,"")</f>
        <v>17.7139036515995</v>
      </c>
      <c r="U38" s="84" t="n">
        <f aca="false">IF(AND(R38=1,ISNUMBER(T38)),E38-T38,"")</f>
        <v>-3.31390365159948</v>
      </c>
      <c r="V38" s="84" t="n">
        <f aca="false">IF(ISNUMBER(T38),T38,-99)</f>
        <v>17.7139036515995</v>
      </c>
      <c r="W38" s="84" t="n">
        <f aca="false">IF(ISNUMBER(U38),ABS(U38),"")</f>
        <v>3.31390365159948</v>
      </c>
    </row>
    <row r="39" customFormat="false" ht="15" hidden="false" customHeight="false" outlineLevel="0" collapsed="false">
      <c r="A39" s="57" t="n">
        <v>29013</v>
      </c>
      <c r="B39" s="56" t="n">
        <v>1979</v>
      </c>
      <c r="C39" s="56" t="n">
        <v>6</v>
      </c>
      <c r="D39" s="56" t="n">
        <v>38</v>
      </c>
      <c r="E39" s="56" t="n">
        <v>17.2</v>
      </c>
      <c r="F39" s="56" t="n">
        <v>0</v>
      </c>
      <c r="G39" s="56" t="n">
        <v>9.5</v>
      </c>
      <c r="H39" s="56" t="n">
        <v>0</v>
      </c>
      <c r="I39" s="56" t="n">
        <v>12</v>
      </c>
      <c r="J39" s="56" t="n">
        <v>0</v>
      </c>
      <c r="K39" s="56" t="n">
        <v>1017.9</v>
      </c>
      <c r="L39" s="56" t="n">
        <v>0</v>
      </c>
      <c r="M39" s="56" t="n">
        <v>87</v>
      </c>
      <c r="N39" s="56" t="n">
        <v>2.5</v>
      </c>
      <c r="O39" s="56" t="n">
        <f aca="false">IF(D39=1,"",E38)</f>
        <v>14.4</v>
      </c>
      <c r="P39" s="56" t="n">
        <f aca="false">IF(OR(D39=1,K38=""),"",K38)</f>
        <v>1018.7</v>
      </c>
      <c r="Q39" s="56" t="n">
        <f aca="false">IF(OR(F39&lt;&gt;0,AND(I39&lt;&gt;"",E39&lt;I39)),1,0)</f>
        <v>0</v>
      </c>
      <c r="R39" s="56" t="n">
        <f aca="false">IF(AND(D39&gt;1,Q39=0,ISNUMBER(O39),ISNUMBER(P39)),IF(Q38=0,1,0),0)</f>
        <v>1</v>
      </c>
      <c r="S39" s="56" t="n">
        <f aca="false">R39*(B39&gt;=Train_Start)*(B39&lt;=Train_End)</f>
        <v>1</v>
      </c>
      <c r="T39" s="84" t="n">
        <f aca="false">IF(AND(ISNUMBER(O39),ISNUMBER(P39)),Coef_A+Coef_B1*O39+Coef_B2*P39,"")</f>
        <v>15.841971465455</v>
      </c>
      <c r="U39" s="84" t="n">
        <f aca="false">IF(AND(R39=1,ISNUMBER(T39)),E39-T39,"")</f>
        <v>1.35802853454504</v>
      </c>
      <c r="V39" s="84" t="n">
        <f aca="false">IF(ISNUMBER(T39),T39,-99)</f>
        <v>15.841971465455</v>
      </c>
      <c r="W39" s="84" t="n">
        <f aca="false">IF(ISNUMBER(U39),ABS(U39),"")</f>
        <v>1.35802853454504</v>
      </c>
    </row>
    <row r="40" customFormat="false" ht="15" hidden="false" customHeight="false" outlineLevel="0" collapsed="false">
      <c r="A40" s="57" t="n">
        <v>29014</v>
      </c>
      <c r="B40" s="56" t="n">
        <v>1979</v>
      </c>
      <c r="C40" s="56" t="n">
        <v>6</v>
      </c>
      <c r="D40" s="56" t="n">
        <v>39</v>
      </c>
      <c r="E40" s="56" t="n">
        <v>18.7</v>
      </c>
      <c r="F40" s="56" t="n">
        <v>0</v>
      </c>
      <c r="G40" s="56" t="n">
        <v>7.3</v>
      </c>
      <c r="H40" s="56" t="n">
        <v>0</v>
      </c>
      <c r="I40" s="56" t="n">
        <v>12.2</v>
      </c>
      <c r="J40" s="56" t="n">
        <v>0</v>
      </c>
      <c r="K40" s="56" t="n">
        <v>1017.4</v>
      </c>
      <c r="L40" s="56" t="n">
        <v>0</v>
      </c>
      <c r="M40" s="56" t="n">
        <v>82</v>
      </c>
      <c r="N40" s="56" t="n">
        <v>3.8</v>
      </c>
      <c r="O40" s="56" t="n">
        <f aca="false">IF(D40=1,"",E39)</f>
        <v>17.2</v>
      </c>
      <c r="P40" s="56" t="n">
        <f aca="false">IF(OR(D40=1,K39=""),"",K39)</f>
        <v>1017.9</v>
      </c>
      <c r="Q40" s="56" t="n">
        <f aca="false">IF(OR(F40&lt;&gt;0,AND(I40&lt;&gt;"",E40&lt;I40)),1,0)</f>
        <v>0</v>
      </c>
      <c r="R40" s="56" t="n">
        <f aca="false">IF(AND(D40&gt;1,Q40=0,ISNUMBER(O40),ISNUMBER(P40)),IF(Q39=0,1,0),0)</f>
        <v>1</v>
      </c>
      <c r="S40" s="56" t="n">
        <f aca="false">R40*(B40&gt;=Train_Start)*(B40&lt;=Train_End)</f>
        <v>1</v>
      </c>
      <c r="T40" s="84" t="n">
        <f aca="false">IF(AND(ISNUMBER(O40),ISNUMBER(P40)),Coef_A+Coef_B1*O40+Coef_B2*P40,"")</f>
        <v>18.1110252902672</v>
      </c>
      <c r="U40" s="84" t="n">
        <f aca="false">IF(AND(R40=1,ISNUMBER(T40)),E40-T40,"")</f>
        <v>0.588974709732788</v>
      </c>
      <c r="V40" s="84" t="n">
        <f aca="false">IF(ISNUMBER(T40),T40,-99)</f>
        <v>18.1110252902672</v>
      </c>
      <c r="W40" s="84" t="n">
        <f aca="false">IF(ISNUMBER(U40),ABS(U40),"")</f>
        <v>0.588974709732788</v>
      </c>
    </row>
    <row r="41" customFormat="false" ht="15" hidden="false" customHeight="false" outlineLevel="0" collapsed="false">
      <c r="A41" s="57" t="n">
        <v>29015</v>
      </c>
      <c r="B41" s="56" t="n">
        <v>1979</v>
      </c>
      <c r="C41" s="56" t="n">
        <v>6</v>
      </c>
      <c r="D41" s="56" t="n">
        <v>40</v>
      </c>
      <c r="E41" s="56" t="n">
        <v>17.9</v>
      </c>
      <c r="F41" s="56" t="n">
        <v>0</v>
      </c>
      <c r="G41" s="56" t="n">
        <v>12.2</v>
      </c>
      <c r="H41" s="56" t="n">
        <v>0</v>
      </c>
      <c r="I41" s="56" t="n">
        <v>15.4</v>
      </c>
      <c r="J41" s="56" t="n">
        <v>0</v>
      </c>
      <c r="K41" s="56" t="n">
        <v>1017.2</v>
      </c>
      <c r="L41" s="56" t="n">
        <v>0</v>
      </c>
      <c r="M41" s="56" t="n">
        <v>84</v>
      </c>
      <c r="N41" s="56" t="n">
        <v>0.3</v>
      </c>
      <c r="O41" s="56" t="n">
        <f aca="false">IF(D41=1,"",E40)</f>
        <v>18.7</v>
      </c>
      <c r="P41" s="56" t="n">
        <f aca="false">IF(OR(D41=1,K40=""),"",K40)</f>
        <v>1017.4</v>
      </c>
      <c r="Q41" s="56" t="n">
        <f aca="false">IF(OR(F41&lt;&gt;0,AND(I41&lt;&gt;"",E41&lt;I41)),1,0)</f>
        <v>0</v>
      </c>
      <c r="R41" s="56" t="n">
        <f aca="false">IF(AND(D41&gt;1,Q41=0,ISNUMBER(O41),ISNUMBER(P41)),IF(Q40=0,1,0),0)</f>
        <v>1</v>
      </c>
      <c r="S41" s="56" t="n">
        <f aca="false">R41*(B41&gt;=Train_Start)*(B41&lt;=Train_End)</f>
        <v>1</v>
      </c>
      <c r="T41" s="84" t="n">
        <f aca="false">IF(AND(ISNUMBER(O41),ISNUMBER(P41)),Coef_A+Coef_B1*O41+Coef_B2*P41,"")</f>
        <v>19.3243491325142</v>
      </c>
      <c r="U41" s="84" t="n">
        <f aca="false">IF(AND(R41=1,ISNUMBER(T41)),E41-T41,"")</f>
        <v>-1.4243491325142</v>
      </c>
      <c r="V41" s="84" t="n">
        <f aca="false">IF(ISNUMBER(T41),T41,-99)</f>
        <v>19.3243491325142</v>
      </c>
      <c r="W41" s="84" t="n">
        <f aca="false">IF(ISNUMBER(U41),ABS(U41),"")</f>
        <v>1.4243491325142</v>
      </c>
    </row>
    <row r="42" customFormat="false" ht="15" hidden="false" customHeight="false" outlineLevel="0" collapsed="false">
      <c r="A42" s="57" t="n">
        <v>29016</v>
      </c>
      <c r="B42" s="56" t="n">
        <v>1979</v>
      </c>
      <c r="C42" s="56" t="n">
        <v>6</v>
      </c>
      <c r="D42" s="56" t="n">
        <v>41</v>
      </c>
      <c r="E42" s="56" t="n">
        <v>16.2</v>
      </c>
      <c r="F42" s="56" t="n">
        <v>0</v>
      </c>
      <c r="G42" s="56" t="n">
        <v>12.1</v>
      </c>
      <c r="H42" s="56" t="n">
        <v>0</v>
      </c>
      <c r="I42" s="56" t="n">
        <v>15</v>
      </c>
      <c r="J42" s="56" t="n">
        <v>0</v>
      </c>
      <c r="K42" s="56" t="n">
        <v>1019.3</v>
      </c>
      <c r="L42" s="56" t="n">
        <v>0</v>
      </c>
      <c r="M42" s="56" t="n">
        <v>75</v>
      </c>
      <c r="N42" s="56" t="n">
        <v>2.5</v>
      </c>
      <c r="O42" s="56" t="n">
        <f aca="false">IF(D42=1,"",E41)</f>
        <v>17.9</v>
      </c>
      <c r="P42" s="56" t="n">
        <f aca="false">IF(OR(D42=1,K41=""),"",K41)</f>
        <v>1017.2</v>
      </c>
      <c r="Q42" s="56" t="n">
        <f aca="false">IF(OR(F42&lt;&gt;0,AND(I42&lt;&gt;"",E42&lt;I42)),1,0)</f>
        <v>0</v>
      </c>
      <c r="R42" s="56" t="n">
        <f aca="false">IF(AND(D42&gt;1,Q42=0,ISNUMBER(O42),ISNUMBER(P42)),IF(Q41=0,1,0),0)</f>
        <v>1</v>
      </c>
      <c r="S42" s="56" t="n">
        <f aca="false">R42*(B42&gt;=Train_Start)*(B42&lt;=Train_End)</f>
        <v>1</v>
      </c>
      <c r="T42" s="84" t="n">
        <f aca="false">IF(AND(ISNUMBER(O42),ISNUMBER(P42)),Coef_A+Coef_B1*O42+Coef_B2*P42,"")</f>
        <v>18.6626037991533</v>
      </c>
      <c r="U42" s="84" t="n">
        <f aca="false">IF(AND(R42=1,ISNUMBER(T42)),E42-T42,"")</f>
        <v>-2.46260379915328</v>
      </c>
      <c r="V42" s="84" t="n">
        <f aca="false">IF(ISNUMBER(T42),T42,-99)</f>
        <v>18.6626037991533</v>
      </c>
      <c r="W42" s="84" t="n">
        <f aca="false">IF(ISNUMBER(U42),ABS(U42),"")</f>
        <v>2.46260379915328</v>
      </c>
    </row>
    <row r="43" customFormat="false" ht="15" hidden="false" customHeight="false" outlineLevel="0" collapsed="false">
      <c r="A43" s="57" t="n">
        <v>29017</v>
      </c>
      <c r="B43" s="56" t="n">
        <v>1979</v>
      </c>
      <c r="C43" s="56" t="n">
        <v>6</v>
      </c>
      <c r="D43" s="56" t="n">
        <v>42</v>
      </c>
      <c r="E43" s="56" t="n">
        <v>15.4</v>
      </c>
      <c r="F43" s="56" t="n">
        <v>0</v>
      </c>
      <c r="G43" s="56" t="n">
        <v>9.7</v>
      </c>
      <c r="H43" s="56" t="n">
        <v>0</v>
      </c>
      <c r="I43" s="56" t="n">
        <v>13</v>
      </c>
      <c r="J43" s="56" t="n">
        <v>0</v>
      </c>
      <c r="K43" s="56" t="n">
        <v>1020.2</v>
      </c>
      <c r="L43" s="56" t="n">
        <v>0</v>
      </c>
      <c r="M43" s="56" t="n">
        <v>84</v>
      </c>
      <c r="N43" s="56" t="n">
        <v>0.2</v>
      </c>
      <c r="O43" s="56" t="n">
        <f aca="false">IF(D43=1,"",E42)</f>
        <v>16.2</v>
      </c>
      <c r="P43" s="56" t="n">
        <f aca="false">IF(OR(D43=1,K42=""),"",K42)</f>
        <v>1019.3</v>
      </c>
      <c r="Q43" s="56" t="n">
        <f aca="false">IF(OR(F43&lt;&gt;0,AND(I43&lt;&gt;"",E43&lt;I43)),1,0)</f>
        <v>0</v>
      </c>
      <c r="R43" s="56" t="n">
        <f aca="false">IF(AND(D43&gt;1,Q43=0,ISNUMBER(O43),ISNUMBER(P43)),IF(Q42=0,1,0),0)</f>
        <v>1</v>
      </c>
      <c r="S43" s="56" t="n">
        <f aca="false">R43*(B43&gt;=Train_Start)*(B43&lt;=Train_End)</f>
        <v>1</v>
      </c>
      <c r="T43" s="84" t="n">
        <f aca="false">IF(AND(ISNUMBER(O43),ISNUMBER(P43)),Coef_A+Coef_B1*O43+Coef_B2*P43,"")</f>
        <v>17.3356039497121</v>
      </c>
      <c r="U43" s="84" t="n">
        <f aca="false">IF(AND(R43=1,ISNUMBER(T43)),E43-T43,"")</f>
        <v>-1.93560394971214</v>
      </c>
      <c r="V43" s="84" t="n">
        <f aca="false">IF(ISNUMBER(T43),T43,-99)</f>
        <v>17.3356039497121</v>
      </c>
      <c r="W43" s="84" t="n">
        <f aca="false">IF(ISNUMBER(U43),ABS(U43),"")</f>
        <v>1.93560394971214</v>
      </c>
    </row>
    <row r="44" customFormat="false" ht="15" hidden="false" customHeight="false" outlineLevel="0" collapsed="false">
      <c r="A44" s="57" t="n">
        <v>29018</v>
      </c>
      <c r="B44" s="56" t="n">
        <v>1979</v>
      </c>
      <c r="C44" s="56" t="n">
        <v>6</v>
      </c>
      <c r="D44" s="56" t="n">
        <v>43</v>
      </c>
      <c r="E44" s="56" t="n">
        <v>18.1</v>
      </c>
      <c r="F44" s="56" t="n">
        <v>0</v>
      </c>
      <c r="G44" s="56" t="n">
        <v>9.4</v>
      </c>
      <c r="H44" s="56" t="n">
        <v>0</v>
      </c>
      <c r="I44" s="56" t="n">
        <v>12.4</v>
      </c>
      <c r="J44" s="56" t="n">
        <v>0</v>
      </c>
      <c r="K44" s="56" t="n">
        <v>1019.4</v>
      </c>
      <c r="L44" s="56" t="n">
        <v>0</v>
      </c>
      <c r="M44" s="56" t="n">
        <v>89</v>
      </c>
      <c r="N44" s="56" t="n">
        <v>0</v>
      </c>
      <c r="O44" s="56" t="n">
        <f aca="false">IF(D44=1,"",E43)</f>
        <v>15.4</v>
      </c>
      <c r="P44" s="56" t="n">
        <f aca="false">IF(OR(D44=1,K43=""),"",K43)</f>
        <v>1020.2</v>
      </c>
      <c r="Q44" s="56" t="n">
        <f aca="false">IF(OR(F44&lt;&gt;0,AND(I44&lt;&gt;"",E44&lt;I44)),1,0)</f>
        <v>0</v>
      </c>
      <c r="R44" s="56" t="n">
        <f aca="false">IF(AND(D44&gt;1,Q44=0,ISNUMBER(O44),ISNUMBER(P44)),IF(Q43=0,1,0),0)</f>
        <v>1</v>
      </c>
      <c r="S44" s="56" t="n">
        <f aca="false">R44*(B44&gt;=Train_Start)*(B44&lt;=Train_End)</f>
        <v>1</v>
      </c>
      <c r="T44" s="84" t="n">
        <f aca="false">IF(AND(ISNUMBER(O44),ISNUMBER(P44)),Coef_A+Coef_B1*O44+Coef_B2*P44,"")</f>
        <v>16.7083655004486</v>
      </c>
      <c r="U44" s="84" t="n">
        <f aca="false">IF(AND(R44=1,ISNUMBER(T44)),E44-T44,"")</f>
        <v>1.3916344995514</v>
      </c>
      <c r="V44" s="84" t="n">
        <f aca="false">IF(ISNUMBER(T44),T44,-99)</f>
        <v>16.7083655004486</v>
      </c>
      <c r="W44" s="84" t="n">
        <f aca="false">IF(ISNUMBER(U44),ABS(U44),"")</f>
        <v>1.3916344995514</v>
      </c>
    </row>
    <row r="45" customFormat="false" ht="15" hidden="false" customHeight="false" outlineLevel="0" collapsed="false">
      <c r="A45" s="57" t="n">
        <v>29019</v>
      </c>
      <c r="B45" s="56" t="n">
        <v>1979</v>
      </c>
      <c r="C45" s="56" t="n">
        <v>6</v>
      </c>
      <c r="D45" s="56" t="n">
        <v>44</v>
      </c>
      <c r="E45" s="56" t="n">
        <v>16.4</v>
      </c>
      <c r="F45" s="56" t="n">
        <v>0</v>
      </c>
      <c r="G45" s="56" t="n">
        <v>12.5</v>
      </c>
      <c r="H45" s="56" t="n">
        <v>0</v>
      </c>
      <c r="I45" s="56" t="n">
        <v>15.3</v>
      </c>
      <c r="J45" s="56" t="n">
        <v>0</v>
      </c>
      <c r="K45" s="56" t="n">
        <v>1011.5</v>
      </c>
      <c r="L45" s="56" t="n">
        <v>0</v>
      </c>
      <c r="M45" s="56" t="n">
        <v>89</v>
      </c>
      <c r="N45" s="56" t="n">
        <v>0.6</v>
      </c>
      <c r="O45" s="56" t="n">
        <f aca="false">IF(D45=1,"",E44)</f>
        <v>18.1</v>
      </c>
      <c r="P45" s="56" t="n">
        <f aca="false">IF(OR(D45=1,K44=""),"",K44)</f>
        <v>1019.4</v>
      </c>
      <c r="Q45" s="56" t="n">
        <f aca="false">IF(OR(F45&lt;&gt;0,AND(I45&lt;&gt;"",E45&lt;I45)),1,0)</f>
        <v>0</v>
      </c>
      <c r="R45" s="56" t="n">
        <f aca="false">IF(AND(D45&gt;1,Q45=0,ISNUMBER(O45),ISNUMBER(P45)),IF(Q44=0,1,0),0)</f>
        <v>1</v>
      </c>
      <c r="S45" s="56" t="n">
        <f aca="false">R45*(B45&gt;=Train_Start)*(B45&lt;=Train_End)</f>
        <v>1</v>
      </c>
      <c r="T45" s="84" t="n">
        <f aca="false">IF(AND(ISNUMBER(O45),ISNUMBER(P45)),Coef_A+Coef_B1*O45+Coef_B2*P45,"")</f>
        <v>18.8954854059566</v>
      </c>
      <c r="U45" s="84" t="n">
        <f aca="false">IF(AND(R45=1,ISNUMBER(T45)),E45-T45,"")</f>
        <v>-2.49548540595659</v>
      </c>
      <c r="V45" s="84" t="n">
        <f aca="false">IF(ISNUMBER(T45),T45,-99)</f>
        <v>18.8954854059566</v>
      </c>
      <c r="W45" s="84" t="n">
        <f aca="false">IF(ISNUMBER(U45),ABS(U45),"")</f>
        <v>2.49548540595659</v>
      </c>
    </row>
    <row r="46" customFormat="false" ht="15" hidden="false" customHeight="false" outlineLevel="0" collapsed="false">
      <c r="A46" s="57" t="n">
        <v>29020</v>
      </c>
      <c r="B46" s="56" t="n">
        <v>1979</v>
      </c>
      <c r="C46" s="56" t="n">
        <v>6</v>
      </c>
      <c r="D46" s="56" t="n">
        <v>45</v>
      </c>
      <c r="E46" s="56" t="n">
        <v>16.1</v>
      </c>
      <c r="F46" s="56" t="n">
        <v>0</v>
      </c>
      <c r="G46" s="56" t="n">
        <v>12.5</v>
      </c>
      <c r="H46" s="56" t="n">
        <v>0</v>
      </c>
      <c r="I46" s="56" t="n">
        <v>14.4</v>
      </c>
      <c r="J46" s="56" t="n">
        <v>0</v>
      </c>
      <c r="K46" s="56" t="n">
        <v>1006.3</v>
      </c>
      <c r="L46" s="56" t="n">
        <v>0</v>
      </c>
      <c r="M46" s="56" t="n">
        <v>81</v>
      </c>
      <c r="N46" s="56" t="n">
        <v>1.2</v>
      </c>
      <c r="O46" s="56" t="n">
        <f aca="false">IF(D46=1,"",E45)</f>
        <v>16.4</v>
      </c>
      <c r="P46" s="56" t="n">
        <f aca="false">IF(OR(D46=1,K45=""),"",K45)</f>
        <v>1011.5</v>
      </c>
      <c r="Q46" s="56" t="n">
        <f aca="false">IF(OR(F46&lt;&gt;0,AND(I46&lt;&gt;"",E46&lt;I46)),1,0)</f>
        <v>0</v>
      </c>
      <c r="R46" s="56" t="n">
        <f aca="false">IF(AND(D46&gt;1,Q46=0,ISNUMBER(O46),ISNUMBER(P46)),IF(Q45=0,1,0),0)</f>
        <v>1</v>
      </c>
      <c r="S46" s="56" t="n">
        <f aca="false">R46*(B46&gt;=Train_Start)*(B46&lt;=Train_End)</f>
        <v>1</v>
      </c>
      <c r="T46" s="84" t="n">
        <f aca="false">IF(AND(ISNUMBER(O46),ISNUMBER(P46)),Coef_A+Coef_B1*O46+Coef_B2*P46,"")</f>
        <v>17.2547866101756</v>
      </c>
      <c r="U46" s="84" t="n">
        <f aca="false">IF(AND(R46=1,ISNUMBER(T46)),E46-T46,"")</f>
        <v>-1.15478661017555</v>
      </c>
      <c r="V46" s="84" t="n">
        <f aca="false">IF(ISNUMBER(T46),T46,-99)</f>
        <v>17.2547866101756</v>
      </c>
      <c r="W46" s="84" t="n">
        <f aca="false">IF(ISNUMBER(U46),ABS(U46),"")</f>
        <v>1.15478661017555</v>
      </c>
    </row>
    <row r="47" customFormat="false" ht="15" hidden="false" customHeight="false" outlineLevel="0" collapsed="false">
      <c r="A47" s="57" t="n">
        <v>29021</v>
      </c>
      <c r="B47" s="56" t="n">
        <v>1979</v>
      </c>
      <c r="C47" s="56" t="n">
        <v>6</v>
      </c>
      <c r="D47" s="56" t="n">
        <v>46</v>
      </c>
      <c r="E47" s="56" t="n">
        <v>19.2</v>
      </c>
      <c r="F47" s="56" t="n">
        <v>0</v>
      </c>
      <c r="G47" s="56" t="n">
        <v>7.4</v>
      </c>
      <c r="H47" s="56" t="n">
        <v>0</v>
      </c>
      <c r="I47" s="56" t="n">
        <v>11.8</v>
      </c>
      <c r="J47" s="56" t="n">
        <v>0</v>
      </c>
      <c r="K47" s="56" t="n">
        <v>1006.5</v>
      </c>
      <c r="L47" s="56" t="n">
        <v>0</v>
      </c>
      <c r="M47" s="56" t="n">
        <v>82</v>
      </c>
      <c r="N47" s="56" t="n">
        <v>3.2</v>
      </c>
      <c r="O47" s="56" t="n">
        <f aca="false">IF(D47=1,"",E46)</f>
        <v>16.1</v>
      </c>
      <c r="P47" s="56" t="n">
        <f aca="false">IF(OR(D47=1,K46=""),"",K46)</f>
        <v>1006.3</v>
      </c>
      <c r="Q47" s="56" t="n">
        <f aca="false">IF(OR(F47&lt;&gt;0,AND(I47&lt;&gt;"",E47&lt;I47)),1,0)</f>
        <v>0</v>
      </c>
      <c r="R47" s="56" t="n">
        <f aca="false">IF(AND(D47&gt;1,Q47=0,ISNUMBER(O47),ISNUMBER(P47)),IF(Q46=0,1,0),0)</f>
        <v>1</v>
      </c>
      <c r="S47" s="56" t="n">
        <f aca="false">R47*(B47&gt;=Train_Start)*(B47&lt;=Train_End)</f>
        <v>1</v>
      </c>
      <c r="T47" s="84" t="n">
        <f aca="false">IF(AND(ISNUMBER(O47),ISNUMBER(P47)),Coef_A+Coef_B1*O47+Coef_B2*P47,"")</f>
        <v>16.845861400166</v>
      </c>
      <c r="U47" s="84" t="n">
        <f aca="false">IF(AND(R47=1,ISNUMBER(T47)),E47-T47,"")</f>
        <v>2.35413859983399</v>
      </c>
      <c r="V47" s="84" t="n">
        <f aca="false">IF(ISNUMBER(T47),T47,-99)</f>
        <v>16.845861400166</v>
      </c>
      <c r="W47" s="84" t="n">
        <f aca="false">IF(ISNUMBER(U47),ABS(U47),"")</f>
        <v>2.35413859983399</v>
      </c>
    </row>
    <row r="48" customFormat="false" ht="15" hidden="false" customHeight="false" outlineLevel="0" collapsed="false">
      <c r="A48" s="57" t="n">
        <v>29022</v>
      </c>
      <c r="B48" s="56" t="n">
        <v>1979</v>
      </c>
      <c r="C48" s="56" t="n">
        <v>6</v>
      </c>
      <c r="D48" s="56" t="n">
        <v>47</v>
      </c>
      <c r="E48" s="56" t="n">
        <v>20.7</v>
      </c>
      <c r="F48" s="56" t="n">
        <v>0</v>
      </c>
      <c r="G48" s="56" t="n">
        <v>9.9</v>
      </c>
      <c r="H48" s="56" t="n">
        <v>0</v>
      </c>
      <c r="I48" s="56" t="n">
        <v>14.6</v>
      </c>
      <c r="J48" s="56" t="n">
        <v>0</v>
      </c>
      <c r="K48" s="56" t="n">
        <v>1021.5</v>
      </c>
      <c r="L48" s="56" t="n">
        <v>0</v>
      </c>
      <c r="M48" s="56" t="n">
        <v>72</v>
      </c>
      <c r="N48" s="56" t="n">
        <v>5.8</v>
      </c>
      <c r="O48" s="56" t="n">
        <f aca="false">IF(D48=1,"",E47)</f>
        <v>19.2</v>
      </c>
      <c r="P48" s="56" t="n">
        <f aca="false">IF(OR(D48=1,K47=""),"",K47)</f>
        <v>1006.5</v>
      </c>
      <c r="Q48" s="56" t="n">
        <f aca="false">IF(OR(F48&lt;&gt;0,AND(I48&lt;&gt;"",E48&lt;I48)),1,0)</f>
        <v>0</v>
      </c>
      <c r="R48" s="56" t="n">
        <f aca="false">IF(AND(D48&gt;1,Q48=0,ISNUMBER(O48),ISNUMBER(P48)),IF(Q47=0,1,0),0)</f>
        <v>1</v>
      </c>
      <c r="S48" s="56" t="n">
        <f aca="false">R48*(B48&gt;=Train_Start)*(B48&lt;=Train_End)</f>
        <v>1</v>
      </c>
      <c r="T48" s="84" t="n">
        <f aca="false">IF(AND(ISNUMBER(O48),ISNUMBER(P48)),Coef_A+Coef_B1*O48+Coef_B2*P48,"")</f>
        <v>19.392086877525</v>
      </c>
      <c r="U48" s="84" t="n">
        <f aca="false">IF(AND(R48=1,ISNUMBER(T48)),E48-T48,"")</f>
        <v>1.30791312247495</v>
      </c>
      <c r="V48" s="84" t="n">
        <f aca="false">IF(ISNUMBER(T48),T48,-99)</f>
        <v>19.392086877525</v>
      </c>
      <c r="W48" s="84" t="n">
        <f aca="false">IF(ISNUMBER(U48),ABS(U48),"")</f>
        <v>1.30791312247495</v>
      </c>
    </row>
    <row r="49" customFormat="false" ht="15" hidden="false" customHeight="false" outlineLevel="0" collapsed="false">
      <c r="A49" s="57" t="n">
        <v>29023</v>
      </c>
      <c r="B49" s="56" t="n">
        <v>1979</v>
      </c>
      <c r="C49" s="56" t="n">
        <v>6</v>
      </c>
      <c r="D49" s="56" t="n">
        <v>48</v>
      </c>
      <c r="E49" s="56" t="n">
        <v>22.6</v>
      </c>
      <c r="F49" s="56" t="n">
        <v>0</v>
      </c>
      <c r="G49" s="56" t="n">
        <v>13.3</v>
      </c>
      <c r="H49" s="56" t="n">
        <v>0</v>
      </c>
      <c r="I49" s="56" t="n">
        <v>17</v>
      </c>
      <c r="J49" s="56" t="n">
        <v>0</v>
      </c>
      <c r="K49" s="56" t="n">
        <v>1029.2</v>
      </c>
      <c r="L49" s="56" t="n">
        <v>0</v>
      </c>
      <c r="M49" s="56" t="n">
        <v>73</v>
      </c>
      <c r="N49" s="56" t="n">
        <v>0.6</v>
      </c>
      <c r="O49" s="56" t="n">
        <f aca="false">IF(D49=1,"",E48)</f>
        <v>20.7</v>
      </c>
      <c r="P49" s="56" t="n">
        <f aca="false">IF(OR(D49=1,K48=""),"",K48)</f>
        <v>1021.5</v>
      </c>
      <c r="Q49" s="56" t="n">
        <f aca="false">IF(OR(F49&lt;&gt;0,AND(I49&lt;&gt;"",E49&lt;I49)),1,0)</f>
        <v>0</v>
      </c>
      <c r="R49" s="56" t="n">
        <f aca="false">IF(AND(D49&gt;1,Q49=0,ISNUMBER(O49),ISNUMBER(P49)),IF(Q48=0,1,0),0)</f>
        <v>1</v>
      </c>
      <c r="S49" s="56" t="n">
        <f aca="false">R49*(B49&gt;=Train_Start)*(B49&lt;=Train_End)</f>
        <v>1</v>
      </c>
      <c r="T49" s="84" t="n">
        <f aca="false">IF(AND(ISNUMBER(O49),ISNUMBER(P49)),Coef_A+Coef_B1*O49+Coef_B2*P49,"")</f>
        <v>21.0916440865989</v>
      </c>
      <c r="U49" s="84" t="n">
        <f aca="false">IF(AND(R49=1,ISNUMBER(T49)),E49-T49,"")</f>
        <v>1.50835591340113</v>
      </c>
      <c r="V49" s="84" t="n">
        <f aca="false">IF(ISNUMBER(T49),T49,-99)</f>
        <v>21.0916440865989</v>
      </c>
      <c r="W49" s="84" t="n">
        <f aca="false">IF(ISNUMBER(U49),ABS(U49),"")</f>
        <v>1.50835591340113</v>
      </c>
    </row>
    <row r="50" customFormat="false" ht="15" hidden="false" customHeight="false" outlineLevel="0" collapsed="false">
      <c r="A50" s="57" t="n">
        <v>29024</v>
      </c>
      <c r="B50" s="56" t="n">
        <v>1979</v>
      </c>
      <c r="C50" s="56" t="n">
        <v>6</v>
      </c>
      <c r="D50" s="56" t="n">
        <v>49</v>
      </c>
      <c r="E50" s="56" t="n">
        <v>25.5</v>
      </c>
      <c r="F50" s="56" t="n">
        <v>0</v>
      </c>
      <c r="G50" s="56" t="n">
        <v>14.8</v>
      </c>
      <c r="H50" s="56" t="n">
        <v>0</v>
      </c>
      <c r="I50" s="56" t="n">
        <v>18.7</v>
      </c>
      <c r="J50" s="56" t="n">
        <v>0</v>
      </c>
      <c r="K50" s="56" t="n">
        <v>1029.6</v>
      </c>
      <c r="L50" s="56" t="n">
        <v>0</v>
      </c>
      <c r="M50" s="56" t="n">
        <v>70</v>
      </c>
      <c r="N50" s="56" t="n">
        <v>6.2</v>
      </c>
      <c r="O50" s="56" t="n">
        <f aca="false">IF(D50=1,"",E49)</f>
        <v>22.6</v>
      </c>
      <c r="P50" s="56" t="n">
        <f aca="false">IF(OR(D50=1,K49=""),"",K49)</f>
        <v>1029.2</v>
      </c>
      <c r="Q50" s="56" t="n">
        <f aca="false">IF(OR(F50&lt;&gt;0,AND(I50&lt;&gt;"",E50&lt;I50)),1,0)</f>
        <v>0</v>
      </c>
      <c r="R50" s="56" t="n">
        <f aca="false">IF(AND(D50&gt;1,Q50=0,ISNUMBER(O50),ISNUMBER(P50)),IF(Q49=0,1,0),0)</f>
        <v>1</v>
      </c>
      <c r="S50" s="56" t="n">
        <f aca="false">R50*(B50&gt;=Train_Start)*(B50&lt;=Train_End)</f>
        <v>1</v>
      </c>
      <c r="T50" s="84" t="n">
        <f aca="false">IF(AND(ISNUMBER(O50),ISNUMBER(P50)),Coef_A+Coef_B1*O50+Coef_B2*P50,"")</f>
        <v>22.8899367420616</v>
      </c>
      <c r="U50" s="84" t="n">
        <f aca="false">IF(AND(R50=1,ISNUMBER(T50)),E50-T50,"")</f>
        <v>2.61006325793835</v>
      </c>
      <c r="V50" s="84" t="n">
        <f aca="false">IF(ISNUMBER(T50),T50,-99)</f>
        <v>22.8899367420616</v>
      </c>
      <c r="W50" s="84" t="n">
        <f aca="false">IF(ISNUMBER(U50),ABS(U50),"")</f>
        <v>2.61006325793835</v>
      </c>
    </row>
    <row r="51" customFormat="false" ht="15" hidden="false" customHeight="false" outlineLevel="0" collapsed="false">
      <c r="A51" s="57" t="n">
        <v>29025</v>
      </c>
      <c r="B51" s="56" t="n">
        <v>1979</v>
      </c>
      <c r="C51" s="56" t="n">
        <v>6</v>
      </c>
      <c r="D51" s="56" t="n">
        <v>50</v>
      </c>
      <c r="E51" s="56" t="n">
        <v>25.8</v>
      </c>
      <c r="F51" s="56" t="n">
        <v>0</v>
      </c>
      <c r="G51" s="56" t="n">
        <v>12.6</v>
      </c>
      <c r="H51" s="56" t="n">
        <v>0</v>
      </c>
      <c r="I51" s="56" t="n">
        <v>19</v>
      </c>
      <c r="J51" s="56" t="n">
        <v>0</v>
      </c>
      <c r="K51" s="56" t="n">
        <v>1025.7</v>
      </c>
      <c r="L51" s="56" t="n">
        <v>0</v>
      </c>
      <c r="M51" s="56" t="n">
        <v>73</v>
      </c>
      <c r="N51" s="56" t="n">
        <v>9.8</v>
      </c>
      <c r="O51" s="56" t="n">
        <f aca="false">IF(D51=1,"",E50)</f>
        <v>25.5</v>
      </c>
      <c r="P51" s="56" t="n">
        <f aca="false">IF(OR(D51=1,K50=""),"",K50)</f>
        <v>1029.6</v>
      </c>
      <c r="Q51" s="56" t="n">
        <f aca="false">IF(OR(F51&lt;&gt;0,AND(I51&lt;&gt;"",E51&lt;I51)),1,0)</f>
        <v>0</v>
      </c>
      <c r="R51" s="56" t="n">
        <f aca="false">IF(AND(D51&gt;1,Q51=0,ISNUMBER(O51),ISNUMBER(P51)),IF(Q50=0,1,0),0)</f>
        <v>1</v>
      </c>
      <c r="S51" s="56" t="n">
        <f aca="false">R51*(B51&gt;=Train_Start)*(B51&lt;=Train_End)</f>
        <v>1</v>
      </c>
      <c r="T51" s="84" t="n">
        <f aca="false">IF(AND(ISNUMBER(O51),ISNUMBER(P51)),Coef_A+Coef_B1*O51+Coef_B2*P51,"")</f>
        <v>25.2785683597389</v>
      </c>
      <c r="U51" s="84" t="n">
        <f aca="false">IF(AND(R51=1,ISNUMBER(T51)),E51-T51,"")</f>
        <v>0.521431640261056</v>
      </c>
      <c r="V51" s="84" t="n">
        <f aca="false">IF(ISNUMBER(T51),T51,-99)</f>
        <v>25.2785683597389</v>
      </c>
      <c r="W51" s="84" t="n">
        <f aca="false">IF(ISNUMBER(U51),ABS(U51),"")</f>
        <v>0.521431640261056</v>
      </c>
    </row>
    <row r="52" customFormat="false" ht="15" hidden="false" customHeight="false" outlineLevel="0" collapsed="false">
      <c r="A52" s="57" t="n">
        <v>29026</v>
      </c>
      <c r="B52" s="56" t="n">
        <v>1979</v>
      </c>
      <c r="C52" s="56" t="n">
        <v>6</v>
      </c>
      <c r="D52" s="56" t="n">
        <v>51</v>
      </c>
      <c r="E52" s="56" t="n">
        <v>19.4</v>
      </c>
      <c r="F52" s="56" t="n">
        <v>0</v>
      </c>
      <c r="G52" s="56" t="n">
        <v>12.2</v>
      </c>
      <c r="H52" s="56" t="n">
        <v>0</v>
      </c>
      <c r="I52" s="56" t="n">
        <v>19</v>
      </c>
      <c r="J52" s="56" t="n">
        <v>0</v>
      </c>
      <c r="K52" s="56" t="n">
        <v>1020.3</v>
      </c>
      <c r="L52" s="56" t="n">
        <v>0</v>
      </c>
      <c r="M52" s="56" t="n">
        <v>75</v>
      </c>
      <c r="N52" s="56" t="n">
        <v>11.3</v>
      </c>
      <c r="O52" s="56" t="n">
        <f aca="false">IF(D52=1,"",E51)</f>
        <v>25.8</v>
      </c>
      <c r="P52" s="56" t="n">
        <f aca="false">IF(OR(D52=1,K51=""),"",K51)</f>
        <v>1025.7</v>
      </c>
      <c r="Q52" s="56" t="n">
        <f aca="false">IF(OR(F52&lt;&gt;0,AND(I52&lt;&gt;"",E52&lt;I52)),1,0)</f>
        <v>0</v>
      </c>
      <c r="R52" s="56" t="n">
        <f aca="false">IF(AND(D52&gt;1,Q52=0,ISNUMBER(O52),ISNUMBER(P52)),IF(Q51=0,1,0),0)</f>
        <v>1</v>
      </c>
      <c r="S52" s="56" t="n">
        <f aca="false">R52*(B52&gt;=Train_Start)*(B52&lt;=Train_End)</f>
        <v>1</v>
      </c>
      <c r="T52" s="84" t="n">
        <f aca="false">IF(AND(ISNUMBER(O52),ISNUMBER(P52)),Coef_A+Coef_B1*O52+Coef_B2*P52,"")</f>
        <v>25.4020275285792</v>
      </c>
      <c r="U52" s="84" t="n">
        <f aca="false">IF(AND(R52=1,ISNUMBER(T52)),E52-T52,"")</f>
        <v>-6.00202752857918</v>
      </c>
      <c r="V52" s="84" t="n">
        <f aca="false">IF(ISNUMBER(T52),T52,-99)</f>
        <v>25.4020275285792</v>
      </c>
      <c r="W52" s="84" t="n">
        <f aca="false">IF(ISNUMBER(U52),ABS(U52),"")</f>
        <v>6.00202752857918</v>
      </c>
    </row>
    <row r="53" customFormat="false" ht="15" hidden="false" customHeight="false" outlineLevel="0" collapsed="false">
      <c r="A53" s="57" t="n">
        <v>29027</v>
      </c>
      <c r="B53" s="56" t="n">
        <v>1979</v>
      </c>
      <c r="C53" s="56" t="n">
        <v>6</v>
      </c>
      <c r="D53" s="56" t="n">
        <v>52</v>
      </c>
      <c r="E53" s="56" t="n">
        <v>20.1</v>
      </c>
      <c r="F53" s="56" t="n">
        <v>0</v>
      </c>
      <c r="G53" s="56" t="n">
        <v>14.6</v>
      </c>
      <c r="H53" s="56" t="n">
        <v>0</v>
      </c>
      <c r="I53" s="56" t="n">
        <v>17</v>
      </c>
      <c r="J53" s="56" t="n">
        <v>0</v>
      </c>
      <c r="K53" s="56" t="n">
        <v>1015</v>
      </c>
      <c r="L53" s="56" t="n">
        <v>0</v>
      </c>
      <c r="M53" s="56" t="n">
        <v>87</v>
      </c>
      <c r="N53" s="56" t="n">
        <v>0.6</v>
      </c>
      <c r="O53" s="56" t="n">
        <f aca="false">IF(D53=1,"",E52)</f>
        <v>19.4</v>
      </c>
      <c r="P53" s="56" t="n">
        <f aca="false">IF(OR(D53=1,K52=""),"",K52)</f>
        <v>1020.3</v>
      </c>
      <c r="Q53" s="56" t="n">
        <f aca="false">IF(OR(F53&lt;&gt;0,AND(I53&lt;&gt;"",E53&lt;I53)),1,0)</f>
        <v>0</v>
      </c>
      <c r="R53" s="56" t="n">
        <f aca="false">IF(AND(D53&gt;1,Q53=0,ISNUMBER(O53),ISNUMBER(P53)),IF(Q52=0,1,0),0)</f>
        <v>1</v>
      </c>
      <c r="S53" s="56" t="n">
        <f aca="false">R53*(B53&gt;=Train_Start)*(B53&lt;=Train_End)</f>
        <v>1</v>
      </c>
      <c r="T53" s="84" t="n">
        <f aca="false">IF(AND(ISNUMBER(O53),ISNUMBER(P53)),Coef_A+Coef_B1*O53+Coef_B2*P53,"")</f>
        <v>19.9888592620826</v>
      </c>
      <c r="U53" s="84" t="n">
        <f aca="false">IF(AND(R53=1,ISNUMBER(T53)),E53-T53,"")</f>
        <v>0.111140737917371</v>
      </c>
      <c r="V53" s="84" t="n">
        <f aca="false">IF(ISNUMBER(T53),T53,-99)</f>
        <v>19.9888592620826</v>
      </c>
      <c r="W53" s="84" t="n">
        <f aca="false">IF(ISNUMBER(U53),ABS(U53),"")</f>
        <v>0.111140737917371</v>
      </c>
    </row>
    <row r="54" customFormat="false" ht="15" hidden="false" customHeight="false" outlineLevel="0" collapsed="false">
      <c r="A54" s="57" t="n">
        <v>29028</v>
      </c>
      <c r="B54" s="56" t="n">
        <v>1979</v>
      </c>
      <c r="C54" s="56" t="n">
        <v>6</v>
      </c>
      <c r="D54" s="56" t="n">
        <v>53</v>
      </c>
      <c r="E54" s="56" t="n">
        <v>19.5</v>
      </c>
      <c r="F54" s="56" t="n">
        <v>0</v>
      </c>
      <c r="G54" s="56" t="n">
        <v>10.3</v>
      </c>
      <c r="H54" s="56" t="n">
        <v>0</v>
      </c>
      <c r="I54" s="56" t="n">
        <v>15.2</v>
      </c>
      <c r="J54" s="56" t="n">
        <v>0</v>
      </c>
      <c r="K54" s="56" t="n">
        <v>1017.3</v>
      </c>
      <c r="L54" s="56" t="n">
        <v>0</v>
      </c>
      <c r="M54" s="56" t="n">
        <v>72</v>
      </c>
      <c r="N54" s="56" t="n">
        <v>15</v>
      </c>
      <c r="O54" s="56" t="n">
        <f aca="false">IF(D54=1,"",E53)</f>
        <v>20.1</v>
      </c>
      <c r="P54" s="56" t="n">
        <f aca="false">IF(OR(D54=1,K53=""),"",K53)</f>
        <v>1015</v>
      </c>
      <c r="Q54" s="56" t="n">
        <f aca="false">IF(OR(F54&lt;&gt;0,AND(I54&lt;&gt;"",E54&lt;I54)),1,0)</f>
        <v>0</v>
      </c>
      <c r="R54" s="56" t="n">
        <f aca="false">IF(AND(D54&gt;1,Q54=0,ISNUMBER(O54),ISNUMBER(P54)),IF(Q53=0,1,0),0)</f>
        <v>1</v>
      </c>
      <c r="S54" s="56" t="n">
        <f aca="false">R54*(B54&gt;=Train_Start)*(B54&lt;=Train_End)</f>
        <v>1</v>
      </c>
      <c r="T54" s="84" t="n">
        <f aca="false">IF(AND(ISNUMBER(O54),ISNUMBER(P54)),Coef_A+Coef_B1*O54+Coef_B2*P54,"")</f>
        <v>20.3961362556524</v>
      </c>
      <c r="U54" s="84" t="n">
        <f aca="false">IF(AND(R54=1,ISNUMBER(T54)),E54-T54,"")</f>
        <v>-0.896136255652351</v>
      </c>
      <c r="V54" s="84" t="n">
        <f aca="false">IF(ISNUMBER(T54),T54,-99)</f>
        <v>20.3961362556524</v>
      </c>
      <c r="W54" s="84" t="n">
        <f aca="false">IF(ISNUMBER(U54),ABS(U54),"")</f>
        <v>0.896136255652351</v>
      </c>
    </row>
    <row r="55" customFormat="false" ht="15" hidden="false" customHeight="false" outlineLevel="0" collapsed="false">
      <c r="A55" s="57" t="n">
        <v>29029</v>
      </c>
      <c r="B55" s="56" t="n">
        <v>1979</v>
      </c>
      <c r="C55" s="56" t="n">
        <v>6</v>
      </c>
      <c r="D55" s="56" t="n">
        <v>54</v>
      </c>
      <c r="E55" s="56" t="n">
        <v>16.6</v>
      </c>
      <c r="F55" s="56" t="n">
        <v>0</v>
      </c>
      <c r="G55" s="56" t="n">
        <v>10.3</v>
      </c>
      <c r="H55" s="56" t="n">
        <v>0</v>
      </c>
      <c r="I55" s="56" t="n">
        <v>14.9</v>
      </c>
      <c r="J55" s="56" t="n">
        <v>0</v>
      </c>
      <c r="K55" s="56" t="n">
        <v>1012.7</v>
      </c>
      <c r="L55" s="56" t="n">
        <v>0</v>
      </c>
      <c r="M55" s="56" t="n">
        <v>77</v>
      </c>
      <c r="N55" s="56" t="n">
        <v>6.1</v>
      </c>
      <c r="O55" s="56" t="n">
        <f aca="false">IF(D55=1,"",E54)</f>
        <v>19.5</v>
      </c>
      <c r="P55" s="56" t="n">
        <f aca="false">IF(OR(D55=1,K54=""),"",K54)</f>
        <v>1017.3</v>
      </c>
      <c r="Q55" s="56" t="n">
        <f aca="false">IF(OR(F55&lt;&gt;0,AND(I55&lt;&gt;"",E55&lt;I55)),1,0)</f>
        <v>0</v>
      </c>
      <c r="R55" s="56" t="n">
        <f aca="false">IF(AND(D55&gt;1,Q55=0,ISNUMBER(O55),ISNUMBER(P55)),IF(Q54=0,1,0),0)</f>
        <v>1</v>
      </c>
      <c r="S55" s="56" t="n">
        <f aca="false">R55*(B55&gt;=Train_Start)*(B55&lt;=Train_End)</f>
        <v>1</v>
      </c>
      <c r="T55" s="84" t="n">
        <f aca="false">IF(AND(ISNUMBER(O55),ISNUMBER(P55)),Coef_A+Coef_B1*O55+Coef_B2*P55,"")</f>
        <v>19.9766834974849</v>
      </c>
      <c r="U55" s="84" t="n">
        <f aca="false">IF(AND(R55=1,ISNUMBER(T55)),E55-T55,"")</f>
        <v>-3.37668349748493</v>
      </c>
      <c r="V55" s="84" t="n">
        <f aca="false">IF(ISNUMBER(T55),T55,-99)</f>
        <v>19.9766834974849</v>
      </c>
      <c r="W55" s="84" t="n">
        <f aca="false">IF(ISNUMBER(U55),ABS(U55),"")</f>
        <v>3.37668349748493</v>
      </c>
    </row>
    <row r="56" customFormat="false" ht="15" hidden="false" customHeight="false" outlineLevel="0" collapsed="false">
      <c r="A56" s="57" t="n">
        <v>29030</v>
      </c>
      <c r="B56" s="56" t="n">
        <v>1979</v>
      </c>
      <c r="C56" s="56" t="n">
        <v>6</v>
      </c>
      <c r="D56" s="56" t="n">
        <v>55</v>
      </c>
      <c r="E56" s="56" t="n">
        <v>18.5</v>
      </c>
      <c r="F56" s="56" t="n">
        <v>0</v>
      </c>
      <c r="G56" s="56" t="n">
        <v>11</v>
      </c>
      <c r="H56" s="56" t="n">
        <v>0</v>
      </c>
      <c r="I56" s="56" t="n">
        <v>13.8</v>
      </c>
      <c r="J56" s="56" t="n">
        <v>0</v>
      </c>
      <c r="K56" s="56" t="n">
        <v>1007.2</v>
      </c>
      <c r="L56" s="56" t="n">
        <v>0</v>
      </c>
      <c r="M56" s="56" t="n">
        <v>80</v>
      </c>
      <c r="N56" s="56" t="n">
        <v>5.5</v>
      </c>
      <c r="O56" s="56" t="n">
        <f aca="false">IF(D56=1,"",E55)</f>
        <v>16.6</v>
      </c>
      <c r="P56" s="56" t="n">
        <f aca="false">IF(OR(D56=1,K55=""),"",K55)</f>
        <v>1012.7</v>
      </c>
      <c r="Q56" s="56" t="n">
        <f aca="false">IF(OR(F56&lt;&gt;0,AND(I56&lt;&gt;"",E56&lt;I56)),1,0)</f>
        <v>0</v>
      </c>
      <c r="R56" s="56" t="n">
        <f aca="false">IF(AND(D56&gt;1,Q56=0,ISNUMBER(O56),ISNUMBER(P56)),IF(Q55=0,1,0),0)</f>
        <v>1</v>
      </c>
      <c r="S56" s="56" t="n">
        <f aca="false">R56*(B56&gt;=Train_Start)*(B56&lt;=Train_End)</f>
        <v>1</v>
      </c>
      <c r="T56" s="84" t="n">
        <f aca="false">IF(AND(ISNUMBER(O56),ISNUMBER(P56)),Coef_A+Coef_B1*O56+Coef_B2*P56,"")</f>
        <v>17.4562983223449</v>
      </c>
      <c r="U56" s="84" t="n">
        <f aca="false">IF(AND(R56=1,ISNUMBER(T56)),E56-T56,"")</f>
        <v>1.04370167765513</v>
      </c>
      <c r="V56" s="84" t="n">
        <f aca="false">IF(ISNUMBER(T56),T56,-99)</f>
        <v>17.4562983223449</v>
      </c>
      <c r="W56" s="84" t="n">
        <f aca="false">IF(ISNUMBER(U56),ABS(U56),"")</f>
        <v>1.04370167765513</v>
      </c>
    </row>
    <row r="57" customFormat="false" ht="15" hidden="false" customHeight="false" outlineLevel="0" collapsed="false">
      <c r="A57" s="57" t="n">
        <v>29031</v>
      </c>
      <c r="B57" s="56" t="n">
        <v>1979</v>
      </c>
      <c r="C57" s="56" t="n">
        <v>6</v>
      </c>
      <c r="D57" s="56" t="n">
        <v>56</v>
      </c>
      <c r="E57" s="56" t="n">
        <v>19.9</v>
      </c>
      <c r="F57" s="56" t="n">
        <v>0</v>
      </c>
      <c r="G57" s="56" t="n">
        <v>9.5</v>
      </c>
      <c r="H57" s="56" t="n">
        <v>0</v>
      </c>
      <c r="I57" s="56" t="n">
        <v>14</v>
      </c>
      <c r="J57" s="56" t="n">
        <v>0</v>
      </c>
      <c r="K57" s="56" t="n">
        <v>1012.5</v>
      </c>
      <c r="L57" s="56" t="n">
        <v>0</v>
      </c>
      <c r="M57" s="56" t="n">
        <v>77</v>
      </c>
      <c r="N57" s="56" t="n">
        <v>8.6</v>
      </c>
      <c r="O57" s="56" t="n">
        <f aca="false">IF(D57=1,"",E56)</f>
        <v>18.5</v>
      </c>
      <c r="P57" s="56" t="n">
        <f aca="false">IF(OR(D57=1,K56=""),"",K56)</f>
        <v>1007.2</v>
      </c>
      <c r="Q57" s="56" t="n">
        <f aca="false">IF(OR(F57&lt;&gt;0,AND(I57&lt;&gt;"",E57&lt;I57)),1,0)</f>
        <v>0</v>
      </c>
      <c r="R57" s="56" t="n">
        <f aca="false">IF(AND(D57&gt;1,Q57=0,ISNUMBER(O57),ISNUMBER(P57)),IF(Q56=0,1,0),0)</f>
        <v>1</v>
      </c>
      <c r="S57" s="56" t="n">
        <f aca="false">R57*(B57&gt;=Train_Start)*(B57&lt;=Train_End)</f>
        <v>1</v>
      </c>
      <c r="T57" s="84" t="n">
        <f aca="false">IF(AND(ISNUMBER(O57),ISNUMBER(P57)),Coef_A+Coef_B1*O57+Coef_B2*P57,"")</f>
        <v>18.840508368639</v>
      </c>
      <c r="U57" s="84" t="n">
        <f aca="false">IF(AND(R57=1,ISNUMBER(T57)),E57-T57,"")</f>
        <v>1.05949163136102</v>
      </c>
      <c r="V57" s="84" t="n">
        <f aca="false">IF(ISNUMBER(T57),T57,-99)</f>
        <v>18.840508368639</v>
      </c>
      <c r="W57" s="84" t="n">
        <f aca="false">IF(ISNUMBER(U57),ABS(U57),"")</f>
        <v>1.05949163136102</v>
      </c>
    </row>
    <row r="58" customFormat="false" ht="15" hidden="false" customHeight="false" outlineLevel="0" collapsed="false">
      <c r="A58" s="57" t="n">
        <v>29032</v>
      </c>
      <c r="B58" s="56" t="n">
        <v>1979</v>
      </c>
      <c r="C58" s="56" t="n">
        <v>6</v>
      </c>
      <c r="D58" s="56" t="n">
        <v>57</v>
      </c>
      <c r="E58" s="56" t="n">
        <v>21.4</v>
      </c>
      <c r="F58" s="56" t="n">
        <v>0</v>
      </c>
      <c r="G58" s="56" t="n">
        <v>10.5</v>
      </c>
      <c r="H58" s="56" t="n">
        <v>0</v>
      </c>
      <c r="I58" s="56" t="n">
        <v>15.2</v>
      </c>
      <c r="J58" s="56" t="n">
        <v>0</v>
      </c>
      <c r="K58" s="56" t="n">
        <v>1016.4</v>
      </c>
      <c r="L58" s="56" t="n">
        <v>0</v>
      </c>
      <c r="M58" s="56" t="n">
        <v>76</v>
      </c>
      <c r="N58" s="56" t="n">
        <v>7.5</v>
      </c>
      <c r="O58" s="56" t="n">
        <f aca="false">IF(D58=1,"",E57)</f>
        <v>19.9</v>
      </c>
      <c r="P58" s="56" t="n">
        <f aca="false">IF(OR(D58=1,K57=""),"",K57)</f>
        <v>1012.5</v>
      </c>
      <c r="Q58" s="56" t="n">
        <f aca="false">IF(OR(F58&lt;&gt;0,AND(I58&lt;&gt;"",E58&lt;I58)),1,0)</f>
        <v>0</v>
      </c>
      <c r="R58" s="56" t="n">
        <f aca="false">IF(AND(D58&gt;1,Q58=0,ISNUMBER(O58),ISNUMBER(P58)),IF(Q57=0,1,0),0)</f>
        <v>1</v>
      </c>
      <c r="S58" s="56" t="n">
        <f aca="false">R58*(B58&gt;=Train_Start)*(B58&lt;=Train_End)</f>
        <v>1</v>
      </c>
      <c r="T58" s="84" t="n">
        <f aca="false">IF(AND(ISNUMBER(O58),ISNUMBER(P58)),Coef_A+Coef_B1*O58+Coef_B2*P58,"")</f>
        <v>20.1538436804588</v>
      </c>
      <c r="U58" s="84" t="n">
        <f aca="false">IF(AND(R58=1,ISNUMBER(T58)),E58-T58,"")</f>
        <v>1.24615631954116</v>
      </c>
      <c r="V58" s="84" t="n">
        <f aca="false">IF(ISNUMBER(T58),T58,-99)</f>
        <v>20.1538436804588</v>
      </c>
      <c r="W58" s="84" t="n">
        <f aca="false">IF(ISNUMBER(U58),ABS(U58),"")</f>
        <v>1.24615631954116</v>
      </c>
    </row>
    <row r="59" customFormat="false" ht="15" hidden="false" customHeight="false" outlineLevel="0" collapsed="false">
      <c r="A59" s="57" t="n">
        <v>29033</v>
      </c>
      <c r="B59" s="56" t="n">
        <v>1979</v>
      </c>
      <c r="C59" s="56" t="n">
        <v>6</v>
      </c>
      <c r="D59" s="56" t="n">
        <v>58</v>
      </c>
      <c r="E59" s="56" t="n">
        <v>20.8</v>
      </c>
      <c r="F59" s="56" t="n">
        <v>0</v>
      </c>
      <c r="G59" s="56" t="n">
        <v>10.6</v>
      </c>
      <c r="H59" s="56" t="n">
        <v>0</v>
      </c>
      <c r="I59" s="56" t="n">
        <v>16</v>
      </c>
      <c r="J59" s="56" t="n">
        <v>0</v>
      </c>
      <c r="K59" s="56" t="n">
        <v>1019.7</v>
      </c>
      <c r="L59" s="56" t="n">
        <v>0</v>
      </c>
      <c r="M59" s="56" t="n">
        <v>71</v>
      </c>
      <c r="N59" s="56" t="n">
        <v>5.9</v>
      </c>
      <c r="O59" s="56" t="n">
        <f aca="false">IF(D59=1,"",E58)</f>
        <v>21.4</v>
      </c>
      <c r="P59" s="56" t="n">
        <f aca="false">IF(OR(D59=1,K58=""),"",K58)</f>
        <v>1016.4</v>
      </c>
      <c r="Q59" s="56" t="n">
        <f aca="false">IF(OR(F59&lt;&gt;0,AND(I59&lt;&gt;"",E59&lt;I59)),1,0)</f>
        <v>0</v>
      </c>
      <c r="R59" s="56" t="n">
        <f aca="false">IF(AND(D59&gt;1,Q59=0,ISNUMBER(O59),ISNUMBER(P59)),IF(Q58=0,1,0),0)</f>
        <v>1</v>
      </c>
      <c r="S59" s="56" t="n">
        <f aca="false">R59*(B59&gt;=Train_Start)*(B59&lt;=Train_End)</f>
        <v>1</v>
      </c>
      <c r="T59" s="84" t="n">
        <f aca="false">IF(AND(ISNUMBER(O59),ISNUMBER(P59)),Coef_A+Coef_B1*O59+Coef_B2*P59,"")</f>
        <v>21.5051950590954</v>
      </c>
      <c r="U59" s="84" t="n">
        <f aca="false">IF(AND(R59=1,ISNUMBER(T59)),E59-T59,"")</f>
        <v>-0.705195059095388</v>
      </c>
      <c r="V59" s="84" t="n">
        <f aca="false">IF(ISNUMBER(T59),T59,-99)</f>
        <v>21.5051950590954</v>
      </c>
      <c r="W59" s="84" t="n">
        <f aca="false">IF(ISNUMBER(U59),ABS(U59),"")</f>
        <v>0.705195059095388</v>
      </c>
    </row>
    <row r="60" customFormat="false" ht="15" hidden="false" customHeight="false" outlineLevel="0" collapsed="false">
      <c r="A60" s="57" t="n">
        <v>29034</v>
      </c>
      <c r="B60" s="56" t="n">
        <v>1979</v>
      </c>
      <c r="C60" s="56" t="n">
        <v>6</v>
      </c>
      <c r="D60" s="56" t="n">
        <v>59</v>
      </c>
      <c r="E60" s="56" t="n">
        <v>17.6</v>
      </c>
      <c r="F60" s="56" t="n">
        <v>0</v>
      </c>
      <c r="G60" s="56" t="n">
        <v>10.2</v>
      </c>
      <c r="H60" s="56" t="n">
        <v>0</v>
      </c>
      <c r="I60" s="56" t="n">
        <v>15.5</v>
      </c>
      <c r="J60" s="56" t="n">
        <v>0</v>
      </c>
      <c r="K60" s="56" t="n">
        <v>1020.7</v>
      </c>
      <c r="L60" s="56" t="n">
        <v>0</v>
      </c>
      <c r="M60" s="56" t="n">
        <v>76</v>
      </c>
      <c r="N60" s="56" t="n">
        <v>9.3</v>
      </c>
      <c r="O60" s="56" t="n">
        <f aca="false">IF(D60=1,"",E59)</f>
        <v>20.8</v>
      </c>
      <c r="P60" s="56" t="n">
        <f aca="false">IF(OR(D60=1,K59=""),"",K59)</f>
        <v>1019.7</v>
      </c>
      <c r="Q60" s="56" t="n">
        <f aca="false">IF(OR(F60&lt;&gt;0,AND(I60&lt;&gt;"",E60&lt;I60)),1,0)</f>
        <v>0</v>
      </c>
      <c r="R60" s="56" t="n">
        <f aca="false">IF(AND(D60&gt;1,Q60=0,ISNUMBER(O60),ISNUMBER(P60)),IF(Q59=0,1,0),0)</f>
        <v>1</v>
      </c>
      <c r="S60" s="56" t="n">
        <f aca="false">R60*(B60&gt;=Train_Start)*(B60&lt;=Train_End)</f>
        <v>1</v>
      </c>
      <c r="T60" s="84" t="n">
        <f aca="false">IF(AND(ISNUMBER(O60),ISNUMBER(P60)),Coef_A+Coef_B1*O60+Coef_B2*P60,"")</f>
        <v>21.117112195562</v>
      </c>
      <c r="U60" s="84" t="n">
        <f aca="false">IF(AND(R60=1,ISNUMBER(T60)),E60-T60,"")</f>
        <v>-3.51711219556196</v>
      </c>
      <c r="V60" s="84" t="n">
        <f aca="false">IF(ISNUMBER(T60),T60,-99)</f>
        <v>21.117112195562</v>
      </c>
      <c r="W60" s="84" t="n">
        <f aca="false">IF(ISNUMBER(U60),ABS(U60),"")</f>
        <v>3.51711219556196</v>
      </c>
    </row>
    <row r="61" customFormat="false" ht="15" hidden="false" customHeight="false" outlineLevel="0" collapsed="false">
      <c r="A61" s="57" t="n">
        <v>29035</v>
      </c>
      <c r="B61" s="56" t="n">
        <v>1979</v>
      </c>
      <c r="C61" s="56" t="n">
        <v>6</v>
      </c>
      <c r="D61" s="56" t="n">
        <v>60</v>
      </c>
      <c r="E61" s="56" t="n">
        <v>16.6</v>
      </c>
      <c r="F61" s="56" t="n">
        <v>0</v>
      </c>
      <c r="G61" s="56" t="n">
        <v>13.9</v>
      </c>
      <c r="H61" s="56" t="n">
        <v>0</v>
      </c>
      <c r="I61" s="56" t="n">
        <v>15.8</v>
      </c>
      <c r="J61" s="56" t="n">
        <v>0</v>
      </c>
      <c r="K61" s="56" t="n">
        <v>1018.9</v>
      </c>
      <c r="L61" s="56" t="n">
        <v>0</v>
      </c>
      <c r="M61" s="56" t="n">
        <v>70</v>
      </c>
      <c r="N61" s="56" t="n">
        <v>5.5</v>
      </c>
      <c r="O61" s="56" t="n">
        <f aca="false">IF(D61=1,"",E60)</f>
        <v>17.6</v>
      </c>
      <c r="P61" s="56" t="n">
        <f aca="false">IF(OR(D61=1,K60=""),"",K60)</f>
        <v>1020.7</v>
      </c>
      <c r="Q61" s="56" t="n">
        <f aca="false">IF(OR(F61&lt;&gt;0,AND(I61&lt;&gt;"",E61&lt;I61)),1,0)</f>
        <v>0</v>
      </c>
      <c r="R61" s="56" t="n">
        <f aca="false">IF(AND(D61&gt;1,Q61=0,ISNUMBER(O61),ISNUMBER(P61)),IF(Q60=0,1,0),0)</f>
        <v>1</v>
      </c>
      <c r="S61" s="56" t="n">
        <f aca="false">R61*(B61&gt;=Train_Start)*(B61&lt;=Train_End)</f>
        <v>1</v>
      </c>
      <c r="T61" s="84" t="n">
        <f aca="false">IF(AND(ISNUMBER(O61),ISNUMBER(P61)),Coef_A+Coef_B1*O61+Coef_B2*P61,"")</f>
        <v>18.5265966724594</v>
      </c>
      <c r="U61" s="84" t="n">
        <f aca="false">IF(AND(R61=1,ISNUMBER(T61)),E61-T61,"")</f>
        <v>-1.92659667245945</v>
      </c>
      <c r="V61" s="84" t="n">
        <f aca="false">IF(ISNUMBER(T61),T61,-99)</f>
        <v>18.5265966724594</v>
      </c>
      <c r="W61" s="84" t="n">
        <f aca="false">IF(ISNUMBER(U61),ABS(U61),"")</f>
        <v>1.92659667245945</v>
      </c>
    </row>
    <row r="62" customFormat="false" ht="15" hidden="false" customHeight="false" outlineLevel="0" collapsed="false">
      <c r="A62" s="57" t="n">
        <v>29036</v>
      </c>
      <c r="B62" s="56" t="n">
        <v>1979</v>
      </c>
      <c r="C62" s="56" t="n">
        <v>6</v>
      </c>
      <c r="D62" s="56" t="n">
        <v>61</v>
      </c>
      <c r="E62" s="56" t="n">
        <v>18.5</v>
      </c>
      <c r="F62" s="56" t="n">
        <v>0</v>
      </c>
      <c r="G62" s="56" t="n">
        <v>11.6</v>
      </c>
      <c r="H62" s="56" t="n">
        <v>0</v>
      </c>
      <c r="I62" s="56" t="n">
        <v>14.1</v>
      </c>
      <c r="J62" s="56" t="n">
        <v>0</v>
      </c>
      <c r="K62" s="56" t="n">
        <v>1022.6</v>
      </c>
      <c r="L62" s="56" t="n">
        <v>0</v>
      </c>
      <c r="M62" s="56" t="n">
        <v>68</v>
      </c>
      <c r="N62" s="56" t="n">
        <v>0.1</v>
      </c>
      <c r="O62" s="56" t="n">
        <f aca="false">IF(D62=1,"",E61)</f>
        <v>16.6</v>
      </c>
      <c r="P62" s="56" t="n">
        <f aca="false">IF(OR(D62=1,K61=""),"",K61)</f>
        <v>1018.9</v>
      </c>
      <c r="Q62" s="56" t="n">
        <f aca="false">IF(OR(F62&lt;&gt;0,AND(I62&lt;&gt;"",E62&lt;I62)),1,0)</f>
        <v>0</v>
      </c>
      <c r="R62" s="56" t="n">
        <f aca="false">IF(AND(D62&gt;1,Q62=0,ISNUMBER(O62),ISNUMBER(P62)),IF(Q61=0,1,0),0)</f>
        <v>1</v>
      </c>
      <c r="S62" s="56" t="n">
        <f aca="false">R62*(B62&gt;=Train_Start)*(B62&lt;=Train_End)</f>
        <v>1</v>
      </c>
      <c r="T62" s="84" t="n">
        <f aca="false">IF(AND(ISNUMBER(O62),ISNUMBER(P62)),Coef_A+Coef_B1*O62+Coef_B2*P62,"")</f>
        <v>17.6507916690756</v>
      </c>
      <c r="U62" s="84" t="n">
        <f aca="false">IF(AND(R62=1,ISNUMBER(T62)),E62-T62,"")</f>
        <v>0.849208330924391</v>
      </c>
      <c r="V62" s="84" t="n">
        <f aca="false">IF(ISNUMBER(T62),T62,-99)</f>
        <v>17.6507916690756</v>
      </c>
      <c r="W62" s="84" t="n">
        <f aca="false">IF(ISNUMBER(U62),ABS(U62),"")</f>
        <v>0.849208330924391</v>
      </c>
    </row>
    <row r="63" customFormat="false" ht="15" hidden="false" customHeight="false" outlineLevel="0" collapsed="false">
      <c r="A63" s="57" t="n">
        <v>29037</v>
      </c>
      <c r="B63" s="56" t="n">
        <v>1979</v>
      </c>
      <c r="C63" s="56" t="n">
        <v>7</v>
      </c>
      <c r="D63" s="56" t="n">
        <v>62</v>
      </c>
      <c r="E63" s="56" t="n">
        <v>18.7</v>
      </c>
      <c r="F63" s="56" t="n">
        <v>0</v>
      </c>
      <c r="G63" s="56" t="n">
        <v>9</v>
      </c>
      <c r="H63" s="56" t="n">
        <v>0</v>
      </c>
      <c r="I63" s="56" t="n">
        <v>13.8</v>
      </c>
      <c r="J63" s="56" t="n">
        <v>0</v>
      </c>
      <c r="K63" s="56" t="n">
        <v>1025.1</v>
      </c>
      <c r="L63" s="56" t="n">
        <v>0</v>
      </c>
      <c r="M63" s="56" t="n">
        <v>67</v>
      </c>
      <c r="N63" s="56" t="n">
        <v>3.6</v>
      </c>
      <c r="O63" s="56" t="n">
        <f aca="false">IF(D63=1,"",E62)</f>
        <v>18.5</v>
      </c>
      <c r="P63" s="56" t="n">
        <f aca="false">IF(OR(D63=1,K62=""),"",K62)</f>
        <v>1022.6</v>
      </c>
      <c r="Q63" s="56" t="n">
        <f aca="false">IF(OR(F63&lt;&gt;0,AND(I63&lt;&gt;"",E63&lt;I63)),1,0)</f>
        <v>0</v>
      </c>
      <c r="R63" s="56" t="n">
        <f aca="false">IF(AND(D63&gt;1,Q63=0,ISNUMBER(O63),ISNUMBER(P63)),IF(Q62=0,1,0),0)</f>
        <v>1</v>
      </c>
      <c r="S63" s="56" t="n">
        <f aca="false">R63*(B63&gt;=Train_Start)*(B63&lt;=Train_End)</f>
        <v>1</v>
      </c>
      <c r="T63" s="84" t="n">
        <f aca="false">IF(AND(ISNUMBER(O63),ISNUMBER(P63)),Coef_A+Coef_B1*O63+Coef_B2*P63,"")</f>
        <v>19.3236047460024</v>
      </c>
      <c r="U63" s="84" t="n">
        <f aca="false">IF(AND(R63=1,ISNUMBER(T63)),E63-T63,"")</f>
        <v>-0.623604746002421</v>
      </c>
      <c r="V63" s="84" t="n">
        <f aca="false">IF(ISNUMBER(T63),T63,-99)</f>
        <v>19.3236047460024</v>
      </c>
      <c r="W63" s="84" t="n">
        <f aca="false">IF(ISNUMBER(U63),ABS(U63),"")</f>
        <v>0.623604746002421</v>
      </c>
    </row>
    <row r="64" customFormat="false" ht="15" hidden="false" customHeight="false" outlineLevel="0" collapsed="false">
      <c r="A64" s="57" t="n">
        <v>29038</v>
      </c>
      <c r="B64" s="56" t="n">
        <v>1979</v>
      </c>
      <c r="C64" s="56" t="n">
        <v>7</v>
      </c>
      <c r="D64" s="56" t="n">
        <v>63</v>
      </c>
      <c r="E64" s="56" t="n">
        <v>22.1</v>
      </c>
      <c r="F64" s="56" t="n">
        <v>0</v>
      </c>
      <c r="G64" s="56" t="n">
        <v>11.5</v>
      </c>
      <c r="H64" s="56" t="n">
        <v>0</v>
      </c>
      <c r="I64" s="56" t="n">
        <v>15.1</v>
      </c>
      <c r="J64" s="56" t="n">
        <v>0</v>
      </c>
      <c r="K64" s="56" t="n">
        <v>1023.9</v>
      </c>
      <c r="L64" s="56" t="n">
        <v>0</v>
      </c>
      <c r="M64" s="56" t="n">
        <v>69</v>
      </c>
      <c r="N64" s="56" t="n">
        <v>4.7</v>
      </c>
      <c r="O64" s="56" t="n">
        <f aca="false">IF(D64=1,"",E63)</f>
        <v>18.7</v>
      </c>
      <c r="P64" s="56" t="n">
        <f aca="false">IF(OR(D64=1,K63=""),"",K63)</f>
        <v>1025.1</v>
      </c>
      <c r="Q64" s="56" t="n">
        <f aca="false">IF(OR(F64&lt;&gt;0,AND(I64&lt;&gt;"",E64&lt;I64)),1,0)</f>
        <v>0</v>
      </c>
      <c r="R64" s="56" t="n">
        <f aca="false">IF(AND(D64&gt;1,Q64=0,ISNUMBER(O64),ISNUMBER(P64)),IF(Q63=0,1,0),0)</f>
        <v>1</v>
      </c>
      <c r="S64" s="56" t="n">
        <f aca="false">R64*(B64&gt;=Train_Start)*(B64&lt;=Train_End)</f>
        <v>1</v>
      </c>
      <c r="T64" s="84" t="n">
        <f aca="false">IF(AND(ISNUMBER(O64),ISNUMBER(P64)),Coef_A+Coef_B1*O64+Coef_B2*P64,"")</f>
        <v>19.5658973211959</v>
      </c>
      <c r="U64" s="84" t="n">
        <f aca="false">IF(AND(R64=1,ISNUMBER(T64)),E64-T64,"")</f>
        <v>2.53410267880409</v>
      </c>
      <c r="V64" s="84" t="n">
        <f aca="false">IF(ISNUMBER(T64),T64,-99)</f>
        <v>19.5658973211959</v>
      </c>
      <c r="W64" s="84" t="n">
        <f aca="false">IF(ISNUMBER(U64),ABS(U64),"")</f>
        <v>2.53410267880409</v>
      </c>
    </row>
    <row r="65" customFormat="false" ht="15" hidden="false" customHeight="false" outlineLevel="0" collapsed="false">
      <c r="A65" s="57" t="n">
        <v>29039</v>
      </c>
      <c r="B65" s="56" t="n">
        <v>1979</v>
      </c>
      <c r="C65" s="56" t="n">
        <v>7</v>
      </c>
      <c r="D65" s="56" t="n">
        <v>64</v>
      </c>
      <c r="E65" s="56" t="n">
        <v>23.4</v>
      </c>
      <c r="F65" s="56" t="n">
        <v>0</v>
      </c>
      <c r="G65" s="56" t="n">
        <v>11.7</v>
      </c>
      <c r="H65" s="56" t="n">
        <v>0</v>
      </c>
      <c r="I65" s="56" t="n">
        <v>16.9</v>
      </c>
      <c r="J65" s="56" t="n">
        <v>0</v>
      </c>
      <c r="K65" s="56" t="n">
        <v>1024.7</v>
      </c>
      <c r="L65" s="56" t="n">
        <v>0</v>
      </c>
      <c r="M65" s="56" t="n">
        <v>71</v>
      </c>
      <c r="N65" s="56" t="n">
        <v>7.1</v>
      </c>
      <c r="O65" s="56" t="n">
        <f aca="false">IF(D65=1,"",E64)</f>
        <v>22.1</v>
      </c>
      <c r="P65" s="56" t="n">
        <f aca="false">IF(OR(D65=1,K64=""),"",K64)</f>
        <v>1023.9</v>
      </c>
      <c r="Q65" s="56" t="n">
        <f aca="false">IF(OR(F65&lt;&gt;0,AND(I65&lt;&gt;"",E65&lt;I65)),1,0)</f>
        <v>0</v>
      </c>
      <c r="R65" s="56" t="n">
        <f aca="false">IF(AND(D65&gt;1,Q65=0,ISNUMBER(O65),ISNUMBER(P65)),IF(Q64=0,1,0),0)</f>
        <v>1</v>
      </c>
      <c r="S65" s="56" t="n">
        <f aca="false">R65*(B65&gt;=Train_Start)*(B65&lt;=Train_End)</f>
        <v>1</v>
      </c>
      <c r="T65" s="84" t="n">
        <f aca="false">IF(AND(ISNUMBER(O65),ISNUMBER(P65)),Coef_A+Coef_B1*O65+Coef_B2*P65,"")</f>
        <v>22.3140067039802</v>
      </c>
      <c r="U65" s="84" t="n">
        <f aca="false">IF(AND(R65=1,ISNUMBER(T65)),E65-T65,"")</f>
        <v>1.08599329601983</v>
      </c>
      <c r="V65" s="84" t="n">
        <f aca="false">IF(ISNUMBER(T65),T65,-99)</f>
        <v>22.3140067039802</v>
      </c>
      <c r="W65" s="84" t="n">
        <f aca="false">IF(ISNUMBER(U65),ABS(U65),"")</f>
        <v>1.08599329601983</v>
      </c>
    </row>
    <row r="66" customFormat="false" ht="15" hidden="false" customHeight="false" outlineLevel="0" collapsed="false">
      <c r="A66" s="57" t="n">
        <v>29040</v>
      </c>
      <c r="B66" s="56" t="n">
        <v>1979</v>
      </c>
      <c r="C66" s="56" t="n">
        <v>7</v>
      </c>
      <c r="D66" s="56" t="n">
        <v>65</v>
      </c>
      <c r="E66" s="56" t="n">
        <v>25.5</v>
      </c>
      <c r="F66" s="56" t="n">
        <v>0</v>
      </c>
      <c r="G66" s="56" t="n">
        <v>13.4</v>
      </c>
      <c r="H66" s="56" t="n">
        <v>0</v>
      </c>
      <c r="I66" s="56" t="n">
        <v>18.4</v>
      </c>
      <c r="J66" s="56" t="n">
        <v>0</v>
      </c>
      <c r="K66" s="56" t="n">
        <v>1028.4</v>
      </c>
      <c r="L66" s="56" t="n">
        <v>0</v>
      </c>
      <c r="M66" s="56" t="n">
        <v>73</v>
      </c>
      <c r="N66" s="56" t="n">
        <v>6.3</v>
      </c>
      <c r="O66" s="56" t="n">
        <f aca="false">IF(D66=1,"",E65)</f>
        <v>23.4</v>
      </c>
      <c r="P66" s="56" t="n">
        <f aca="false">IF(OR(D66=1,K65=""),"",K65)</f>
        <v>1024.7</v>
      </c>
      <c r="Q66" s="56" t="n">
        <f aca="false">IF(OR(F66&lt;&gt;0,AND(I66&lt;&gt;"",E66&lt;I66)),1,0)</f>
        <v>0</v>
      </c>
      <c r="R66" s="56" t="n">
        <f aca="false">IF(AND(D66&gt;1,Q66=0,ISNUMBER(O66),ISNUMBER(P66)),IF(Q65=0,1,0),0)</f>
        <v>1</v>
      </c>
      <c r="S66" s="56" t="n">
        <f aca="false">R66*(B66&gt;=Train_Start)*(B66&lt;=Train_End)</f>
        <v>1</v>
      </c>
      <c r="T66" s="84" t="n">
        <f aca="false">IF(AND(ISNUMBER(O66),ISNUMBER(P66)),Coef_A+Coef_B1*O66+Coef_B2*P66,"")</f>
        <v>23.4042435706428</v>
      </c>
      <c r="U66" s="84" t="n">
        <f aca="false">IF(AND(R66=1,ISNUMBER(T66)),E66-T66,"")</f>
        <v>2.09575642935719</v>
      </c>
      <c r="V66" s="84" t="n">
        <f aca="false">IF(ISNUMBER(T66),T66,-99)</f>
        <v>23.4042435706428</v>
      </c>
      <c r="W66" s="84" t="n">
        <f aca="false">IF(ISNUMBER(U66),ABS(U66),"")</f>
        <v>2.09575642935719</v>
      </c>
    </row>
    <row r="67" customFormat="false" ht="15" hidden="false" customHeight="false" outlineLevel="0" collapsed="false">
      <c r="A67" s="57" t="n">
        <v>29041</v>
      </c>
      <c r="B67" s="56" t="n">
        <v>1979</v>
      </c>
      <c r="C67" s="56" t="n">
        <v>7</v>
      </c>
      <c r="D67" s="56" t="n">
        <v>66</v>
      </c>
      <c r="E67" s="56" t="n">
        <v>25.1</v>
      </c>
      <c r="F67" s="56" t="n">
        <v>0</v>
      </c>
      <c r="G67" s="56" t="n">
        <v>13.1</v>
      </c>
      <c r="H67" s="56" t="n">
        <v>0</v>
      </c>
      <c r="I67" s="56" t="n">
        <v>19.3</v>
      </c>
      <c r="J67" s="56" t="n">
        <v>0</v>
      </c>
      <c r="K67" s="56" t="n">
        <v>1029.7</v>
      </c>
      <c r="L67" s="56" t="n">
        <v>0</v>
      </c>
      <c r="M67" s="56" t="n">
        <v>67</v>
      </c>
      <c r="N67" s="56" t="n">
        <v>12.5</v>
      </c>
      <c r="O67" s="56" t="n">
        <f aca="false">IF(D67=1,"",E66)</f>
        <v>25.5</v>
      </c>
      <c r="P67" s="56" t="n">
        <f aca="false">IF(OR(D67=1,K66=""),"",K66)</f>
        <v>1028.4</v>
      </c>
      <c r="Q67" s="56" t="n">
        <f aca="false">IF(OR(F67&lt;&gt;0,AND(I67&lt;&gt;"",E67&lt;I67)),1,0)</f>
        <v>0</v>
      </c>
      <c r="R67" s="56" t="n">
        <f aca="false">IF(AND(D67&gt;1,Q67=0,ISNUMBER(O67),ISNUMBER(P67)),IF(Q66=0,1,0),0)</f>
        <v>1</v>
      </c>
      <c r="S67" s="56" t="n">
        <f aca="false">R67*(B67&gt;=Train_Start)*(B67&lt;=Train_End)</f>
        <v>1</v>
      </c>
      <c r="T67" s="84" t="n">
        <f aca="false">IF(AND(ISNUMBER(O67),ISNUMBER(P67)),Coef_A+Coef_B1*O67+Coef_B2*P67,"")</f>
        <v>25.2409244861782</v>
      </c>
      <c r="U67" s="84" t="n">
        <f aca="false">IF(AND(R67=1,ISNUMBER(T67)),E67-T67,"")</f>
        <v>-0.140924486178161</v>
      </c>
      <c r="V67" s="84" t="n">
        <f aca="false">IF(ISNUMBER(T67),T67,-99)</f>
        <v>25.2409244861782</v>
      </c>
      <c r="W67" s="84" t="n">
        <f aca="false">IF(ISNUMBER(U67),ABS(U67),"")</f>
        <v>0.140924486178161</v>
      </c>
    </row>
    <row r="68" customFormat="false" ht="15" hidden="false" customHeight="false" outlineLevel="0" collapsed="false">
      <c r="A68" s="57" t="n">
        <v>29042</v>
      </c>
      <c r="B68" s="56" t="n">
        <v>1979</v>
      </c>
      <c r="C68" s="56" t="n">
        <v>7</v>
      </c>
      <c r="D68" s="56" t="n">
        <v>67</v>
      </c>
      <c r="E68" s="56" t="n">
        <v>21.9</v>
      </c>
      <c r="F68" s="56" t="n">
        <v>0</v>
      </c>
      <c r="G68" s="56" t="n">
        <v>14.1</v>
      </c>
      <c r="H68" s="56" t="n">
        <v>0</v>
      </c>
      <c r="I68" s="56" t="n">
        <v>19.6</v>
      </c>
      <c r="J68" s="56" t="n">
        <v>0</v>
      </c>
      <c r="K68" s="56" t="n">
        <v>1026.8</v>
      </c>
      <c r="L68" s="56" t="n">
        <v>0</v>
      </c>
      <c r="M68" s="56" t="n">
        <v>62</v>
      </c>
      <c r="N68" s="56" t="n">
        <v>8.5</v>
      </c>
      <c r="O68" s="56" t="n">
        <f aca="false">IF(D68=1,"",E67)</f>
        <v>25.1</v>
      </c>
      <c r="P68" s="56" t="n">
        <f aca="false">IF(OR(D68=1,K67=""),"",K67)</f>
        <v>1029.7</v>
      </c>
      <c r="Q68" s="56" t="n">
        <f aca="false">IF(OR(F68&lt;&gt;0,AND(I68&lt;&gt;"",E68&lt;I68)),1,0)</f>
        <v>0</v>
      </c>
      <c r="R68" s="56" t="n">
        <f aca="false">IF(AND(D68&gt;1,Q68=0,ISNUMBER(O68),ISNUMBER(P68)),IF(Q67=0,1,0),0)</f>
        <v>1</v>
      </c>
      <c r="S68" s="56" t="n">
        <f aca="false">R68*(B68&gt;=Train_Start)*(B68&lt;=Train_End)</f>
        <v>1</v>
      </c>
      <c r="T68" s="84" t="n">
        <f aca="false">IF(AND(ISNUMBER(O68),ISNUMBER(P68)),Coef_A+Coef_B1*O68+Coef_B2*P68,"")</f>
        <v>24.9539696719853</v>
      </c>
      <c r="U68" s="84" t="n">
        <f aca="false">IF(AND(R68=1,ISNUMBER(T68)),E68-T68,"")</f>
        <v>-3.05396967198528</v>
      </c>
      <c r="V68" s="84" t="n">
        <f aca="false">IF(ISNUMBER(T68),T68,-99)</f>
        <v>24.9539696719853</v>
      </c>
      <c r="W68" s="84" t="n">
        <f aca="false">IF(ISNUMBER(U68),ABS(U68),"")</f>
        <v>3.05396967198528</v>
      </c>
    </row>
    <row r="69" customFormat="false" ht="15" hidden="false" customHeight="false" outlineLevel="0" collapsed="false">
      <c r="A69" s="57" t="n">
        <v>29043</v>
      </c>
      <c r="B69" s="56" t="n">
        <v>1979</v>
      </c>
      <c r="C69" s="56" t="n">
        <v>7</v>
      </c>
      <c r="D69" s="56" t="n">
        <v>68</v>
      </c>
      <c r="E69" s="56" t="n">
        <v>23.1</v>
      </c>
      <c r="F69" s="56" t="n">
        <v>0</v>
      </c>
      <c r="G69" s="56" t="n">
        <v>13.4</v>
      </c>
      <c r="H69" s="56" t="n">
        <v>0</v>
      </c>
      <c r="I69" s="56" t="n">
        <v>17.6</v>
      </c>
      <c r="J69" s="56" t="n">
        <v>0</v>
      </c>
      <c r="K69" s="56" t="n">
        <v>1021.4</v>
      </c>
      <c r="L69" s="56" t="n">
        <v>0</v>
      </c>
      <c r="M69" s="56" t="n">
        <v>66</v>
      </c>
      <c r="N69" s="56" t="n">
        <v>5.5</v>
      </c>
      <c r="O69" s="56" t="n">
        <f aca="false">IF(D69=1,"",E68)</f>
        <v>21.9</v>
      </c>
      <c r="P69" s="56" t="n">
        <f aca="false">IF(OR(D69=1,K68=""),"",K68)</f>
        <v>1026.8</v>
      </c>
      <c r="Q69" s="56" t="n">
        <f aca="false">IF(OR(F69&lt;&gt;0,AND(I69&lt;&gt;"",E69&lt;I69)),1,0)</f>
        <v>0</v>
      </c>
      <c r="R69" s="56" t="n">
        <f aca="false">IF(AND(D69&gt;1,Q69=0,ISNUMBER(O69),ISNUMBER(P69)),IF(Q68=0,1,0),0)</f>
        <v>1</v>
      </c>
      <c r="S69" s="56" t="n">
        <f aca="false">R69*(B69&gt;=Train_Start)*(B69&lt;=Train_End)</f>
        <v>1</v>
      </c>
      <c r="T69" s="84" t="n">
        <f aca="false">IF(AND(ISNUMBER(O69),ISNUMBER(P69)),Coef_A+Coef_B1*O69+Coef_B2*P69,"")</f>
        <v>22.2411115598102</v>
      </c>
      <c r="U69" s="84" t="n">
        <f aca="false">IF(AND(R69=1,ISNUMBER(T69)),E69-T69,"")</f>
        <v>0.858888440189794</v>
      </c>
      <c r="V69" s="84" t="n">
        <f aca="false">IF(ISNUMBER(T69),T69,-99)</f>
        <v>22.2411115598102</v>
      </c>
      <c r="W69" s="84" t="n">
        <f aca="false">IF(ISNUMBER(U69),ABS(U69),"")</f>
        <v>0.858888440189794</v>
      </c>
    </row>
    <row r="70" customFormat="false" ht="15" hidden="false" customHeight="false" outlineLevel="0" collapsed="false">
      <c r="A70" s="57" t="n">
        <v>29044</v>
      </c>
      <c r="B70" s="56" t="n">
        <v>1979</v>
      </c>
      <c r="C70" s="56" t="n">
        <v>7</v>
      </c>
      <c r="D70" s="56" t="n">
        <v>69</v>
      </c>
      <c r="E70" s="56" t="n">
        <v>20.8</v>
      </c>
      <c r="F70" s="56" t="n">
        <v>0</v>
      </c>
      <c r="G70" s="56" t="n">
        <v>13</v>
      </c>
      <c r="H70" s="56" t="n">
        <v>0</v>
      </c>
      <c r="I70" s="56" t="n">
        <v>18</v>
      </c>
      <c r="J70" s="56" t="n">
        <v>0</v>
      </c>
      <c r="K70" s="56" t="n">
        <v>1019.7</v>
      </c>
      <c r="L70" s="56" t="n">
        <v>0</v>
      </c>
      <c r="M70" s="56" t="n">
        <v>70</v>
      </c>
      <c r="N70" s="56" t="n">
        <v>5.6</v>
      </c>
      <c r="O70" s="56" t="n">
        <f aca="false">IF(D70=1,"",E69)</f>
        <v>23.1</v>
      </c>
      <c r="P70" s="56" t="n">
        <f aca="false">IF(OR(D70=1,K69=""),"",K69)</f>
        <v>1021.4</v>
      </c>
      <c r="Q70" s="56" t="n">
        <f aca="false">IF(OR(F70&lt;&gt;0,AND(I70&lt;&gt;"",E70&lt;I70)),1,0)</f>
        <v>0</v>
      </c>
      <c r="R70" s="56" t="n">
        <f aca="false">IF(AND(D70&gt;1,Q70=0,ISNUMBER(O70),ISNUMBER(P70)),IF(Q69=0,1,0),0)</f>
        <v>1</v>
      </c>
      <c r="S70" s="56" t="n">
        <f aca="false">R70*(B70&gt;=Train_Start)*(B70&lt;=Train_End)</f>
        <v>1</v>
      </c>
      <c r="T70" s="84" t="n">
        <f aca="false">IF(AND(ISNUMBER(O70),ISNUMBER(P70)),Coef_A+Coef_B1*O70+Coef_B2*P70,"")</f>
        <v>23.0549211604379</v>
      </c>
      <c r="U70" s="84" t="n">
        <f aca="false">IF(AND(R70=1,ISNUMBER(T70)),E70-T70,"")</f>
        <v>-2.25492116043786</v>
      </c>
      <c r="V70" s="84" t="n">
        <f aca="false">IF(ISNUMBER(T70),T70,-99)</f>
        <v>23.0549211604379</v>
      </c>
      <c r="W70" s="84" t="n">
        <f aca="false">IF(ISNUMBER(U70),ABS(U70),"")</f>
        <v>2.25492116043786</v>
      </c>
    </row>
    <row r="71" customFormat="false" ht="15" hidden="false" customHeight="false" outlineLevel="0" collapsed="false">
      <c r="A71" s="57" t="n">
        <v>29045</v>
      </c>
      <c r="B71" s="56" t="n">
        <v>1979</v>
      </c>
      <c r="C71" s="56" t="n">
        <v>7</v>
      </c>
      <c r="D71" s="56" t="n">
        <v>70</v>
      </c>
      <c r="E71" s="56" t="n">
        <v>22</v>
      </c>
      <c r="F71" s="56" t="n">
        <v>0</v>
      </c>
      <c r="G71" s="56" t="n">
        <v>16.5</v>
      </c>
      <c r="H71" s="56" t="n">
        <v>0</v>
      </c>
      <c r="I71" s="56" t="n">
        <v>18.6</v>
      </c>
      <c r="J71" s="56" t="n">
        <v>0</v>
      </c>
      <c r="K71" s="56" t="n">
        <v>1018.2</v>
      </c>
      <c r="L71" s="56" t="n">
        <v>0</v>
      </c>
      <c r="M71" s="56" t="n">
        <v>69</v>
      </c>
      <c r="N71" s="56" t="n">
        <v>8.1</v>
      </c>
      <c r="O71" s="56" t="n">
        <f aca="false">IF(D71=1,"",E70)</f>
        <v>20.8</v>
      </c>
      <c r="P71" s="56" t="n">
        <f aca="false">IF(OR(D71=1,K70=""),"",K70)</f>
        <v>1019.7</v>
      </c>
      <c r="Q71" s="56" t="n">
        <f aca="false">IF(OR(F71&lt;&gt;0,AND(I71&lt;&gt;"",E71&lt;I71)),1,0)</f>
        <v>0</v>
      </c>
      <c r="R71" s="56" t="n">
        <f aca="false">IF(AND(D71&gt;1,Q71=0,ISNUMBER(O71),ISNUMBER(P71)),IF(Q70=0,1,0),0)</f>
        <v>1</v>
      </c>
      <c r="S71" s="56" t="n">
        <f aca="false">R71*(B71&gt;=Train_Start)*(B71&lt;=Train_End)</f>
        <v>1</v>
      </c>
      <c r="T71" s="84" t="n">
        <f aca="false">IF(AND(ISNUMBER(O71),ISNUMBER(P71)),Coef_A+Coef_B1*O71+Coef_B2*P71,"")</f>
        <v>21.117112195562</v>
      </c>
      <c r="U71" s="84" t="n">
        <f aca="false">IF(AND(R71=1,ISNUMBER(T71)),E71-T71,"")</f>
        <v>0.882887804438042</v>
      </c>
      <c r="V71" s="84" t="n">
        <f aca="false">IF(ISNUMBER(T71),T71,-99)</f>
        <v>21.117112195562</v>
      </c>
      <c r="W71" s="84" t="n">
        <f aca="false">IF(ISNUMBER(U71),ABS(U71),"")</f>
        <v>0.882887804438042</v>
      </c>
    </row>
    <row r="72" customFormat="false" ht="15" hidden="false" customHeight="false" outlineLevel="0" collapsed="false">
      <c r="A72" s="57" t="n">
        <v>29046</v>
      </c>
      <c r="B72" s="56" t="n">
        <v>1979</v>
      </c>
      <c r="C72" s="56" t="n">
        <v>7</v>
      </c>
      <c r="D72" s="56" t="n">
        <v>71</v>
      </c>
      <c r="E72" s="56" t="n">
        <v>20.8</v>
      </c>
      <c r="F72" s="56" t="n">
        <v>0</v>
      </c>
      <c r="G72" s="56" t="n">
        <v>12.4</v>
      </c>
      <c r="H72" s="56" t="n">
        <v>0</v>
      </c>
      <c r="I72" s="56" t="n">
        <v>17.2</v>
      </c>
      <c r="J72" s="56" t="n">
        <v>0</v>
      </c>
      <c r="K72" s="56" t="n">
        <v>1023.7</v>
      </c>
      <c r="L72" s="56" t="n">
        <v>0</v>
      </c>
      <c r="M72" s="56" t="n">
        <v>59</v>
      </c>
      <c r="N72" s="56" t="n">
        <v>8.6</v>
      </c>
      <c r="O72" s="56" t="n">
        <f aca="false">IF(D72=1,"",E71)</f>
        <v>22</v>
      </c>
      <c r="P72" s="56" t="n">
        <f aca="false">IF(OR(D72=1,K71=""),"",K71)</f>
        <v>1018.2</v>
      </c>
      <c r="Q72" s="56" t="n">
        <f aca="false">IF(OR(F72&lt;&gt;0,AND(I72&lt;&gt;"",E72&lt;I72)),1,0)</f>
        <v>0</v>
      </c>
      <c r="R72" s="56" t="n">
        <f aca="false">IF(AND(D72&gt;1,Q72=0,ISNUMBER(O72),ISNUMBER(P72)),IF(Q71=0,1,0),0)</f>
        <v>1</v>
      </c>
      <c r="S72" s="56" t="n">
        <f aca="false">R72*(B72&gt;=Train_Start)*(B72&lt;=Train_End)</f>
        <v>1</v>
      </c>
      <c r="T72" s="84" t="n">
        <f aca="false">IF(AND(ISNUMBER(O72),ISNUMBER(P72)),Coef_A+Coef_B1*O72+Coef_B2*P72,"")</f>
        <v>22.0532643852622</v>
      </c>
      <c r="U72" s="84" t="n">
        <f aca="false">IF(AND(R72=1,ISNUMBER(T72)),E72-T72,"")</f>
        <v>-1.25326438526217</v>
      </c>
      <c r="V72" s="84" t="n">
        <f aca="false">IF(ISNUMBER(T72),T72,-99)</f>
        <v>22.0532643852622</v>
      </c>
      <c r="W72" s="84" t="n">
        <f aca="false">IF(ISNUMBER(U72),ABS(U72),"")</f>
        <v>1.25326438526217</v>
      </c>
    </row>
    <row r="73" customFormat="false" ht="15" hidden="false" customHeight="false" outlineLevel="0" collapsed="false">
      <c r="A73" s="57" t="n">
        <v>29047</v>
      </c>
      <c r="B73" s="56" t="n">
        <v>1979</v>
      </c>
      <c r="C73" s="56" t="n">
        <v>7</v>
      </c>
      <c r="D73" s="56" t="n">
        <v>72</v>
      </c>
      <c r="E73" s="56" t="n">
        <v>25.1</v>
      </c>
      <c r="F73" s="56" t="n">
        <v>0</v>
      </c>
      <c r="G73" s="56" t="n">
        <v>14</v>
      </c>
      <c r="H73" s="56" t="n">
        <v>0</v>
      </c>
      <c r="I73" s="56" t="n">
        <v>17.4</v>
      </c>
      <c r="J73" s="56" t="n">
        <v>0</v>
      </c>
      <c r="K73" s="56" t="n">
        <v>1021.8</v>
      </c>
      <c r="L73" s="56" t="n">
        <v>0</v>
      </c>
      <c r="M73" s="56" t="n">
        <v>63</v>
      </c>
      <c r="N73" s="56" t="n">
        <v>0.6</v>
      </c>
      <c r="O73" s="56" t="n">
        <f aca="false">IF(D73=1,"",E72)</f>
        <v>20.8</v>
      </c>
      <c r="P73" s="56" t="n">
        <f aca="false">IF(OR(D73=1,K72=""),"",K72)</f>
        <v>1023.7</v>
      </c>
      <c r="Q73" s="56" t="n">
        <f aca="false">IF(OR(F73&lt;&gt;0,AND(I73&lt;&gt;"",E73&lt;I73)),1,0)</f>
        <v>0</v>
      </c>
      <c r="R73" s="56" t="n">
        <f aca="false">IF(AND(D73&gt;1,Q73=0,ISNUMBER(O73),ISNUMBER(P73)),IF(Q72=0,1,0),0)</f>
        <v>1</v>
      </c>
      <c r="S73" s="56" t="n">
        <f aca="false">R73*(B73&gt;=Train_Start)*(B73&lt;=Train_End)</f>
        <v>1</v>
      </c>
      <c r="T73" s="84" t="n">
        <f aca="false">IF(AND(ISNUMBER(O73),ISNUMBER(P73)),Coef_A+Coef_B1*O73+Coef_B2*P73,"")</f>
        <v>21.2425917740979</v>
      </c>
      <c r="U73" s="84" t="n">
        <f aca="false">IF(AND(R73=1,ISNUMBER(T73)),E73-T73,"")</f>
        <v>3.85740822590208</v>
      </c>
      <c r="V73" s="84" t="n">
        <f aca="false">IF(ISNUMBER(T73),T73,-99)</f>
        <v>21.2425917740979</v>
      </c>
      <c r="W73" s="84" t="n">
        <f aca="false">IF(ISNUMBER(U73),ABS(U73),"")</f>
        <v>3.85740822590208</v>
      </c>
    </row>
    <row r="74" customFormat="false" ht="15" hidden="false" customHeight="false" outlineLevel="0" collapsed="false">
      <c r="A74" s="57" t="n">
        <v>29048</v>
      </c>
      <c r="B74" s="56" t="n">
        <v>1979</v>
      </c>
      <c r="C74" s="56" t="n">
        <v>7</v>
      </c>
      <c r="D74" s="56" t="n">
        <v>73</v>
      </c>
      <c r="E74" s="56" t="n">
        <v>26.2</v>
      </c>
      <c r="F74" s="56" t="n">
        <v>0</v>
      </c>
      <c r="G74" s="56" t="n">
        <v>11.6</v>
      </c>
      <c r="H74" s="56" t="n">
        <v>0</v>
      </c>
      <c r="I74" s="56" t="n">
        <v>18.4</v>
      </c>
      <c r="J74" s="56" t="n">
        <v>0</v>
      </c>
      <c r="K74" s="56" t="n">
        <v>1018.4</v>
      </c>
      <c r="L74" s="56" t="n">
        <v>0</v>
      </c>
      <c r="M74" s="56" t="n">
        <v>62</v>
      </c>
      <c r="N74" s="56" t="n">
        <v>13</v>
      </c>
      <c r="O74" s="56" t="n">
        <f aca="false">IF(D74=1,"",E73)</f>
        <v>25.1</v>
      </c>
      <c r="P74" s="56" t="n">
        <f aca="false">IF(OR(D74=1,K73=""),"",K73)</f>
        <v>1021.8</v>
      </c>
      <c r="Q74" s="56" t="n">
        <f aca="false">IF(OR(F74&lt;&gt;0,AND(I74&lt;&gt;"",E74&lt;I74)),1,0)</f>
        <v>0</v>
      </c>
      <c r="R74" s="56" t="n">
        <f aca="false">IF(AND(D74&gt;1,Q74=0,ISNUMBER(O74),ISNUMBER(P74)),IF(Q73=0,1,0),0)</f>
        <v>1</v>
      </c>
      <c r="S74" s="56" t="n">
        <f aca="false">R74*(B74&gt;=Train_Start)*(B74&lt;=Train_End)</f>
        <v>1</v>
      </c>
      <c r="T74" s="84" t="n">
        <f aca="false">IF(AND(ISNUMBER(O74),ISNUMBER(P74)),Coef_A+Coef_B1*O74+Coef_B2*P74,"")</f>
        <v>24.7061475043768</v>
      </c>
      <c r="U74" s="84" t="n">
        <f aca="false">IF(AND(R74=1,ISNUMBER(T74)),E74-T74,"")</f>
        <v>1.49385249562324</v>
      </c>
      <c r="V74" s="84" t="n">
        <f aca="false">IF(ISNUMBER(T74),T74,-99)</f>
        <v>24.7061475043768</v>
      </c>
      <c r="W74" s="84" t="n">
        <f aca="false">IF(ISNUMBER(U74),ABS(U74),"")</f>
        <v>1.49385249562324</v>
      </c>
    </row>
    <row r="75" customFormat="false" ht="15" hidden="false" customHeight="false" outlineLevel="0" collapsed="false">
      <c r="A75" s="57" t="n">
        <v>29049</v>
      </c>
      <c r="B75" s="56" t="n">
        <v>1979</v>
      </c>
      <c r="C75" s="56" t="n">
        <v>7</v>
      </c>
      <c r="D75" s="56" t="n">
        <v>74</v>
      </c>
      <c r="E75" s="56" t="n">
        <v>22.1</v>
      </c>
      <c r="F75" s="56" t="n">
        <v>0</v>
      </c>
      <c r="G75" s="56" t="n">
        <v>12.4</v>
      </c>
      <c r="H75" s="56" t="n">
        <v>0</v>
      </c>
      <c r="I75" s="56" t="n">
        <v>19.3</v>
      </c>
      <c r="J75" s="56" t="n">
        <v>0</v>
      </c>
      <c r="K75" s="56" t="n">
        <v>1020.6</v>
      </c>
      <c r="L75" s="56" t="n">
        <v>0</v>
      </c>
      <c r="M75" s="56" t="n">
        <v>62</v>
      </c>
      <c r="N75" s="56" t="n">
        <v>10.3</v>
      </c>
      <c r="O75" s="56" t="n">
        <f aca="false">IF(D75=1,"",E74)</f>
        <v>26.2</v>
      </c>
      <c r="P75" s="56" t="n">
        <f aca="false">IF(OR(D75=1,K74=""),"",K74)</f>
        <v>1018.4</v>
      </c>
      <c r="Q75" s="56" t="n">
        <f aca="false">IF(OR(F75&lt;&gt;0,AND(I75&lt;&gt;"",E75&lt;I75)),1,0)</f>
        <v>0</v>
      </c>
      <c r="R75" s="56" t="n">
        <f aca="false">IF(AND(D75&gt;1,Q75=0,ISNUMBER(O75),ISNUMBER(P75)),IF(Q74=0,1,0),0)</f>
        <v>1</v>
      </c>
      <c r="S75" s="56" t="n">
        <f aca="false">R75*(B75&gt;=Train_Start)*(B75&lt;=Train_End)</f>
        <v>1</v>
      </c>
      <c r="T75" s="84" t="n">
        <f aca="false">IF(AND(ISNUMBER(O75),ISNUMBER(P75)),Coef_A+Coef_B1*O75+Coef_B2*P75,"")</f>
        <v>25.5007629749681</v>
      </c>
      <c r="U75" s="84" t="n">
        <f aca="false">IF(AND(R75=1,ISNUMBER(T75)),E75-T75,"")</f>
        <v>-3.40076297496812</v>
      </c>
      <c r="V75" s="84" t="n">
        <f aca="false">IF(ISNUMBER(T75),T75,-99)</f>
        <v>25.5007629749681</v>
      </c>
      <c r="W75" s="84" t="n">
        <f aca="false">IF(ISNUMBER(U75),ABS(U75),"")</f>
        <v>3.40076297496812</v>
      </c>
    </row>
    <row r="76" customFormat="false" ht="15" hidden="false" customHeight="false" outlineLevel="0" collapsed="false">
      <c r="A76" s="57" t="n">
        <v>29050</v>
      </c>
      <c r="B76" s="56" t="n">
        <v>1979</v>
      </c>
      <c r="C76" s="56" t="n">
        <v>7</v>
      </c>
      <c r="D76" s="56" t="n">
        <v>75</v>
      </c>
      <c r="E76" s="56" t="n">
        <v>21.1</v>
      </c>
      <c r="F76" s="56" t="n">
        <v>0</v>
      </c>
      <c r="G76" s="56" t="n">
        <v>13</v>
      </c>
      <c r="H76" s="56" t="n">
        <v>0</v>
      </c>
      <c r="I76" s="56" t="n">
        <v>17.6</v>
      </c>
      <c r="J76" s="56" t="n">
        <v>0</v>
      </c>
      <c r="K76" s="56" t="n">
        <v>1026.4</v>
      </c>
      <c r="L76" s="56" t="n">
        <v>0</v>
      </c>
      <c r="M76" s="56" t="n">
        <v>57</v>
      </c>
      <c r="N76" s="56" t="n">
        <v>11.2</v>
      </c>
      <c r="O76" s="56" t="n">
        <f aca="false">IF(D76=1,"",E75)</f>
        <v>22.1</v>
      </c>
      <c r="P76" s="56" t="n">
        <f aca="false">IF(OR(D76=1,K75=""),"",K75)</f>
        <v>1020.6</v>
      </c>
      <c r="Q76" s="56" t="n">
        <f aca="false">IF(OR(F76&lt;&gt;0,AND(I76&lt;&gt;"",E76&lt;I76)),1,0)</f>
        <v>0</v>
      </c>
      <c r="R76" s="56" t="n">
        <f aca="false">IF(AND(D76&gt;1,Q76=0,ISNUMBER(O76),ISNUMBER(P76)),IF(Q75=0,1,0),0)</f>
        <v>1</v>
      </c>
      <c r="S76" s="56" t="n">
        <f aca="false">R76*(B76&gt;=Train_Start)*(B76&lt;=Train_End)</f>
        <v>1</v>
      </c>
      <c r="T76" s="84" t="n">
        <f aca="false">IF(AND(ISNUMBER(O76),ISNUMBER(P76)),Coef_A+Coef_B1*O76+Coef_B2*P76,"")</f>
        <v>22.210486051688</v>
      </c>
      <c r="U76" s="84" t="n">
        <f aca="false">IF(AND(R76=1,ISNUMBER(T76)),E76-T76,"")</f>
        <v>-1.11048605168801</v>
      </c>
      <c r="V76" s="84" t="n">
        <f aca="false">IF(ISNUMBER(T76),T76,-99)</f>
        <v>22.210486051688</v>
      </c>
      <c r="W76" s="84" t="n">
        <f aca="false">IF(ISNUMBER(U76),ABS(U76),"")</f>
        <v>1.11048605168801</v>
      </c>
    </row>
    <row r="77" customFormat="false" ht="15" hidden="false" customHeight="false" outlineLevel="0" collapsed="false">
      <c r="A77" s="57" t="n">
        <v>29051</v>
      </c>
      <c r="B77" s="56" t="n">
        <v>1979</v>
      </c>
      <c r="C77" s="56" t="n">
        <v>7</v>
      </c>
      <c r="D77" s="56" t="n">
        <v>76</v>
      </c>
      <c r="E77" s="56" t="n">
        <v>23.6</v>
      </c>
      <c r="F77" s="56" t="n">
        <v>0</v>
      </c>
      <c r="G77" s="56" t="n">
        <v>15.5</v>
      </c>
      <c r="H77" s="56" t="n">
        <v>0</v>
      </c>
      <c r="I77" s="56" t="n">
        <v>18.3</v>
      </c>
      <c r="J77" s="56" t="n">
        <v>0</v>
      </c>
      <c r="K77" s="56" t="n">
        <v>1027.3</v>
      </c>
      <c r="L77" s="56" t="n">
        <v>0</v>
      </c>
      <c r="M77" s="56" t="n">
        <v>59</v>
      </c>
      <c r="N77" s="56" t="n">
        <v>4.5</v>
      </c>
      <c r="O77" s="56" t="n">
        <f aca="false">IF(D77=1,"",E76)</f>
        <v>21.1</v>
      </c>
      <c r="P77" s="56" t="n">
        <f aca="false">IF(OR(D77=1,K76=""),"",K76)</f>
        <v>1026.4</v>
      </c>
      <c r="Q77" s="56" t="n">
        <f aca="false">IF(OR(F77&lt;&gt;0,AND(I77&lt;&gt;"",E77&lt;I77)),1,0)</f>
        <v>0</v>
      </c>
      <c r="R77" s="56" t="n">
        <f aca="false">IF(AND(D77&gt;1,Q77=0,ISNUMBER(O77),ISNUMBER(P77)),IF(Q76=0,1,0),0)</f>
        <v>1</v>
      </c>
      <c r="S77" s="56" t="n">
        <f aca="false">R77*(B77&gt;=Train_Start)*(B77&lt;=Train_End)</f>
        <v>1</v>
      </c>
      <c r="T77" s="84" t="n">
        <f aca="false">IF(AND(ISNUMBER(O77),ISNUMBER(P77)),Coef_A+Coef_B1*O77+Coef_B2*P77,"")</f>
        <v>21.5730922475225</v>
      </c>
      <c r="U77" s="84" t="n">
        <f aca="false">IF(AND(R77=1,ISNUMBER(T77)),E77-T77,"")</f>
        <v>2.02690775247751</v>
      </c>
      <c r="V77" s="84" t="n">
        <f aca="false">IF(ISNUMBER(T77),T77,-99)</f>
        <v>21.5730922475225</v>
      </c>
      <c r="W77" s="84" t="n">
        <f aca="false">IF(ISNUMBER(U77),ABS(U77),"")</f>
        <v>2.02690775247751</v>
      </c>
    </row>
    <row r="78" customFormat="false" ht="15" hidden="false" customHeight="false" outlineLevel="0" collapsed="false">
      <c r="A78" s="57" t="n">
        <v>29052</v>
      </c>
      <c r="B78" s="56" t="n">
        <v>1979</v>
      </c>
      <c r="C78" s="56" t="n">
        <v>7</v>
      </c>
      <c r="D78" s="56" t="n">
        <v>77</v>
      </c>
      <c r="E78" s="56" t="n">
        <v>26.7</v>
      </c>
      <c r="F78" s="56" t="n">
        <v>0</v>
      </c>
      <c r="G78" s="56" t="n">
        <v>12.1</v>
      </c>
      <c r="H78" s="56" t="n">
        <v>0</v>
      </c>
      <c r="I78" s="56" t="n">
        <v>17.8</v>
      </c>
      <c r="J78" s="56" t="n">
        <v>0</v>
      </c>
      <c r="K78" s="56" t="n">
        <v>1023.7</v>
      </c>
      <c r="L78" s="56" t="n">
        <v>0</v>
      </c>
      <c r="M78" s="56" t="n">
        <v>67</v>
      </c>
      <c r="N78" s="56" t="n">
        <v>3.1</v>
      </c>
      <c r="O78" s="56" t="n">
        <f aca="false">IF(D78=1,"",E77)</f>
        <v>23.6</v>
      </c>
      <c r="P78" s="56" t="n">
        <f aca="false">IF(OR(D78=1,K77=""),"",K77)</f>
        <v>1027.3</v>
      </c>
      <c r="Q78" s="56" t="n">
        <f aca="false">IF(OR(F78&lt;&gt;0,AND(I78&lt;&gt;"",E78&lt;I78)),1,0)</f>
        <v>0</v>
      </c>
      <c r="R78" s="56" t="n">
        <f aca="false">IF(AND(D78&gt;1,Q78=0,ISNUMBER(O78),ISNUMBER(P78)),IF(Q77=0,1,0),0)</f>
        <v>1</v>
      </c>
      <c r="S78" s="56" t="n">
        <f aca="false">R78*(B78&gt;=Train_Start)*(B78&lt;=Train_End)</f>
        <v>1</v>
      </c>
      <c r="T78" s="84" t="n">
        <f aca="false">IF(AND(ISNUMBER(O78),ISNUMBER(P78)),Coef_A+Coef_B1*O78+Coef_B2*P78,"")</f>
        <v>23.6496731352997</v>
      </c>
      <c r="U78" s="84" t="n">
        <f aca="false">IF(AND(R78=1,ISNUMBER(T78)),E78-T78,"")</f>
        <v>3.05032686470028</v>
      </c>
      <c r="V78" s="84" t="n">
        <f aca="false">IF(ISNUMBER(T78),T78,-99)</f>
        <v>23.6496731352997</v>
      </c>
      <c r="W78" s="84" t="n">
        <f aca="false">IF(ISNUMBER(U78),ABS(U78),"")</f>
        <v>3.05032686470028</v>
      </c>
    </row>
    <row r="79" customFormat="false" ht="15" hidden="false" customHeight="false" outlineLevel="0" collapsed="false">
      <c r="A79" s="57" t="n">
        <v>29053</v>
      </c>
      <c r="B79" s="56" t="n">
        <v>1979</v>
      </c>
      <c r="C79" s="56" t="n">
        <v>7</v>
      </c>
      <c r="D79" s="56" t="n">
        <v>78</v>
      </c>
      <c r="E79" s="56" t="n">
        <v>21.8</v>
      </c>
      <c r="F79" s="56" t="n">
        <v>0</v>
      </c>
      <c r="G79" s="56" t="n">
        <v>13.4</v>
      </c>
      <c r="H79" s="56" t="n">
        <v>0</v>
      </c>
      <c r="I79" s="56" t="n">
        <v>20</v>
      </c>
      <c r="J79" s="56" t="n">
        <v>0</v>
      </c>
      <c r="K79" s="56" t="n">
        <v>1020.3</v>
      </c>
      <c r="L79" s="56" t="n">
        <v>0</v>
      </c>
      <c r="M79" s="56" t="n">
        <v>71</v>
      </c>
      <c r="N79" s="56" t="n">
        <v>11.9</v>
      </c>
      <c r="O79" s="56" t="n">
        <f aca="false">IF(D79=1,"",E78)</f>
        <v>26.7</v>
      </c>
      <c r="P79" s="56" t="n">
        <f aca="false">IF(OR(D79=1,K78=""),"",K78)</f>
        <v>1023.7</v>
      </c>
      <c r="Q79" s="56" t="n">
        <f aca="false">IF(OR(F79&lt;&gt;0,AND(I79&lt;&gt;"",E79&lt;I79)),1,0)</f>
        <v>0</v>
      </c>
      <c r="R79" s="56" t="n">
        <f aca="false">IF(AND(D79&gt;1,Q79=0,ISNUMBER(O79),ISNUMBER(P79)),IF(Q78=0,1,0),0)</f>
        <v>1</v>
      </c>
      <c r="S79" s="56" t="n">
        <f aca="false">R79*(B79&gt;=Train_Start)*(B79&lt;=Train_End)</f>
        <v>1</v>
      </c>
      <c r="T79" s="84" t="n">
        <f aca="false">IF(AND(ISNUMBER(O79),ISNUMBER(P79)),Coef_A+Coef_B1*O79+Coef_B2*P79,"")</f>
        <v>26.0766930130496</v>
      </c>
      <c r="U79" s="84" t="n">
        <f aca="false">IF(AND(R79=1,ISNUMBER(T79)),E79-T79,"")</f>
        <v>-4.2766930130496</v>
      </c>
      <c r="V79" s="84" t="n">
        <f aca="false">IF(ISNUMBER(T79),T79,-99)</f>
        <v>26.0766930130496</v>
      </c>
      <c r="W79" s="84" t="n">
        <f aca="false">IF(ISNUMBER(U79),ABS(U79),"")</f>
        <v>4.2766930130496</v>
      </c>
    </row>
    <row r="80" customFormat="false" ht="15" hidden="false" customHeight="false" outlineLevel="0" collapsed="false">
      <c r="A80" s="57" t="n">
        <v>29054</v>
      </c>
      <c r="B80" s="56" t="n">
        <v>1979</v>
      </c>
      <c r="C80" s="56" t="n">
        <v>7</v>
      </c>
      <c r="D80" s="56" t="n">
        <v>79</v>
      </c>
      <c r="E80" s="56" t="n">
        <v>17.7</v>
      </c>
      <c r="F80" s="56" t="n">
        <v>1</v>
      </c>
      <c r="G80" s="56" t="n">
        <v>16</v>
      </c>
      <c r="H80" s="56" t="n">
        <v>0</v>
      </c>
      <c r="I80" s="56" t="n">
        <v>18.9</v>
      </c>
      <c r="J80" s="56" t="n">
        <v>1</v>
      </c>
      <c r="K80" s="56" t="n">
        <v>1013.6</v>
      </c>
      <c r="L80" s="56" t="n">
        <v>0</v>
      </c>
      <c r="M80" s="56" t="n">
        <v>74</v>
      </c>
      <c r="N80" s="56" t="n">
        <v>0.6</v>
      </c>
      <c r="O80" s="56" t="n">
        <f aca="false">IF(D80=1,"",E79)</f>
        <v>21.8</v>
      </c>
      <c r="P80" s="56" t="n">
        <f aca="false">IF(OR(D80=1,K79=""),"",K79)</f>
        <v>1020.3</v>
      </c>
      <c r="Q80" s="56" t="n">
        <f aca="false">IF(OR(F80&lt;&gt;0,AND(I80&lt;&gt;"",E80&lt;I80)),1,0)</f>
        <v>1</v>
      </c>
      <c r="R80" s="56" t="n">
        <f aca="false">IF(AND(D80&gt;1,Q80=0,ISNUMBER(O80),ISNUMBER(P80)),IF(Q79=0,1,0),0)</f>
        <v>0</v>
      </c>
      <c r="S80" s="56" t="n">
        <f aca="false">R80*(B80&gt;=Train_Start)*(B80&lt;=Train_End)</f>
        <v>0</v>
      </c>
      <c r="T80" s="84" t="n">
        <f aca="false">IF(AND(ISNUMBER(O80),ISNUMBER(P80)),Coef_A+Coef_B1*O80+Coef_B2*P80,"")</f>
        <v>21.955273325385</v>
      </c>
      <c r="U80" s="84" t="str">
        <f aca="false">IF(AND(R80=1,ISNUMBER(T80)),E80-T80,"")</f>
        <v/>
      </c>
      <c r="V80" s="84" t="n">
        <f aca="false">IF(ISNUMBER(T80),T80,-99)</f>
        <v>21.955273325385</v>
      </c>
      <c r="W80" s="84" t="str">
        <f aca="false">IF(ISNUMBER(U80),ABS(U80),"")</f>
        <v/>
      </c>
    </row>
    <row r="81" customFormat="false" ht="15" hidden="false" customHeight="false" outlineLevel="0" collapsed="false">
      <c r="A81" s="57" t="n">
        <v>29055</v>
      </c>
      <c r="B81" s="56" t="n">
        <v>1979</v>
      </c>
      <c r="C81" s="56" t="n">
        <v>7</v>
      </c>
      <c r="D81" s="56" t="n">
        <v>80</v>
      </c>
      <c r="E81" s="56" t="n">
        <v>21.5</v>
      </c>
      <c r="F81" s="56" t="n">
        <v>0</v>
      </c>
      <c r="G81" s="56" t="n">
        <v>14</v>
      </c>
      <c r="H81" s="56" t="n">
        <v>0</v>
      </c>
      <c r="I81" s="56" t="n">
        <v>15.8</v>
      </c>
      <c r="J81" s="56" t="n">
        <v>0</v>
      </c>
      <c r="K81" s="56" t="n">
        <v>1014</v>
      </c>
      <c r="L81" s="56" t="n">
        <v>0</v>
      </c>
      <c r="M81" s="56" t="n">
        <v>68</v>
      </c>
      <c r="N81" s="56" t="n">
        <v>0.7</v>
      </c>
      <c r="O81" s="56" t="n">
        <f aca="false">IF(D81=1,"",E80)</f>
        <v>17.7</v>
      </c>
      <c r="P81" s="56" t="n">
        <f aca="false">IF(OR(D81=1,K80=""),"",K80)</f>
        <v>1013.6</v>
      </c>
      <c r="Q81" s="56" t="n">
        <f aca="false">IF(OR(F81&lt;&gt;0,AND(I81&lt;&gt;"",E81&lt;I81)),1,0)</f>
        <v>0</v>
      </c>
      <c r="R81" s="56" t="n">
        <f aca="false">IF(AND(D81&gt;1,Q81=0,ISNUMBER(O81),ISNUMBER(P81)),IF(Q80=0,1,0),0)</f>
        <v>0</v>
      </c>
      <c r="S81" s="56" t="n">
        <f aca="false">R81*(B81&gt;=Train_Start)*(B81&lt;=Train_End)</f>
        <v>0</v>
      </c>
      <c r="T81" s="84" t="n">
        <f aca="false">IF(AND(ISNUMBER(O81),ISNUMBER(P81)),Coef_A+Coef_B1*O81+Coef_B2*P81,"")</f>
        <v>18.3858043398624</v>
      </c>
      <c r="U81" s="84" t="str">
        <f aca="false">IF(AND(R81=1,ISNUMBER(T81)),E81-T81,"")</f>
        <v/>
      </c>
      <c r="V81" s="84" t="n">
        <f aca="false">IF(ISNUMBER(T81),T81,-99)</f>
        <v>18.3858043398624</v>
      </c>
      <c r="W81" s="84" t="str">
        <f aca="false">IF(ISNUMBER(U81),ABS(U81),"")</f>
        <v/>
      </c>
    </row>
    <row r="82" customFormat="false" ht="15" hidden="false" customHeight="false" outlineLevel="0" collapsed="false">
      <c r="A82" s="57" t="n">
        <v>29056</v>
      </c>
      <c r="B82" s="56" t="n">
        <v>1979</v>
      </c>
      <c r="C82" s="56" t="n">
        <v>7</v>
      </c>
      <c r="D82" s="56" t="n">
        <v>81</v>
      </c>
      <c r="E82" s="56" t="n">
        <v>19.5</v>
      </c>
      <c r="F82" s="56" t="n">
        <v>0</v>
      </c>
      <c r="G82" s="56" t="n">
        <v>13.6</v>
      </c>
      <c r="H82" s="56" t="n">
        <v>0</v>
      </c>
      <c r="I82" s="56" t="n">
        <v>17.6</v>
      </c>
      <c r="J82" s="56" t="n">
        <v>0</v>
      </c>
      <c r="K82" s="56" t="n">
        <v>1014.5</v>
      </c>
      <c r="L82" s="56" t="n">
        <v>0</v>
      </c>
      <c r="M82" s="56" t="n">
        <v>61</v>
      </c>
      <c r="N82" s="56" t="n">
        <v>8.7</v>
      </c>
      <c r="O82" s="56" t="n">
        <f aca="false">IF(D82=1,"",E81)</f>
        <v>21.5</v>
      </c>
      <c r="P82" s="56" t="n">
        <f aca="false">IF(OR(D82=1,K81=""),"",K81)</f>
        <v>1014</v>
      </c>
      <c r="Q82" s="56" t="n">
        <f aca="false">IF(OR(F82&lt;&gt;0,AND(I82&lt;&gt;"",E82&lt;I82)),1,0)</f>
        <v>0</v>
      </c>
      <c r="R82" s="56" t="n">
        <f aca="false">IF(AND(D82&gt;1,Q82=0,ISNUMBER(O82),ISNUMBER(P82)),IF(Q81=0,1,0),0)</f>
        <v>1</v>
      </c>
      <c r="S82" s="56" t="n">
        <f aca="false">R82*(B82&gt;=Train_Start)*(B82&lt;=Train_End)</f>
        <v>1</v>
      </c>
      <c r="T82" s="84" t="n">
        <f aca="false">IF(AND(ISNUMBER(O82),ISNUMBER(P82)),Coef_A+Coef_B1*O82+Coef_B2*P82,"")</f>
        <v>21.5118412312781</v>
      </c>
      <c r="U82" s="84" t="n">
        <f aca="false">IF(AND(R82=1,ISNUMBER(T82)),E82-T82,"")</f>
        <v>-2.01184123127808</v>
      </c>
      <c r="V82" s="84" t="n">
        <f aca="false">IF(ISNUMBER(T82),T82,-99)</f>
        <v>21.5118412312781</v>
      </c>
      <c r="W82" s="84" t="n">
        <f aca="false">IF(ISNUMBER(U82),ABS(U82),"")</f>
        <v>2.01184123127808</v>
      </c>
    </row>
    <row r="83" customFormat="false" ht="15" hidden="false" customHeight="false" outlineLevel="0" collapsed="false">
      <c r="A83" s="57" t="n">
        <v>29057</v>
      </c>
      <c r="B83" s="56" t="n">
        <v>1979</v>
      </c>
      <c r="C83" s="56" t="n">
        <v>7</v>
      </c>
      <c r="D83" s="56" t="n">
        <v>82</v>
      </c>
      <c r="E83" s="56" t="n">
        <v>18.1</v>
      </c>
      <c r="F83" s="56" t="n">
        <v>0</v>
      </c>
      <c r="G83" s="56" t="n">
        <v>13</v>
      </c>
      <c r="H83" s="56" t="n">
        <v>0</v>
      </c>
      <c r="I83" s="56" t="n">
        <v>16.2</v>
      </c>
      <c r="J83" s="56" t="n">
        <v>0</v>
      </c>
      <c r="K83" s="56" t="n">
        <v>1013.8</v>
      </c>
      <c r="L83" s="56" t="n">
        <v>0</v>
      </c>
      <c r="M83" s="56" t="n">
        <v>64</v>
      </c>
      <c r="N83" s="56" t="n">
        <v>3.5</v>
      </c>
      <c r="O83" s="56" t="n">
        <f aca="false">IF(D83=1,"",E82)</f>
        <v>19.5</v>
      </c>
      <c r="P83" s="56" t="n">
        <f aca="false">IF(OR(D83=1,K82=""),"",K82)</f>
        <v>1014.5</v>
      </c>
      <c r="Q83" s="56" t="n">
        <f aca="false">IF(OR(F83&lt;&gt;0,AND(I83&lt;&gt;"",E83&lt;I83)),1,0)</f>
        <v>0</v>
      </c>
      <c r="R83" s="56" t="n">
        <f aca="false">IF(AND(D83&gt;1,Q83=0,ISNUMBER(O83),ISNUMBER(P83)),IF(Q82=0,1,0),0)</f>
        <v>1</v>
      </c>
      <c r="S83" s="56" t="n">
        <f aca="false">R83*(B83&gt;=Train_Start)*(B83&lt;=Train_End)</f>
        <v>1</v>
      </c>
      <c r="T83" s="84" t="n">
        <f aca="false">IF(AND(ISNUMBER(O83),ISNUMBER(P83)),Coef_A+Coef_B1*O83+Coef_B2*P83,"")</f>
        <v>19.8888477925098</v>
      </c>
      <c r="U83" s="84" t="n">
        <f aca="false">IF(AND(R83=1,ISNUMBER(T83)),E83-T83,"")</f>
        <v>-1.78884779250976</v>
      </c>
      <c r="V83" s="84" t="n">
        <f aca="false">IF(ISNUMBER(T83),T83,-99)</f>
        <v>19.8888477925098</v>
      </c>
      <c r="W83" s="84" t="n">
        <f aca="false">IF(ISNUMBER(U83),ABS(U83),"")</f>
        <v>1.78884779250976</v>
      </c>
    </row>
    <row r="84" customFormat="false" ht="15" hidden="false" customHeight="false" outlineLevel="0" collapsed="false">
      <c r="A84" s="57" t="n">
        <v>29058</v>
      </c>
      <c r="B84" s="56" t="n">
        <v>1979</v>
      </c>
      <c r="C84" s="56" t="n">
        <v>7</v>
      </c>
      <c r="D84" s="56" t="n">
        <v>83</v>
      </c>
      <c r="E84" s="56" t="n">
        <v>18.7</v>
      </c>
      <c r="F84" s="56" t="n">
        <v>0</v>
      </c>
      <c r="G84" s="56" t="n">
        <v>9.4</v>
      </c>
      <c r="H84" s="56" t="n">
        <v>0</v>
      </c>
      <c r="I84" s="56" t="n">
        <v>13.8</v>
      </c>
      <c r="J84" s="56" t="n">
        <v>0</v>
      </c>
      <c r="K84" s="56" t="n">
        <v>1022.6</v>
      </c>
      <c r="L84" s="56" t="n">
        <v>0</v>
      </c>
      <c r="M84" s="56" t="n">
        <v>68</v>
      </c>
      <c r="N84" s="56" t="n">
        <v>0.1</v>
      </c>
      <c r="O84" s="56" t="n">
        <f aca="false">IF(D84=1,"",E83)</f>
        <v>18.1</v>
      </c>
      <c r="P84" s="56" t="n">
        <f aca="false">IF(OR(D84=1,K83=""),"",K83)</f>
        <v>1013.8</v>
      </c>
      <c r="Q84" s="56" t="n">
        <f aca="false">IF(OR(F84&lt;&gt;0,AND(I84&lt;&gt;"",E84&lt;I84)),1,0)</f>
        <v>0</v>
      </c>
      <c r="R84" s="56" t="n">
        <f aca="false">IF(AND(D84&gt;1,Q84=0,ISNUMBER(O84),ISNUMBER(P84)),IF(Q83=0,1,0),0)</f>
        <v>1</v>
      </c>
      <c r="S84" s="56" t="n">
        <f aca="false">R84*(B84&gt;=Train_Start)*(B84&lt;=Train_End)</f>
        <v>1</v>
      </c>
      <c r="T84" s="84" t="n">
        <f aca="false">IF(AND(ISNUMBER(O84),ISNUMBER(P84)),Coef_A+Coef_B1*O84+Coef_B2*P84,"")</f>
        <v>18.7198139960062</v>
      </c>
      <c r="U84" s="84" t="n">
        <f aca="false">IF(AND(R84=1,ISNUMBER(T84)),E84-T84,"")</f>
        <v>-0.0198139960062456</v>
      </c>
      <c r="V84" s="84" t="n">
        <f aca="false">IF(ISNUMBER(T84),T84,-99)</f>
        <v>18.7198139960062</v>
      </c>
      <c r="W84" s="84" t="n">
        <f aca="false">IF(ISNUMBER(U84),ABS(U84),"")</f>
        <v>0.0198139960062456</v>
      </c>
    </row>
    <row r="85" customFormat="false" ht="15" hidden="false" customHeight="false" outlineLevel="0" collapsed="false">
      <c r="A85" s="57" t="n">
        <v>29059</v>
      </c>
      <c r="B85" s="56" t="n">
        <v>1979</v>
      </c>
      <c r="C85" s="56" t="n">
        <v>7</v>
      </c>
      <c r="D85" s="56" t="n">
        <v>84</v>
      </c>
      <c r="E85" s="56" t="n">
        <v>21.1</v>
      </c>
      <c r="F85" s="56" t="n">
        <v>0</v>
      </c>
      <c r="G85" s="56" t="n">
        <v>12.9</v>
      </c>
      <c r="H85" s="56" t="n">
        <v>0</v>
      </c>
      <c r="I85" s="56" t="n">
        <v>15.8</v>
      </c>
      <c r="J85" s="56" t="n">
        <v>0</v>
      </c>
      <c r="K85" s="56" t="n">
        <v>1024.4</v>
      </c>
      <c r="L85" s="56" t="n">
        <v>0</v>
      </c>
      <c r="M85" s="56" t="n">
        <v>69</v>
      </c>
      <c r="N85" s="56" t="n">
        <v>0.4</v>
      </c>
      <c r="O85" s="56" t="n">
        <f aca="false">IF(D85=1,"",E84)</f>
        <v>18.7</v>
      </c>
      <c r="P85" s="56" t="n">
        <f aca="false">IF(OR(D85=1,K84=""),"",K84)</f>
        <v>1022.6</v>
      </c>
      <c r="Q85" s="56" t="n">
        <f aca="false">IF(OR(F85&lt;&gt;0,AND(I85&lt;&gt;"",E85&lt;I85)),1,0)</f>
        <v>0</v>
      </c>
      <c r="R85" s="56" t="n">
        <f aca="false">IF(AND(D85&gt;1,Q85=0,ISNUMBER(O85),ISNUMBER(P85)),IF(Q84=0,1,0),0)</f>
        <v>1</v>
      </c>
      <c r="S85" s="56" t="n">
        <f aca="false">R85*(B85&gt;=Train_Start)*(B85&lt;=Train_End)</f>
        <v>1</v>
      </c>
      <c r="T85" s="84" t="n">
        <f aca="false">IF(AND(ISNUMBER(O85),ISNUMBER(P85)),Coef_A+Coef_B1*O85+Coef_B2*P85,"")</f>
        <v>19.487472584611</v>
      </c>
      <c r="U85" s="84" t="n">
        <f aca="false">IF(AND(R85=1,ISNUMBER(T85)),E85-T85,"")</f>
        <v>1.61252741538905</v>
      </c>
      <c r="V85" s="84" t="n">
        <f aca="false">IF(ISNUMBER(T85),T85,-99)</f>
        <v>19.487472584611</v>
      </c>
      <c r="W85" s="84" t="n">
        <f aca="false">IF(ISNUMBER(U85),ABS(U85),"")</f>
        <v>1.61252741538905</v>
      </c>
    </row>
    <row r="86" customFormat="false" ht="15" hidden="false" customHeight="false" outlineLevel="0" collapsed="false">
      <c r="A86" s="57" t="n">
        <v>29060</v>
      </c>
      <c r="B86" s="56" t="n">
        <v>1979</v>
      </c>
      <c r="C86" s="56" t="n">
        <v>7</v>
      </c>
      <c r="D86" s="56" t="n">
        <v>85</v>
      </c>
      <c r="E86" s="56" t="n">
        <v>25.2</v>
      </c>
      <c r="F86" s="56" t="n">
        <v>0</v>
      </c>
      <c r="G86" s="56" t="n">
        <v>12.3</v>
      </c>
      <c r="H86" s="56" t="n">
        <v>0</v>
      </c>
      <c r="I86" s="56" t="n">
        <v>16.7</v>
      </c>
      <c r="J86" s="56" t="n">
        <v>0</v>
      </c>
      <c r="K86" s="56" t="n">
        <v>1020.5</v>
      </c>
      <c r="L86" s="56" t="n">
        <v>0</v>
      </c>
      <c r="M86" s="56" t="n">
        <v>86</v>
      </c>
      <c r="N86" s="56" t="n">
        <v>2.3</v>
      </c>
      <c r="O86" s="56" t="n">
        <f aca="false">IF(D86=1,"",E85)</f>
        <v>21.1</v>
      </c>
      <c r="P86" s="56" t="n">
        <f aca="false">IF(OR(D86=1,K85=""),"",K85)</f>
        <v>1024.4</v>
      </c>
      <c r="Q86" s="56" t="n">
        <f aca="false">IF(OR(F86&lt;&gt;0,AND(I86&lt;&gt;"",E86&lt;I86)),1,0)</f>
        <v>0</v>
      </c>
      <c r="R86" s="56" t="n">
        <f aca="false">IF(AND(D86&gt;1,Q86=0,ISNUMBER(O86),ISNUMBER(P86)),IF(Q85=0,1,0),0)</f>
        <v>1</v>
      </c>
      <c r="S86" s="56" t="n">
        <f aca="false">R86*(B86&gt;=Train_Start)*(B86&lt;=Train_End)</f>
        <v>1</v>
      </c>
      <c r="T86" s="84" t="n">
        <f aca="false">IF(AND(ISNUMBER(O86),ISNUMBER(P86)),Coef_A+Coef_B1*O86+Coef_B2*P86,"")</f>
        <v>21.5103524582545</v>
      </c>
      <c r="U86" s="84" t="n">
        <f aca="false">IF(AND(R86=1,ISNUMBER(T86)),E86-T86,"")</f>
        <v>3.68964754174549</v>
      </c>
      <c r="V86" s="84" t="n">
        <f aca="false">IF(ISNUMBER(T86),T86,-99)</f>
        <v>21.5103524582545</v>
      </c>
      <c r="W86" s="84" t="n">
        <f aca="false">IF(ISNUMBER(U86),ABS(U86),"")</f>
        <v>3.68964754174549</v>
      </c>
    </row>
    <row r="87" customFormat="false" ht="15" hidden="false" customHeight="false" outlineLevel="0" collapsed="false">
      <c r="A87" s="57" t="n">
        <v>29061</v>
      </c>
      <c r="B87" s="56" t="n">
        <v>1979</v>
      </c>
      <c r="C87" s="56" t="n">
        <v>7</v>
      </c>
      <c r="D87" s="56" t="n">
        <v>86</v>
      </c>
      <c r="E87" s="56" t="n">
        <v>27.1</v>
      </c>
      <c r="F87" s="56" t="n">
        <v>0</v>
      </c>
      <c r="G87" s="56" t="n">
        <v>12.6</v>
      </c>
      <c r="H87" s="56" t="n">
        <v>0</v>
      </c>
      <c r="I87" s="56" t="n">
        <v>18.9</v>
      </c>
      <c r="J87" s="56" t="n">
        <v>0</v>
      </c>
      <c r="K87" s="56" t="n">
        <v>1018.6</v>
      </c>
      <c r="L87" s="56" t="n">
        <v>0</v>
      </c>
      <c r="M87" s="56" t="n">
        <v>72</v>
      </c>
      <c r="N87" s="56" t="n">
        <v>5.8</v>
      </c>
      <c r="O87" s="56" t="n">
        <f aca="false">IF(D87=1,"",E86)</f>
        <v>25.2</v>
      </c>
      <c r="P87" s="56" t="n">
        <f aca="false">IF(OR(D87=1,K86=""),"",K86)</f>
        <v>1020.5</v>
      </c>
      <c r="Q87" s="56" t="n">
        <f aca="false">IF(OR(F87&lt;&gt;0,AND(I87&lt;&gt;"",E87&lt;I87)),1,0)</f>
        <v>0</v>
      </c>
      <c r="R87" s="56" t="n">
        <f aca="false">IF(AND(D87&gt;1,Q87=0,ISNUMBER(O87),ISNUMBER(P87)),IF(Q86=0,1,0),0)</f>
        <v>1</v>
      </c>
      <c r="S87" s="56" t="n">
        <f aca="false">R87*(B87&gt;=Train_Start)*(B87&lt;=Train_End)</f>
        <v>1</v>
      </c>
      <c r="T87" s="84" t="n">
        <f aca="false">IF(AND(ISNUMBER(O87),ISNUMBER(P87)),Coef_A+Coef_B1*O87+Coef_B2*P87,"")</f>
        <v>24.7473005606568</v>
      </c>
      <c r="U87" s="84" t="n">
        <f aca="false">IF(AND(R87=1,ISNUMBER(T87)),E87-T87,"")</f>
        <v>2.35269943934316</v>
      </c>
      <c r="V87" s="84" t="n">
        <f aca="false">IF(ISNUMBER(T87),T87,-99)</f>
        <v>24.7473005606568</v>
      </c>
      <c r="W87" s="84" t="n">
        <f aca="false">IF(ISNUMBER(U87),ABS(U87),"")</f>
        <v>2.35269943934316</v>
      </c>
    </row>
    <row r="88" customFormat="false" ht="15" hidden="false" customHeight="false" outlineLevel="0" collapsed="false">
      <c r="A88" s="57" t="n">
        <v>29062</v>
      </c>
      <c r="B88" s="56" t="n">
        <v>1979</v>
      </c>
      <c r="C88" s="56" t="n">
        <v>7</v>
      </c>
      <c r="D88" s="56" t="n">
        <v>87</v>
      </c>
      <c r="E88" s="56" t="n">
        <v>29.9</v>
      </c>
      <c r="F88" s="56" t="n">
        <v>0</v>
      </c>
      <c r="G88" s="56" t="n">
        <v>13.2</v>
      </c>
      <c r="H88" s="56" t="n">
        <v>0</v>
      </c>
      <c r="I88" s="56" t="n">
        <v>20.2</v>
      </c>
      <c r="J88" s="56" t="n">
        <v>0</v>
      </c>
      <c r="K88" s="56" t="n">
        <v>1019.7</v>
      </c>
      <c r="L88" s="56" t="n">
        <v>0</v>
      </c>
      <c r="M88" s="56" t="n">
        <v>66</v>
      </c>
      <c r="N88" s="56" t="n">
        <v>10.7</v>
      </c>
      <c r="O88" s="56" t="n">
        <f aca="false">IF(D88=1,"",E87)</f>
        <v>27.1</v>
      </c>
      <c r="P88" s="56" t="n">
        <f aca="false">IF(OR(D88=1,K87=""),"",K87)</f>
        <v>1018.6</v>
      </c>
      <c r="Q88" s="56" t="n">
        <f aca="false">IF(OR(F88&lt;&gt;0,AND(I88&lt;&gt;"",E88&lt;I88)),1,0)</f>
        <v>0</v>
      </c>
      <c r="R88" s="56" t="n">
        <f aca="false">IF(AND(D88&gt;1,Q88=0,ISNUMBER(O88),ISNUMBER(P88)),IF(Q87=0,1,0),0)</f>
        <v>1</v>
      </c>
      <c r="S88" s="56" t="n">
        <f aca="false">R88*(B88&gt;=Train_Start)*(B88&lt;=Train_End)</f>
        <v>1</v>
      </c>
      <c r="T88" s="84" t="n">
        <f aca="false">IF(AND(ISNUMBER(O88),ISNUMBER(P88)),Coef_A+Coef_B1*O88+Coef_B2*P88,"")</f>
        <v>26.2444422276333</v>
      </c>
      <c r="U88" s="84" t="n">
        <f aca="false">IF(AND(R88=1,ISNUMBER(T88)),E88-T88,"")</f>
        <v>3.65555777236668</v>
      </c>
      <c r="V88" s="84" t="n">
        <f aca="false">IF(ISNUMBER(T88),T88,-99)</f>
        <v>26.2444422276333</v>
      </c>
      <c r="W88" s="84" t="n">
        <f aca="false">IF(ISNUMBER(U88),ABS(U88),"")</f>
        <v>3.65555777236668</v>
      </c>
    </row>
    <row r="89" customFormat="false" ht="15" hidden="false" customHeight="false" outlineLevel="0" collapsed="false">
      <c r="A89" s="57" t="n">
        <v>29063</v>
      </c>
      <c r="B89" s="56" t="n">
        <v>1979</v>
      </c>
      <c r="C89" s="56" t="n">
        <v>7</v>
      </c>
      <c r="D89" s="56" t="n">
        <v>88</v>
      </c>
      <c r="E89" s="56" t="n">
        <v>27.4</v>
      </c>
      <c r="F89" s="56" t="n">
        <v>0</v>
      </c>
      <c r="G89" s="56" t="n">
        <v>14.6</v>
      </c>
      <c r="H89" s="56" t="n">
        <v>0</v>
      </c>
      <c r="I89" s="56" t="n">
        <v>22.2</v>
      </c>
      <c r="J89" s="56" t="n">
        <v>0</v>
      </c>
      <c r="K89" s="56" t="n">
        <v>1020.6</v>
      </c>
      <c r="L89" s="56" t="n">
        <v>0</v>
      </c>
      <c r="M89" s="56" t="n">
        <v>63</v>
      </c>
      <c r="N89" s="56" t="n">
        <v>11.3</v>
      </c>
      <c r="O89" s="56" t="n">
        <f aca="false">IF(D89=1,"",E88)</f>
        <v>29.9</v>
      </c>
      <c r="P89" s="56" t="n">
        <f aca="false">IF(OR(D89=1,K88=""),"",K88)</f>
        <v>1019.7</v>
      </c>
      <c r="Q89" s="56" t="n">
        <f aca="false">IF(OR(F89&lt;&gt;0,AND(I89&lt;&gt;"",E89&lt;I89)),1,0)</f>
        <v>0</v>
      </c>
      <c r="R89" s="56" t="n">
        <f aca="false">IF(AND(D89&gt;1,Q89=0,ISNUMBER(O89),ISNUMBER(P89)),IF(Q88=0,1,0),0)</f>
        <v>1</v>
      </c>
      <c r="S89" s="56" t="n">
        <f aca="false">R89*(B89&gt;=Train_Start)*(B89&lt;=Train_End)</f>
        <v>1</v>
      </c>
      <c r="T89" s="84" t="n">
        <f aca="false">IF(AND(ISNUMBER(O89),ISNUMBER(P89)),Coef_A+Coef_B1*O89+Coef_B2*P89,"")</f>
        <v>28.5730988522501</v>
      </c>
      <c r="U89" s="84" t="n">
        <f aca="false">IF(AND(R89=1,ISNUMBER(T89)),E89-T89,"")</f>
        <v>-1.17309885225014</v>
      </c>
      <c r="V89" s="84" t="n">
        <f aca="false">IF(ISNUMBER(T89),T89,-99)</f>
        <v>28.5730988522501</v>
      </c>
      <c r="W89" s="84" t="n">
        <f aca="false">IF(ISNUMBER(U89),ABS(U89),"")</f>
        <v>1.17309885225014</v>
      </c>
    </row>
    <row r="90" customFormat="false" ht="15" hidden="false" customHeight="false" outlineLevel="0" collapsed="false">
      <c r="A90" s="57" t="n">
        <v>29064</v>
      </c>
      <c r="B90" s="56" t="n">
        <v>1979</v>
      </c>
      <c r="C90" s="56" t="n">
        <v>7</v>
      </c>
      <c r="D90" s="56" t="n">
        <v>89</v>
      </c>
      <c r="E90" s="56" t="n">
        <v>19.8</v>
      </c>
      <c r="F90" s="56" t="n">
        <v>1</v>
      </c>
      <c r="G90" s="56" t="n">
        <v>16.4</v>
      </c>
      <c r="H90" s="56" t="n">
        <v>0</v>
      </c>
      <c r="I90" s="56" t="n">
        <v>21.9</v>
      </c>
      <c r="J90" s="56" t="n">
        <v>1</v>
      </c>
      <c r="K90" s="56" t="n">
        <v>1018.9</v>
      </c>
      <c r="L90" s="56" t="n">
        <v>0</v>
      </c>
      <c r="M90" s="56" t="n">
        <v>72</v>
      </c>
      <c r="N90" s="56" t="n">
        <v>5.8</v>
      </c>
      <c r="O90" s="56" t="n">
        <f aca="false">IF(D90=1,"",E89)</f>
        <v>27.4</v>
      </c>
      <c r="P90" s="56" t="n">
        <f aca="false">IF(OR(D90=1,K89=""),"",K89)</f>
        <v>1020.6</v>
      </c>
      <c r="Q90" s="56" t="n">
        <f aca="false">IF(OR(F90&lt;&gt;0,AND(I90&lt;&gt;"",E90&lt;I90)),1,0)</f>
        <v>1</v>
      </c>
      <c r="R90" s="56" t="n">
        <f aca="false">IF(AND(D90&gt;1,Q90=0,ISNUMBER(O90),ISNUMBER(P90)),IF(Q89=0,1,0),0)</f>
        <v>0</v>
      </c>
      <c r="S90" s="56" t="n">
        <f aca="false">R90*(B90&gt;=Train_Start)*(B90&lt;=Train_End)</f>
        <v>0</v>
      </c>
      <c r="T90" s="84" t="n">
        <f aca="false">IF(AND(ISNUMBER(O90),ISNUMBER(P90)),Coef_A+Coef_B1*O90+Coef_B2*P90,"")</f>
        <v>26.5529837748141</v>
      </c>
      <c r="U90" s="84" t="str">
        <f aca="false">IF(AND(R90=1,ISNUMBER(T90)),E90-T90,"")</f>
        <v/>
      </c>
      <c r="V90" s="84" t="n">
        <f aca="false">IF(ISNUMBER(T90),T90,-99)</f>
        <v>26.5529837748141</v>
      </c>
      <c r="W90" s="84" t="str">
        <f aca="false">IF(ISNUMBER(U90),ABS(U90),"")</f>
        <v/>
      </c>
    </row>
    <row r="91" customFormat="false" ht="15" hidden="false" customHeight="false" outlineLevel="0" collapsed="false">
      <c r="A91" s="57" t="n">
        <v>29065</v>
      </c>
      <c r="B91" s="56" t="n">
        <v>1979</v>
      </c>
      <c r="C91" s="56" t="n">
        <v>7</v>
      </c>
      <c r="D91" s="56" t="n">
        <v>90</v>
      </c>
      <c r="E91" s="56" t="n">
        <v>21.5</v>
      </c>
      <c r="F91" s="56" t="n">
        <v>0</v>
      </c>
      <c r="G91" s="56" t="n">
        <v>17.3</v>
      </c>
      <c r="H91" s="56" t="n">
        <v>0</v>
      </c>
      <c r="I91" s="56" t="n">
        <v>18.6</v>
      </c>
      <c r="J91" s="56" t="n">
        <v>0</v>
      </c>
      <c r="K91" s="56" t="n">
        <v>1010.7</v>
      </c>
      <c r="L91" s="56" t="n">
        <v>0</v>
      </c>
      <c r="M91" s="56" t="n">
        <v>90</v>
      </c>
      <c r="N91" s="56" t="n">
        <v>0.9</v>
      </c>
      <c r="O91" s="56" t="n">
        <f aca="false">IF(D91=1,"",E90)</f>
        <v>19.8</v>
      </c>
      <c r="P91" s="56" t="n">
        <f aca="false">IF(OR(D91=1,K90=""),"",K90)</f>
        <v>1018.9</v>
      </c>
      <c r="Q91" s="56" t="n">
        <f aca="false">IF(OR(F91&lt;&gt;0,AND(I91&lt;&gt;"",E91&lt;I91)),1,0)</f>
        <v>0</v>
      </c>
      <c r="R91" s="56" t="n">
        <f aca="false">IF(AND(D91&gt;1,Q91=0,ISNUMBER(O91),ISNUMBER(P91)),IF(Q90=0,1,0),0)</f>
        <v>0</v>
      </c>
      <c r="S91" s="56" t="n">
        <f aca="false">R91*(B91&gt;=Train_Start)*(B91&lt;=Train_End)</f>
        <v>0</v>
      </c>
      <c r="T91" s="84" t="n">
        <f aca="false">IF(AND(ISNUMBER(O91),ISNUMBER(P91)),Coef_A+Coef_B1*O91+Coef_B2*P91,"")</f>
        <v>20.2726770868121</v>
      </c>
      <c r="U91" s="84" t="str">
        <f aca="false">IF(AND(R91=1,ISNUMBER(T91)),E91-T91,"")</f>
        <v/>
      </c>
      <c r="V91" s="84" t="n">
        <f aca="false">IF(ISNUMBER(T91),T91,-99)</f>
        <v>20.2726770868121</v>
      </c>
      <c r="W91" s="84" t="str">
        <f aca="false">IF(ISNUMBER(U91),ABS(U91),"")</f>
        <v/>
      </c>
    </row>
    <row r="92" customFormat="false" ht="15" hidden="false" customHeight="false" outlineLevel="0" collapsed="false">
      <c r="A92" s="57" t="n">
        <v>29066</v>
      </c>
      <c r="B92" s="56" t="n">
        <v>1979</v>
      </c>
      <c r="C92" s="56" t="n">
        <v>7</v>
      </c>
      <c r="D92" s="56" t="n">
        <v>91</v>
      </c>
      <c r="E92" s="56" t="n">
        <v>20.8</v>
      </c>
      <c r="F92" s="56" t="n">
        <v>0</v>
      </c>
      <c r="G92" s="56" t="n">
        <v>14.1</v>
      </c>
      <c r="H92" s="56" t="n">
        <v>0</v>
      </c>
      <c r="I92" s="56" t="n">
        <v>17.8</v>
      </c>
      <c r="J92" s="56" t="n">
        <v>0</v>
      </c>
      <c r="K92" s="56" t="n">
        <v>1008.3</v>
      </c>
      <c r="L92" s="56" t="n">
        <v>0</v>
      </c>
      <c r="M92" s="56" t="n">
        <v>79</v>
      </c>
      <c r="N92" s="56" t="n">
        <v>0.7</v>
      </c>
      <c r="O92" s="56" t="n">
        <f aca="false">IF(D92=1,"",E91)</f>
        <v>21.5</v>
      </c>
      <c r="P92" s="56" t="n">
        <f aca="false">IF(OR(D92=1,K91=""),"",K91)</f>
        <v>1010.7</v>
      </c>
      <c r="Q92" s="56" t="n">
        <f aca="false">IF(OR(F92&lt;&gt;0,AND(I92&lt;&gt;"",E92&lt;I92)),1,0)</f>
        <v>0</v>
      </c>
      <c r="R92" s="56" t="n">
        <f aca="false">IF(AND(D92&gt;1,Q92=0,ISNUMBER(O92),ISNUMBER(P92)),IF(Q91=0,1,0),0)</f>
        <v>1</v>
      </c>
      <c r="S92" s="56" t="n">
        <f aca="false">R92*(B92&gt;=Train_Start)*(B92&lt;=Train_End)</f>
        <v>1</v>
      </c>
      <c r="T92" s="84" t="n">
        <f aca="false">IF(AND(ISNUMBER(O92),ISNUMBER(P92)),Coef_A+Coef_B1*O92+Coef_B2*P92,"")</f>
        <v>21.4083205789859</v>
      </c>
      <c r="U92" s="84" t="n">
        <f aca="false">IF(AND(R92=1,ISNUMBER(T92)),E92-T92,"")</f>
        <v>-0.608320578985914</v>
      </c>
      <c r="V92" s="84" t="n">
        <f aca="false">IF(ISNUMBER(T92),T92,-99)</f>
        <v>21.4083205789859</v>
      </c>
      <c r="W92" s="84" t="n">
        <f aca="false">IF(ISNUMBER(U92),ABS(U92),"")</f>
        <v>0.608320578985914</v>
      </c>
    </row>
    <row r="93" customFormat="false" ht="15" hidden="false" customHeight="false" outlineLevel="0" collapsed="false">
      <c r="A93" s="57" t="n">
        <v>29067</v>
      </c>
      <c r="B93" s="56" t="n">
        <v>1979</v>
      </c>
      <c r="C93" s="56" t="n">
        <v>7</v>
      </c>
      <c r="D93" s="56" t="n">
        <v>92</v>
      </c>
      <c r="E93" s="56" t="n">
        <v>23.1</v>
      </c>
      <c r="F93" s="56" t="n">
        <v>0</v>
      </c>
      <c r="G93" s="56" t="n">
        <v>14.8</v>
      </c>
      <c r="H93" s="56" t="n">
        <v>0</v>
      </c>
      <c r="I93" s="56" t="n">
        <v>17.8</v>
      </c>
      <c r="J93" s="56" t="n">
        <v>0</v>
      </c>
      <c r="K93" s="56" t="n">
        <v>1002.2</v>
      </c>
      <c r="L93" s="56" t="n">
        <v>0</v>
      </c>
      <c r="M93" s="56" t="n">
        <v>77</v>
      </c>
      <c r="N93" s="56" t="n">
        <v>5.9</v>
      </c>
      <c r="O93" s="56" t="n">
        <f aca="false">IF(D93=1,"",E92)</f>
        <v>20.8</v>
      </c>
      <c r="P93" s="56" t="n">
        <f aca="false">IF(OR(D93=1,K92=""),"",K92)</f>
        <v>1008.3</v>
      </c>
      <c r="Q93" s="56" t="n">
        <f aca="false">IF(OR(F93&lt;&gt;0,AND(I93&lt;&gt;"",E93&lt;I93)),1,0)</f>
        <v>0</v>
      </c>
      <c r="R93" s="56" t="n">
        <f aca="false">IF(AND(D93&gt;1,Q93=0,ISNUMBER(O93),ISNUMBER(P93)),IF(Q92=0,1,0),0)</f>
        <v>1</v>
      </c>
      <c r="S93" s="56" t="n">
        <f aca="false">R93*(B93&gt;=Train_Start)*(B93&lt;=Train_End)</f>
        <v>1</v>
      </c>
      <c r="T93" s="84" t="n">
        <f aca="false">IF(AND(ISNUMBER(O93),ISNUMBER(P93)),Coef_A+Coef_B1*O93+Coef_B2*P93,"")</f>
        <v>20.7594953967345</v>
      </c>
      <c r="U93" s="84" t="n">
        <f aca="false">IF(AND(R93=1,ISNUMBER(T93)),E93-T93,"")</f>
        <v>2.34050460326552</v>
      </c>
      <c r="V93" s="84" t="n">
        <f aca="false">IF(ISNUMBER(T93),T93,-99)</f>
        <v>20.7594953967345</v>
      </c>
      <c r="W93" s="84" t="n">
        <f aca="false">IF(ISNUMBER(U93),ABS(U93),"")</f>
        <v>2.34050460326552</v>
      </c>
    </row>
    <row r="94" customFormat="false" ht="15" hidden="false" customHeight="false" outlineLevel="0" collapsed="false">
      <c r="A94" s="57" t="n">
        <v>29068</v>
      </c>
      <c r="B94" s="56" t="n">
        <v>1979</v>
      </c>
      <c r="C94" s="56" t="n">
        <v>8</v>
      </c>
      <c r="D94" s="56" t="n">
        <v>93</v>
      </c>
      <c r="E94" s="56" t="n">
        <v>21.6</v>
      </c>
      <c r="F94" s="56" t="n">
        <v>0</v>
      </c>
      <c r="G94" s="56" t="n">
        <v>14.1</v>
      </c>
      <c r="H94" s="56" t="n">
        <v>0</v>
      </c>
      <c r="I94" s="56" t="n">
        <v>18.6</v>
      </c>
      <c r="J94" s="56" t="n">
        <v>0</v>
      </c>
      <c r="K94" s="56" t="n">
        <v>1000.7</v>
      </c>
      <c r="L94" s="56" t="n">
        <v>0</v>
      </c>
      <c r="M94" s="56" t="n">
        <v>79</v>
      </c>
      <c r="N94" s="56" t="n">
        <v>6.1</v>
      </c>
      <c r="O94" s="56" t="n">
        <f aca="false">IF(D94=1,"",E93)</f>
        <v>23.1</v>
      </c>
      <c r="P94" s="56" t="n">
        <f aca="false">IF(OR(D94=1,K93=""),"",K93)</f>
        <v>1002.2</v>
      </c>
      <c r="Q94" s="56" t="n">
        <f aca="false">IF(OR(F94&lt;&gt;0,AND(I94&lt;&gt;"",E94&lt;I94)),1,0)</f>
        <v>0</v>
      </c>
      <c r="R94" s="56" t="n">
        <f aca="false">IF(AND(D94&gt;1,Q94=0,ISNUMBER(O94),ISNUMBER(P94)),IF(Q93=0,1,0),0)</f>
        <v>1</v>
      </c>
      <c r="S94" s="56" t="n">
        <f aca="false">R94*(B94&gt;=Train_Start)*(B94&lt;=Train_End)</f>
        <v>1</v>
      </c>
      <c r="T94" s="84" t="n">
        <f aca="false">IF(AND(ISNUMBER(O94),ISNUMBER(P94)),Coef_A+Coef_B1*O94+Coef_B2*P94,"")</f>
        <v>22.4526191834653</v>
      </c>
      <c r="U94" s="84" t="n">
        <f aca="false">IF(AND(R94=1,ISNUMBER(T94)),E94-T94,"")</f>
        <v>-0.852619183465258</v>
      </c>
      <c r="V94" s="84" t="n">
        <f aca="false">IF(ISNUMBER(T94),T94,-99)</f>
        <v>22.4526191834653</v>
      </c>
      <c r="W94" s="84" t="n">
        <f aca="false">IF(ISNUMBER(U94),ABS(U94),"")</f>
        <v>0.852619183465258</v>
      </c>
    </row>
    <row r="95" customFormat="false" ht="15" hidden="false" customHeight="false" outlineLevel="0" collapsed="false">
      <c r="A95" s="57" t="n">
        <v>29069</v>
      </c>
      <c r="B95" s="56" t="n">
        <v>1979</v>
      </c>
      <c r="C95" s="56" t="n">
        <v>8</v>
      </c>
      <c r="D95" s="56" t="n">
        <v>94</v>
      </c>
      <c r="E95" s="56" t="n">
        <v>20</v>
      </c>
      <c r="F95" s="56" t="n">
        <v>0</v>
      </c>
      <c r="G95" s="56" t="n">
        <v>14</v>
      </c>
      <c r="H95" s="56" t="n">
        <v>0</v>
      </c>
      <c r="I95" s="56" t="n">
        <v>17.8</v>
      </c>
      <c r="J95" s="56" t="n">
        <v>0</v>
      </c>
      <c r="K95" s="56" t="n">
        <v>1005.3</v>
      </c>
      <c r="L95" s="56" t="n">
        <v>0</v>
      </c>
      <c r="M95" s="56" t="n">
        <v>82</v>
      </c>
      <c r="N95" s="56" t="n">
        <v>5.3</v>
      </c>
      <c r="O95" s="56" t="n">
        <f aca="false">IF(D95=1,"",E94)</f>
        <v>21.6</v>
      </c>
      <c r="P95" s="56" t="n">
        <f aca="false">IF(OR(D95=1,K94=""),"",K94)</f>
        <v>1000.7</v>
      </c>
      <c r="Q95" s="56" t="n">
        <f aca="false">IF(OR(F95&lt;&gt;0,AND(I95&lt;&gt;"",E95&lt;I95)),1,0)</f>
        <v>0</v>
      </c>
      <c r="R95" s="56" t="n">
        <f aca="false">IF(AND(D95&gt;1,Q95=0,ISNUMBER(O95),ISNUMBER(P95)),IF(Q94=0,1,0),0)</f>
        <v>1</v>
      </c>
      <c r="S95" s="56" t="n">
        <f aca="false">R95*(B95&gt;=Train_Start)*(B95&lt;=Train_End)</f>
        <v>1</v>
      </c>
      <c r="T95" s="84" t="n">
        <f aca="false">IF(AND(ISNUMBER(O95),ISNUMBER(P95)),Coef_A+Coef_B1*O95+Coef_B2*P95,"")</f>
        <v>21.1765555519503</v>
      </c>
      <c r="U95" s="84" t="n">
        <f aca="false">IF(AND(R95=1,ISNUMBER(T95)),E95-T95,"")</f>
        <v>-1.17655555195029</v>
      </c>
      <c r="V95" s="84" t="n">
        <f aca="false">IF(ISNUMBER(T95),T95,-99)</f>
        <v>21.1765555519503</v>
      </c>
      <c r="W95" s="84" t="n">
        <f aca="false">IF(ISNUMBER(U95),ABS(U95),"")</f>
        <v>1.17655555195029</v>
      </c>
    </row>
    <row r="96" customFormat="false" ht="15" hidden="false" customHeight="false" outlineLevel="0" collapsed="false">
      <c r="A96" s="57" t="n">
        <v>29070</v>
      </c>
      <c r="B96" s="56" t="n">
        <v>1979</v>
      </c>
      <c r="C96" s="56" t="n">
        <v>8</v>
      </c>
      <c r="D96" s="56" t="n">
        <v>95</v>
      </c>
      <c r="E96" s="56" t="n">
        <v>21.6</v>
      </c>
      <c r="F96" s="56" t="n">
        <v>0</v>
      </c>
      <c r="G96" s="56" t="n">
        <v>14</v>
      </c>
      <c r="H96" s="56" t="n">
        <v>0</v>
      </c>
      <c r="I96" s="56" t="n">
        <v>17</v>
      </c>
      <c r="J96" s="56" t="n">
        <v>0</v>
      </c>
      <c r="K96" s="56" t="n">
        <v>1013.2</v>
      </c>
      <c r="L96" s="56" t="n">
        <v>0</v>
      </c>
      <c r="M96" s="56" t="n">
        <v>84</v>
      </c>
      <c r="N96" s="56" t="n">
        <v>4.2</v>
      </c>
      <c r="O96" s="56" t="n">
        <f aca="false">IF(D96=1,"",E95)</f>
        <v>20</v>
      </c>
      <c r="P96" s="56" t="n">
        <f aca="false">IF(OR(D96=1,K95=""),"",K95)</f>
        <v>1005.3</v>
      </c>
      <c r="Q96" s="56" t="n">
        <f aca="false">IF(OR(F96&lt;&gt;0,AND(I96&lt;&gt;"",E96&lt;I96)),1,0)</f>
        <v>0</v>
      </c>
      <c r="R96" s="56" t="n">
        <f aca="false">IF(AND(D96&gt;1,Q96=0,ISNUMBER(O96),ISNUMBER(P96)),IF(Q95=0,1,0),0)</f>
        <v>1</v>
      </c>
      <c r="S96" s="56" t="n">
        <f aca="false">R96*(B96&gt;=Train_Start)*(B96&lt;=Train_End)</f>
        <v>1</v>
      </c>
      <c r="T96" s="84" t="n">
        <f aca="false">IF(AND(ISNUMBER(O96),ISNUMBER(P96)),Coef_A+Coef_B1*O96+Coef_B2*P96,"")</f>
        <v>20.0099143583984</v>
      </c>
      <c r="U96" s="84" t="n">
        <f aca="false">IF(AND(R96=1,ISNUMBER(T96)),E96-T96,"")</f>
        <v>1.59008564160162</v>
      </c>
      <c r="V96" s="84" t="n">
        <f aca="false">IF(ISNUMBER(T96),T96,-99)</f>
        <v>20.0099143583984</v>
      </c>
      <c r="W96" s="84" t="n">
        <f aca="false">IF(ISNUMBER(U96),ABS(U96),"")</f>
        <v>1.59008564160162</v>
      </c>
    </row>
    <row r="97" customFormat="false" ht="15" hidden="false" customHeight="false" outlineLevel="0" collapsed="false">
      <c r="A97" s="57" t="n">
        <v>29071</v>
      </c>
      <c r="B97" s="56" t="n">
        <v>1979</v>
      </c>
      <c r="C97" s="56" t="n">
        <v>8</v>
      </c>
      <c r="D97" s="56" t="n">
        <v>96</v>
      </c>
      <c r="E97" s="56" t="n">
        <v>22.5</v>
      </c>
      <c r="F97" s="56" t="n">
        <v>0</v>
      </c>
      <c r="G97" s="56" t="n">
        <v>14.2</v>
      </c>
      <c r="H97" s="56" t="n">
        <v>0</v>
      </c>
      <c r="I97" s="56" t="n">
        <v>17.9</v>
      </c>
      <c r="J97" s="56" t="n">
        <v>0</v>
      </c>
      <c r="K97" s="56" t="n">
        <v>1020.3</v>
      </c>
      <c r="L97" s="56" t="n">
        <v>0</v>
      </c>
      <c r="M97" s="56" t="n">
        <v>72</v>
      </c>
      <c r="N97" s="56" t="n">
        <v>7.2</v>
      </c>
      <c r="O97" s="56" t="n">
        <f aca="false">IF(D97=1,"",E96)</f>
        <v>21.6</v>
      </c>
      <c r="P97" s="56" t="n">
        <f aca="false">IF(OR(D97=1,K96=""),"",K96)</f>
        <v>1013.2</v>
      </c>
      <c r="Q97" s="56" t="n">
        <f aca="false">IF(OR(F97&lt;&gt;0,AND(I97&lt;&gt;"",E97&lt;I97)),1,0)</f>
        <v>0</v>
      </c>
      <c r="R97" s="56" t="n">
        <f aca="false">IF(AND(D97&gt;1,Q97=0,ISNUMBER(O97),ISNUMBER(P97)),IF(Q96=0,1,0),0)</f>
        <v>1</v>
      </c>
      <c r="S97" s="56" t="n">
        <f aca="false">R97*(B97&gt;=Train_Start)*(B97&lt;=Train_End)</f>
        <v>1</v>
      </c>
      <c r="T97" s="84" t="n">
        <f aca="false">IF(AND(ISNUMBER(O97),ISNUMBER(P97)),Coef_A+Coef_B1*O97+Coef_B2*P97,"")</f>
        <v>21.5686792348752</v>
      </c>
      <c r="U97" s="84" t="n">
        <f aca="false">IF(AND(R97=1,ISNUMBER(T97)),E97-T97,"")</f>
        <v>0.931320765124845</v>
      </c>
      <c r="V97" s="84" t="n">
        <f aca="false">IF(ISNUMBER(T97),T97,-99)</f>
        <v>21.5686792348752</v>
      </c>
      <c r="W97" s="84" t="n">
        <f aca="false">IF(ISNUMBER(U97),ABS(U97),"")</f>
        <v>0.931320765124845</v>
      </c>
    </row>
    <row r="98" customFormat="false" ht="15" hidden="false" customHeight="false" outlineLevel="0" collapsed="false">
      <c r="A98" s="57" t="n">
        <v>29072</v>
      </c>
      <c r="B98" s="56" t="n">
        <v>1979</v>
      </c>
      <c r="C98" s="56" t="n">
        <v>8</v>
      </c>
      <c r="D98" s="56" t="n">
        <v>97</v>
      </c>
      <c r="E98" s="56" t="n">
        <v>24.8</v>
      </c>
      <c r="F98" s="56" t="n">
        <v>0</v>
      </c>
      <c r="G98" s="56" t="n">
        <v>11.4</v>
      </c>
      <c r="H98" s="56" t="n">
        <v>0</v>
      </c>
      <c r="I98" s="56" t="n">
        <v>17</v>
      </c>
      <c r="J98" s="56" t="n">
        <v>0</v>
      </c>
      <c r="K98" s="56" t="n">
        <v>1019</v>
      </c>
      <c r="L98" s="56" t="n">
        <v>0</v>
      </c>
      <c r="M98" s="56" t="n">
        <v>68</v>
      </c>
      <c r="N98" s="56" t="n">
        <v>9.7</v>
      </c>
      <c r="O98" s="56" t="n">
        <f aca="false">IF(D98=1,"",E97)</f>
        <v>22.5</v>
      </c>
      <c r="P98" s="56" t="n">
        <f aca="false">IF(OR(D98=1,K97=""),"",K97)</f>
        <v>1020.3</v>
      </c>
      <c r="Q98" s="56" t="n">
        <f aca="false">IF(OR(F98&lt;&gt;0,AND(I98&lt;&gt;"",E98&lt;I98)),1,0)</f>
        <v>0</v>
      </c>
      <c r="R98" s="56" t="n">
        <f aca="false">IF(AND(D98&gt;1,Q98=0,ISNUMBER(O98),ISNUMBER(P98)),IF(Q97=0,1,0),0)</f>
        <v>1</v>
      </c>
      <c r="S98" s="56" t="n">
        <f aca="false">R98*(B98&gt;=Train_Start)*(B98&lt;=Train_End)</f>
        <v>1</v>
      </c>
      <c r="T98" s="84" t="n">
        <f aca="false">IF(AND(ISNUMBER(O98),ISNUMBER(P98)),Coef_A+Coef_B1*O98+Coef_B2*P98,"")</f>
        <v>22.5288107605149</v>
      </c>
      <c r="U98" s="84" t="n">
        <f aca="false">IF(AND(R98=1,ISNUMBER(T98)),E98-T98,"")</f>
        <v>2.27118923948513</v>
      </c>
      <c r="V98" s="84" t="n">
        <f aca="false">IF(ISNUMBER(T98),T98,-99)</f>
        <v>22.5288107605149</v>
      </c>
      <c r="W98" s="84" t="n">
        <f aca="false">IF(ISNUMBER(U98),ABS(U98),"")</f>
        <v>2.27118923948513</v>
      </c>
    </row>
    <row r="99" customFormat="false" ht="15" hidden="false" customHeight="false" outlineLevel="0" collapsed="false">
      <c r="A99" s="57" t="n">
        <v>29073</v>
      </c>
      <c r="B99" s="56" t="n">
        <v>1979</v>
      </c>
      <c r="C99" s="56" t="n">
        <v>8</v>
      </c>
      <c r="D99" s="56" t="n">
        <v>98</v>
      </c>
      <c r="E99" s="56" t="n">
        <v>23.1</v>
      </c>
      <c r="F99" s="56" t="n">
        <v>0</v>
      </c>
      <c r="G99" s="56" t="n">
        <v>13.6</v>
      </c>
      <c r="H99" s="56" t="n">
        <v>0</v>
      </c>
      <c r="I99" s="56" t="n">
        <v>19.2</v>
      </c>
      <c r="J99" s="56" t="n">
        <v>0</v>
      </c>
      <c r="K99" s="56" t="n">
        <v>1013.6</v>
      </c>
      <c r="L99" s="56" t="n">
        <v>0</v>
      </c>
      <c r="M99" s="56" t="n">
        <v>72</v>
      </c>
      <c r="N99" s="56" t="n">
        <v>5.5</v>
      </c>
      <c r="O99" s="56" t="n">
        <f aca="false">IF(D99=1,"",E98)</f>
        <v>24.8</v>
      </c>
      <c r="P99" s="56" t="n">
        <f aca="false">IF(OR(D99=1,K98=""),"",K98)</f>
        <v>1019</v>
      </c>
      <c r="Q99" s="56" t="n">
        <f aca="false">IF(OR(F99&lt;&gt;0,AND(I99&lt;&gt;"",E99&lt;I99)),1,0)</f>
        <v>0</v>
      </c>
      <c r="R99" s="56" t="n">
        <f aca="false">IF(AND(D99&gt;1,Q99=0,ISNUMBER(O99),ISNUMBER(P99)),IF(Q98=0,1,0),0)</f>
        <v>1</v>
      </c>
      <c r="S99" s="56" t="n">
        <f aca="false">R99*(B99&gt;=Train_Start)*(B99&lt;=Train_End)</f>
        <v>1</v>
      </c>
      <c r="T99" s="84" t="n">
        <f aca="false">IF(AND(ISNUMBER(O99),ISNUMBER(P99)),Coef_A+Coef_B1*O99+Coef_B2*P99,"")</f>
        <v>24.3725100414888</v>
      </c>
      <c r="U99" s="84" t="n">
        <f aca="false">IF(AND(R99=1,ISNUMBER(T99)),E99-T99,"")</f>
        <v>-1.2725100414888</v>
      </c>
      <c r="V99" s="84" t="n">
        <f aca="false">IF(ISNUMBER(T99),T99,-99)</f>
        <v>24.3725100414888</v>
      </c>
      <c r="W99" s="84" t="n">
        <f aca="false">IF(ISNUMBER(U99),ABS(U99),"")</f>
        <v>1.2725100414888</v>
      </c>
    </row>
    <row r="100" customFormat="false" ht="15" hidden="false" customHeight="false" outlineLevel="0" collapsed="false">
      <c r="A100" s="57" t="n">
        <v>29074</v>
      </c>
      <c r="B100" s="56" t="n">
        <v>1979</v>
      </c>
      <c r="C100" s="56" t="n">
        <v>8</v>
      </c>
      <c r="D100" s="56" t="n">
        <v>99</v>
      </c>
      <c r="E100" s="56" t="n">
        <v>20.1</v>
      </c>
      <c r="F100" s="56" t="n">
        <v>0</v>
      </c>
      <c r="G100" s="56" t="n">
        <v>16.1</v>
      </c>
      <c r="H100" s="56" t="n">
        <v>0</v>
      </c>
      <c r="I100" s="56" t="n">
        <v>19.6</v>
      </c>
      <c r="J100" s="56" t="n">
        <v>0</v>
      </c>
      <c r="K100" s="56" t="n">
        <v>1007.4</v>
      </c>
      <c r="L100" s="56" t="n">
        <v>0</v>
      </c>
      <c r="M100" s="56" t="n">
        <v>81</v>
      </c>
      <c r="N100" s="56" t="n">
        <v>3.2</v>
      </c>
      <c r="O100" s="56" t="n">
        <f aca="false">IF(D100=1,"",E99)</f>
        <v>23.1</v>
      </c>
      <c r="P100" s="56" t="n">
        <f aca="false">IF(OR(D100=1,K99=""),"",K99)</f>
        <v>1013.6</v>
      </c>
      <c r="Q100" s="56" t="n">
        <f aca="false">IF(OR(F100&lt;&gt;0,AND(I100&lt;&gt;"",E100&lt;I100)),1,0)</f>
        <v>0</v>
      </c>
      <c r="R100" s="56" t="n">
        <f aca="false">IF(AND(D100&gt;1,Q100=0,ISNUMBER(O100),ISNUMBER(P100)),IF(Q99=0,1,0),0)</f>
        <v>1</v>
      </c>
      <c r="S100" s="56" t="n">
        <f aca="false">R100*(B100&gt;=Train_Start)*(B100&lt;=Train_End)</f>
        <v>1</v>
      </c>
      <c r="T100" s="84" t="n">
        <f aca="false">IF(AND(ISNUMBER(O100),ISNUMBER(P100)),Coef_A+Coef_B1*O100+Coef_B2*P100,"")</f>
        <v>22.8102359822927</v>
      </c>
      <c r="U100" s="84" t="n">
        <f aca="false">IF(AND(R100=1,ISNUMBER(T100)),E100-T100,"")</f>
        <v>-2.71023598229274</v>
      </c>
      <c r="V100" s="84" t="n">
        <f aca="false">IF(ISNUMBER(T100),T100,-99)</f>
        <v>22.8102359822927</v>
      </c>
      <c r="W100" s="84" t="n">
        <f aca="false">IF(ISNUMBER(U100),ABS(U100),"")</f>
        <v>2.71023598229274</v>
      </c>
    </row>
    <row r="101" customFormat="false" ht="15" hidden="false" customHeight="false" outlineLevel="0" collapsed="false">
      <c r="A101" s="57" t="n">
        <v>29075</v>
      </c>
      <c r="B101" s="56" t="n">
        <v>1979</v>
      </c>
      <c r="C101" s="56" t="n">
        <v>8</v>
      </c>
      <c r="D101" s="56" t="n">
        <v>100</v>
      </c>
      <c r="E101" s="56" t="n">
        <v>20.1</v>
      </c>
      <c r="F101" s="56" t="n">
        <v>0</v>
      </c>
      <c r="G101" s="56" t="n">
        <v>11.3</v>
      </c>
      <c r="H101" s="56" t="n">
        <v>0</v>
      </c>
      <c r="I101" s="56" t="n">
        <v>15.7</v>
      </c>
      <c r="J101" s="56" t="n">
        <v>0</v>
      </c>
      <c r="K101" s="56" t="n">
        <v>1010.9</v>
      </c>
      <c r="L101" s="56" t="n">
        <v>0</v>
      </c>
      <c r="M101" s="56" t="n">
        <v>70</v>
      </c>
      <c r="N101" s="56" t="n">
        <v>2.7</v>
      </c>
      <c r="O101" s="56" t="n">
        <f aca="false">IF(D101=1,"",E100)</f>
        <v>20.1</v>
      </c>
      <c r="P101" s="56" t="n">
        <f aca="false">IF(OR(D101=1,K100=""),"",K100)</f>
        <v>1007.4</v>
      </c>
      <c r="Q101" s="56" t="n">
        <f aca="false">IF(OR(F101&lt;&gt;0,AND(I101&lt;&gt;"",E101&lt;I101)),1,0)</f>
        <v>0</v>
      </c>
      <c r="R101" s="56" t="n">
        <f aca="false">IF(AND(D101&gt;1,Q101=0,ISNUMBER(O101),ISNUMBER(P101)),IF(Q100=0,1,0),0)</f>
        <v>1</v>
      </c>
      <c r="S101" s="56" t="n">
        <f aca="false">R101*(B101&gt;=Train_Start)*(B101&lt;=Train_End)</f>
        <v>1</v>
      </c>
      <c r="T101" s="84" t="n">
        <f aca="false">IF(AND(ISNUMBER(O101),ISNUMBER(P101)),Coef_A+Coef_B1*O101+Coef_B2*P101,"")</f>
        <v>20.157725056434</v>
      </c>
      <c r="U101" s="84" t="n">
        <f aca="false">IF(AND(R101=1,ISNUMBER(T101)),E101-T101,"")</f>
        <v>-0.0577250564340304</v>
      </c>
      <c r="V101" s="84" t="n">
        <f aca="false">IF(ISNUMBER(T101),T101,-99)</f>
        <v>20.157725056434</v>
      </c>
      <c r="W101" s="84" t="n">
        <f aca="false">IF(ISNUMBER(U101),ABS(U101),"")</f>
        <v>0.0577250564340304</v>
      </c>
    </row>
    <row r="102" customFormat="false" ht="15" hidden="false" customHeight="false" outlineLevel="0" collapsed="false">
      <c r="A102" s="57" t="n">
        <v>29076</v>
      </c>
      <c r="B102" s="56" t="n">
        <v>1979</v>
      </c>
      <c r="C102" s="56" t="n">
        <v>8</v>
      </c>
      <c r="D102" s="56" t="n">
        <v>101</v>
      </c>
      <c r="E102" s="56" t="n">
        <v>20</v>
      </c>
      <c r="F102" s="56" t="n">
        <v>0</v>
      </c>
      <c r="G102" s="56" t="n">
        <v>13</v>
      </c>
      <c r="H102" s="56" t="n">
        <v>0</v>
      </c>
      <c r="I102" s="56" t="n">
        <v>16.6</v>
      </c>
      <c r="J102" s="56" t="n">
        <v>0</v>
      </c>
      <c r="K102" s="56" t="n">
        <v>1003.4</v>
      </c>
      <c r="L102" s="56" t="n">
        <v>0</v>
      </c>
      <c r="M102" s="56" t="n">
        <v>87</v>
      </c>
      <c r="N102" s="56" t="n">
        <v>3.3</v>
      </c>
      <c r="O102" s="56" t="n">
        <f aca="false">IF(D102=1,"",E101)</f>
        <v>20.1</v>
      </c>
      <c r="P102" s="56" t="n">
        <f aca="false">IF(OR(D102=1,K101=""),"",K101)</f>
        <v>1010.9</v>
      </c>
      <c r="Q102" s="56" t="n">
        <f aca="false">IF(OR(F102&lt;&gt;0,AND(I102&lt;&gt;"",E102&lt;I102)),1,0)</f>
        <v>0</v>
      </c>
      <c r="R102" s="56" t="n">
        <f aca="false">IF(AND(D102&gt;1,Q102=0,ISNUMBER(O102),ISNUMBER(P102)),IF(Q101=0,1,0),0)</f>
        <v>1</v>
      </c>
      <c r="S102" s="56" t="n">
        <f aca="false">R102*(B102&gt;=Train_Start)*(B102&lt;=Train_End)</f>
        <v>1</v>
      </c>
      <c r="T102" s="84" t="n">
        <f aca="false">IF(AND(ISNUMBER(O102),ISNUMBER(P102)),Coef_A+Coef_B1*O102+Coef_B2*P102,"")</f>
        <v>20.267519687653</v>
      </c>
      <c r="U102" s="84" t="n">
        <f aca="false">IF(AND(R102=1,ISNUMBER(T102)),E102-T102,"")</f>
        <v>-0.267519687652992</v>
      </c>
      <c r="V102" s="84" t="n">
        <f aca="false">IF(ISNUMBER(T102),T102,-99)</f>
        <v>20.267519687653</v>
      </c>
      <c r="W102" s="84" t="n">
        <f aca="false">IF(ISNUMBER(U102),ABS(U102),"")</f>
        <v>0.267519687652992</v>
      </c>
    </row>
    <row r="103" customFormat="false" ht="15" hidden="false" customHeight="false" outlineLevel="0" collapsed="false">
      <c r="A103" s="57" t="n">
        <v>29077</v>
      </c>
      <c r="B103" s="56" t="n">
        <v>1979</v>
      </c>
      <c r="C103" s="56" t="n">
        <v>8</v>
      </c>
      <c r="D103" s="56" t="n">
        <v>102</v>
      </c>
      <c r="E103" s="56" t="n">
        <v>23.6</v>
      </c>
      <c r="F103" s="56" t="n">
        <v>0</v>
      </c>
      <c r="G103" s="56" t="n">
        <v>9.9</v>
      </c>
      <c r="H103" s="56" t="n">
        <v>0</v>
      </c>
      <c r="I103" s="56" t="n">
        <v>15</v>
      </c>
      <c r="J103" s="56" t="n">
        <v>0</v>
      </c>
      <c r="K103" s="56" t="n">
        <v>1014.7</v>
      </c>
      <c r="L103" s="56" t="n">
        <v>0</v>
      </c>
      <c r="M103" s="56" t="n">
        <v>74</v>
      </c>
      <c r="N103" s="56" t="n">
        <v>5.5</v>
      </c>
      <c r="O103" s="56" t="n">
        <f aca="false">IF(D103=1,"",E102)</f>
        <v>20</v>
      </c>
      <c r="P103" s="56" t="n">
        <f aca="false">IF(OR(D103=1,K102=""),"",K102)</f>
        <v>1003.4</v>
      </c>
      <c r="Q103" s="56" t="n">
        <f aca="false">IF(OR(F103&lt;&gt;0,AND(I103&lt;&gt;"",E103&lt;I103)),1,0)</f>
        <v>0</v>
      </c>
      <c r="R103" s="56" t="n">
        <f aca="false">IF(AND(D103&gt;1,Q103=0,ISNUMBER(O103),ISNUMBER(P103)),IF(Q102=0,1,0),0)</f>
        <v>1</v>
      </c>
      <c r="S103" s="56" t="n">
        <f aca="false">R103*(B103&gt;=Train_Start)*(B103&lt;=Train_End)</f>
        <v>1</v>
      </c>
      <c r="T103" s="84" t="n">
        <f aca="false">IF(AND(ISNUMBER(O103),ISNUMBER(P103)),Coef_A+Coef_B1*O103+Coef_B2*P103,"")</f>
        <v>19.9503115585938</v>
      </c>
      <c r="U103" s="84" t="n">
        <f aca="false">IF(AND(R103=1,ISNUMBER(T103)),E103-T103,"")</f>
        <v>3.6496884414062</v>
      </c>
      <c r="V103" s="84" t="n">
        <f aca="false">IF(ISNUMBER(T103),T103,-99)</f>
        <v>19.9503115585938</v>
      </c>
      <c r="W103" s="84" t="n">
        <f aca="false">IF(ISNUMBER(U103),ABS(U103),"")</f>
        <v>3.6496884414062</v>
      </c>
    </row>
    <row r="104" customFormat="false" ht="15" hidden="false" customHeight="false" outlineLevel="0" collapsed="false">
      <c r="A104" s="57" t="n">
        <v>29078</v>
      </c>
      <c r="B104" s="56" t="n">
        <v>1979</v>
      </c>
      <c r="C104" s="56" t="n">
        <v>8</v>
      </c>
      <c r="D104" s="56" t="n">
        <v>103</v>
      </c>
      <c r="E104" s="56" t="n">
        <v>25</v>
      </c>
      <c r="F104" s="56" t="n">
        <v>0</v>
      </c>
      <c r="G104" s="56" t="n">
        <v>15</v>
      </c>
      <c r="H104" s="56" t="n">
        <v>0</v>
      </c>
      <c r="I104" s="56" t="n">
        <v>19.3</v>
      </c>
      <c r="J104" s="56" t="n">
        <v>0</v>
      </c>
      <c r="K104" s="56" t="n">
        <v>1015.7</v>
      </c>
      <c r="L104" s="56" t="n">
        <v>0</v>
      </c>
      <c r="M104" s="56" t="n">
        <v>79</v>
      </c>
      <c r="N104" s="56" t="n">
        <v>5.5</v>
      </c>
      <c r="O104" s="56" t="n">
        <f aca="false">IF(D104=1,"",E103)</f>
        <v>23.6</v>
      </c>
      <c r="P104" s="56" t="n">
        <f aca="false">IF(OR(D104=1,K103=""),"",K103)</f>
        <v>1014.7</v>
      </c>
      <c r="Q104" s="56" t="n">
        <f aca="false">IF(OR(F104&lt;&gt;0,AND(I104&lt;&gt;"",E104&lt;I104)),1,0)</f>
        <v>0</v>
      </c>
      <c r="R104" s="56" t="n">
        <f aca="false">IF(AND(D104&gt;1,Q104=0,ISNUMBER(O104),ISNUMBER(P104)),IF(Q103=0,1,0),0)</f>
        <v>1</v>
      </c>
      <c r="S104" s="56" t="n">
        <f aca="false">R104*(B104&gt;=Train_Start)*(B104&lt;=Train_End)</f>
        <v>1</v>
      </c>
      <c r="T104" s="84" t="n">
        <f aca="false">IF(AND(ISNUMBER(O104),ISNUMBER(P104)),Coef_A+Coef_B1*O104+Coef_B2*P104,"")</f>
        <v>23.2544124629115</v>
      </c>
      <c r="U104" s="84" t="n">
        <f aca="false">IF(AND(R104=1,ISNUMBER(T104)),E104-T104,"")</f>
        <v>1.74558753708854</v>
      </c>
      <c r="V104" s="84" t="n">
        <f aca="false">IF(ISNUMBER(T104),T104,-99)</f>
        <v>23.2544124629115</v>
      </c>
      <c r="W104" s="84" t="n">
        <f aca="false">IF(ISNUMBER(U104),ABS(U104),"")</f>
        <v>1.74558753708854</v>
      </c>
    </row>
    <row r="105" customFormat="false" ht="15" hidden="false" customHeight="false" outlineLevel="0" collapsed="false">
      <c r="A105" s="57" t="n">
        <v>29079</v>
      </c>
      <c r="B105" s="56" t="n">
        <v>1979</v>
      </c>
      <c r="C105" s="56" t="n">
        <v>8</v>
      </c>
      <c r="D105" s="56" t="n">
        <v>104</v>
      </c>
      <c r="E105" s="56" t="n">
        <v>21.5</v>
      </c>
      <c r="F105" s="56" t="n">
        <v>0</v>
      </c>
      <c r="G105" s="56" t="n">
        <v>16.3</v>
      </c>
      <c r="H105" s="56" t="n">
        <v>0</v>
      </c>
      <c r="I105" s="56" t="n">
        <v>20.6</v>
      </c>
      <c r="J105" s="56" t="n">
        <v>0</v>
      </c>
      <c r="K105" s="56" t="n">
        <v>1018</v>
      </c>
      <c r="L105" s="56" t="n">
        <v>0</v>
      </c>
      <c r="M105" s="56" t="n">
        <v>85</v>
      </c>
      <c r="N105" s="56" t="n">
        <v>1.5</v>
      </c>
      <c r="O105" s="56" t="n">
        <f aca="false">IF(D105=1,"",E104)</f>
        <v>25</v>
      </c>
      <c r="P105" s="56" t="n">
        <f aca="false">IF(OR(D105=1,K104=""),"",K104)</f>
        <v>1015.7</v>
      </c>
      <c r="Q105" s="56" t="n">
        <f aca="false">IF(OR(F105&lt;&gt;0,AND(I105&lt;&gt;"",E105&lt;I105)),1,0)</f>
        <v>0</v>
      </c>
      <c r="R105" s="56" t="n">
        <f aca="false">IF(AND(D105&gt;1,Q105=0,ISNUMBER(O105),ISNUMBER(P105)),IF(Q104=0,1,0),0)</f>
        <v>1</v>
      </c>
      <c r="S105" s="56" t="n">
        <f aca="false">R105*(B105&gt;=Train_Start)*(B105&lt;=Train_End)</f>
        <v>1</v>
      </c>
      <c r="T105" s="84" t="n">
        <f aca="false">IF(AND(ISNUMBER(O105),ISNUMBER(P105)),Coef_A+Coef_B1*O105+Coef_B2*P105,"")</f>
        <v>24.4328572278052</v>
      </c>
      <c r="U105" s="84" t="n">
        <f aca="false">IF(AND(R105=1,ISNUMBER(T105)),E105-T105,"")</f>
        <v>-2.93285722780517</v>
      </c>
      <c r="V105" s="84" t="n">
        <f aca="false">IF(ISNUMBER(T105),T105,-99)</f>
        <v>24.4328572278052</v>
      </c>
      <c r="W105" s="84" t="n">
        <f aca="false">IF(ISNUMBER(U105),ABS(U105),"")</f>
        <v>2.93285722780517</v>
      </c>
    </row>
    <row r="106" customFormat="false" ht="15" hidden="false" customHeight="false" outlineLevel="0" collapsed="false">
      <c r="A106" s="57" t="n">
        <v>29080</v>
      </c>
      <c r="B106" s="56" t="n">
        <v>1979</v>
      </c>
      <c r="C106" s="56" t="n">
        <v>8</v>
      </c>
      <c r="D106" s="56" t="n">
        <v>105</v>
      </c>
      <c r="E106" s="56" t="n">
        <v>20.4</v>
      </c>
      <c r="F106" s="56" t="n">
        <v>0</v>
      </c>
      <c r="G106" s="56" t="n">
        <v>16.9</v>
      </c>
      <c r="H106" s="56" t="n">
        <v>0</v>
      </c>
      <c r="I106" s="56" t="n">
        <v>19.2</v>
      </c>
      <c r="J106" s="56" t="n">
        <v>0</v>
      </c>
      <c r="K106" s="56" t="n">
        <v>1014.5</v>
      </c>
      <c r="L106" s="56" t="n">
        <v>0</v>
      </c>
      <c r="M106" s="56" t="n">
        <v>88</v>
      </c>
      <c r="N106" s="56" t="n">
        <v>0.2</v>
      </c>
      <c r="O106" s="56" t="n">
        <f aca="false">IF(D106=1,"",E105)</f>
        <v>21.5</v>
      </c>
      <c r="P106" s="56" t="n">
        <f aca="false">IF(OR(D106=1,K105=""),"",K105)</f>
        <v>1018</v>
      </c>
      <c r="Q106" s="56" t="n">
        <f aca="false">IF(OR(F106&lt;&gt;0,AND(I106&lt;&gt;"",E106&lt;I106)),1,0)</f>
        <v>0</v>
      </c>
      <c r="R106" s="56" t="n">
        <f aca="false">IF(AND(D106&gt;1,Q106=0,ISNUMBER(O106),ISNUMBER(P106)),IF(Q105=0,1,0),0)</f>
        <v>1</v>
      </c>
      <c r="S106" s="56" t="n">
        <f aca="false">R106*(B106&gt;=Train_Start)*(B106&lt;=Train_End)</f>
        <v>1</v>
      </c>
      <c r="T106" s="84" t="n">
        <f aca="false">IF(AND(ISNUMBER(O106),ISNUMBER(P106)),Coef_A+Coef_B1*O106+Coef_B2*P106,"")</f>
        <v>21.637320809814</v>
      </c>
      <c r="U106" s="84" t="n">
        <f aca="false">IF(AND(R106=1,ISNUMBER(T106)),E106-T106,"")</f>
        <v>-1.23732080981404</v>
      </c>
      <c r="V106" s="84" t="n">
        <f aca="false">IF(ISNUMBER(T106),T106,-99)</f>
        <v>21.637320809814</v>
      </c>
      <c r="W106" s="84" t="n">
        <f aca="false">IF(ISNUMBER(U106),ABS(U106),"")</f>
        <v>1.23732080981404</v>
      </c>
    </row>
    <row r="107" customFormat="false" ht="15" hidden="false" customHeight="false" outlineLevel="0" collapsed="false">
      <c r="A107" s="57" t="n">
        <v>29081</v>
      </c>
      <c r="B107" s="56" t="n">
        <v>1979</v>
      </c>
      <c r="C107" s="56" t="n">
        <v>8</v>
      </c>
      <c r="D107" s="56" t="n">
        <v>106</v>
      </c>
      <c r="E107" s="56" t="n">
        <v>21.3</v>
      </c>
      <c r="F107" s="56" t="n">
        <v>0</v>
      </c>
      <c r="G107" s="56" t="n">
        <v>16.7</v>
      </c>
      <c r="H107" s="56" t="n">
        <v>0</v>
      </c>
      <c r="I107" s="56" t="n">
        <v>18.6</v>
      </c>
      <c r="J107" s="56" t="n">
        <v>0</v>
      </c>
      <c r="K107" s="56" t="n">
        <v>1001.9</v>
      </c>
      <c r="L107" s="56" t="n">
        <v>0</v>
      </c>
      <c r="M107" s="56" t="n">
        <v>71</v>
      </c>
      <c r="N107" s="56" t="n">
        <v>8.1</v>
      </c>
      <c r="O107" s="56" t="n">
        <f aca="false">IF(D107=1,"",E106)</f>
        <v>20.4</v>
      </c>
      <c r="P107" s="56" t="n">
        <f aca="false">IF(OR(D107=1,K106=""),"",K106)</f>
        <v>1014.5</v>
      </c>
      <c r="Q107" s="56" t="n">
        <f aca="false">IF(OR(F107&lt;&gt;0,AND(I107&lt;&gt;"",E107&lt;I107)),1,0)</f>
        <v>0</v>
      </c>
      <c r="R107" s="56" t="n">
        <f aca="false">IF(AND(D107&gt;1,Q107=0,ISNUMBER(O107),ISNUMBER(P107)),IF(Q106=0,1,0),0)</f>
        <v>1</v>
      </c>
      <c r="S107" s="56" t="n">
        <f aca="false">R107*(B107&gt;=Train_Start)*(B107&lt;=Train_End)</f>
        <v>1</v>
      </c>
      <c r="T107" s="84" t="n">
        <f aca="false">IF(AND(ISNUMBER(O107),ISNUMBER(P107)),Coef_A+Coef_B1*O107+Coef_B2*P107,"")</f>
        <v>20.6262530662482</v>
      </c>
      <c r="U107" s="84" t="n">
        <f aca="false">IF(AND(R107=1,ISNUMBER(T107)),E107-T107,"")</f>
        <v>0.673746933751851</v>
      </c>
      <c r="V107" s="84" t="n">
        <f aca="false">IF(ISNUMBER(T107),T107,-99)</f>
        <v>20.6262530662482</v>
      </c>
      <c r="W107" s="84" t="n">
        <f aca="false">IF(ISNUMBER(U107),ABS(U107),"")</f>
        <v>0.673746933751851</v>
      </c>
    </row>
    <row r="108" customFormat="false" ht="15" hidden="false" customHeight="false" outlineLevel="0" collapsed="false">
      <c r="A108" s="57" t="n">
        <v>29082</v>
      </c>
      <c r="B108" s="56" t="n">
        <v>1979</v>
      </c>
      <c r="C108" s="56" t="n">
        <v>8</v>
      </c>
      <c r="D108" s="56" t="n">
        <v>107</v>
      </c>
      <c r="E108" s="56" t="n">
        <v>21</v>
      </c>
      <c r="F108" s="56" t="n">
        <v>0</v>
      </c>
      <c r="G108" s="56" t="n">
        <v>10.7</v>
      </c>
      <c r="H108" s="56" t="n">
        <v>0</v>
      </c>
      <c r="I108" s="56" t="n">
        <v>16</v>
      </c>
      <c r="J108" s="56" t="n">
        <v>0</v>
      </c>
      <c r="K108" s="56" t="n">
        <v>1012.1</v>
      </c>
      <c r="L108" s="56" t="n">
        <v>0</v>
      </c>
      <c r="M108" s="56" t="n">
        <v>66</v>
      </c>
      <c r="N108" s="56" t="n">
        <v>9.1</v>
      </c>
      <c r="O108" s="56" t="n">
        <f aca="false">IF(D108=1,"",E107)</f>
        <v>21.3</v>
      </c>
      <c r="P108" s="56" t="n">
        <f aca="false">IF(OR(D108=1,K107=""),"",K107)</f>
        <v>1001.9</v>
      </c>
      <c r="Q108" s="56" t="n">
        <f aca="false">IF(OR(F108&lt;&gt;0,AND(I108&lt;&gt;"",E108&lt;I108)),1,0)</f>
        <v>0</v>
      </c>
      <c r="R108" s="56" t="n">
        <f aca="false">IF(AND(D108&gt;1,Q108=0,ISNUMBER(O108),ISNUMBER(P108)),IF(Q107=0,1,0),0)</f>
        <v>1</v>
      </c>
      <c r="S108" s="56" t="n">
        <f aca="false">R108*(B108&gt;=Train_Start)*(B108&lt;=Train_End)</f>
        <v>1</v>
      </c>
      <c r="T108" s="84" t="n">
        <f aca="false">IF(AND(ISNUMBER(O108),ISNUMBER(P108)),Coef_A+Coef_B1*O108+Coef_B2*P108,"")</f>
        <v>20.9683976675983</v>
      </c>
      <c r="U108" s="84" t="n">
        <f aca="false">IF(AND(R108=1,ISNUMBER(T108)),E108-T108,"")</f>
        <v>0.0316023324017252</v>
      </c>
      <c r="V108" s="84" t="n">
        <f aca="false">IF(ISNUMBER(T108),T108,-99)</f>
        <v>20.9683976675983</v>
      </c>
      <c r="W108" s="84" t="n">
        <f aca="false">IF(ISNUMBER(U108),ABS(U108),"")</f>
        <v>0.0316023324017252</v>
      </c>
    </row>
    <row r="109" customFormat="false" ht="15" hidden="false" customHeight="false" outlineLevel="0" collapsed="false">
      <c r="A109" s="57" t="n">
        <v>29083</v>
      </c>
      <c r="B109" s="56" t="n">
        <v>1979</v>
      </c>
      <c r="C109" s="56" t="n">
        <v>8</v>
      </c>
      <c r="D109" s="56" t="n">
        <v>108</v>
      </c>
      <c r="E109" s="56" t="n">
        <v>18.3</v>
      </c>
      <c r="F109" s="56" t="n">
        <v>0</v>
      </c>
      <c r="G109" s="56" t="n">
        <v>9.8</v>
      </c>
      <c r="H109" s="56" t="n">
        <v>0</v>
      </c>
      <c r="I109" s="56" t="n">
        <v>15.4</v>
      </c>
      <c r="J109" s="56" t="n">
        <v>0</v>
      </c>
      <c r="K109" s="56" t="n">
        <v>1013.7</v>
      </c>
      <c r="L109" s="56" t="n">
        <v>0</v>
      </c>
      <c r="M109" s="56" t="n">
        <v>78</v>
      </c>
      <c r="N109" s="56" t="n">
        <v>6.2</v>
      </c>
      <c r="O109" s="56" t="n">
        <f aca="false">IF(D109=1,"",E108)</f>
        <v>21</v>
      </c>
      <c r="P109" s="56" t="n">
        <f aca="false">IF(OR(D109=1,K108=""),"",K108)</f>
        <v>1012.1</v>
      </c>
      <c r="Q109" s="56" t="n">
        <f aca="false">IF(OR(F109&lt;&gt;0,AND(I109&lt;&gt;"",E109&lt;I109)),1,0)</f>
        <v>0</v>
      </c>
      <c r="R109" s="56" t="n">
        <f aca="false">IF(AND(D109&gt;1,Q109=0,ISNUMBER(O109),ISNUMBER(P109)),IF(Q108=0,1,0),0)</f>
        <v>1</v>
      </c>
      <c r="S109" s="56" t="n">
        <f aca="false">R109*(B109&gt;=Train_Start)*(B109&lt;=Train_End)</f>
        <v>1</v>
      </c>
      <c r="T109" s="84" t="n">
        <f aca="false">IF(AND(ISNUMBER(O109),ISNUMBER(P109)),Coef_A+Coef_B1*O109+Coef_B2*P109,"")</f>
        <v>21.0425688349522</v>
      </c>
      <c r="U109" s="84" t="n">
        <f aca="false">IF(AND(R109=1,ISNUMBER(T109)),E109-T109,"")</f>
        <v>-2.74256883495217</v>
      </c>
      <c r="V109" s="84" t="n">
        <f aca="false">IF(ISNUMBER(T109),T109,-99)</f>
        <v>21.0425688349522</v>
      </c>
      <c r="W109" s="84" t="n">
        <f aca="false">IF(ISNUMBER(U109),ABS(U109),"")</f>
        <v>2.74256883495217</v>
      </c>
    </row>
    <row r="110" customFormat="false" ht="15" hidden="false" customHeight="false" outlineLevel="0" collapsed="false">
      <c r="A110" s="57" t="n">
        <v>29084</v>
      </c>
      <c r="B110" s="56" t="n">
        <v>1979</v>
      </c>
      <c r="C110" s="56" t="n">
        <v>8</v>
      </c>
      <c r="D110" s="56" t="n">
        <v>109</v>
      </c>
      <c r="E110" s="56" t="n">
        <v>18.2</v>
      </c>
      <c r="F110" s="56" t="n">
        <v>0</v>
      </c>
      <c r="G110" s="56" t="n">
        <v>13.7</v>
      </c>
      <c r="H110" s="56" t="n">
        <v>0</v>
      </c>
      <c r="I110" s="56" t="n">
        <v>16</v>
      </c>
      <c r="J110" s="56" t="n">
        <v>0</v>
      </c>
      <c r="K110" s="56" t="n">
        <v>1005.5</v>
      </c>
      <c r="L110" s="56" t="n">
        <v>0</v>
      </c>
      <c r="M110" s="56" t="n">
        <v>89</v>
      </c>
      <c r="N110" s="56" t="n">
        <v>0.7</v>
      </c>
      <c r="O110" s="56" t="n">
        <f aca="false">IF(D110=1,"",E109)</f>
        <v>18.3</v>
      </c>
      <c r="P110" s="56" t="n">
        <f aca="false">IF(OR(D110=1,K109=""),"",K109)</f>
        <v>1013.7</v>
      </c>
      <c r="Q110" s="56" t="n">
        <f aca="false">IF(OR(F110&lt;&gt;0,AND(I110&lt;&gt;"",E110&lt;I110)),1,0)</f>
        <v>0</v>
      </c>
      <c r="R110" s="56" t="n">
        <f aca="false">IF(AND(D110&gt;1,Q110=0,ISNUMBER(O110),ISNUMBER(P110)),IF(Q109=0,1,0),0)</f>
        <v>1</v>
      </c>
      <c r="S110" s="56" t="n">
        <f aca="false">R110*(B110&gt;=Train_Start)*(B110&lt;=Train_End)</f>
        <v>1</v>
      </c>
      <c r="T110" s="84" t="n">
        <f aca="false">IF(AND(ISNUMBER(O110),ISNUMBER(P110)),Coef_A+Coef_B1*O110+Coef_B2*P110,"")</f>
        <v>18.8805448451514</v>
      </c>
      <c r="U110" s="84" t="n">
        <f aca="false">IF(AND(R110=1,ISNUMBER(T110)),E110-T110,"")</f>
        <v>-0.680544845151381</v>
      </c>
      <c r="V110" s="84" t="n">
        <f aca="false">IF(ISNUMBER(T110),T110,-99)</f>
        <v>18.8805448451514</v>
      </c>
      <c r="W110" s="84" t="n">
        <f aca="false">IF(ISNUMBER(U110),ABS(U110),"")</f>
        <v>0.680544845151381</v>
      </c>
    </row>
    <row r="111" customFormat="false" ht="15" hidden="false" customHeight="false" outlineLevel="0" collapsed="false">
      <c r="A111" s="57" t="n">
        <v>29085</v>
      </c>
      <c r="B111" s="56" t="n">
        <v>1979</v>
      </c>
      <c r="C111" s="56" t="n">
        <v>8</v>
      </c>
      <c r="D111" s="56" t="n">
        <v>110</v>
      </c>
      <c r="E111" s="56" t="n">
        <v>19.8</v>
      </c>
      <c r="F111" s="56" t="n">
        <v>0</v>
      </c>
      <c r="G111" s="56" t="n">
        <v>12.7</v>
      </c>
      <c r="H111" s="56" t="n">
        <v>0</v>
      </c>
      <c r="I111" s="56" t="n">
        <v>15.4</v>
      </c>
      <c r="J111" s="56" t="n">
        <v>0</v>
      </c>
      <c r="K111" s="56" t="n">
        <v>1014.4</v>
      </c>
      <c r="L111" s="56" t="n">
        <v>0</v>
      </c>
      <c r="M111" s="56" t="n">
        <v>83</v>
      </c>
      <c r="N111" s="56" t="n">
        <v>0.1</v>
      </c>
      <c r="O111" s="56" t="n">
        <f aca="false">IF(D111=1,"",E110)</f>
        <v>18.2</v>
      </c>
      <c r="P111" s="56" t="n">
        <f aca="false">IF(OR(D111=1,K110=""),"",K110)</f>
        <v>1005.5</v>
      </c>
      <c r="Q111" s="56" t="n">
        <f aca="false">IF(OR(F111&lt;&gt;0,AND(I111&lt;&gt;"",E111&lt;I111)),1,0)</f>
        <v>0</v>
      </c>
      <c r="R111" s="56" t="n">
        <f aca="false">IF(AND(D111&gt;1,Q111=0,ISNUMBER(O111),ISNUMBER(P111)),IF(Q110=0,1,0),0)</f>
        <v>1</v>
      </c>
      <c r="S111" s="56" t="n">
        <f aca="false">R111*(B111&gt;=Train_Start)*(B111&lt;=Train_End)</f>
        <v>1</v>
      </c>
      <c r="T111" s="84" t="n">
        <f aca="false">IF(AND(ISNUMBER(O111),ISNUMBER(P111)),Coef_A+Coef_B1*O111+Coef_B2*P111,"")</f>
        <v>18.5413777898484</v>
      </c>
      <c r="U111" s="84" t="n">
        <f aca="false">IF(AND(R111=1,ISNUMBER(T111)),E111-T111,"")</f>
        <v>1.2586222101516</v>
      </c>
      <c r="V111" s="84" t="n">
        <f aca="false">IF(ISNUMBER(T111),T111,-99)</f>
        <v>18.5413777898484</v>
      </c>
      <c r="W111" s="84" t="n">
        <f aca="false">IF(ISNUMBER(U111),ABS(U111),"")</f>
        <v>1.2586222101516</v>
      </c>
    </row>
    <row r="112" customFormat="false" ht="15" hidden="false" customHeight="false" outlineLevel="0" collapsed="false">
      <c r="A112" s="57" t="n">
        <v>29086</v>
      </c>
      <c r="B112" s="56" t="n">
        <v>1979</v>
      </c>
      <c r="C112" s="56" t="n">
        <v>8</v>
      </c>
      <c r="D112" s="56" t="n">
        <v>111</v>
      </c>
      <c r="E112" s="56" t="n">
        <v>22.8</v>
      </c>
      <c r="F112" s="56" t="n">
        <v>0</v>
      </c>
      <c r="G112" s="56" t="n">
        <v>13.4</v>
      </c>
      <c r="H112" s="56" t="n">
        <v>0</v>
      </c>
      <c r="I112" s="56" t="n">
        <v>16.6</v>
      </c>
      <c r="J112" s="56" t="n">
        <v>0</v>
      </c>
      <c r="K112" s="56" t="n">
        <v>1016.8</v>
      </c>
      <c r="L112" s="56" t="n">
        <v>0</v>
      </c>
      <c r="M112" s="56" t="n">
        <v>81</v>
      </c>
      <c r="N112" s="56" t="n">
        <v>0.6</v>
      </c>
      <c r="O112" s="56" t="n">
        <f aca="false">IF(D112=1,"",E111)</f>
        <v>19.8</v>
      </c>
      <c r="P112" s="56" t="n">
        <f aca="false">IF(OR(D112=1,K111=""),"",K111)</f>
        <v>1014.4</v>
      </c>
      <c r="Q112" s="56" t="n">
        <f aca="false">IF(OR(F112&lt;&gt;0,AND(I112&lt;&gt;"",E112&lt;I112)),1,0)</f>
        <v>0</v>
      </c>
      <c r="R112" s="56" t="n">
        <f aca="false">IF(AND(D112&gt;1,Q112=0,ISNUMBER(O112),ISNUMBER(P112)),IF(Q111=0,1,0),0)</f>
        <v>1</v>
      </c>
      <c r="S112" s="56" t="n">
        <f aca="false">R112*(B112&gt;=Train_Start)*(B112&lt;=Train_End)</f>
        <v>1</v>
      </c>
      <c r="T112" s="84" t="n">
        <f aca="false">IF(AND(ISNUMBER(O112),ISNUMBER(P112)),Coef_A+Coef_B1*O112+Coef_B2*P112,"")</f>
        <v>20.1315125609592</v>
      </c>
      <c r="U112" s="84" t="n">
        <f aca="false">IF(AND(R112=1,ISNUMBER(T112)),E112-T112,"")</f>
        <v>2.66848743904084</v>
      </c>
      <c r="V112" s="84" t="n">
        <f aca="false">IF(ISNUMBER(T112),T112,-99)</f>
        <v>20.1315125609592</v>
      </c>
      <c r="W112" s="84" t="n">
        <f aca="false">IF(ISNUMBER(U112),ABS(U112),"")</f>
        <v>2.66848743904084</v>
      </c>
    </row>
    <row r="113" customFormat="false" ht="15" hidden="false" customHeight="false" outlineLevel="0" collapsed="false">
      <c r="A113" s="57" t="n">
        <v>29087</v>
      </c>
      <c r="B113" s="56" t="n">
        <v>1979</v>
      </c>
      <c r="C113" s="56" t="n">
        <v>8</v>
      </c>
      <c r="D113" s="56" t="n">
        <v>112</v>
      </c>
      <c r="E113" s="56" t="n">
        <v>19.8</v>
      </c>
      <c r="F113" s="56" t="n">
        <v>0</v>
      </c>
      <c r="G113" s="56" t="n">
        <v>11.9</v>
      </c>
      <c r="H113" s="56" t="n">
        <v>0</v>
      </c>
      <c r="I113" s="56" t="n">
        <v>17.4</v>
      </c>
      <c r="J113" s="56" t="n">
        <v>0</v>
      </c>
      <c r="K113" s="56" t="n">
        <v>1018.2</v>
      </c>
      <c r="L113" s="56" t="n">
        <v>0</v>
      </c>
      <c r="M113" s="56" t="n">
        <v>78</v>
      </c>
      <c r="N113" s="56" t="n">
        <v>6.4</v>
      </c>
      <c r="O113" s="56" t="n">
        <f aca="false">IF(D113=1,"",E112)</f>
        <v>22.8</v>
      </c>
      <c r="P113" s="56" t="n">
        <f aca="false">IF(OR(D113=1,K112=""),"",K112)</f>
        <v>1016.8</v>
      </c>
      <c r="Q113" s="56" t="n">
        <f aca="false">IF(OR(F113&lt;&gt;0,AND(I113&lt;&gt;"",E113&lt;I113)),1,0)</f>
        <v>0</v>
      </c>
      <c r="R113" s="56" t="n">
        <f aca="false">IF(AND(D113&gt;1,Q113=0,ISNUMBER(O113),ISNUMBER(P113)),IF(Q112=0,1,0),0)</f>
        <v>1</v>
      </c>
      <c r="S113" s="56" t="n">
        <f aca="false">R113*(B113&gt;=Train_Start)*(B113&lt;=Train_End)</f>
        <v>1</v>
      </c>
      <c r="T113" s="84" t="n">
        <f aca="false">IF(AND(ISNUMBER(O113),ISNUMBER(P113)),Coef_A+Coef_B1*O113+Coef_B2*P113,"")</f>
        <v>22.6648178872087</v>
      </c>
      <c r="U113" s="84" t="n">
        <f aca="false">IF(AND(R113=1,ISNUMBER(T113)),E113-T113,"")</f>
        <v>-2.86481788720871</v>
      </c>
      <c r="V113" s="84" t="n">
        <f aca="false">IF(ISNUMBER(T113),T113,-99)</f>
        <v>22.6648178872087</v>
      </c>
      <c r="W113" s="84" t="n">
        <f aca="false">IF(ISNUMBER(U113),ABS(U113),"")</f>
        <v>2.86481788720871</v>
      </c>
    </row>
    <row r="114" customFormat="false" ht="15" hidden="false" customHeight="false" outlineLevel="0" collapsed="false">
      <c r="A114" s="57" t="n">
        <v>29088</v>
      </c>
      <c r="B114" s="56" t="n">
        <v>1979</v>
      </c>
      <c r="C114" s="56" t="n">
        <v>8</v>
      </c>
      <c r="D114" s="56" t="n">
        <v>113</v>
      </c>
      <c r="E114" s="56" t="n">
        <v>19.6</v>
      </c>
      <c r="F114" s="56" t="n">
        <v>0</v>
      </c>
      <c r="G114" s="56" t="n">
        <v>13.4</v>
      </c>
      <c r="H114" s="56" t="n">
        <v>0</v>
      </c>
      <c r="I114" s="56" t="n">
        <v>16.6</v>
      </c>
      <c r="J114" s="56" t="n">
        <v>0</v>
      </c>
      <c r="K114" s="56" t="n">
        <v>1014.8</v>
      </c>
      <c r="L114" s="56" t="n">
        <v>0</v>
      </c>
      <c r="M114" s="56" t="n">
        <v>70</v>
      </c>
      <c r="N114" s="56" t="n">
        <v>9.9</v>
      </c>
      <c r="O114" s="56" t="n">
        <f aca="false">IF(D114=1,"",E113)</f>
        <v>19.8</v>
      </c>
      <c r="P114" s="56" t="n">
        <f aca="false">IF(OR(D114=1,K113=""),"",K113)</f>
        <v>1018.2</v>
      </c>
      <c r="Q114" s="56" t="n">
        <f aca="false">IF(OR(F114&lt;&gt;0,AND(I114&lt;&gt;"",E114&lt;I114)),1,0)</f>
        <v>0</v>
      </c>
      <c r="R114" s="56" t="n">
        <f aca="false">IF(AND(D114&gt;1,Q114=0,ISNUMBER(O114),ISNUMBER(P114)),IF(Q113=0,1,0),0)</f>
        <v>1</v>
      </c>
      <c r="S114" s="56" t="n">
        <f aca="false">R114*(B114&gt;=Train_Start)*(B114&lt;=Train_End)</f>
        <v>1</v>
      </c>
      <c r="T114" s="84" t="n">
        <f aca="false">IF(AND(ISNUMBER(O114),ISNUMBER(P114)),Coef_A+Coef_B1*O114+Coef_B2*P114,"")</f>
        <v>20.2507181605683</v>
      </c>
      <c r="U114" s="84" t="n">
        <f aca="false">IF(AND(R114=1,ISNUMBER(T114)),E114-T114,"")</f>
        <v>-0.650718160568321</v>
      </c>
      <c r="V114" s="84" t="n">
        <f aca="false">IF(ISNUMBER(T114),T114,-99)</f>
        <v>20.2507181605683</v>
      </c>
      <c r="W114" s="84" t="n">
        <f aca="false">IF(ISNUMBER(U114),ABS(U114),"")</f>
        <v>0.650718160568321</v>
      </c>
    </row>
    <row r="115" customFormat="false" ht="15" hidden="false" customHeight="false" outlineLevel="0" collapsed="false">
      <c r="A115" s="57" t="n">
        <v>29089</v>
      </c>
      <c r="B115" s="56" t="n">
        <v>1979</v>
      </c>
      <c r="C115" s="56" t="n">
        <v>8</v>
      </c>
      <c r="D115" s="56" t="n">
        <v>114</v>
      </c>
      <c r="E115" s="56" t="n">
        <v>16.1</v>
      </c>
      <c r="F115" s="56" t="n">
        <v>0</v>
      </c>
      <c r="G115" s="56" t="n">
        <v>10</v>
      </c>
      <c r="H115" s="56" t="n">
        <v>0</v>
      </c>
      <c r="I115" s="56" t="n">
        <v>14.8</v>
      </c>
      <c r="J115" s="56" t="n">
        <v>0</v>
      </c>
      <c r="K115" s="56" t="n">
        <v>1013.8</v>
      </c>
      <c r="L115" s="56" t="n">
        <v>0</v>
      </c>
      <c r="M115" s="56" t="n">
        <v>66</v>
      </c>
      <c r="N115" s="56" t="n">
        <v>8.1</v>
      </c>
      <c r="O115" s="56" t="n">
        <f aca="false">IF(D115=1,"",E114)</f>
        <v>19.6</v>
      </c>
      <c r="P115" s="56" t="n">
        <f aca="false">IF(OR(D115=1,K114=""),"",K114)</f>
        <v>1014.8</v>
      </c>
      <c r="Q115" s="56" t="n">
        <f aca="false">IF(OR(F115&lt;&gt;0,AND(I115&lt;&gt;"",E115&lt;I115)),1,0)</f>
        <v>0</v>
      </c>
      <c r="R115" s="56" t="n">
        <f aca="false">IF(AND(D115&gt;1,Q115=0,ISNUMBER(O115),ISNUMBER(P115)),IF(Q114=0,1,0),0)</f>
        <v>1</v>
      </c>
      <c r="S115" s="56" t="n">
        <f aca="false">R115*(B115&gt;=Train_Start)*(B115&lt;=Train_End)</f>
        <v>1</v>
      </c>
      <c r="T115" s="84" t="n">
        <f aca="false">IF(AND(ISNUMBER(O115),ISNUMBER(P115)),Coef_A+Coef_B1*O115+Coef_B2*P115,"")</f>
        <v>19.9801926802042</v>
      </c>
      <c r="U115" s="84" t="n">
        <f aca="false">IF(AND(R115=1,ISNUMBER(T115)),E115-T115,"")</f>
        <v>-3.88019268020422</v>
      </c>
      <c r="V115" s="84" t="n">
        <f aca="false">IF(ISNUMBER(T115),T115,-99)</f>
        <v>19.9801926802042</v>
      </c>
      <c r="W115" s="84" t="n">
        <f aca="false">IF(ISNUMBER(U115),ABS(U115),"")</f>
        <v>3.88019268020422</v>
      </c>
    </row>
    <row r="116" customFormat="false" ht="15" hidden="false" customHeight="false" outlineLevel="0" collapsed="false">
      <c r="A116" s="57" t="n">
        <v>29090</v>
      </c>
      <c r="B116" s="56" t="n">
        <v>1979</v>
      </c>
      <c r="C116" s="56" t="n">
        <v>8</v>
      </c>
      <c r="D116" s="56" t="n">
        <v>115</v>
      </c>
      <c r="E116" s="56" t="n">
        <v>16.9</v>
      </c>
      <c r="F116" s="56" t="n">
        <v>0</v>
      </c>
      <c r="G116" s="56" t="n">
        <v>8.8</v>
      </c>
      <c r="H116" s="56" t="n">
        <v>0</v>
      </c>
      <c r="I116" s="56" t="n">
        <v>12.4</v>
      </c>
      <c r="J116" s="56" t="n">
        <v>0</v>
      </c>
      <c r="K116" s="56" t="n">
        <v>1008.2</v>
      </c>
      <c r="L116" s="56" t="n">
        <v>0</v>
      </c>
      <c r="M116" s="56" t="n">
        <v>81</v>
      </c>
      <c r="N116" s="56" t="n">
        <v>5.4</v>
      </c>
      <c r="O116" s="56" t="n">
        <f aca="false">IF(D116=1,"",E115)</f>
        <v>16.1</v>
      </c>
      <c r="P116" s="56" t="n">
        <f aca="false">IF(OR(D116=1,K115=""),"",K115)</f>
        <v>1013.8</v>
      </c>
      <c r="Q116" s="56" t="n">
        <f aca="false">IF(OR(F116&lt;&gt;0,AND(I116&lt;&gt;"",E116&lt;I116)),1,0)</f>
        <v>0</v>
      </c>
      <c r="R116" s="56" t="n">
        <f aca="false">IF(AND(D116&gt;1,Q116=0,ISNUMBER(O116),ISNUMBER(P116)),IF(Q115=0,1,0),0)</f>
        <v>1</v>
      </c>
      <c r="S116" s="56" t="n">
        <f aca="false">R116*(B116&gt;=Train_Start)*(B116&lt;=Train_End)</f>
        <v>1</v>
      </c>
      <c r="T116" s="84" t="n">
        <f aca="false">IF(AND(ISNUMBER(O116),ISNUMBER(P116)),Coef_A+Coef_B1*O116+Coef_B2*P116,"")</f>
        <v>17.0811356099209</v>
      </c>
      <c r="U116" s="84" t="n">
        <f aca="false">IF(AND(R116=1,ISNUMBER(T116)),E116-T116,"")</f>
        <v>-0.181135609920933</v>
      </c>
      <c r="V116" s="84" t="n">
        <f aca="false">IF(ISNUMBER(T116),T116,-99)</f>
        <v>17.0811356099209</v>
      </c>
      <c r="W116" s="84" t="n">
        <f aca="false">IF(ISNUMBER(U116),ABS(U116),"")</f>
        <v>0.181135609920933</v>
      </c>
    </row>
    <row r="117" customFormat="false" ht="15" hidden="false" customHeight="false" outlineLevel="0" collapsed="false">
      <c r="A117" s="57" t="n">
        <v>29091</v>
      </c>
      <c r="B117" s="56" t="n">
        <v>1979</v>
      </c>
      <c r="C117" s="56" t="n">
        <v>8</v>
      </c>
      <c r="D117" s="56" t="n">
        <v>116</v>
      </c>
      <c r="E117" s="56" t="n">
        <v>18.3</v>
      </c>
      <c r="F117" s="56" t="n">
        <v>0</v>
      </c>
      <c r="G117" s="56" t="n">
        <v>9.7</v>
      </c>
      <c r="H117" s="56" t="n">
        <v>0</v>
      </c>
      <c r="I117" s="56" t="n">
        <v>13.3</v>
      </c>
      <c r="J117" s="56" t="n">
        <v>0</v>
      </c>
      <c r="K117" s="56" t="n">
        <v>1009.4</v>
      </c>
      <c r="L117" s="56" t="n">
        <v>0</v>
      </c>
      <c r="M117" s="56" t="n">
        <v>78</v>
      </c>
      <c r="N117" s="56" t="n">
        <v>2.7</v>
      </c>
      <c r="O117" s="56" t="n">
        <f aca="false">IF(D117=1,"",E116)</f>
        <v>16.9</v>
      </c>
      <c r="P117" s="56" t="n">
        <f aca="false">IF(OR(D117=1,K116=""),"",K116)</f>
        <v>1008.2</v>
      </c>
      <c r="Q117" s="56" t="n">
        <f aca="false">IF(OR(F117&lt;&gt;0,AND(I117&lt;&gt;"",E117&lt;I117)),1,0)</f>
        <v>0</v>
      </c>
      <c r="R117" s="56" t="n">
        <f aca="false">IF(AND(D117&gt;1,Q117=0,ISNUMBER(O117),ISNUMBER(P117)),IF(Q116=0,1,0),0)</f>
        <v>1</v>
      </c>
      <c r="S117" s="56" t="n">
        <f aca="false">R117*(B117&gt;=Train_Start)*(B117&lt;=Train_End)</f>
        <v>1</v>
      </c>
      <c r="T117" s="84" t="n">
        <f aca="false">IF(AND(ISNUMBER(O117),ISNUMBER(P117)),Coef_A+Coef_B1*O117+Coef_B2*P117,"")</f>
        <v>17.5609355544047</v>
      </c>
      <c r="U117" s="84" t="n">
        <f aca="false">IF(AND(R117=1,ISNUMBER(T117)),E117-T117,"")</f>
        <v>0.739064445595282</v>
      </c>
      <c r="V117" s="84" t="n">
        <f aca="false">IF(ISNUMBER(T117),T117,-99)</f>
        <v>17.5609355544047</v>
      </c>
      <c r="W117" s="84" t="n">
        <f aca="false">IF(ISNUMBER(U117),ABS(U117),"")</f>
        <v>0.739064445595282</v>
      </c>
    </row>
    <row r="118" customFormat="false" ht="15" hidden="false" customHeight="false" outlineLevel="0" collapsed="false">
      <c r="A118" s="57" t="n">
        <v>29092</v>
      </c>
      <c r="B118" s="56" t="n">
        <v>1979</v>
      </c>
      <c r="C118" s="56" t="n">
        <v>8</v>
      </c>
      <c r="D118" s="56" t="n">
        <v>117</v>
      </c>
      <c r="E118" s="56" t="n">
        <v>18.7</v>
      </c>
      <c r="F118" s="56" t="n">
        <v>0</v>
      </c>
      <c r="G118" s="56" t="n">
        <v>8</v>
      </c>
      <c r="H118" s="56" t="n">
        <v>0</v>
      </c>
      <c r="I118" s="56" t="n">
        <v>13.2</v>
      </c>
      <c r="J118" s="56" t="n">
        <v>0</v>
      </c>
      <c r="K118" s="56" t="n">
        <v>1010.8</v>
      </c>
      <c r="L118" s="56" t="n">
        <v>0</v>
      </c>
      <c r="M118" s="56" t="n">
        <v>82</v>
      </c>
      <c r="N118" s="56" t="n">
        <v>2.5</v>
      </c>
      <c r="O118" s="56" t="n">
        <f aca="false">IF(D118=1,"",E117)</f>
        <v>18.3</v>
      </c>
      <c r="P118" s="56" t="n">
        <f aca="false">IF(OR(D118=1,K117=""),"",K117)</f>
        <v>1009.4</v>
      </c>
      <c r="Q118" s="56" t="n">
        <f aca="false">IF(OR(F118&lt;&gt;0,AND(I118&lt;&gt;"",E118&lt;I118)),1,0)</f>
        <v>0</v>
      </c>
      <c r="R118" s="56" t="n">
        <f aca="false">IF(AND(D118&gt;1,Q118=0,ISNUMBER(O118),ISNUMBER(P118)),IF(Q117=0,1,0),0)</f>
        <v>1</v>
      </c>
      <c r="S118" s="56" t="n">
        <f aca="false">R118*(B118&gt;=Train_Start)*(B118&lt;=Train_End)</f>
        <v>1</v>
      </c>
      <c r="T118" s="84" t="n">
        <f aca="false">IF(AND(ISNUMBER(O118),ISNUMBER(P118)),Coef_A+Coef_B1*O118+Coef_B2*P118,"")</f>
        <v>18.7456542982252</v>
      </c>
      <c r="U118" s="84" t="n">
        <f aca="false">IF(AND(R118=1,ISNUMBER(T118)),E118-T118,"")</f>
        <v>-0.045654298225223</v>
      </c>
      <c r="V118" s="84" t="n">
        <f aca="false">IF(ISNUMBER(T118),T118,-99)</f>
        <v>18.7456542982252</v>
      </c>
      <c r="W118" s="84" t="n">
        <f aca="false">IF(ISNUMBER(U118),ABS(U118),"")</f>
        <v>0.045654298225223</v>
      </c>
    </row>
    <row r="119" customFormat="false" ht="15" hidden="false" customHeight="false" outlineLevel="0" collapsed="false">
      <c r="A119" s="57" t="n">
        <v>29093</v>
      </c>
      <c r="B119" s="56" t="n">
        <v>1979</v>
      </c>
      <c r="C119" s="56" t="n">
        <v>8</v>
      </c>
      <c r="D119" s="56" t="n">
        <v>118</v>
      </c>
      <c r="E119" s="56" t="n">
        <v>17.4</v>
      </c>
      <c r="F119" s="56" t="n">
        <v>0</v>
      </c>
      <c r="G119" s="56" t="n">
        <v>10.5</v>
      </c>
      <c r="H119" s="56" t="n">
        <v>0</v>
      </c>
      <c r="I119" s="56" t="n">
        <v>14.6</v>
      </c>
      <c r="J119" s="56" t="n">
        <v>0</v>
      </c>
      <c r="K119" s="56" t="n">
        <v>1015.2</v>
      </c>
      <c r="L119" s="56" t="n">
        <v>0</v>
      </c>
      <c r="M119" s="56" t="n">
        <v>73</v>
      </c>
      <c r="N119" s="56" t="n">
        <v>7.4</v>
      </c>
      <c r="O119" s="56" t="n">
        <f aca="false">IF(D119=1,"",E118)</f>
        <v>18.7</v>
      </c>
      <c r="P119" s="56" t="n">
        <f aca="false">IF(OR(D119=1,K118=""),"",K118)</f>
        <v>1010.8</v>
      </c>
      <c r="Q119" s="56" t="n">
        <f aca="false">IF(OR(F119&lt;&gt;0,AND(I119&lt;&gt;"",E119&lt;I119)),1,0)</f>
        <v>0</v>
      </c>
      <c r="R119" s="56" t="n">
        <f aca="false">IF(AND(D119&gt;1,Q119=0,ISNUMBER(O119),ISNUMBER(P119)),IF(Q118=0,1,0),0)</f>
        <v>1</v>
      </c>
      <c r="S119" s="56" t="n">
        <f aca="false">R119*(B119&gt;=Train_Start)*(B119&lt;=Train_End)</f>
        <v>1</v>
      </c>
      <c r="T119" s="84" t="n">
        <f aca="false">IF(AND(ISNUMBER(O119),ISNUMBER(P119)),Coef_A+Coef_B1*O119+Coef_B2*P119,"")</f>
        <v>19.1173078279299</v>
      </c>
      <c r="U119" s="84" t="n">
        <f aca="false">IF(AND(R119=1,ISNUMBER(T119)),E119-T119,"")</f>
        <v>-1.71730782792987</v>
      </c>
      <c r="V119" s="84" t="n">
        <f aca="false">IF(ISNUMBER(T119),T119,-99)</f>
        <v>19.1173078279299</v>
      </c>
      <c r="W119" s="84" t="n">
        <f aca="false">IF(ISNUMBER(U119),ABS(U119),"")</f>
        <v>1.71730782792987</v>
      </c>
    </row>
    <row r="120" customFormat="false" ht="15" hidden="false" customHeight="false" outlineLevel="0" collapsed="false">
      <c r="A120" s="57" t="n">
        <v>29094</v>
      </c>
      <c r="B120" s="56" t="n">
        <v>1979</v>
      </c>
      <c r="C120" s="56" t="n">
        <v>8</v>
      </c>
      <c r="D120" s="56" t="n">
        <v>119</v>
      </c>
      <c r="E120" s="56" t="n">
        <v>21.8</v>
      </c>
      <c r="F120" s="56" t="n">
        <v>0</v>
      </c>
      <c r="G120" s="56" t="n">
        <v>9.4</v>
      </c>
      <c r="H120" s="56" t="n">
        <v>0</v>
      </c>
      <c r="I120" s="56" t="n">
        <v>13.4</v>
      </c>
      <c r="J120" s="56" t="n">
        <v>0</v>
      </c>
      <c r="K120" s="56" t="n">
        <v>1020.8</v>
      </c>
      <c r="L120" s="56" t="n">
        <v>0</v>
      </c>
      <c r="M120" s="56" t="n">
        <v>72</v>
      </c>
      <c r="N120" s="56" t="n">
        <v>8.3</v>
      </c>
      <c r="O120" s="56" t="n">
        <f aca="false">IF(D120=1,"",E119)</f>
        <v>17.4</v>
      </c>
      <c r="P120" s="56" t="n">
        <f aca="false">IF(OR(D120=1,K119=""),"",K119)</f>
        <v>1015.2</v>
      </c>
      <c r="Q120" s="56" t="n">
        <f aca="false">IF(OR(F120&lt;&gt;0,AND(I120&lt;&gt;"",E120&lt;I120)),1,0)</f>
        <v>0</v>
      </c>
      <c r="R120" s="56" t="n">
        <f aca="false">IF(AND(D120&gt;1,Q120=0,ISNUMBER(O120),ISNUMBER(P120)),IF(Q119=0,1,0),0)</f>
        <v>1</v>
      </c>
      <c r="S120" s="56" t="n">
        <f aca="false">R120*(B120&gt;=Train_Start)*(B120&lt;=Train_End)</f>
        <v>1</v>
      </c>
      <c r="T120" s="84" t="n">
        <f aca="false">IF(AND(ISNUMBER(O120),ISNUMBER(P120)),Coef_A+Coef_B1*O120+Coef_B2*P120,"")</f>
        <v>18.190194413364</v>
      </c>
      <c r="U120" s="84" t="n">
        <f aca="false">IF(AND(R120=1,ISNUMBER(T120)),E120-T120,"")</f>
        <v>3.60980558663603</v>
      </c>
      <c r="V120" s="84" t="n">
        <f aca="false">IF(ISNUMBER(T120),T120,-99)</f>
        <v>18.190194413364</v>
      </c>
      <c r="W120" s="84" t="n">
        <f aca="false">IF(ISNUMBER(U120),ABS(U120),"")</f>
        <v>3.60980558663603</v>
      </c>
    </row>
    <row r="121" customFormat="false" ht="15" hidden="false" customHeight="false" outlineLevel="0" collapsed="false">
      <c r="A121" s="57" t="n">
        <v>29095</v>
      </c>
      <c r="B121" s="56" t="n">
        <v>1979</v>
      </c>
      <c r="C121" s="56" t="n">
        <v>8</v>
      </c>
      <c r="D121" s="56" t="n">
        <v>120</v>
      </c>
      <c r="E121" s="56" t="n">
        <v>23.9</v>
      </c>
      <c r="F121" s="56" t="n">
        <v>0</v>
      </c>
      <c r="G121" s="56" t="n">
        <v>5.7</v>
      </c>
      <c r="H121" s="56" t="n">
        <v>0</v>
      </c>
      <c r="I121" s="56" t="n">
        <v>13.8</v>
      </c>
      <c r="J121" s="56" t="n">
        <v>0</v>
      </c>
      <c r="K121" s="56" t="n">
        <v>1025.3</v>
      </c>
      <c r="L121" s="56" t="n">
        <v>0</v>
      </c>
      <c r="M121" s="56" t="n">
        <v>69</v>
      </c>
      <c r="N121" s="56" t="n">
        <v>12.5</v>
      </c>
      <c r="O121" s="56" t="n">
        <f aca="false">IF(D121=1,"",E120)</f>
        <v>21.8</v>
      </c>
      <c r="P121" s="56" t="n">
        <f aca="false">IF(OR(D121=1,K120=""),"",K120)</f>
        <v>1020.8</v>
      </c>
      <c r="Q121" s="56" t="n">
        <f aca="false">IF(OR(F121&lt;&gt;0,AND(I121&lt;&gt;"",E121&lt;I121)),1,0)</f>
        <v>0</v>
      </c>
      <c r="R121" s="56" t="n">
        <f aca="false">IF(AND(D121&gt;1,Q121=0,ISNUMBER(O121),ISNUMBER(P121)),IF(Q120=0,1,0),0)</f>
        <v>1</v>
      </c>
      <c r="S121" s="56" t="n">
        <f aca="false">R121*(B121&gt;=Train_Start)*(B121&lt;=Train_End)</f>
        <v>1</v>
      </c>
      <c r="T121" s="84" t="n">
        <f aca="false">IF(AND(ISNUMBER(O121),ISNUMBER(P121)),Coef_A+Coef_B1*O121+Coef_B2*P121,"")</f>
        <v>21.970958272702</v>
      </c>
      <c r="U121" s="84" t="n">
        <f aca="false">IF(AND(R121=1,ISNUMBER(T121)),E121-T121,"")</f>
        <v>1.929041727298</v>
      </c>
      <c r="V121" s="84" t="n">
        <f aca="false">IF(ISNUMBER(T121),T121,-99)</f>
        <v>21.970958272702</v>
      </c>
      <c r="W121" s="84" t="n">
        <f aca="false">IF(ISNUMBER(U121),ABS(U121),"")</f>
        <v>1.929041727298</v>
      </c>
    </row>
    <row r="122" customFormat="false" ht="15" hidden="false" customHeight="false" outlineLevel="0" collapsed="false">
      <c r="A122" s="57" t="n">
        <v>29096</v>
      </c>
      <c r="B122" s="56" t="n">
        <v>1979</v>
      </c>
      <c r="C122" s="56" t="n">
        <v>8</v>
      </c>
      <c r="D122" s="56" t="n">
        <v>121</v>
      </c>
      <c r="E122" s="56" t="n">
        <v>26</v>
      </c>
      <c r="F122" s="56" t="n">
        <v>0</v>
      </c>
      <c r="G122" s="56" t="n">
        <v>9</v>
      </c>
      <c r="H122" s="56" t="n">
        <v>0</v>
      </c>
      <c r="I122" s="56" t="n">
        <v>16.4</v>
      </c>
      <c r="J122" s="56" t="n">
        <v>0</v>
      </c>
      <c r="K122" s="56" t="n">
        <v>1025.6</v>
      </c>
      <c r="L122" s="56" t="n">
        <v>0</v>
      </c>
      <c r="M122" s="56" t="n">
        <v>68</v>
      </c>
      <c r="N122" s="56" t="n">
        <v>12</v>
      </c>
      <c r="O122" s="56" t="n">
        <f aca="false">IF(D122=1,"",E121)</f>
        <v>23.9</v>
      </c>
      <c r="P122" s="56" t="n">
        <f aca="false">IF(OR(D122=1,K121=""),"",K121)</f>
        <v>1025.3</v>
      </c>
      <c r="Q122" s="56" t="n">
        <f aca="false">IF(OR(F122&lt;&gt;0,AND(I122&lt;&gt;"",E122&lt;I122)),1,0)</f>
        <v>0</v>
      </c>
      <c r="R122" s="56" t="n">
        <f aca="false">IF(AND(D122&gt;1,Q122=0,ISNUMBER(O122),ISNUMBER(P122)),IF(Q121=0,1,0),0)</f>
        <v>1</v>
      </c>
      <c r="S122" s="56" t="n">
        <f aca="false">R122*(B122&gt;=Train_Start)*(B122&lt;=Train_End)</f>
        <v>1</v>
      </c>
      <c r="T122" s="84" t="n">
        <f aca="false">IF(AND(ISNUMBER(O122),ISNUMBER(P122)),Coef_A+Coef_B1*O122+Coef_B2*P122,"")</f>
        <v>23.8327351039445</v>
      </c>
      <c r="U122" s="84" t="n">
        <f aca="false">IF(AND(R122=1,ISNUMBER(T122)),E122-T122,"")</f>
        <v>2.16726489605547</v>
      </c>
      <c r="V122" s="84" t="n">
        <f aca="false">IF(ISNUMBER(T122),T122,-99)</f>
        <v>23.8327351039445</v>
      </c>
      <c r="W122" s="84" t="n">
        <f aca="false">IF(ISNUMBER(U122),ABS(U122),"")</f>
        <v>2.16726489605547</v>
      </c>
    </row>
    <row r="123" customFormat="false" ht="15" hidden="false" customHeight="false" outlineLevel="0" collapsed="false">
      <c r="A123" s="57" t="n">
        <v>29097</v>
      </c>
      <c r="B123" s="56" t="n">
        <v>1979</v>
      </c>
      <c r="C123" s="56" t="n">
        <v>8</v>
      </c>
      <c r="D123" s="56" t="n">
        <v>122</v>
      </c>
      <c r="E123" s="56" t="n">
        <v>23.1</v>
      </c>
      <c r="F123" s="56" t="n">
        <v>0</v>
      </c>
      <c r="G123" s="56" t="n">
        <v>11.7</v>
      </c>
      <c r="H123" s="56" t="n">
        <v>0</v>
      </c>
      <c r="I123" s="56" t="n">
        <v>18.8</v>
      </c>
      <c r="J123" s="56" t="n">
        <v>0</v>
      </c>
      <c r="K123" s="56" t="n">
        <v>1020.9</v>
      </c>
      <c r="L123" s="56" t="n">
        <v>0</v>
      </c>
      <c r="M123" s="56" t="n">
        <v>64</v>
      </c>
      <c r="N123" s="56" t="n">
        <v>10.6</v>
      </c>
      <c r="O123" s="56" t="n">
        <f aca="false">IF(D123=1,"",E122)</f>
        <v>26</v>
      </c>
      <c r="P123" s="56" t="n">
        <f aca="false">IF(OR(D123=1,K122=""),"",K122)</f>
        <v>1025.6</v>
      </c>
      <c r="Q123" s="56" t="n">
        <f aca="false">IF(OR(F123&lt;&gt;0,AND(I123&lt;&gt;"",E123&lt;I123)),1,0)</f>
        <v>0</v>
      </c>
      <c r="R123" s="56" t="n">
        <f aca="false">IF(AND(D123&gt;1,Q123=0,ISNUMBER(O123),ISNUMBER(P123)),IF(Q122=0,1,0),0)</f>
        <v>1</v>
      </c>
      <c r="S123" s="56" t="n">
        <f aca="false">R123*(B123&gt;=Train_Start)*(B123&lt;=Train_End)</f>
        <v>1</v>
      </c>
      <c r="T123" s="84" t="n">
        <f aca="false">IF(AND(ISNUMBER(O123),ISNUMBER(P123)),Coef_A+Coef_B1*O123+Coef_B2*P123,"")</f>
        <v>25.5627583777243</v>
      </c>
      <c r="U123" s="84" t="n">
        <f aca="false">IF(AND(R123=1,ISNUMBER(T123)),E123-T123,"")</f>
        <v>-2.46275837772431</v>
      </c>
      <c r="V123" s="84" t="n">
        <f aca="false">IF(ISNUMBER(T123),T123,-99)</f>
        <v>25.5627583777243</v>
      </c>
      <c r="W123" s="84" t="n">
        <f aca="false">IF(ISNUMBER(U123),ABS(U123),"")</f>
        <v>2.46275837772431</v>
      </c>
    </row>
    <row r="124" customFormat="false" ht="15" hidden="false" customHeight="false" outlineLevel="0" collapsed="false">
      <c r="A124" s="57" t="n">
        <v>29098</v>
      </c>
      <c r="B124" s="56" t="n">
        <v>1979</v>
      </c>
      <c r="C124" s="56" t="n">
        <v>8</v>
      </c>
      <c r="D124" s="56" t="n">
        <v>123</v>
      </c>
      <c r="E124" s="56" t="n">
        <v>22.8</v>
      </c>
      <c r="F124" s="56" t="n">
        <v>0</v>
      </c>
      <c r="G124" s="56" t="n">
        <v>13</v>
      </c>
      <c r="H124" s="56" t="n">
        <v>0</v>
      </c>
      <c r="I124" s="56" t="n">
        <v>18</v>
      </c>
      <c r="J124" s="56" t="n">
        <v>0</v>
      </c>
      <c r="K124" s="56" t="n">
        <v>1020</v>
      </c>
      <c r="L124" s="56" t="n">
        <v>0</v>
      </c>
      <c r="M124" s="56" t="n">
        <v>73</v>
      </c>
      <c r="N124" s="56" t="n">
        <v>0.8</v>
      </c>
      <c r="O124" s="56" t="n">
        <f aca="false">IF(D124=1,"",E123)</f>
        <v>23.1</v>
      </c>
      <c r="P124" s="56" t="n">
        <f aca="false">IF(OR(D124=1,K123=""),"",K123)</f>
        <v>1020.9</v>
      </c>
      <c r="Q124" s="56" t="n">
        <f aca="false">IF(OR(F124&lt;&gt;0,AND(I124&lt;&gt;"",E124&lt;I124)),1,0)</f>
        <v>0</v>
      </c>
      <c r="R124" s="56" t="n">
        <f aca="false">IF(AND(D124&gt;1,Q124=0,ISNUMBER(O124),ISNUMBER(P124)),IF(Q123=0,1,0),0)</f>
        <v>1</v>
      </c>
      <c r="S124" s="56" t="n">
        <f aca="false">R124*(B124&gt;=Train_Start)*(B124&lt;=Train_End)</f>
        <v>1</v>
      </c>
      <c r="T124" s="84" t="n">
        <f aca="false">IF(AND(ISNUMBER(O124),ISNUMBER(P124)),Coef_A+Coef_B1*O124+Coef_B2*P124,"")</f>
        <v>23.0392362131209</v>
      </c>
      <c r="U124" s="84" t="n">
        <f aca="false">IF(AND(R124=1,ISNUMBER(T124)),E124-T124,"")</f>
        <v>-0.239236213120858</v>
      </c>
      <c r="V124" s="84" t="n">
        <f aca="false">IF(ISNUMBER(T124),T124,-99)</f>
        <v>23.0392362131209</v>
      </c>
      <c r="W124" s="84" t="n">
        <f aca="false">IF(ISNUMBER(U124),ABS(U124),"")</f>
        <v>0.239236213120858</v>
      </c>
    </row>
    <row r="125" customFormat="false" ht="15" hidden="false" customHeight="false" outlineLevel="0" collapsed="false">
      <c r="A125" s="57" t="n">
        <v>29099</v>
      </c>
      <c r="B125" s="56" t="n">
        <v>1979</v>
      </c>
      <c r="C125" s="56" t="n">
        <v>9</v>
      </c>
      <c r="D125" s="56" t="n">
        <v>124</v>
      </c>
      <c r="E125" s="56" t="n">
        <v>21.6</v>
      </c>
      <c r="F125" s="56" t="n">
        <v>0</v>
      </c>
      <c r="G125" s="56" t="n">
        <v>15.4</v>
      </c>
      <c r="H125" s="56" t="n">
        <v>0</v>
      </c>
      <c r="I125" s="56" t="n">
        <v>19.1</v>
      </c>
      <c r="J125" s="56" t="n">
        <v>0</v>
      </c>
      <c r="K125" s="56" t="n">
        <v>1017.9</v>
      </c>
      <c r="L125" s="56" t="n">
        <v>0</v>
      </c>
      <c r="M125" s="56" t="n">
        <v>76</v>
      </c>
      <c r="N125" s="56" t="n">
        <v>4.6</v>
      </c>
      <c r="O125" s="56" t="n">
        <f aca="false">IF(D125=1,"",E124)</f>
        <v>22.8</v>
      </c>
      <c r="P125" s="56" t="n">
        <f aca="false">IF(OR(D125=1,K124=""),"",K124)</f>
        <v>1020</v>
      </c>
      <c r="Q125" s="56" t="n">
        <f aca="false">IF(OR(F125&lt;&gt;0,AND(I125&lt;&gt;"",E125&lt;I125)),1,0)</f>
        <v>0</v>
      </c>
      <c r="R125" s="56" t="n">
        <f aca="false">IF(AND(D125&gt;1,Q125=0,ISNUMBER(O125),ISNUMBER(P125)),IF(Q124=0,1,0),0)</f>
        <v>1</v>
      </c>
      <c r="S125" s="56" t="n">
        <f aca="false">R125*(B125&gt;=Train_Start)*(B125&lt;=Train_End)</f>
        <v>1</v>
      </c>
      <c r="T125" s="84" t="n">
        <f aca="false">IF(AND(ISNUMBER(O125),ISNUMBER(P125)),Coef_A+Coef_B1*O125+Coef_B2*P125,"")</f>
        <v>22.7652015500375</v>
      </c>
      <c r="U125" s="84" t="n">
        <f aca="false">IF(AND(R125=1,ISNUMBER(T125)),E125-T125,"")</f>
        <v>-1.16520155003747</v>
      </c>
      <c r="V125" s="84" t="n">
        <f aca="false">IF(ISNUMBER(T125),T125,-99)</f>
        <v>22.7652015500375</v>
      </c>
      <c r="W125" s="84" t="n">
        <f aca="false">IF(ISNUMBER(U125),ABS(U125),"")</f>
        <v>1.16520155003747</v>
      </c>
    </row>
    <row r="126" customFormat="false" ht="15" hidden="false" customHeight="false" outlineLevel="0" collapsed="false">
      <c r="A126" s="57" t="n">
        <v>29100</v>
      </c>
      <c r="B126" s="56" t="n">
        <v>1979</v>
      </c>
      <c r="C126" s="56" t="n">
        <v>9</v>
      </c>
      <c r="D126" s="56" t="n">
        <v>125</v>
      </c>
      <c r="E126" s="56" t="n">
        <v>19.4</v>
      </c>
      <c r="F126" s="56" t="n">
        <v>0</v>
      </c>
      <c r="G126" s="56" t="n">
        <v>15</v>
      </c>
      <c r="H126" s="56" t="n">
        <v>0</v>
      </c>
      <c r="I126" s="56" t="n">
        <v>18.3</v>
      </c>
      <c r="J126" s="56" t="n">
        <v>0</v>
      </c>
      <c r="K126" s="56" t="n">
        <v>1014.1</v>
      </c>
      <c r="L126" s="56" t="n">
        <v>0</v>
      </c>
      <c r="M126" s="56" t="n">
        <v>77</v>
      </c>
      <c r="N126" s="56" t="n">
        <v>6.3</v>
      </c>
      <c r="O126" s="56" t="n">
        <f aca="false">IF(D126=1,"",E125)</f>
        <v>21.6</v>
      </c>
      <c r="P126" s="56" t="n">
        <f aca="false">IF(OR(D126=1,K125=""),"",K125)</f>
        <v>1017.9</v>
      </c>
      <c r="Q126" s="56" t="n">
        <f aca="false">IF(OR(F126&lt;&gt;0,AND(I126&lt;&gt;"",E126&lt;I126)),1,0)</f>
        <v>0</v>
      </c>
      <c r="R126" s="56" t="n">
        <f aca="false">IF(AND(D126&gt;1,Q126=0,ISNUMBER(O126),ISNUMBER(P126)),IF(Q125=0,1,0),0)</f>
        <v>1</v>
      </c>
      <c r="S126" s="56" t="n">
        <f aca="false">R126*(B126&gt;=Train_Start)*(B126&lt;=Train_End)</f>
        <v>1</v>
      </c>
      <c r="T126" s="84" t="n">
        <f aca="false">IF(AND(ISNUMBER(O126),ISNUMBER(P126)),Coef_A+Coef_B1*O126+Coef_B2*P126,"")</f>
        <v>21.7161177396549</v>
      </c>
      <c r="U126" s="84" t="n">
        <f aca="false">IF(AND(R126=1,ISNUMBER(T126)),E126-T126,"")</f>
        <v>-2.31611773965491</v>
      </c>
      <c r="V126" s="84" t="n">
        <f aca="false">IF(ISNUMBER(T126),T126,-99)</f>
        <v>21.7161177396549</v>
      </c>
      <c r="W126" s="84" t="n">
        <f aca="false">IF(ISNUMBER(U126),ABS(U126),"")</f>
        <v>2.31611773965491</v>
      </c>
    </row>
    <row r="127" customFormat="false" ht="15" hidden="false" customHeight="false" outlineLevel="0" collapsed="false">
      <c r="A127" s="57" t="n">
        <v>29101</v>
      </c>
      <c r="B127" s="56" t="n">
        <v>1979</v>
      </c>
      <c r="C127" s="56" t="n">
        <v>9</v>
      </c>
      <c r="D127" s="56" t="n">
        <v>126</v>
      </c>
      <c r="E127" s="56" t="n">
        <v>21.7</v>
      </c>
      <c r="F127" s="56" t="n">
        <v>0</v>
      </c>
      <c r="G127" s="56" t="n">
        <v>13.1</v>
      </c>
      <c r="H127" s="56" t="n">
        <v>0</v>
      </c>
      <c r="I127" s="56" t="n">
        <v>16.2</v>
      </c>
      <c r="J127" s="56" t="n">
        <v>0</v>
      </c>
      <c r="K127" s="56" t="n">
        <v>1016.6</v>
      </c>
      <c r="L127" s="56" t="n">
        <v>0</v>
      </c>
      <c r="M127" s="56" t="n">
        <v>73</v>
      </c>
      <c r="N127" s="56" t="n">
        <v>1.6</v>
      </c>
      <c r="O127" s="56" t="n">
        <f aca="false">IF(D127=1,"",E126)</f>
        <v>19.4</v>
      </c>
      <c r="P127" s="56" t="n">
        <f aca="false">IF(OR(D127=1,K126=""),"",K126)</f>
        <v>1014.1</v>
      </c>
      <c r="Q127" s="56" t="n">
        <f aca="false">IF(OR(F127&lt;&gt;0,AND(I127&lt;&gt;"",E127&lt;I127)),1,0)</f>
        <v>0</v>
      </c>
      <c r="R127" s="56" t="n">
        <f aca="false">IF(AND(D127&gt;1,Q127=0,ISNUMBER(O127),ISNUMBER(P127)),IF(Q126=0,1,0),0)</f>
        <v>1</v>
      </c>
      <c r="S127" s="56" t="n">
        <f aca="false">R127*(B127&gt;=Train_Start)*(B127&lt;=Train_End)</f>
        <v>1</v>
      </c>
      <c r="T127" s="84" t="n">
        <f aca="false">IF(AND(ISNUMBER(O127),ISNUMBER(P127)),Coef_A+Coef_B1*O127+Coef_B2*P127,"")</f>
        <v>19.7943659153519</v>
      </c>
      <c r="U127" s="84" t="n">
        <f aca="false">IF(AND(R127=1,ISNUMBER(T127)),E127-T127,"")</f>
        <v>1.9056340846481</v>
      </c>
      <c r="V127" s="84" t="n">
        <f aca="false">IF(ISNUMBER(T127),T127,-99)</f>
        <v>19.7943659153519</v>
      </c>
      <c r="W127" s="84" t="n">
        <f aca="false">IF(ISNUMBER(U127),ABS(U127),"")</f>
        <v>1.9056340846481</v>
      </c>
    </row>
    <row r="128" customFormat="false" ht="15" hidden="false" customHeight="false" outlineLevel="0" collapsed="false">
      <c r="A128" s="57" t="n">
        <v>29102</v>
      </c>
      <c r="B128" s="56" t="n">
        <v>1979</v>
      </c>
      <c r="C128" s="56" t="n">
        <v>9</v>
      </c>
      <c r="D128" s="56" t="n">
        <v>127</v>
      </c>
      <c r="E128" s="56" t="n">
        <v>23.6</v>
      </c>
      <c r="F128" s="56" t="n">
        <v>0</v>
      </c>
      <c r="G128" s="56" t="n">
        <v>10.5</v>
      </c>
      <c r="H128" s="56" t="n">
        <v>0</v>
      </c>
      <c r="I128" s="56" t="n">
        <v>16.1</v>
      </c>
      <c r="J128" s="56" t="n">
        <v>0</v>
      </c>
      <c r="K128" s="56" t="n">
        <v>1025</v>
      </c>
      <c r="L128" s="56" t="n">
        <v>0</v>
      </c>
      <c r="M128" s="56" t="n">
        <v>74</v>
      </c>
      <c r="N128" s="56" t="n">
        <v>8</v>
      </c>
      <c r="O128" s="56" t="n">
        <f aca="false">IF(D128=1,"",E127)</f>
        <v>21.7</v>
      </c>
      <c r="P128" s="56" t="n">
        <f aca="false">IF(OR(D128=1,K127=""),"",K127)</f>
        <v>1016.6</v>
      </c>
      <c r="Q128" s="56" t="n">
        <f aca="false">IF(OR(F128&lt;&gt;0,AND(I128&lt;&gt;"",E128&lt;I128)),1,0)</f>
        <v>0</v>
      </c>
      <c r="R128" s="56" t="n">
        <f aca="false">IF(AND(D128&gt;1,Q128=0,ISNUMBER(O128),ISNUMBER(P128)),IF(Q127=0,1,0),0)</f>
        <v>1</v>
      </c>
      <c r="S128" s="56" t="n">
        <f aca="false">R128*(B128&gt;=Train_Start)*(B128&lt;=Train_End)</f>
        <v>1</v>
      </c>
      <c r="T128" s="84" t="n">
        <f aca="false">IF(AND(ISNUMBER(O128),ISNUMBER(P128)),Coef_A+Coef_B1*O128+Coef_B2*P128,"")</f>
        <v>21.757270795935</v>
      </c>
      <c r="U128" s="84" t="n">
        <f aca="false">IF(AND(R128=1,ISNUMBER(T128)),E128-T128,"")</f>
        <v>1.84272920406502</v>
      </c>
      <c r="V128" s="84" t="n">
        <f aca="false">IF(ISNUMBER(T128),T128,-99)</f>
        <v>21.757270795935</v>
      </c>
      <c r="W128" s="84" t="n">
        <f aca="false">IF(ISNUMBER(U128),ABS(U128),"")</f>
        <v>1.84272920406502</v>
      </c>
    </row>
    <row r="129" customFormat="false" ht="15" hidden="false" customHeight="false" outlineLevel="0" collapsed="false">
      <c r="A129" s="57" t="n">
        <v>29103</v>
      </c>
      <c r="B129" s="56" t="n">
        <v>1979</v>
      </c>
      <c r="C129" s="56" t="n">
        <v>9</v>
      </c>
      <c r="D129" s="56" t="n">
        <v>128</v>
      </c>
      <c r="E129" s="56" t="n">
        <v>25.9</v>
      </c>
      <c r="F129" s="56" t="n">
        <v>0</v>
      </c>
      <c r="G129" s="56" t="n">
        <v>10</v>
      </c>
      <c r="H129" s="56" t="n">
        <v>0</v>
      </c>
      <c r="I129" s="56" t="n">
        <v>16.8</v>
      </c>
      <c r="J129" s="56" t="n">
        <v>0</v>
      </c>
      <c r="K129" s="56" t="n">
        <v>1019.8</v>
      </c>
      <c r="L129" s="56" t="n">
        <v>0</v>
      </c>
      <c r="M129" s="56" t="n">
        <v>76</v>
      </c>
      <c r="N129" s="56" t="n">
        <v>11.3</v>
      </c>
      <c r="O129" s="56" t="n">
        <f aca="false">IF(D129=1,"",E128)</f>
        <v>23.6</v>
      </c>
      <c r="P129" s="56" t="n">
        <f aca="false">IF(OR(D129=1,K128=""),"",K128)</f>
        <v>1025</v>
      </c>
      <c r="Q129" s="56" t="n">
        <f aca="false">IF(OR(F129&lt;&gt;0,AND(I129&lt;&gt;"",E129&lt;I129)),1,0)</f>
        <v>0</v>
      </c>
      <c r="R129" s="56" t="n">
        <f aca="false">IF(AND(D129&gt;1,Q129=0,ISNUMBER(O129),ISNUMBER(P129)),IF(Q128=0,1,0),0)</f>
        <v>1</v>
      </c>
      <c r="S129" s="56" t="n">
        <f aca="false">R129*(B129&gt;=Train_Start)*(B129&lt;=Train_End)</f>
        <v>1</v>
      </c>
      <c r="T129" s="84" t="n">
        <f aca="false">IF(AND(ISNUMBER(O129),ISNUMBER(P129)),Coef_A+Coef_B1*O129+Coef_B2*P129,"")</f>
        <v>23.5775223776415</v>
      </c>
      <c r="U129" s="84" t="n">
        <f aca="false">IF(AND(R129=1,ISNUMBER(T129)),E129-T129,"")</f>
        <v>2.32247762235845</v>
      </c>
      <c r="V129" s="84" t="n">
        <f aca="false">IF(ISNUMBER(T129),T129,-99)</f>
        <v>23.5775223776415</v>
      </c>
      <c r="W129" s="84" t="n">
        <f aca="false">IF(ISNUMBER(U129),ABS(U129),"")</f>
        <v>2.32247762235845</v>
      </c>
    </row>
    <row r="130" customFormat="false" ht="15" hidden="false" customHeight="false" outlineLevel="0" collapsed="false">
      <c r="A130" s="57" t="n">
        <v>29104</v>
      </c>
      <c r="B130" s="56" t="n">
        <v>1979</v>
      </c>
      <c r="C130" s="56" t="n">
        <v>9</v>
      </c>
      <c r="D130" s="56" t="n">
        <v>129</v>
      </c>
      <c r="E130" s="56" t="n">
        <v>21.9</v>
      </c>
      <c r="F130" s="56" t="n">
        <v>0</v>
      </c>
      <c r="G130" s="56" t="n">
        <v>12.6</v>
      </c>
      <c r="H130" s="56" t="n">
        <v>0</v>
      </c>
      <c r="I130" s="56" t="n">
        <v>19.2</v>
      </c>
      <c r="J130" s="56" t="n">
        <v>0</v>
      </c>
      <c r="K130" s="56" t="n">
        <v>1011.5</v>
      </c>
      <c r="L130" s="56" t="n">
        <v>0</v>
      </c>
      <c r="M130" s="56" t="n">
        <v>73</v>
      </c>
      <c r="N130" s="56" t="n">
        <v>8.5</v>
      </c>
      <c r="O130" s="56" t="n">
        <f aca="false">IF(D130=1,"",E129)</f>
        <v>25.9</v>
      </c>
      <c r="P130" s="56" t="n">
        <f aca="false">IF(OR(D130=1,K129=""),"",K129)</f>
        <v>1019.8</v>
      </c>
      <c r="Q130" s="56" t="n">
        <f aca="false">IF(OR(F130&lt;&gt;0,AND(I130&lt;&gt;"",E130&lt;I130)),1,0)</f>
        <v>0</v>
      </c>
      <c r="R130" s="56" t="n">
        <f aca="false">IF(AND(D130&gt;1,Q130=0,ISNUMBER(O130),ISNUMBER(P130)),IF(Q129=0,1,0),0)</f>
        <v>1</v>
      </c>
      <c r="S130" s="56" t="n">
        <f aca="false">R130*(B130&gt;=Train_Start)*(B130&lt;=Train_End)</f>
        <v>1</v>
      </c>
      <c r="T130" s="84" t="n">
        <f aca="false">IF(AND(ISNUMBER(O130),ISNUMBER(P130)),Coef_A+Coef_B1*O130+Coef_B2*P130,"")</f>
        <v>25.2988790695429</v>
      </c>
      <c r="U130" s="84" t="n">
        <f aca="false">IF(AND(R130=1,ISNUMBER(T130)),E130-T130,"")</f>
        <v>-3.39887906954291</v>
      </c>
      <c r="V130" s="84" t="n">
        <f aca="false">IF(ISNUMBER(T130),T130,-99)</f>
        <v>25.2988790695429</v>
      </c>
      <c r="W130" s="84" t="n">
        <f aca="false">IF(ISNUMBER(U130),ABS(U130),"")</f>
        <v>3.39887906954291</v>
      </c>
    </row>
    <row r="131" customFormat="false" ht="15" hidden="false" customHeight="false" outlineLevel="0" collapsed="false">
      <c r="A131" s="57" t="n">
        <v>29105</v>
      </c>
      <c r="B131" s="56" t="n">
        <v>1979</v>
      </c>
      <c r="C131" s="56" t="n">
        <v>9</v>
      </c>
      <c r="D131" s="56" t="n">
        <v>130</v>
      </c>
      <c r="E131" s="56" t="n">
        <v>24.3</v>
      </c>
      <c r="F131" s="56" t="n">
        <v>0</v>
      </c>
      <c r="G131" s="56" t="n">
        <v>12.5</v>
      </c>
      <c r="H131" s="56" t="n">
        <v>0</v>
      </c>
      <c r="I131" s="56" t="n">
        <v>17.2</v>
      </c>
      <c r="J131" s="56" t="n">
        <v>0</v>
      </c>
      <c r="K131" s="56" t="n">
        <v>1017.7</v>
      </c>
      <c r="L131" s="56" t="n">
        <v>0</v>
      </c>
      <c r="M131" s="56" t="n">
        <v>76</v>
      </c>
      <c r="N131" s="56" t="n">
        <v>8.6</v>
      </c>
      <c r="O131" s="56" t="n">
        <f aca="false">IF(D131=1,"",E130)</f>
        <v>21.9</v>
      </c>
      <c r="P131" s="56" t="n">
        <f aca="false">IF(OR(D131=1,K130=""),"",K130)</f>
        <v>1011.5</v>
      </c>
      <c r="Q131" s="56" t="n">
        <f aca="false">IF(OR(F131&lt;&gt;0,AND(I131&lt;&gt;"",E131&lt;I131)),1,0)</f>
        <v>0</v>
      </c>
      <c r="R131" s="56" t="n">
        <f aca="false">IF(AND(D131&gt;1,Q131=0,ISNUMBER(O131),ISNUMBER(P131)),IF(Q130=0,1,0),0)</f>
        <v>1</v>
      </c>
      <c r="S131" s="56" t="n">
        <f aca="false">R131*(B131&gt;=Train_Start)*(B131&lt;=Train_End)</f>
        <v>1</v>
      </c>
      <c r="T131" s="84" t="n">
        <f aca="false">IF(AND(ISNUMBER(O131),ISNUMBER(P131)),Coef_A+Coef_B1*O131+Coef_B2*P131,"")</f>
        <v>21.7611521719102</v>
      </c>
      <c r="U131" s="84" t="n">
        <f aca="false">IF(AND(R131=1,ISNUMBER(T131)),E131-T131,"")</f>
        <v>2.53884782808983</v>
      </c>
      <c r="V131" s="84" t="n">
        <f aca="false">IF(ISNUMBER(T131),T131,-99)</f>
        <v>21.7611521719102</v>
      </c>
      <c r="W131" s="84" t="n">
        <f aca="false">IF(ISNUMBER(U131),ABS(U131),"")</f>
        <v>2.53884782808983</v>
      </c>
    </row>
    <row r="132" customFormat="false" ht="15" hidden="false" customHeight="false" outlineLevel="0" collapsed="false">
      <c r="A132" s="57" t="n">
        <v>29106</v>
      </c>
      <c r="B132" s="56" t="n">
        <v>1979</v>
      </c>
      <c r="C132" s="56" t="n">
        <v>9</v>
      </c>
      <c r="D132" s="56" t="n">
        <v>131</v>
      </c>
      <c r="E132" s="56" t="n">
        <v>21.8</v>
      </c>
      <c r="F132" s="56" t="n">
        <v>0</v>
      </c>
      <c r="G132" s="56" t="n">
        <v>11.5</v>
      </c>
      <c r="H132" s="56" t="n">
        <v>0</v>
      </c>
      <c r="I132" s="56" t="n">
        <v>17.9</v>
      </c>
      <c r="J132" s="56" t="n">
        <v>0</v>
      </c>
      <c r="K132" s="56" t="n">
        <v>1018.7</v>
      </c>
      <c r="L132" s="56" t="n">
        <v>0</v>
      </c>
      <c r="M132" s="56" t="n">
        <v>81</v>
      </c>
      <c r="N132" s="56" t="n">
        <v>5.9</v>
      </c>
      <c r="O132" s="56" t="n">
        <f aca="false">IF(D132=1,"",E131)</f>
        <v>24.3</v>
      </c>
      <c r="P132" s="56" t="n">
        <f aca="false">IF(OR(D132=1,K131=""),"",K131)</f>
        <v>1017.7</v>
      </c>
      <c r="Q132" s="56" t="n">
        <f aca="false">IF(OR(F132&lt;&gt;0,AND(I132&lt;&gt;"",E132&lt;I132)),1,0)</f>
        <v>0</v>
      </c>
      <c r="R132" s="56" t="n">
        <f aca="false">IF(AND(D132&gt;1,Q132=0,ISNUMBER(O132),ISNUMBER(P132)),IF(Q131=0,1,0),0)</f>
        <v>1</v>
      </c>
      <c r="S132" s="56" t="n">
        <f aca="false">R132*(B132&gt;=Train_Start)*(B132&lt;=Train_End)</f>
        <v>1</v>
      </c>
      <c r="T132" s="84" t="n">
        <f aca="false">IF(AND(ISNUMBER(O132),ISNUMBER(P132)),Coef_A+Coef_B1*O132+Coef_B2*P132,"")</f>
        <v>23.9220595819433</v>
      </c>
      <c r="U132" s="84" t="n">
        <f aca="false">IF(AND(R132=1,ISNUMBER(T132)),E132-T132,"")</f>
        <v>-2.12205958194328</v>
      </c>
      <c r="V132" s="84" t="n">
        <f aca="false">IF(ISNUMBER(T132),T132,-99)</f>
        <v>23.9220595819433</v>
      </c>
      <c r="W132" s="84" t="n">
        <f aca="false">IF(ISNUMBER(U132),ABS(U132),"")</f>
        <v>2.12205958194328</v>
      </c>
    </row>
    <row r="133" customFormat="false" ht="15" hidden="false" customHeight="false" outlineLevel="0" collapsed="false">
      <c r="A133" s="57" t="n">
        <v>29107</v>
      </c>
      <c r="B133" s="56" t="n">
        <v>1979</v>
      </c>
      <c r="C133" s="56" t="n">
        <v>9</v>
      </c>
      <c r="D133" s="56" t="n">
        <v>132</v>
      </c>
      <c r="E133" s="56" t="n">
        <v>21.2</v>
      </c>
      <c r="F133" s="56" t="n">
        <v>0</v>
      </c>
      <c r="G133" s="56" t="n">
        <v>15.2</v>
      </c>
      <c r="H133" s="56" t="n">
        <v>0</v>
      </c>
      <c r="I133" s="56" t="n">
        <v>18.5</v>
      </c>
      <c r="J133" s="56" t="n">
        <v>0</v>
      </c>
      <c r="K133" s="56" t="n">
        <v>1019.9</v>
      </c>
      <c r="L133" s="56" t="n">
        <v>0</v>
      </c>
      <c r="M133" s="56" t="n">
        <v>80</v>
      </c>
      <c r="N133" s="56" t="n">
        <v>3.7</v>
      </c>
      <c r="O133" s="56" t="n">
        <f aca="false">IF(D133=1,"",E132)</f>
        <v>21.8</v>
      </c>
      <c r="P133" s="56" t="n">
        <f aca="false">IF(OR(D133=1,K132=""),"",K132)</f>
        <v>1018.7</v>
      </c>
      <c r="Q133" s="56" t="n">
        <f aca="false">IF(OR(F133&lt;&gt;0,AND(I133&lt;&gt;"",E133&lt;I133)),1,0)</f>
        <v>0</v>
      </c>
      <c r="R133" s="56" t="n">
        <f aca="false">IF(AND(D133&gt;1,Q133=0,ISNUMBER(O133),ISNUMBER(P133)),IF(Q132=0,1,0),0)</f>
        <v>1</v>
      </c>
      <c r="S133" s="56" t="n">
        <f aca="false">R133*(B133&gt;=Train_Start)*(B133&lt;=Train_End)</f>
        <v>1</v>
      </c>
      <c r="T133" s="84" t="n">
        <f aca="false">IF(AND(ISNUMBER(O133),ISNUMBER(P133)),Coef_A+Coef_B1*O133+Coef_B2*P133,"")</f>
        <v>21.9050814939706</v>
      </c>
      <c r="U133" s="84" t="n">
        <f aca="false">IF(AND(R133=1,ISNUMBER(T133)),E133-T133,"")</f>
        <v>-0.705081493970631</v>
      </c>
      <c r="V133" s="84" t="n">
        <f aca="false">IF(ISNUMBER(T133),T133,-99)</f>
        <v>21.9050814939706</v>
      </c>
      <c r="W133" s="84" t="n">
        <f aca="false">IF(ISNUMBER(U133),ABS(U133),"")</f>
        <v>0.705081493970631</v>
      </c>
    </row>
    <row r="134" customFormat="false" ht="15" hidden="false" customHeight="false" outlineLevel="0" collapsed="false">
      <c r="A134" s="57" t="n">
        <v>29108</v>
      </c>
      <c r="B134" s="56" t="n">
        <v>1979</v>
      </c>
      <c r="C134" s="56" t="n">
        <v>9</v>
      </c>
      <c r="D134" s="56" t="n">
        <v>133</v>
      </c>
      <c r="E134" s="56" t="n">
        <v>23.2</v>
      </c>
      <c r="F134" s="56" t="n">
        <v>0</v>
      </c>
      <c r="G134" s="56" t="n">
        <v>14.2</v>
      </c>
      <c r="H134" s="56" t="n">
        <v>0</v>
      </c>
      <c r="I134" s="56" t="n">
        <v>17.7</v>
      </c>
      <c r="J134" s="56" t="n">
        <v>0</v>
      </c>
      <c r="K134" s="56" t="n">
        <v>1024.6</v>
      </c>
      <c r="L134" s="56" t="n">
        <v>0</v>
      </c>
      <c r="M134" s="56" t="n">
        <v>77</v>
      </c>
      <c r="N134" s="56" t="n">
        <v>3.9</v>
      </c>
      <c r="O134" s="56" t="n">
        <f aca="false">IF(D134=1,"",E133)</f>
        <v>21.2</v>
      </c>
      <c r="P134" s="56" t="n">
        <f aca="false">IF(OR(D134=1,K133=""),"",K133)</f>
        <v>1019.9</v>
      </c>
      <c r="Q134" s="56" t="n">
        <f aca="false">IF(OR(F134&lt;&gt;0,AND(I134&lt;&gt;"",E134&lt;I134)),1,0)</f>
        <v>0</v>
      </c>
      <c r="R134" s="56" t="n">
        <f aca="false">IF(AND(D134&gt;1,Q134=0,ISNUMBER(O134),ISNUMBER(P134)),IF(Q133=0,1,0),0)</f>
        <v>1</v>
      </c>
      <c r="S134" s="56" t="n">
        <f aca="false">R134*(B134&gt;=Train_Start)*(B134&lt;=Train_End)</f>
        <v>1</v>
      </c>
      <c r="T134" s="84" t="n">
        <f aca="false">IF(AND(ISNUMBER(O134),ISNUMBER(P134)),Coef_A+Coef_B1*O134+Coef_B2*P134,"")</f>
        <v>21.4511218517058</v>
      </c>
      <c r="U134" s="84" t="n">
        <f aca="false">IF(AND(R134=1,ISNUMBER(T134)),E134-T134,"")</f>
        <v>1.74887814829418</v>
      </c>
      <c r="V134" s="84" t="n">
        <f aca="false">IF(ISNUMBER(T134),T134,-99)</f>
        <v>21.4511218517058</v>
      </c>
      <c r="W134" s="84" t="n">
        <f aca="false">IF(ISNUMBER(U134),ABS(U134),"")</f>
        <v>1.74887814829418</v>
      </c>
    </row>
    <row r="135" customFormat="false" ht="15" hidden="false" customHeight="false" outlineLevel="0" collapsed="false">
      <c r="A135" s="57" t="n">
        <v>29109</v>
      </c>
      <c r="B135" s="56" t="n">
        <v>1979</v>
      </c>
      <c r="C135" s="56" t="n">
        <v>9</v>
      </c>
      <c r="D135" s="56" t="n">
        <v>134</v>
      </c>
      <c r="E135" s="56" t="n">
        <v>17.4</v>
      </c>
      <c r="F135" s="56" t="n">
        <v>0</v>
      </c>
      <c r="G135" s="56" t="n">
        <v>10.3</v>
      </c>
      <c r="H135" s="56" t="n">
        <v>0</v>
      </c>
      <c r="I135" s="56" t="n">
        <v>16.8</v>
      </c>
      <c r="J135" s="56" t="n">
        <v>0</v>
      </c>
      <c r="K135" s="56" t="n">
        <v>1022.5</v>
      </c>
      <c r="L135" s="56" t="n">
        <v>0</v>
      </c>
      <c r="M135" s="56" t="n">
        <v>75</v>
      </c>
      <c r="N135" s="56" t="n">
        <v>9.5</v>
      </c>
      <c r="O135" s="56" t="n">
        <f aca="false">IF(D135=1,"",E134)</f>
        <v>23.2</v>
      </c>
      <c r="P135" s="56" t="n">
        <f aca="false">IF(OR(D135=1,K134=""),"",K134)</f>
        <v>1024.6</v>
      </c>
      <c r="Q135" s="56" t="n">
        <f aca="false">IF(OR(F135&lt;&gt;0,AND(I135&lt;&gt;"",E135&lt;I135)),1,0)</f>
        <v>0</v>
      </c>
      <c r="R135" s="56" t="n">
        <f aca="false">IF(AND(D135&gt;1,Q135=0,ISNUMBER(O135),ISNUMBER(P135)),IF(Q134=0,1,0),0)</f>
        <v>1</v>
      </c>
      <c r="S135" s="56" t="n">
        <f aca="false">R135*(B135&gt;=Train_Start)*(B135&lt;=Train_End)</f>
        <v>1</v>
      </c>
      <c r="T135" s="84" t="n">
        <f aca="false">IF(AND(ISNUMBER(O135),ISNUMBER(P135)),Coef_A+Coef_B1*O135+Coef_B2*P135,"")</f>
        <v>23.2372387425709</v>
      </c>
      <c r="U135" s="84" t="n">
        <f aca="false">IF(AND(R135=1,ISNUMBER(T135)),E135-T135,"")</f>
        <v>-5.83723874257088</v>
      </c>
      <c r="V135" s="84" t="n">
        <f aca="false">IF(ISNUMBER(T135),T135,-99)</f>
        <v>23.2372387425709</v>
      </c>
      <c r="W135" s="84" t="n">
        <f aca="false">IF(ISNUMBER(U135),ABS(U135),"")</f>
        <v>5.83723874257088</v>
      </c>
    </row>
    <row r="136" customFormat="false" ht="15" hidden="false" customHeight="false" outlineLevel="0" collapsed="false">
      <c r="A136" s="57" t="n">
        <v>29110</v>
      </c>
      <c r="B136" s="56" t="n">
        <v>1979</v>
      </c>
      <c r="C136" s="56" t="n">
        <v>9</v>
      </c>
      <c r="D136" s="56" t="n">
        <v>135</v>
      </c>
      <c r="E136" s="56" t="n">
        <v>18.5</v>
      </c>
      <c r="F136" s="56" t="n">
        <v>0</v>
      </c>
      <c r="G136" s="56" t="n">
        <v>9.8</v>
      </c>
      <c r="H136" s="56" t="n">
        <v>0</v>
      </c>
      <c r="I136" s="56" t="n">
        <v>13.6</v>
      </c>
      <c r="J136" s="56" t="n">
        <v>0</v>
      </c>
      <c r="K136" s="56" t="n">
        <v>1019.1</v>
      </c>
      <c r="L136" s="56" t="n">
        <v>0</v>
      </c>
      <c r="M136" s="56" t="n">
        <v>82</v>
      </c>
      <c r="N136" s="56" t="n">
        <v>2.4</v>
      </c>
      <c r="O136" s="56" t="n">
        <f aca="false">IF(D136=1,"",E135)</f>
        <v>17.4</v>
      </c>
      <c r="P136" s="56" t="n">
        <f aca="false">IF(OR(D136=1,K135=""),"",K135)</f>
        <v>1022.5</v>
      </c>
      <c r="Q136" s="56" t="n">
        <f aca="false">IF(OR(F136&lt;&gt;0,AND(I136&lt;&gt;"",E136&lt;I136)),1,0)</f>
        <v>0</v>
      </c>
      <c r="R136" s="56" t="n">
        <f aca="false">IF(AND(D136&gt;1,Q136=0,ISNUMBER(O136),ISNUMBER(P136)),IF(Q135=0,1,0),0)</f>
        <v>1</v>
      </c>
      <c r="S136" s="56" t="n">
        <f aca="false">R136*(B136&gt;=Train_Start)*(B136&lt;=Train_End)</f>
        <v>1</v>
      </c>
      <c r="T136" s="84" t="n">
        <f aca="false">IF(AND(ISNUMBER(O136),ISNUMBER(P136)),Coef_A+Coef_B1*O136+Coef_B2*P136,"")</f>
        <v>18.4191946441921</v>
      </c>
      <c r="U136" s="84" t="n">
        <f aca="false">IF(AND(R136=1,ISNUMBER(T136)),E136-T136,"")</f>
        <v>0.0808053558079038</v>
      </c>
      <c r="V136" s="84" t="n">
        <f aca="false">IF(ISNUMBER(T136),T136,-99)</f>
        <v>18.4191946441921</v>
      </c>
      <c r="W136" s="84" t="n">
        <f aca="false">IF(ISNUMBER(U136),ABS(U136),"")</f>
        <v>0.0808053558079038</v>
      </c>
    </row>
    <row r="137" customFormat="false" ht="15" hidden="false" customHeight="false" outlineLevel="0" collapsed="false">
      <c r="A137" s="57" t="n">
        <v>29111</v>
      </c>
      <c r="B137" s="56" t="n">
        <v>1979</v>
      </c>
      <c r="C137" s="56" t="n">
        <v>9</v>
      </c>
      <c r="D137" s="56" t="n">
        <v>136</v>
      </c>
      <c r="E137" s="56" t="n">
        <v>18.2</v>
      </c>
      <c r="F137" s="56" t="n">
        <v>0</v>
      </c>
      <c r="G137" s="56" t="n">
        <v>12.4</v>
      </c>
      <c r="H137" s="56" t="n">
        <v>0</v>
      </c>
      <c r="I137" s="56" t="n">
        <v>15.4</v>
      </c>
      <c r="J137" s="56" t="n">
        <v>0</v>
      </c>
      <c r="K137" s="56" t="n">
        <v>1018.8</v>
      </c>
      <c r="L137" s="56" t="n">
        <v>0</v>
      </c>
      <c r="M137" s="56" t="n">
        <v>63</v>
      </c>
      <c r="N137" s="56" t="n">
        <v>9.9</v>
      </c>
      <c r="O137" s="56" t="n">
        <f aca="false">IF(D137=1,"",E136)</f>
        <v>18.5</v>
      </c>
      <c r="P137" s="56" t="n">
        <f aca="false">IF(OR(D137=1,K136=""),"",K136)</f>
        <v>1019.1</v>
      </c>
      <c r="Q137" s="56" t="n">
        <f aca="false">IF(OR(F137&lt;&gt;0,AND(I137&lt;&gt;"",E137&lt;I137)),1,0)</f>
        <v>0</v>
      </c>
      <c r="R137" s="56" t="n">
        <f aca="false">IF(AND(D137&gt;1,Q137=0,ISNUMBER(O137),ISNUMBER(P137)),IF(Q136=0,1,0),0)</f>
        <v>1</v>
      </c>
      <c r="S137" s="56" t="n">
        <f aca="false">R137*(B137&gt;=Train_Start)*(B137&lt;=Train_End)</f>
        <v>1</v>
      </c>
      <c r="T137" s="84" t="n">
        <f aca="false">IF(AND(ISNUMBER(O137),ISNUMBER(P137)),Coef_A+Coef_B1*O137+Coef_B2*P137,"")</f>
        <v>19.2138101147835</v>
      </c>
      <c r="U137" s="84" t="n">
        <f aca="false">IF(AND(R137=1,ISNUMBER(T137)),E137-T137,"")</f>
        <v>-1.01381011478345</v>
      </c>
      <c r="V137" s="84" t="n">
        <f aca="false">IF(ISNUMBER(T137),T137,-99)</f>
        <v>19.2138101147835</v>
      </c>
      <c r="W137" s="84" t="n">
        <f aca="false">IF(ISNUMBER(U137),ABS(U137),"")</f>
        <v>1.01381011478345</v>
      </c>
    </row>
    <row r="138" customFormat="false" ht="15" hidden="false" customHeight="false" outlineLevel="0" collapsed="false">
      <c r="A138" s="57" t="n">
        <v>29112</v>
      </c>
      <c r="B138" s="56" t="n">
        <v>1979</v>
      </c>
      <c r="C138" s="56" t="n">
        <v>9</v>
      </c>
      <c r="D138" s="56" t="n">
        <v>137</v>
      </c>
      <c r="E138" s="56" t="n">
        <v>17.4</v>
      </c>
      <c r="F138" s="56" t="n">
        <v>0</v>
      </c>
      <c r="G138" s="56" t="n">
        <v>4.7</v>
      </c>
      <c r="H138" s="56" t="n">
        <v>0</v>
      </c>
      <c r="I138" s="56" t="n">
        <v>11.4</v>
      </c>
      <c r="J138" s="56" t="n">
        <v>0</v>
      </c>
      <c r="K138" s="56" t="n">
        <v>1022.6</v>
      </c>
      <c r="L138" s="56" t="n">
        <v>0</v>
      </c>
      <c r="M138" s="56" t="n">
        <v>67</v>
      </c>
      <c r="N138" s="56" t="n">
        <v>7.1</v>
      </c>
      <c r="O138" s="56" t="n">
        <f aca="false">IF(D138=1,"",E137)</f>
        <v>18.2</v>
      </c>
      <c r="P138" s="56" t="n">
        <f aca="false">IF(OR(D138=1,K137=""),"",K137)</f>
        <v>1018.8</v>
      </c>
      <c r="Q138" s="56" t="n">
        <f aca="false">IF(OR(F138&lt;&gt;0,AND(I138&lt;&gt;"",E138&lt;I138)),1,0)</f>
        <v>0</v>
      </c>
      <c r="R138" s="56" t="n">
        <f aca="false">IF(AND(D138&gt;1,Q138=0,ISNUMBER(O138),ISNUMBER(P138)),IF(Q137=0,1,0),0)</f>
        <v>1</v>
      </c>
      <c r="S138" s="56" t="n">
        <f aca="false">R138*(B138&gt;=Train_Start)*(B138&lt;=Train_End)</f>
        <v>1</v>
      </c>
      <c r="T138" s="84" t="n">
        <f aca="false">IF(AND(ISNUMBER(O138),ISNUMBER(P138)),Coef_A+Coef_B1*O138+Coef_B2*P138,"")</f>
        <v>18.9585973884805</v>
      </c>
      <c r="U138" s="84" t="n">
        <f aca="false">IF(AND(R138=1,ISNUMBER(T138)),E138-T138,"")</f>
        <v>-1.55859738848046</v>
      </c>
      <c r="V138" s="84" t="n">
        <f aca="false">IF(ISNUMBER(T138),T138,-99)</f>
        <v>18.9585973884805</v>
      </c>
      <c r="W138" s="84" t="n">
        <f aca="false">IF(ISNUMBER(U138),ABS(U138),"")</f>
        <v>1.55859738848046</v>
      </c>
    </row>
    <row r="139" customFormat="false" ht="15" hidden="false" customHeight="false" outlineLevel="0" collapsed="false">
      <c r="A139" s="57" t="n">
        <v>29113</v>
      </c>
      <c r="B139" s="56" t="n">
        <v>1979</v>
      </c>
      <c r="C139" s="56" t="n">
        <v>9</v>
      </c>
      <c r="D139" s="56" t="n">
        <v>138</v>
      </c>
      <c r="E139" s="56" t="n">
        <v>20.2</v>
      </c>
      <c r="F139" s="56" t="n">
        <v>0</v>
      </c>
      <c r="G139" s="56" t="n">
        <v>6</v>
      </c>
      <c r="H139" s="56" t="n">
        <v>0</v>
      </c>
      <c r="I139" s="56" t="n">
        <v>11.7</v>
      </c>
      <c r="J139" s="56" t="n">
        <v>0</v>
      </c>
      <c r="K139" s="56" t="n">
        <v>1028.6</v>
      </c>
      <c r="L139" s="56" t="n">
        <v>0</v>
      </c>
      <c r="M139" s="56" t="n">
        <v>64</v>
      </c>
      <c r="N139" s="56" t="n">
        <v>10.6</v>
      </c>
      <c r="O139" s="56" t="n">
        <f aca="false">IF(D139=1,"",E138)</f>
        <v>17.4</v>
      </c>
      <c r="P139" s="56" t="n">
        <f aca="false">IF(OR(D139=1,K138=""),"",K138)</f>
        <v>1022.6</v>
      </c>
      <c r="Q139" s="56" t="n">
        <f aca="false">IF(OR(F139&lt;&gt;0,AND(I139&lt;&gt;"",E139&lt;I139)),1,0)</f>
        <v>0</v>
      </c>
      <c r="R139" s="56" t="n">
        <f aca="false">IF(AND(D139&gt;1,Q139=0,ISNUMBER(O139),ISNUMBER(P139)),IF(Q138=0,1,0),0)</f>
        <v>1</v>
      </c>
      <c r="S139" s="56" t="n">
        <f aca="false">R139*(B139&gt;=Train_Start)*(B139&lt;=Train_End)</f>
        <v>1</v>
      </c>
      <c r="T139" s="84" t="n">
        <f aca="false">IF(AND(ISNUMBER(O139),ISNUMBER(P139)),Coef_A+Coef_B1*O139+Coef_B2*P139,"")</f>
        <v>18.4223316336555</v>
      </c>
      <c r="U139" s="84" t="n">
        <f aca="false">IF(AND(R139=1,ISNUMBER(T139)),E139-T139,"")</f>
        <v>1.7776683663445</v>
      </c>
      <c r="V139" s="84" t="n">
        <f aca="false">IF(ISNUMBER(T139),T139,-99)</f>
        <v>18.4223316336555</v>
      </c>
      <c r="W139" s="84" t="n">
        <f aca="false">IF(ISNUMBER(U139),ABS(U139),"")</f>
        <v>1.7776683663445</v>
      </c>
    </row>
    <row r="140" customFormat="false" ht="15" hidden="false" customHeight="false" outlineLevel="0" collapsed="false">
      <c r="A140" s="57" t="n">
        <v>29114</v>
      </c>
      <c r="B140" s="56" t="n">
        <v>1979</v>
      </c>
      <c r="C140" s="56" t="n">
        <v>9</v>
      </c>
      <c r="D140" s="56" t="n">
        <v>139</v>
      </c>
      <c r="E140" s="56" t="n">
        <v>21.2</v>
      </c>
      <c r="F140" s="56" t="n">
        <v>0</v>
      </c>
      <c r="G140" s="56" t="n">
        <v>6.9</v>
      </c>
      <c r="H140" s="56" t="n">
        <v>0</v>
      </c>
      <c r="I140" s="56" t="n">
        <v>13.6</v>
      </c>
      <c r="J140" s="56" t="n">
        <v>0</v>
      </c>
      <c r="K140" s="56" t="n">
        <v>1025.3</v>
      </c>
      <c r="L140" s="56" t="n">
        <v>0</v>
      </c>
      <c r="M140" s="56" t="n">
        <v>67</v>
      </c>
      <c r="N140" s="56" t="n">
        <v>11.2</v>
      </c>
      <c r="O140" s="56" t="n">
        <f aca="false">IF(D140=1,"",E139)</f>
        <v>20.2</v>
      </c>
      <c r="P140" s="56" t="n">
        <f aca="false">IF(OR(D140=1,K139=""),"",K139)</f>
        <v>1028.6</v>
      </c>
      <c r="Q140" s="56" t="n">
        <f aca="false">IF(OR(F140&lt;&gt;0,AND(I140&lt;&gt;"",E140&lt;I140)),1,0)</f>
        <v>0</v>
      </c>
      <c r="R140" s="56" t="n">
        <f aca="false">IF(AND(D140&gt;1,Q140=0,ISNUMBER(O140),ISNUMBER(P140)),IF(Q139=0,1,0),0)</f>
        <v>1</v>
      </c>
      <c r="S140" s="56" t="n">
        <f aca="false">R140*(B140&gt;=Train_Start)*(B140&lt;=Train_End)</f>
        <v>1</v>
      </c>
      <c r="T140" s="84" t="n">
        <f aca="false">IF(AND(ISNUMBER(O140),ISNUMBER(P140)),Coef_A+Coef_B1*O140+Coef_B2*P140,"")</f>
        <v>20.9047007419789</v>
      </c>
      <c r="U140" s="84" t="n">
        <f aca="false">IF(AND(R140=1,ISNUMBER(T140)),E140-T140,"")</f>
        <v>0.295299258021132</v>
      </c>
      <c r="V140" s="84" t="n">
        <f aca="false">IF(ISNUMBER(T140),T140,-99)</f>
        <v>20.9047007419789</v>
      </c>
      <c r="W140" s="84" t="n">
        <f aca="false">IF(ISNUMBER(U140),ABS(U140),"")</f>
        <v>0.295299258021132</v>
      </c>
    </row>
    <row r="141" customFormat="false" ht="15" hidden="false" customHeight="false" outlineLevel="0" collapsed="false">
      <c r="A141" s="57" t="n">
        <v>29115</v>
      </c>
      <c r="B141" s="56" t="n">
        <v>1979</v>
      </c>
      <c r="C141" s="56" t="n">
        <v>9</v>
      </c>
      <c r="D141" s="56" t="n">
        <v>140</v>
      </c>
      <c r="E141" s="56" t="n">
        <v>20.4</v>
      </c>
      <c r="F141" s="56" t="n">
        <v>0</v>
      </c>
      <c r="G141" s="56" t="n">
        <v>9.6</v>
      </c>
      <c r="H141" s="56" t="n">
        <v>0</v>
      </c>
      <c r="I141" s="56" t="n">
        <v>15.4</v>
      </c>
      <c r="J141" s="56" t="n">
        <v>0</v>
      </c>
      <c r="K141" s="56" t="n">
        <v>1015.4</v>
      </c>
      <c r="L141" s="56" t="n">
        <v>0</v>
      </c>
      <c r="M141" s="56" t="n">
        <v>77</v>
      </c>
      <c r="N141" s="56" t="n">
        <v>5.2</v>
      </c>
      <c r="O141" s="56" t="n">
        <f aca="false">IF(D141=1,"",E140)</f>
        <v>21.2</v>
      </c>
      <c r="P141" s="56" t="n">
        <f aca="false">IF(OR(D141=1,K140=""),"",K140)</f>
        <v>1025.3</v>
      </c>
      <c r="Q141" s="56" t="n">
        <f aca="false">IF(OR(F141&lt;&gt;0,AND(I141&lt;&gt;"",E141&lt;I141)),1,0)</f>
        <v>0</v>
      </c>
      <c r="R141" s="56" t="n">
        <f aca="false">IF(AND(D141&gt;1,Q141=0,ISNUMBER(O141),ISNUMBER(P141)),IF(Q140=0,1,0),0)</f>
        <v>1</v>
      </c>
      <c r="S141" s="56" t="n">
        <f aca="false">R141*(B141&gt;=Train_Start)*(B141&lt;=Train_End)</f>
        <v>1</v>
      </c>
      <c r="T141" s="84" t="n">
        <f aca="false">IF(AND(ISNUMBER(O141),ISNUMBER(P141)),Coef_A+Coef_B1*O141+Coef_B2*P141,"")</f>
        <v>21.6205192827294</v>
      </c>
      <c r="U141" s="84" t="n">
        <f aca="false">IF(AND(R141=1,ISNUMBER(T141)),E141-T141,"")</f>
        <v>-1.22051928272936</v>
      </c>
      <c r="V141" s="84" t="n">
        <f aca="false">IF(ISNUMBER(T141),T141,-99)</f>
        <v>21.6205192827294</v>
      </c>
      <c r="W141" s="84" t="n">
        <f aca="false">IF(ISNUMBER(U141),ABS(U141),"")</f>
        <v>1.22051928272936</v>
      </c>
    </row>
    <row r="142" customFormat="false" ht="15" hidden="false" customHeight="false" outlineLevel="0" collapsed="false">
      <c r="A142" s="57" t="n">
        <v>29116</v>
      </c>
      <c r="B142" s="56" t="n">
        <v>1979</v>
      </c>
      <c r="C142" s="56" t="n">
        <v>9</v>
      </c>
      <c r="D142" s="56" t="n">
        <v>141</v>
      </c>
      <c r="E142" s="56" t="n">
        <v>18.3</v>
      </c>
      <c r="F142" s="56" t="n">
        <v>0</v>
      </c>
      <c r="G142" s="56" t="n">
        <v>12.2</v>
      </c>
      <c r="H142" s="56" t="n">
        <v>0</v>
      </c>
      <c r="I142" s="56" t="n">
        <v>16.3</v>
      </c>
      <c r="J142" s="56" t="n">
        <v>0</v>
      </c>
      <c r="K142" s="56" t="n">
        <v>1012.3</v>
      </c>
      <c r="L142" s="56" t="n">
        <v>0</v>
      </c>
      <c r="M142" s="56" t="n">
        <v>83</v>
      </c>
      <c r="N142" s="56" t="n">
        <v>0</v>
      </c>
      <c r="O142" s="56" t="n">
        <f aca="false">IF(D142=1,"",E141)</f>
        <v>20.4</v>
      </c>
      <c r="P142" s="56" t="n">
        <f aca="false">IF(OR(D142=1,K141=""),"",K141)</f>
        <v>1015.4</v>
      </c>
      <c r="Q142" s="56" t="n">
        <f aca="false">IF(OR(F142&lt;&gt;0,AND(I142&lt;&gt;"",E142&lt;I142)),1,0)</f>
        <v>0</v>
      </c>
      <c r="R142" s="56" t="n">
        <f aca="false">IF(AND(D142&gt;1,Q142=0,ISNUMBER(O142),ISNUMBER(P142)),IF(Q141=0,1,0),0)</f>
        <v>1</v>
      </c>
      <c r="S142" s="56" t="n">
        <f aca="false">R142*(B142&gt;=Train_Start)*(B142&lt;=Train_End)</f>
        <v>1</v>
      </c>
      <c r="T142" s="84" t="n">
        <f aca="false">IF(AND(ISNUMBER(O142),ISNUMBER(P142)),Coef_A+Coef_B1*O142+Coef_B2*P142,"")</f>
        <v>20.6544859714187</v>
      </c>
      <c r="U142" s="84" t="n">
        <f aca="false">IF(AND(R142=1,ISNUMBER(T142)),E142-T142,"")</f>
        <v>-2.35448597141874</v>
      </c>
      <c r="V142" s="84" t="n">
        <f aca="false">IF(ISNUMBER(T142),T142,-99)</f>
        <v>20.6544859714187</v>
      </c>
      <c r="W142" s="84" t="n">
        <f aca="false">IF(ISNUMBER(U142),ABS(U142),"")</f>
        <v>2.35448597141874</v>
      </c>
    </row>
    <row r="143" customFormat="false" ht="15" hidden="false" customHeight="false" outlineLevel="0" collapsed="false">
      <c r="A143" s="57" t="n">
        <v>29117</v>
      </c>
      <c r="B143" s="56" t="n">
        <v>1979</v>
      </c>
      <c r="C143" s="56" t="n">
        <v>9</v>
      </c>
      <c r="D143" s="56" t="n">
        <v>142</v>
      </c>
      <c r="E143" s="56" t="n">
        <v>17.6</v>
      </c>
      <c r="F143" s="56" t="n">
        <v>0</v>
      </c>
      <c r="G143" s="56" t="n">
        <v>16.4</v>
      </c>
      <c r="H143" s="56" t="n">
        <v>0</v>
      </c>
      <c r="I143" s="56" t="n">
        <v>17.4</v>
      </c>
      <c r="J143" s="56" t="n">
        <v>0</v>
      </c>
      <c r="K143" s="56" t="n">
        <v>1013.4</v>
      </c>
      <c r="L143" s="56" t="n">
        <v>0</v>
      </c>
      <c r="M143" s="56" t="n">
        <v>94</v>
      </c>
      <c r="N143" s="56" t="n">
        <v>0</v>
      </c>
      <c r="O143" s="56" t="n">
        <f aca="false">IF(D143=1,"",E142)</f>
        <v>18.3</v>
      </c>
      <c r="P143" s="56" t="n">
        <f aca="false">IF(OR(D143=1,K142=""),"",K142)</f>
        <v>1012.3</v>
      </c>
      <c r="Q143" s="56" t="n">
        <f aca="false">IF(OR(F143&lt;&gt;0,AND(I143&lt;&gt;"",E143&lt;I143)),1,0)</f>
        <v>0</v>
      </c>
      <c r="R143" s="56" t="n">
        <f aca="false">IF(AND(D143&gt;1,Q143=0,ISNUMBER(O143),ISNUMBER(P143)),IF(Q142=0,1,0),0)</f>
        <v>1</v>
      </c>
      <c r="S143" s="56" t="n">
        <f aca="false">R143*(B143&gt;=Train_Start)*(B143&lt;=Train_End)</f>
        <v>1</v>
      </c>
      <c r="T143" s="84" t="n">
        <f aca="false">IF(AND(ISNUMBER(O143),ISNUMBER(P143)),Coef_A+Coef_B1*O143+Coef_B2*P143,"")</f>
        <v>18.8366269926638</v>
      </c>
      <c r="U143" s="84" t="n">
        <f aca="false">IF(AND(R143=1,ISNUMBER(T143)),E143-T143,"")</f>
        <v>-1.23662699266379</v>
      </c>
      <c r="V143" s="84" t="n">
        <f aca="false">IF(ISNUMBER(T143),T143,-99)</f>
        <v>18.8366269926638</v>
      </c>
      <c r="W143" s="84" t="n">
        <f aca="false">IF(ISNUMBER(U143),ABS(U143),"")</f>
        <v>1.23662699266379</v>
      </c>
    </row>
    <row r="144" customFormat="false" ht="15" hidden="false" customHeight="false" outlineLevel="0" collapsed="false">
      <c r="A144" s="57" t="n">
        <v>29118</v>
      </c>
      <c r="B144" s="56" t="n">
        <v>1979</v>
      </c>
      <c r="C144" s="56" t="n">
        <v>9</v>
      </c>
      <c r="D144" s="56" t="n">
        <v>143</v>
      </c>
      <c r="E144" s="56" t="n">
        <v>15.5</v>
      </c>
      <c r="F144" s="56" t="n">
        <v>0</v>
      </c>
      <c r="G144" s="56" t="n">
        <v>10.7</v>
      </c>
      <c r="H144" s="56" t="n">
        <v>0</v>
      </c>
      <c r="I144" s="56" t="n">
        <v>14.2</v>
      </c>
      <c r="J144" s="56" t="n">
        <v>0</v>
      </c>
      <c r="K144" s="56" t="n">
        <v>1012.4</v>
      </c>
      <c r="L144" s="56" t="n">
        <v>0</v>
      </c>
      <c r="M144" s="56" t="n">
        <v>71</v>
      </c>
      <c r="N144" s="56" t="n">
        <v>10.9</v>
      </c>
      <c r="O144" s="56" t="n">
        <f aca="false">IF(D144=1,"",E143)</f>
        <v>17.6</v>
      </c>
      <c r="P144" s="56" t="n">
        <f aca="false">IF(OR(D144=1,K143=""),"",K143)</f>
        <v>1013.4</v>
      </c>
      <c r="Q144" s="56" t="n">
        <f aca="false">IF(OR(F144&lt;&gt;0,AND(I144&lt;&gt;"",E144&lt;I144)),1,0)</f>
        <v>0</v>
      </c>
      <c r="R144" s="56" t="n">
        <f aca="false">IF(AND(D144&gt;1,Q144=0,ISNUMBER(O144),ISNUMBER(P144)),IF(Q143=0,1,0),0)</f>
        <v>1</v>
      </c>
      <c r="S144" s="56" t="n">
        <f aca="false">R144*(B144&gt;=Train_Start)*(B144&lt;=Train_End)</f>
        <v>1</v>
      </c>
      <c r="T144" s="84" t="n">
        <f aca="false">IF(AND(ISNUMBER(O144),ISNUMBER(P144)),Coef_A+Coef_B1*O144+Coef_B2*P144,"")</f>
        <v>18.2975964416313</v>
      </c>
      <c r="U144" s="84" t="n">
        <f aca="false">IF(AND(R144=1,ISNUMBER(T144)),E144-T144,"")</f>
        <v>-2.79759644163132</v>
      </c>
      <c r="V144" s="84" t="n">
        <f aca="false">IF(ISNUMBER(T144),T144,-99)</f>
        <v>18.2975964416313</v>
      </c>
      <c r="W144" s="84" t="n">
        <f aca="false">IF(ISNUMBER(U144),ABS(U144),"")</f>
        <v>2.79759644163132</v>
      </c>
    </row>
    <row r="145" customFormat="false" ht="15" hidden="false" customHeight="false" outlineLevel="0" collapsed="false">
      <c r="A145" s="57" t="n">
        <v>29119</v>
      </c>
      <c r="B145" s="56" t="n">
        <v>1979</v>
      </c>
      <c r="C145" s="56" t="n">
        <v>9</v>
      </c>
      <c r="D145" s="56" t="n">
        <v>144</v>
      </c>
      <c r="E145" s="56" t="n">
        <v>14.2</v>
      </c>
      <c r="F145" s="56" t="n">
        <v>0</v>
      </c>
      <c r="G145" s="56" t="n">
        <v>5.5</v>
      </c>
      <c r="H145" s="56" t="n">
        <v>0</v>
      </c>
      <c r="I145" s="56" t="n">
        <v>10.5</v>
      </c>
      <c r="J145" s="56" t="n">
        <v>0</v>
      </c>
      <c r="K145" s="56" t="n">
        <v>1016.8</v>
      </c>
      <c r="L145" s="56" t="n">
        <v>0</v>
      </c>
      <c r="M145" s="56" t="n">
        <v>80</v>
      </c>
      <c r="N145" s="56" t="n">
        <v>6.4</v>
      </c>
      <c r="O145" s="56" t="n">
        <f aca="false">IF(D145=1,"",E144)</f>
        <v>15.5</v>
      </c>
      <c r="P145" s="56" t="n">
        <f aca="false">IF(OR(D145=1,K144=""),"",K144)</f>
        <v>1012.4</v>
      </c>
      <c r="Q145" s="56" t="n">
        <f aca="false">IF(OR(F145&lt;&gt;0,AND(I145&lt;&gt;"",E145&lt;I145)),1,0)</f>
        <v>0</v>
      </c>
      <c r="R145" s="56" t="n">
        <f aca="false">IF(AND(D145&gt;1,Q145=0,ISNUMBER(O145),ISNUMBER(P145)),IF(Q144=0,1,0),0)</f>
        <v>1</v>
      </c>
      <c r="S145" s="56" t="n">
        <f aca="false">R145*(B145&gt;=Train_Start)*(B145&lt;=Train_End)</f>
        <v>1</v>
      </c>
      <c r="T145" s="84" t="n">
        <f aca="false">IF(AND(ISNUMBER(O145),ISNUMBER(P145)),Coef_A+Coef_B1*O145+Coef_B2*P145,"")</f>
        <v>16.5456142416078</v>
      </c>
      <c r="U145" s="84" t="n">
        <f aca="false">IF(AND(R145=1,ISNUMBER(T145)),E145-T145,"")</f>
        <v>-2.34561424160775</v>
      </c>
      <c r="V145" s="84" t="n">
        <f aca="false">IF(ISNUMBER(T145),T145,-99)</f>
        <v>16.5456142416078</v>
      </c>
      <c r="W145" s="84" t="n">
        <f aca="false">IF(ISNUMBER(U145),ABS(U145),"")</f>
        <v>2.34561424160775</v>
      </c>
    </row>
    <row r="146" customFormat="false" ht="15" hidden="false" customHeight="false" outlineLevel="0" collapsed="false">
      <c r="A146" s="57" t="n">
        <v>29120</v>
      </c>
      <c r="B146" s="56" t="n">
        <v>1979</v>
      </c>
      <c r="C146" s="56" t="n">
        <v>9</v>
      </c>
      <c r="D146" s="56" t="n">
        <v>145</v>
      </c>
      <c r="E146" s="56" t="n">
        <v>14.7</v>
      </c>
      <c r="F146" s="56" t="n">
        <v>0</v>
      </c>
      <c r="G146" s="56" t="n">
        <v>4.3</v>
      </c>
      <c r="H146" s="56" t="n">
        <v>0</v>
      </c>
      <c r="I146" s="56" t="n">
        <v>9.2</v>
      </c>
      <c r="J146" s="56" t="n">
        <v>0</v>
      </c>
      <c r="K146" s="56" t="n">
        <v>1022.3</v>
      </c>
      <c r="L146" s="56" t="n">
        <v>0</v>
      </c>
      <c r="M146" s="56" t="n">
        <v>76</v>
      </c>
      <c r="N146" s="56" t="n">
        <v>9.3</v>
      </c>
      <c r="O146" s="56" t="n">
        <f aca="false">IF(D146=1,"",E145)</f>
        <v>14.2</v>
      </c>
      <c r="P146" s="56" t="n">
        <f aca="false">IF(OR(D146=1,K145=""),"",K145)</f>
        <v>1016.8</v>
      </c>
      <c r="Q146" s="56" t="n">
        <f aca="false">IF(OR(F146&lt;&gt;0,AND(I146&lt;&gt;"",E146&lt;I146)),1,0)</f>
        <v>0</v>
      </c>
      <c r="R146" s="56" t="n">
        <f aca="false">IF(AND(D146&gt;1,Q146=0,ISNUMBER(O146),ISNUMBER(P146)),IF(Q145=0,1,0),0)</f>
        <v>1</v>
      </c>
      <c r="S146" s="56" t="n">
        <f aca="false">R146*(B146&gt;=Train_Start)*(B146&lt;=Train_End)</f>
        <v>1</v>
      </c>
      <c r="T146" s="84" t="n">
        <f aca="false">IF(AND(ISNUMBER(O146),ISNUMBER(P146)),Coef_A+Coef_B1*O146+Coef_B2*P146,"")</f>
        <v>15.6185008270419</v>
      </c>
      <c r="U146" s="84" t="n">
        <f aca="false">IF(AND(R146=1,ISNUMBER(T146)),E146-T146,"")</f>
        <v>-0.91850082704185</v>
      </c>
      <c r="V146" s="84" t="n">
        <f aca="false">IF(ISNUMBER(T146),T146,-99)</f>
        <v>15.6185008270419</v>
      </c>
      <c r="W146" s="84" t="n">
        <f aca="false">IF(ISNUMBER(U146),ABS(U146),"")</f>
        <v>0.91850082704185</v>
      </c>
    </row>
    <row r="147" customFormat="false" ht="15" hidden="false" customHeight="false" outlineLevel="0" collapsed="false">
      <c r="A147" s="57" t="n">
        <v>29121</v>
      </c>
      <c r="B147" s="56" t="n">
        <v>1979</v>
      </c>
      <c r="C147" s="56" t="n">
        <v>9</v>
      </c>
      <c r="D147" s="56" t="n">
        <v>146</v>
      </c>
      <c r="E147" s="56" t="n">
        <v>16.6</v>
      </c>
      <c r="F147" s="56" t="n">
        <v>0</v>
      </c>
      <c r="G147" s="56" t="n">
        <v>4.3</v>
      </c>
      <c r="H147" s="56" t="n">
        <v>0</v>
      </c>
      <c r="I147" s="56" t="n">
        <v>9.5</v>
      </c>
      <c r="J147" s="56" t="n">
        <v>0</v>
      </c>
      <c r="K147" s="56" t="n">
        <v>1022.7</v>
      </c>
      <c r="L147" s="56" t="n">
        <v>0</v>
      </c>
      <c r="M147" s="56" t="n">
        <v>87</v>
      </c>
      <c r="N147" s="56" t="n">
        <v>0.5</v>
      </c>
      <c r="O147" s="56" t="n">
        <f aca="false">IF(D147=1,"",E146)</f>
        <v>14.7</v>
      </c>
      <c r="P147" s="56" t="n">
        <f aca="false">IF(OR(D147=1,K146=""),"",K146)</f>
        <v>1022.3</v>
      </c>
      <c r="Q147" s="56" t="n">
        <f aca="false">IF(OR(F147&lt;&gt;0,AND(I147&lt;&gt;"",E147&lt;I147)),1,0)</f>
        <v>0</v>
      </c>
      <c r="R147" s="56" t="n">
        <f aca="false">IF(AND(D147&gt;1,Q147=0,ISNUMBER(O147),ISNUMBER(P147)),IF(Q146=0,1,0),0)</f>
        <v>1</v>
      </c>
      <c r="S147" s="56" t="n">
        <f aca="false">R147*(B147&gt;=Train_Start)*(B147&lt;=Train_End)</f>
        <v>1</v>
      </c>
      <c r="T147" s="84" t="n">
        <f aca="false">IF(AND(ISNUMBER(O147),ISNUMBER(P147)),Coef_A+Coef_B1*O147+Coef_B2*P147,"")</f>
        <v>16.2007048440501</v>
      </c>
      <c r="U147" s="84" t="n">
        <f aca="false">IF(AND(R147=1,ISNUMBER(T147)),E147-T147,"")</f>
        <v>0.399295155949879</v>
      </c>
      <c r="V147" s="84" t="n">
        <f aca="false">IF(ISNUMBER(T147),T147,-99)</f>
        <v>16.2007048440501</v>
      </c>
      <c r="W147" s="84" t="n">
        <f aca="false">IF(ISNUMBER(U147),ABS(U147),"")</f>
        <v>0.399295155949879</v>
      </c>
    </row>
    <row r="148" customFormat="false" ht="15" hidden="false" customHeight="false" outlineLevel="0" collapsed="false">
      <c r="A148" s="57" t="n">
        <v>29122</v>
      </c>
      <c r="B148" s="56" t="n">
        <v>1979</v>
      </c>
      <c r="C148" s="56" t="n">
        <v>9</v>
      </c>
      <c r="D148" s="56" t="n">
        <v>147</v>
      </c>
      <c r="E148" s="56" t="n">
        <v>18.6</v>
      </c>
      <c r="F148" s="56" t="n">
        <v>0</v>
      </c>
      <c r="G148" s="56" t="n">
        <v>7.6</v>
      </c>
      <c r="H148" s="56" t="n">
        <v>0</v>
      </c>
      <c r="I148" s="56" t="n">
        <v>12.1</v>
      </c>
      <c r="J148" s="56" t="n">
        <v>0</v>
      </c>
      <c r="K148" s="56" t="n">
        <v>1023.5</v>
      </c>
      <c r="L148" s="56" t="n">
        <v>0</v>
      </c>
      <c r="M148" s="56" t="n">
        <v>77</v>
      </c>
      <c r="N148" s="56" t="n">
        <v>7.9</v>
      </c>
      <c r="O148" s="56" t="n">
        <f aca="false">IF(D148=1,"",E147)</f>
        <v>16.6</v>
      </c>
      <c r="P148" s="56" t="n">
        <f aca="false">IF(OR(D148=1,K147=""),"",K147)</f>
        <v>1022.7</v>
      </c>
      <c r="Q148" s="56" t="n">
        <f aca="false">IF(OR(F148&lt;&gt;0,AND(I148&lt;&gt;"",E148&lt;I148)),1,0)</f>
        <v>0</v>
      </c>
      <c r="R148" s="56" t="n">
        <f aca="false">IF(AND(D148&gt;1,Q148=0,ISNUMBER(O148),ISNUMBER(P148)),IF(Q147=0,1,0),0)</f>
        <v>1</v>
      </c>
      <c r="S148" s="56" t="n">
        <f aca="false">R148*(B148&gt;=Train_Start)*(B148&lt;=Train_End)</f>
        <v>1</v>
      </c>
      <c r="T148" s="84" t="n">
        <f aca="false">IF(AND(ISNUMBER(O148),ISNUMBER(P148)),Coef_A+Coef_B1*O148+Coef_B2*P148,"")</f>
        <v>17.7699972686848</v>
      </c>
      <c r="U148" s="84" t="n">
        <f aca="false">IF(AND(R148=1,ISNUMBER(T148)),E148-T148,"")</f>
        <v>0.830002731315233</v>
      </c>
      <c r="V148" s="84" t="n">
        <f aca="false">IF(ISNUMBER(T148),T148,-99)</f>
        <v>17.7699972686848</v>
      </c>
      <c r="W148" s="84" t="n">
        <f aca="false">IF(ISNUMBER(U148),ABS(U148),"")</f>
        <v>0.830002731315233</v>
      </c>
    </row>
    <row r="149" customFormat="false" ht="15" hidden="false" customHeight="false" outlineLevel="0" collapsed="false">
      <c r="A149" s="57" t="n">
        <v>29123</v>
      </c>
      <c r="B149" s="56" t="n">
        <v>1979</v>
      </c>
      <c r="C149" s="56" t="n">
        <v>9</v>
      </c>
      <c r="D149" s="56" t="n">
        <v>148</v>
      </c>
      <c r="E149" s="56" t="n">
        <v>21</v>
      </c>
      <c r="F149" s="56" t="n">
        <v>0</v>
      </c>
      <c r="G149" s="56" t="n">
        <v>8.4</v>
      </c>
      <c r="H149" s="56" t="n">
        <v>0</v>
      </c>
      <c r="I149" s="56" t="n">
        <v>13.5</v>
      </c>
      <c r="J149" s="56" t="n">
        <v>0</v>
      </c>
      <c r="K149" s="56" t="n">
        <v>1021</v>
      </c>
      <c r="L149" s="56" t="n">
        <v>0</v>
      </c>
      <c r="M149" s="56" t="n">
        <v>84</v>
      </c>
      <c r="N149" s="56" t="n">
        <v>0.6</v>
      </c>
      <c r="O149" s="56" t="n">
        <f aca="false">IF(D149=1,"",E148)</f>
        <v>18.6</v>
      </c>
      <c r="P149" s="56" t="n">
        <f aca="false">IF(OR(D149=1,K148=""),"",K148)</f>
        <v>1023.5</v>
      </c>
      <c r="Q149" s="56" t="n">
        <f aca="false">IF(OR(F149&lt;&gt;0,AND(I149&lt;&gt;"",E149&lt;I149)),1,0)</f>
        <v>0</v>
      </c>
      <c r="R149" s="56" t="n">
        <f aca="false">IF(AND(D149&gt;1,Q149=0,ISNUMBER(O149),ISNUMBER(P149)),IF(Q148=0,1,0),0)</f>
        <v>1</v>
      </c>
      <c r="S149" s="56" t="n">
        <f aca="false">R149*(B149&gt;=Train_Start)*(B149&lt;=Train_End)</f>
        <v>1</v>
      </c>
      <c r="T149" s="84" t="n">
        <f aca="false">IF(AND(ISNUMBER(O149),ISNUMBER(P149)),Coef_A+Coef_B1*O149+Coef_B2*P149,"")</f>
        <v>19.4337715704773</v>
      </c>
      <c r="U149" s="84" t="n">
        <f aca="false">IF(AND(R149=1,ISNUMBER(T149)),E149-T149,"")</f>
        <v>1.56622842952272</v>
      </c>
      <c r="V149" s="84" t="n">
        <f aca="false">IF(ISNUMBER(T149),T149,-99)</f>
        <v>19.4337715704773</v>
      </c>
      <c r="W149" s="84" t="n">
        <f aca="false">IF(ISNUMBER(U149),ABS(U149),"")</f>
        <v>1.56622842952272</v>
      </c>
    </row>
    <row r="150" customFormat="false" ht="15" hidden="false" customHeight="false" outlineLevel="0" collapsed="false">
      <c r="A150" s="57" t="n">
        <v>29124</v>
      </c>
      <c r="B150" s="56" t="n">
        <v>1979</v>
      </c>
      <c r="C150" s="56" t="n">
        <v>9</v>
      </c>
      <c r="D150" s="56" t="n">
        <v>149</v>
      </c>
      <c r="E150" s="56" t="n">
        <v>17.7</v>
      </c>
      <c r="F150" s="56" t="n">
        <v>0</v>
      </c>
      <c r="G150" s="56" t="n">
        <v>13.5</v>
      </c>
      <c r="H150" s="56" t="n">
        <v>0</v>
      </c>
      <c r="I150" s="56" t="n">
        <v>17.2</v>
      </c>
      <c r="J150" s="56" t="n">
        <v>0</v>
      </c>
      <c r="K150" s="56" t="n">
        <v>1018.8</v>
      </c>
      <c r="L150" s="56" t="n">
        <v>0</v>
      </c>
      <c r="M150" s="56" t="n">
        <v>84</v>
      </c>
      <c r="N150" s="56" t="n">
        <v>1.4</v>
      </c>
      <c r="O150" s="56" t="n">
        <f aca="false">IF(D150=1,"",E149)</f>
        <v>21</v>
      </c>
      <c r="P150" s="56" t="n">
        <f aca="false">IF(OR(D150=1,K149=""),"",K149)</f>
        <v>1021</v>
      </c>
      <c r="Q150" s="56" t="n">
        <f aca="false">IF(OR(F150&lt;&gt;0,AND(I150&lt;&gt;"",E150&lt;I150)),1,0)</f>
        <v>0</v>
      </c>
      <c r="R150" s="56" t="n">
        <f aca="false">IF(AND(D150&gt;1,Q150=0,ISNUMBER(O150),ISNUMBER(P150)),IF(Q149=0,1,0),0)</f>
        <v>1</v>
      </c>
      <c r="S150" s="56" t="n">
        <f aca="false">R150*(B150&gt;=Train_Start)*(B150&lt;=Train_End)</f>
        <v>1</v>
      </c>
      <c r="T150" s="84" t="n">
        <f aca="false">IF(AND(ISNUMBER(O150),ISNUMBER(P150)),Coef_A+Coef_B1*O150+Coef_B2*P150,"")</f>
        <v>21.3217608971947</v>
      </c>
      <c r="U150" s="84" t="n">
        <f aca="false">IF(AND(R150=1,ISNUMBER(T150)),E150-T150,"")</f>
        <v>-3.62176089719468</v>
      </c>
      <c r="V150" s="84" t="n">
        <f aca="false">IF(ISNUMBER(T150),T150,-99)</f>
        <v>21.3217608971947</v>
      </c>
      <c r="W150" s="84" t="n">
        <f aca="false">IF(ISNUMBER(U150),ABS(U150),"")</f>
        <v>3.62176089719468</v>
      </c>
    </row>
    <row r="151" customFormat="false" ht="15" hidden="false" customHeight="false" outlineLevel="0" collapsed="false">
      <c r="A151" s="57" t="n">
        <v>29125</v>
      </c>
      <c r="B151" s="56" t="n">
        <v>1979</v>
      </c>
      <c r="C151" s="56" t="n">
        <v>9</v>
      </c>
      <c r="D151" s="56" t="n">
        <v>150</v>
      </c>
      <c r="E151" s="56" t="n">
        <v>17.4</v>
      </c>
      <c r="F151" s="56" t="n">
        <v>0</v>
      </c>
      <c r="G151" s="56" t="n">
        <v>13.2</v>
      </c>
      <c r="H151" s="56" t="n">
        <v>0</v>
      </c>
      <c r="I151" s="56" t="n">
        <v>15.4</v>
      </c>
      <c r="J151" s="56" t="n">
        <v>0</v>
      </c>
      <c r="K151" s="56" t="n">
        <v>1025.9</v>
      </c>
      <c r="L151" s="56" t="n">
        <v>0</v>
      </c>
      <c r="M151" s="56" t="n">
        <v>71</v>
      </c>
      <c r="N151" s="56" t="n">
        <v>6.5</v>
      </c>
      <c r="O151" s="56" t="n">
        <f aca="false">IF(D151=1,"",E150)</f>
        <v>17.7</v>
      </c>
      <c r="P151" s="56" t="n">
        <f aca="false">IF(OR(D151=1,K150=""),"",K150)</f>
        <v>1018.8</v>
      </c>
      <c r="Q151" s="56" t="n">
        <f aca="false">IF(OR(F151&lt;&gt;0,AND(I151&lt;&gt;"",E151&lt;I151)),1,0)</f>
        <v>0</v>
      </c>
      <c r="R151" s="56" t="n">
        <f aca="false">IF(AND(D151&gt;1,Q151=0,ISNUMBER(O151),ISNUMBER(P151)),IF(Q150=0,1,0),0)</f>
        <v>1</v>
      </c>
      <c r="S151" s="56" t="n">
        <f aca="false">R151*(B151&gt;=Train_Start)*(B151&lt;=Train_End)</f>
        <v>1</v>
      </c>
      <c r="T151" s="84" t="n">
        <f aca="false">IF(AND(ISNUMBER(O151),ISNUMBER(P151)),Coef_A+Coef_B1*O151+Coef_B2*P151,"")</f>
        <v>18.5489277919591</v>
      </c>
      <c r="U151" s="84" t="n">
        <f aca="false">IF(AND(R151=1,ISNUMBER(T151)),E151-T151,"")</f>
        <v>-1.14892779195913</v>
      </c>
      <c r="V151" s="84" t="n">
        <f aca="false">IF(ISNUMBER(T151),T151,-99)</f>
        <v>18.5489277919591</v>
      </c>
      <c r="W151" s="84" t="n">
        <f aca="false">IF(ISNUMBER(U151),ABS(U151),"")</f>
        <v>1.14892779195913</v>
      </c>
    </row>
    <row r="152" customFormat="false" ht="15" hidden="false" customHeight="false" outlineLevel="0" collapsed="false">
      <c r="A152" s="57" t="n">
        <v>29126</v>
      </c>
      <c r="B152" s="56" t="n">
        <v>1979</v>
      </c>
      <c r="C152" s="56" t="n">
        <v>9</v>
      </c>
      <c r="D152" s="56" t="n">
        <v>151</v>
      </c>
      <c r="E152" s="56" t="n">
        <v>17.1</v>
      </c>
      <c r="F152" s="56" t="n">
        <v>0</v>
      </c>
      <c r="G152" s="56" t="n">
        <v>7.6</v>
      </c>
      <c r="H152" s="56" t="n">
        <v>0</v>
      </c>
      <c r="I152" s="56" t="n">
        <v>12.5</v>
      </c>
      <c r="J152" s="56" t="n">
        <v>0</v>
      </c>
      <c r="K152" s="56" t="n">
        <v>1031.9</v>
      </c>
      <c r="L152" s="56" t="n">
        <v>0</v>
      </c>
      <c r="M152" s="56" t="n">
        <v>64</v>
      </c>
      <c r="N152" s="56" t="n">
        <v>7.4</v>
      </c>
      <c r="O152" s="56" t="n">
        <f aca="false">IF(D152=1,"",E151)</f>
        <v>17.4</v>
      </c>
      <c r="P152" s="56" t="n">
        <f aca="false">IF(OR(D152=1,K151=""),"",K151)</f>
        <v>1025.9</v>
      </c>
      <c r="Q152" s="56" t="n">
        <f aca="false">IF(OR(F152&lt;&gt;0,AND(I152&lt;&gt;"",E152&lt;I152)),1,0)</f>
        <v>0</v>
      </c>
      <c r="R152" s="56" t="n">
        <f aca="false">IF(AND(D152&gt;1,Q152=0,ISNUMBER(O152),ISNUMBER(P152)),IF(Q151=0,1,0),0)</f>
        <v>1</v>
      </c>
      <c r="S152" s="56" t="n">
        <f aca="false">R152*(B152&gt;=Train_Start)*(B152&lt;=Train_End)</f>
        <v>1</v>
      </c>
      <c r="T152" s="84" t="n">
        <f aca="false">IF(AND(ISNUMBER(O152),ISNUMBER(P152)),Coef_A+Coef_B1*O152+Coef_B2*P152,"")</f>
        <v>18.5258522859477</v>
      </c>
      <c r="U152" s="84" t="n">
        <f aca="false">IF(AND(R152=1,ISNUMBER(T152)),E152-T152,"")</f>
        <v>-1.42585228594766</v>
      </c>
      <c r="V152" s="84" t="n">
        <f aca="false">IF(ISNUMBER(T152),T152,-99)</f>
        <v>18.5258522859477</v>
      </c>
      <c r="W152" s="84" t="n">
        <f aca="false">IF(ISNUMBER(U152),ABS(U152),"")</f>
        <v>1.42585228594766</v>
      </c>
    </row>
    <row r="153" customFormat="false" ht="15" hidden="false" customHeight="false" outlineLevel="0" collapsed="false">
      <c r="A153" s="57" t="n">
        <v>29127</v>
      </c>
      <c r="B153" s="56" t="n">
        <v>1979</v>
      </c>
      <c r="C153" s="56" t="n">
        <v>9</v>
      </c>
      <c r="D153" s="56" t="n">
        <v>152</v>
      </c>
      <c r="E153" s="56" t="n">
        <v>18.7</v>
      </c>
      <c r="F153" s="56" t="n">
        <v>0</v>
      </c>
      <c r="G153" s="56" t="n">
        <v>6.8</v>
      </c>
      <c r="H153" s="56" t="n">
        <v>0</v>
      </c>
      <c r="I153" s="56" t="n">
        <v>12</v>
      </c>
      <c r="J153" s="56" t="n">
        <v>0</v>
      </c>
      <c r="K153" s="56" t="n">
        <v>1028</v>
      </c>
      <c r="L153" s="56" t="n">
        <v>0</v>
      </c>
      <c r="M153" s="56" t="n">
        <v>73</v>
      </c>
      <c r="N153" s="56" t="n">
        <v>6.9</v>
      </c>
      <c r="O153" s="56" t="n">
        <f aca="false">IF(D153=1,"",E152)</f>
        <v>17.1</v>
      </c>
      <c r="P153" s="56" t="n">
        <f aca="false">IF(OR(D153=1,K152=""),"",K152)</f>
        <v>1031.9</v>
      </c>
      <c r="Q153" s="56" t="n">
        <f aca="false">IF(OR(F153&lt;&gt;0,AND(I153&lt;&gt;"",E153&lt;I153)),1,0)</f>
        <v>0</v>
      </c>
      <c r="R153" s="56" t="n">
        <f aca="false">IF(AND(D153&gt;1,Q153=0,ISNUMBER(O153),ISNUMBER(P153)),IF(Q152=0,1,0),0)</f>
        <v>1</v>
      </c>
      <c r="S153" s="56" t="n">
        <f aca="false">R153*(B153&gt;=Train_Start)*(B153&lt;=Train_End)</f>
        <v>1</v>
      </c>
      <c r="T153" s="84" t="n">
        <f aca="false">IF(AND(ISNUMBER(O153),ISNUMBER(P153)),Coef_A+Coef_B1*O153+Coef_B2*P153,"")</f>
        <v>18.4682698958388</v>
      </c>
      <c r="U153" s="84" t="n">
        <f aca="false">IF(AND(R153=1,ISNUMBER(T153)),E153-T153,"")</f>
        <v>0.231730104161198</v>
      </c>
      <c r="V153" s="84" t="n">
        <f aca="false">IF(ISNUMBER(T153),T153,-99)</f>
        <v>18.4682698958388</v>
      </c>
      <c r="W153" s="84" t="n">
        <f aca="false">IF(ISNUMBER(U153),ABS(U153),"")</f>
        <v>0.231730104161198</v>
      </c>
    </row>
    <row r="154" customFormat="false" ht="15" hidden="false" customHeight="false" outlineLevel="0" collapsed="false">
      <c r="A154" s="57" t="n">
        <v>29128</v>
      </c>
      <c r="B154" s="56" t="n">
        <v>1979</v>
      </c>
      <c r="C154" s="56" t="n">
        <v>9</v>
      </c>
      <c r="D154" s="56" t="n">
        <v>153</v>
      </c>
      <c r="E154" s="56" t="n">
        <v>19</v>
      </c>
      <c r="F154" s="56" t="n">
        <v>0</v>
      </c>
      <c r="G154" s="56" t="n">
        <v>10.1</v>
      </c>
      <c r="H154" s="56" t="n">
        <v>0</v>
      </c>
      <c r="I154" s="56" t="n">
        <v>14.4</v>
      </c>
      <c r="J154" s="56" t="n">
        <v>0</v>
      </c>
      <c r="K154" s="56" t="n">
        <v>1020.7</v>
      </c>
      <c r="L154" s="56" t="n">
        <v>0</v>
      </c>
      <c r="M154" s="56" t="n">
        <v>79</v>
      </c>
      <c r="N154" s="56" t="n">
        <v>1.5</v>
      </c>
      <c r="O154" s="56" t="n">
        <f aca="false">IF(D154=1,"",E153)</f>
        <v>18.7</v>
      </c>
      <c r="P154" s="56" t="n">
        <f aca="false">IF(OR(D154=1,K153=""),"",K153)</f>
        <v>1028</v>
      </c>
      <c r="Q154" s="56" t="n">
        <f aca="false">IF(OR(F154&lt;&gt;0,AND(I154&lt;&gt;"",E154&lt;I154)),1,0)</f>
        <v>0</v>
      </c>
      <c r="R154" s="56" t="n">
        <f aca="false">IF(AND(D154&gt;1,Q154=0,ISNUMBER(O154),ISNUMBER(P154)),IF(Q153=0,1,0),0)</f>
        <v>1</v>
      </c>
      <c r="S154" s="56" t="n">
        <f aca="false">R154*(B154&gt;=Train_Start)*(B154&lt;=Train_End)</f>
        <v>1</v>
      </c>
      <c r="T154" s="84" t="n">
        <f aca="false">IF(AND(ISNUMBER(O154),ISNUMBER(P154)),Coef_A+Coef_B1*O154+Coef_B2*P154,"")</f>
        <v>19.6568700156345</v>
      </c>
      <c r="U154" s="84" t="n">
        <f aca="false">IF(AND(R154=1,ISNUMBER(T154)),E154-T154,"")</f>
        <v>-0.656870015634489</v>
      </c>
      <c r="V154" s="84" t="n">
        <f aca="false">IF(ISNUMBER(T154),T154,-99)</f>
        <v>19.6568700156345</v>
      </c>
      <c r="W154" s="84" t="n">
        <f aca="false">IF(ISNUMBER(U154),ABS(U154),"")</f>
        <v>0.656870015634489</v>
      </c>
    </row>
    <row r="155" customFormat="false" ht="15" hidden="false" customHeight="false" outlineLevel="0" collapsed="false">
      <c r="A155" s="57" t="n">
        <v>29342</v>
      </c>
      <c r="B155" s="56" t="n">
        <v>1980</v>
      </c>
      <c r="C155" s="56" t="n">
        <v>5</v>
      </c>
      <c r="D155" s="56" t="n">
        <v>1</v>
      </c>
      <c r="E155" s="56" t="n">
        <v>14</v>
      </c>
      <c r="F155" s="56" t="n">
        <v>0</v>
      </c>
      <c r="G155" s="56" t="n">
        <v>6.4</v>
      </c>
      <c r="H155" s="56" t="n">
        <v>0</v>
      </c>
      <c r="I155" s="56" t="n">
        <v>12</v>
      </c>
      <c r="J155" s="56" t="n">
        <v>0</v>
      </c>
      <c r="K155" s="56" t="n">
        <v>1016.7</v>
      </c>
      <c r="L155" s="56" t="n">
        <v>0</v>
      </c>
      <c r="M155" s="56" t="n">
        <v>74</v>
      </c>
      <c r="N155" s="56" t="n">
        <v>6.6</v>
      </c>
      <c r="O155" s="56" t="str">
        <f aca="false">IF(D155=1,"",E154)</f>
        <v/>
      </c>
      <c r="P155" s="56" t="str">
        <f aca="false">IF(OR(D155=1,K154=""),"",K154)</f>
        <v/>
      </c>
      <c r="Q155" s="56" t="n">
        <f aca="false">IF(OR(F155&lt;&gt;0,AND(I155&lt;&gt;"",E155&lt;I155)),1,0)</f>
        <v>0</v>
      </c>
      <c r="R155" s="56" t="n">
        <f aca="false">IF(AND(D155&gt;1,Q155=0,ISNUMBER(O155),ISNUMBER(P155)),IF(Q154=0,1,0),0)</f>
        <v>0</v>
      </c>
      <c r="S155" s="56" t="n">
        <f aca="false">R155*(B155&gt;=Train_Start)*(B155&lt;=Train_End)</f>
        <v>0</v>
      </c>
      <c r="T155" s="84" t="str">
        <f aca="false">IF(AND(ISNUMBER(O155),ISNUMBER(P155)),Coef_A+Coef_B1*O155+Coef_B2*P155,"")</f>
        <v/>
      </c>
      <c r="U155" s="84" t="str">
        <f aca="false">IF(AND(R155=1,ISNUMBER(T155)),E155-T155,"")</f>
        <v/>
      </c>
      <c r="V155" s="84" t="n">
        <f aca="false">IF(ISNUMBER(T155),T155,-99)</f>
        <v>-99</v>
      </c>
      <c r="W155" s="84" t="str">
        <f aca="false">IF(ISNUMBER(U155),ABS(U155),"")</f>
        <v/>
      </c>
    </row>
    <row r="156" customFormat="false" ht="15" hidden="false" customHeight="false" outlineLevel="0" collapsed="false">
      <c r="A156" s="57" t="n">
        <v>29343</v>
      </c>
      <c r="B156" s="56" t="n">
        <v>1980</v>
      </c>
      <c r="C156" s="56" t="n">
        <v>5</v>
      </c>
      <c r="D156" s="56" t="n">
        <v>2</v>
      </c>
      <c r="E156" s="56" t="n">
        <v>12.5</v>
      </c>
      <c r="F156" s="56" t="n">
        <v>0</v>
      </c>
      <c r="G156" s="56" t="n">
        <v>8.7</v>
      </c>
      <c r="H156" s="56" t="n">
        <v>0</v>
      </c>
      <c r="I156" s="56" t="n">
        <v>11.4</v>
      </c>
      <c r="J156" s="56" t="n">
        <v>0</v>
      </c>
      <c r="K156" s="56" t="n">
        <v>1013.9</v>
      </c>
      <c r="L156" s="56" t="n">
        <v>0</v>
      </c>
      <c r="M156" s="56" t="n">
        <v>75</v>
      </c>
      <c r="N156" s="56" t="n">
        <v>0.3</v>
      </c>
      <c r="O156" s="56" t="n">
        <f aca="false">IF(D156=1,"",E155)</f>
        <v>14</v>
      </c>
      <c r="P156" s="56" t="n">
        <f aca="false">IF(OR(D156=1,K155=""),"",K155)</f>
        <v>1016.7</v>
      </c>
      <c r="Q156" s="56" t="n">
        <f aca="false">IF(OR(F156&lt;&gt;0,AND(I156&lt;&gt;"",E156&lt;I156)),1,0)</f>
        <v>0</v>
      </c>
      <c r="R156" s="56" t="n">
        <f aca="false">IF(AND(D156&gt;1,Q156=0,ISNUMBER(O156),ISNUMBER(P156)),IF(Q155=0,1,0),0)</f>
        <v>1</v>
      </c>
      <c r="S156" s="56" t="n">
        <f aca="false">R156*(B156&gt;=Train_Start)*(B156&lt;=Train_End)</f>
        <v>1</v>
      </c>
      <c r="T156" s="84" t="n">
        <f aca="false">IF(AND(ISNUMBER(O156),ISNUMBER(P156)),Coef_A+Coef_B1*O156+Coef_B2*P156,"")</f>
        <v>15.4514959989699</v>
      </c>
      <c r="U156" s="84" t="n">
        <f aca="false">IF(AND(R156=1,ISNUMBER(T156)),E156-T156,"")</f>
        <v>-2.95149599896992</v>
      </c>
      <c r="V156" s="84" t="n">
        <f aca="false">IF(ISNUMBER(T156),T156,-99)</f>
        <v>15.4514959989699</v>
      </c>
      <c r="W156" s="84" t="n">
        <f aca="false">IF(ISNUMBER(U156),ABS(U156),"")</f>
        <v>2.95149599896992</v>
      </c>
    </row>
    <row r="157" customFormat="false" ht="15" hidden="false" customHeight="false" outlineLevel="0" collapsed="false">
      <c r="A157" s="57" t="n">
        <v>29344</v>
      </c>
      <c r="B157" s="56" t="n">
        <v>1980</v>
      </c>
      <c r="C157" s="56" t="n">
        <v>5</v>
      </c>
      <c r="D157" s="56" t="n">
        <v>3</v>
      </c>
      <c r="E157" s="56" t="n">
        <v>16.2</v>
      </c>
      <c r="F157" s="56" t="n">
        <v>0</v>
      </c>
      <c r="G157" s="56" t="n">
        <v>8.3</v>
      </c>
      <c r="H157" s="56" t="n">
        <v>0</v>
      </c>
      <c r="I157" s="56" t="n">
        <v>10.4</v>
      </c>
      <c r="J157" s="56" t="n">
        <v>0</v>
      </c>
      <c r="K157" s="56" t="n">
        <v>1014</v>
      </c>
      <c r="L157" s="56" t="n">
        <v>0</v>
      </c>
      <c r="M157" s="56" t="n">
        <v>71</v>
      </c>
      <c r="N157" s="56" t="n">
        <v>0.7</v>
      </c>
      <c r="O157" s="56" t="n">
        <f aca="false">IF(D157=1,"",E156)</f>
        <v>12.5</v>
      </c>
      <c r="P157" s="56" t="n">
        <f aca="false">IF(OR(D157=1,K156=""),"",K156)</f>
        <v>1013.9</v>
      </c>
      <c r="Q157" s="56" t="n">
        <f aca="false">IF(OR(F157&lt;&gt;0,AND(I157&lt;&gt;"",E157&lt;I157)),1,0)</f>
        <v>0</v>
      </c>
      <c r="R157" s="56" t="n">
        <f aca="false">IF(AND(D157&gt;1,Q157=0,ISNUMBER(O157),ISNUMBER(P157)),IF(Q156=0,1,0),0)</f>
        <v>1</v>
      </c>
      <c r="S157" s="56" t="n">
        <f aca="false">R157*(B157&gt;=Train_Start)*(B157&lt;=Train_End)</f>
        <v>1</v>
      </c>
      <c r="T157" s="84" t="n">
        <f aca="false">IF(AND(ISNUMBER(O157),ISNUMBER(P157)),Coef_A+Coef_B1*O157+Coef_B2*P157,"")</f>
        <v>14.1346515044308</v>
      </c>
      <c r="U157" s="84" t="n">
        <f aca="false">IF(AND(R157=1,ISNUMBER(T157)),E157-T157,"")</f>
        <v>2.06534849556924</v>
      </c>
      <c r="V157" s="84" t="n">
        <f aca="false">IF(ISNUMBER(T157),T157,-99)</f>
        <v>14.1346515044308</v>
      </c>
      <c r="W157" s="84" t="n">
        <f aca="false">IF(ISNUMBER(U157),ABS(U157),"")</f>
        <v>2.06534849556924</v>
      </c>
    </row>
    <row r="158" customFormat="false" ht="15" hidden="false" customHeight="false" outlineLevel="0" collapsed="false">
      <c r="A158" s="57" t="n">
        <v>29345</v>
      </c>
      <c r="B158" s="56" t="n">
        <v>1980</v>
      </c>
      <c r="C158" s="56" t="n">
        <v>5</v>
      </c>
      <c r="D158" s="56" t="n">
        <v>4</v>
      </c>
      <c r="E158" s="56" t="n">
        <v>12.3</v>
      </c>
      <c r="F158" s="56" t="n">
        <v>0</v>
      </c>
      <c r="G158" s="56" t="n">
        <v>4.5</v>
      </c>
      <c r="H158" s="56" t="n">
        <v>0</v>
      </c>
      <c r="I158" s="56" t="n">
        <v>10.4</v>
      </c>
      <c r="J158" s="56" t="n">
        <v>0</v>
      </c>
      <c r="K158" s="56" t="n">
        <v>1014.9</v>
      </c>
      <c r="L158" s="56" t="n">
        <v>0</v>
      </c>
      <c r="M158" s="56" t="n">
        <v>68</v>
      </c>
      <c r="N158" s="56" t="n">
        <v>11.8</v>
      </c>
      <c r="O158" s="56" t="n">
        <f aca="false">IF(D158=1,"",E157)</f>
        <v>16.2</v>
      </c>
      <c r="P158" s="56" t="n">
        <f aca="false">IF(OR(D158=1,K157=""),"",K157)</f>
        <v>1014</v>
      </c>
      <c r="Q158" s="56" t="n">
        <f aca="false">IF(OR(F158&lt;&gt;0,AND(I158&lt;&gt;"",E158&lt;I158)),1,0)</f>
        <v>0</v>
      </c>
      <c r="R158" s="56" t="n">
        <f aca="false">IF(AND(D158&gt;1,Q158=0,ISNUMBER(O158),ISNUMBER(P158)),IF(Q157=0,1,0),0)</f>
        <v>1</v>
      </c>
      <c r="S158" s="56" t="n">
        <f aca="false">R158*(B158&gt;=Train_Start)*(B158&lt;=Train_End)</f>
        <v>1</v>
      </c>
      <c r="T158" s="84" t="n">
        <f aca="false">IF(AND(ISNUMBER(O158),ISNUMBER(P158)),Coef_A+Coef_B1*O158+Coef_B2*P158,"")</f>
        <v>17.169343508152</v>
      </c>
      <c r="U158" s="84" t="n">
        <f aca="false">IF(AND(R158=1,ISNUMBER(T158)),E158-T158,"")</f>
        <v>-4.869343508152</v>
      </c>
      <c r="V158" s="84" t="n">
        <f aca="false">IF(ISNUMBER(T158),T158,-99)</f>
        <v>17.169343508152</v>
      </c>
      <c r="W158" s="84" t="n">
        <f aca="false">IF(ISNUMBER(U158),ABS(U158),"")</f>
        <v>4.869343508152</v>
      </c>
    </row>
    <row r="159" customFormat="false" ht="15" hidden="false" customHeight="false" outlineLevel="0" collapsed="false">
      <c r="A159" s="57" t="n">
        <v>29346</v>
      </c>
      <c r="B159" s="56" t="n">
        <v>1980</v>
      </c>
      <c r="C159" s="56" t="n">
        <v>5</v>
      </c>
      <c r="D159" s="56" t="n">
        <v>5</v>
      </c>
      <c r="E159" s="56" t="n">
        <v>13.4</v>
      </c>
      <c r="F159" s="56" t="n">
        <v>0</v>
      </c>
      <c r="G159" s="56" t="n">
        <v>5.1</v>
      </c>
      <c r="H159" s="56" t="n">
        <v>0</v>
      </c>
      <c r="I159" s="56" t="n">
        <v>8.7</v>
      </c>
      <c r="J159" s="56" t="n">
        <v>0</v>
      </c>
      <c r="K159" s="56" t="n">
        <v>1013.3</v>
      </c>
      <c r="L159" s="56" t="n">
        <v>0</v>
      </c>
      <c r="M159" s="56" t="n">
        <v>67</v>
      </c>
      <c r="N159" s="56" t="n">
        <v>4.9</v>
      </c>
      <c r="O159" s="56" t="n">
        <f aca="false">IF(D159=1,"",E158)</f>
        <v>12.3</v>
      </c>
      <c r="P159" s="56" t="n">
        <f aca="false">IF(OR(D159=1,K158=""),"",K158)</f>
        <v>1014.9</v>
      </c>
      <c r="Q159" s="56" t="n">
        <f aca="false">IF(OR(F159&lt;&gt;0,AND(I159&lt;&gt;"",E159&lt;I159)),1,0)</f>
        <v>0</v>
      </c>
      <c r="R159" s="56" t="n">
        <f aca="false">IF(AND(D159&gt;1,Q159=0,ISNUMBER(O159),ISNUMBER(P159)),IF(Q158=0,1,0),0)</f>
        <v>1</v>
      </c>
      <c r="S159" s="56" t="n">
        <f aca="false">R159*(B159&gt;=Train_Start)*(B159&lt;=Train_End)</f>
        <v>1</v>
      </c>
      <c r="T159" s="84" t="n">
        <f aca="false">IF(AND(ISNUMBER(O159),ISNUMBER(P159)),Coef_A+Coef_B1*O159+Coef_B2*P159,"")</f>
        <v>14.0021535604562</v>
      </c>
      <c r="U159" s="84" t="n">
        <f aca="false">IF(AND(R159=1,ISNUMBER(T159)),E159-T159,"")</f>
        <v>-0.602153560456218</v>
      </c>
      <c r="V159" s="84" t="n">
        <f aca="false">IF(ISNUMBER(T159),T159,-99)</f>
        <v>14.0021535604562</v>
      </c>
      <c r="W159" s="84" t="n">
        <f aca="false">IF(ISNUMBER(U159),ABS(U159),"")</f>
        <v>0.602153560456218</v>
      </c>
    </row>
    <row r="160" customFormat="false" ht="15" hidden="false" customHeight="false" outlineLevel="0" collapsed="false">
      <c r="A160" s="57" t="n">
        <v>29347</v>
      </c>
      <c r="B160" s="56" t="n">
        <v>1980</v>
      </c>
      <c r="C160" s="56" t="n">
        <v>5</v>
      </c>
      <c r="D160" s="56" t="n">
        <v>6</v>
      </c>
      <c r="E160" s="56" t="n">
        <v>11.1</v>
      </c>
      <c r="F160" s="56" t="n">
        <v>0</v>
      </c>
      <c r="G160" s="56" t="n">
        <v>2.9</v>
      </c>
      <c r="H160" s="56" t="n">
        <v>0</v>
      </c>
      <c r="I160" s="56" t="n">
        <v>8.2</v>
      </c>
      <c r="J160" s="56" t="n">
        <v>0</v>
      </c>
      <c r="K160" s="56" t="n">
        <v>1007.3</v>
      </c>
      <c r="L160" s="56" t="n">
        <v>0</v>
      </c>
      <c r="M160" s="56" t="n">
        <v>75</v>
      </c>
      <c r="N160" s="56" t="n">
        <v>5.9</v>
      </c>
      <c r="O160" s="56" t="n">
        <f aca="false">IF(D160=1,"",E159)</f>
        <v>13.4</v>
      </c>
      <c r="P160" s="56" t="n">
        <f aca="false">IF(OR(D160=1,K159=""),"",K159)</f>
        <v>1013.3</v>
      </c>
      <c r="Q160" s="56" t="n">
        <f aca="false">IF(OR(F160&lt;&gt;0,AND(I160&lt;&gt;"",E160&lt;I160)),1,0)</f>
        <v>0</v>
      </c>
      <c r="R160" s="56" t="n">
        <f aca="false">IF(AND(D160&gt;1,Q160=0,ISNUMBER(O160),ISNUMBER(P160)),IF(Q159=0,1,0),0)</f>
        <v>1</v>
      </c>
      <c r="S160" s="56" t="n">
        <f aca="false">R160*(B160&gt;=Train_Start)*(B160&lt;=Train_End)</f>
        <v>1</v>
      </c>
      <c r="T160" s="84" t="n">
        <f aca="false">IF(AND(ISNUMBER(O160),ISNUMBER(P160)),Coef_A+Coef_B1*O160+Coef_B2*P160,"")</f>
        <v>14.8532348413888</v>
      </c>
      <c r="U160" s="84" t="n">
        <f aca="false">IF(AND(R160=1,ISNUMBER(T160)),E160-T160,"")</f>
        <v>-3.75323484138876</v>
      </c>
      <c r="V160" s="84" t="n">
        <f aca="false">IF(ISNUMBER(T160),T160,-99)</f>
        <v>14.8532348413888</v>
      </c>
      <c r="W160" s="84" t="n">
        <f aca="false">IF(ISNUMBER(U160),ABS(U160),"")</f>
        <v>3.75323484138876</v>
      </c>
    </row>
    <row r="161" customFormat="false" ht="15" hidden="false" customHeight="false" outlineLevel="0" collapsed="false">
      <c r="A161" s="57" t="n">
        <v>29348</v>
      </c>
      <c r="B161" s="56" t="n">
        <v>1980</v>
      </c>
      <c r="C161" s="56" t="n">
        <v>5</v>
      </c>
      <c r="D161" s="56" t="n">
        <v>7</v>
      </c>
      <c r="E161" s="56" t="n">
        <v>11.6</v>
      </c>
      <c r="F161" s="56" t="n">
        <v>0</v>
      </c>
      <c r="G161" s="56" t="n">
        <v>3.2</v>
      </c>
      <c r="H161" s="56" t="n">
        <v>0</v>
      </c>
      <c r="I161" s="56" t="n">
        <v>7.2</v>
      </c>
      <c r="J161" s="56" t="n">
        <v>0</v>
      </c>
      <c r="K161" s="56" t="n">
        <v>1006.2</v>
      </c>
      <c r="L161" s="56" t="n">
        <v>0</v>
      </c>
      <c r="M161" s="56" t="n">
        <v>76</v>
      </c>
      <c r="N161" s="56" t="n">
        <v>0</v>
      </c>
      <c r="O161" s="56" t="n">
        <f aca="false">IF(D161=1,"",E160)</f>
        <v>11.1</v>
      </c>
      <c r="P161" s="56" t="n">
        <f aca="false">IF(OR(D161=1,K160=""),"",K160)</f>
        <v>1007.3</v>
      </c>
      <c r="Q161" s="56" t="n">
        <f aca="false">IF(OR(F161&lt;&gt;0,AND(I161&lt;&gt;"",E161&lt;I161)),1,0)</f>
        <v>0</v>
      </c>
      <c r="R161" s="56" t="n">
        <f aca="false">IF(AND(D161&gt;1,Q161=0,ISNUMBER(O161),ISNUMBER(P161)),IF(Q160=0,1,0),0)</f>
        <v>1</v>
      </c>
      <c r="S161" s="56" t="n">
        <f aca="false">R161*(B161&gt;=Train_Start)*(B161&lt;=Train_End)</f>
        <v>1</v>
      </c>
      <c r="T161" s="84" t="n">
        <f aca="false">IF(AND(ISNUMBER(O161),ISNUMBER(P161)),Coef_A+Coef_B1*O161+Coef_B2*P161,"")</f>
        <v>12.7805353295867</v>
      </c>
      <c r="U161" s="84" t="n">
        <f aca="false">IF(AND(R161=1,ISNUMBER(T161)),E161-T161,"")</f>
        <v>-1.18053532958671</v>
      </c>
      <c r="V161" s="84" t="n">
        <f aca="false">IF(ISNUMBER(T161),T161,-99)</f>
        <v>12.7805353295867</v>
      </c>
      <c r="W161" s="84" t="n">
        <f aca="false">IF(ISNUMBER(U161),ABS(U161),"")</f>
        <v>1.18053532958671</v>
      </c>
    </row>
    <row r="162" customFormat="false" ht="15" hidden="false" customHeight="false" outlineLevel="0" collapsed="false">
      <c r="A162" s="57" t="n">
        <v>29349</v>
      </c>
      <c r="B162" s="56" t="n">
        <v>1980</v>
      </c>
      <c r="C162" s="56" t="n">
        <v>5</v>
      </c>
      <c r="D162" s="56" t="n">
        <v>8</v>
      </c>
      <c r="E162" s="56" t="n">
        <v>13.6</v>
      </c>
      <c r="F162" s="56" t="n">
        <v>0</v>
      </c>
      <c r="G162" s="56" t="n">
        <v>4.4</v>
      </c>
      <c r="H162" s="56" t="n">
        <v>0</v>
      </c>
      <c r="I162" s="56" t="n">
        <v>8</v>
      </c>
      <c r="J162" s="56" t="n">
        <v>0</v>
      </c>
      <c r="K162" s="56" t="n">
        <v>1012.5</v>
      </c>
      <c r="L162" s="56" t="n">
        <v>0</v>
      </c>
      <c r="M162" s="56" t="n">
        <v>70</v>
      </c>
      <c r="N162" s="56" t="n">
        <v>2.2</v>
      </c>
      <c r="O162" s="56" t="n">
        <f aca="false">IF(D162=1,"",E161)</f>
        <v>11.6</v>
      </c>
      <c r="P162" s="56" t="n">
        <f aca="false">IF(OR(D162=1,K161=""),"",K161)</f>
        <v>1006.2</v>
      </c>
      <c r="Q162" s="56" t="n">
        <f aca="false">IF(OR(F162&lt;&gt;0,AND(I162&lt;&gt;"",E162&lt;I162)),1,0)</f>
        <v>0</v>
      </c>
      <c r="R162" s="56" t="n">
        <f aca="false">IF(AND(D162&gt;1,Q162=0,ISNUMBER(O162),ISNUMBER(P162)),IF(Q161=0,1,0),0)</f>
        <v>1</v>
      </c>
      <c r="S162" s="56" t="n">
        <f aca="false">R162*(B162&gt;=Train_Start)*(B162&lt;=Train_End)</f>
        <v>1</v>
      </c>
      <c r="T162" s="84" t="n">
        <f aca="false">IF(AND(ISNUMBER(O162),ISNUMBER(P162)),Coef_A+Coef_B1*O162+Coef_B2*P162,"")</f>
        <v>13.1556980420107</v>
      </c>
      <c r="U162" s="84" t="n">
        <f aca="false">IF(AND(R162=1,ISNUMBER(T162)),E162-T162,"")</f>
        <v>0.444301957989344</v>
      </c>
      <c r="V162" s="84" t="n">
        <f aca="false">IF(ISNUMBER(T162),T162,-99)</f>
        <v>13.1556980420107</v>
      </c>
      <c r="W162" s="84" t="n">
        <f aca="false">IF(ISNUMBER(U162),ABS(U162),"")</f>
        <v>0.444301957989344</v>
      </c>
    </row>
    <row r="163" customFormat="false" ht="15" hidden="false" customHeight="false" outlineLevel="0" collapsed="false">
      <c r="A163" s="57" t="n">
        <v>29350</v>
      </c>
      <c r="B163" s="56" t="n">
        <v>1980</v>
      </c>
      <c r="C163" s="56" t="n">
        <v>5</v>
      </c>
      <c r="D163" s="56" t="n">
        <v>9</v>
      </c>
      <c r="E163" s="56" t="n">
        <v>19.3</v>
      </c>
      <c r="F163" s="56" t="n">
        <v>0</v>
      </c>
      <c r="G163" s="56" t="n">
        <v>0.5</v>
      </c>
      <c r="H163" s="56" t="n">
        <v>0</v>
      </c>
      <c r="I163" s="56" t="n">
        <v>7</v>
      </c>
      <c r="J163" s="56" t="n">
        <v>0</v>
      </c>
      <c r="K163" s="56" t="n">
        <v>1025.6</v>
      </c>
      <c r="L163" s="56" t="n">
        <v>0</v>
      </c>
      <c r="M163" s="56" t="n">
        <v>67</v>
      </c>
      <c r="N163" s="56" t="n">
        <v>10.5</v>
      </c>
      <c r="O163" s="56" t="n">
        <f aca="false">IF(D163=1,"",E162)</f>
        <v>13.6</v>
      </c>
      <c r="P163" s="56" t="n">
        <f aca="false">IF(OR(D163=1,K162=""),"",K162)</f>
        <v>1012.5</v>
      </c>
      <c r="Q163" s="56" t="n">
        <f aca="false">IF(OR(F163&lt;&gt;0,AND(I163&lt;&gt;"",E163&lt;I163)),1,0)</f>
        <v>0</v>
      </c>
      <c r="R163" s="56" t="n">
        <f aca="false">IF(AND(D163&gt;1,Q163=0,ISNUMBER(O163),ISNUMBER(P163)),IF(Q162=0,1,0),0)</f>
        <v>1</v>
      </c>
      <c r="S163" s="56" t="n">
        <f aca="false">R163*(B163&gt;=Train_Start)*(B163&lt;=Train_End)</f>
        <v>1</v>
      </c>
      <c r="T163" s="84" t="n">
        <f aca="false">IF(AND(ISNUMBER(O163),ISNUMBER(P163)),Coef_A+Coef_B1*O163+Coef_B2*P163,"")</f>
        <v>14.9920067642901</v>
      </c>
      <c r="U163" s="84" t="n">
        <f aca="false">IF(AND(R163=1,ISNUMBER(T163)),E163-T163,"")</f>
        <v>4.3079932357099</v>
      </c>
      <c r="V163" s="84" t="n">
        <f aca="false">IF(ISNUMBER(T163),T163,-99)</f>
        <v>14.9920067642901</v>
      </c>
      <c r="W163" s="84" t="n">
        <f aca="false">IF(ISNUMBER(U163),ABS(U163),"")</f>
        <v>4.3079932357099</v>
      </c>
    </row>
    <row r="164" customFormat="false" ht="15" hidden="false" customHeight="false" outlineLevel="0" collapsed="false">
      <c r="A164" s="57" t="n">
        <v>29351</v>
      </c>
      <c r="B164" s="56" t="n">
        <v>1980</v>
      </c>
      <c r="C164" s="56" t="n">
        <v>5</v>
      </c>
      <c r="D164" s="56" t="n">
        <v>10</v>
      </c>
      <c r="E164" s="56" t="n">
        <v>21.1</v>
      </c>
      <c r="F164" s="56" t="n">
        <v>0</v>
      </c>
      <c r="G164" s="56" t="n">
        <v>2.9</v>
      </c>
      <c r="H164" s="56" t="n">
        <v>0</v>
      </c>
      <c r="I164" s="56" t="n">
        <v>11.1</v>
      </c>
      <c r="J164" s="56" t="n">
        <v>0</v>
      </c>
      <c r="K164" s="56" t="n">
        <v>1028.4</v>
      </c>
      <c r="L164" s="56" t="n">
        <v>0</v>
      </c>
      <c r="M164" s="56" t="n">
        <v>58</v>
      </c>
      <c r="N164" s="56" t="n">
        <v>13</v>
      </c>
      <c r="O164" s="56" t="n">
        <f aca="false">IF(D164=1,"",E163)</f>
        <v>19.3</v>
      </c>
      <c r="P164" s="56" t="n">
        <f aca="false">IF(OR(D164=1,K163=""),"",K163)</f>
        <v>1025.6</v>
      </c>
      <c r="Q164" s="56" t="n">
        <f aca="false">IF(OR(F164&lt;&gt;0,AND(I164&lt;&gt;"",E164&lt;I164)),1,0)</f>
        <v>0</v>
      </c>
      <c r="R164" s="56" t="n">
        <f aca="false">IF(AND(D164&gt;1,Q164=0,ISNUMBER(O164),ISNUMBER(P164)),IF(Q163=0,1,0),0)</f>
        <v>1</v>
      </c>
      <c r="S164" s="56" t="n">
        <f aca="false">R164*(B164&gt;=Train_Start)*(B164&lt;=Train_End)</f>
        <v>1</v>
      </c>
      <c r="T164" s="84" t="n">
        <f aca="false">IF(AND(ISNUMBER(O164),ISNUMBER(P164)),Coef_A+Coef_B1*O164+Coef_B2*P164,"")</f>
        <v>20.0731857843385</v>
      </c>
      <c r="U164" s="84" t="n">
        <f aca="false">IF(AND(R164=1,ISNUMBER(T164)),E164-T164,"")</f>
        <v>1.0268142156615</v>
      </c>
      <c r="V164" s="84" t="n">
        <f aca="false">IF(ISNUMBER(T164),T164,-99)</f>
        <v>20.0731857843385</v>
      </c>
      <c r="W164" s="84" t="n">
        <f aca="false">IF(ISNUMBER(U164),ABS(U164),"")</f>
        <v>1.0268142156615</v>
      </c>
    </row>
    <row r="165" customFormat="false" ht="15" hidden="false" customHeight="false" outlineLevel="0" collapsed="false">
      <c r="A165" s="57" t="n">
        <v>29352</v>
      </c>
      <c r="B165" s="56" t="n">
        <v>1980</v>
      </c>
      <c r="C165" s="56" t="n">
        <v>5</v>
      </c>
      <c r="D165" s="56" t="n">
        <v>11</v>
      </c>
      <c r="E165" s="56" t="n">
        <v>26.2</v>
      </c>
      <c r="F165" s="56" t="n">
        <v>0</v>
      </c>
      <c r="G165" s="56" t="n">
        <v>7.7</v>
      </c>
      <c r="H165" s="56" t="n">
        <v>0</v>
      </c>
      <c r="I165" s="56" t="n">
        <v>14.4</v>
      </c>
      <c r="J165" s="56" t="n">
        <v>0</v>
      </c>
      <c r="K165" s="56" t="n">
        <v>1022.4</v>
      </c>
      <c r="L165" s="56" t="n">
        <v>0</v>
      </c>
      <c r="M165" s="56" t="n">
        <v>54</v>
      </c>
      <c r="N165" s="56" t="n">
        <v>14.1</v>
      </c>
      <c r="O165" s="56" t="n">
        <f aca="false">IF(D165=1,"",E164)</f>
        <v>21.1</v>
      </c>
      <c r="P165" s="56" t="n">
        <f aca="false">IF(OR(D165=1,K164=""),"",K164)</f>
        <v>1028.4</v>
      </c>
      <c r="Q165" s="56" t="n">
        <f aca="false">IF(OR(F165&lt;&gt;0,AND(I165&lt;&gt;"",E165&lt;I165)),1,0)</f>
        <v>0</v>
      </c>
      <c r="R165" s="56" t="n">
        <f aca="false">IF(AND(D165&gt;1,Q165=0,ISNUMBER(O165),ISNUMBER(P165)),IF(Q164=0,1,0),0)</f>
        <v>1</v>
      </c>
      <c r="S165" s="56" t="n">
        <f aca="false">R165*(B165&gt;=Train_Start)*(B165&lt;=Train_End)</f>
        <v>1</v>
      </c>
      <c r="T165" s="84" t="n">
        <f aca="false">IF(AND(ISNUMBER(O165),ISNUMBER(P165)),Coef_A+Coef_B1*O165+Coef_B2*P165,"")</f>
        <v>21.6358320367905</v>
      </c>
      <c r="U165" s="84" t="n">
        <f aca="false">IF(AND(R165=1,ISNUMBER(T165)),E165-T165,"")</f>
        <v>4.56416796320953</v>
      </c>
      <c r="V165" s="84" t="n">
        <f aca="false">IF(ISNUMBER(T165),T165,-99)</f>
        <v>21.6358320367905</v>
      </c>
      <c r="W165" s="84" t="n">
        <f aca="false">IF(ISNUMBER(U165),ABS(U165),"")</f>
        <v>4.56416796320953</v>
      </c>
    </row>
    <row r="166" customFormat="false" ht="15" hidden="false" customHeight="false" outlineLevel="0" collapsed="false">
      <c r="A166" s="57" t="n">
        <v>29353</v>
      </c>
      <c r="B166" s="56" t="n">
        <v>1980</v>
      </c>
      <c r="C166" s="56" t="n">
        <v>5</v>
      </c>
      <c r="D166" s="56" t="n">
        <v>12</v>
      </c>
      <c r="E166" s="56" t="n">
        <v>23.6</v>
      </c>
      <c r="F166" s="56" t="n">
        <v>0</v>
      </c>
      <c r="G166" s="56" t="n">
        <v>10.4</v>
      </c>
      <c r="H166" s="56" t="n">
        <v>0</v>
      </c>
      <c r="I166" s="56" t="n">
        <v>18.3</v>
      </c>
      <c r="J166" s="56" t="n">
        <v>0</v>
      </c>
      <c r="K166" s="56" t="n">
        <v>1015.5</v>
      </c>
      <c r="L166" s="56" t="n">
        <v>0</v>
      </c>
      <c r="M166" s="56" t="n">
        <v>51</v>
      </c>
      <c r="N166" s="56" t="n">
        <v>13.5</v>
      </c>
      <c r="O166" s="56" t="n">
        <f aca="false">IF(D166=1,"",E165)</f>
        <v>26.2</v>
      </c>
      <c r="P166" s="56" t="n">
        <f aca="false">IF(OR(D166=1,K165=""),"",K165)</f>
        <v>1022.4</v>
      </c>
      <c r="Q166" s="56" t="n">
        <f aca="false">IF(OR(F166&lt;&gt;0,AND(I166&lt;&gt;"",E166&lt;I166)),1,0)</f>
        <v>0</v>
      </c>
      <c r="R166" s="56" t="n">
        <f aca="false">IF(AND(D166&gt;1,Q166=0,ISNUMBER(O166),ISNUMBER(P166)),IF(Q165=0,1,0),0)</f>
        <v>1</v>
      </c>
      <c r="S166" s="56" t="n">
        <f aca="false">R166*(B166&gt;=Train_Start)*(B166&lt;=Train_End)</f>
        <v>1</v>
      </c>
      <c r="T166" s="84" t="n">
        <f aca="false">IF(AND(ISNUMBER(O166),ISNUMBER(P166)),Coef_A+Coef_B1*O166+Coef_B2*P166,"")</f>
        <v>25.6262425535041</v>
      </c>
      <c r="U166" s="84" t="n">
        <f aca="false">IF(AND(R166=1,ISNUMBER(T166)),E166-T166,"")</f>
        <v>-2.02624255350408</v>
      </c>
      <c r="V166" s="84" t="n">
        <f aca="false">IF(ISNUMBER(T166),T166,-99)</f>
        <v>25.6262425535041</v>
      </c>
      <c r="W166" s="84" t="n">
        <f aca="false">IF(ISNUMBER(U166),ABS(U166),"")</f>
        <v>2.02624255350408</v>
      </c>
    </row>
    <row r="167" customFormat="false" ht="15" hidden="false" customHeight="false" outlineLevel="0" collapsed="false">
      <c r="A167" s="57" t="n">
        <v>29354</v>
      </c>
      <c r="B167" s="56" t="n">
        <v>1980</v>
      </c>
      <c r="C167" s="56" t="n">
        <v>5</v>
      </c>
      <c r="D167" s="56" t="n">
        <v>13</v>
      </c>
      <c r="E167" s="56" t="n">
        <v>20.9</v>
      </c>
      <c r="F167" s="56" t="n">
        <v>0</v>
      </c>
      <c r="G167" s="56" t="n">
        <v>12</v>
      </c>
      <c r="H167" s="56" t="n">
        <v>0</v>
      </c>
      <c r="I167" s="56" t="n">
        <v>17.8</v>
      </c>
      <c r="J167" s="56" t="n">
        <v>0</v>
      </c>
      <c r="K167" s="56" t="n">
        <v>1015.8</v>
      </c>
      <c r="L167" s="56" t="n">
        <v>0</v>
      </c>
      <c r="M167" s="56" t="n">
        <v>49</v>
      </c>
      <c r="N167" s="56" t="n">
        <v>13.9</v>
      </c>
      <c r="O167" s="56" t="n">
        <f aca="false">IF(D167=1,"",E166)</f>
        <v>23.6</v>
      </c>
      <c r="P167" s="56" t="n">
        <f aca="false">IF(OR(D167=1,K166=""),"",K166)</f>
        <v>1015.5</v>
      </c>
      <c r="Q167" s="56" t="n">
        <f aca="false">IF(OR(F167&lt;&gt;0,AND(I167&lt;&gt;"",E167&lt;I167)),1,0)</f>
        <v>0</v>
      </c>
      <c r="R167" s="56" t="n">
        <f aca="false">IF(AND(D167&gt;1,Q167=0,ISNUMBER(O167),ISNUMBER(P167)),IF(Q166=0,1,0),0)</f>
        <v>1</v>
      </c>
      <c r="S167" s="56" t="n">
        <f aca="false">R167*(B167&gt;=Train_Start)*(B167&lt;=Train_End)</f>
        <v>1</v>
      </c>
      <c r="T167" s="84" t="n">
        <f aca="false">IF(AND(ISNUMBER(O167),ISNUMBER(P167)),Coef_A+Coef_B1*O167+Coef_B2*P167,"")</f>
        <v>23.2795083786186</v>
      </c>
      <c r="U167" s="84" t="n">
        <f aca="false">IF(AND(R167=1,ISNUMBER(T167)),E167-T167,"")</f>
        <v>-2.37950837861865</v>
      </c>
      <c r="V167" s="84" t="n">
        <f aca="false">IF(ISNUMBER(T167),T167,-99)</f>
        <v>23.2795083786186</v>
      </c>
      <c r="W167" s="84" t="n">
        <f aca="false">IF(ISNUMBER(U167),ABS(U167),"")</f>
        <v>2.37950837861865</v>
      </c>
    </row>
    <row r="168" customFormat="false" ht="15" hidden="false" customHeight="false" outlineLevel="0" collapsed="false">
      <c r="A168" s="57" t="n">
        <v>29355</v>
      </c>
      <c r="B168" s="56" t="n">
        <v>1980</v>
      </c>
      <c r="C168" s="56" t="n">
        <v>5</v>
      </c>
      <c r="D168" s="56" t="n">
        <v>14</v>
      </c>
      <c r="E168" s="56" t="n">
        <v>18.9</v>
      </c>
      <c r="F168" s="56" t="n">
        <v>0</v>
      </c>
      <c r="G168" s="56" t="n">
        <v>10.6</v>
      </c>
      <c r="H168" s="56" t="n">
        <v>0</v>
      </c>
      <c r="I168" s="56" t="n">
        <v>15.8</v>
      </c>
      <c r="J168" s="56" t="n">
        <v>0</v>
      </c>
      <c r="K168" s="56" t="n">
        <v>1019.4</v>
      </c>
      <c r="L168" s="56" t="n">
        <v>0</v>
      </c>
      <c r="M168" s="56" t="n">
        <v>47</v>
      </c>
      <c r="N168" s="56" t="n">
        <v>14</v>
      </c>
      <c r="O168" s="56" t="n">
        <f aca="false">IF(D168=1,"",E167)</f>
        <v>20.9</v>
      </c>
      <c r="P168" s="56" t="n">
        <f aca="false">IF(OR(D168=1,K167=""),"",K167)</f>
        <v>1015.8</v>
      </c>
      <c r="Q168" s="56" t="n">
        <f aca="false">IF(OR(F168&lt;&gt;0,AND(I168&lt;&gt;"",E168&lt;I168)),1,0)</f>
        <v>0</v>
      </c>
      <c r="R168" s="56" t="n">
        <f aca="false">IF(AND(D168&gt;1,Q168=0,ISNUMBER(O168),ISNUMBER(P168)),IF(Q167=0,1,0),0)</f>
        <v>1</v>
      </c>
      <c r="S168" s="56" t="n">
        <f aca="false">R168*(B168&gt;=Train_Start)*(B168&lt;=Train_End)</f>
        <v>1</v>
      </c>
      <c r="T168" s="84" t="n">
        <f aca="false">IF(AND(ISNUMBER(O168),ISNUMBER(P168)),Coef_A+Coef_B1*O168+Coef_B2*P168,"")</f>
        <v>21.0767035257937</v>
      </c>
      <c r="U168" s="84" t="n">
        <f aca="false">IF(AND(R168=1,ISNUMBER(T168)),E168-T168,"")</f>
        <v>-2.17670352579367</v>
      </c>
      <c r="V168" s="84" t="n">
        <f aca="false">IF(ISNUMBER(T168),T168,-99)</f>
        <v>21.0767035257937</v>
      </c>
      <c r="W168" s="84" t="n">
        <f aca="false">IF(ISNUMBER(U168),ABS(U168),"")</f>
        <v>2.17670352579367</v>
      </c>
    </row>
    <row r="169" customFormat="false" ht="15" hidden="false" customHeight="false" outlineLevel="0" collapsed="false">
      <c r="A169" s="57" t="n">
        <v>29356</v>
      </c>
      <c r="B169" s="56" t="n">
        <v>1980</v>
      </c>
      <c r="C169" s="56" t="n">
        <v>5</v>
      </c>
      <c r="D169" s="56" t="n">
        <v>15</v>
      </c>
      <c r="E169" s="56" t="n">
        <v>21.1</v>
      </c>
      <c r="F169" s="56" t="n">
        <v>0</v>
      </c>
      <c r="G169" s="56" t="n">
        <v>9.7</v>
      </c>
      <c r="H169" s="56" t="n">
        <v>0</v>
      </c>
      <c r="I169" s="56" t="n">
        <v>14.3</v>
      </c>
      <c r="J169" s="56" t="n">
        <v>0</v>
      </c>
      <c r="K169" s="56" t="n">
        <v>1026.7</v>
      </c>
      <c r="L169" s="56" t="n">
        <v>0</v>
      </c>
      <c r="M169" s="56" t="n">
        <v>43</v>
      </c>
      <c r="N169" s="56" t="n">
        <v>14.2</v>
      </c>
      <c r="O169" s="56" t="n">
        <f aca="false">IF(D169=1,"",E168)</f>
        <v>18.9</v>
      </c>
      <c r="P169" s="56" t="n">
        <f aca="false">IF(OR(D169=1,K168=""),"",K168)</f>
        <v>1019.4</v>
      </c>
      <c r="Q169" s="56" t="n">
        <f aca="false">IF(OR(F169&lt;&gt;0,AND(I169&lt;&gt;"",E169&lt;I169)),1,0)</f>
        <v>0</v>
      </c>
      <c r="R169" s="56" t="n">
        <f aca="false">IF(AND(D169&gt;1,Q169=0,ISNUMBER(O169),ISNUMBER(P169)),IF(Q168=0,1,0),0)</f>
        <v>1</v>
      </c>
      <c r="S169" s="56" t="n">
        <f aca="false">R169*(B169&gt;=Train_Start)*(B169&lt;=Train_End)</f>
        <v>1</v>
      </c>
      <c r="T169" s="84" t="n">
        <f aca="false">IF(AND(ISNUMBER(O169),ISNUMBER(P169)),Coef_A+Coef_B1*O169+Coef_B2*P169,"")</f>
        <v>19.5509567603907</v>
      </c>
      <c r="U169" s="84" t="n">
        <f aca="false">IF(AND(R169=1,ISNUMBER(T169)),E169-T169,"")</f>
        <v>1.54904323960929</v>
      </c>
      <c r="V169" s="84" t="n">
        <f aca="false">IF(ISNUMBER(T169),T169,-99)</f>
        <v>19.5509567603907</v>
      </c>
      <c r="W169" s="84" t="n">
        <f aca="false">IF(ISNUMBER(U169),ABS(U169),"")</f>
        <v>1.54904323960929</v>
      </c>
    </row>
    <row r="170" customFormat="false" ht="15" hidden="false" customHeight="false" outlineLevel="0" collapsed="false">
      <c r="A170" s="57" t="n">
        <v>29357</v>
      </c>
      <c r="B170" s="56" t="n">
        <v>1980</v>
      </c>
      <c r="C170" s="56" t="n">
        <v>5</v>
      </c>
      <c r="D170" s="56" t="n">
        <v>16</v>
      </c>
      <c r="E170" s="56" t="n">
        <v>21.2</v>
      </c>
      <c r="F170" s="56" t="n">
        <v>0</v>
      </c>
      <c r="G170" s="56" t="n">
        <v>7.4</v>
      </c>
      <c r="H170" s="56" t="n">
        <v>0</v>
      </c>
      <c r="I170" s="56" t="n">
        <v>14.2</v>
      </c>
      <c r="J170" s="56" t="n">
        <v>0</v>
      </c>
      <c r="K170" s="56" t="n">
        <v>1027</v>
      </c>
      <c r="L170" s="56" t="n">
        <v>0</v>
      </c>
      <c r="M170" s="56" t="n">
        <v>42</v>
      </c>
      <c r="N170" s="56" t="n">
        <v>14.3</v>
      </c>
      <c r="O170" s="56" t="n">
        <f aca="false">IF(D170=1,"",E169)</f>
        <v>21.1</v>
      </c>
      <c r="P170" s="56" t="n">
        <f aca="false">IF(OR(D170=1,K169=""),"",K169)</f>
        <v>1026.7</v>
      </c>
      <c r="Q170" s="56" t="n">
        <f aca="false">IF(OR(F170&lt;&gt;0,AND(I170&lt;&gt;"",E170&lt;I170)),1,0)</f>
        <v>0</v>
      </c>
      <c r="R170" s="56" t="n">
        <f aca="false">IF(AND(D170&gt;1,Q170=0,ISNUMBER(O170),ISNUMBER(P170)),IF(Q169=0,1,0),0)</f>
        <v>1</v>
      </c>
      <c r="S170" s="56" t="n">
        <f aca="false">R170*(B170&gt;=Train_Start)*(B170&lt;=Train_End)</f>
        <v>1</v>
      </c>
      <c r="T170" s="84" t="n">
        <f aca="false">IF(AND(ISNUMBER(O170),ISNUMBER(P170)),Coef_A+Coef_B1*O170+Coef_B2*P170,"")</f>
        <v>21.5825032159127</v>
      </c>
      <c r="U170" s="84" t="n">
        <f aca="false">IF(AND(R170=1,ISNUMBER(T170)),E170-T170,"")</f>
        <v>-0.382503215912681</v>
      </c>
      <c r="V170" s="84" t="n">
        <f aca="false">IF(ISNUMBER(T170),T170,-99)</f>
        <v>21.5825032159127</v>
      </c>
      <c r="W170" s="84" t="n">
        <f aca="false">IF(ISNUMBER(U170),ABS(U170),"")</f>
        <v>0.382503215912681</v>
      </c>
    </row>
    <row r="171" customFormat="false" ht="15" hidden="false" customHeight="false" outlineLevel="0" collapsed="false">
      <c r="A171" s="57" t="n">
        <v>29358</v>
      </c>
      <c r="B171" s="56" t="n">
        <v>1980</v>
      </c>
      <c r="C171" s="56" t="n">
        <v>5</v>
      </c>
      <c r="D171" s="56" t="n">
        <v>17</v>
      </c>
      <c r="E171" s="56" t="n">
        <v>22.5</v>
      </c>
      <c r="F171" s="56" t="n">
        <v>0</v>
      </c>
      <c r="G171" s="56" t="n">
        <v>6.4</v>
      </c>
      <c r="H171" s="56" t="n">
        <v>0</v>
      </c>
      <c r="I171" s="56" t="n">
        <v>13.8</v>
      </c>
      <c r="J171" s="56" t="n">
        <v>0</v>
      </c>
      <c r="K171" s="56" t="n">
        <v>1023.5</v>
      </c>
      <c r="L171" s="56" t="n">
        <v>0</v>
      </c>
      <c r="M171" s="56" t="n">
        <v>54</v>
      </c>
      <c r="N171" s="56" t="n">
        <v>11</v>
      </c>
      <c r="O171" s="56" t="n">
        <f aca="false">IF(D171=1,"",E170)</f>
        <v>21.2</v>
      </c>
      <c r="P171" s="56" t="n">
        <f aca="false">IF(OR(D171=1,K170=""),"",K170)</f>
        <v>1027</v>
      </c>
      <c r="Q171" s="56" t="n">
        <f aca="false">IF(OR(F171&lt;&gt;0,AND(I171&lt;&gt;"",E171&lt;I171)),1,0)</f>
        <v>0</v>
      </c>
      <c r="R171" s="56" t="n">
        <f aca="false">IF(AND(D171&gt;1,Q171=0,ISNUMBER(O171),ISNUMBER(P171)),IF(Q170=0,1,0),0)</f>
        <v>1</v>
      </c>
      <c r="S171" s="56" t="n">
        <f aca="false">R171*(B171&gt;=Train_Start)*(B171&lt;=Train_End)</f>
        <v>1</v>
      </c>
      <c r="T171" s="84" t="n">
        <f aca="false">IF(AND(ISNUMBER(O171),ISNUMBER(P171)),Coef_A+Coef_B1*O171+Coef_B2*P171,"")</f>
        <v>21.6738481036071</v>
      </c>
      <c r="U171" s="84" t="n">
        <f aca="false">IF(AND(R171=1,ISNUMBER(T171)),E171-T171,"")</f>
        <v>0.826151896392855</v>
      </c>
      <c r="V171" s="84" t="n">
        <f aca="false">IF(ISNUMBER(T171),T171,-99)</f>
        <v>21.6738481036071</v>
      </c>
      <c r="W171" s="84" t="n">
        <f aca="false">IF(ISNUMBER(U171),ABS(U171),"")</f>
        <v>0.826151896392855</v>
      </c>
    </row>
    <row r="172" customFormat="false" ht="15" hidden="false" customHeight="false" outlineLevel="0" collapsed="false">
      <c r="A172" s="57" t="n">
        <v>29359</v>
      </c>
      <c r="B172" s="56" t="n">
        <v>1980</v>
      </c>
      <c r="C172" s="56" t="n">
        <v>5</v>
      </c>
      <c r="D172" s="56" t="n">
        <v>18</v>
      </c>
      <c r="E172" s="56" t="n">
        <v>24.2</v>
      </c>
      <c r="F172" s="56" t="n">
        <v>0</v>
      </c>
      <c r="G172" s="56" t="n">
        <v>8.1</v>
      </c>
      <c r="H172" s="56" t="n">
        <v>0</v>
      </c>
      <c r="I172" s="56" t="n">
        <v>15.3</v>
      </c>
      <c r="J172" s="56" t="n">
        <v>0</v>
      </c>
      <c r="K172" s="56" t="n">
        <v>1020.6</v>
      </c>
      <c r="L172" s="56" t="n">
        <v>0</v>
      </c>
      <c r="M172" s="56" t="n">
        <v>54</v>
      </c>
      <c r="N172" s="56" t="n">
        <v>7.3</v>
      </c>
      <c r="O172" s="56" t="n">
        <f aca="false">IF(D172=1,"",E171)</f>
        <v>22.5</v>
      </c>
      <c r="P172" s="56" t="n">
        <f aca="false">IF(OR(D172=1,K171=""),"",K171)</f>
        <v>1023.5</v>
      </c>
      <c r="Q172" s="56" t="n">
        <f aca="false">IF(OR(F172&lt;&gt;0,AND(I172&lt;&gt;"",E172&lt;I172)),1,0)</f>
        <v>0</v>
      </c>
      <c r="R172" s="56" t="n">
        <f aca="false">IF(AND(D172&gt;1,Q172=0,ISNUMBER(O172),ISNUMBER(P172)),IF(Q171=0,1,0),0)</f>
        <v>1</v>
      </c>
      <c r="S172" s="56" t="n">
        <f aca="false">R172*(B172&gt;=Train_Start)*(B172&lt;=Train_End)</f>
        <v>1</v>
      </c>
      <c r="T172" s="84" t="n">
        <f aca="false">IF(AND(ISNUMBER(O172),ISNUMBER(P172)),Coef_A+Coef_B1*O172+Coef_B2*P172,"")</f>
        <v>22.6291944233436</v>
      </c>
      <c r="U172" s="84" t="n">
        <f aca="false">IF(AND(R172=1,ISNUMBER(T172)),E172-T172,"")</f>
        <v>1.57080557665636</v>
      </c>
      <c r="V172" s="84" t="n">
        <f aca="false">IF(ISNUMBER(T172),T172,-99)</f>
        <v>22.6291944233436</v>
      </c>
      <c r="W172" s="84" t="n">
        <f aca="false">IF(ISNUMBER(U172),ABS(U172),"")</f>
        <v>1.57080557665636</v>
      </c>
    </row>
    <row r="173" customFormat="false" ht="15" hidden="false" customHeight="false" outlineLevel="0" collapsed="false">
      <c r="A173" s="57" t="n">
        <v>29360</v>
      </c>
      <c r="B173" s="56" t="n">
        <v>1980</v>
      </c>
      <c r="C173" s="56" t="n">
        <v>5</v>
      </c>
      <c r="D173" s="56" t="n">
        <v>19</v>
      </c>
      <c r="E173" s="56" t="n">
        <v>12.6</v>
      </c>
      <c r="F173" s="56" t="n">
        <v>1</v>
      </c>
      <c r="G173" s="56" t="n">
        <v>8.8</v>
      </c>
      <c r="H173" s="56" t="n">
        <v>0</v>
      </c>
      <c r="I173" s="56" t="n">
        <v>16.5</v>
      </c>
      <c r="J173" s="56" t="n">
        <v>1</v>
      </c>
      <c r="K173" s="56" t="n">
        <v>1020.9</v>
      </c>
      <c r="L173" s="56" t="n">
        <v>0</v>
      </c>
      <c r="M173" s="56" t="n">
        <v>51</v>
      </c>
      <c r="N173" s="56" t="n">
        <v>12.7</v>
      </c>
      <c r="O173" s="56" t="n">
        <f aca="false">IF(D173=1,"",E172)</f>
        <v>24.2</v>
      </c>
      <c r="P173" s="56" t="n">
        <f aca="false">IF(OR(D173=1,K172=""),"",K172)</f>
        <v>1020.6</v>
      </c>
      <c r="Q173" s="56" t="n">
        <f aca="false">IF(OR(F173&lt;&gt;0,AND(I173&lt;&gt;"",E173&lt;I173)),1,0)</f>
        <v>1</v>
      </c>
      <c r="R173" s="56" t="n">
        <f aca="false">IF(AND(D173&gt;1,Q173=0,ISNUMBER(O173),ISNUMBER(P173)),IF(Q172=0,1,0),0)</f>
        <v>0</v>
      </c>
      <c r="S173" s="56" t="n">
        <f aca="false">R173*(B173&gt;=Train_Start)*(B173&lt;=Train_End)</f>
        <v>0</v>
      </c>
      <c r="T173" s="84" t="n">
        <f aca="false">IF(AND(ISNUMBER(O173),ISNUMBER(P173)),Coef_A+Coef_B1*O173+Coef_B2*P173,"")</f>
        <v>23.9310983570776</v>
      </c>
      <c r="U173" s="84" t="str">
        <f aca="false">IF(AND(R173=1,ISNUMBER(T173)),E173-T173,"")</f>
        <v/>
      </c>
      <c r="V173" s="84" t="n">
        <f aca="false">IF(ISNUMBER(T173),T173,-99)</f>
        <v>23.9310983570776</v>
      </c>
      <c r="W173" s="84" t="str">
        <f aca="false">IF(ISNUMBER(U173),ABS(U173),"")</f>
        <v/>
      </c>
    </row>
    <row r="174" customFormat="false" ht="15" hidden="false" customHeight="false" outlineLevel="0" collapsed="false">
      <c r="A174" s="57" t="n">
        <v>29361</v>
      </c>
      <c r="B174" s="56" t="n">
        <v>1980</v>
      </c>
      <c r="C174" s="56" t="n">
        <v>5</v>
      </c>
      <c r="D174" s="56" t="n">
        <v>20</v>
      </c>
      <c r="E174" s="56" t="n">
        <v>21.1</v>
      </c>
      <c r="F174" s="56" t="n">
        <v>0</v>
      </c>
      <c r="G174" s="56" t="n">
        <v>11.1</v>
      </c>
      <c r="H174" s="56" t="n">
        <v>0</v>
      </c>
      <c r="I174" s="56" t="n">
        <v>11.8</v>
      </c>
      <c r="J174" s="56" t="n">
        <v>0</v>
      </c>
      <c r="K174" s="56" t="n">
        <v>1014.3</v>
      </c>
      <c r="L174" s="56" t="n">
        <v>0</v>
      </c>
      <c r="M174" s="56" t="n">
        <v>85</v>
      </c>
      <c r="N174" s="56" t="n">
        <v>0</v>
      </c>
      <c r="O174" s="56" t="n">
        <f aca="false">IF(D174=1,"",E173)</f>
        <v>12.6</v>
      </c>
      <c r="P174" s="56" t="n">
        <f aca="false">IF(OR(D174=1,K173=""),"",K173)</f>
        <v>1020.9</v>
      </c>
      <c r="Q174" s="56" t="n">
        <f aca="false">IF(OR(F174&lt;&gt;0,AND(I174&lt;&gt;"",E174&lt;I174)),1,0)</f>
        <v>0</v>
      </c>
      <c r="R174" s="56" t="n">
        <f aca="false">IF(AND(D174&gt;1,Q174=0,ISNUMBER(O174),ISNUMBER(P174)),IF(Q173=0,1,0),0)</f>
        <v>0</v>
      </c>
      <c r="S174" s="56" t="n">
        <f aca="false">R174*(B174&gt;=Train_Start)*(B174&lt;=Train_End)</f>
        <v>0</v>
      </c>
      <c r="T174" s="84" t="n">
        <f aca="false">IF(AND(ISNUMBER(O174),ISNUMBER(P174)),Coef_A+Coef_B1*O174+Coef_B2*P174,"")</f>
        <v>14.436174686173</v>
      </c>
      <c r="U174" s="84" t="str">
        <f aca="false">IF(AND(R174=1,ISNUMBER(T174)),E174-T174,"")</f>
        <v/>
      </c>
      <c r="V174" s="84" t="n">
        <f aca="false">IF(ISNUMBER(T174),T174,-99)</f>
        <v>14.436174686173</v>
      </c>
      <c r="W174" s="84" t="str">
        <f aca="false">IF(ISNUMBER(U174),ABS(U174),"")</f>
        <v/>
      </c>
    </row>
    <row r="175" customFormat="false" ht="15" hidden="false" customHeight="false" outlineLevel="0" collapsed="false">
      <c r="A175" s="57" t="n">
        <v>29362</v>
      </c>
      <c r="B175" s="56" t="n">
        <v>1980</v>
      </c>
      <c r="C175" s="56" t="n">
        <v>5</v>
      </c>
      <c r="D175" s="56" t="n">
        <v>21</v>
      </c>
      <c r="E175" s="56" t="n">
        <v>15.9</v>
      </c>
      <c r="F175" s="56" t="n">
        <v>0</v>
      </c>
      <c r="G175" s="56" t="n">
        <v>10</v>
      </c>
      <c r="H175" s="56" t="n">
        <v>0</v>
      </c>
      <c r="I175" s="56" t="n">
        <v>15.6</v>
      </c>
      <c r="J175" s="56" t="n">
        <v>0</v>
      </c>
      <c r="K175" s="56" t="n">
        <v>1014.8</v>
      </c>
      <c r="L175" s="56" t="n">
        <v>0</v>
      </c>
      <c r="M175" s="56" t="n">
        <v>74</v>
      </c>
      <c r="N175" s="56" t="n">
        <v>7.8</v>
      </c>
      <c r="O175" s="56" t="n">
        <f aca="false">IF(D175=1,"",E174)</f>
        <v>21.1</v>
      </c>
      <c r="P175" s="56" t="n">
        <f aca="false">IF(OR(D175=1,K174=""),"",K174)</f>
        <v>1014.3</v>
      </c>
      <c r="Q175" s="56" t="n">
        <f aca="false">IF(OR(F175&lt;&gt;0,AND(I175&lt;&gt;"",E175&lt;I175)),1,0)</f>
        <v>0</v>
      </c>
      <c r="R175" s="56" t="n">
        <f aca="false">IF(AND(D175&gt;1,Q175=0,ISNUMBER(O175),ISNUMBER(P175)),IF(Q174=0,1,0),0)</f>
        <v>1</v>
      </c>
      <c r="S175" s="56" t="n">
        <f aca="false">R175*(B175&gt;=Train_Start)*(B175&lt;=Train_End)</f>
        <v>1</v>
      </c>
      <c r="T175" s="84" t="n">
        <f aca="false">IF(AND(ISNUMBER(O175),ISNUMBER(P175)),Coef_A+Coef_B1*O175+Coef_B2*P175,"")</f>
        <v>21.1935165224512</v>
      </c>
      <c r="U175" s="84" t="n">
        <f aca="false">IF(AND(R175=1,ISNUMBER(T175)),E175-T175,"")</f>
        <v>-5.29351652245121</v>
      </c>
      <c r="V175" s="84" t="n">
        <f aca="false">IF(ISNUMBER(T175),T175,-99)</f>
        <v>21.1935165224512</v>
      </c>
      <c r="W175" s="84" t="n">
        <f aca="false">IF(ISNUMBER(U175),ABS(U175),"")</f>
        <v>5.29351652245121</v>
      </c>
    </row>
    <row r="176" customFormat="false" ht="15" hidden="false" customHeight="false" outlineLevel="0" collapsed="false">
      <c r="A176" s="57" t="n">
        <v>29363</v>
      </c>
      <c r="B176" s="56" t="n">
        <v>1980</v>
      </c>
      <c r="C176" s="56" t="n">
        <v>5</v>
      </c>
      <c r="D176" s="56" t="n">
        <v>22</v>
      </c>
      <c r="E176" s="56" t="n">
        <v>12.9</v>
      </c>
      <c r="F176" s="56" t="n">
        <v>0</v>
      </c>
      <c r="G176" s="56" t="n">
        <v>9.7</v>
      </c>
      <c r="H176" s="56" t="n">
        <v>0</v>
      </c>
      <c r="I176" s="56" t="n">
        <v>12.8</v>
      </c>
      <c r="J176" s="56" t="n">
        <v>0</v>
      </c>
      <c r="K176" s="56" t="n">
        <v>1021.4</v>
      </c>
      <c r="L176" s="56" t="n">
        <v>0</v>
      </c>
      <c r="M176" s="56" t="n">
        <v>63</v>
      </c>
      <c r="N176" s="56" t="n">
        <v>2.9</v>
      </c>
      <c r="O176" s="56" t="n">
        <f aca="false">IF(D176=1,"",E175)</f>
        <v>15.9</v>
      </c>
      <c r="P176" s="56" t="n">
        <f aca="false">IF(OR(D176=1,K175=""),"",K175)</f>
        <v>1014.8</v>
      </c>
      <c r="Q176" s="56" t="n">
        <f aca="false">IF(OR(F176&lt;&gt;0,AND(I176&lt;&gt;"",E176&lt;I176)),1,0)</f>
        <v>0</v>
      </c>
      <c r="R176" s="56" t="n">
        <f aca="false">IF(AND(D176&gt;1,Q176=0,ISNUMBER(O176),ISNUMBER(P176)),IF(Q175=0,1,0),0)</f>
        <v>1</v>
      </c>
      <c r="S176" s="56" t="n">
        <f aca="false">R176*(B176&gt;=Train_Start)*(B176&lt;=Train_End)</f>
        <v>1</v>
      </c>
      <c r="T176" s="84" t="n">
        <f aca="false">IF(AND(ISNUMBER(O176),ISNUMBER(P176)),Coef_A+Coef_B1*O176+Coef_B2*P176,"")</f>
        <v>16.9486376659464</v>
      </c>
      <c r="U176" s="84" t="n">
        <f aca="false">IF(AND(R176=1,ISNUMBER(T176)),E176-T176,"")</f>
        <v>-4.04863766594639</v>
      </c>
      <c r="V176" s="84" t="n">
        <f aca="false">IF(ISNUMBER(T176),T176,-99)</f>
        <v>16.9486376659464</v>
      </c>
      <c r="W176" s="84" t="n">
        <f aca="false">IF(ISNUMBER(U176),ABS(U176),"")</f>
        <v>4.04863766594639</v>
      </c>
    </row>
    <row r="177" customFormat="false" ht="15" hidden="false" customHeight="false" outlineLevel="0" collapsed="false">
      <c r="A177" s="57" t="n">
        <v>29364</v>
      </c>
      <c r="B177" s="56" t="n">
        <v>1980</v>
      </c>
      <c r="C177" s="56" t="n">
        <v>5</v>
      </c>
      <c r="D177" s="56" t="n">
        <v>23</v>
      </c>
      <c r="E177" s="56" t="n">
        <v>14.1</v>
      </c>
      <c r="F177" s="56" t="n">
        <v>0</v>
      </c>
      <c r="G177" s="56" t="n">
        <v>7.2</v>
      </c>
      <c r="H177" s="56" t="n">
        <v>0</v>
      </c>
      <c r="I177" s="56" t="n">
        <v>10</v>
      </c>
      <c r="J177" s="56" t="n">
        <v>0</v>
      </c>
      <c r="K177" s="56" t="n">
        <v>1024.7</v>
      </c>
      <c r="L177" s="56" t="n">
        <v>0</v>
      </c>
      <c r="M177" s="56" t="n">
        <v>68</v>
      </c>
      <c r="N177" s="56" t="n">
        <v>3.1</v>
      </c>
      <c r="O177" s="56" t="n">
        <f aca="false">IF(D177=1,"",E176)</f>
        <v>12.9</v>
      </c>
      <c r="P177" s="56" t="n">
        <f aca="false">IF(OR(D177=1,K176=""),"",K176)</f>
        <v>1021.4</v>
      </c>
      <c r="Q177" s="56" t="n">
        <f aca="false">IF(OR(F177&lt;&gt;0,AND(I177&lt;&gt;"",E177&lt;I177)),1,0)</f>
        <v>0</v>
      </c>
      <c r="R177" s="56" t="n">
        <f aca="false">IF(AND(D177&gt;1,Q177=0,ISNUMBER(O177),ISNUMBER(P177)),IF(Q176=0,1,0),0)</f>
        <v>1</v>
      </c>
      <c r="S177" s="56" t="n">
        <f aca="false">R177*(B177&gt;=Train_Start)*(B177&lt;=Train_End)</f>
        <v>1</v>
      </c>
      <c r="T177" s="84" t="n">
        <f aca="false">IF(AND(ISNUMBER(O177),ISNUMBER(P177)),Coef_A+Coef_B1*O177+Coef_B2*P177,"")</f>
        <v>14.6976613914027</v>
      </c>
      <c r="U177" s="84" t="n">
        <f aca="false">IF(AND(R177=1,ISNUMBER(T177)),E177-T177,"")</f>
        <v>-0.597661391402747</v>
      </c>
      <c r="V177" s="84" t="n">
        <f aca="false">IF(ISNUMBER(T177),T177,-99)</f>
        <v>14.6976613914027</v>
      </c>
      <c r="W177" s="84" t="n">
        <f aca="false">IF(ISNUMBER(U177),ABS(U177),"")</f>
        <v>0.597661391402747</v>
      </c>
    </row>
    <row r="178" customFormat="false" ht="15" hidden="false" customHeight="false" outlineLevel="0" collapsed="false">
      <c r="A178" s="57" t="n">
        <v>29365</v>
      </c>
      <c r="B178" s="56" t="n">
        <v>1980</v>
      </c>
      <c r="C178" s="56" t="n">
        <v>5</v>
      </c>
      <c r="D178" s="56" t="n">
        <v>24</v>
      </c>
      <c r="E178" s="56" t="n">
        <v>16.6</v>
      </c>
      <c r="F178" s="56" t="n">
        <v>0</v>
      </c>
      <c r="G178" s="56" t="n">
        <v>9.5</v>
      </c>
      <c r="H178" s="56" t="n">
        <v>0</v>
      </c>
      <c r="I178" s="56" t="n">
        <v>11.8</v>
      </c>
      <c r="J178" s="56" t="n">
        <v>0</v>
      </c>
      <c r="K178" s="56" t="n">
        <v>1022.5</v>
      </c>
      <c r="L178" s="56" t="n">
        <v>0</v>
      </c>
      <c r="M178" s="56" t="n">
        <v>74</v>
      </c>
      <c r="N178" s="56" t="n">
        <v>0.3</v>
      </c>
      <c r="O178" s="56" t="n">
        <f aca="false">IF(D178=1,"",E177)</f>
        <v>14.1</v>
      </c>
      <c r="P178" s="56" t="n">
        <f aca="false">IF(OR(D178=1,K177=""),"",K177)</f>
        <v>1024.7</v>
      </c>
      <c r="Q178" s="56" t="n">
        <f aca="false">IF(OR(F178&lt;&gt;0,AND(I178&lt;&gt;"",E178&lt;I178)),1,0)</f>
        <v>0</v>
      </c>
      <c r="R178" s="56" t="n">
        <f aca="false">IF(AND(D178&gt;1,Q178=0,ISNUMBER(O178),ISNUMBER(P178)),IF(Q177=0,1,0),0)</f>
        <v>1</v>
      </c>
      <c r="S178" s="56" t="n">
        <f aca="false">R178*(B178&gt;=Train_Start)*(B178&lt;=Train_End)</f>
        <v>1</v>
      </c>
      <c r="T178" s="84" t="n">
        <f aca="false">IF(AND(ISNUMBER(O178),ISNUMBER(P178)),Coef_A+Coef_B1*O178+Coef_B2*P178,"")</f>
        <v>15.7843890753461</v>
      </c>
      <c r="U178" s="84" t="n">
        <f aca="false">IF(AND(R178=1,ISNUMBER(T178)),E178-T178,"")</f>
        <v>0.815610924653903</v>
      </c>
      <c r="V178" s="84" t="n">
        <f aca="false">IF(ISNUMBER(T178),T178,-99)</f>
        <v>15.7843890753461</v>
      </c>
      <c r="W178" s="84" t="n">
        <f aca="false">IF(ISNUMBER(U178),ABS(U178),"")</f>
        <v>0.815610924653903</v>
      </c>
    </row>
    <row r="179" customFormat="false" ht="15" hidden="false" customHeight="false" outlineLevel="0" collapsed="false">
      <c r="A179" s="57" t="n">
        <v>29366</v>
      </c>
      <c r="B179" s="56" t="n">
        <v>1980</v>
      </c>
      <c r="C179" s="56" t="n">
        <v>5</v>
      </c>
      <c r="D179" s="56" t="n">
        <v>25</v>
      </c>
      <c r="E179" s="56" t="n">
        <v>18.7</v>
      </c>
      <c r="F179" s="56" t="n">
        <v>0</v>
      </c>
      <c r="G179" s="56" t="n">
        <v>9.2</v>
      </c>
      <c r="H179" s="56" t="n">
        <v>0</v>
      </c>
      <c r="I179" s="56" t="n">
        <v>12.9</v>
      </c>
      <c r="J179" s="56" t="n">
        <v>0</v>
      </c>
      <c r="K179" s="56" t="n">
        <v>1017.1</v>
      </c>
      <c r="L179" s="56" t="n">
        <v>0</v>
      </c>
      <c r="M179" s="56" t="n">
        <v>76</v>
      </c>
      <c r="N179" s="56" t="n">
        <v>0.7</v>
      </c>
      <c r="O179" s="56" t="n">
        <f aca="false">IF(D179=1,"",E178)</f>
        <v>16.6</v>
      </c>
      <c r="P179" s="56" t="n">
        <f aca="false">IF(OR(D179=1,K178=""),"",K178)</f>
        <v>1022.5</v>
      </c>
      <c r="Q179" s="56" t="n">
        <f aca="false">IF(OR(F179&lt;&gt;0,AND(I179&lt;&gt;"",E179&lt;I179)),1,0)</f>
        <v>0</v>
      </c>
      <c r="R179" s="56" t="n">
        <f aca="false">IF(AND(D179&gt;1,Q179=0,ISNUMBER(O179),ISNUMBER(P179)),IF(Q178=0,1,0),0)</f>
        <v>1</v>
      </c>
      <c r="S179" s="56" t="n">
        <f aca="false">R179*(B179&gt;=Train_Start)*(B179&lt;=Train_End)</f>
        <v>1</v>
      </c>
      <c r="T179" s="84" t="n">
        <f aca="false">IF(AND(ISNUMBER(O179),ISNUMBER(P179)),Coef_A+Coef_B1*O179+Coef_B2*P179,"")</f>
        <v>17.763723289758</v>
      </c>
      <c r="U179" s="84" t="n">
        <f aca="false">IF(AND(R179=1,ISNUMBER(T179)),E179-T179,"")</f>
        <v>0.93627671024203</v>
      </c>
      <c r="V179" s="84" t="n">
        <f aca="false">IF(ISNUMBER(T179),T179,-99)</f>
        <v>17.763723289758</v>
      </c>
      <c r="W179" s="84" t="n">
        <f aca="false">IF(ISNUMBER(U179),ABS(U179),"")</f>
        <v>0.93627671024203</v>
      </c>
    </row>
    <row r="180" customFormat="false" ht="15" hidden="false" customHeight="false" outlineLevel="0" collapsed="false">
      <c r="A180" s="57" t="n">
        <v>29367</v>
      </c>
      <c r="B180" s="56" t="n">
        <v>1980</v>
      </c>
      <c r="C180" s="56" t="n">
        <v>5</v>
      </c>
      <c r="D180" s="56" t="n">
        <v>26</v>
      </c>
      <c r="E180" s="56" t="n">
        <v>19.5</v>
      </c>
      <c r="F180" s="56" t="n">
        <v>0</v>
      </c>
      <c r="G180" s="56" t="n">
        <v>8.4</v>
      </c>
      <c r="H180" s="56" t="n">
        <v>0</v>
      </c>
      <c r="I180" s="56" t="n">
        <v>13.6</v>
      </c>
      <c r="J180" s="56" t="n">
        <v>0</v>
      </c>
      <c r="K180" s="56" t="n">
        <v>1013.7</v>
      </c>
      <c r="L180" s="56" t="n">
        <v>0</v>
      </c>
      <c r="M180" s="56" t="n">
        <v>72</v>
      </c>
      <c r="N180" s="56" t="n">
        <v>8.8</v>
      </c>
      <c r="O180" s="56" t="n">
        <f aca="false">IF(D180=1,"",E179)</f>
        <v>18.7</v>
      </c>
      <c r="P180" s="56" t="n">
        <f aca="false">IF(OR(D180=1,K179=""),"",K179)</f>
        <v>1017.1</v>
      </c>
      <c r="Q180" s="56" t="n">
        <f aca="false">IF(OR(F180&lt;&gt;0,AND(I180&lt;&gt;"",E180&lt;I180)),1,0)</f>
        <v>0</v>
      </c>
      <c r="R180" s="56" t="n">
        <f aca="false">IF(AND(D180&gt;1,Q180=0,ISNUMBER(O180),ISNUMBER(P180)),IF(Q179=0,1,0),0)</f>
        <v>1</v>
      </c>
      <c r="S180" s="56" t="n">
        <f aca="false">R180*(B180&gt;=Train_Start)*(B180&lt;=Train_End)</f>
        <v>1</v>
      </c>
      <c r="T180" s="84" t="n">
        <f aca="false">IF(AND(ISNUMBER(O180),ISNUMBER(P180)),Coef_A+Coef_B1*O180+Coef_B2*P180,"")</f>
        <v>19.314938164124</v>
      </c>
      <c r="U180" s="84" t="n">
        <f aca="false">IF(AND(R180=1,ISNUMBER(T180)),E180-T180,"")</f>
        <v>0.185061835875992</v>
      </c>
      <c r="V180" s="84" t="n">
        <f aca="false">IF(ISNUMBER(T180),T180,-99)</f>
        <v>19.314938164124</v>
      </c>
      <c r="W180" s="84" t="n">
        <f aca="false">IF(ISNUMBER(U180),ABS(U180),"")</f>
        <v>0.185061835875992</v>
      </c>
    </row>
    <row r="181" customFormat="false" ht="15" hidden="false" customHeight="false" outlineLevel="0" collapsed="false">
      <c r="A181" s="57" t="n">
        <v>29368</v>
      </c>
      <c r="B181" s="56" t="n">
        <v>1980</v>
      </c>
      <c r="C181" s="56" t="n">
        <v>5</v>
      </c>
      <c r="D181" s="56" t="n">
        <v>27</v>
      </c>
      <c r="E181" s="56" t="n">
        <v>18.4</v>
      </c>
      <c r="F181" s="56" t="n">
        <v>0</v>
      </c>
      <c r="G181" s="56" t="n">
        <v>9.1</v>
      </c>
      <c r="H181" s="56" t="n">
        <v>0</v>
      </c>
      <c r="I181" s="56" t="n">
        <v>14.3</v>
      </c>
      <c r="J181" s="56" t="n">
        <v>0</v>
      </c>
      <c r="K181" s="56" t="n">
        <v>1010.3</v>
      </c>
      <c r="L181" s="56" t="n">
        <v>0</v>
      </c>
      <c r="M181" s="56" t="n">
        <v>70</v>
      </c>
      <c r="N181" s="56" t="n">
        <v>6.6</v>
      </c>
      <c r="O181" s="56" t="n">
        <f aca="false">IF(D181=1,"",E180)</f>
        <v>19.5</v>
      </c>
      <c r="P181" s="56" t="n">
        <f aca="false">IF(OR(D181=1,K180=""),"",K180)</f>
        <v>1013.7</v>
      </c>
      <c r="Q181" s="56" t="n">
        <f aca="false">IF(OR(F181&lt;&gt;0,AND(I181&lt;&gt;"",E181&lt;I181)),1,0)</f>
        <v>0</v>
      </c>
      <c r="R181" s="56" t="n">
        <f aca="false">IF(AND(D181&gt;1,Q181=0,ISNUMBER(O181),ISNUMBER(P181)),IF(Q180=0,1,0),0)</f>
        <v>1</v>
      </c>
      <c r="S181" s="56" t="n">
        <f aca="false">R181*(B181&gt;=Train_Start)*(B181&lt;=Train_End)</f>
        <v>1</v>
      </c>
      <c r="T181" s="84" t="n">
        <f aca="false">IF(AND(ISNUMBER(O181),ISNUMBER(P181)),Coef_A+Coef_B1*O181+Coef_B2*P181,"")</f>
        <v>19.8637518768026</v>
      </c>
      <c r="U181" s="84" t="n">
        <f aca="false">IF(AND(R181=1,ISNUMBER(T181)),E181-T181,"")</f>
        <v>-1.46375187680257</v>
      </c>
      <c r="V181" s="84" t="n">
        <f aca="false">IF(ISNUMBER(T181),T181,-99)</f>
        <v>19.8637518768026</v>
      </c>
      <c r="W181" s="84" t="n">
        <f aca="false">IF(ISNUMBER(U181),ABS(U181),"")</f>
        <v>1.46375187680257</v>
      </c>
    </row>
    <row r="182" customFormat="false" ht="15" hidden="false" customHeight="false" outlineLevel="0" collapsed="false">
      <c r="A182" s="57" t="n">
        <v>29369</v>
      </c>
      <c r="B182" s="56" t="n">
        <v>1980</v>
      </c>
      <c r="C182" s="56" t="n">
        <v>5</v>
      </c>
      <c r="D182" s="56" t="n">
        <v>28</v>
      </c>
      <c r="E182" s="56" t="n">
        <v>14.9</v>
      </c>
      <c r="F182" s="56" t="n">
        <v>0</v>
      </c>
      <c r="G182" s="56" t="n">
        <v>7.4</v>
      </c>
      <c r="H182" s="56" t="n">
        <v>0</v>
      </c>
      <c r="I182" s="56" t="n">
        <v>12.9</v>
      </c>
      <c r="J182" s="56" t="n">
        <v>0</v>
      </c>
      <c r="K182" s="56" t="n">
        <v>1005.4</v>
      </c>
      <c r="L182" s="56" t="n">
        <v>0</v>
      </c>
      <c r="M182" s="56" t="n">
        <v>73</v>
      </c>
      <c r="N182" s="56" t="n">
        <v>7</v>
      </c>
      <c r="O182" s="56" t="n">
        <f aca="false">IF(D182=1,"",E181)</f>
        <v>18.4</v>
      </c>
      <c r="P182" s="56" t="n">
        <f aca="false">IF(OR(D182=1,K181=""),"",K181)</f>
        <v>1010.3</v>
      </c>
      <c r="Q182" s="56" t="n">
        <f aca="false">IF(OR(F182&lt;&gt;0,AND(I182&lt;&gt;"",E182&lt;I182)),1,0)</f>
        <v>0</v>
      </c>
      <c r="R182" s="56" t="n">
        <f aca="false">IF(AND(D182&gt;1,Q182=0,ISNUMBER(O182),ISNUMBER(P182)),IF(Q181=0,1,0),0)</f>
        <v>1</v>
      </c>
      <c r="S182" s="56" t="n">
        <f aca="false">R182*(B182&gt;=Train_Start)*(B182&lt;=Train_End)</f>
        <v>1</v>
      </c>
      <c r="T182" s="84" t="n">
        <f aca="false">IF(AND(ISNUMBER(O182),ISNUMBER(P182)),Coef_A+Coef_B1*O182+Coef_B2*P182,"")</f>
        <v>18.8558211227001</v>
      </c>
      <c r="U182" s="84" t="n">
        <f aca="false">IF(AND(R182=1,ISNUMBER(T182)),E182-T182,"")</f>
        <v>-3.95582112270008</v>
      </c>
      <c r="V182" s="84" t="n">
        <f aca="false">IF(ISNUMBER(T182),T182,-99)</f>
        <v>18.8558211227001</v>
      </c>
      <c r="W182" s="84" t="n">
        <f aca="false">IF(ISNUMBER(U182),ABS(U182),"")</f>
        <v>3.95582112270008</v>
      </c>
    </row>
    <row r="183" customFormat="false" ht="15" hidden="false" customHeight="false" outlineLevel="0" collapsed="false">
      <c r="A183" s="57" t="n">
        <v>29370</v>
      </c>
      <c r="B183" s="56" t="n">
        <v>1980</v>
      </c>
      <c r="C183" s="56" t="n">
        <v>5</v>
      </c>
      <c r="D183" s="56" t="n">
        <v>29</v>
      </c>
      <c r="E183" s="56" t="n">
        <v>16.6</v>
      </c>
      <c r="F183" s="56" t="n">
        <v>0</v>
      </c>
      <c r="G183" s="56" t="n">
        <v>8.9</v>
      </c>
      <c r="H183" s="56" t="n">
        <v>0</v>
      </c>
      <c r="I183" s="56" t="n">
        <v>11.9</v>
      </c>
      <c r="J183" s="56" t="n">
        <v>0</v>
      </c>
      <c r="K183" s="56" t="n">
        <v>1005.2</v>
      </c>
      <c r="L183" s="56" t="n">
        <v>0</v>
      </c>
      <c r="M183" s="56" t="n">
        <v>68</v>
      </c>
      <c r="N183" s="56" t="n">
        <v>3.1</v>
      </c>
      <c r="O183" s="56" t="n">
        <f aca="false">IF(D183=1,"",E182)</f>
        <v>14.9</v>
      </c>
      <c r="P183" s="56" t="n">
        <f aca="false">IF(OR(D183=1,K182=""),"",K182)</f>
        <v>1005.4</v>
      </c>
      <c r="Q183" s="56" t="n">
        <f aca="false">IF(OR(F183&lt;&gt;0,AND(I183&lt;&gt;"",E183&lt;I183)),1,0)</f>
        <v>0</v>
      </c>
      <c r="R183" s="56" t="n">
        <f aca="false">IF(AND(D183&gt;1,Q183=0,ISNUMBER(O183),ISNUMBER(P183)),IF(Q182=0,1,0),0)</f>
        <v>1</v>
      </c>
      <c r="S183" s="56" t="n">
        <f aca="false">R183*(B183&gt;=Train_Start)*(B183&lt;=Train_End)</f>
        <v>1</v>
      </c>
      <c r="T183" s="84" t="n">
        <f aca="false">IF(AND(ISNUMBER(O183),ISNUMBER(P183)),Coef_A+Coef_B1*O183+Coef_B2*P183,"")</f>
        <v>15.8344214633442</v>
      </c>
      <c r="U183" s="84" t="n">
        <f aca="false">IF(AND(R183=1,ISNUMBER(T183)),E183-T183,"")</f>
        <v>0.76557853665577</v>
      </c>
      <c r="V183" s="84" t="n">
        <f aca="false">IF(ISNUMBER(T183),T183,-99)</f>
        <v>15.8344214633442</v>
      </c>
      <c r="W183" s="84" t="n">
        <f aca="false">IF(ISNUMBER(U183),ABS(U183),"")</f>
        <v>0.76557853665577</v>
      </c>
    </row>
    <row r="184" customFormat="false" ht="15" hidden="false" customHeight="false" outlineLevel="0" collapsed="false">
      <c r="A184" s="57" t="n">
        <v>29371</v>
      </c>
      <c r="B184" s="56" t="n">
        <v>1980</v>
      </c>
      <c r="C184" s="56" t="n">
        <v>5</v>
      </c>
      <c r="D184" s="56" t="n">
        <v>30</v>
      </c>
      <c r="E184" s="56" t="n">
        <v>12.2</v>
      </c>
      <c r="F184" s="56" t="n">
        <v>0</v>
      </c>
      <c r="G184" s="56" t="n">
        <v>3.9</v>
      </c>
      <c r="H184" s="56" t="n">
        <v>0</v>
      </c>
      <c r="I184" s="56" t="n">
        <v>10.2</v>
      </c>
      <c r="J184" s="56" t="n">
        <v>0</v>
      </c>
      <c r="K184" s="56" t="n">
        <v>1009.6</v>
      </c>
      <c r="L184" s="56" t="n">
        <v>0</v>
      </c>
      <c r="M184" s="56" t="n">
        <v>61</v>
      </c>
      <c r="N184" s="56" t="n">
        <v>9.9</v>
      </c>
      <c r="O184" s="56" t="n">
        <f aca="false">IF(D184=1,"",E183)</f>
        <v>16.6</v>
      </c>
      <c r="P184" s="56" t="n">
        <f aca="false">IF(OR(D184=1,K183=""),"",K183)</f>
        <v>1005.2</v>
      </c>
      <c r="Q184" s="56" t="n">
        <f aca="false">IF(OR(F184&lt;&gt;0,AND(I184&lt;&gt;"",E184&lt;I184)),1,0)</f>
        <v>0</v>
      </c>
      <c r="R184" s="56" t="n">
        <f aca="false">IF(AND(D184&gt;1,Q184=0,ISNUMBER(O184),ISNUMBER(P184)),IF(Q183=0,1,0),0)</f>
        <v>1</v>
      </c>
      <c r="S184" s="56" t="n">
        <f aca="false">R184*(B184&gt;=Train_Start)*(B184&lt;=Train_End)</f>
        <v>1</v>
      </c>
      <c r="T184" s="84" t="n">
        <f aca="false">IF(AND(ISNUMBER(O184),ISNUMBER(P184)),Coef_A+Coef_B1*O184+Coef_B2*P184,"")</f>
        <v>17.22102411259</v>
      </c>
      <c r="U184" s="84" t="n">
        <f aca="false">IF(AND(R184=1,ISNUMBER(T184)),E184-T184,"")</f>
        <v>-5.02102411258995</v>
      </c>
      <c r="V184" s="84" t="n">
        <f aca="false">IF(ISNUMBER(T184),T184,-99)</f>
        <v>17.22102411259</v>
      </c>
      <c r="W184" s="84" t="n">
        <f aca="false">IF(ISNUMBER(U184),ABS(U184),"")</f>
        <v>5.02102411258995</v>
      </c>
    </row>
    <row r="185" customFormat="false" ht="15" hidden="false" customHeight="false" outlineLevel="0" collapsed="false">
      <c r="A185" s="57" t="n">
        <v>29372</v>
      </c>
      <c r="B185" s="56" t="n">
        <v>1980</v>
      </c>
      <c r="C185" s="56" t="n">
        <v>5</v>
      </c>
      <c r="D185" s="56" t="n">
        <v>31</v>
      </c>
      <c r="E185" s="56" t="n">
        <v>17.9</v>
      </c>
      <c r="F185" s="56" t="n">
        <v>0</v>
      </c>
      <c r="G185" s="56" t="n">
        <v>8.3</v>
      </c>
      <c r="H185" s="56" t="n">
        <v>0</v>
      </c>
      <c r="I185" s="56" t="n">
        <v>10.2</v>
      </c>
      <c r="J185" s="56" t="n">
        <v>0</v>
      </c>
      <c r="K185" s="56" t="n">
        <v>1004.6</v>
      </c>
      <c r="L185" s="56" t="n">
        <v>0</v>
      </c>
      <c r="M185" s="56" t="n">
        <v>89</v>
      </c>
      <c r="N185" s="56" t="n">
        <v>0</v>
      </c>
      <c r="O185" s="56" t="n">
        <f aca="false">IF(D185=1,"",E184)</f>
        <v>12.2</v>
      </c>
      <c r="P185" s="56" t="n">
        <f aca="false">IF(OR(D185=1,K184=""),"",K184)</f>
        <v>1009.6</v>
      </c>
      <c r="Q185" s="56" t="n">
        <f aca="false">IF(OR(F185&lt;&gt;0,AND(I185&lt;&gt;"",E185&lt;I185)),1,0)</f>
        <v>0</v>
      </c>
      <c r="R185" s="56" t="n">
        <f aca="false">IF(AND(D185&gt;1,Q185=0,ISNUMBER(O185),ISNUMBER(P185)),IF(Q184=0,1,0),0)</f>
        <v>1</v>
      </c>
      <c r="S185" s="56" t="n">
        <f aca="false">R185*(B185&gt;=Train_Start)*(B185&lt;=Train_End)</f>
        <v>1</v>
      </c>
      <c r="T185" s="84" t="n">
        <f aca="false">IF(AND(ISNUMBER(O185),ISNUMBER(P185)),Coef_A+Coef_B1*O185+Coef_B2*P185,"")</f>
        <v>13.7539591995918</v>
      </c>
      <c r="U185" s="84" t="n">
        <f aca="false">IF(AND(R185=1,ISNUMBER(T185)),E185-T185,"")</f>
        <v>4.14604080040819</v>
      </c>
      <c r="V185" s="84" t="n">
        <f aca="false">IF(ISNUMBER(T185),T185,-99)</f>
        <v>13.7539591995918</v>
      </c>
      <c r="W185" s="84" t="n">
        <f aca="false">IF(ISNUMBER(U185),ABS(U185),"")</f>
        <v>4.14604080040819</v>
      </c>
    </row>
    <row r="186" customFormat="false" ht="15" hidden="false" customHeight="false" outlineLevel="0" collapsed="false">
      <c r="A186" s="57" t="n">
        <v>29373</v>
      </c>
      <c r="B186" s="56" t="n">
        <v>1980</v>
      </c>
      <c r="C186" s="56" t="n">
        <v>6</v>
      </c>
      <c r="D186" s="56" t="n">
        <v>32</v>
      </c>
      <c r="E186" s="56" t="n">
        <v>18</v>
      </c>
      <c r="F186" s="56" t="n">
        <v>0</v>
      </c>
      <c r="G186" s="56" t="n">
        <v>9.1</v>
      </c>
      <c r="H186" s="56" t="n">
        <v>0</v>
      </c>
      <c r="I186" s="56" t="n">
        <v>13.5</v>
      </c>
      <c r="J186" s="56" t="n">
        <v>0</v>
      </c>
      <c r="K186" s="56" t="n">
        <v>1016.3</v>
      </c>
      <c r="L186" s="56" t="n">
        <v>0</v>
      </c>
      <c r="M186" s="56" t="n">
        <v>75</v>
      </c>
      <c r="N186" s="56" t="n">
        <v>4.5</v>
      </c>
      <c r="O186" s="56" t="n">
        <f aca="false">IF(D186=1,"",E185)</f>
        <v>17.9</v>
      </c>
      <c r="P186" s="56" t="n">
        <f aca="false">IF(OR(D186=1,K185=""),"",K185)</f>
        <v>1004.6</v>
      </c>
      <c r="Q186" s="56" t="n">
        <f aca="false">IF(OR(F186&lt;&gt;0,AND(I186&lt;&gt;"",E186&lt;I186)),1,0)</f>
        <v>0</v>
      </c>
      <c r="R186" s="56" t="n">
        <f aca="false">IF(AND(D186&gt;1,Q186=0,ISNUMBER(O186),ISNUMBER(P186)),IF(Q185=0,1,0),0)</f>
        <v>1</v>
      </c>
      <c r="S186" s="56" t="n">
        <f aca="false">R186*(B186&gt;=Train_Start)*(B186&lt;=Train_End)</f>
        <v>1</v>
      </c>
      <c r="T186" s="84" t="n">
        <f aca="false">IF(AND(ISNUMBER(O186),ISNUMBER(P186)),Coef_A+Coef_B1*O186+Coef_B2*P186,"")</f>
        <v>18.267343126765</v>
      </c>
      <c r="U186" s="84" t="n">
        <f aca="false">IF(AND(R186=1,ISNUMBER(T186)),E186-T186,"")</f>
        <v>-0.267343126765013</v>
      </c>
      <c r="V186" s="84" t="n">
        <f aca="false">IF(ISNUMBER(T186),T186,-99)</f>
        <v>18.267343126765</v>
      </c>
      <c r="W186" s="84" t="n">
        <f aca="false">IF(ISNUMBER(U186),ABS(U186),"")</f>
        <v>0.267343126765013</v>
      </c>
    </row>
    <row r="187" customFormat="false" ht="15" hidden="false" customHeight="false" outlineLevel="0" collapsed="false">
      <c r="A187" s="57" t="n">
        <v>29374</v>
      </c>
      <c r="B187" s="56" t="n">
        <v>1980</v>
      </c>
      <c r="C187" s="56" t="n">
        <v>6</v>
      </c>
      <c r="D187" s="56" t="n">
        <v>33</v>
      </c>
      <c r="E187" s="56" t="n">
        <v>25.6</v>
      </c>
      <c r="F187" s="56" t="n">
        <v>0</v>
      </c>
      <c r="G187" s="56" t="n">
        <v>9.6</v>
      </c>
      <c r="H187" s="56" t="n">
        <v>0</v>
      </c>
      <c r="I187" s="56" t="n">
        <v>13.8</v>
      </c>
      <c r="J187" s="56" t="n">
        <v>0</v>
      </c>
      <c r="K187" s="56" t="n">
        <v>1024.5</v>
      </c>
      <c r="L187" s="56" t="n">
        <v>0</v>
      </c>
      <c r="M187" s="56" t="n">
        <v>79</v>
      </c>
      <c r="N187" s="56" t="n">
        <v>0</v>
      </c>
      <c r="O187" s="56" t="n">
        <f aca="false">IF(D187=1,"",E186)</f>
        <v>18</v>
      </c>
      <c r="P187" s="56" t="n">
        <f aca="false">IF(OR(D187=1,K186=""),"",K186)</f>
        <v>1016.3</v>
      </c>
      <c r="Q187" s="56" t="n">
        <f aca="false">IF(OR(F187&lt;&gt;0,AND(I187&lt;&gt;"",E187&lt;I187)),1,0)</f>
        <v>0</v>
      </c>
      <c r="R187" s="56" t="n">
        <f aca="false">IF(AND(D187&gt;1,Q187=0,ISNUMBER(O187),ISNUMBER(P187)),IF(Q186=0,1,0),0)</f>
        <v>1</v>
      </c>
      <c r="S187" s="56" t="n">
        <f aca="false">R187*(B187&gt;=Train_Start)*(B187&lt;=Train_End)</f>
        <v>1</v>
      </c>
      <c r="T187" s="84" t="n">
        <f aca="false">IF(AND(ISNUMBER(O187),ISNUMBER(P187)),Coef_A+Coef_B1*O187+Coef_B2*P187,"")</f>
        <v>18.716304813287</v>
      </c>
      <c r="U187" s="84" t="n">
        <f aca="false">IF(AND(R187=1,ISNUMBER(T187)),E187-T187,"")</f>
        <v>6.88369518671305</v>
      </c>
      <c r="V187" s="84" t="n">
        <f aca="false">IF(ISNUMBER(T187),T187,-99)</f>
        <v>18.716304813287</v>
      </c>
      <c r="W187" s="84" t="n">
        <f aca="false">IF(ISNUMBER(U187),ABS(U187),"")</f>
        <v>6.88369518671305</v>
      </c>
    </row>
    <row r="188" customFormat="false" ht="15" hidden="false" customHeight="false" outlineLevel="0" collapsed="false">
      <c r="A188" s="57" t="n">
        <v>29375</v>
      </c>
      <c r="B188" s="56" t="n">
        <v>1980</v>
      </c>
      <c r="C188" s="56" t="n">
        <v>6</v>
      </c>
      <c r="D188" s="56" t="n">
        <v>34</v>
      </c>
      <c r="E188" s="56" t="n">
        <v>29</v>
      </c>
      <c r="F188" s="56" t="n">
        <v>0</v>
      </c>
      <c r="G188" s="56" t="n">
        <v>13.6</v>
      </c>
      <c r="H188" s="56" t="n">
        <v>0</v>
      </c>
      <c r="I188" s="56" t="n">
        <v>19.6</v>
      </c>
      <c r="J188" s="56" t="n">
        <v>0</v>
      </c>
      <c r="K188" s="56" t="n">
        <v>1025.5</v>
      </c>
      <c r="L188" s="56" t="n">
        <v>0</v>
      </c>
      <c r="M188" s="56" t="n">
        <v>69</v>
      </c>
      <c r="N188" s="56" t="n">
        <v>11.5</v>
      </c>
      <c r="O188" s="56" t="n">
        <f aca="false">IF(D188=1,"",E187)</f>
        <v>25.6</v>
      </c>
      <c r="P188" s="56" t="n">
        <f aca="false">IF(OR(D188=1,K187=""),"",K187)</f>
        <v>1024.5</v>
      </c>
      <c r="Q188" s="56" t="n">
        <f aca="false">IF(OR(F188&lt;&gt;0,AND(I188&lt;&gt;"",E188&lt;I188)),1,0)</f>
        <v>0</v>
      </c>
      <c r="R188" s="56" t="n">
        <f aca="false">IF(AND(D188&gt;1,Q188=0,ISNUMBER(O188),ISNUMBER(P188)),IF(Q187=0,1,0),0)</f>
        <v>1</v>
      </c>
      <c r="S188" s="56" t="n">
        <f aca="false">R188*(B188&gt;=Train_Start)*(B188&lt;=Train_End)</f>
        <v>1</v>
      </c>
      <c r="T188" s="84" t="n">
        <f aca="false">IF(AND(ISNUMBER(O188),ISNUMBER(P188)),Coef_A+Coef_B1*O188+Coef_B2*P188,"")</f>
        <v>25.2005158164099</v>
      </c>
      <c r="U188" s="84" t="n">
        <f aca="false">IF(AND(R188=1,ISNUMBER(T188)),E188-T188,"")</f>
        <v>3.79948418359014</v>
      </c>
      <c r="V188" s="84" t="n">
        <f aca="false">IF(ISNUMBER(T188),T188,-99)</f>
        <v>25.2005158164099</v>
      </c>
      <c r="W188" s="84" t="n">
        <f aca="false">IF(ISNUMBER(U188),ABS(U188),"")</f>
        <v>3.79948418359014</v>
      </c>
    </row>
    <row r="189" customFormat="false" ht="15" hidden="false" customHeight="false" outlineLevel="0" collapsed="false">
      <c r="A189" s="57" t="n">
        <v>29376</v>
      </c>
      <c r="B189" s="56" t="n">
        <v>1980</v>
      </c>
      <c r="C189" s="56" t="n">
        <v>6</v>
      </c>
      <c r="D189" s="56" t="n">
        <v>35</v>
      </c>
      <c r="E189" s="56" t="n">
        <v>27</v>
      </c>
      <c r="F189" s="56" t="n">
        <v>0</v>
      </c>
      <c r="G189" s="56" t="n">
        <v>14.6</v>
      </c>
      <c r="H189" s="56" t="n">
        <v>0</v>
      </c>
      <c r="I189" s="56" t="n">
        <v>21.8</v>
      </c>
      <c r="J189" s="56" t="n">
        <v>0</v>
      </c>
      <c r="K189" s="56" t="n">
        <v>1023.3</v>
      </c>
      <c r="L189" s="56" t="n">
        <v>0</v>
      </c>
      <c r="M189" s="56" t="n">
        <v>64</v>
      </c>
      <c r="N189" s="56" t="n">
        <v>10.2</v>
      </c>
      <c r="O189" s="56" t="n">
        <f aca="false">IF(D189=1,"",E188)</f>
        <v>29</v>
      </c>
      <c r="P189" s="56" t="n">
        <f aca="false">IF(OR(D189=1,K188=""),"",K188)</f>
        <v>1025.5</v>
      </c>
      <c r="Q189" s="56" t="n">
        <f aca="false">IF(OR(F189&lt;&gt;0,AND(I189&lt;&gt;"",E189&lt;I189)),1,0)</f>
        <v>0</v>
      </c>
      <c r="R189" s="56" t="n">
        <f aca="false">IF(AND(D189&gt;1,Q189=0,ISNUMBER(O189),ISNUMBER(P189)),IF(Q188=0,1,0),0)</f>
        <v>1</v>
      </c>
      <c r="S189" s="56" t="n">
        <f aca="false">R189*(B189&gt;=Train_Start)*(B189&lt;=Train_End)</f>
        <v>1</v>
      </c>
      <c r="T189" s="84" t="n">
        <f aca="false">IF(AND(ISNUMBER(O189),ISNUMBER(P189)),Coef_A+Coef_B1*O189+Coef_B2*P189,"")</f>
        <v>28.0176389673889</v>
      </c>
      <c r="U189" s="84" t="n">
        <f aca="false">IF(AND(R189=1,ISNUMBER(T189)),E189-T189,"")</f>
        <v>-1.01763896738889</v>
      </c>
      <c r="V189" s="84" t="n">
        <f aca="false">IF(ISNUMBER(T189),T189,-99)</f>
        <v>28.0176389673889</v>
      </c>
      <c r="W189" s="84" t="n">
        <f aca="false">IF(ISNUMBER(U189),ABS(U189),"")</f>
        <v>1.01763896738889</v>
      </c>
    </row>
    <row r="190" customFormat="false" ht="15" hidden="false" customHeight="false" outlineLevel="0" collapsed="false">
      <c r="A190" s="57" t="n">
        <v>29377</v>
      </c>
      <c r="B190" s="56" t="n">
        <v>1980</v>
      </c>
      <c r="C190" s="56" t="n">
        <v>6</v>
      </c>
      <c r="D190" s="56" t="n">
        <v>36</v>
      </c>
      <c r="E190" s="56" t="n">
        <v>21.1</v>
      </c>
      <c r="F190" s="56" t="n">
        <v>1</v>
      </c>
      <c r="G190" s="56" t="n">
        <v>17</v>
      </c>
      <c r="H190" s="56" t="n">
        <v>0</v>
      </c>
      <c r="I190" s="56" t="n">
        <v>22</v>
      </c>
      <c r="J190" s="56" t="n">
        <v>1</v>
      </c>
      <c r="K190" s="56" t="n">
        <v>1017.8</v>
      </c>
      <c r="L190" s="56" t="n">
        <v>0</v>
      </c>
      <c r="M190" s="56" t="n">
        <v>67</v>
      </c>
      <c r="N190" s="56" t="n">
        <v>9.6</v>
      </c>
      <c r="O190" s="56" t="n">
        <f aca="false">IF(D190=1,"",E189)</f>
        <v>27</v>
      </c>
      <c r="P190" s="56" t="n">
        <f aca="false">IF(OR(D190=1,K189=""),"",K189)</f>
        <v>1023.3</v>
      </c>
      <c r="Q190" s="56" t="n">
        <f aca="false">IF(OR(F190&lt;&gt;0,AND(I190&lt;&gt;"",E190&lt;I190)),1,0)</f>
        <v>1</v>
      </c>
      <c r="R190" s="56" t="n">
        <f aca="false">IF(AND(D190&gt;1,Q190=0,ISNUMBER(O190),ISNUMBER(P190)),IF(Q189=0,1,0),0)</f>
        <v>0</v>
      </c>
      <c r="S190" s="56" t="n">
        <f aca="false">R190*(B190&gt;=Train_Start)*(B190&lt;=Train_End)</f>
        <v>0</v>
      </c>
      <c r="T190" s="84" t="n">
        <f aca="false">IF(AND(ISNUMBER(O190),ISNUMBER(P190)),Coef_A+Coef_B1*O190+Coef_B2*P190,"")</f>
        <v>26.3099468131088</v>
      </c>
      <c r="U190" s="84" t="str">
        <f aca="false">IF(AND(R190=1,ISNUMBER(T190)),E190-T190,"")</f>
        <v/>
      </c>
      <c r="V190" s="84" t="n">
        <f aca="false">IF(ISNUMBER(T190),T190,-99)</f>
        <v>26.3099468131088</v>
      </c>
      <c r="W190" s="84" t="str">
        <f aca="false">IF(ISNUMBER(U190),ABS(U190),"")</f>
        <v/>
      </c>
    </row>
    <row r="191" customFormat="false" ht="15" hidden="false" customHeight="false" outlineLevel="0" collapsed="false">
      <c r="A191" s="57" t="n">
        <v>29378</v>
      </c>
      <c r="B191" s="56" t="n">
        <v>1980</v>
      </c>
      <c r="C191" s="56" t="n">
        <v>6</v>
      </c>
      <c r="D191" s="56" t="n">
        <v>37</v>
      </c>
      <c r="E191" s="56" t="n">
        <v>19.7</v>
      </c>
      <c r="F191" s="56" t="n">
        <v>0</v>
      </c>
      <c r="G191" s="56" t="n">
        <v>9.9</v>
      </c>
      <c r="H191" s="56" t="n">
        <v>0</v>
      </c>
      <c r="I191" s="56" t="n">
        <v>15.5</v>
      </c>
      <c r="J191" s="56" t="n">
        <v>0</v>
      </c>
      <c r="K191" s="56" t="n">
        <v>1017.8</v>
      </c>
      <c r="L191" s="56" t="n">
        <v>0</v>
      </c>
      <c r="M191" s="56" t="n">
        <v>61</v>
      </c>
      <c r="N191" s="56" t="n">
        <v>12.8</v>
      </c>
      <c r="O191" s="56" t="n">
        <f aca="false">IF(D191=1,"",E190)</f>
        <v>21.1</v>
      </c>
      <c r="P191" s="56" t="n">
        <f aca="false">IF(OR(D191=1,K190=""),"",K190)</f>
        <v>1017.8</v>
      </c>
      <c r="Q191" s="56" t="n">
        <f aca="false">IF(OR(F191&lt;&gt;0,AND(I191&lt;&gt;"",E191&lt;I191)),1,0)</f>
        <v>0</v>
      </c>
      <c r="R191" s="56" t="n">
        <f aca="false">IF(AND(D191&gt;1,Q191=0,ISNUMBER(O191),ISNUMBER(P191)),IF(Q190=0,1,0),0)</f>
        <v>0</v>
      </c>
      <c r="S191" s="56" t="n">
        <f aca="false">R191*(B191&gt;=Train_Start)*(B191&lt;=Train_End)</f>
        <v>0</v>
      </c>
      <c r="T191" s="84" t="n">
        <f aca="false">IF(AND(ISNUMBER(O191),ISNUMBER(P191)),Coef_A+Coef_B1*O191+Coef_B2*P191,"")</f>
        <v>21.3033111536702</v>
      </c>
      <c r="U191" s="84" t="str">
        <f aca="false">IF(AND(R191=1,ISNUMBER(T191)),E191-T191,"")</f>
        <v/>
      </c>
      <c r="V191" s="84" t="n">
        <f aca="false">IF(ISNUMBER(T191),T191,-99)</f>
        <v>21.3033111536702</v>
      </c>
      <c r="W191" s="84" t="str">
        <f aca="false">IF(ISNUMBER(U191),ABS(U191),"")</f>
        <v/>
      </c>
    </row>
    <row r="192" customFormat="false" ht="15" hidden="false" customHeight="false" outlineLevel="0" collapsed="false">
      <c r="A192" s="57" t="n">
        <v>29379</v>
      </c>
      <c r="B192" s="56" t="n">
        <v>1980</v>
      </c>
      <c r="C192" s="56" t="n">
        <v>6</v>
      </c>
      <c r="D192" s="56" t="n">
        <v>38</v>
      </c>
      <c r="E192" s="56" t="n">
        <v>19.1</v>
      </c>
      <c r="F192" s="56" t="n">
        <v>0</v>
      </c>
      <c r="G192" s="56" t="n">
        <v>8.1</v>
      </c>
      <c r="H192" s="56" t="n">
        <v>0</v>
      </c>
      <c r="I192" s="56" t="n">
        <v>13.9</v>
      </c>
      <c r="J192" s="56" t="n">
        <v>0</v>
      </c>
      <c r="K192" s="56" t="n">
        <v>1014.9</v>
      </c>
      <c r="L192" s="56" t="n">
        <v>0</v>
      </c>
      <c r="M192" s="56" t="n">
        <v>71</v>
      </c>
      <c r="N192" s="56" t="n">
        <v>8.4</v>
      </c>
      <c r="O192" s="56" t="n">
        <f aca="false">IF(D192=1,"",E191)</f>
        <v>19.7</v>
      </c>
      <c r="P192" s="56" t="n">
        <f aca="false">IF(OR(D192=1,K191=""),"",K191)</f>
        <v>1017.8</v>
      </c>
      <c r="Q192" s="56" t="n">
        <f aca="false">IF(OR(F192&lt;&gt;0,AND(I192&lt;&gt;"",E192&lt;I192)),1,0)</f>
        <v>0</v>
      </c>
      <c r="R192" s="56" t="n">
        <f aca="false">IF(AND(D192&gt;1,Q192=0,ISNUMBER(O192),ISNUMBER(P192)),IF(Q191=0,1,0),0)</f>
        <v>1</v>
      </c>
      <c r="S192" s="56" t="n">
        <f aca="false">R192*(B192&gt;=Train_Start)*(B192&lt;=Train_End)</f>
        <v>1</v>
      </c>
      <c r="T192" s="84" t="n">
        <f aca="false">IF(AND(ISNUMBER(O192),ISNUMBER(P192)),Coef_A+Coef_B1*O192+Coef_B2*P192,"")</f>
        <v>20.1562362834105</v>
      </c>
      <c r="U192" s="84" t="n">
        <f aca="false">IF(AND(R192=1,ISNUMBER(T192)),E192-T192,"")</f>
        <v>-1.05623628341045</v>
      </c>
      <c r="V192" s="84" t="n">
        <f aca="false">IF(ISNUMBER(T192),T192,-99)</f>
        <v>20.1562362834105</v>
      </c>
      <c r="W192" s="84" t="n">
        <f aca="false">IF(ISNUMBER(U192),ABS(U192),"")</f>
        <v>1.05623628341045</v>
      </c>
    </row>
    <row r="193" customFormat="false" ht="15" hidden="false" customHeight="false" outlineLevel="0" collapsed="false">
      <c r="A193" s="57" t="n">
        <v>29380</v>
      </c>
      <c r="B193" s="56" t="n">
        <v>1980</v>
      </c>
      <c r="C193" s="56" t="n">
        <v>6</v>
      </c>
      <c r="D193" s="56" t="n">
        <v>39</v>
      </c>
      <c r="E193" s="56" t="n">
        <v>20.8</v>
      </c>
      <c r="F193" s="56" t="n">
        <v>0</v>
      </c>
      <c r="G193" s="56" t="n">
        <v>8.9</v>
      </c>
      <c r="H193" s="56" t="n">
        <v>0</v>
      </c>
      <c r="I193" s="56" t="n">
        <v>14</v>
      </c>
      <c r="J193" s="56" t="n">
        <v>0</v>
      </c>
      <c r="K193" s="56" t="n">
        <v>1011.2</v>
      </c>
      <c r="L193" s="56" t="n">
        <v>0</v>
      </c>
      <c r="M193" s="56" t="n">
        <v>68</v>
      </c>
      <c r="N193" s="56" t="n">
        <v>7.6</v>
      </c>
      <c r="O193" s="56" t="n">
        <f aca="false">IF(D193=1,"",E192)</f>
        <v>19.1</v>
      </c>
      <c r="P193" s="56" t="n">
        <f aca="false">IF(OR(D193=1,K192=""),"",K192)</f>
        <v>1014.9</v>
      </c>
      <c r="Q193" s="56" t="n">
        <f aca="false">IF(OR(F193&lt;&gt;0,AND(I193&lt;&gt;"",E193&lt;I193)),1,0)</f>
        <v>0</v>
      </c>
      <c r="R193" s="56" t="n">
        <f aca="false">IF(AND(D193&gt;1,Q193=0,ISNUMBER(O193),ISNUMBER(P193)),IF(Q192=0,1,0),0)</f>
        <v>1</v>
      </c>
      <c r="S193" s="56" t="n">
        <f aca="false">R193*(B193&gt;=Train_Start)*(B193&lt;=Train_End)</f>
        <v>1</v>
      </c>
      <c r="T193" s="84" t="n">
        <f aca="false">IF(AND(ISNUMBER(O193),ISNUMBER(P193)),Coef_A+Coef_B1*O193+Coef_B2*P193,"")</f>
        <v>19.5736600731463</v>
      </c>
      <c r="U193" s="84" t="n">
        <f aca="false">IF(AND(R193=1,ISNUMBER(T193)),E193-T193,"")</f>
        <v>1.22633992685371</v>
      </c>
      <c r="V193" s="84" t="n">
        <f aca="false">IF(ISNUMBER(T193),T193,-99)</f>
        <v>19.5736600731463</v>
      </c>
      <c r="W193" s="84" t="n">
        <f aca="false">IF(ISNUMBER(U193),ABS(U193),"")</f>
        <v>1.22633992685371</v>
      </c>
    </row>
    <row r="194" customFormat="false" ht="15" hidden="false" customHeight="false" outlineLevel="0" collapsed="false">
      <c r="A194" s="57" t="n">
        <v>29381</v>
      </c>
      <c r="B194" s="56" t="n">
        <v>1980</v>
      </c>
      <c r="C194" s="56" t="n">
        <v>6</v>
      </c>
      <c r="D194" s="56" t="n">
        <v>40</v>
      </c>
      <c r="E194" s="56" t="n">
        <v>18.3</v>
      </c>
      <c r="F194" s="56" t="n">
        <v>0</v>
      </c>
      <c r="G194" s="56" t="n">
        <v>7.5</v>
      </c>
      <c r="H194" s="56" t="n">
        <v>0</v>
      </c>
      <c r="I194" s="56" t="n">
        <v>14.2</v>
      </c>
      <c r="J194" s="56" t="n">
        <v>0</v>
      </c>
      <c r="K194" s="56" t="n">
        <v>1009.1</v>
      </c>
      <c r="L194" s="56" t="n">
        <v>0</v>
      </c>
      <c r="M194" s="56" t="n">
        <v>64</v>
      </c>
      <c r="N194" s="56" t="n">
        <v>3.5</v>
      </c>
      <c r="O194" s="56" t="n">
        <f aca="false">IF(D194=1,"",E193)</f>
        <v>20.8</v>
      </c>
      <c r="P194" s="56" t="n">
        <f aca="false">IF(OR(D194=1,K193=""),"",K193)</f>
        <v>1011.2</v>
      </c>
      <c r="Q194" s="56" t="n">
        <f aca="false">IF(OR(F194&lt;&gt;0,AND(I194&lt;&gt;"",E194&lt;I194)),1,0)</f>
        <v>0</v>
      </c>
      <c r="R194" s="56" t="n">
        <f aca="false">IF(AND(D194&gt;1,Q194=0,ISNUMBER(O194),ISNUMBER(P194)),IF(Q193=0,1,0),0)</f>
        <v>1</v>
      </c>
      <c r="S194" s="56" t="n">
        <f aca="false">R194*(B194&gt;=Train_Start)*(B194&lt;=Train_End)</f>
        <v>1</v>
      </c>
      <c r="T194" s="84" t="n">
        <f aca="false">IF(AND(ISNUMBER(O194),ISNUMBER(P194)),Coef_A+Coef_B1*O194+Coef_B2*P194,"")</f>
        <v>20.8504680911731</v>
      </c>
      <c r="U194" s="84" t="n">
        <f aca="false">IF(AND(R194=1,ISNUMBER(T194)),E194-T194,"")</f>
        <v>-2.55046809117305</v>
      </c>
      <c r="V194" s="84" t="n">
        <f aca="false">IF(ISNUMBER(T194),T194,-99)</f>
        <v>20.8504680911731</v>
      </c>
      <c r="W194" s="84" t="n">
        <f aca="false">IF(ISNUMBER(U194),ABS(U194),"")</f>
        <v>2.55046809117305</v>
      </c>
    </row>
    <row r="195" customFormat="false" ht="15" hidden="false" customHeight="false" outlineLevel="0" collapsed="false">
      <c r="A195" s="57" t="n">
        <v>29382</v>
      </c>
      <c r="B195" s="56" t="n">
        <v>1980</v>
      </c>
      <c r="C195" s="56" t="n">
        <v>6</v>
      </c>
      <c r="D195" s="56" t="n">
        <v>41</v>
      </c>
      <c r="E195" s="56" t="n">
        <v>18.5</v>
      </c>
      <c r="F195" s="56" t="n">
        <v>0</v>
      </c>
      <c r="G195" s="56" t="n">
        <v>13.4</v>
      </c>
      <c r="H195" s="56" t="n">
        <v>0</v>
      </c>
      <c r="I195" s="56" t="n">
        <v>15.8</v>
      </c>
      <c r="J195" s="56" t="n">
        <v>0</v>
      </c>
      <c r="K195" s="56" t="n">
        <v>1007</v>
      </c>
      <c r="L195" s="56" t="n">
        <v>0</v>
      </c>
      <c r="M195" s="56" t="n">
        <v>86</v>
      </c>
      <c r="N195" s="56" t="n">
        <v>0</v>
      </c>
      <c r="O195" s="56" t="n">
        <f aca="false">IF(D195=1,"",E194)</f>
        <v>18.3</v>
      </c>
      <c r="P195" s="56" t="n">
        <f aca="false">IF(OR(D195=1,K194=""),"",K194)</f>
        <v>1009.1</v>
      </c>
      <c r="Q195" s="56" t="n">
        <f aca="false">IF(OR(F195&lt;&gt;0,AND(I195&lt;&gt;"",E195&lt;I195)),1,0)</f>
        <v>0</v>
      </c>
      <c r="R195" s="56" t="n">
        <f aca="false">IF(AND(D195&gt;1,Q195=0,ISNUMBER(O195),ISNUMBER(P195)),IF(Q194=0,1,0),0)</f>
        <v>1</v>
      </c>
      <c r="S195" s="56" t="n">
        <f aca="false">R195*(B195&gt;=Train_Start)*(B195&lt;=Train_End)</f>
        <v>1</v>
      </c>
      <c r="T195" s="84" t="n">
        <f aca="false">IF(AND(ISNUMBER(O195),ISNUMBER(P195)),Coef_A+Coef_B1*O195+Coef_B2*P195,"")</f>
        <v>18.736243329835</v>
      </c>
      <c r="U195" s="84" t="n">
        <f aca="false">IF(AND(R195=1,ISNUMBER(T195)),E195-T195,"")</f>
        <v>-0.23624332983503</v>
      </c>
      <c r="V195" s="84" t="n">
        <f aca="false">IF(ISNUMBER(T195),T195,-99)</f>
        <v>18.736243329835</v>
      </c>
      <c r="W195" s="84" t="n">
        <f aca="false">IF(ISNUMBER(U195),ABS(U195),"")</f>
        <v>0.23624332983503</v>
      </c>
    </row>
    <row r="196" customFormat="false" ht="15" hidden="false" customHeight="false" outlineLevel="0" collapsed="false">
      <c r="A196" s="57" t="n">
        <v>29383</v>
      </c>
      <c r="B196" s="56" t="n">
        <v>1980</v>
      </c>
      <c r="C196" s="56" t="n">
        <v>6</v>
      </c>
      <c r="D196" s="56" t="n">
        <v>42</v>
      </c>
      <c r="E196" s="56" t="n">
        <v>23.2</v>
      </c>
      <c r="F196" s="56" t="n">
        <v>0</v>
      </c>
      <c r="G196" s="56" t="n">
        <v>12.3</v>
      </c>
      <c r="H196" s="56" t="n">
        <v>0</v>
      </c>
      <c r="I196" s="56" t="n">
        <v>15.4</v>
      </c>
      <c r="J196" s="56" t="n">
        <v>0</v>
      </c>
      <c r="K196" s="56" t="n">
        <v>1007.8</v>
      </c>
      <c r="L196" s="56" t="n">
        <v>0</v>
      </c>
      <c r="M196" s="56" t="n">
        <v>83</v>
      </c>
      <c r="N196" s="56" t="n">
        <v>1.8</v>
      </c>
      <c r="O196" s="56" t="n">
        <f aca="false">IF(D196=1,"",E195)</f>
        <v>18.5</v>
      </c>
      <c r="P196" s="56" t="n">
        <f aca="false">IF(OR(D196=1,K195=""),"",K195)</f>
        <v>1007</v>
      </c>
      <c r="Q196" s="56" t="n">
        <f aca="false">IF(OR(F196&lt;&gt;0,AND(I196&lt;&gt;"",E196&lt;I196)),1,0)</f>
        <v>0</v>
      </c>
      <c r="R196" s="56" t="n">
        <f aca="false">IF(AND(D196&gt;1,Q196=0,ISNUMBER(O196),ISNUMBER(P196)),IF(Q195=0,1,0),0)</f>
        <v>1</v>
      </c>
      <c r="S196" s="56" t="n">
        <f aca="false">R196*(B196&gt;=Train_Start)*(B196&lt;=Train_End)</f>
        <v>1</v>
      </c>
      <c r="T196" s="84" t="n">
        <f aca="false">IF(AND(ISNUMBER(O196),ISNUMBER(P196)),Coef_A+Coef_B1*O196+Coef_B2*P196,"")</f>
        <v>18.8342343897122</v>
      </c>
      <c r="U196" s="84" t="n">
        <f aca="false">IF(AND(R196=1,ISNUMBER(T196)),E196-T196,"")</f>
        <v>4.36576561028782</v>
      </c>
      <c r="V196" s="84" t="n">
        <f aca="false">IF(ISNUMBER(T196),T196,-99)</f>
        <v>18.8342343897122</v>
      </c>
      <c r="W196" s="84" t="n">
        <f aca="false">IF(ISNUMBER(U196),ABS(U196),"")</f>
        <v>4.36576561028782</v>
      </c>
    </row>
    <row r="197" customFormat="false" ht="15" hidden="false" customHeight="false" outlineLevel="0" collapsed="false">
      <c r="A197" s="57" t="n">
        <v>29384</v>
      </c>
      <c r="B197" s="56" t="n">
        <v>1980</v>
      </c>
      <c r="C197" s="56" t="n">
        <v>6</v>
      </c>
      <c r="D197" s="56" t="n">
        <v>43</v>
      </c>
      <c r="E197" s="56" t="n">
        <v>23.5</v>
      </c>
      <c r="F197" s="56" t="n">
        <v>0</v>
      </c>
      <c r="G197" s="56" t="n">
        <v>11.2</v>
      </c>
      <c r="H197" s="56" t="n">
        <v>0</v>
      </c>
      <c r="I197" s="56" t="n">
        <v>17.2</v>
      </c>
      <c r="J197" s="56" t="n">
        <v>0</v>
      </c>
      <c r="K197" s="56" t="n">
        <v>1013.2</v>
      </c>
      <c r="L197" s="56" t="n">
        <v>0</v>
      </c>
      <c r="M197" s="56" t="n">
        <v>68</v>
      </c>
      <c r="N197" s="56" t="n">
        <v>8.3</v>
      </c>
      <c r="O197" s="56" t="n">
        <f aca="false">IF(D197=1,"",E196)</f>
        <v>23.2</v>
      </c>
      <c r="P197" s="56" t="n">
        <f aca="false">IF(OR(D197=1,K196=""),"",K196)</f>
        <v>1007.8</v>
      </c>
      <c r="Q197" s="56" t="n">
        <f aca="false">IF(OR(F197&lt;&gt;0,AND(I197&lt;&gt;"",E197&lt;I197)),1,0)</f>
        <v>0</v>
      </c>
      <c r="R197" s="56" t="n">
        <f aca="false">IF(AND(D197&gt;1,Q197=0,ISNUMBER(O197),ISNUMBER(P197)),IF(Q196=0,1,0),0)</f>
        <v>1</v>
      </c>
      <c r="S197" s="56" t="n">
        <f aca="false">R197*(B197&gt;=Train_Start)*(B197&lt;=Train_End)</f>
        <v>1</v>
      </c>
      <c r="T197" s="84" t="n">
        <f aca="false">IF(AND(ISNUMBER(O197),ISNUMBER(P197)),Coef_A+Coef_B1*O197+Coef_B2*P197,"")</f>
        <v>22.7102245127199</v>
      </c>
      <c r="U197" s="84" t="n">
        <f aca="false">IF(AND(R197=1,ISNUMBER(T197)),E197-T197,"")</f>
        <v>0.789775487280139</v>
      </c>
      <c r="V197" s="84" t="n">
        <f aca="false">IF(ISNUMBER(T197),T197,-99)</f>
        <v>22.7102245127199</v>
      </c>
      <c r="W197" s="84" t="n">
        <f aca="false">IF(ISNUMBER(U197),ABS(U197),"")</f>
        <v>0.789775487280139</v>
      </c>
    </row>
    <row r="198" customFormat="false" ht="15" hidden="false" customHeight="false" outlineLevel="0" collapsed="false">
      <c r="A198" s="57" t="n">
        <v>29385</v>
      </c>
      <c r="B198" s="56" t="n">
        <v>1980</v>
      </c>
      <c r="C198" s="56" t="n">
        <v>6</v>
      </c>
      <c r="D198" s="56" t="n">
        <v>44</v>
      </c>
      <c r="E198" s="56" t="n">
        <v>19.4</v>
      </c>
      <c r="F198" s="56" t="n">
        <v>0</v>
      </c>
      <c r="G198" s="56" t="n">
        <v>14</v>
      </c>
      <c r="H198" s="56" t="n">
        <v>0</v>
      </c>
      <c r="I198" s="56" t="n">
        <v>18.8</v>
      </c>
      <c r="J198" s="56" t="n">
        <v>0</v>
      </c>
      <c r="K198" s="56" t="n">
        <v>1014.2</v>
      </c>
      <c r="L198" s="56" t="n">
        <v>0</v>
      </c>
      <c r="M198" s="56" t="n">
        <v>72</v>
      </c>
      <c r="N198" s="56" t="n">
        <v>10</v>
      </c>
      <c r="O198" s="56" t="n">
        <f aca="false">IF(D198=1,"",E197)</f>
        <v>23.5</v>
      </c>
      <c r="P198" s="56" t="n">
        <f aca="false">IF(OR(D198=1,K197=""),"",K197)</f>
        <v>1013.2</v>
      </c>
      <c r="Q198" s="56" t="n">
        <f aca="false">IF(OR(F198&lt;&gt;0,AND(I198&lt;&gt;"",E198&lt;I198)),1,0)</f>
        <v>0</v>
      </c>
      <c r="R198" s="56" t="n">
        <f aca="false">IF(AND(D198&gt;1,Q198=0,ISNUMBER(O198),ISNUMBER(P198)),IF(Q197=0,1,0),0)</f>
        <v>1</v>
      </c>
      <c r="S198" s="56" t="n">
        <f aca="false">R198*(B198&gt;=Train_Start)*(B198&lt;=Train_End)</f>
        <v>1</v>
      </c>
      <c r="T198" s="84" t="n">
        <f aca="false">IF(AND(ISNUMBER(O198),ISNUMBER(P198)),Coef_A+Coef_B1*O198+Coef_B2*P198,"")</f>
        <v>23.1254237016562</v>
      </c>
      <c r="U198" s="84" t="n">
        <f aca="false">IF(AND(R198=1,ISNUMBER(T198)),E198-T198,"")</f>
        <v>-3.7254237016562</v>
      </c>
      <c r="V198" s="84" t="n">
        <f aca="false">IF(ISNUMBER(T198),T198,-99)</f>
        <v>23.1254237016562</v>
      </c>
      <c r="W198" s="84" t="n">
        <f aca="false">IF(ISNUMBER(U198),ABS(U198),"")</f>
        <v>3.7254237016562</v>
      </c>
    </row>
    <row r="199" customFormat="false" ht="15" hidden="false" customHeight="false" outlineLevel="0" collapsed="false">
      <c r="A199" s="57" t="n">
        <v>29386</v>
      </c>
      <c r="B199" s="56" t="n">
        <v>1980</v>
      </c>
      <c r="C199" s="56" t="n">
        <v>6</v>
      </c>
      <c r="D199" s="56" t="n">
        <v>45</v>
      </c>
      <c r="E199" s="56" t="n">
        <v>20.1</v>
      </c>
      <c r="F199" s="56" t="n">
        <v>0</v>
      </c>
      <c r="G199" s="56" t="n">
        <v>13.8</v>
      </c>
      <c r="H199" s="56" t="n">
        <v>0</v>
      </c>
      <c r="I199" s="56" t="n">
        <v>16.6</v>
      </c>
      <c r="J199" s="56" t="n">
        <v>0</v>
      </c>
      <c r="K199" s="56" t="n">
        <v>1007.1</v>
      </c>
      <c r="L199" s="56" t="n">
        <v>0</v>
      </c>
      <c r="M199" s="56" t="n">
        <v>81</v>
      </c>
      <c r="N199" s="56" t="n">
        <v>1.8</v>
      </c>
      <c r="O199" s="56" t="n">
        <f aca="false">IF(D199=1,"",E198)</f>
        <v>19.4</v>
      </c>
      <c r="P199" s="56" t="n">
        <f aca="false">IF(OR(D199=1,K198=""),"",K198)</f>
        <v>1014.2</v>
      </c>
      <c r="Q199" s="56" t="n">
        <f aca="false">IF(OR(F199&lt;&gt;0,AND(I199&lt;&gt;"",E199&lt;I199)),1,0)</f>
        <v>0</v>
      </c>
      <c r="R199" s="56" t="n">
        <f aca="false">IF(AND(D199&gt;1,Q199=0,ISNUMBER(O199),ISNUMBER(P199)),IF(Q198=0,1,0),0)</f>
        <v>1</v>
      </c>
      <c r="S199" s="56" t="n">
        <f aca="false">R199*(B199&gt;=Train_Start)*(B199&lt;=Train_End)</f>
        <v>1</v>
      </c>
      <c r="T199" s="84" t="n">
        <f aca="false">IF(AND(ISNUMBER(O199),ISNUMBER(P199)),Coef_A+Coef_B1*O199+Coef_B2*P199,"")</f>
        <v>19.7975029048153</v>
      </c>
      <c r="U199" s="84" t="n">
        <f aca="false">IF(AND(R199=1,ISNUMBER(T199)),E199-T199,"")</f>
        <v>0.302497095184705</v>
      </c>
      <c r="V199" s="84" t="n">
        <f aca="false">IF(ISNUMBER(T199),T199,-99)</f>
        <v>19.7975029048153</v>
      </c>
      <c r="W199" s="84" t="n">
        <f aca="false">IF(ISNUMBER(U199),ABS(U199),"")</f>
        <v>0.302497095184705</v>
      </c>
    </row>
    <row r="200" customFormat="false" ht="15" hidden="false" customHeight="false" outlineLevel="0" collapsed="false">
      <c r="A200" s="57" t="n">
        <v>29387</v>
      </c>
      <c r="B200" s="56" t="n">
        <v>1980</v>
      </c>
      <c r="C200" s="56" t="n">
        <v>6</v>
      </c>
      <c r="D200" s="56" t="n">
        <v>46</v>
      </c>
      <c r="E200" s="56" t="n">
        <v>18.3</v>
      </c>
      <c r="F200" s="56" t="n">
        <v>0</v>
      </c>
      <c r="G200" s="56" t="n">
        <v>12.1</v>
      </c>
      <c r="H200" s="56" t="n">
        <v>0</v>
      </c>
      <c r="I200" s="56" t="n">
        <v>16.1</v>
      </c>
      <c r="J200" s="56" t="n">
        <v>0</v>
      </c>
      <c r="K200" s="56" t="n">
        <v>1011.3</v>
      </c>
      <c r="L200" s="56" t="n">
        <v>0</v>
      </c>
      <c r="M200" s="56" t="n">
        <v>75</v>
      </c>
      <c r="N200" s="56" t="n">
        <v>5.8</v>
      </c>
      <c r="O200" s="56" t="n">
        <f aca="false">IF(D200=1,"",E199)</f>
        <v>20.1</v>
      </c>
      <c r="P200" s="56" t="n">
        <f aca="false">IF(OR(D200=1,K199=""),"",K199)</f>
        <v>1007.1</v>
      </c>
      <c r="Q200" s="56" t="n">
        <f aca="false">IF(OR(F200&lt;&gt;0,AND(I200&lt;&gt;"",E200&lt;I200)),1,0)</f>
        <v>0</v>
      </c>
      <c r="R200" s="56" t="n">
        <f aca="false">IF(AND(D200&gt;1,Q200=0,ISNUMBER(O200),ISNUMBER(P200)),IF(Q199=0,1,0),0)</f>
        <v>1</v>
      </c>
      <c r="S200" s="56" t="n">
        <f aca="false">R200*(B200&gt;=Train_Start)*(B200&lt;=Train_End)</f>
        <v>1</v>
      </c>
      <c r="T200" s="84" t="n">
        <f aca="false">IF(AND(ISNUMBER(O200),ISNUMBER(P200)),Coef_A+Coef_B1*O200+Coef_B2*P200,"")</f>
        <v>20.1483140880438</v>
      </c>
      <c r="U200" s="84" t="n">
        <f aca="false">IF(AND(R200=1,ISNUMBER(T200)),E200-T200,"")</f>
        <v>-1.84831408804384</v>
      </c>
      <c r="V200" s="84" t="n">
        <f aca="false">IF(ISNUMBER(T200),T200,-99)</f>
        <v>20.1483140880438</v>
      </c>
      <c r="W200" s="84" t="n">
        <f aca="false">IF(ISNUMBER(U200),ABS(U200),"")</f>
        <v>1.84831408804384</v>
      </c>
    </row>
    <row r="201" customFormat="false" ht="15" hidden="false" customHeight="false" outlineLevel="0" collapsed="false">
      <c r="A201" s="57" t="n">
        <v>29388</v>
      </c>
      <c r="B201" s="56" t="n">
        <v>1980</v>
      </c>
      <c r="C201" s="56" t="n">
        <v>6</v>
      </c>
      <c r="D201" s="56" t="n">
        <v>47</v>
      </c>
      <c r="E201" s="56" t="n">
        <v>17</v>
      </c>
      <c r="F201" s="56" t="n">
        <v>0</v>
      </c>
      <c r="G201" s="56" t="n">
        <v>13.1</v>
      </c>
      <c r="H201" s="56" t="n">
        <v>0</v>
      </c>
      <c r="I201" s="56" t="n">
        <v>15.7</v>
      </c>
      <c r="J201" s="56" t="n">
        <v>0</v>
      </c>
      <c r="K201" s="56" t="n">
        <v>1008.1</v>
      </c>
      <c r="L201" s="56" t="n">
        <v>0</v>
      </c>
      <c r="M201" s="56" t="n">
        <v>79</v>
      </c>
      <c r="N201" s="56" t="n">
        <v>4.3</v>
      </c>
      <c r="O201" s="56" t="n">
        <f aca="false">IF(D201=1,"",E200)</f>
        <v>18.3</v>
      </c>
      <c r="P201" s="56" t="n">
        <f aca="false">IF(OR(D201=1,K200=""),"",K200)</f>
        <v>1011.3</v>
      </c>
      <c r="Q201" s="56" t="n">
        <f aca="false">IF(OR(F201&lt;&gt;0,AND(I201&lt;&gt;"",E201&lt;I201)),1,0)</f>
        <v>0</v>
      </c>
      <c r="R201" s="56" t="n">
        <f aca="false">IF(AND(D201&gt;1,Q201=0,ISNUMBER(O201),ISNUMBER(P201)),IF(Q200=0,1,0),0)</f>
        <v>1</v>
      </c>
      <c r="S201" s="56" t="n">
        <f aca="false">R201*(B201&gt;=Train_Start)*(B201&lt;=Train_End)</f>
        <v>1</v>
      </c>
      <c r="T201" s="84" t="n">
        <f aca="false">IF(AND(ISNUMBER(O201),ISNUMBER(P201)),Coef_A+Coef_B1*O201+Coef_B2*P201,"")</f>
        <v>18.8052570980298</v>
      </c>
      <c r="U201" s="84" t="n">
        <f aca="false">IF(AND(R201=1,ISNUMBER(T201)),E201-T201,"")</f>
        <v>-1.8052570980298</v>
      </c>
      <c r="V201" s="84" t="n">
        <f aca="false">IF(ISNUMBER(T201),T201,-99)</f>
        <v>18.8052570980298</v>
      </c>
      <c r="W201" s="84" t="n">
        <f aca="false">IF(ISNUMBER(U201),ABS(U201),"")</f>
        <v>1.8052570980298</v>
      </c>
    </row>
    <row r="202" customFormat="false" ht="15" hidden="false" customHeight="false" outlineLevel="0" collapsed="false">
      <c r="A202" s="57" t="n">
        <v>29389</v>
      </c>
      <c r="B202" s="56" t="n">
        <v>1980</v>
      </c>
      <c r="C202" s="56" t="n">
        <v>6</v>
      </c>
      <c r="D202" s="56" t="n">
        <v>48</v>
      </c>
      <c r="E202" s="56" t="n">
        <v>20.2</v>
      </c>
      <c r="F202" s="56" t="n">
        <v>0</v>
      </c>
      <c r="G202" s="56" t="n">
        <v>10.5</v>
      </c>
      <c r="H202" s="56" t="n">
        <v>0</v>
      </c>
      <c r="I202" s="56" t="n">
        <v>13.8</v>
      </c>
      <c r="J202" s="56" t="n">
        <v>0</v>
      </c>
      <c r="K202" s="56" t="n">
        <v>1008.1</v>
      </c>
      <c r="L202" s="56" t="n">
        <v>0</v>
      </c>
      <c r="M202" s="56" t="n">
        <v>83</v>
      </c>
      <c r="N202" s="56" t="n">
        <v>4.6</v>
      </c>
      <c r="O202" s="56" t="n">
        <f aca="false">IF(D202=1,"",E201)</f>
        <v>17</v>
      </c>
      <c r="P202" s="56" t="n">
        <f aca="false">IF(OR(D202=1,K201=""),"",K201)</f>
        <v>1008.1</v>
      </c>
      <c r="Q202" s="56" t="n">
        <f aca="false">IF(OR(F202&lt;&gt;0,AND(I202&lt;&gt;"",E202&lt;I202)),1,0)</f>
        <v>0</v>
      </c>
      <c r="R202" s="56" t="n">
        <f aca="false">IF(AND(D202&gt;1,Q202=0,ISNUMBER(O202),ISNUMBER(P202)),IF(Q201=0,1,0),0)</f>
        <v>1</v>
      </c>
      <c r="S202" s="56" t="n">
        <f aca="false">R202*(B202&gt;=Train_Start)*(B202&lt;=Train_End)</f>
        <v>1</v>
      </c>
      <c r="T202" s="84" t="n">
        <f aca="false">IF(AND(ISNUMBER(O202),ISNUMBER(P202)),Coef_A+Coef_B1*O202+Coef_B2*P202,"")</f>
        <v>17.6397324842456</v>
      </c>
      <c r="U202" s="84" t="n">
        <f aca="false">IF(AND(R202=1,ISNUMBER(T202)),E202-T202,"")</f>
        <v>2.56026751575442</v>
      </c>
      <c r="V202" s="84" t="n">
        <f aca="false">IF(ISNUMBER(T202),T202,-99)</f>
        <v>17.6397324842456</v>
      </c>
      <c r="W202" s="84" t="n">
        <f aca="false">IF(ISNUMBER(U202),ABS(U202),"")</f>
        <v>2.56026751575442</v>
      </c>
    </row>
    <row r="203" customFormat="false" ht="15" hidden="false" customHeight="false" outlineLevel="0" collapsed="false">
      <c r="A203" s="57" t="n">
        <v>29390</v>
      </c>
      <c r="B203" s="56" t="n">
        <v>1980</v>
      </c>
      <c r="C203" s="56" t="n">
        <v>6</v>
      </c>
      <c r="D203" s="56" t="n">
        <v>49</v>
      </c>
      <c r="E203" s="56" t="n">
        <v>17.7</v>
      </c>
      <c r="F203" s="56" t="n">
        <v>0</v>
      </c>
      <c r="G203" s="56" t="n">
        <v>9.7</v>
      </c>
      <c r="H203" s="56" t="n">
        <v>0</v>
      </c>
      <c r="I203" s="56" t="n">
        <v>15</v>
      </c>
      <c r="J203" s="56" t="n">
        <v>0</v>
      </c>
      <c r="K203" s="56" t="n">
        <v>1012</v>
      </c>
      <c r="L203" s="56" t="n">
        <v>0</v>
      </c>
      <c r="M203" s="56" t="n">
        <v>74</v>
      </c>
      <c r="N203" s="56" t="n">
        <v>8.1</v>
      </c>
      <c r="O203" s="56" t="n">
        <f aca="false">IF(D203=1,"",E202)</f>
        <v>20.2</v>
      </c>
      <c r="P203" s="56" t="n">
        <f aca="false">IF(OR(D203=1,K202=""),"",K202)</f>
        <v>1008.1</v>
      </c>
      <c r="Q203" s="56" t="n">
        <f aca="false">IF(OR(F203&lt;&gt;0,AND(I203&lt;&gt;"",E203&lt;I203)),1,0)</f>
        <v>0</v>
      </c>
      <c r="R203" s="56" t="n">
        <f aca="false">IF(AND(D203&gt;1,Q203=0,ISNUMBER(O203),ISNUMBER(P203)),IF(Q202=0,1,0),0)</f>
        <v>1</v>
      </c>
      <c r="S203" s="56" t="n">
        <f aca="false">R203*(B203&gt;=Train_Start)*(B203&lt;=Train_End)</f>
        <v>1</v>
      </c>
      <c r="T203" s="84" t="n">
        <f aca="false">IF(AND(ISNUMBER(O203),ISNUMBER(P203)),Coef_A+Coef_B1*O203+Coef_B2*P203,"")</f>
        <v>20.2616179019821</v>
      </c>
      <c r="U203" s="84" t="n">
        <f aca="false">IF(AND(R203=1,ISNUMBER(T203)),E203-T203,"")</f>
        <v>-2.56161790198209</v>
      </c>
      <c r="V203" s="84" t="n">
        <f aca="false">IF(ISNUMBER(T203),T203,-99)</f>
        <v>20.2616179019821</v>
      </c>
      <c r="W203" s="84" t="n">
        <f aca="false">IF(ISNUMBER(U203),ABS(U203),"")</f>
        <v>2.56161790198209</v>
      </c>
    </row>
    <row r="204" customFormat="false" ht="15" hidden="false" customHeight="false" outlineLevel="0" collapsed="false">
      <c r="A204" s="57" t="n">
        <v>29391</v>
      </c>
      <c r="B204" s="56" t="n">
        <v>1980</v>
      </c>
      <c r="C204" s="56" t="n">
        <v>6</v>
      </c>
      <c r="D204" s="56" t="n">
        <v>50</v>
      </c>
      <c r="E204" s="56" t="n">
        <v>17</v>
      </c>
      <c r="F204" s="56" t="n">
        <v>0</v>
      </c>
      <c r="G204" s="56" t="n">
        <v>14.2</v>
      </c>
      <c r="H204" s="56" t="n">
        <v>0</v>
      </c>
      <c r="I204" s="56" t="n">
        <v>16</v>
      </c>
      <c r="J204" s="56" t="n">
        <v>0</v>
      </c>
      <c r="K204" s="56" t="n">
        <v>1008.3</v>
      </c>
      <c r="L204" s="56" t="n">
        <v>0</v>
      </c>
      <c r="M204" s="56" t="n">
        <v>70</v>
      </c>
      <c r="N204" s="56" t="n">
        <v>2.9</v>
      </c>
      <c r="O204" s="56" t="n">
        <f aca="false">IF(D204=1,"",E203)</f>
        <v>17.7</v>
      </c>
      <c r="P204" s="56" t="n">
        <f aca="false">IF(OR(D204=1,K203=""),"",K203)</f>
        <v>1012</v>
      </c>
      <c r="Q204" s="56" t="n">
        <f aca="false">IF(OR(F204&lt;&gt;0,AND(I204&lt;&gt;"",E204&lt;I204)),1,0)</f>
        <v>0</v>
      </c>
      <c r="R204" s="56" t="n">
        <f aca="false">IF(AND(D204&gt;1,Q204=0,ISNUMBER(O204),ISNUMBER(P204)),IF(Q203=0,1,0),0)</f>
        <v>1</v>
      </c>
      <c r="S204" s="56" t="n">
        <f aca="false">R204*(B204&gt;=Train_Start)*(B204&lt;=Train_End)</f>
        <v>1</v>
      </c>
      <c r="T204" s="84" t="n">
        <f aca="false">IF(AND(ISNUMBER(O204),ISNUMBER(P204)),Coef_A+Coef_B1*O204+Coef_B2*P204,"")</f>
        <v>18.335612508448</v>
      </c>
      <c r="U204" s="84" t="n">
        <f aca="false">IF(AND(R204=1,ISNUMBER(T204)),E204-T204,"")</f>
        <v>-1.335612508448</v>
      </c>
      <c r="V204" s="84" t="n">
        <f aca="false">IF(ISNUMBER(T204),T204,-99)</f>
        <v>18.335612508448</v>
      </c>
      <c r="W204" s="84" t="n">
        <f aca="false">IF(ISNUMBER(U204),ABS(U204),"")</f>
        <v>1.335612508448</v>
      </c>
    </row>
    <row r="205" customFormat="false" ht="15" hidden="false" customHeight="false" outlineLevel="0" collapsed="false">
      <c r="A205" s="57" t="n">
        <v>29392</v>
      </c>
      <c r="B205" s="56" t="n">
        <v>1980</v>
      </c>
      <c r="C205" s="56" t="n">
        <v>6</v>
      </c>
      <c r="D205" s="56" t="n">
        <v>51</v>
      </c>
      <c r="E205" s="56" t="n">
        <v>18.6</v>
      </c>
      <c r="F205" s="56" t="n">
        <v>0</v>
      </c>
      <c r="G205" s="56" t="n">
        <v>8.9</v>
      </c>
      <c r="H205" s="56" t="n">
        <v>0</v>
      </c>
      <c r="I205" s="56" t="n">
        <v>13</v>
      </c>
      <c r="J205" s="56" t="n">
        <v>0</v>
      </c>
      <c r="K205" s="56" t="n">
        <v>1009.7</v>
      </c>
      <c r="L205" s="56" t="n">
        <v>0</v>
      </c>
      <c r="M205" s="56" t="n">
        <v>68</v>
      </c>
      <c r="N205" s="56" t="n">
        <v>7.4</v>
      </c>
      <c r="O205" s="56" t="n">
        <f aca="false">IF(D205=1,"",E204)</f>
        <v>17</v>
      </c>
      <c r="P205" s="56" t="n">
        <f aca="false">IF(OR(D205=1,K204=""),"",K204)</f>
        <v>1008.3</v>
      </c>
      <c r="Q205" s="56" t="n">
        <f aca="false">IF(OR(F205&lt;&gt;0,AND(I205&lt;&gt;"",E205&lt;I205)),1,0)</f>
        <v>0</v>
      </c>
      <c r="R205" s="56" t="n">
        <f aca="false">IF(AND(D205&gt;1,Q205=0,ISNUMBER(O205),ISNUMBER(P205)),IF(Q204=0,1,0),0)</f>
        <v>1</v>
      </c>
      <c r="S205" s="56" t="n">
        <f aca="false">R205*(B205&gt;=Train_Start)*(B205&lt;=Train_End)</f>
        <v>1</v>
      </c>
      <c r="T205" s="84" t="n">
        <f aca="false">IF(AND(ISNUMBER(O205),ISNUMBER(P205)),Coef_A+Coef_B1*O205+Coef_B2*P205,"")</f>
        <v>17.6460064631724</v>
      </c>
      <c r="U205" s="84" t="n">
        <f aca="false">IF(AND(R205=1,ISNUMBER(T205)),E205-T205,"")</f>
        <v>0.953993536827621</v>
      </c>
      <c r="V205" s="84" t="n">
        <f aca="false">IF(ISNUMBER(T205),T205,-99)</f>
        <v>17.6460064631724</v>
      </c>
      <c r="W205" s="84" t="n">
        <f aca="false">IF(ISNUMBER(U205),ABS(U205),"")</f>
        <v>0.953993536827621</v>
      </c>
    </row>
    <row r="206" customFormat="false" ht="15" hidden="false" customHeight="false" outlineLevel="0" collapsed="false">
      <c r="A206" s="57" t="n">
        <v>29393</v>
      </c>
      <c r="B206" s="56" t="n">
        <v>1980</v>
      </c>
      <c r="C206" s="56" t="n">
        <v>6</v>
      </c>
      <c r="D206" s="56" t="n">
        <v>52</v>
      </c>
      <c r="E206" s="56" t="n">
        <v>15.5</v>
      </c>
      <c r="F206" s="56" t="n">
        <v>0</v>
      </c>
      <c r="G206" s="56" t="n">
        <v>10.1</v>
      </c>
      <c r="H206" s="56" t="n">
        <v>0</v>
      </c>
      <c r="I206" s="56" t="n">
        <v>14.4</v>
      </c>
      <c r="J206" s="56" t="n">
        <v>0</v>
      </c>
      <c r="K206" s="56" t="n">
        <v>1008.8</v>
      </c>
      <c r="L206" s="56" t="n">
        <v>0</v>
      </c>
      <c r="M206" s="56" t="n">
        <v>67</v>
      </c>
      <c r="N206" s="56" t="n">
        <v>8.1</v>
      </c>
      <c r="O206" s="56" t="n">
        <f aca="false">IF(D206=1,"",E205)</f>
        <v>18.6</v>
      </c>
      <c r="P206" s="56" t="n">
        <f aca="false">IF(OR(D206=1,K205=""),"",K205)</f>
        <v>1009.7</v>
      </c>
      <c r="Q206" s="56" t="n">
        <f aca="false">IF(OR(F206&lt;&gt;0,AND(I206&lt;&gt;"",E206&lt;I206)),1,0)</f>
        <v>0</v>
      </c>
      <c r="R206" s="56" t="n">
        <f aca="false">IF(AND(D206&gt;1,Q206=0,ISNUMBER(O206),ISNUMBER(P206)),IF(Q205=0,1,0),0)</f>
        <v>1</v>
      </c>
      <c r="S206" s="56" t="n">
        <f aca="false">R206*(B206&gt;=Train_Start)*(B206&lt;=Train_End)</f>
        <v>1</v>
      </c>
      <c r="T206" s="84" t="n">
        <f aca="false">IF(AND(ISNUMBER(O206),ISNUMBER(P206)),Coef_A+Coef_B1*O206+Coef_B2*P206,"")</f>
        <v>19.0008670245282</v>
      </c>
      <c r="U206" s="84" t="n">
        <f aca="false">IF(AND(R206=1,ISNUMBER(T206)),E206-T206,"")</f>
        <v>-3.50086702452822</v>
      </c>
      <c r="V206" s="84" t="n">
        <f aca="false">IF(ISNUMBER(T206),T206,-99)</f>
        <v>19.0008670245282</v>
      </c>
      <c r="W206" s="84" t="n">
        <f aca="false">IF(ISNUMBER(U206),ABS(U206),"")</f>
        <v>3.50086702452822</v>
      </c>
    </row>
    <row r="207" customFormat="false" ht="15" hidden="false" customHeight="false" outlineLevel="0" collapsed="false">
      <c r="A207" s="57" t="n">
        <v>29394</v>
      </c>
      <c r="B207" s="56" t="n">
        <v>1980</v>
      </c>
      <c r="C207" s="56" t="n">
        <v>6</v>
      </c>
      <c r="D207" s="56" t="n">
        <v>53</v>
      </c>
      <c r="E207" s="56" t="n">
        <v>15.1</v>
      </c>
      <c r="F207" s="56" t="n">
        <v>0</v>
      </c>
      <c r="G207" s="56" t="n">
        <v>10</v>
      </c>
      <c r="H207" s="56" t="n">
        <v>0</v>
      </c>
      <c r="I207" s="56" t="n">
        <v>12.8</v>
      </c>
      <c r="J207" s="56" t="n">
        <v>0</v>
      </c>
      <c r="K207" s="56" t="n">
        <v>1005.1</v>
      </c>
      <c r="L207" s="56" t="n">
        <v>0</v>
      </c>
      <c r="M207" s="56" t="n">
        <v>80</v>
      </c>
      <c r="N207" s="56" t="n">
        <v>5.2</v>
      </c>
      <c r="O207" s="56" t="n">
        <f aca="false">IF(D207=1,"",E206)</f>
        <v>15.5</v>
      </c>
      <c r="P207" s="56" t="n">
        <f aca="false">IF(OR(D207=1,K206=""),"",K206)</f>
        <v>1008.8</v>
      </c>
      <c r="Q207" s="56" t="n">
        <f aca="false">IF(OR(F207&lt;&gt;0,AND(I207&lt;&gt;"",E207&lt;I207)),1,0)</f>
        <v>0</v>
      </c>
      <c r="R207" s="56" t="n">
        <f aca="false">IF(AND(D207&gt;1,Q207=0,ISNUMBER(O207),ISNUMBER(P207)),IF(Q206=0,1,0),0)</f>
        <v>1</v>
      </c>
      <c r="S207" s="56" t="n">
        <f aca="false">R207*(B207&gt;=Train_Start)*(B207&lt;=Train_End)</f>
        <v>1</v>
      </c>
      <c r="T207" s="84" t="n">
        <f aca="false">IF(AND(ISNUMBER(O207),ISNUMBER(P207)),Coef_A+Coef_B1*O207+Coef_B2*P207,"")</f>
        <v>16.4326826209254</v>
      </c>
      <c r="U207" s="84" t="n">
        <f aca="false">IF(AND(R207=1,ISNUMBER(T207)),E207-T207,"")</f>
        <v>-1.33268262092539</v>
      </c>
      <c r="V207" s="84" t="n">
        <f aca="false">IF(ISNUMBER(T207),T207,-99)</f>
        <v>16.4326826209254</v>
      </c>
      <c r="W207" s="84" t="n">
        <f aca="false">IF(ISNUMBER(U207),ABS(U207),"")</f>
        <v>1.33268262092539</v>
      </c>
    </row>
    <row r="208" customFormat="false" ht="15" hidden="false" customHeight="false" outlineLevel="0" collapsed="false">
      <c r="A208" s="57" t="n">
        <v>29395</v>
      </c>
      <c r="B208" s="56" t="n">
        <v>1980</v>
      </c>
      <c r="C208" s="56" t="n">
        <v>6</v>
      </c>
      <c r="D208" s="56" t="n">
        <v>54</v>
      </c>
      <c r="E208" s="56" t="n">
        <v>17</v>
      </c>
      <c r="F208" s="56" t="n">
        <v>0</v>
      </c>
      <c r="G208" s="56" t="n">
        <v>8</v>
      </c>
      <c r="H208" s="56" t="n">
        <v>0</v>
      </c>
      <c r="I208" s="56" t="n">
        <v>11.6</v>
      </c>
      <c r="J208" s="56" t="n">
        <v>0</v>
      </c>
      <c r="K208" s="56" t="n">
        <v>1002</v>
      </c>
      <c r="L208" s="56" t="n">
        <v>0</v>
      </c>
      <c r="M208" s="56" t="n">
        <v>86</v>
      </c>
      <c r="N208" s="56" t="n">
        <v>4.5</v>
      </c>
      <c r="O208" s="56" t="n">
        <f aca="false">IF(D208=1,"",E207)</f>
        <v>15.1</v>
      </c>
      <c r="P208" s="56" t="n">
        <f aca="false">IF(OR(D208=1,K207=""),"",K207)</f>
        <v>1005.1</v>
      </c>
      <c r="Q208" s="56" t="n">
        <f aca="false">IF(OR(F208&lt;&gt;0,AND(I208&lt;&gt;"",E208&lt;I208)),1,0)</f>
        <v>0</v>
      </c>
      <c r="R208" s="56" t="n">
        <f aca="false">IF(AND(D208&gt;1,Q208=0,ISNUMBER(O208),ISNUMBER(P208)),IF(Q207=0,1,0),0)</f>
        <v>1</v>
      </c>
      <c r="S208" s="56" t="n">
        <f aca="false">R208*(B208&gt;=Train_Start)*(B208&lt;=Train_End)</f>
        <v>1</v>
      </c>
      <c r="T208" s="84" t="n">
        <f aca="false">IF(AND(ISNUMBER(O208),ISNUMBER(P208)),Coef_A+Coef_B1*O208+Coef_B2*P208,"")</f>
        <v>15.9888783335626</v>
      </c>
      <c r="U208" s="84" t="n">
        <f aca="false">IF(AND(R208=1,ISNUMBER(T208)),E208-T208,"")</f>
        <v>1.01112166643743</v>
      </c>
      <c r="V208" s="84" t="n">
        <f aca="false">IF(ISNUMBER(T208),T208,-99)</f>
        <v>15.9888783335626</v>
      </c>
      <c r="W208" s="84" t="n">
        <f aca="false">IF(ISNUMBER(U208),ABS(U208),"")</f>
        <v>1.01112166643743</v>
      </c>
    </row>
    <row r="209" customFormat="false" ht="15" hidden="false" customHeight="false" outlineLevel="0" collapsed="false">
      <c r="A209" s="57" t="n">
        <v>29396</v>
      </c>
      <c r="B209" s="56" t="n">
        <v>1980</v>
      </c>
      <c r="C209" s="56" t="n">
        <v>6</v>
      </c>
      <c r="D209" s="56" t="n">
        <v>55</v>
      </c>
      <c r="E209" s="56" t="n">
        <v>19.2</v>
      </c>
      <c r="F209" s="56" t="n">
        <v>0</v>
      </c>
      <c r="G209" s="56" t="n">
        <v>10.2</v>
      </c>
      <c r="H209" s="56" t="n">
        <v>0</v>
      </c>
      <c r="I209" s="56" t="n">
        <v>13.6</v>
      </c>
      <c r="J209" s="56" t="n">
        <v>0</v>
      </c>
      <c r="K209" s="56" t="n">
        <v>1002.5</v>
      </c>
      <c r="L209" s="56" t="n">
        <v>0</v>
      </c>
      <c r="M209" s="56" t="n">
        <v>82</v>
      </c>
      <c r="N209" s="56" t="n">
        <v>6.1</v>
      </c>
      <c r="O209" s="56" t="n">
        <f aca="false">IF(D209=1,"",E208)</f>
        <v>17</v>
      </c>
      <c r="P209" s="56" t="n">
        <f aca="false">IF(OR(D209=1,K208=""),"",K208)</f>
        <v>1002</v>
      </c>
      <c r="Q209" s="56" t="n">
        <f aca="false">IF(OR(F209&lt;&gt;0,AND(I209&lt;&gt;"",E209&lt;I209)),1,0)</f>
        <v>0</v>
      </c>
      <c r="R209" s="56" t="n">
        <f aca="false">IF(AND(D209&gt;1,Q209=0,ISNUMBER(O209),ISNUMBER(P209)),IF(Q208=0,1,0),0)</f>
        <v>1</v>
      </c>
      <c r="S209" s="56" t="n">
        <f aca="false">R209*(B209&gt;=Train_Start)*(B209&lt;=Train_End)</f>
        <v>1</v>
      </c>
      <c r="T209" s="84" t="n">
        <f aca="false">IF(AND(ISNUMBER(O209),ISNUMBER(P209)),Coef_A+Coef_B1*O209+Coef_B2*P209,"")</f>
        <v>17.4483761269782</v>
      </c>
      <c r="U209" s="84" t="n">
        <f aca="false">IF(AND(R209=1,ISNUMBER(T209)),E209-T209,"")</f>
        <v>1.75162387302175</v>
      </c>
      <c r="V209" s="84" t="n">
        <f aca="false">IF(ISNUMBER(T209),T209,-99)</f>
        <v>17.4483761269782</v>
      </c>
      <c r="W209" s="84" t="n">
        <f aca="false">IF(ISNUMBER(U209),ABS(U209),"")</f>
        <v>1.75162387302175</v>
      </c>
    </row>
    <row r="210" customFormat="false" ht="15" hidden="false" customHeight="false" outlineLevel="0" collapsed="false">
      <c r="A210" s="57" t="n">
        <v>29397</v>
      </c>
      <c r="B210" s="56" t="n">
        <v>1980</v>
      </c>
      <c r="C210" s="56" t="n">
        <v>6</v>
      </c>
      <c r="D210" s="56" t="n">
        <v>56</v>
      </c>
      <c r="E210" s="56" t="n">
        <v>19.4</v>
      </c>
      <c r="F210" s="56" t="n">
        <v>0</v>
      </c>
      <c r="G210" s="56" t="n">
        <v>7.3</v>
      </c>
      <c r="H210" s="56" t="n">
        <v>0</v>
      </c>
      <c r="I210" s="56" t="n">
        <v>13.2</v>
      </c>
      <c r="J210" s="56" t="n">
        <v>0</v>
      </c>
      <c r="K210" s="56" t="n">
        <v>1008.1</v>
      </c>
      <c r="L210" s="56" t="n">
        <v>0</v>
      </c>
      <c r="M210" s="56" t="n">
        <v>74</v>
      </c>
      <c r="N210" s="56" t="n">
        <v>9.5</v>
      </c>
      <c r="O210" s="56" t="n">
        <f aca="false">IF(D210=1,"",E209)</f>
        <v>19.2</v>
      </c>
      <c r="P210" s="56" t="n">
        <f aca="false">IF(OR(D210=1,K209=""),"",K209)</f>
        <v>1002.5</v>
      </c>
      <c r="Q210" s="56" t="n">
        <f aca="false">IF(OR(F210&lt;&gt;0,AND(I210&lt;&gt;"",E210&lt;I210)),1,0)</f>
        <v>0</v>
      </c>
      <c r="R210" s="56" t="n">
        <f aca="false">IF(AND(D210&gt;1,Q210=0,ISNUMBER(O210),ISNUMBER(P210)),IF(Q209=0,1,0),0)</f>
        <v>1</v>
      </c>
      <c r="S210" s="56" t="n">
        <f aca="false">R210*(B210&gt;=Train_Start)*(B210&lt;=Train_End)</f>
        <v>1</v>
      </c>
      <c r="T210" s="84" t="n">
        <f aca="false">IF(AND(ISNUMBER(O210),ISNUMBER(P210)),Coef_A+Coef_B1*O210+Coef_B2*P210,"")</f>
        <v>19.2666072989891</v>
      </c>
      <c r="U210" s="84" t="n">
        <f aca="false">IF(AND(R210=1,ISNUMBER(T210)),E210-T210,"")</f>
        <v>0.133392701010912</v>
      </c>
      <c r="V210" s="84" t="n">
        <f aca="false">IF(ISNUMBER(T210),T210,-99)</f>
        <v>19.2666072989891</v>
      </c>
      <c r="W210" s="84" t="n">
        <f aca="false">IF(ISNUMBER(U210),ABS(U210),"")</f>
        <v>0.133392701010912</v>
      </c>
    </row>
    <row r="211" customFormat="false" ht="15" hidden="false" customHeight="false" outlineLevel="0" collapsed="false">
      <c r="A211" s="57" t="n">
        <v>29398</v>
      </c>
      <c r="B211" s="56" t="n">
        <v>1980</v>
      </c>
      <c r="C211" s="56" t="n">
        <v>6</v>
      </c>
      <c r="D211" s="56" t="n">
        <v>57</v>
      </c>
      <c r="E211" s="56" t="n">
        <v>18.1</v>
      </c>
      <c r="F211" s="56" t="n">
        <v>0</v>
      </c>
      <c r="G211" s="56" t="n">
        <v>10.9</v>
      </c>
      <c r="H211" s="56" t="n">
        <v>0</v>
      </c>
      <c r="I211" s="56" t="n">
        <v>15.2</v>
      </c>
      <c r="J211" s="56" t="n">
        <v>0</v>
      </c>
      <c r="K211" s="56" t="n">
        <v>1010.8</v>
      </c>
      <c r="L211" s="56" t="n">
        <v>0</v>
      </c>
      <c r="M211" s="56" t="n">
        <v>75</v>
      </c>
      <c r="N211" s="56" t="n">
        <v>5.5</v>
      </c>
      <c r="O211" s="56" t="n">
        <f aca="false">IF(D211=1,"",E210)</f>
        <v>19.4</v>
      </c>
      <c r="P211" s="56" t="n">
        <f aca="false">IF(OR(D211=1,K210=""),"",K210)</f>
        <v>1008.1</v>
      </c>
      <c r="Q211" s="56" t="n">
        <f aca="false">IF(OR(F211&lt;&gt;0,AND(I211&lt;&gt;"",E211&lt;I211)),1,0)</f>
        <v>0</v>
      </c>
      <c r="R211" s="56" t="n">
        <f aca="false">IF(AND(D211&gt;1,Q211=0,ISNUMBER(O211),ISNUMBER(P211)),IF(Q210=0,1,0),0)</f>
        <v>1</v>
      </c>
      <c r="S211" s="56" t="n">
        <f aca="false">R211*(B211&gt;=Train_Start)*(B211&lt;=Train_End)</f>
        <v>1</v>
      </c>
      <c r="T211" s="84" t="n">
        <f aca="false">IF(AND(ISNUMBER(O211),ISNUMBER(P211)),Coef_A+Coef_B1*O211+Coef_B2*P211,"")</f>
        <v>19.606146547548</v>
      </c>
      <c r="U211" s="84" t="n">
        <f aca="false">IF(AND(R211=1,ISNUMBER(T211)),E211-T211,"")</f>
        <v>-1.50614654754796</v>
      </c>
      <c r="V211" s="84" t="n">
        <f aca="false">IF(ISNUMBER(T211),T211,-99)</f>
        <v>19.606146547548</v>
      </c>
      <c r="W211" s="84" t="n">
        <f aca="false">IF(ISNUMBER(U211),ABS(U211),"")</f>
        <v>1.50614654754796</v>
      </c>
    </row>
    <row r="212" customFormat="false" ht="15" hidden="false" customHeight="false" outlineLevel="0" collapsed="false">
      <c r="A212" s="57" t="n">
        <v>29399</v>
      </c>
      <c r="B212" s="56" t="n">
        <v>1980</v>
      </c>
      <c r="C212" s="56" t="n">
        <v>6</v>
      </c>
      <c r="D212" s="56" t="n">
        <v>58</v>
      </c>
      <c r="E212" s="56" t="n">
        <v>18.7</v>
      </c>
      <c r="F212" s="56" t="n">
        <v>0</v>
      </c>
      <c r="G212" s="56" t="n">
        <v>9.3</v>
      </c>
      <c r="H212" s="56" t="n">
        <v>0</v>
      </c>
      <c r="I212" s="56" t="n">
        <v>13.7</v>
      </c>
      <c r="J212" s="56" t="n">
        <v>0</v>
      </c>
      <c r="K212" s="56" t="n">
        <v>1015.8</v>
      </c>
      <c r="L212" s="56" t="n">
        <v>0</v>
      </c>
      <c r="M212" s="56" t="n">
        <v>64</v>
      </c>
      <c r="N212" s="56" t="n">
        <v>10.4</v>
      </c>
      <c r="O212" s="56" t="n">
        <f aca="false">IF(D212=1,"",E211)</f>
        <v>18.1</v>
      </c>
      <c r="P212" s="56" t="n">
        <f aca="false">IF(OR(D212=1,K211=""),"",K211)</f>
        <v>1010.8</v>
      </c>
      <c r="Q212" s="56" t="n">
        <f aca="false">IF(OR(F212&lt;&gt;0,AND(I212&lt;&gt;"",E212&lt;I212)),1,0)</f>
        <v>0</v>
      </c>
      <c r="R212" s="56" t="n">
        <f aca="false">IF(AND(D212&gt;1,Q212=0,ISNUMBER(O212),ISNUMBER(P212)),IF(Q211=0,1,0),0)</f>
        <v>1</v>
      </c>
      <c r="S212" s="56" t="n">
        <f aca="false">R212*(B212&gt;=Train_Start)*(B212&lt;=Train_End)</f>
        <v>1</v>
      </c>
      <c r="T212" s="84" t="n">
        <f aca="false">IF(AND(ISNUMBER(O212),ISNUMBER(P212)),Coef_A+Coef_B1*O212+Coef_B2*P212,"")</f>
        <v>18.6257043121043</v>
      </c>
      <c r="U212" s="84" t="n">
        <f aca="false">IF(AND(R212=1,ISNUMBER(T212)),E212-T212,"")</f>
        <v>0.0742956878957237</v>
      </c>
      <c r="V212" s="84" t="n">
        <f aca="false">IF(ISNUMBER(T212),T212,-99)</f>
        <v>18.6257043121043</v>
      </c>
      <c r="W212" s="84" t="n">
        <f aca="false">IF(ISNUMBER(U212),ABS(U212),"")</f>
        <v>0.0742956878957237</v>
      </c>
    </row>
    <row r="213" customFormat="false" ht="15" hidden="false" customHeight="false" outlineLevel="0" collapsed="false">
      <c r="A213" s="57" t="n">
        <v>29400</v>
      </c>
      <c r="B213" s="56" t="n">
        <v>1980</v>
      </c>
      <c r="C213" s="56" t="n">
        <v>6</v>
      </c>
      <c r="D213" s="56" t="n">
        <v>59</v>
      </c>
      <c r="E213" s="56" t="n">
        <v>20</v>
      </c>
      <c r="F213" s="56" t="n">
        <v>0</v>
      </c>
      <c r="G213" s="56" t="n">
        <v>10.3</v>
      </c>
      <c r="H213" s="56" t="n">
        <v>0</v>
      </c>
      <c r="I213" s="56" t="n">
        <v>14.5</v>
      </c>
      <c r="J213" s="56" t="n">
        <v>0</v>
      </c>
      <c r="K213" s="56" t="n">
        <v>1007.1</v>
      </c>
      <c r="L213" s="56" t="n">
        <v>0</v>
      </c>
      <c r="M213" s="56" t="n">
        <v>84</v>
      </c>
      <c r="N213" s="56" t="n">
        <v>2.1</v>
      </c>
      <c r="O213" s="56" t="n">
        <f aca="false">IF(D213=1,"",E212)</f>
        <v>18.7</v>
      </c>
      <c r="P213" s="56" t="n">
        <f aca="false">IF(OR(D213=1,K212=""),"",K212)</f>
        <v>1015.8</v>
      </c>
      <c r="Q213" s="56" t="n">
        <f aca="false">IF(OR(F213&lt;&gt;0,AND(I213&lt;&gt;"",E213&lt;I213)),1,0)</f>
        <v>0</v>
      </c>
      <c r="R213" s="56" t="n">
        <f aca="false">IF(AND(D213&gt;1,Q213=0,ISNUMBER(O213),ISNUMBER(P213)),IF(Q212=0,1,0),0)</f>
        <v>1</v>
      </c>
      <c r="S213" s="56" t="n">
        <f aca="false">R213*(B213&gt;=Train_Start)*(B213&lt;=Train_End)</f>
        <v>1</v>
      </c>
      <c r="T213" s="84" t="n">
        <f aca="false">IF(AND(ISNUMBER(O213),ISNUMBER(P213)),Coef_A+Coef_B1*O213+Coef_B2*P213,"")</f>
        <v>19.2741573010998</v>
      </c>
      <c r="U213" s="84" t="n">
        <f aca="false">IF(AND(R213=1,ISNUMBER(T213)),E213-T213,"")</f>
        <v>0.725842698900181</v>
      </c>
      <c r="V213" s="84" t="n">
        <f aca="false">IF(ISNUMBER(T213),T213,-99)</f>
        <v>19.2741573010998</v>
      </c>
      <c r="W213" s="84" t="n">
        <f aca="false">IF(ISNUMBER(U213),ABS(U213),"")</f>
        <v>0.725842698900181</v>
      </c>
    </row>
    <row r="214" customFormat="false" ht="15" hidden="false" customHeight="false" outlineLevel="0" collapsed="false">
      <c r="A214" s="57" t="n">
        <v>29401</v>
      </c>
      <c r="B214" s="56" t="n">
        <v>1980</v>
      </c>
      <c r="C214" s="56" t="n">
        <v>6</v>
      </c>
      <c r="D214" s="56" t="n">
        <v>60</v>
      </c>
      <c r="E214" s="56" t="n">
        <v>19.4</v>
      </c>
      <c r="F214" s="56" t="n">
        <v>0</v>
      </c>
      <c r="G214" s="56" t="n">
        <v>9</v>
      </c>
      <c r="H214" s="56" t="n">
        <v>0</v>
      </c>
      <c r="I214" s="56" t="n">
        <v>14.5</v>
      </c>
      <c r="J214" s="56" t="n">
        <v>0</v>
      </c>
      <c r="K214" s="56" t="n">
        <v>1012.7</v>
      </c>
      <c r="L214" s="56" t="n">
        <v>0</v>
      </c>
      <c r="M214" s="56" t="n">
        <v>74</v>
      </c>
      <c r="N214" s="56" t="n">
        <v>6</v>
      </c>
      <c r="O214" s="56" t="n">
        <f aca="false">IF(D214=1,"",E213)</f>
        <v>20</v>
      </c>
      <c r="P214" s="56" t="n">
        <f aca="false">IF(OR(D214=1,K213=""),"",K213)</f>
        <v>1007.1</v>
      </c>
      <c r="Q214" s="56" t="n">
        <f aca="false">IF(OR(F214&lt;&gt;0,AND(I214&lt;&gt;"",E214&lt;I214)),1,0)</f>
        <v>0</v>
      </c>
      <c r="R214" s="56" t="n">
        <f aca="false">IF(AND(D214&gt;1,Q214=0,ISNUMBER(O214),ISNUMBER(P214)),IF(Q213=0,1,0),0)</f>
        <v>1</v>
      </c>
      <c r="S214" s="56" t="n">
        <f aca="false">R214*(B214&gt;=Train_Start)*(B214&lt;=Train_End)</f>
        <v>1</v>
      </c>
      <c r="T214" s="84" t="n">
        <f aca="false">IF(AND(ISNUMBER(O214),ISNUMBER(P214)),Coef_A+Coef_B1*O214+Coef_B2*P214,"")</f>
        <v>20.0663801687396</v>
      </c>
      <c r="U214" s="84" t="n">
        <f aca="false">IF(AND(R214=1,ISNUMBER(T214)),E214-T214,"")</f>
        <v>-0.666380168739568</v>
      </c>
      <c r="V214" s="84" t="n">
        <f aca="false">IF(ISNUMBER(T214),T214,-99)</f>
        <v>20.0663801687396</v>
      </c>
      <c r="W214" s="84" t="n">
        <f aca="false">IF(ISNUMBER(U214),ABS(U214),"")</f>
        <v>0.666380168739568</v>
      </c>
    </row>
    <row r="215" customFormat="false" ht="15" hidden="false" customHeight="false" outlineLevel="0" collapsed="false">
      <c r="A215" s="57" t="n">
        <v>29402</v>
      </c>
      <c r="B215" s="56" t="n">
        <v>1980</v>
      </c>
      <c r="C215" s="56" t="n">
        <v>6</v>
      </c>
      <c r="D215" s="56" t="n">
        <v>61</v>
      </c>
      <c r="E215" s="56" t="n">
        <v>16</v>
      </c>
      <c r="F215" s="56" t="n">
        <v>0</v>
      </c>
      <c r="G215" s="56" t="n">
        <v>9</v>
      </c>
      <c r="H215" s="56" t="n">
        <v>0</v>
      </c>
      <c r="I215" s="56" t="n">
        <v>14.2</v>
      </c>
      <c r="J215" s="56" t="n">
        <v>0</v>
      </c>
      <c r="K215" s="56" t="n">
        <v>1010.9</v>
      </c>
      <c r="L215" s="56" t="n">
        <v>0</v>
      </c>
      <c r="M215" s="56" t="n">
        <v>81</v>
      </c>
      <c r="N215" s="56" t="n">
        <v>8.3</v>
      </c>
      <c r="O215" s="56" t="n">
        <f aca="false">IF(D215=1,"",E214)</f>
        <v>19.4</v>
      </c>
      <c r="P215" s="56" t="n">
        <f aca="false">IF(OR(D215=1,K214=""),"",K214)</f>
        <v>1012.7</v>
      </c>
      <c r="Q215" s="56" t="n">
        <f aca="false">IF(OR(F215&lt;&gt;0,AND(I215&lt;&gt;"",E215&lt;I215)),1,0)</f>
        <v>0</v>
      </c>
      <c r="R215" s="56" t="n">
        <f aca="false">IF(AND(D215&gt;1,Q215=0,ISNUMBER(O215),ISNUMBER(P215)),IF(Q214=0,1,0),0)</f>
        <v>1</v>
      </c>
      <c r="S215" s="56" t="n">
        <f aca="false">R215*(B215&gt;=Train_Start)*(B215&lt;=Train_End)</f>
        <v>1</v>
      </c>
      <c r="T215" s="84" t="n">
        <f aca="false">IF(AND(ISNUMBER(O215),ISNUMBER(P215)),Coef_A+Coef_B1*O215+Coef_B2*P215,"")</f>
        <v>19.7504480628643</v>
      </c>
      <c r="U215" s="84" t="n">
        <f aca="false">IF(AND(R215=1,ISNUMBER(T215)),E215-T215,"")</f>
        <v>-3.75044806286431</v>
      </c>
      <c r="V215" s="84" t="n">
        <f aca="false">IF(ISNUMBER(T215),T215,-99)</f>
        <v>19.7504480628643</v>
      </c>
      <c r="W215" s="84" t="n">
        <f aca="false">IF(ISNUMBER(U215),ABS(U215),"")</f>
        <v>3.75044806286431</v>
      </c>
    </row>
    <row r="216" customFormat="false" ht="15" hidden="false" customHeight="false" outlineLevel="0" collapsed="false">
      <c r="A216" s="57" t="n">
        <v>29403</v>
      </c>
      <c r="B216" s="56" t="n">
        <v>1980</v>
      </c>
      <c r="C216" s="56" t="n">
        <v>7</v>
      </c>
      <c r="D216" s="56" t="n">
        <v>62</v>
      </c>
      <c r="E216" s="56" t="n">
        <v>21.1</v>
      </c>
      <c r="F216" s="56" t="n">
        <v>0</v>
      </c>
      <c r="G216" s="56" t="n">
        <v>10</v>
      </c>
      <c r="H216" s="56" t="n">
        <v>0</v>
      </c>
      <c r="I216" s="56" t="n">
        <v>13</v>
      </c>
      <c r="J216" s="56" t="n">
        <v>0</v>
      </c>
      <c r="K216" s="56" t="n">
        <v>1005.9</v>
      </c>
      <c r="L216" s="56" t="n">
        <v>0</v>
      </c>
      <c r="M216" s="56" t="n">
        <v>87</v>
      </c>
      <c r="N216" s="56" t="n">
        <v>0.1</v>
      </c>
      <c r="O216" s="56" t="n">
        <f aca="false">IF(D216=1,"",E215)</f>
        <v>16</v>
      </c>
      <c r="P216" s="56" t="n">
        <f aca="false">IF(OR(D216=1,K215=""),"",K215)</f>
        <v>1010.9</v>
      </c>
      <c r="Q216" s="56" t="n">
        <f aca="false">IF(OR(F216&lt;&gt;0,AND(I216&lt;&gt;"",E216&lt;I216)),1,0)</f>
        <v>0</v>
      </c>
      <c r="R216" s="56" t="n">
        <f aca="false">IF(AND(D216&gt;1,Q216=0,ISNUMBER(O216),ISNUMBER(P216)),IF(Q215=0,1,0),0)</f>
        <v>1</v>
      </c>
      <c r="S216" s="56" t="n">
        <f aca="false">R216*(B216&gt;=Train_Start)*(B216&lt;=Train_End)</f>
        <v>1</v>
      </c>
      <c r="T216" s="84" t="n">
        <f aca="false">IF(AND(ISNUMBER(O216),ISNUMBER(P216)),Coef_A+Coef_B1*O216+Coef_B2*P216,"")</f>
        <v>16.9082289961781</v>
      </c>
      <c r="U216" s="84" t="n">
        <f aca="false">IF(AND(R216=1,ISNUMBER(T216)),E216-T216,"")</f>
        <v>4.19177100382191</v>
      </c>
      <c r="V216" s="84" t="n">
        <f aca="false">IF(ISNUMBER(T216),T216,-99)</f>
        <v>16.9082289961781</v>
      </c>
      <c r="W216" s="84" t="n">
        <f aca="false">IF(ISNUMBER(U216),ABS(U216),"")</f>
        <v>4.19177100382191</v>
      </c>
    </row>
    <row r="217" customFormat="false" ht="15" hidden="false" customHeight="false" outlineLevel="0" collapsed="false">
      <c r="A217" s="57" t="n">
        <v>29404</v>
      </c>
      <c r="B217" s="56" t="n">
        <v>1980</v>
      </c>
      <c r="C217" s="56" t="n">
        <v>7</v>
      </c>
      <c r="D217" s="56" t="n">
        <v>63</v>
      </c>
      <c r="E217" s="56" t="n">
        <v>21.8</v>
      </c>
      <c r="F217" s="56" t="n">
        <v>0</v>
      </c>
      <c r="G217" s="56" t="n">
        <v>10.1</v>
      </c>
      <c r="H217" s="56" t="n">
        <v>0</v>
      </c>
      <c r="I217" s="56" t="n">
        <v>15.6</v>
      </c>
      <c r="J217" s="56" t="n">
        <v>0</v>
      </c>
      <c r="K217" s="56" t="n">
        <v>1016.6</v>
      </c>
      <c r="L217" s="56" t="n">
        <v>0</v>
      </c>
      <c r="M217" s="56" t="n">
        <v>75</v>
      </c>
      <c r="N217" s="56" t="n">
        <v>7.8</v>
      </c>
      <c r="O217" s="56" t="n">
        <f aca="false">IF(D217=1,"",E216)</f>
        <v>21.1</v>
      </c>
      <c r="P217" s="56" t="n">
        <f aca="false">IF(OR(D217=1,K216=""),"",K216)</f>
        <v>1005.9</v>
      </c>
      <c r="Q217" s="56" t="n">
        <f aca="false">IF(OR(F217&lt;&gt;0,AND(I217&lt;&gt;"",E217&lt;I217)),1,0)</f>
        <v>0</v>
      </c>
      <c r="R217" s="56" t="n">
        <f aca="false">IF(AND(D217&gt;1,Q217=0,ISNUMBER(O217),ISNUMBER(P217)),IF(Q216=0,1,0),0)</f>
        <v>1</v>
      </c>
      <c r="S217" s="56" t="n">
        <f aca="false">R217*(B217&gt;=Train_Start)*(B217&lt;=Train_End)</f>
        <v>1</v>
      </c>
      <c r="T217" s="84" t="n">
        <f aca="false">IF(AND(ISNUMBER(O217),ISNUMBER(P217)),Coef_A+Coef_B1*O217+Coef_B2*P217,"")</f>
        <v>20.9300094075257</v>
      </c>
      <c r="U217" s="84" t="n">
        <f aca="false">IF(AND(R217=1,ISNUMBER(T217)),E217-T217,"")</f>
        <v>0.869990592474299</v>
      </c>
      <c r="V217" s="84" t="n">
        <f aca="false">IF(ISNUMBER(T217),T217,-99)</f>
        <v>20.9300094075257</v>
      </c>
      <c r="W217" s="84" t="n">
        <f aca="false">IF(ISNUMBER(U217),ABS(U217),"")</f>
        <v>0.869990592474299</v>
      </c>
    </row>
    <row r="218" customFormat="false" ht="15" hidden="false" customHeight="false" outlineLevel="0" collapsed="false">
      <c r="A218" s="57" t="n">
        <v>29405</v>
      </c>
      <c r="B218" s="56" t="n">
        <v>1980</v>
      </c>
      <c r="C218" s="56" t="n">
        <v>7</v>
      </c>
      <c r="D218" s="56" t="n">
        <v>64</v>
      </c>
      <c r="E218" s="56" t="n">
        <v>18.5</v>
      </c>
      <c r="F218" s="56" t="n">
        <v>0</v>
      </c>
      <c r="G218" s="56" t="n">
        <v>11.6</v>
      </c>
      <c r="H218" s="56" t="n">
        <v>0</v>
      </c>
      <c r="I218" s="56" t="n">
        <v>16.7</v>
      </c>
      <c r="J218" s="56" t="n">
        <v>0</v>
      </c>
      <c r="K218" s="56" t="n">
        <v>1019.8</v>
      </c>
      <c r="L218" s="56" t="n">
        <v>0</v>
      </c>
      <c r="M218" s="56" t="n">
        <v>74</v>
      </c>
      <c r="N218" s="56" t="n">
        <v>11.2</v>
      </c>
      <c r="O218" s="56" t="n">
        <f aca="false">IF(D218=1,"",E217)</f>
        <v>21.8</v>
      </c>
      <c r="P218" s="56" t="n">
        <f aca="false">IF(OR(D218=1,K217=""),"",K217)</f>
        <v>1016.6</v>
      </c>
      <c r="Q218" s="56" t="n">
        <f aca="false">IF(OR(F218&lt;&gt;0,AND(I218&lt;&gt;"",E218&lt;I218)),1,0)</f>
        <v>0</v>
      </c>
      <c r="R218" s="56" t="n">
        <f aca="false">IF(AND(D218&gt;1,Q218=0,ISNUMBER(O218),ISNUMBER(P218)),IF(Q217=0,1,0),0)</f>
        <v>1</v>
      </c>
      <c r="S218" s="56" t="n">
        <f aca="false">R218*(B218&gt;=Train_Start)*(B218&lt;=Train_End)</f>
        <v>1</v>
      </c>
      <c r="T218" s="84" t="n">
        <f aca="false">IF(AND(ISNUMBER(O218),ISNUMBER(P218)),Coef_A+Coef_B1*O218+Coef_B2*P218,"")</f>
        <v>21.8392047152393</v>
      </c>
      <c r="U218" s="84" t="n">
        <f aca="false">IF(AND(R218=1,ISNUMBER(T218)),E218-T218,"")</f>
        <v>-3.33920471523925</v>
      </c>
      <c r="V218" s="84" t="n">
        <f aca="false">IF(ISNUMBER(T218),T218,-99)</f>
        <v>21.8392047152393</v>
      </c>
      <c r="W218" s="84" t="n">
        <f aca="false">IF(ISNUMBER(U218),ABS(U218),"")</f>
        <v>3.33920471523925</v>
      </c>
    </row>
    <row r="219" customFormat="false" ht="15" hidden="false" customHeight="false" outlineLevel="0" collapsed="false">
      <c r="A219" s="57" t="n">
        <v>29406</v>
      </c>
      <c r="B219" s="56" t="n">
        <v>1980</v>
      </c>
      <c r="C219" s="56" t="n">
        <v>7</v>
      </c>
      <c r="D219" s="56" t="n">
        <v>65</v>
      </c>
      <c r="E219" s="56" t="n">
        <v>19.3</v>
      </c>
      <c r="F219" s="56" t="n">
        <v>0</v>
      </c>
      <c r="G219" s="56" t="n">
        <v>12.1</v>
      </c>
      <c r="H219" s="56" t="n">
        <v>0</v>
      </c>
      <c r="I219" s="56" t="n">
        <v>15.3</v>
      </c>
      <c r="J219" s="56" t="n">
        <v>0</v>
      </c>
      <c r="K219" s="56" t="n">
        <v>1014.4</v>
      </c>
      <c r="L219" s="56" t="n">
        <v>0</v>
      </c>
      <c r="M219" s="56" t="n">
        <v>80</v>
      </c>
      <c r="N219" s="56" t="n">
        <v>3</v>
      </c>
      <c r="O219" s="56" t="n">
        <f aca="false">IF(D219=1,"",E218)</f>
        <v>18.5</v>
      </c>
      <c r="P219" s="56" t="n">
        <f aca="false">IF(OR(D219=1,K218=""),"",K218)</f>
        <v>1019.8</v>
      </c>
      <c r="Q219" s="56" t="n">
        <f aca="false">IF(OR(F219&lt;&gt;0,AND(I219&lt;&gt;"",E219&lt;I219)),1,0)</f>
        <v>0</v>
      </c>
      <c r="R219" s="56" t="n">
        <f aca="false">IF(AND(D219&gt;1,Q219=0,ISNUMBER(O219),ISNUMBER(P219)),IF(Q218=0,1,0),0)</f>
        <v>1</v>
      </c>
      <c r="S219" s="56" t="n">
        <f aca="false">R219*(B219&gt;=Train_Start)*(B219&lt;=Train_End)</f>
        <v>1</v>
      </c>
      <c r="T219" s="84" t="n">
        <f aca="false">IF(AND(ISNUMBER(O219),ISNUMBER(P219)),Coef_A+Coef_B1*O219+Coef_B2*P219,"")</f>
        <v>19.2357690410272</v>
      </c>
      <c r="U219" s="84" t="n">
        <f aca="false">IF(AND(R219=1,ISNUMBER(T219)),E219-T219,"")</f>
        <v>0.0642309589727574</v>
      </c>
      <c r="V219" s="84" t="n">
        <f aca="false">IF(ISNUMBER(T219),T219,-99)</f>
        <v>19.2357690410272</v>
      </c>
      <c r="W219" s="84" t="n">
        <f aca="false">IF(ISNUMBER(U219),ABS(U219),"")</f>
        <v>0.0642309589727574</v>
      </c>
    </row>
    <row r="220" customFormat="false" ht="15" hidden="false" customHeight="false" outlineLevel="0" collapsed="false">
      <c r="A220" s="57" t="n">
        <v>29407</v>
      </c>
      <c r="B220" s="56" t="n">
        <v>1980</v>
      </c>
      <c r="C220" s="56" t="n">
        <v>7</v>
      </c>
      <c r="D220" s="56" t="n">
        <v>66</v>
      </c>
      <c r="E220" s="56" t="n">
        <v>18.2</v>
      </c>
      <c r="F220" s="56" t="n">
        <v>0</v>
      </c>
      <c r="G220" s="56" t="n">
        <v>9.8</v>
      </c>
      <c r="H220" s="56" t="n">
        <v>0</v>
      </c>
      <c r="I220" s="56" t="n">
        <v>14.6</v>
      </c>
      <c r="J220" s="56" t="n">
        <v>0</v>
      </c>
      <c r="K220" s="56" t="n">
        <v>1012.3</v>
      </c>
      <c r="L220" s="56" t="n">
        <v>0</v>
      </c>
      <c r="M220" s="56" t="n">
        <v>70</v>
      </c>
      <c r="N220" s="56" t="n">
        <v>7.8</v>
      </c>
      <c r="O220" s="56" t="n">
        <f aca="false">IF(D220=1,"",E219)</f>
        <v>19.3</v>
      </c>
      <c r="P220" s="56" t="n">
        <f aca="false">IF(OR(D220=1,K219=""),"",K219)</f>
        <v>1014.4</v>
      </c>
      <c r="Q220" s="56" t="n">
        <f aca="false">IF(OR(F220&lt;&gt;0,AND(I220&lt;&gt;"",E220&lt;I220)),1,0)</f>
        <v>0</v>
      </c>
      <c r="R220" s="56" t="n">
        <f aca="false">IF(AND(D220&gt;1,Q220=0,ISNUMBER(O220),ISNUMBER(P220)),IF(Q219=0,1,0),0)</f>
        <v>1</v>
      </c>
      <c r="S220" s="56" t="n">
        <f aca="false">R220*(B220&gt;=Train_Start)*(B220&lt;=Train_End)</f>
        <v>1</v>
      </c>
      <c r="T220" s="84" t="n">
        <f aca="false">IF(AND(ISNUMBER(O220),ISNUMBER(P220)),Coef_A+Coef_B1*O220+Coef_B2*P220,"")</f>
        <v>19.7218429644378</v>
      </c>
      <c r="U220" s="84" t="n">
        <f aca="false">IF(AND(R220=1,ISNUMBER(T220)),E220-T220,"")</f>
        <v>-1.52184296443783</v>
      </c>
      <c r="V220" s="84" t="n">
        <f aca="false">IF(ISNUMBER(T220),T220,-99)</f>
        <v>19.7218429644378</v>
      </c>
      <c r="W220" s="84" t="n">
        <f aca="false">IF(ISNUMBER(U220),ABS(U220),"")</f>
        <v>1.52184296443783</v>
      </c>
    </row>
    <row r="221" customFormat="false" ht="15" hidden="false" customHeight="false" outlineLevel="0" collapsed="false">
      <c r="A221" s="57" t="n">
        <v>29408</v>
      </c>
      <c r="B221" s="56" t="n">
        <v>1980</v>
      </c>
      <c r="C221" s="56" t="n">
        <v>7</v>
      </c>
      <c r="D221" s="56" t="n">
        <v>67</v>
      </c>
      <c r="E221" s="56" t="n">
        <v>17.5</v>
      </c>
      <c r="F221" s="56" t="n">
        <v>0</v>
      </c>
      <c r="G221" s="56" t="n">
        <v>11.4</v>
      </c>
      <c r="H221" s="56" t="n">
        <v>0</v>
      </c>
      <c r="I221" s="56" t="n">
        <v>14.8</v>
      </c>
      <c r="J221" s="56" t="n">
        <v>0</v>
      </c>
      <c r="K221" s="56" t="n">
        <v>1010.7</v>
      </c>
      <c r="L221" s="56" t="n">
        <v>0</v>
      </c>
      <c r="M221" s="56" t="n">
        <v>78</v>
      </c>
      <c r="N221" s="56" t="n">
        <v>2.7</v>
      </c>
      <c r="O221" s="56" t="n">
        <f aca="false">IF(D221=1,"",E220)</f>
        <v>18.2</v>
      </c>
      <c r="P221" s="56" t="n">
        <f aca="false">IF(OR(D221=1,K220=""),"",K220)</f>
        <v>1012.3</v>
      </c>
      <c r="Q221" s="56" t="n">
        <f aca="false">IF(OR(F221&lt;&gt;0,AND(I221&lt;&gt;"",E221&lt;I221)),1,0)</f>
        <v>0</v>
      </c>
      <c r="R221" s="56" t="n">
        <f aca="false">IF(AND(D221&gt;1,Q221=0,ISNUMBER(O221),ISNUMBER(P221)),IF(Q220=0,1,0),0)</f>
        <v>1</v>
      </c>
      <c r="S221" s="56" t="n">
        <f aca="false">R221*(B221&gt;=Train_Start)*(B221&lt;=Train_End)</f>
        <v>1</v>
      </c>
      <c r="T221" s="84" t="n">
        <f aca="false">IF(AND(ISNUMBER(O221),ISNUMBER(P221)),Coef_A+Coef_B1*O221+Coef_B2*P221,"")</f>
        <v>18.7546930733595</v>
      </c>
      <c r="U221" s="84" t="n">
        <f aca="false">IF(AND(R221=1,ISNUMBER(T221)),E221-T221,"")</f>
        <v>-1.25469307335953</v>
      </c>
      <c r="V221" s="84" t="n">
        <f aca="false">IF(ISNUMBER(T221),T221,-99)</f>
        <v>18.7546930733595</v>
      </c>
      <c r="W221" s="84" t="n">
        <f aca="false">IF(ISNUMBER(U221),ABS(U221),"")</f>
        <v>1.25469307335953</v>
      </c>
    </row>
    <row r="222" customFormat="false" ht="15" hidden="false" customHeight="false" outlineLevel="0" collapsed="false">
      <c r="A222" s="57" t="n">
        <v>29409</v>
      </c>
      <c r="B222" s="56" t="n">
        <v>1980</v>
      </c>
      <c r="C222" s="56" t="n">
        <v>7</v>
      </c>
      <c r="D222" s="56" t="n">
        <v>68</v>
      </c>
      <c r="E222" s="56" t="n">
        <v>15.6</v>
      </c>
      <c r="F222" s="56" t="n">
        <v>0</v>
      </c>
      <c r="G222" s="56" t="n">
        <v>11.9</v>
      </c>
      <c r="H222" s="56" t="n">
        <v>0</v>
      </c>
      <c r="I222" s="56" t="n">
        <v>14.7</v>
      </c>
      <c r="J222" s="56" t="n">
        <v>0</v>
      </c>
      <c r="K222" s="56" t="n">
        <v>1005.9</v>
      </c>
      <c r="L222" s="56" t="n">
        <v>0</v>
      </c>
      <c r="M222" s="56" t="n">
        <v>90</v>
      </c>
      <c r="N222" s="56" t="n">
        <v>0.6</v>
      </c>
      <c r="O222" s="56" t="n">
        <f aca="false">IF(D222=1,"",E221)</f>
        <v>17.5</v>
      </c>
      <c r="P222" s="56" t="n">
        <f aca="false">IF(OR(D222=1,K221=""),"",K221)</f>
        <v>1010.7</v>
      </c>
      <c r="Q222" s="56" t="n">
        <f aca="false">IF(OR(F222&lt;&gt;0,AND(I222&lt;&gt;"",E222&lt;I222)),1,0)</f>
        <v>0</v>
      </c>
      <c r="R222" s="56" t="n">
        <f aca="false">IF(AND(D222&gt;1,Q222=0,ISNUMBER(O222),ISNUMBER(P222)),IF(Q221=0,1,0),0)</f>
        <v>1</v>
      </c>
      <c r="S222" s="56" t="n">
        <f aca="false">R222*(B222&gt;=Train_Start)*(B222&lt;=Train_End)</f>
        <v>1</v>
      </c>
      <c r="T222" s="84" t="n">
        <f aca="false">IF(AND(ISNUMBER(O222),ISNUMBER(P222)),Coef_A+Coef_B1*O222+Coef_B2*P222,"")</f>
        <v>18.1309638068153</v>
      </c>
      <c r="U222" s="84" t="n">
        <f aca="false">IF(AND(R222=1,ISNUMBER(T222)),E222-T222,"")</f>
        <v>-2.53096380681528</v>
      </c>
      <c r="V222" s="84" t="n">
        <f aca="false">IF(ISNUMBER(T222),T222,-99)</f>
        <v>18.1309638068153</v>
      </c>
      <c r="W222" s="84" t="n">
        <f aca="false">IF(ISNUMBER(U222),ABS(U222),"")</f>
        <v>2.53096380681528</v>
      </c>
    </row>
    <row r="223" customFormat="false" ht="15" hidden="false" customHeight="false" outlineLevel="0" collapsed="false">
      <c r="A223" s="57" t="n">
        <v>29410</v>
      </c>
      <c r="B223" s="56" t="n">
        <v>1980</v>
      </c>
      <c r="C223" s="56" t="n">
        <v>7</v>
      </c>
      <c r="D223" s="56" t="n">
        <v>69</v>
      </c>
      <c r="E223" s="56" t="n">
        <v>14.9</v>
      </c>
      <c r="F223" s="56" t="n">
        <v>0</v>
      </c>
      <c r="G223" s="56" t="n">
        <v>11.8</v>
      </c>
      <c r="H223" s="56" t="n">
        <v>0</v>
      </c>
      <c r="I223" s="56" t="n">
        <v>13.7</v>
      </c>
      <c r="J223" s="56" t="n">
        <v>0</v>
      </c>
      <c r="K223" s="56" t="n">
        <v>1002.5</v>
      </c>
      <c r="L223" s="56" t="n">
        <v>0</v>
      </c>
      <c r="M223" s="56" t="n">
        <v>83</v>
      </c>
      <c r="N223" s="56" t="n">
        <v>0</v>
      </c>
      <c r="O223" s="56" t="n">
        <f aca="false">IF(D223=1,"",E222)</f>
        <v>15.6</v>
      </c>
      <c r="P223" s="56" t="n">
        <f aca="false">IF(OR(D223=1,K222=""),"",K222)</f>
        <v>1005.9</v>
      </c>
      <c r="Q223" s="56" t="n">
        <f aca="false">IF(OR(F223&lt;&gt;0,AND(I223&lt;&gt;"",E223&lt;I223)),1,0)</f>
        <v>0</v>
      </c>
      <c r="R223" s="56" t="n">
        <f aca="false">IF(AND(D223&gt;1,Q223=0,ISNUMBER(O223),ISNUMBER(P223)),IF(Q222=0,1,0),0)</f>
        <v>1</v>
      </c>
      <c r="S223" s="56" t="n">
        <f aca="false">R223*(B223&gt;=Train_Start)*(B223&lt;=Train_End)</f>
        <v>1</v>
      </c>
      <c r="T223" s="84" t="n">
        <f aca="false">IF(AND(ISNUMBER(O223),ISNUMBER(P223)),Coef_A+Coef_B1*O223+Coef_B2*P223,"")</f>
        <v>16.4236438457911</v>
      </c>
      <c r="U223" s="84" t="n">
        <f aca="false">IF(AND(R223=1,ISNUMBER(T223)),E223-T223,"")</f>
        <v>-1.52364384579108</v>
      </c>
      <c r="V223" s="84" t="n">
        <f aca="false">IF(ISNUMBER(T223),T223,-99)</f>
        <v>16.4236438457911</v>
      </c>
      <c r="W223" s="84" t="n">
        <f aca="false">IF(ISNUMBER(U223),ABS(U223),"")</f>
        <v>1.52364384579108</v>
      </c>
    </row>
    <row r="224" customFormat="false" ht="15" hidden="false" customHeight="false" outlineLevel="0" collapsed="false">
      <c r="A224" s="57" t="n">
        <v>29411</v>
      </c>
      <c r="B224" s="56" t="n">
        <v>1980</v>
      </c>
      <c r="C224" s="56" t="n">
        <v>7</v>
      </c>
      <c r="D224" s="56" t="n">
        <v>70</v>
      </c>
      <c r="E224" s="56" t="n">
        <v>15.3</v>
      </c>
      <c r="F224" s="56" t="n">
        <v>0</v>
      </c>
      <c r="G224" s="56" t="n">
        <v>11.6</v>
      </c>
      <c r="H224" s="56" t="n">
        <v>0</v>
      </c>
      <c r="I224" s="56" t="n">
        <v>13.2</v>
      </c>
      <c r="J224" s="56" t="n">
        <v>0</v>
      </c>
      <c r="K224" s="56" t="n">
        <v>1008.3</v>
      </c>
      <c r="L224" s="56" t="n">
        <v>0</v>
      </c>
      <c r="M224" s="56" t="n">
        <v>84</v>
      </c>
      <c r="N224" s="56" t="n">
        <v>0</v>
      </c>
      <c r="O224" s="56" t="n">
        <f aca="false">IF(D224=1,"",E223)</f>
        <v>14.9</v>
      </c>
      <c r="P224" s="56" t="n">
        <f aca="false">IF(OR(D224=1,K223=""),"",K223)</f>
        <v>1002.5</v>
      </c>
      <c r="Q224" s="56" t="n">
        <f aca="false">IF(OR(F224&lt;&gt;0,AND(I224&lt;&gt;"",E224&lt;I224)),1,0)</f>
        <v>0</v>
      </c>
      <c r="R224" s="56" t="n">
        <f aca="false">IF(AND(D224&gt;1,Q224=0,ISNUMBER(O224),ISNUMBER(P224)),IF(Q223=0,1,0),0)</f>
        <v>1</v>
      </c>
      <c r="S224" s="56" t="n">
        <f aca="false">R224*(B224&gt;=Train_Start)*(B224&lt;=Train_End)</f>
        <v>1</v>
      </c>
      <c r="T224" s="84" t="n">
        <f aca="false">IF(AND(ISNUMBER(O224),ISNUMBER(P224)),Coef_A+Coef_B1*O224+Coef_B2*P224,"")</f>
        <v>15.7434487689057</v>
      </c>
      <c r="U224" s="84" t="n">
        <f aca="false">IF(AND(R224=1,ISNUMBER(T224)),E224-T224,"")</f>
        <v>-0.443448768905661</v>
      </c>
      <c r="V224" s="84" t="n">
        <f aca="false">IF(ISNUMBER(T224),T224,-99)</f>
        <v>15.7434487689057</v>
      </c>
      <c r="W224" s="84" t="n">
        <f aca="false">IF(ISNUMBER(U224),ABS(U224),"")</f>
        <v>0.443448768905661</v>
      </c>
    </row>
    <row r="225" customFormat="false" ht="15" hidden="false" customHeight="false" outlineLevel="0" collapsed="false">
      <c r="A225" s="57" t="n">
        <v>29412</v>
      </c>
      <c r="B225" s="56" t="n">
        <v>1980</v>
      </c>
      <c r="C225" s="56" t="n">
        <v>7</v>
      </c>
      <c r="D225" s="56" t="n">
        <v>71</v>
      </c>
      <c r="E225" s="56" t="n">
        <v>19.4</v>
      </c>
      <c r="F225" s="56" t="n">
        <v>0</v>
      </c>
      <c r="G225" s="56" t="n">
        <v>9.6</v>
      </c>
      <c r="H225" s="56" t="n">
        <v>0</v>
      </c>
      <c r="I225" s="56" t="n">
        <v>12.4</v>
      </c>
      <c r="J225" s="56" t="n">
        <v>0</v>
      </c>
      <c r="K225" s="56" t="n">
        <v>1017.1</v>
      </c>
      <c r="L225" s="56" t="n">
        <v>0</v>
      </c>
      <c r="M225" s="56" t="n">
        <v>72</v>
      </c>
      <c r="N225" s="56" t="n">
        <v>0.1</v>
      </c>
      <c r="O225" s="56" t="n">
        <f aca="false">IF(D225=1,"",E224)</f>
        <v>15.3</v>
      </c>
      <c r="P225" s="56" t="n">
        <f aca="false">IF(OR(D225=1,K224=""),"",K224)</f>
        <v>1008.3</v>
      </c>
      <c r="Q225" s="56" t="n">
        <f aca="false">IF(OR(F225&lt;&gt;0,AND(I225&lt;&gt;"",E225&lt;I225)),1,0)</f>
        <v>0</v>
      </c>
      <c r="R225" s="56" t="n">
        <f aca="false">IF(AND(D225&gt;1,Q225=0,ISNUMBER(O225),ISNUMBER(P225)),IF(Q224=0,1,0),0)</f>
        <v>1</v>
      </c>
      <c r="S225" s="56" t="n">
        <f aca="false">R225*(B225&gt;=Train_Start)*(B225&lt;=Train_End)</f>
        <v>1</v>
      </c>
      <c r="T225" s="84" t="n">
        <f aca="false">IF(AND(ISNUMBER(O225),ISNUMBER(P225)),Coef_A+Coef_B1*O225+Coef_B2*P225,"")</f>
        <v>16.2531298349999</v>
      </c>
      <c r="U225" s="84" t="n">
        <f aca="false">IF(AND(R225=1,ISNUMBER(T225)),E225-T225,"")</f>
        <v>3.14687016500013</v>
      </c>
      <c r="V225" s="84" t="n">
        <f aca="false">IF(ISNUMBER(T225),T225,-99)</f>
        <v>16.2531298349999</v>
      </c>
      <c r="W225" s="84" t="n">
        <f aca="false">IF(ISNUMBER(U225),ABS(U225),"")</f>
        <v>3.14687016500013</v>
      </c>
    </row>
    <row r="226" customFormat="false" ht="15" hidden="false" customHeight="false" outlineLevel="0" collapsed="false">
      <c r="A226" s="57" t="n">
        <v>29413</v>
      </c>
      <c r="B226" s="56" t="n">
        <v>1980</v>
      </c>
      <c r="C226" s="56" t="n">
        <v>7</v>
      </c>
      <c r="D226" s="56" t="n">
        <v>72</v>
      </c>
      <c r="E226" s="56" t="n">
        <v>17.6</v>
      </c>
      <c r="F226" s="56" t="n">
        <v>0</v>
      </c>
      <c r="G226" s="56" t="n">
        <v>9.4</v>
      </c>
      <c r="H226" s="56" t="n">
        <v>0</v>
      </c>
      <c r="I226" s="56" t="n">
        <v>14.4</v>
      </c>
      <c r="J226" s="56" t="n">
        <v>0</v>
      </c>
      <c r="K226" s="56" t="n">
        <v>1021.3</v>
      </c>
      <c r="L226" s="56" t="n">
        <v>0</v>
      </c>
      <c r="M226" s="56" t="n">
        <v>75</v>
      </c>
      <c r="N226" s="56" t="n">
        <v>5.9</v>
      </c>
      <c r="O226" s="56" t="n">
        <f aca="false">IF(D226=1,"",E225)</f>
        <v>19.4</v>
      </c>
      <c r="P226" s="56" t="n">
        <f aca="false">IF(OR(D226=1,K225=""),"",K225)</f>
        <v>1017.1</v>
      </c>
      <c r="Q226" s="56" t="n">
        <f aca="false">IF(OR(F226&lt;&gt;0,AND(I226&lt;&gt;"",E226&lt;I226)),1,0)</f>
        <v>0</v>
      </c>
      <c r="R226" s="56" t="n">
        <f aca="false">IF(AND(D226&gt;1,Q226=0,ISNUMBER(O226),ISNUMBER(P226)),IF(Q225=0,1,0),0)</f>
        <v>1</v>
      </c>
      <c r="S226" s="56" t="n">
        <f aca="false">R226*(B226&gt;=Train_Start)*(B226&lt;=Train_End)</f>
        <v>1</v>
      </c>
      <c r="T226" s="84" t="n">
        <f aca="false">IF(AND(ISNUMBER(O226),ISNUMBER(P226)),Coef_A+Coef_B1*O226+Coef_B2*P226,"")</f>
        <v>19.8884755992539</v>
      </c>
      <c r="U226" s="84" t="n">
        <f aca="false">IF(AND(R226=1,ISNUMBER(T226)),E226-T226,"")</f>
        <v>-2.28847559925386</v>
      </c>
      <c r="V226" s="84" t="n">
        <f aca="false">IF(ISNUMBER(T226),T226,-99)</f>
        <v>19.8884755992539</v>
      </c>
      <c r="W226" s="84" t="n">
        <f aca="false">IF(ISNUMBER(U226),ABS(U226),"")</f>
        <v>2.28847559925386</v>
      </c>
    </row>
    <row r="227" customFormat="false" ht="15" hidden="false" customHeight="false" outlineLevel="0" collapsed="false">
      <c r="A227" s="57" t="n">
        <v>29414</v>
      </c>
      <c r="B227" s="56" t="n">
        <v>1980</v>
      </c>
      <c r="C227" s="56" t="n">
        <v>7</v>
      </c>
      <c r="D227" s="56" t="n">
        <v>73</v>
      </c>
      <c r="E227" s="56" t="n">
        <v>17.7</v>
      </c>
      <c r="F227" s="56" t="n">
        <v>0</v>
      </c>
      <c r="G227" s="56" t="n">
        <v>11.7</v>
      </c>
      <c r="H227" s="56" t="n">
        <v>0</v>
      </c>
      <c r="I227" s="56" t="n">
        <v>14.6</v>
      </c>
      <c r="J227" s="56" t="n">
        <v>0</v>
      </c>
      <c r="K227" s="56" t="n">
        <v>1020</v>
      </c>
      <c r="L227" s="56" t="n">
        <v>0</v>
      </c>
      <c r="M227" s="56" t="n">
        <v>72</v>
      </c>
      <c r="N227" s="56" t="n">
        <v>1.9</v>
      </c>
      <c r="O227" s="56" t="n">
        <f aca="false">IF(D227=1,"",E226)</f>
        <v>17.6</v>
      </c>
      <c r="P227" s="56" t="n">
        <f aca="false">IF(OR(D227=1,K226=""),"",K226)</f>
        <v>1021.3</v>
      </c>
      <c r="Q227" s="56" t="n">
        <f aca="false">IF(OR(F227&lt;&gt;0,AND(I227&lt;&gt;"",E227&lt;I227)),1,0)</f>
        <v>0</v>
      </c>
      <c r="R227" s="56" t="n">
        <f aca="false">IF(AND(D227&gt;1,Q227=0,ISNUMBER(O227),ISNUMBER(P227)),IF(Q226=0,1,0),0)</f>
        <v>1</v>
      </c>
      <c r="S227" s="56" t="n">
        <f aca="false">R227*(B227&gt;=Train_Start)*(B227&lt;=Train_End)</f>
        <v>1</v>
      </c>
      <c r="T227" s="84" t="n">
        <f aca="false">IF(AND(ISNUMBER(O227),ISNUMBER(P227)),Coef_A+Coef_B1*O227+Coef_B2*P227,"")</f>
        <v>18.5454186092398</v>
      </c>
      <c r="U227" s="84" t="n">
        <f aca="false">IF(AND(R227=1,ISNUMBER(T227)),E227-T227,"")</f>
        <v>-0.84541860923984</v>
      </c>
      <c r="V227" s="84" t="n">
        <f aca="false">IF(ISNUMBER(T227),T227,-99)</f>
        <v>18.5454186092398</v>
      </c>
      <c r="W227" s="84" t="n">
        <f aca="false">IF(ISNUMBER(U227),ABS(U227),"")</f>
        <v>0.84541860923984</v>
      </c>
    </row>
    <row r="228" customFormat="false" ht="15" hidden="false" customHeight="false" outlineLevel="0" collapsed="false">
      <c r="A228" s="57" t="n">
        <v>29415</v>
      </c>
      <c r="B228" s="56" t="n">
        <v>1980</v>
      </c>
      <c r="C228" s="56" t="n">
        <v>7</v>
      </c>
      <c r="D228" s="56" t="n">
        <v>74</v>
      </c>
      <c r="E228" s="56" t="n">
        <v>15.3</v>
      </c>
      <c r="F228" s="56" t="n">
        <v>0</v>
      </c>
      <c r="G228" s="56" t="n">
        <v>11</v>
      </c>
      <c r="H228" s="56" t="n">
        <v>0</v>
      </c>
      <c r="I228" s="56" t="n">
        <v>14.4</v>
      </c>
      <c r="J228" s="56" t="n">
        <v>0</v>
      </c>
      <c r="K228" s="56" t="n">
        <v>1013.3</v>
      </c>
      <c r="L228" s="56" t="n">
        <v>0</v>
      </c>
      <c r="M228" s="56" t="n">
        <v>83</v>
      </c>
      <c r="N228" s="56" t="n">
        <v>5.2</v>
      </c>
      <c r="O228" s="56" t="n">
        <f aca="false">IF(D228=1,"",E227)</f>
        <v>17.7</v>
      </c>
      <c r="P228" s="56" t="n">
        <f aca="false">IF(OR(D228=1,K227=""),"",K227)</f>
        <v>1020</v>
      </c>
      <c r="Q228" s="56" t="n">
        <f aca="false">IF(OR(F228&lt;&gt;0,AND(I228&lt;&gt;"",E228&lt;I228)),1,0)</f>
        <v>0</v>
      </c>
      <c r="R228" s="56" t="n">
        <f aca="false">IF(AND(D228&gt;1,Q228=0,ISNUMBER(O228),ISNUMBER(P228)),IF(Q227=0,1,0),0)</f>
        <v>1</v>
      </c>
      <c r="S228" s="56" t="n">
        <f aca="false">R228*(B228&gt;=Train_Start)*(B228&lt;=Train_End)</f>
        <v>1</v>
      </c>
      <c r="T228" s="84" t="n">
        <f aca="false">IF(AND(ISNUMBER(O228),ISNUMBER(P228)),Coef_A+Coef_B1*O228+Coef_B2*P228,"")</f>
        <v>18.5865716655199</v>
      </c>
      <c r="U228" s="84" t="n">
        <f aca="false">IF(AND(R228=1,ISNUMBER(T228)),E228-T228,"")</f>
        <v>-3.28657166551992</v>
      </c>
      <c r="V228" s="84" t="n">
        <f aca="false">IF(ISNUMBER(T228),T228,-99)</f>
        <v>18.5865716655199</v>
      </c>
      <c r="W228" s="84" t="n">
        <f aca="false">IF(ISNUMBER(U228),ABS(U228),"")</f>
        <v>3.28657166551992</v>
      </c>
    </row>
    <row r="229" customFormat="false" ht="15" hidden="false" customHeight="false" outlineLevel="0" collapsed="false">
      <c r="A229" s="57" t="n">
        <v>29416</v>
      </c>
      <c r="B229" s="56" t="n">
        <v>1980</v>
      </c>
      <c r="C229" s="56" t="n">
        <v>7</v>
      </c>
      <c r="D229" s="56" t="n">
        <v>75</v>
      </c>
      <c r="E229" s="56" t="n">
        <v>16.9</v>
      </c>
      <c r="F229" s="56" t="n">
        <v>0</v>
      </c>
      <c r="G229" s="56" t="n">
        <v>13</v>
      </c>
      <c r="H229" s="56" t="n">
        <v>0</v>
      </c>
      <c r="I229" s="56" t="n">
        <v>14.2</v>
      </c>
      <c r="J229" s="56" t="n">
        <v>0</v>
      </c>
      <c r="K229" s="56" t="n">
        <v>1004.7</v>
      </c>
      <c r="L229" s="56" t="n">
        <v>0</v>
      </c>
      <c r="M229" s="56" t="n">
        <v>87</v>
      </c>
      <c r="N229" s="56" t="n">
        <v>0.4</v>
      </c>
      <c r="O229" s="56" t="n">
        <f aca="false">IF(D229=1,"",E228)</f>
        <v>15.3</v>
      </c>
      <c r="P229" s="56" t="n">
        <f aca="false">IF(OR(D229=1,K228=""),"",K228)</f>
        <v>1013.3</v>
      </c>
      <c r="Q229" s="56" t="n">
        <f aca="false">IF(OR(F229&lt;&gt;0,AND(I229&lt;&gt;"",E229&lt;I229)),1,0)</f>
        <v>0</v>
      </c>
      <c r="R229" s="56" t="n">
        <f aca="false">IF(AND(D229&gt;1,Q229=0,ISNUMBER(O229),ISNUMBER(P229)),IF(Q228=0,1,0),0)</f>
        <v>1</v>
      </c>
      <c r="S229" s="56" t="n">
        <f aca="false">R229*(B229&gt;=Train_Start)*(B229&lt;=Train_End)</f>
        <v>1</v>
      </c>
      <c r="T229" s="84" t="n">
        <f aca="false">IF(AND(ISNUMBER(O229),ISNUMBER(P229)),Coef_A+Coef_B1*O229+Coef_B2*P229,"")</f>
        <v>16.4099793081698</v>
      </c>
      <c r="U229" s="84" t="n">
        <f aca="false">IF(AND(R229=1,ISNUMBER(T229)),E229-T229,"")</f>
        <v>0.490020691830189</v>
      </c>
      <c r="V229" s="84" t="n">
        <f aca="false">IF(ISNUMBER(T229),T229,-99)</f>
        <v>16.4099793081698</v>
      </c>
      <c r="W229" s="84" t="n">
        <f aca="false">IF(ISNUMBER(U229),ABS(U229),"")</f>
        <v>0.490020691830189</v>
      </c>
    </row>
    <row r="230" customFormat="false" ht="15" hidden="false" customHeight="false" outlineLevel="0" collapsed="false">
      <c r="A230" s="57" t="n">
        <v>29417</v>
      </c>
      <c r="B230" s="56" t="n">
        <v>1980</v>
      </c>
      <c r="C230" s="56" t="n">
        <v>7</v>
      </c>
      <c r="D230" s="56" t="n">
        <v>76</v>
      </c>
      <c r="E230" s="56" t="n">
        <v>19</v>
      </c>
      <c r="F230" s="56" t="n">
        <v>0</v>
      </c>
      <c r="G230" s="56" t="n">
        <v>9.4</v>
      </c>
      <c r="H230" s="56" t="n">
        <v>0</v>
      </c>
      <c r="I230" s="56" t="n">
        <v>13.2</v>
      </c>
      <c r="J230" s="56" t="n">
        <v>0</v>
      </c>
      <c r="K230" s="56" t="n">
        <v>1011.2</v>
      </c>
      <c r="L230" s="56" t="n">
        <v>0</v>
      </c>
      <c r="M230" s="56" t="n">
        <v>78</v>
      </c>
      <c r="N230" s="56" t="n">
        <v>4.9</v>
      </c>
      <c r="O230" s="56" t="n">
        <f aca="false">IF(D230=1,"",E229)</f>
        <v>16.9</v>
      </c>
      <c r="P230" s="56" t="n">
        <f aca="false">IF(OR(D230=1,K229=""),"",K229)</f>
        <v>1004.7</v>
      </c>
      <c r="Q230" s="56" t="n">
        <f aca="false">IF(OR(F230&lt;&gt;0,AND(I230&lt;&gt;"",E230&lt;I230)),1,0)</f>
        <v>0</v>
      </c>
      <c r="R230" s="56" t="n">
        <f aca="false">IF(AND(D230&gt;1,Q230=0,ISNUMBER(O230),ISNUMBER(P230)),IF(Q229=0,1,0),0)</f>
        <v>1</v>
      </c>
      <c r="S230" s="56" t="n">
        <f aca="false">R230*(B230&gt;=Train_Start)*(B230&lt;=Train_End)</f>
        <v>1</v>
      </c>
      <c r="T230" s="84" t="n">
        <f aca="false">IF(AND(ISNUMBER(O230),ISNUMBER(P230)),Coef_A+Coef_B1*O230+Coef_B2*P230,"")</f>
        <v>17.4511409231858</v>
      </c>
      <c r="U230" s="84" t="n">
        <f aca="false">IF(AND(R230=1,ISNUMBER(T230)),E230-T230,"")</f>
        <v>1.54885907681425</v>
      </c>
      <c r="V230" s="84" t="n">
        <f aca="false">IF(ISNUMBER(T230),T230,-99)</f>
        <v>17.4511409231858</v>
      </c>
      <c r="W230" s="84" t="n">
        <f aca="false">IF(ISNUMBER(U230),ABS(U230),"")</f>
        <v>1.54885907681425</v>
      </c>
    </row>
    <row r="231" customFormat="false" ht="15" hidden="false" customHeight="false" outlineLevel="0" collapsed="false">
      <c r="A231" s="57" t="n">
        <v>29418</v>
      </c>
      <c r="B231" s="56" t="n">
        <v>1980</v>
      </c>
      <c r="C231" s="56" t="n">
        <v>7</v>
      </c>
      <c r="D231" s="56" t="n">
        <v>77</v>
      </c>
      <c r="E231" s="56" t="n">
        <v>16.8</v>
      </c>
      <c r="F231" s="56" t="n">
        <v>0</v>
      </c>
      <c r="G231" s="56" t="n">
        <v>10.1</v>
      </c>
      <c r="H231" s="56" t="n">
        <v>0</v>
      </c>
      <c r="I231" s="56" t="n">
        <v>14.6</v>
      </c>
      <c r="J231" s="56" t="n">
        <v>0</v>
      </c>
      <c r="K231" s="56" t="n">
        <v>1020.1</v>
      </c>
      <c r="L231" s="56" t="n">
        <v>0</v>
      </c>
      <c r="M231" s="56" t="n">
        <v>68</v>
      </c>
      <c r="N231" s="56" t="n">
        <v>5.6</v>
      </c>
      <c r="O231" s="56" t="n">
        <f aca="false">IF(D231=1,"",E230)</f>
        <v>19</v>
      </c>
      <c r="P231" s="56" t="n">
        <f aca="false">IF(OR(D231=1,K230=""),"",K230)</f>
        <v>1011.2</v>
      </c>
      <c r="Q231" s="56" t="n">
        <f aca="false">IF(OR(F231&lt;&gt;0,AND(I231&lt;&gt;"",E231&lt;I231)),1,0)</f>
        <v>0</v>
      </c>
      <c r="R231" s="56" t="n">
        <f aca="false">IF(AND(D231&gt;1,Q231=0,ISNUMBER(O231),ISNUMBER(P231)),IF(Q230=0,1,0),0)</f>
        <v>1</v>
      </c>
      <c r="S231" s="56" t="n">
        <f aca="false">R231*(B231&gt;=Train_Start)*(B231&lt;=Train_End)</f>
        <v>1</v>
      </c>
      <c r="T231" s="84" t="n">
        <f aca="false">IF(AND(ISNUMBER(O231),ISNUMBER(P231)),Coef_A+Coef_B1*O231+Coef_B2*P231,"")</f>
        <v>19.3756575436963</v>
      </c>
      <c r="U231" s="84" t="n">
        <f aca="false">IF(AND(R231=1,ISNUMBER(T231)),E231-T231,"")</f>
        <v>-2.57565754369626</v>
      </c>
      <c r="V231" s="84" t="n">
        <f aca="false">IF(ISNUMBER(T231),T231,-99)</f>
        <v>19.3756575436963</v>
      </c>
      <c r="W231" s="84" t="n">
        <f aca="false">IF(ISNUMBER(U231),ABS(U231),"")</f>
        <v>2.57565754369626</v>
      </c>
    </row>
    <row r="232" customFormat="false" ht="15" hidden="false" customHeight="false" outlineLevel="0" collapsed="false">
      <c r="A232" s="57" t="n">
        <v>29419</v>
      </c>
      <c r="B232" s="56" t="n">
        <v>1980</v>
      </c>
      <c r="C232" s="56" t="n">
        <v>7</v>
      </c>
      <c r="D232" s="56" t="n">
        <v>78</v>
      </c>
      <c r="E232" s="56" t="n">
        <v>18.3</v>
      </c>
      <c r="F232" s="56" t="n">
        <v>0</v>
      </c>
      <c r="G232" s="56" t="n">
        <v>9.6</v>
      </c>
      <c r="H232" s="56" t="n">
        <v>0</v>
      </c>
      <c r="I232" s="56" t="n">
        <v>13.2</v>
      </c>
      <c r="J232" s="56" t="n">
        <v>0</v>
      </c>
      <c r="K232" s="56" t="n">
        <v>1019.5</v>
      </c>
      <c r="L232" s="56" t="n">
        <v>0</v>
      </c>
      <c r="M232" s="56" t="n">
        <v>78</v>
      </c>
      <c r="N232" s="56" t="n">
        <v>0.2</v>
      </c>
      <c r="O232" s="56" t="n">
        <f aca="false">IF(D232=1,"",E231)</f>
        <v>16.8</v>
      </c>
      <c r="P232" s="56" t="n">
        <f aca="false">IF(OR(D232=1,K231=""),"",K231)</f>
        <v>1020.1</v>
      </c>
      <c r="Q232" s="56" t="n">
        <f aca="false">IF(OR(F232&lt;&gt;0,AND(I232&lt;&gt;"",E232&lt;I232)),1,0)</f>
        <v>0</v>
      </c>
      <c r="R232" s="56" t="n">
        <f aca="false">IF(AND(D232&gt;1,Q232=0,ISNUMBER(O232),ISNUMBER(P232)),IF(Q231=0,1,0),0)</f>
        <v>1</v>
      </c>
      <c r="S232" s="56" t="n">
        <f aca="false">R232*(B232&gt;=Train_Start)*(B232&lt;=Train_End)</f>
        <v>1</v>
      </c>
      <c r="T232" s="84" t="n">
        <f aca="false">IF(AND(ISNUMBER(O232),ISNUMBER(P232)),Coef_A+Coef_B1*O232+Coef_B2*P232,"")</f>
        <v>17.8523033812449</v>
      </c>
      <c r="U232" s="84" t="n">
        <f aca="false">IF(AND(R232=1,ISNUMBER(T232)),E232-T232,"")</f>
        <v>0.447696618755078</v>
      </c>
      <c r="V232" s="84" t="n">
        <f aca="false">IF(ISNUMBER(T232),T232,-99)</f>
        <v>17.8523033812449</v>
      </c>
      <c r="W232" s="84" t="n">
        <f aca="false">IF(ISNUMBER(U232),ABS(U232),"")</f>
        <v>0.447696618755078</v>
      </c>
    </row>
    <row r="233" customFormat="false" ht="15" hidden="false" customHeight="false" outlineLevel="0" collapsed="false">
      <c r="A233" s="57" t="n">
        <v>29420</v>
      </c>
      <c r="B233" s="56" t="n">
        <v>1980</v>
      </c>
      <c r="C233" s="56" t="n">
        <v>7</v>
      </c>
      <c r="D233" s="56" t="n">
        <v>79</v>
      </c>
      <c r="E233" s="56" t="n">
        <v>20</v>
      </c>
      <c r="F233" s="56" t="n">
        <v>0</v>
      </c>
      <c r="G233" s="56" t="n">
        <v>13.2</v>
      </c>
      <c r="H233" s="56" t="n">
        <v>0</v>
      </c>
      <c r="I233" s="56" t="n">
        <v>15.8</v>
      </c>
      <c r="J233" s="56" t="n">
        <v>0</v>
      </c>
      <c r="K233" s="56" t="n">
        <v>1012.7</v>
      </c>
      <c r="L233" s="56" t="n">
        <v>0</v>
      </c>
      <c r="M233" s="56" t="n">
        <v>87</v>
      </c>
      <c r="N233" s="56" t="n">
        <v>0</v>
      </c>
      <c r="O233" s="56" t="n">
        <f aca="false">IF(D233=1,"",E232)</f>
        <v>18.3</v>
      </c>
      <c r="P233" s="56" t="n">
        <f aca="false">IF(OR(D233=1,K232=""),"",K232)</f>
        <v>1019.5</v>
      </c>
      <c r="Q233" s="56" t="n">
        <f aca="false">IF(OR(F233&lt;&gt;0,AND(I233&lt;&gt;"",E233&lt;I233)),1,0)</f>
        <v>0</v>
      </c>
      <c r="R233" s="56" t="n">
        <f aca="false">IF(AND(D233&gt;1,Q233=0,ISNUMBER(O233),ISNUMBER(P233)),IF(Q232=0,1,0),0)</f>
        <v>1</v>
      </c>
      <c r="S233" s="56" t="n">
        <f aca="false">R233*(B233&gt;=Train_Start)*(B233&lt;=Train_End)</f>
        <v>1</v>
      </c>
      <c r="T233" s="84" t="n">
        <f aca="false">IF(AND(ISNUMBER(O233),ISNUMBER(P233)),Coef_A+Coef_B1*O233+Coef_B2*P233,"")</f>
        <v>19.0624902340285</v>
      </c>
      <c r="U233" s="84" t="n">
        <f aca="false">IF(AND(R233=1,ISNUMBER(T233)),E233-T233,"")</f>
        <v>0.937509765971484</v>
      </c>
      <c r="V233" s="84" t="n">
        <f aca="false">IF(ISNUMBER(T233),T233,-99)</f>
        <v>19.0624902340285</v>
      </c>
      <c r="W233" s="84" t="n">
        <f aca="false">IF(ISNUMBER(U233),ABS(U233),"")</f>
        <v>0.937509765971484</v>
      </c>
    </row>
    <row r="234" customFormat="false" ht="15" hidden="false" customHeight="false" outlineLevel="0" collapsed="false">
      <c r="A234" s="57" t="n">
        <v>29421</v>
      </c>
      <c r="B234" s="56" t="n">
        <v>1980</v>
      </c>
      <c r="C234" s="56" t="n">
        <v>7</v>
      </c>
      <c r="D234" s="56" t="n">
        <v>80</v>
      </c>
      <c r="E234" s="56" t="n">
        <v>17.3</v>
      </c>
      <c r="F234" s="56" t="n">
        <v>0</v>
      </c>
      <c r="G234" s="56" t="n">
        <v>13.8</v>
      </c>
      <c r="H234" s="56" t="n">
        <v>0</v>
      </c>
      <c r="I234" s="56" t="n">
        <v>16.9</v>
      </c>
      <c r="J234" s="56" t="n">
        <v>0</v>
      </c>
      <c r="K234" s="56" t="n">
        <v>1004.6</v>
      </c>
      <c r="L234" s="56" t="n">
        <v>0</v>
      </c>
      <c r="M234" s="56" t="n">
        <v>88</v>
      </c>
      <c r="N234" s="56" t="n">
        <v>1.3</v>
      </c>
      <c r="O234" s="56" t="n">
        <f aca="false">IF(D234=1,"",E233)</f>
        <v>20</v>
      </c>
      <c r="P234" s="56" t="n">
        <f aca="false">IF(OR(D234=1,K233=""),"",K233)</f>
        <v>1012.7</v>
      </c>
      <c r="Q234" s="56" t="n">
        <f aca="false">IF(OR(F234&lt;&gt;0,AND(I234&lt;&gt;"",E234&lt;I234)),1,0)</f>
        <v>0</v>
      </c>
      <c r="R234" s="56" t="n">
        <f aca="false">IF(AND(D234&gt;1,Q234=0,ISNUMBER(O234),ISNUMBER(P234)),IF(Q233=0,1,0),0)</f>
        <v>1</v>
      </c>
      <c r="S234" s="56" t="n">
        <f aca="false">R234*(B234&gt;=Train_Start)*(B234&lt;=Train_End)</f>
        <v>1</v>
      </c>
      <c r="T234" s="84" t="n">
        <f aca="false">IF(AND(ISNUMBER(O234),ISNUMBER(P234)),Coef_A+Coef_B1*O234+Coef_B2*P234,"")</f>
        <v>20.2420515786899</v>
      </c>
      <c r="U234" s="84" t="n">
        <f aca="false">IF(AND(R234=1,ISNUMBER(T234)),E234-T234,"")</f>
        <v>-2.94205157868991</v>
      </c>
      <c r="V234" s="84" t="n">
        <f aca="false">IF(ISNUMBER(T234),T234,-99)</f>
        <v>20.2420515786899</v>
      </c>
      <c r="W234" s="84" t="n">
        <f aca="false">IF(ISNUMBER(U234),ABS(U234),"")</f>
        <v>2.94205157868991</v>
      </c>
    </row>
    <row r="235" customFormat="false" ht="15" hidden="false" customHeight="false" outlineLevel="0" collapsed="false">
      <c r="A235" s="57" t="n">
        <v>29422</v>
      </c>
      <c r="B235" s="56" t="n">
        <v>1980</v>
      </c>
      <c r="C235" s="56" t="n">
        <v>7</v>
      </c>
      <c r="D235" s="56" t="n">
        <v>81</v>
      </c>
      <c r="E235" s="56" t="n">
        <v>19.8</v>
      </c>
      <c r="F235" s="56" t="n">
        <v>0</v>
      </c>
      <c r="G235" s="56" t="n">
        <v>12.8</v>
      </c>
      <c r="H235" s="56" t="n">
        <v>0</v>
      </c>
      <c r="I235" s="56" t="n">
        <v>15</v>
      </c>
      <c r="J235" s="56" t="n">
        <v>0</v>
      </c>
      <c r="K235" s="56" t="n">
        <v>1001</v>
      </c>
      <c r="L235" s="56" t="n">
        <v>0</v>
      </c>
      <c r="M235" s="56" t="n">
        <v>82</v>
      </c>
      <c r="N235" s="56" t="n">
        <v>0.6</v>
      </c>
      <c r="O235" s="56" t="n">
        <f aca="false">IF(D235=1,"",E234)</f>
        <v>17.3</v>
      </c>
      <c r="P235" s="56" t="n">
        <f aca="false">IF(OR(D235=1,K234=""),"",K234)</f>
        <v>1004.6</v>
      </c>
      <c r="Q235" s="56" t="n">
        <f aca="false">IF(OR(F235&lt;&gt;0,AND(I235&lt;&gt;"",E235&lt;I235)),1,0)</f>
        <v>0</v>
      </c>
      <c r="R235" s="56" t="n">
        <f aca="false">IF(AND(D235&gt;1,Q235=0,ISNUMBER(O235),ISNUMBER(P235)),IF(Q234=0,1,0),0)</f>
        <v>1</v>
      </c>
      <c r="S235" s="56" t="n">
        <f aca="false">R235*(B235&gt;=Train_Start)*(B235&lt;=Train_End)</f>
        <v>1</v>
      </c>
      <c r="T235" s="84" t="n">
        <f aca="false">IF(AND(ISNUMBER(O235),ISNUMBER(P235)),Coef_A+Coef_B1*O235+Coef_B2*P235,"")</f>
        <v>17.7757396109394</v>
      </c>
      <c r="U235" s="84" t="n">
        <f aca="false">IF(AND(R235=1,ISNUMBER(T235)),E235-T235,"")</f>
        <v>2.02426038906058</v>
      </c>
      <c r="V235" s="84" t="n">
        <f aca="false">IF(ISNUMBER(T235),T235,-99)</f>
        <v>17.7757396109394</v>
      </c>
      <c r="W235" s="84" t="n">
        <f aca="false">IF(ISNUMBER(U235),ABS(U235),"")</f>
        <v>2.02426038906058</v>
      </c>
    </row>
    <row r="236" customFormat="false" ht="15" hidden="false" customHeight="false" outlineLevel="0" collapsed="false">
      <c r="A236" s="57" t="n">
        <v>29423</v>
      </c>
      <c r="B236" s="56" t="n">
        <v>1980</v>
      </c>
      <c r="C236" s="56" t="n">
        <v>7</v>
      </c>
      <c r="D236" s="56" t="n">
        <v>82</v>
      </c>
      <c r="E236" s="56" t="n">
        <v>21.7</v>
      </c>
      <c r="F236" s="56" t="n">
        <v>0</v>
      </c>
      <c r="G236" s="56" t="n">
        <v>7.8</v>
      </c>
      <c r="H236" s="56" t="n">
        <v>0</v>
      </c>
      <c r="I236" s="56" t="n">
        <v>13.8</v>
      </c>
      <c r="J236" s="56" t="n">
        <v>0</v>
      </c>
      <c r="K236" s="56" t="n">
        <v>1018.6</v>
      </c>
      <c r="L236" s="56" t="n">
        <v>0</v>
      </c>
      <c r="M236" s="56" t="n">
        <v>67</v>
      </c>
      <c r="N236" s="56" t="n">
        <v>13</v>
      </c>
      <c r="O236" s="56" t="n">
        <f aca="false">IF(D236=1,"",E235)</f>
        <v>19.8</v>
      </c>
      <c r="P236" s="56" t="n">
        <f aca="false">IF(OR(D236=1,K235=""),"",K235)</f>
        <v>1001</v>
      </c>
      <c r="Q236" s="56" t="n">
        <f aca="false">IF(OR(F236&lt;&gt;0,AND(I236&lt;&gt;"",E236&lt;I236)),1,0)</f>
        <v>0</v>
      </c>
      <c r="R236" s="56" t="n">
        <f aca="false">IF(AND(D236&gt;1,Q236=0,ISNUMBER(O236),ISNUMBER(P236)),IF(Q235=0,1,0),0)</f>
        <v>1</v>
      </c>
      <c r="S236" s="56" t="n">
        <f aca="false">R236*(B236&gt;=Train_Start)*(B236&lt;=Train_End)</f>
        <v>1</v>
      </c>
      <c r="T236" s="84" t="n">
        <f aca="false">IF(AND(ISNUMBER(O236),ISNUMBER(P236)),Coef_A+Coef_B1*O236+Coef_B2*P236,"")</f>
        <v>19.7111559728637</v>
      </c>
      <c r="U236" s="84" t="n">
        <f aca="false">IF(AND(R236=1,ISNUMBER(T236)),E236-T236,"")</f>
        <v>1.9888440271363</v>
      </c>
      <c r="V236" s="84" t="n">
        <f aca="false">IF(ISNUMBER(T236),T236,-99)</f>
        <v>19.7111559728637</v>
      </c>
      <c r="W236" s="84" t="n">
        <f aca="false">IF(ISNUMBER(U236),ABS(U236),"")</f>
        <v>1.9888440271363</v>
      </c>
    </row>
    <row r="237" customFormat="false" ht="15" hidden="false" customHeight="false" outlineLevel="0" collapsed="false">
      <c r="A237" s="57" t="n">
        <v>29424</v>
      </c>
      <c r="B237" s="56" t="n">
        <v>1980</v>
      </c>
      <c r="C237" s="56" t="n">
        <v>7</v>
      </c>
      <c r="D237" s="56" t="n">
        <v>83</v>
      </c>
      <c r="E237" s="56" t="n">
        <v>24.8</v>
      </c>
      <c r="F237" s="56" t="n">
        <v>0</v>
      </c>
      <c r="G237" s="56" t="n">
        <v>9.6</v>
      </c>
      <c r="H237" s="56" t="n">
        <v>0</v>
      </c>
      <c r="I237" s="56" t="n">
        <v>15.6</v>
      </c>
      <c r="J237" s="56" t="n">
        <v>0</v>
      </c>
      <c r="K237" s="56" t="n">
        <v>1020</v>
      </c>
      <c r="L237" s="56" t="n">
        <v>0</v>
      </c>
      <c r="M237" s="56" t="n">
        <v>64</v>
      </c>
      <c r="N237" s="56" t="n">
        <v>14.5</v>
      </c>
      <c r="O237" s="56" t="n">
        <f aca="false">IF(D237=1,"",E236)</f>
        <v>21.7</v>
      </c>
      <c r="P237" s="56" t="n">
        <f aca="false">IF(OR(D237=1,K236=""),"",K236)</f>
        <v>1018.6</v>
      </c>
      <c r="Q237" s="56" t="n">
        <f aca="false">IF(OR(F237&lt;&gt;0,AND(I237&lt;&gt;"",E237&lt;I237)),1,0)</f>
        <v>0</v>
      </c>
      <c r="R237" s="56" t="n">
        <f aca="false">IF(AND(D237&gt;1,Q237=0,ISNUMBER(O237),ISNUMBER(P237)),IF(Q236=0,1,0),0)</f>
        <v>1</v>
      </c>
      <c r="S237" s="56" t="n">
        <f aca="false">R237*(B237&gt;=Train_Start)*(B237&lt;=Train_End)</f>
        <v>1</v>
      </c>
      <c r="T237" s="84" t="n">
        <f aca="false">IF(AND(ISNUMBER(O237),ISNUMBER(P237)),Coef_A+Coef_B1*O237+Coef_B2*P237,"")</f>
        <v>21.820010585203</v>
      </c>
      <c r="U237" s="84" t="n">
        <f aca="false">IF(AND(R237=1,ISNUMBER(T237)),E237-T237,"")</f>
        <v>2.97998941479704</v>
      </c>
      <c r="V237" s="84" t="n">
        <f aca="false">IF(ISNUMBER(T237),T237,-99)</f>
        <v>21.820010585203</v>
      </c>
      <c r="W237" s="84" t="n">
        <f aca="false">IF(ISNUMBER(U237),ABS(U237),"")</f>
        <v>2.97998941479704</v>
      </c>
    </row>
    <row r="238" customFormat="false" ht="15" hidden="false" customHeight="false" outlineLevel="0" collapsed="false">
      <c r="A238" s="57" t="n">
        <v>29425</v>
      </c>
      <c r="B238" s="56" t="n">
        <v>1980</v>
      </c>
      <c r="C238" s="56" t="n">
        <v>7</v>
      </c>
      <c r="D238" s="56" t="n">
        <v>84</v>
      </c>
      <c r="E238" s="56" t="n">
        <v>24.2</v>
      </c>
      <c r="F238" s="56" t="n">
        <v>0</v>
      </c>
      <c r="G238" s="56" t="n">
        <v>11.7</v>
      </c>
      <c r="H238" s="56" t="n">
        <v>0</v>
      </c>
      <c r="I238" s="56" t="n">
        <v>18.2</v>
      </c>
      <c r="J238" s="56" t="n">
        <v>0</v>
      </c>
      <c r="K238" s="56" t="n">
        <v>1014.4</v>
      </c>
      <c r="L238" s="56" t="n">
        <v>0</v>
      </c>
      <c r="M238" s="56" t="n">
        <v>67</v>
      </c>
      <c r="N238" s="56" t="n">
        <v>7.6</v>
      </c>
      <c r="O238" s="56" t="n">
        <f aca="false">IF(D238=1,"",E237)</f>
        <v>24.8</v>
      </c>
      <c r="P238" s="56" t="n">
        <f aca="false">IF(OR(D238=1,K237=""),"",K237)</f>
        <v>1020</v>
      </c>
      <c r="Q238" s="56" t="n">
        <f aca="false">IF(OR(F238&lt;&gt;0,AND(I238&lt;&gt;"",E238&lt;I238)),1,0)</f>
        <v>0</v>
      </c>
      <c r="R238" s="56" t="n">
        <f aca="false">IF(AND(D238&gt;1,Q238=0,ISNUMBER(O238),ISNUMBER(P238)),IF(Q237=0,1,0),0)</f>
        <v>1</v>
      </c>
      <c r="S238" s="56" t="n">
        <f aca="false">R238*(B238&gt;=Train_Start)*(B238&lt;=Train_End)</f>
        <v>1</v>
      </c>
      <c r="T238" s="84" t="n">
        <f aca="false">IF(AND(ISNUMBER(O238),ISNUMBER(P238)),Coef_A+Coef_B1*O238+Coef_B2*P238,"")</f>
        <v>24.4038799361228</v>
      </c>
      <c r="U238" s="84" t="n">
        <f aca="false">IF(AND(R238=1,ISNUMBER(T238)),E238-T238,"")</f>
        <v>-0.203879936122785</v>
      </c>
      <c r="V238" s="84" t="n">
        <f aca="false">IF(ISNUMBER(T238),T238,-99)</f>
        <v>24.4038799361228</v>
      </c>
      <c r="W238" s="84" t="n">
        <f aca="false">IF(ISNUMBER(U238),ABS(U238),"")</f>
        <v>0.203879936122785</v>
      </c>
    </row>
    <row r="239" customFormat="false" ht="15" hidden="false" customHeight="false" outlineLevel="0" collapsed="false">
      <c r="A239" s="57" t="n">
        <v>29426</v>
      </c>
      <c r="B239" s="56" t="n">
        <v>1980</v>
      </c>
      <c r="C239" s="56" t="n">
        <v>7</v>
      </c>
      <c r="D239" s="56" t="n">
        <v>85</v>
      </c>
      <c r="E239" s="56" t="n">
        <v>27.8</v>
      </c>
      <c r="F239" s="56" t="n">
        <v>0</v>
      </c>
      <c r="G239" s="56" t="n">
        <v>10.6</v>
      </c>
      <c r="H239" s="56" t="n">
        <v>0</v>
      </c>
      <c r="I239" s="56" t="n">
        <v>17.4</v>
      </c>
      <c r="J239" s="56" t="n">
        <v>0</v>
      </c>
      <c r="K239" s="56" t="n">
        <v>1020.2</v>
      </c>
      <c r="L239" s="56" t="n">
        <v>0</v>
      </c>
      <c r="M239" s="56" t="n">
        <v>68</v>
      </c>
      <c r="N239" s="56" t="n">
        <v>14.3</v>
      </c>
      <c r="O239" s="56" t="n">
        <f aca="false">IF(D239=1,"",E238)</f>
        <v>24.2</v>
      </c>
      <c r="P239" s="56" t="n">
        <f aca="false">IF(OR(D239=1,K238=""),"",K238)</f>
        <v>1014.4</v>
      </c>
      <c r="Q239" s="56" t="n">
        <f aca="false">IF(OR(F239&lt;&gt;0,AND(I239&lt;&gt;"",E239&lt;I239)),1,0)</f>
        <v>0</v>
      </c>
      <c r="R239" s="56" t="n">
        <f aca="false">IF(AND(D239&gt;1,Q239=0,ISNUMBER(O239),ISNUMBER(P239)),IF(Q238=0,1,0),0)</f>
        <v>1</v>
      </c>
      <c r="S239" s="56" t="n">
        <f aca="false">R239*(B239&gt;=Train_Start)*(B239&lt;=Train_End)</f>
        <v>1</v>
      </c>
      <c r="T239" s="84" t="n">
        <f aca="false">IF(AND(ISNUMBER(O239),ISNUMBER(P239)),Coef_A+Coef_B1*O239+Coef_B2*P239,"")</f>
        <v>23.7366050103469</v>
      </c>
      <c r="U239" s="84" t="n">
        <f aca="false">IF(AND(R239=1,ISNUMBER(T239)),E239-T239,"")</f>
        <v>4.06339498965315</v>
      </c>
      <c r="V239" s="84" t="n">
        <f aca="false">IF(ISNUMBER(T239),T239,-99)</f>
        <v>23.7366050103469</v>
      </c>
      <c r="W239" s="84" t="n">
        <f aca="false">IF(ISNUMBER(U239),ABS(U239),"")</f>
        <v>4.06339498965315</v>
      </c>
    </row>
    <row r="240" customFormat="false" ht="15" hidden="false" customHeight="false" outlineLevel="0" collapsed="false">
      <c r="A240" s="57" t="n">
        <v>29427</v>
      </c>
      <c r="B240" s="56" t="n">
        <v>1980</v>
      </c>
      <c r="C240" s="56" t="n">
        <v>7</v>
      </c>
      <c r="D240" s="56" t="n">
        <v>86</v>
      </c>
      <c r="E240" s="56" t="n">
        <v>20.7</v>
      </c>
      <c r="F240" s="56" t="n">
        <v>1</v>
      </c>
      <c r="G240" s="56" t="n">
        <v>14.5</v>
      </c>
      <c r="H240" s="56" t="n">
        <v>0</v>
      </c>
      <c r="I240" s="56" t="n">
        <v>21.2</v>
      </c>
      <c r="J240" s="56" t="n">
        <v>1</v>
      </c>
      <c r="K240" s="56" t="n">
        <v>1013.8</v>
      </c>
      <c r="L240" s="56" t="n">
        <v>0</v>
      </c>
      <c r="M240" s="56" t="n">
        <v>67</v>
      </c>
      <c r="N240" s="56" t="n">
        <v>13.9</v>
      </c>
      <c r="O240" s="56" t="n">
        <f aca="false">IF(D240=1,"",E239)</f>
        <v>27.8</v>
      </c>
      <c r="P240" s="56" t="n">
        <f aca="false">IF(OR(D240=1,K239=""),"",K239)</f>
        <v>1020.2</v>
      </c>
      <c r="Q240" s="56" t="n">
        <f aca="false">IF(OR(F240&lt;&gt;0,AND(I240&lt;&gt;"",E240&lt;I240)),1,0)</f>
        <v>1</v>
      </c>
      <c r="R240" s="56" t="n">
        <f aca="false">IF(AND(D240&gt;1,Q240=0,ISNUMBER(O240),ISNUMBER(P240)),IF(Q239=0,1,0),0)</f>
        <v>0</v>
      </c>
      <c r="S240" s="56" t="n">
        <f aca="false">R240*(B240&gt;=Train_Start)*(B240&lt;=Train_End)</f>
        <v>0</v>
      </c>
      <c r="T240" s="84" t="n">
        <f aca="false">IF(AND(ISNUMBER(O240),ISNUMBER(P240)),Coef_A+Coef_B1*O240+Coef_B2*P240,"")</f>
        <v>26.8681714941776</v>
      </c>
      <c r="U240" s="84" t="str">
        <f aca="false">IF(AND(R240=1,ISNUMBER(T240)),E240-T240,"")</f>
        <v/>
      </c>
      <c r="V240" s="84" t="n">
        <f aca="false">IF(ISNUMBER(T240),T240,-99)</f>
        <v>26.8681714941776</v>
      </c>
      <c r="W240" s="84" t="str">
        <f aca="false">IF(ISNUMBER(U240),ABS(U240),"")</f>
        <v/>
      </c>
    </row>
    <row r="241" customFormat="false" ht="15" hidden="false" customHeight="false" outlineLevel="0" collapsed="false">
      <c r="A241" s="57" t="n">
        <v>29428</v>
      </c>
      <c r="B241" s="56" t="n">
        <v>1980</v>
      </c>
      <c r="C241" s="56" t="n">
        <v>7</v>
      </c>
      <c r="D241" s="56" t="n">
        <v>87</v>
      </c>
      <c r="E241" s="56" t="n">
        <v>21.2</v>
      </c>
      <c r="F241" s="56" t="n">
        <v>0</v>
      </c>
      <c r="G241" s="56" t="n">
        <v>18.9</v>
      </c>
      <c r="H241" s="56" t="n">
        <v>0</v>
      </c>
      <c r="I241" s="56" t="n">
        <v>19.8</v>
      </c>
      <c r="J241" s="56" t="n">
        <v>0</v>
      </c>
      <c r="K241" s="56" t="n">
        <v>1007.5</v>
      </c>
      <c r="L241" s="56" t="n">
        <v>0</v>
      </c>
      <c r="M241" s="56" t="n">
        <v>87</v>
      </c>
      <c r="N241" s="56" t="n">
        <v>0.3</v>
      </c>
      <c r="O241" s="56" t="n">
        <f aca="false">IF(D241=1,"",E240)</f>
        <v>20.7</v>
      </c>
      <c r="P241" s="56" t="n">
        <f aca="false">IF(OR(D241=1,K240=""),"",K240)</f>
        <v>1013.8</v>
      </c>
      <c r="Q241" s="56" t="n">
        <f aca="false">IF(OR(F241&lt;&gt;0,AND(I241&lt;&gt;"",E241&lt;I241)),1,0)</f>
        <v>0</v>
      </c>
      <c r="R241" s="56" t="n">
        <f aca="false">IF(AND(D241&gt;1,Q241=0,ISNUMBER(O241),ISNUMBER(P241)),IF(Q240=0,1,0),0)</f>
        <v>0</v>
      </c>
      <c r="S241" s="56" t="n">
        <f aca="false">R241*(B241&gt;=Train_Start)*(B241&lt;=Train_End)</f>
        <v>0</v>
      </c>
      <c r="T241" s="84" t="n">
        <f aca="false">IF(AND(ISNUMBER(O241),ISNUMBER(P241)),Coef_A+Coef_B1*O241+Coef_B2*P241,"")</f>
        <v>20.8500958979172</v>
      </c>
      <c r="U241" s="84" t="str">
        <f aca="false">IF(AND(R241=1,ISNUMBER(T241)),E241-T241,"")</f>
        <v/>
      </c>
      <c r="V241" s="84" t="n">
        <f aca="false">IF(ISNUMBER(T241),T241,-99)</f>
        <v>20.8500958979172</v>
      </c>
      <c r="W241" s="84" t="str">
        <f aca="false">IF(ISNUMBER(U241),ABS(U241),"")</f>
        <v/>
      </c>
    </row>
    <row r="242" customFormat="false" ht="15" hidden="false" customHeight="false" outlineLevel="0" collapsed="false">
      <c r="A242" s="57" t="n">
        <v>29429</v>
      </c>
      <c r="B242" s="56" t="n">
        <v>1980</v>
      </c>
      <c r="C242" s="56" t="n">
        <v>7</v>
      </c>
      <c r="D242" s="56" t="n">
        <v>88</v>
      </c>
      <c r="E242" s="56" t="n">
        <v>25</v>
      </c>
      <c r="F242" s="56" t="n">
        <v>0</v>
      </c>
      <c r="G242" s="56" t="n">
        <v>13.7</v>
      </c>
      <c r="H242" s="56" t="n">
        <v>0</v>
      </c>
      <c r="I242" s="56" t="n">
        <v>17.4</v>
      </c>
      <c r="J242" s="56" t="n">
        <v>0</v>
      </c>
      <c r="K242" s="56" t="n">
        <v>1013</v>
      </c>
      <c r="L242" s="56" t="n">
        <v>0</v>
      </c>
      <c r="M242" s="56" t="n">
        <v>80</v>
      </c>
      <c r="N242" s="56" t="n">
        <v>4</v>
      </c>
      <c r="O242" s="56" t="n">
        <f aca="false">IF(D242=1,"",E241)</f>
        <v>21.2</v>
      </c>
      <c r="P242" s="56" t="n">
        <f aca="false">IF(OR(D242=1,K241=""),"",K241)</f>
        <v>1007.5</v>
      </c>
      <c r="Q242" s="56" t="n">
        <f aca="false">IF(OR(F242&lt;&gt;0,AND(I242&lt;&gt;"",E242&lt;I242)),1,0)</f>
        <v>0</v>
      </c>
      <c r="R242" s="56" t="n">
        <f aca="false">IF(AND(D242&gt;1,Q242=0,ISNUMBER(O242),ISNUMBER(P242)),IF(Q241=0,1,0),0)</f>
        <v>1</v>
      </c>
      <c r="S242" s="56" t="n">
        <f aca="false">R242*(B242&gt;=Train_Start)*(B242&lt;=Train_End)</f>
        <v>1</v>
      </c>
      <c r="T242" s="84" t="n">
        <f aca="false">IF(AND(ISNUMBER(O242),ISNUMBER(P242)),Coef_A+Coef_B1*O242+Coef_B2*P242,"")</f>
        <v>21.0621351582444</v>
      </c>
      <c r="U242" s="84" t="n">
        <f aca="false">IF(AND(R242=1,ISNUMBER(T242)),E242-T242,"")</f>
        <v>3.93786484175565</v>
      </c>
      <c r="V242" s="84" t="n">
        <f aca="false">IF(ISNUMBER(T242),T242,-99)</f>
        <v>21.0621351582444</v>
      </c>
      <c r="W242" s="84" t="n">
        <f aca="false">IF(ISNUMBER(U242),ABS(U242),"")</f>
        <v>3.93786484175565</v>
      </c>
    </row>
    <row r="243" customFormat="false" ht="15" hidden="false" customHeight="false" outlineLevel="0" collapsed="false">
      <c r="A243" s="57" t="n">
        <v>29430</v>
      </c>
      <c r="B243" s="56" t="n">
        <v>1980</v>
      </c>
      <c r="C243" s="56" t="n">
        <v>7</v>
      </c>
      <c r="D243" s="56" t="n">
        <v>89</v>
      </c>
      <c r="E243" s="56" t="n">
        <v>25.7</v>
      </c>
      <c r="F243" s="56" t="n">
        <v>0</v>
      </c>
      <c r="G243" s="56" t="n">
        <v>11.7</v>
      </c>
      <c r="H243" s="56" t="n">
        <v>0</v>
      </c>
      <c r="I243" s="56" t="n">
        <v>18.4</v>
      </c>
      <c r="J243" s="56" t="n">
        <v>0</v>
      </c>
      <c r="K243" s="56" t="n">
        <v>1016.4</v>
      </c>
      <c r="L243" s="56" t="n">
        <v>0</v>
      </c>
      <c r="M243" s="56" t="n">
        <v>73</v>
      </c>
      <c r="N243" s="56" t="n">
        <v>13.3</v>
      </c>
      <c r="O243" s="56" t="n">
        <f aca="false">IF(D243=1,"",E242)</f>
        <v>25</v>
      </c>
      <c r="P243" s="56" t="n">
        <f aca="false">IF(OR(D243=1,K242=""),"",K242)</f>
        <v>1013</v>
      </c>
      <c r="Q243" s="56" t="n">
        <f aca="false">IF(OR(F243&lt;&gt;0,AND(I243&lt;&gt;"",E243&lt;I243)),1,0)</f>
        <v>0</v>
      </c>
      <c r="R243" s="56" t="n">
        <f aca="false">IF(AND(D243&gt;1,Q243=0,ISNUMBER(O243),ISNUMBER(P243)),IF(Q242=0,1,0),0)</f>
        <v>1</v>
      </c>
      <c r="S243" s="56" t="n">
        <f aca="false">R243*(B243&gt;=Train_Start)*(B243&lt;=Train_End)</f>
        <v>1</v>
      </c>
      <c r="T243" s="84" t="n">
        <f aca="false">IF(AND(ISNUMBER(O243),ISNUMBER(P243)),Coef_A+Coef_B1*O243+Coef_B2*P243,"")</f>
        <v>24.3481585122934</v>
      </c>
      <c r="U243" s="84" t="n">
        <f aca="false">IF(AND(R243=1,ISNUMBER(T243)),E243-T243,"")</f>
        <v>1.35184148770661</v>
      </c>
      <c r="V243" s="84" t="n">
        <f aca="false">IF(ISNUMBER(T243),T243,-99)</f>
        <v>24.3481585122934</v>
      </c>
      <c r="W243" s="84" t="n">
        <f aca="false">IF(ISNUMBER(U243),ABS(U243),"")</f>
        <v>1.35184148770661</v>
      </c>
    </row>
    <row r="244" customFormat="false" ht="15" hidden="false" customHeight="false" outlineLevel="0" collapsed="false">
      <c r="A244" s="57" t="n">
        <v>29431</v>
      </c>
      <c r="B244" s="56" t="n">
        <v>1980</v>
      </c>
      <c r="C244" s="56" t="n">
        <v>7</v>
      </c>
      <c r="D244" s="56" t="n">
        <v>90</v>
      </c>
      <c r="E244" s="56" t="n">
        <v>21.4</v>
      </c>
      <c r="F244" s="56" t="n">
        <v>1</v>
      </c>
      <c r="G244" s="56" t="n">
        <v>18</v>
      </c>
      <c r="H244" s="56" t="n">
        <v>0</v>
      </c>
      <c r="I244" s="56" t="n">
        <v>21.8</v>
      </c>
      <c r="J244" s="56" t="n">
        <v>1</v>
      </c>
      <c r="K244" s="56" t="n">
        <v>1009.8</v>
      </c>
      <c r="L244" s="56" t="n">
        <v>0</v>
      </c>
      <c r="M244" s="56" t="n">
        <v>84</v>
      </c>
      <c r="N244" s="56" t="n">
        <v>2.3</v>
      </c>
      <c r="O244" s="56" t="n">
        <f aca="false">IF(D244=1,"",E243)</f>
        <v>25.7</v>
      </c>
      <c r="P244" s="56" t="n">
        <f aca="false">IF(OR(D244=1,K243=""),"",K243)</f>
        <v>1016.4</v>
      </c>
      <c r="Q244" s="56" t="n">
        <f aca="false">IF(OR(F244&lt;&gt;0,AND(I244&lt;&gt;"",E244&lt;I244)),1,0)</f>
        <v>1</v>
      </c>
      <c r="R244" s="56" t="n">
        <f aca="false">IF(AND(D244&gt;1,Q244=0,ISNUMBER(O244),ISNUMBER(P244)),IF(Q243=0,1,0),0)</f>
        <v>0</v>
      </c>
      <c r="S244" s="56" t="n">
        <f aca="false">R244*(B244&gt;=Train_Start)*(B244&lt;=Train_End)</f>
        <v>0</v>
      </c>
      <c r="T244" s="84" t="n">
        <f aca="false">IF(AND(ISNUMBER(O244),ISNUMBER(P244)),Coef_A+Coef_B1*O244+Coef_B2*P244,"")</f>
        <v>25.0283535891788</v>
      </c>
      <c r="U244" s="84" t="str">
        <f aca="false">IF(AND(R244=1,ISNUMBER(T244)),E244-T244,"")</f>
        <v/>
      </c>
      <c r="V244" s="84" t="n">
        <f aca="false">IF(ISNUMBER(T244),T244,-99)</f>
        <v>25.0283535891788</v>
      </c>
      <c r="W244" s="84" t="str">
        <f aca="false">IF(ISNUMBER(U244),ABS(U244),"")</f>
        <v/>
      </c>
    </row>
    <row r="245" customFormat="false" ht="15" hidden="false" customHeight="false" outlineLevel="0" collapsed="false">
      <c r="A245" s="57" t="n">
        <v>29432</v>
      </c>
      <c r="B245" s="56" t="n">
        <v>1980</v>
      </c>
      <c r="C245" s="56" t="n">
        <v>7</v>
      </c>
      <c r="D245" s="56" t="n">
        <v>91</v>
      </c>
      <c r="E245" s="56" t="n">
        <v>22</v>
      </c>
      <c r="F245" s="56" t="n">
        <v>0</v>
      </c>
      <c r="G245" s="56" t="n">
        <v>14.1</v>
      </c>
      <c r="H245" s="56" t="n">
        <v>0</v>
      </c>
      <c r="I245" s="56" t="n">
        <v>17.8</v>
      </c>
      <c r="J245" s="56" t="n">
        <v>0</v>
      </c>
      <c r="K245" s="56" t="n">
        <v>1013.3</v>
      </c>
      <c r="L245" s="56" t="n">
        <v>0</v>
      </c>
      <c r="M245" s="56" t="n">
        <v>72</v>
      </c>
      <c r="N245" s="56" t="n">
        <v>9.6</v>
      </c>
      <c r="O245" s="56" t="n">
        <f aca="false">IF(D245=1,"",E244)</f>
        <v>21.4</v>
      </c>
      <c r="P245" s="56" t="n">
        <f aca="false">IF(OR(D245=1,K244=""),"",K244)</f>
        <v>1009.8</v>
      </c>
      <c r="Q245" s="56" t="n">
        <f aca="false">IF(OR(F245&lt;&gt;0,AND(I245&lt;&gt;"",E245&lt;I245)),1,0)</f>
        <v>0</v>
      </c>
      <c r="R245" s="56" t="n">
        <f aca="false">IF(AND(D245&gt;1,Q245=0,ISNUMBER(O245),ISNUMBER(P245)),IF(Q244=0,1,0),0)</f>
        <v>0</v>
      </c>
      <c r="S245" s="56" t="n">
        <f aca="false">R245*(B245&gt;=Train_Start)*(B245&lt;=Train_End)</f>
        <v>0</v>
      </c>
      <c r="T245" s="84" t="n">
        <f aca="false">IF(AND(ISNUMBER(O245),ISNUMBER(P245)),Coef_A+Coef_B1*O245+Coef_B2*P245,"")</f>
        <v>21.2981537545111</v>
      </c>
      <c r="U245" s="84" t="str">
        <f aca="false">IF(AND(R245=1,ISNUMBER(T245)),E245-T245,"")</f>
        <v/>
      </c>
      <c r="V245" s="84" t="n">
        <f aca="false">IF(ISNUMBER(T245),T245,-99)</f>
        <v>21.2981537545111</v>
      </c>
      <c r="W245" s="84" t="str">
        <f aca="false">IF(ISNUMBER(U245),ABS(U245),"")</f>
        <v/>
      </c>
    </row>
    <row r="246" customFormat="false" ht="15" hidden="false" customHeight="false" outlineLevel="0" collapsed="false">
      <c r="A246" s="57" t="n">
        <v>29433</v>
      </c>
      <c r="B246" s="56" t="n">
        <v>1980</v>
      </c>
      <c r="C246" s="56" t="n">
        <v>7</v>
      </c>
      <c r="D246" s="56" t="n">
        <v>92</v>
      </c>
      <c r="E246" s="56" t="n">
        <v>23</v>
      </c>
      <c r="F246" s="56" t="n">
        <v>0</v>
      </c>
      <c r="G246" s="56" t="n">
        <v>13.9</v>
      </c>
      <c r="H246" s="56" t="n">
        <v>0</v>
      </c>
      <c r="I246" s="56" t="n">
        <v>18</v>
      </c>
      <c r="J246" s="56" t="n">
        <v>0</v>
      </c>
      <c r="K246" s="56" t="n">
        <v>1019.4</v>
      </c>
      <c r="L246" s="56" t="n">
        <v>0</v>
      </c>
      <c r="M246" s="56" t="n">
        <v>69</v>
      </c>
      <c r="N246" s="56" t="n">
        <v>11.6</v>
      </c>
      <c r="O246" s="56" t="n">
        <f aca="false">IF(D246=1,"",E245)</f>
        <v>22</v>
      </c>
      <c r="P246" s="56" t="n">
        <f aca="false">IF(OR(D246=1,K245=""),"",K245)</f>
        <v>1013.3</v>
      </c>
      <c r="Q246" s="56" t="n">
        <f aca="false">IF(OR(F246&lt;&gt;0,AND(I246&lt;&gt;"",E246&lt;I246)),1,0)</f>
        <v>0</v>
      </c>
      <c r="R246" s="56" t="n">
        <f aca="false">IF(AND(D246&gt;1,Q246=0,ISNUMBER(O246),ISNUMBER(P246)),IF(Q245=0,1,0),0)</f>
        <v>1</v>
      </c>
      <c r="S246" s="56" t="n">
        <f aca="false">R246*(B246&gt;=Train_Start)*(B246&lt;=Train_End)</f>
        <v>1</v>
      </c>
      <c r="T246" s="84" t="n">
        <f aca="false">IF(AND(ISNUMBER(O246),ISNUMBER(P246)),Coef_A+Coef_B1*O246+Coef_B2*P246,"")</f>
        <v>21.8995519015556</v>
      </c>
      <c r="U246" s="84" t="n">
        <f aca="false">IF(AND(R246=1,ISNUMBER(T246)),E246-T246,"")</f>
        <v>1.10044809844439</v>
      </c>
      <c r="V246" s="84" t="n">
        <f aca="false">IF(ISNUMBER(T246),T246,-99)</f>
        <v>21.8995519015556</v>
      </c>
      <c r="W246" s="84" t="n">
        <f aca="false">IF(ISNUMBER(U246),ABS(U246),"")</f>
        <v>1.10044809844439</v>
      </c>
    </row>
    <row r="247" customFormat="false" ht="15" hidden="false" customHeight="false" outlineLevel="0" collapsed="false">
      <c r="A247" s="57" t="n">
        <v>29434</v>
      </c>
      <c r="B247" s="56" t="n">
        <v>1980</v>
      </c>
      <c r="C247" s="56" t="n">
        <v>8</v>
      </c>
      <c r="D247" s="56" t="n">
        <v>93</v>
      </c>
      <c r="E247" s="56" t="n">
        <v>25.2</v>
      </c>
      <c r="F247" s="56" t="n">
        <v>0</v>
      </c>
      <c r="G247" s="56" t="n">
        <v>13.1</v>
      </c>
      <c r="H247" s="56" t="n">
        <v>0</v>
      </c>
      <c r="I247" s="56" t="n">
        <v>18</v>
      </c>
      <c r="J247" s="56" t="n">
        <v>0</v>
      </c>
      <c r="K247" s="56" t="n">
        <v>1018.8</v>
      </c>
      <c r="L247" s="56" t="n">
        <v>0</v>
      </c>
      <c r="M247" s="56" t="n">
        <v>74</v>
      </c>
      <c r="N247" s="56" t="n">
        <v>5.7</v>
      </c>
      <c r="O247" s="56" t="n">
        <f aca="false">IF(D247=1,"",E246)</f>
        <v>23</v>
      </c>
      <c r="P247" s="56" t="n">
        <f aca="false">IF(OR(D247=1,K246=""),"",K246)</f>
        <v>1019.4</v>
      </c>
      <c r="Q247" s="56" t="n">
        <f aca="false">IF(OR(F247&lt;&gt;0,AND(I247&lt;&gt;"",E247&lt;I247)),1,0)</f>
        <v>0</v>
      </c>
      <c r="R247" s="56" t="n">
        <f aca="false">IF(AND(D247&gt;1,Q247=0,ISNUMBER(O247),ISNUMBER(P247)),IF(Q246=0,1,0),0)</f>
        <v>1</v>
      </c>
      <c r="S247" s="56" t="n">
        <f aca="false">R247*(B247&gt;=Train_Start)*(B247&lt;=Train_End)</f>
        <v>1</v>
      </c>
      <c r="T247" s="84" t="n">
        <f aca="false">IF(AND(ISNUMBER(O247),ISNUMBER(P247)),Coef_A+Coef_B1*O247+Coef_B2*P247,"")</f>
        <v>22.9102474518656</v>
      </c>
      <c r="U247" s="84" t="n">
        <f aca="false">IF(AND(R247=1,ISNUMBER(T247)),E247-T247,"")</f>
        <v>2.28975254813439</v>
      </c>
      <c r="V247" s="84" t="n">
        <f aca="false">IF(ISNUMBER(T247),T247,-99)</f>
        <v>22.9102474518656</v>
      </c>
      <c r="W247" s="84" t="n">
        <f aca="false">IF(ISNUMBER(U247),ABS(U247),"")</f>
        <v>2.28975254813439</v>
      </c>
    </row>
    <row r="248" customFormat="false" ht="15" hidden="false" customHeight="false" outlineLevel="0" collapsed="false">
      <c r="A248" s="57" t="n">
        <v>29435</v>
      </c>
      <c r="B248" s="56" t="n">
        <v>1980</v>
      </c>
      <c r="C248" s="56" t="n">
        <v>8</v>
      </c>
      <c r="D248" s="56" t="n">
        <v>94</v>
      </c>
      <c r="E248" s="56" t="n">
        <v>23.3</v>
      </c>
      <c r="F248" s="56" t="n">
        <v>0</v>
      </c>
      <c r="G248" s="56" t="n">
        <v>14</v>
      </c>
      <c r="H248" s="56" t="n">
        <v>0</v>
      </c>
      <c r="I248" s="56" t="n">
        <v>19.6</v>
      </c>
      <c r="J248" s="56" t="n">
        <v>0</v>
      </c>
      <c r="K248" s="56" t="n">
        <v>1015.7</v>
      </c>
      <c r="L248" s="56" t="n">
        <v>0</v>
      </c>
      <c r="M248" s="56" t="n">
        <v>76</v>
      </c>
      <c r="N248" s="56" t="n">
        <v>6</v>
      </c>
      <c r="O248" s="56" t="n">
        <f aca="false">IF(D248=1,"",E247)</f>
        <v>25.2</v>
      </c>
      <c r="P248" s="56" t="n">
        <f aca="false">IF(OR(D248=1,K247=""),"",K247)</f>
        <v>1018.8</v>
      </c>
      <c r="Q248" s="56" t="n">
        <f aca="false">IF(OR(F248&lt;&gt;0,AND(I248&lt;&gt;"",E248&lt;I248)),1,0)</f>
        <v>0</v>
      </c>
      <c r="R248" s="56" t="n">
        <f aca="false">IF(AND(D248&gt;1,Q248=0,ISNUMBER(O248),ISNUMBER(P248)),IF(Q247=0,1,0),0)</f>
        <v>1</v>
      </c>
      <c r="S248" s="56" t="n">
        <f aca="false">R248*(B248&gt;=Train_Start)*(B248&lt;=Train_End)</f>
        <v>1</v>
      </c>
      <c r="T248" s="84" t="n">
        <f aca="false">IF(AND(ISNUMBER(O248),ISNUMBER(P248)),Coef_A+Coef_B1*O248+Coef_B2*P248,"")</f>
        <v>24.6939717397791</v>
      </c>
      <c r="U248" s="84" t="n">
        <f aca="false">IF(AND(R248=1,ISNUMBER(T248)),E248-T248,"")</f>
        <v>-1.39397173977906</v>
      </c>
      <c r="V248" s="84" t="n">
        <f aca="false">IF(ISNUMBER(T248),T248,-99)</f>
        <v>24.6939717397791</v>
      </c>
      <c r="W248" s="84" t="n">
        <f aca="false">IF(ISNUMBER(U248),ABS(U248),"")</f>
        <v>1.39397173977906</v>
      </c>
    </row>
    <row r="249" customFormat="false" ht="15" hidden="false" customHeight="false" outlineLevel="0" collapsed="false">
      <c r="A249" s="57" t="n">
        <v>29436</v>
      </c>
      <c r="B249" s="56" t="n">
        <v>1980</v>
      </c>
      <c r="C249" s="56" t="n">
        <v>8</v>
      </c>
      <c r="D249" s="56" t="n">
        <v>95</v>
      </c>
      <c r="E249" s="56" t="n">
        <v>21.6</v>
      </c>
      <c r="F249" s="56" t="n">
        <v>0</v>
      </c>
      <c r="G249" s="56" t="n">
        <v>15.9</v>
      </c>
      <c r="H249" s="56" t="n">
        <v>0</v>
      </c>
      <c r="I249" s="56" t="n">
        <v>19.6</v>
      </c>
      <c r="J249" s="56" t="n">
        <v>0</v>
      </c>
      <c r="K249" s="56" t="n">
        <v>1011.5</v>
      </c>
      <c r="L249" s="56" t="n">
        <v>0</v>
      </c>
      <c r="M249" s="56" t="n">
        <v>76</v>
      </c>
      <c r="N249" s="56" t="n">
        <v>5.3</v>
      </c>
      <c r="O249" s="56" t="n">
        <f aca="false">IF(D249=1,"",E248)</f>
        <v>23.3</v>
      </c>
      <c r="P249" s="56" t="n">
        <f aca="false">IF(OR(D249=1,K248=""),"",K248)</f>
        <v>1015.7</v>
      </c>
      <c r="Q249" s="56" t="n">
        <f aca="false">IF(OR(F249&lt;&gt;0,AND(I249&lt;&gt;"",E249&lt;I249)),1,0)</f>
        <v>0</v>
      </c>
      <c r="R249" s="56" t="n">
        <f aca="false">IF(AND(D249&gt;1,Q249=0,ISNUMBER(O249),ISNUMBER(P249)),IF(Q248=0,1,0),0)</f>
        <v>1</v>
      </c>
      <c r="S249" s="56" t="n">
        <f aca="false">R249*(B249&gt;=Train_Start)*(B249&lt;=Train_End)</f>
        <v>1</v>
      </c>
      <c r="T249" s="84" t="n">
        <f aca="false">IF(AND(ISNUMBER(O249),ISNUMBER(P249)),Coef_A+Coef_B1*O249+Coef_B2*P249,"")</f>
        <v>23.0399805996327</v>
      </c>
      <c r="U249" s="84" t="n">
        <f aca="false">IF(AND(R249=1,ISNUMBER(T249)),E249-T249,"")</f>
        <v>-1.43998059963265</v>
      </c>
      <c r="V249" s="84" t="n">
        <f aca="false">IF(ISNUMBER(T249),T249,-99)</f>
        <v>23.0399805996327</v>
      </c>
      <c r="W249" s="84" t="n">
        <f aca="false">IF(ISNUMBER(U249),ABS(U249),"")</f>
        <v>1.43998059963265</v>
      </c>
    </row>
    <row r="250" customFormat="false" ht="15" hidden="false" customHeight="false" outlineLevel="0" collapsed="false">
      <c r="A250" s="57" t="n">
        <v>29437</v>
      </c>
      <c r="B250" s="56" t="n">
        <v>1980</v>
      </c>
      <c r="C250" s="56" t="n">
        <v>8</v>
      </c>
      <c r="D250" s="56" t="n">
        <v>96</v>
      </c>
      <c r="E250" s="56" t="n">
        <v>21</v>
      </c>
      <c r="F250" s="56" t="n">
        <v>0</v>
      </c>
      <c r="G250" s="56" t="n">
        <v>16.7</v>
      </c>
      <c r="H250" s="56" t="n">
        <v>0</v>
      </c>
      <c r="I250" s="56" t="n">
        <v>19.2</v>
      </c>
      <c r="J250" s="56" t="n">
        <v>0</v>
      </c>
      <c r="K250" s="56" t="n">
        <v>1012.6</v>
      </c>
      <c r="L250" s="56" t="n">
        <v>0</v>
      </c>
      <c r="M250" s="56" t="n">
        <v>81</v>
      </c>
      <c r="N250" s="56" t="n">
        <v>0.5</v>
      </c>
      <c r="O250" s="56" t="n">
        <f aca="false">IF(D250=1,"",E249)</f>
        <v>21.6</v>
      </c>
      <c r="P250" s="56" t="n">
        <f aca="false">IF(OR(D250=1,K249=""),"",K249)</f>
        <v>1011.5</v>
      </c>
      <c r="Q250" s="56" t="n">
        <f aca="false">IF(OR(F250&lt;&gt;0,AND(I250&lt;&gt;"",E250&lt;I250)),1,0)</f>
        <v>0</v>
      </c>
      <c r="R250" s="56" t="n">
        <f aca="false">IF(AND(D250&gt;1,Q250=0,ISNUMBER(O250),ISNUMBER(P250)),IF(Q249=0,1,0),0)</f>
        <v>1</v>
      </c>
      <c r="S250" s="56" t="n">
        <f aca="false">R250*(B250&gt;=Train_Start)*(B250&lt;=Train_End)</f>
        <v>1</v>
      </c>
      <c r="T250" s="84" t="n">
        <f aca="false">IF(AND(ISNUMBER(O250),ISNUMBER(P250)),Coef_A+Coef_B1*O250+Coef_B2*P250,"")</f>
        <v>21.5153504139974</v>
      </c>
      <c r="U250" s="84" t="n">
        <f aca="false">IF(AND(R250=1,ISNUMBER(T250)),E250-T250,"")</f>
        <v>-0.515350413997371</v>
      </c>
      <c r="V250" s="84" t="n">
        <f aca="false">IF(ISNUMBER(T250),T250,-99)</f>
        <v>21.5153504139974</v>
      </c>
      <c r="W250" s="84" t="n">
        <f aca="false">IF(ISNUMBER(U250),ABS(U250),"")</f>
        <v>0.515350413997371</v>
      </c>
    </row>
    <row r="251" customFormat="false" ht="15" hidden="false" customHeight="false" outlineLevel="0" collapsed="false">
      <c r="A251" s="57" t="n">
        <v>29438</v>
      </c>
      <c r="B251" s="56" t="n">
        <v>1980</v>
      </c>
      <c r="C251" s="56" t="n">
        <v>8</v>
      </c>
      <c r="D251" s="56" t="n">
        <v>97</v>
      </c>
      <c r="E251" s="56" t="n">
        <v>21.9</v>
      </c>
      <c r="F251" s="56" t="n">
        <v>0</v>
      </c>
      <c r="G251" s="56" t="n">
        <v>15</v>
      </c>
      <c r="H251" s="56" t="n">
        <v>0</v>
      </c>
      <c r="I251" s="56" t="n">
        <v>18</v>
      </c>
      <c r="J251" s="56" t="n">
        <v>0</v>
      </c>
      <c r="K251" s="56" t="n">
        <v>1013.9</v>
      </c>
      <c r="L251" s="56" t="n">
        <v>0</v>
      </c>
      <c r="M251" s="56" t="n">
        <v>72</v>
      </c>
      <c r="N251" s="56" t="n">
        <v>5.9</v>
      </c>
      <c r="O251" s="56" t="n">
        <f aca="false">IF(D251=1,"",E250)</f>
        <v>21</v>
      </c>
      <c r="P251" s="56" t="n">
        <f aca="false">IF(OR(D251=1,K250=""),"",K250)</f>
        <v>1012.6</v>
      </c>
      <c r="Q251" s="56" t="n">
        <f aca="false">IF(OR(F251&lt;&gt;0,AND(I251&lt;&gt;"",E251&lt;I251)),1,0)</f>
        <v>0</v>
      </c>
      <c r="R251" s="56" t="n">
        <f aca="false">IF(AND(D251&gt;1,Q251=0,ISNUMBER(O251),ISNUMBER(P251)),IF(Q250=0,1,0),0)</f>
        <v>1</v>
      </c>
      <c r="S251" s="56" t="n">
        <f aca="false">R251*(B251&gt;=Train_Start)*(B251&lt;=Train_End)</f>
        <v>1</v>
      </c>
      <c r="T251" s="84" t="n">
        <f aca="false">IF(AND(ISNUMBER(O251),ISNUMBER(P251)),Coef_A+Coef_B1*O251+Coef_B2*P251,"")</f>
        <v>21.0582537822692</v>
      </c>
      <c r="U251" s="84" t="n">
        <f aca="false">IF(AND(R251=1,ISNUMBER(T251)),E251-T251,"")</f>
        <v>0.841746217730833</v>
      </c>
      <c r="V251" s="84" t="n">
        <f aca="false">IF(ISNUMBER(T251),T251,-99)</f>
        <v>21.0582537822692</v>
      </c>
      <c r="W251" s="84" t="n">
        <f aca="false">IF(ISNUMBER(U251),ABS(U251),"")</f>
        <v>0.841746217730833</v>
      </c>
    </row>
    <row r="252" customFormat="false" ht="15" hidden="false" customHeight="false" outlineLevel="0" collapsed="false">
      <c r="A252" s="57" t="n">
        <v>29439</v>
      </c>
      <c r="B252" s="56" t="n">
        <v>1980</v>
      </c>
      <c r="C252" s="56" t="n">
        <v>8</v>
      </c>
      <c r="D252" s="56" t="n">
        <v>98</v>
      </c>
      <c r="E252" s="56" t="n">
        <v>25.2</v>
      </c>
      <c r="F252" s="56" t="n">
        <v>0</v>
      </c>
      <c r="G252" s="56" t="n">
        <v>14.6</v>
      </c>
      <c r="H252" s="56" t="n">
        <v>0</v>
      </c>
      <c r="I252" s="56" t="n">
        <v>18.2</v>
      </c>
      <c r="J252" s="56" t="n">
        <v>0</v>
      </c>
      <c r="K252" s="56" t="n">
        <v>1019.1</v>
      </c>
      <c r="L252" s="56" t="n">
        <v>0</v>
      </c>
      <c r="M252" s="56" t="n">
        <v>78</v>
      </c>
      <c r="N252" s="56" t="n">
        <v>2.3</v>
      </c>
      <c r="O252" s="56" t="n">
        <f aca="false">IF(D252=1,"",E251)</f>
        <v>21.9</v>
      </c>
      <c r="P252" s="56" t="n">
        <f aca="false">IF(OR(D252=1,K251=""),"",K251)</f>
        <v>1013.9</v>
      </c>
      <c r="Q252" s="56" t="n">
        <f aca="false">IF(OR(F252&lt;&gt;0,AND(I252&lt;&gt;"",E252&lt;I252)),1,0)</f>
        <v>0</v>
      </c>
      <c r="R252" s="56" t="n">
        <f aca="false">IF(AND(D252&gt;1,Q252=0,ISNUMBER(O252),ISNUMBER(P252)),IF(Q251=0,1,0),0)</f>
        <v>1</v>
      </c>
      <c r="S252" s="56" t="n">
        <f aca="false">R252*(B252&gt;=Train_Start)*(B252&lt;=Train_End)</f>
        <v>1</v>
      </c>
      <c r="T252" s="84" t="n">
        <f aca="false">IF(AND(ISNUMBER(O252),ISNUMBER(P252)),Coef_A+Coef_B1*O252+Coef_B2*P252,"")</f>
        <v>21.8364399190317</v>
      </c>
      <c r="U252" s="84" t="n">
        <f aca="false">IF(AND(R252=1,ISNUMBER(T252)),E252-T252,"")</f>
        <v>3.36356008096826</v>
      </c>
      <c r="V252" s="84" t="n">
        <f aca="false">IF(ISNUMBER(T252),T252,-99)</f>
        <v>21.8364399190317</v>
      </c>
      <c r="W252" s="84" t="n">
        <f aca="false">IF(ISNUMBER(U252),ABS(U252),"")</f>
        <v>3.36356008096826</v>
      </c>
    </row>
    <row r="253" customFormat="false" ht="15" hidden="false" customHeight="false" outlineLevel="0" collapsed="false">
      <c r="A253" s="57" t="n">
        <v>29440</v>
      </c>
      <c r="B253" s="56" t="n">
        <v>1980</v>
      </c>
      <c r="C253" s="56" t="n">
        <v>8</v>
      </c>
      <c r="D253" s="56" t="n">
        <v>99</v>
      </c>
      <c r="E253" s="56" t="n">
        <v>17.4</v>
      </c>
      <c r="F253" s="56" t="n">
        <v>1</v>
      </c>
      <c r="G253" s="56" t="n">
        <v>16.3</v>
      </c>
      <c r="H253" s="56" t="n">
        <v>0</v>
      </c>
      <c r="I253" s="56" t="n">
        <v>20.8</v>
      </c>
      <c r="J253" s="56" t="n">
        <v>1</v>
      </c>
      <c r="K253" s="56" t="n">
        <v>1012.7</v>
      </c>
      <c r="L253" s="56" t="n">
        <v>0</v>
      </c>
      <c r="M253" s="56" t="n">
        <v>72</v>
      </c>
      <c r="N253" s="56" t="n">
        <v>3.8</v>
      </c>
      <c r="O253" s="56" t="n">
        <f aca="false">IF(D253=1,"",E252)</f>
        <v>25.2</v>
      </c>
      <c r="P253" s="56" t="n">
        <f aca="false">IF(OR(D253=1,K252=""),"",K252)</f>
        <v>1019.1</v>
      </c>
      <c r="Q253" s="56" t="n">
        <f aca="false">IF(OR(F253&lt;&gt;0,AND(I253&lt;&gt;"",E253&lt;I253)),1,0)</f>
        <v>1</v>
      </c>
      <c r="R253" s="56" t="n">
        <f aca="false">IF(AND(D253&gt;1,Q253=0,ISNUMBER(O253),ISNUMBER(P253)),IF(Q252=0,1,0),0)</f>
        <v>0</v>
      </c>
      <c r="S253" s="56" t="n">
        <f aca="false">R253*(B253&gt;=Train_Start)*(B253&lt;=Train_End)</f>
        <v>0</v>
      </c>
      <c r="T253" s="84" t="n">
        <f aca="false">IF(AND(ISNUMBER(O253),ISNUMBER(P253)),Coef_A+Coef_B1*O253+Coef_B2*P253,"")</f>
        <v>24.7033827081693</v>
      </c>
      <c r="U253" s="84" t="str">
        <f aca="false">IF(AND(R253=1,ISNUMBER(T253)),E253-T253,"")</f>
        <v/>
      </c>
      <c r="V253" s="84" t="n">
        <f aca="false">IF(ISNUMBER(T253),T253,-99)</f>
        <v>24.7033827081693</v>
      </c>
      <c r="W253" s="84" t="str">
        <f aca="false">IF(ISNUMBER(U253),ABS(U253),"")</f>
        <v/>
      </c>
    </row>
    <row r="254" customFormat="false" ht="15" hidden="false" customHeight="false" outlineLevel="0" collapsed="false">
      <c r="A254" s="57" t="n">
        <v>29441</v>
      </c>
      <c r="B254" s="56" t="n">
        <v>1980</v>
      </c>
      <c r="C254" s="56" t="n">
        <v>8</v>
      </c>
      <c r="D254" s="56" t="n">
        <v>100</v>
      </c>
      <c r="E254" s="56" t="n">
        <v>22.1</v>
      </c>
      <c r="F254" s="56" t="n">
        <v>0</v>
      </c>
      <c r="G254" s="56" t="n">
        <v>14.6</v>
      </c>
      <c r="H254" s="56" t="n">
        <v>0</v>
      </c>
      <c r="I254" s="56" t="n">
        <v>16</v>
      </c>
      <c r="J254" s="56" t="n">
        <v>0</v>
      </c>
      <c r="K254" s="56" t="n">
        <v>1012.7</v>
      </c>
      <c r="L254" s="56" t="n">
        <v>0</v>
      </c>
      <c r="M254" s="56" t="n">
        <v>84</v>
      </c>
      <c r="N254" s="56" t="n">
        <v>0</v>
      </c>
      <c r="O254" s="56" t="n">
        <f aca="false">IF(D254=1,"",E253)</f>
        <v>17.4</v>
      </c>
      <c r="P254" s="56" t="n">
        <f aca="false">IF(OR(D254=1,K253=""),"",K253)</f>
        <v>1012.7</v>
      </c>
      <c r="Q254" s="56" t="n">
        <f aca="false">IF(OR(F254&lt;&gt;0,AND(I254&lt;&gt;"",E254&lt;I254)),1,0)</f>
        <v>0</v>
      </c>
      <c r="R254" s="56" t="n">
        <f aca="false">IF(AND(D254&gt;1,Q254=0,ISNUMBER(O254),ISNUMBER(P254)),IF(Q253=0,1,0),0)</f>
        <v>0</v>
      </c>
      <c r="S254" s="56" t="n">
        <f aca="false">R254*(B254&gt;=Train_Start)*(B254&lt;=Train_End)</f>
        <v>0</v>
      </c>
      <c r="T254" s="84" t="n">
        <f aca="false">IF(AND(ISNUMBER(O254),ISNUMBER(P254)),Coef_A+Coef_B1*O254+Coef_B2*P254,"")</f>
        <v>18.111769676779</v>
      </c>
      <c r="U254" s="84" t="str">
        <f aca="false">IF(AND(R254=1,ISNUMBER(T254)),E254-T254,"")</f>
        <v/>
      </c>
      <c r="V254" s="84" t="n">
        <f aca="false">IF(ISNUMBER(T254),T254,-99)</f>
        <v>18.111769676779</v>
      </c>
      <c r="W254" s="84" t="str">
        <f aca="false">IF(ISNUMBER(U254),ABS(U254),"")</f>
        <v/>
      </c>
    </row>
    <row r="255" customFormat="false" ht="15" hidden="false" customHeight="false" outlineLevel="0" collapsed="false">
      <c r="A255" s="57" t="n">
        <v>29442</v>
      </c>
      <c r="B255" s="56" t="n">
        <v>1980</v>
      </c>
      <c r="C255" s="56" t="n">
        <v>8</v>
      </c>
      <c r="D255" s="56" t="n">
        <v>101</v>
      </c>
      <c r="E255" s="56" t="n">
        <v>24.4</v>
      </c>
      <c r="F255" s="56" t="n">
        <v>0</v>
      </c>
      <c r="G255" s="56" t="n">
        <v>13.9</v>
      </c>
      <c r="H255" s="56" t="n">
        <v>0</v>
      </c>
      <c r="I255" s="56" t="n">
        <v>18</v>
      </c>
      <c r="J255" s="56" t="n">
        <v>0</v>
      </c>
      <c r="K255" s="56" t="n">
        <v>1017.5</v>
      </c>
      <c r="L255" s="56" t="n">
        <v>0</v>
      </c>
      <c r="M255" s="56" t="n">
        <v>75</v>
      </c>
      <c r="N255" s="56" t="n">
        <v>4.7</v>
      </c>
      <c r="O255" s="56" t="n">
        <f aca="false">IF(D255=1,"",E254)</f>
        <v>22.1</v>
      </c>
      <c r="P255" s="56" t="n">
        <f aca="false">IF(OR(D255=1,K254=""),"",K254)</f>
        <v>1012.7</v>
      </c>
      <c r="Q255" s="56" t="n">
        <f aca="false">IF(OR(F255&lt;&gt;0,AND(I255&lt;&gt;"",E255&lt;I255)),1,0)</f>
        <v>0</v>
      </c>
      <c r="R255" s="56" t="n">
        <f aca="false">IF(AND(D255&gt;1,Q255=0,ISNUMBER(O255),ISNUMBER(P255)),IF(Q254=0,1,0),0)</f>
        <v>1</v>
      </c>
      <c r="S255" s="56" t="n">
        <f aca="false">R255*(B255&gt;=Train_Start)*(B255&lt;=Train_End)</f>
        <v>1</v>
      </c>
      <c r="T255" s="84" t="n">
        <f aca="false">IF(AND(ISNUMBER(O255),ISNUMBER(P255)),Coef_A+Coef_B1*O255+Coef_B2*P255,"")</f>
        <v>21.9626638840795</v>
      </c>
      <c r="U255" s="84" t="n">
        <f aca="false">IF(AND(R255=1,ISNUMBER(T255)),E255-T255,"")</f>
        <v>2.43733611592051</v>
      </c>
      <c r="V255" s="84" t="n">
        <f aca="false">IF(ISNUMBER(T255),T255,-99)</f>
        <v>21.9626638840795</v>
      </c>
      <c r="W255" s="84" t="n">
        <f aca="false">IF(ISNUMBER(U255),ABS(U255),"")</f>
        <v>2.43733611592051</v>
      </c>
    </row>
    <row r="256" customFormat="false" ht="15" hidden="false" customHeight="false" outlineLevel="0" collapsed="false">
      <c r="A256" s="57" t="n">
        <v>29443</v>
      </c>
      <c r="B256" s="56" t="n">
        <v>1980</v>
      </c>
      <c r="C256" s="56" t="n">
        <v>8</v>
      </c>
      <c r="D256" s="56" t="n">
        <v>102</v>
      </c>
      <c r="E256" s="56" t="n">
        <v>20.3</v>
      </c>
      <c r="F256" s="56" t="n">
        <v>0</v>
      </c>
      <c r="G256" s="56" t="n">
        <v>13.3</v>
      </c>
      <c r="H256" s="56" t="n">
        <v>0</v>
      </c>
      <c r="I256" s="56" t="n">
        <v>18.8</v>
      </c>
      <c r="J256" s="56" t="n">
        <v>0</v>
      </c>
      <c r="K256" s="56" t="n">
        <v>1018.7</v>
      </c>
      <c r="L256" s="56" t="n">
        <v>0</v>
      </c>
      <c r="M256" s="56" t="n">
        <v>73</v>
      </c>
      <c r="N256" s="56" t="n">
        <v>10.9</v>
      </c>
      <c r="O256" s="56" t="n">
        <f aca="false">IF(D256=1,"",E255)</f>
        <v>24.4</v>
      </c>
      <c r="P256" s="56" t="n">
        <f aca="false">IF(OR(D256=1,K255=""),"",K255)</f>
        <v>1017.5</v>
      </c>
      <c r="Q256" s="56" t="n">
        <f aca="false">IF(OR(F256&lt;&gt;0,AND(I256&lt;&gt;"",E256&lt;I256)),1,0)</f>
        <v>0</v>
      </c>
      <c r="R256" s="56" t="n">
        <f aca="false">IF(AND(D256&gt;1,Q256=0,ISNUMBER(O256),ISNUMBER(P256)),IF(Q255=0,1,0),0)</f>
        <v>1</v>
      </c>
      <c r="S256" s="56" t="n">
        <f aca="false">R256*(B256&gt;=Train_Start)*(B256&lt;=Train_End)</f>
        <v>1</v>
      </c>
      <c r="T256" s="84" t="n">
        <f aca="false">IF(AND(ISNUMBER(O256),ISNUMBER(P256)),Coef_A+Coef_B1*O256+Coef_B2*P256,"")</f>
        <v>23.9977195223208</v>
      </c>
      <c r="U256" s="84" t="n">
        <f aca="false">IF(AND(R256=1,ISNUMBER(T256)),E256-T256,"")</f>
        <v>-3.69771952232075</v>
      </c>
      <c r="V256" s="84" t="n">
        <f aca="false">IF(ISNUMBER(T256),T256,-99)</f>
        <v>23.9977195223208</v>
      </c>
      <c r="W256" s="84" t="n">
        <f aca="false">IF(ISNUMBER(U256),ABS(U256),"")</f>
        <v>3.69771952232075</v>
      </c>
    </row>
    <row r="257" customFormat="false" ht="15" hidden="false" customHeight="false" outlineLevel="0" collapsed="false">
      <c r="A257" s="57" t="n">
        <v>29444</v>
      </c>
      <c r="B257" s="56" t="n">
        <v>1980</v>
      </c>
      <c r="C257" s="56" t="n">
        <v>8</v>
      </c>
      <c r="D257" s="56" t="n">
        <v>103</v>
      </c>
      <c r="E257" s="56" t="n">
        <v>19.8</v>
      </c>
      <c r="F257" s="56" t="n">
        <v>0</v>
      </c>
      <c r="G257" s="56" t="n">
        <v>15.3</v>
      </c>
      <c r="H257" s="56" t="n">
        <v>0</v>
      </c>
      <c r="I257" s="56" t="n">
        <v>17.8</v>
      </c>
      <c r="J257" s="56" t="n">
        <v>0</v>
      </c>
      <c r="K257" s="56" t="n">
        <v>1010.4</v>
      </c>
      <c r="L257" s="56" t="n">
        <v>0</v>
      </c>
      <c r="M257" s="56" t="n">
        <v>85</v>
      </c>
      <c r="N257" s="56" t="n">
        <v>0.1</v>
      </c>
      <c r="O257" s="56" t="n">
        <f aca="false">IF(D257=1,"",E256)</f>
        <v>20.3</v>
      </c>
      <c r="P257" s="56" t="n">
        <f aca="false">IF(OR(D257=1,K256=""),"",K256)</f>
        <v>1018.7</v>
      </c>
      <c r="Q257" s="56" t="n">
        <f aca="false">IF(OR(F257&lt;&gt;0,AND(I257&lt;&gt;"",E257&lt;I257)),1,0)</f>
        <v>0</v>
      </c>
      <c r="R257" s="56" t="n">
        <f aca="false">IF(AND(D257&gt;1,Q257=0,ISNUMBER(O257),ISNUMBER(P257)),IF(Q256=0,1,0),0)</f>
        <v>1</v>
      </c>
      <c r="S257" s="56" t="n">
        <f aca="false">R257*(B257&gt;=Train_Start)*(B257&lt;=Train_End)</f>
        <v>1</v>
      </c>
      <c r="T257" s="84" t="n">
        <f aca="false">IF(AND(ISNUMBER(O257),ISNUMBER(P257)),Coef_A+Coef_B1*O257+Coef_B2*P257,"")</f>
        <v>20.6760727044066</v>
      </c>
      <c r="U257" s="84" t="n">
        <f aca="false">IF(AND(R257=1,ISNUMBER(T257)),E257-T257,"")</f>
        <v>-0.876072704406642</v>
      </c>
      <c r="V257" s="84" t="n">
        <f aca="false">IF(ISNUMBER(T257),T257,-99)</f>
        <v>20.6760727044066</v>
      </c>
      <c r="W257" s="84" t="n">
        <f aca="false">IF(ISNUMBER(U257),ABS(U257),"")</f>
        <v>0.876072704406642</v>
      </c>
    </row>
    <row r="258" customFormat="false" ht="15" hidden="false" customHeight="false" outlineLevel="0" collapsed="false">
      <c r="A258" s="57" t="n">
        <v>29445</v>
      </c>
      <c r="B258" s="56" t="n">
        <v>1980</v>
      </c>
      <c r="C258" s="56" t="n">
        <v>8</v>
      </c>
      <c r="D258" s="56" t="n">
        <v>104</v>
      </c>
      <c r="E258" s="56" t="n">
        <v>24.6</v>
      </c>
      <c r="F258" s="56" t="n">
        <v>0</v>
      </c>
      <c r="G258" s="56" t="n">
        <v>11.2</v>
      </c>
      <c r="H258" s="56" t="n">
        <v>0</v>
      </c>
      <c r="I258" s="56" t="n">
        <v>15.5</v>
      </c>
      <c r="J258" s="56" t="n">
        <v>0</v>
      </c>
      <c r="K258" s="56" t="n">
        <v>1009.6</v>
      </c>
      <c r="L258" s="56" t="n">
        <v>0</v>
      </c>
      <c r="M258" s="56" t="n">
        <v>75</v>
      </c>
      <c r="N258" s="56" t="n">
        <v>4.8</v>
      </c>
      <c r="O258" s="56" t="n">
        <f aca="false">IF(D258=1,"",E257)</f>
        <v>19.8</v>
      </c>
      <c r="P258" s="56" t="n">
        <f aca="false">IF(OR(D258=1,K257=""),"",K257)</f>
        <v>1010.4</v>
      </c>
      <c r="Q258" s="56" t="n">
        <f aca="false">IF(OR(F258&lt;&gt;0,AND(I258&lt;&gt;"",E258&lt;I258)),1,0)</f>
        <v>0</v>
      </c>
      <c r="R258" s="56" t="n">
        <f aca="false">IF(AND(D258&gt;1,Q258=0,ISNUMBER(O258),ISNUMBER(P258)),IF(Q257=0,1,0),0)</f>
        <v>1</v>
      </c>
      <c r="S258" s="56" t="n">
        <f aca="false">R258*(B258&gt;=Train_Start)*(B258&lt;=Train_End)</f>
        <v>1</v>
      </c>
      <c r="T258" s="84" t="n">
        <f aca="false">IF(AND(ISNUMBER(O258),ISNUMBER(P258)),Coef_A+Coef_B1*O258+Coef_B2*P258,"")</f>
        <v>20.0060329824232</v>
      </c>
      <c r="U258" s="84" t="n">
        <f aca="false">IF(AND(R258=1,ISNUMBER(T258)),E258-T258,"")</f>
        <v>4.5939670175768</v>
      </c>
      <c r="V258" s="84" t="n">
        <f aca="false">IF(ISNUMBER(T258),T258,-99)</f>
        <v>20.0060329824232</v>
      </c>
      <c r="W258" s="84" t="n">
        <f aca="false">IF(ISNUMBER(U258),ABS(U258),"")</f>
        <v>4.5939670175768</v>
      </c>
    </row>
    <row r="259" customFormat="false" ht="15" hidden="false" customHeight="false" outlineLevel="0" collapsed="false">
      <c r="A259" s="57" t="n">
        <v>29446</v>
      </c>
      <c r="B259" s="56" t="n">
        <v>1980</v>
      </c>
      <c r="C259" s="56" t="n">
        <v>8</v>
      </c>
      <c r="D259" s="56" t="n">
        <v>105</v>
      </c>
      <c r="E259" s="56" t="n">
        <v>24.8</v>
      </c>
      <c r="F259" s="56" t="n">
        <v>0</v>
      </c>
      <c r="G259" s="56" t="n">
        <v>12.6</v>
      </c>
      <c r="H259" s="56" t="n">
        <v>0</v>
      </c>
      <c r="I259" s="56" t="n">
        <v>18.6</v>
      </c>
      <c r="J259" s="56" t="n">
        <v>0</v>
      </c>
      <c r="K259" s="56" t="n">
        <v>1009.9</v>
      </c>
      <c r="L259" s="56" t="n">
        <v>0</v>
      </c>
      <c r="M259" s="56" t="n">
        <v>87</v>
      </c>
      <c r="N259" s="56" t="n">
        <v>3.3</v>
      </c>
      <c r="O259" s="56" t="n">
        <f aca="false">IF(D259=1,"",E258)</f>
        <v>24.6</v>
      </c>
      <c r="P259" s="56" t="n">
        <f aca="false">IF(OR(D259=1,K258=""),"",K258)</f>
        <v>1009.6</v>
      </c>
      <c r="Q259" s="56" t="n">
        <f aca="false">IF(OR(F259&lt;&gt;0,AND(I259&lt;&gt;"",E259&lt;I259)),1,0)</f>
        <v>0</v>
      </c>
      <c r="R259" s="56" t="n">
        <f aca="false">IF(AND(D259&gt;1,Q259=0,ISNUMBER(O259),ISNUMBER(P259)),IF(Q258=0,1,0),0)</f>
        <v>1</v>
      </c>
      <c r="S259" s="56" t="n">
        <f aca="false">R259*(B259&gt;=Train_Start)*(B259&lt;=Train_End)</f>
        <v>1</v>
      </c>
      <c r="T259" s="84" t="n">
        <f aca="false">IF(AND(ISNUMBER(O259),ISNUMBER(P259)),Coef_A+Coef_B1*O259+Coef_B2*P259,"")</f>
        <v>23.9137651933208</v>
      </c>
      <c r="U259" s="84" t="n">
        <f aca="false">IF(AND(R259=1,ISNUMBER(T259)),E259-T259,"")</f>
        <v>0.886234806679237</v>
      </c>
      <c r="V259" s="84" t="n">
        <f aca="false">IF(ISNUMBER(T259),T259,-99)</f>
        <v>23.9137651933208</v>
      </c>
      <c r="W259" s="84" t="n">
        <f aca="false">IF(ISNUMBER(U259),ABS(U259),"")</f>
        <v>0.886234806679237</v>
      </c>
    </row>
    <row r="260" customFormat="false" ht="15" hidden="false" customHeight="false" outlineLevel="0" collapsed="false">
      <c r="A260" s="57" t="n">
        <v>29447</v>
      </c>
      <c r="B260" s="56" t="n">
        <v>1980</v>
      </c>
      <c r="C260" s="56" t="n">
        <v>8</v>
      </c>
      <c r="D260" s="56" t="n">
        <v>106</v>
      </c>
      <c r="E260" s="56" t="n">
        <v>23.3</v>
      </c>
      <c r="F260" s="56" t="n">
        <v>0</v>
      </c>
      <c r="G260" s="56" t="n">
        <v>17</v>
      </c>
      <c r="H260" s="56" t="n">
        <v>0</v>
      </c>
      <c r="I260" s="56" t="n">
        <v>20.9</v>
      </c>
      <c r="J260" s="56" t="n">
        <v>0</v>
      </c>
      <c r="K260" s="56" t="n">
        <v>1009.8</v>
      </c>
      <c r="L260" s="56" t="n">
        <v>0</v>
      </c>
      <c r="M260" s="56" t="n">
        <v>86</v>
      </c>
      <c r="N260" s="56" t="n">
        <v>0.3</v>
      </c>
      <c r="O260" s="56" t="n">
        <f aca="false">IF(D260=1,"",E259)</f>
        <v>24.8</v>
      </c>
      <c r="P260" s="56" t="n">
        <f aca="false">IF(OR(D260=1,K259=""),"",K259)</f>
        <v>1009.9</v>
      </c>
      <c r="Q260" s="56" t="n">
        <f aca="false">IF(OR(F260&lt;&gt;0,AND(I260&lt;&gt;"",E260&lt;I260)),1,0)</f>
        <v>0</v>
      </c>
      <c r="R260" s="56" t="n">
        <f aca="false">IF(AND(D260&gt;1,Q260=0,ISNUMBER(O260),ISNUMBER(P260)),IF(Q259=0,1,0),0)</f>
        <v>1</v>
      </c>
      <c r="S260" s="56" t="n">
        <f aca="false">R260*(B260&gt;=Train_Start)*(B260&lt;=Train_End)</f>
        <v>1</v>
      </c>
      <c r="T260" s="84" t="n">
        <f aca="false">IF(AND(ISNUMBER(O260),ISNUMBER(P260)),Coef_A+Coef_B1*O260+Coef_B2*P260,"")</f>
        <v>24.0870440003195</v>
      </c>
      <c r="U260" s="84" t="n">
        <f aca="false">IF(AND(R260=1,ISNUMBER(T260)),E260-T260,"")</f>
        <v>-0.78704400031949</v>
      </c>
      <c r="V260" s="84" t="n">
        <f aca="false">IF(ISNUMBER(T260),T260,-99)</f>
        <v>24.0870440003195</v>
      </c>
      <c r="W260" s="84" t="n">
        <f aca="false">IF(ISNUMBER(U260),ABS(U260),"")</f>
        <v>0.78704400031949</v>
      </c>
    </row>
    <row r="261" customFormat="false" ht="15" hidden="false" customHeight="false" outlineLevel="0" collapsed="false">
      <c r="A261" s="57" t="n">
        <v>29448</v>
      </c>
      <c r="B261" s="56" t="n">
        <v>1980</v>
      </c>
      <c r="C261" s="56" t="n">
        <v>8</v>
      </c>
      <c r="D261" s="56" t="n">
        <v>107</v>
      </c>
      <c r="E261" s="56" t="n">
        <v>23.9</v>
      </c>
      <c r="F261" s="56" t="n">
        <v>0</v>
      </c>
      <c r="G261" s="56" t="n">
        <v>18</v>
      </c>
      <c r="H261" s="56" t="n">
        <v>0</v>
      </c>
      <c r="I261" s="56" t="n">
        <v>20.6</v>
      </c>
      <c r="J261" s="56" t="n">
        <v>0</v>
      </c>
      <c r="K261" s="56" t="n">
        <v>1007.5</v>
      </c>
      <c r="L261" s="56" t="n">
        <v>0</v>
      </c>
      <c r="M261" s="56" t="n">
        <v>82</v>
      </c>
      <c r="N261" s="56" t="n">
        <v>4</v>
      </c>
      <c r="O261" s="56" t="n">
        <f aca="false">IF(D261=1,"",E260)</f>
        <v>23.3</v>
      </c>
      <c r="P261" s="56" t="n">
        <f aca="false">IF(OR(D261=1,K260=""),"",K260)</f>
        <v>1009.8</v>
      </c>
      <c r="Q261" s="56" t="n">
        <f aca="false">IF(OR(F261&lt;&gt;0,AND(I261&lt;&gt;"",E261&lt;I261)),1,0)</f>
        <v>0</v>
      </c>
      <c r="R261" s="56" t="n">
        <f aca="false">IF(AND(D261&gt;1,Q261=0,ISNUMBER(O261),ISNUMBER(P261)),IF(Q260=0,1,0),0)</f>
        <v>1</v>
      </c>
      <c r="S261" s="56" t="n">
        <f aca="false">R261*(B261&gt;=Train_Start)*(B261&lt;=Train_End)</f>
        <v>1</v>
      </c>
      <c r="T261" s="84" t="n">
        <f aca="false">IF(AND(ISNUMBER(O261),ISNUMBER(P261)),Coef_A+Coef_B1*O261+Coef_B2*P261,"")</f>
        <v>22.8548982212921</v>
      </c>
      <c r="U261" s="84" t="n">
        <f aca="false">IF(AND(R261=1,ISNUMBER(T261)),E261-T261,"")</f>
        <v>1.04510177870789</v>
      </c>
      <c r="V261" s="84" t="n">
        <f aca="false">IF(ISNUMBER(T261),T261,-99)</f>
        <v>22.8548982212921</v>
      </c>
      <c r="W261" s="84" t="n">
        <f aca="false">IF(ISNUMBER(U261),ABS(U261),"")</f>
        <v>1.04510177870789</v>
      </c>
    </row>
    <row r="262" customFormat="false" ht="15" hidden="false" customHeight="false" outlineLevel="0" collapsed="false">
      <c r="A262" s="57" t="n">
        <v>29449</v>
      </c>
      <c r="B262" s="56" t="n">
        <v>1980</v>
      </c>
      <c r="C262" s="56" t="n">
        <v>8</v>
      </c>
      <c r="D262" s="56" t="n">
        <v>108</v>
      </c>
      <c r="E262" s="56" t="n">
        <v>22.4</v>
      </c>
      <c r="F262" s="56" t="n">
        <v>0</v>
      </c>
      <c r="G262" s="56" t="n">
        <v>12.5</v>
      </c>
      <c r="H262" s="56" t="n">
        <v>0</v>
      </c>
      <c r="I262" s="56" t="n">
        <v>18.2</v>
      </c>
      <c r="J262" s="56" t="n">
        <v>0</v>
      </c>
      <c r="K262" s="56" t="n">
        <v>1017</v>
      </c>
      <c r="L262" s="56" t="n">
        <v>0</v>
      </c>
      <c r="M262" s="56" t="n">
        <v>79</v>
      </c>
      <c r="N262" s="56" t="n">
        <v>6.9</v>
      </c>
      <c r="O262" s="56" t="n">
        <f aca="false">IF(D262=1,"",E261)</f>
        <v>23.9</v>
      </c>
      <c r="P262" s="56" t="n">
        <f aca="false">IF(OR(D262=1,K261=""),"",K261)</f>
        <v>1007.5</v>
      </c>
      <c r="Q262" s="56" t="n">
        <f aca="false">IF(OR(F262&lt;&gt;0,AND(I262&lt;&gt;"",E262&lt;I262)),1,0)</f>
        <v>0</v>
      </c>
      <c r="R262" s="56" t="n">
        <f aca="false">IF(AND(D262&gt;1,Q262=0,ISNUMBER(O262),ISNUMBER(P262)),IF(Q261=0,1,0),0)</f>
        <v>1</v>
      </c>
      <c r="S262" s="56" t="n">
        <f aca="false">R262*(B262&gt;=Train_Start)*(B262&lt;=Train_End)</f>
        <v>1</v>
      </c>
      <c r="T262" s="84" t="n">
        <f aca="false">IF(AND(ISNUMBER(O262),ISNUMBER(P262)),Coef_A+Coef_B1*O262+Coef_B2*P262,"")</f>
        <v>23.2743509794595</v>
      </c>
      <c r="U262" s="84" t="n">
        <f aca="false">IF(AND(R262=1,ISNUMBER(T262)),E262-T262,"")</f>
        <v>-0.874350979459528</v>
      </c>
      <c r="V262" s="84" t="n">
        <f aca="false">IF(ISNUMBER(T262),T262,-99)</f>
        <v>23.2743509794595</v>
      </c>
      <c r="W262" s="84" t="n">
        <f aca="false">IF(ISNUMBER(U262),ABS(U262),"")</f>
        <v>0.874350979459528</v>
      </c>
    </row>
    <row r="263" customFormat="false" ht="15" hidden="false" customHeight="false" outlineLevel="0" collapsed="false">
      <c r="A263" s="57" t="n">
        <v>29450</v>
      </c>
      <c r="B263" s="56" t="n">
        <v>1980</v>
      </c>
      <c r="C263" s="56" t="n">
        <v>8</v>
      </c>
      <c r="D263" s="56" t="n">
        <v>109</v>
      </c>
      <c r="E263" s="56" t="n">
        <v>22.3</v>
      </c>
      <c r="F263" s="56" t="n">
        <v>0</v>
      </c>
      <c r="G263" s="56" t="n">
        <v>13.7</v>
      </c>
      <c r="H263" s="56" t="n">
        <v>0</v>
      </c>
      <c r="I263" s="56" t="n">
        <v>18</v>
      </c>
      <c r="J263" s="56" t="n">
        <v>0</v>
      </c>
      <c r="K263" s="56" t="n">
        <v>1017.5</v>
      </c>
      <c r="L263" s="56" t="n">
        <v>0</v>
      </c>
      <c r="M263" s="56" t="n">
        <v>83</v>
      </c>
      <c r="N263" s="56" t="n">
        <v>1.8</v>
      </c>
      <c r="O263" s="56" t="n">
        <f aca="false">IF(D263=1,"",E262)</f>
        <v>22.4</v>
      </c>
      <c r="P263" s="56" t="n">
        <f aca="false">IF(OR(D263=1,K262=""),"",K262)</f>
        <v>1017</v>
      </c>
      <c r="Q263" s="56" t="n">
        <f aca="false">IF(OR(F263&lt;&gt;0,AND(I263&lt;&gt;"",E263&lt;I263)),1,0)</f>
        <v>0</v>
      </c>
      <c r="R263" s="56" t="n">
        <f aca="false">IF(AND(D263&gt;1,Q263=0,ISNUMBER(O263),ISNUMBER(P263)),IF(Q262=0,1,0),0)</f>
        <v>1</v>
      </c>
      <c r="S263" s="56" t="n">
        <f aca="false">R263*(B263&gt;=Train_Start)*(B263&lt;=Train_End)</f>
        <v>1</v>
      </c>
      <c r="T263" s="84" t="n">
        <f aca="false">IF(AND(ISNUMBER(O263),ISNUMBER(P263)),Coef_A+Coef_B1*O263+Coef_B2*P263,"")</f>
        <v>22.3433561889184</v>
      </c>
      <c r="U263" s="84" t="n">
        <f aca="false">IF(AND(R263=1,ISNUMBER(T263)),E263-T263,"")</f>
        <v>-0.0433561889184375</v>
      </c>
      <c r="V263" s="84" t="n">
        <f aca="false">IF(ISNUMBER(T263),T263,-99)</f>
        <v>22.3433561889184</v>
      </c>
      <c r="W263" s="84" t="n">
        <f aca="false">IF(ISNUMBER(U263),ABS(U263),"")</f>
        <v>0.0433561889184375</v>
      </c>
    </row>
    <row r="264" customFormat="false" ht="15" hidden="false" customHeight="false" outlineLevel="0" collapsed="false">
      <c r="A264" s="57" t="n">
        <v>29451</v>
      </c>
      <c r="B264" s="56" t="n">
        <v>1980</v>
      </c>
      <c r="C264" s="56" t="n">
        <v>8</v>
      </c>
      <c r="D264" s="56" t="n">
        <v>110</v>
      </c>
      <c r="E264" s="56" t="n">
        <v>20.2</v>
      </c>
      <c r="F264" s="56" t="n">
        <v>0</v>
      </c>
      <c r="G264" s="56" t="n">
        <v>13.9</v>
      </c>
      <c r="H264" s="56" t="n">
        <v>0</v>
      </c>
      <c r="I264" s="56" t="n">
        <v>18.1</v>
      </c>
      <c r="J264" s="56" t="n">
        <v>0</v>
      </c>
      <c r="K264" s="56" t="n">
        <v>1020.1</v>
      </c>
      <c r="L264" s="56" t="n">
        <v>0</v>
      </c>
      <c r="M264" s="56" t="n">
        <v>74</v>
      </c>
      <c r="N264" s="56" t="n">
        <v>8.8</v>
      </c>
      <c r="O264" s="56" t="n">
        <f aca="false">IF(D264=1,"",E263)</f>
        <v>22.3</v>
      </c>
      <c r="P264" s="56" t="n">
        <f aca="false">IF(OR(D264=1,K263=""),"",K263)</f>
        <v>1017.5</v>
      </c>
      <c r="Q264" s="56" t="n">
        <f aca="false">IF(OR(F264&lt;&gt;0,AND(I264&lt;&gt;"",E264&lt;I264)),1,0)</f>
        <v>0</v>
      </c>
      <c r="R264" s="56" t="n">
        <f aca="false">IF(AND(D264&gt;1,Q264=0,ISNUMBER(O264),ISNUMBER(P264)),IF(Q263=0,1,0),0)</f>
        <v>1</v>
      </c>
      <c r="S264" s="56" t="n">
        <f aca="false">R264*(B264&gt;=Train_Start)*(B264&lt;=Train_End)</f>
        <v>1</v>
      </c>
      <c r="T264" s="84" t="n">
        <f aca="false">IF(AND(ISNUMBER(O264),ISNUMBER(P264)),Coef_A+Coef_B1*O264+Coef_B2*P264,"")</f>
        <v>22.2771072169312</v>
      </c>
      <c r="U264" s="84" t="n">
        <f aca="false">IF(AND(R264=1,ISNUMBER(T264)),E264-T264,"")</f>
        <v>-2.07710721693117</v>
      </c>
      <c r="V264" s="84" t="n">
        <f aca="false">IF(ISNUMBER(T264),T264,-99)</f>
        <v>22.2771072169312</v>
      </c>
      <c r="W264" s="84" t="n">
        <f aca="false">IF(ISNUMBER(U264),ABS(U264),"")</f>
        <v>2.07710721693117</v>
      </c>
    </row>
    <row r="265" customFormat="false" ht="15" hidden="false" customHeight="false" outlineLevel="0" collapsed="false">
      <c r="A265" s="57" t="n">
        <v>29452</v>
      </c>
      <c r="B265" s="56" t="n">
        <v>1980</v>
      </c>
      <c r="C265" s="56" t="n">
        <v>8</v>
      </c>
      <c r="D265" s="56" t="n">
        <v>111</v>
      </c>
      <c r="E265" s="56" t="n">
        <v>24.5</v>
      </c>
      <c r="F265" s="56" t="n">
        <v>0</v>
      </c>
      <c r="G265" s="56" t="n">
        <v>11.6</v>
      </c>
      <c r="H265" s="56" t="n">
        <v>0</v>
      </c>
      <c r="I265" s="56" t="n">
        <v>15.9</v>
      </c>
      <c r="J265" s="56" t="n">
        <v>0</v>
      </c>
      <c r="K265" s="56" t="n">
        <v>1025.4</v>
      </c>
      <c r="L265" s="56" t="n">
        <v>0</v>
      </c>
      <c r="M265" s="56" t="n">
        <v>71</v>
      </c>
      <c r="N265" s="56" t="n">
        <v>7.9</v>
      </c>
      <c r="O265" s="56" t="n">
        <f aca="false">IF(D265=1,"",E264)</f>
        <v>20.2</v>
      </c>
      <c r="P265" s="56" t="n">
        <f aca="false">IF(OR(D265=1,K264=""),"",K264)</f>
        <v>1020.1</v>
      </c>
      <c r="Q265" s="56" t="n">
        <f aca="false">IF(OR(F265&lt;&gt;0,AND(I265&lt;&gt;"",E265&lt;I265)),1,0)</f>
        <v>0</v>
      </c>
      <c r="R265" s="56" t="n">
        <f aca="false">IF(AND(D265&gt;1,Q265=0,ISNUMBER(O265),ISNUMBER(P265)),IF(Q264=0,1,0),0)</f>
        <v>1</v>
      </c>
      <c r="S265" s="56" t="n">
        <f aca="false">R265*(B265&gt;=Train_Start)*(B265&lt;=Train_End)</f>
        <v>1</v>
      </c>
      <c r="T265" s="84" t="n">
        <f aca="false">IF(AND(ISNUMBER(O265),ISNUMBER(P265)),Coef_A+Coef_B1*O265+Coef_B2*P265,"")</f>
        <v>20.63805663759</v>
      </c>
      <c r="U265" s="84" t="n">
        <f aca="false">IF(AND(R265=1,ISNUMBER(T265)),E265-T265,"")</f>
        <v>3.86194336241004</v>
      </c>
      <c r="V265" s="84" t="n">
        <f aca="false">IF(ISNUMBER(T265),T265,-99)</f>
        <v>20.63805663759</v>
      </c>
      <c r="W265" s="84" t="n">
        <f aca="false">IF(ISNUMBER(U265),ABS(U265),"")</f>
        <v>3.86194336241004</v>
      </c>
    </row>
    <row r="266" customFormat="false" ht="15" hidden="false" customHeight="false" outlineLevel="0" collapsed="false">
      <c r="A266" s="57" t="n">
        <v>29453</v>
      </c>
      <c r="B266" s="56" t="n">
        <v>1980</v>
      </c>
      <c r="C266" s="56" t="n">
        <v>8</v>
      </c>
      <c r="D266" s="56" t="n">
        <v>112</v>
      </c>
      <c r="E266" s="56" t="n">
        <v>21</v>
      </c>
      <c r="F266" s="56" t="n">
        <v>0</v>
      </c>
      <c r="G266" s="56" t="n">
        <v>12.4</v>
      </c>
      <c r="H266" s="56" t="n">
        <v>0</v>
      </c>
      <c r="I266" s="56" t="n">
        <v>18.4</v>
      </c>
      <c r="J266" s="56" t="n">
        <v>0</v>
      </c>
      <c r="K266" s="56" t="n">
        <v>1021.1</v>
      </c>
      <c r="L266" s="56" t="n">
        <v>0</v>
      </c>
      <c r="M266" s="56" t="n">
        <v>80</v>
      </c>
      <c r="N266" s="56" t="n">
        <v>7.3</v>
      </c>
      <c r="O266" s="56" t="n">
        <f aca="false">IF(D266=1,"",E265)</f>
        <v>24.5</v>
      </c>
      <c r="P266" s="56" t="n">
        <f aca="false">IF(OR(D266=1,K265=""),"",K265)</f>
        <v>1025.4</v>
      </c>
      <c r="Q266" s="56" t="n">
        <f aca="false">IF(OR(F266&lt;&gt;0,AND(I266&lt;&gt;"",E266&lt;I266)),1,0)</f>
        <v>0</v>
      </c>
      <c r="R266" s="56" t="n">
        <f aca="false">IF(AND(D266&gt;1,Q266=0,ISNUMBER(O266),ISNUMBER(P266)),IF(Q265=0,1,0),0)</f>
        <v>1</v>
      </c>
      <c r="S266" s="56" t="n">
        <f aca="false">R266*(B266&gt;=Train_Start)*(B266&lt;=Train_End)</f>
        <v>1</v>
      </c>
      <c r="T266" s="84" t="n">
        <f aca="false">IF(AND(ISNUMBER(O266),ISNUMBER(P266)),Coef_A+Coef_B1*O266+Coef_B2*P266,"")</f>
        <v>24.3274756092335</v>
      </c>
      <c r="U266" s="84" t="n">
        <f aca="false">IF(AND(R266=1,ISNUMBER(T266)),E266-T266,"")</f>
        <v>-3.32747560923353</v>
      </c>
      <c r="V266" s="84" t="n">
        <f aca="false">IF(ISNUMBER(T266),T266,-99)</f>
        <v>24.3274756092335</v>
      </c>
      <c r="W266" s="84" t="n">
        <f aca="false">IF(ISNUMBER(U266),ABS(U266),"")</f>
        <v>3.32747560923353</v>
      </c>
    </row>
    <row r="267" customFormat="false" ht="15" hidden="false" customHeight="false" outlineLevel="0" collapsed="false">
      <c r="A267" s="57" t="n">
        <v>29454</v>
      </c>
      <c r="B267" s="56" t="n">
        <v>1980</v>
      </c>
      <c r="C267" s="56" t="n">
        <v>8</v>
      </c>
      <c r="D267" s="56" t="n">
        <v>113</v>
      </c>
      <c r="E267" s="56" t="n">
        <v>18</v>
      </c>
      <c r="F267" s="56" t="n">
        <v>1</v>
      </c>
      <c r="G267" s="56" t="n">
        <v>15.2</v>
      </c>
      <c r="H267" s="56" t="n">
        <v>0</v>
      </c>
      <c r="I267" s="56" t="n">
        <v>18.1</v>
      </c>
      <c r="J267" s="56" t="n">
        <v>1</v>
      </c>
      <c r="K267" s="56" t="n">
        <v>1018.6</v>
      </c>
      <c r="L267" s="56" t="n">
        <v>0</v>
      </c>
      <c r="M267" s="56" t="n">
        <v>63</v>
      </c>
      <c r="N267" s="56" t="n">
        <v>10.8</v>
      </c>
      <c r="O267" s="56" t="n">
        <f aca="false">IF(D267=1,"",E266)</f>
        <v>21</v>
      </c>
      <c r="P267" s="56" t="n">
        <f aca="false">IF(OR(D267=1,K266=""),"",K266)</f>
        <v>1021.1</v>
      </c>
      <c r="Q267" s="56" t="n">
        <f aca="false">IF(OR(F267&lt;&gt;0,AND(I267&lt;&gt;"",E267&lt;I267)),1,0)</f>
        <v>1</v>
      </c>
      <c r="R267" s="56" t="n">
        <f aca="false">IF(AND(D267&gt;1,Q267=0,ISNUMBER(O267),ISNUMBER(P267)),IF(Q266=0,1,0),0)</f>
        <v>0</v>
      </c>
      <c r="S267" s="56" t="n">
        <f aca="false">R267*(B267&gt;=Train_Start)*(B267&lt;=Train_End)</f>
        <v>0</v>
      </c>
      <c r="T267" s="84" t="n">
        <f aca="false">IF(AND(ISNUMBER(O267),ISNUMBER(P267)),Coef_A+Coef_B1*O267+Coef_B2*P267,"")</f>
        <v>21.3248978866581</v>
      </c>
      <c r="U267" s="84" t="str">
        <f aca="false">IF(AND(R267=1,ISNUMBER(T267)),E267-T267,"")</f>
        <v/>
      </c>
      <c r="V267" s="84" t="n">
        <f aca="false">IF(ISNUMBER(T267),T267,-99)</f>
        <v>21.3248978866581</v>
      </c>
      <c r="W267" s="84" t="str">
        <f aca="false">IF(ISNUMBER(U267),ABS(U267),"")</f>
        <v/>
      </c>
    </row>
    <row r="268" customFormat="false" ht="15" hidden="false" customHeight="false" outlineLevel="0" collapsed="false">
      <c r="A268" s="57" t="n">
        <v>29455</v>
      </c>
      <c r="B268" s="56" t="n">
        <v>1980</v>
      </c>
      <c r="C268" s="56" t="n">
        <v>8</v>
      </c>
      <c r="D268" s="56" t="n">
        <v>114</v>
      </c>
      <c r="E268" s="56" t="n">
        <v>18.3</v>
      </c>
      <c r="F268" s="56" t="n">
        <v>0</v>
      </c>
      <c r="G268" s="56" t="n">
        <v>9.7</v>
      </c>
      <c r="H268" s="56" t="n">
        <v>0</v>
      </c>
      <c r="I268" s="56" t="n">
        <v>13.8</v>
      </c>
      <c r="J268" s="56" t="n">
        <v>0</v>
      </c>
      <c r="K268" s="56" t="n">
        <v>1022</v>
      </c>
      <c r="L268" s="56" t="n">
        <v>0</v>
      </c>
      <c r="M268" s="56" t="n">
        <v>64</v>
      </c>
      <c r="N268" s="56" t="n">
        <v>6.9</v>
      </c>
      <c r="O268" s="56" t="n">
        <f aca="false">IF(D268=1,"",E267)</f>
        <v>18</v>
      </c>
      <c r="P268" s="56" t="n">
        <f aca="false">IF(OR(D268=1,K267=""),"",K267)</f>
        <v>1018.6</v>
      </c>
      <c r="Q268" s="56" t="n">
        <f aca="false">IF(OR(F268&lt;&gt;0,AND(I268&lt;&gt;"",E268&lt;I268)),1,0)</f>
        <v>0</v>
      </c>
      <c r="R268" s="56" t="n">
        <f aca="false">IF(AND(D268&gt;1,Q268=0,ISNUMBER(O268),ISNUMBER(P268)),IF(Q267=0,1,0),0)</f>
        <v>0</v>
      </c>
      <c r="S268" s="56" t="n">
        <f aca="false">R268*(B268&gt;=Train_Start)*(B268&lt;=Train_End)</f>
        <v>0</v>
      </c>
      <c r="T268" s="84" t="n">
        <f aca="false">IF(AND(ISNUMBER(O268),ISNUMBER(P268)),Coef_A+Coef_B1*O268+Coef_B2*P268,"")</f>
        <v>18.7884555709451</v>
      </c>
      <c r="U268" s="84" t="str">
        <f aca="false">IF(AND(R268=1,ISNUMBER(T268)),E268-T268,"")</f>
        <v/>
      </c>
      <c r="V268" s="84" t="n">
        <f aca="false">IF(ISNUMBER(T268),T268,-99)</f>
        <v>18.7884555709451</v>
      </c>
      <c r="W268" s="84" t="str">
        <f aca="false">IF(ISNUMBER(U268),ABS(U268),"")</f>
        <v/>
      </c>
    </row>
    <row r="269" customFormat="false" ht="15" hidden="false" customHeight="false" outlineLevel="0" collapsed="false">
      <c r="A269" s="57" t="n">
        <v>29456</v>
      </c>
      <c r="B269" s="56" t="n">
        <v>1980</v>
      </c>
      <c r="C269" s="56" t="n">
        <v>8</v>
      </c>
      <c r="D269" s="56" t="n">
        <v>115</v>
      </c>
      <c r="E269" s="56" t="n">
        <v>19.8</v>
      </c>
      <c r="F269" s="56" t="n">
        <v>0</v>
      </c>
      <c r="G269" s="56" t="n">
        <v>7.2</v>
      </c>
      <c r="H269" s="56" t="n">
        <v>0</v>
      </c>
      <c r="I269" s="56" t="n">
        <v>12.8</v>
      </c>
      <c r="J269" s="56" t="n">
        <v>0</v>
      </c>
      <c r="K269" s="56" t="n">
        <v>1023.7</v>
      </c>
      <c r="L269" s="56" t="n">
        <v>0</v>
      </c>
      <c r="M269" s="56" t="n">
        <v>67</v>
      </c>
      <c r="N269" s="56" t="n">
        <v>8.3</v>
      </c>
      <c r="O269" s="56" t="n">
        <f aca="false">IF(D269=1,"",E268)</f>
        <v>18.3</v>
      </c>
      <c r="P269" s="56" t="n">
        <f aca="false">IF(OR(D269=1,K268=""),"",K268)</f>
        <v>1022</v>
      </c>
      <c r="Q269" s="56" t="n">
        <f aca="false">IF(OR(F269&lt;&gt;0,AND(I269&lt;&gt;"",E269&lt;I269)),1,0)</f>
        <v>0</v>
      </c>
      <c r="R269" s="56" t="n">
        <f aca="false">IF(AND(D269&gt;1,Q269=0,ISNUMBER(O269),ISNUMBER(P269)),IF(Q268=0,1,0),0)</f>
        <v>1</v>
      </c>
      <c r="S269" s="56" t="n">
        <f aca="false">R269*(B269&gt;=Train_Start)*(B269&lt;=Train_End)</f>
        <v>1</v>
      </c>
      <c r="T269" s="84" t="n">
        <f aca="false">IF(AND(ISNUMBER(O269),ISNUMBER(P269)),Coef_A+Coef_B1*O269+Coef_B2*P269,"")</f>
        <v>19.1409149706135</v>
      </c>
      <c r="U269" s="84" t="n">
        <f aca="false">IF(AND(R269=1,ISNUMBER(T269)),E269-T269,"")</f>
        <v>0.65908502938651</v>
      </c>
      <c r="V269" s="84" t="n">
        <f aca="false">IF(ISNUMBER(T269),T269,-99)</f>
        <v>19.1409149706135</v>
      </c>
      <c r="W269" s="84" t="n">
        <f aca="false">IF(ISNUMBER(U269),ABS(U269),"")</f>
        <v>0.65908502938651</v>
      </c>
    </row>
    <row r="270" customFormat="false" ht="15" hidden="false" customHeight="false" outlineLevel="0" collapsed="false">
      <c r="A270" s="57" t="n">
        <v>29457</v>
      </c>
      <c r="B270" s="56" t="n">
        <v>1980</v>
      </c>
      <c r="C270" s="56" t="n">
        <v>8</v>
      </c>
      <c r="D270" s="56" t="n">
        <v>116</v>
      </c>
      <c r="E270" s="56" t="n">
        <v>21</v>
      </c>
      <c r="F270" s="56" t="n">
        <v>0</v>
      </c>
      <c r="G270" s="56" t="n">
        <v>9.3</v>
      </c>
      <c r="H270" s="56" t="n">
        <v>0</v>
      </c>
      <c r="I270" s="56" t="n">
        <v>14.6</v>
      </c>
      <c r="J270" s="56" t="n">
        <v>0</v>
      </c>
      <c r="K270" s="56" t="n">
        <v>1023.7</v>
      </c>
      <c r="L270" s="56" t="n">
        <v>0</v>
      </c>
      <c r="M270" s="56" t="n">
        <v>67</v>
      </c>
      <c r="N270" s="56" t="n">
        <v>7.1</v>
      </c>
      <c r="O270" s="56" t="n">
        <f aca="false">IF(D270=1,"",E269)</f>
        <v>19.8</v>
      </c>
      <c r="P270" s="56" t="n">
        <f aca="false">IF(OR(D270=1,K269=""),"",K269)</f>
        <v>1023.7</v>
      </c>
      <c r="Q270" s="56" t="n">
        <f aca="false">IF(OR(F270&lt;&gt;0,AND(I270&lt;&gt;"",E270&lt;I270)),1,0)</f>
        <v>0</v>
      </c>
      <c r="R270" s="56" t="n">
        <f aca="false">IF(AND(D270&gt;1,Q270=0,ISNUMBER(O270),ISNUMBER(P270)),IF(Q269=0,1,0),0)</f>
        <v>1</v>
      </c>
      <c r="S270" s="56" t="n">
        <f aca="false">R270*(B270&gt;=Train_Start)*(B270&lt;=Train_End)</f>
        <v>1</v>
      </c>
      <c r="T270" s="84" t="n">
        <f aca="false">IF(AND(ISNUMBER(O270),ISNUMBER(P270)),Coef_A+Coef_B1*O270+Coef_B2*P270,"")</f>
        <v>20.4232525810553</v>
      </c>
      <c r="U270" s="84" t="n">
        <f aca="false">IF(AND(R270=1,ISNUMBER(T270)),E270-T270,"")</f>
        <v>0.576747418944734</v>
      </c>
      <c r="V270" s="84" t="n">
        <f aca="false">IF(ISNUMBER(T270),T270,-99)</f>
        <v>20.4232525810553</v>
      </c>
      <c r="W270" s="84" t="n">
        <f aca="false">IF(ISNUMBER(U270),ABS(U270),"")</f>
        <v>0.576747418944734</v>
      </c>
    </row>
    <row r="271" customFormat="false" ht="15" hidden="false" customHeight="false" outlineLevel="0" collapsed="false">
      <c r="A271" s="57" t="n">
        <v>29458</v>
      </c>
      <c r="B271" s="56" t="n">
        <v>1980</v>
      </c>
      <c r="C271" s="56" t="n">
        <v>8</v>
      </c>
      <c r="D271" s="56" t="n">
        <v>117</v>
      </c>
      <c r="E271" s="56" t="n">
        <v>22.6</v>
      </c>
      <c r="F271" s="56" t="n">
        <v>0</v>
      </c>
      <c r="G271" s="56" t="n">
        <v>8.5</v>
      </c>
      <c r="H271" s="56" t="n">
        <v>0</v>
      </c>
      <c r="I271" s="56" t="n">
        <v>14.8</v>
      </c>
      <c r="J271" s="56" t="n">
        <v>0</v>
      </c>
      <c r="K271" s="56" t="n">
        <v>1020.4</v>
      </c>
      <c r="L271" s="56" t="n">
        <v>0</v>
      </c>
      <c r="M271" s="56" t="n">
        <v>67</v>
      </c>
      <c r="N271" s="56" t="n">
        <v>10.6</v>
      </c>
      <c r="O271" s="56" t="n">
        <f aca="false">IF(D271=1,"",E270)</f>
        <v>21</v>
      </c>
      <c r="P271" s="56" t="n">
        <f aca="false">IF(OR(D271=1,K270=""),"",K270)</f>
        <v>1023.7</v>
      </c>
      <c r="Q271" s="56" t="n">
        <f aca="false">IF(OR(F271&lt;&gt;0,AND(I271&lt;&gt;"",E271&lt;I271)),1,0)</f>
        <v>0</v>
      </c>
      <c r="R271" s="56" t="n">
        <f aca="false">IF(AND(D271&gt;1,Q271=0,ISNUMBER(O271),ISNUMBER(P271)),IF(Q270=0,1,0),0)</f>
        <v>1</v>
      </c>
      <c r="S271" s="56" t="n">
        <f aca="false">R271*(B271&gt;=Train_Start)*(B271&lt;=Train_End)</f>
        <v>1</v>
      </c>
      <c r="T271" s="84" t="n">
        <f aca="false">IF(AND(ISNUMBER(O271),ISNUMBER(P271)),Coef_A+Coef_B1*O271+Coef_B2*P271,"")</f>
        <v>21.4064596127065</v>
      </c>
      <c r="U271" s="84" t="n">
        <f aca="false">IF(AND(R271=1,ISNUMBER(T271)),E271-T271,"")</f>
        <v>1.19354038729355</v>
      </c>
      <c r="V271" s="84" t="n">
        <f aca="false">IF(ISNUMBER(T271),T271,-99)</f>
        <v>21.4064596127065</v>
      </c>
      <c r="W271" s="84" t="n">
        <f aca="false">IF(ISNUMBER(U271),ABS(U271),"")</f>
        <v>1.19354038729355</v>
      </c>
    </row>
    <row r="272" customFormat="false" ht="15" hidden="false" customHeight="false" outlineLevel="0" collapsed="false">
      <c r="A272" s="57" t="n">
        <v>29459</v>
      </c>
      <c r="B272" s="56" t="n">
        <v>1980</v>
      </c>
      <c r="C272" s="56" t="n">
        <v>8</v>
      </c>
      <c r="D272" s="56" t="n">
        <v>118</v>
      </c>
      <c r="E272" s="56" t="n">
        <v>24.3</v>
      </c>
      <c r="F272" s="56" t="n">
        <v>0</v>
      </c>
      <c r="G272" s="56" t="n">
        <v>12.3</v>
      </c>
      <c r="H272" s="56" t="n">
        <v>0</v>
      </c>
      <c r="I272" s="56" t="n">
        <v>17.4</v>
      </c>
      <c r="J272" s="56" t="n">
        <v>0</v>
      </c>
      <c r="K272" s="56" t="n">
        <v>1016.5</v>
      </c>
      <c r="L272" s="56" t="n">
        <v>0</v>
      </c>
      <c r="M272" s="56" t="n">
        <v>67</v>
      </c>
      <c r="N272" s="56" t="n">
        <v>9.7</v>
      </c>
      <c r="O272" s="56" t="n">
        <f aca="false">IF(D272=1,"",E271)</f>
        <v>22.6</v>
      </c>
      <c r="P272" s="56" t="n">
        <f aca="false">IF(OR(D272=1,K271=""),"",K271)</f>
        <v>1020.4</v>
      </c>
      <c r="Q272" s="56" t="n">
        <f aca="false">IF(OR(F272&lt;&gt;0,AND(I272&lt;&gt;"",E272&lt;I272)),1,0)</f>
        <v>0</v>
      </c>
      <c r="R272" s="56" t="n">
        <f aca="false">IF(AND(D272&gt;1,Q272=0,ISNUMBER(O272),ISNUMBER(P272)),IF(Q271=0,1,0),0)</f>
        <v>1</v>
      </c>
      <c r="S272" s="56" t="n">
        <f aca="false">R272*(B272&gt;=Train_Start)*(B272&lt;=Train_End)</f>
        <v>1</v>
      </c>
      <c r="T272" s="84" t="n">
        <f aca="false">IF(AND(ISNUMBER(O272),ISNUMBER(P272)),Coef_A+Coef_B1*O272+Coef_B2*P272,"")</f>
        <v>22.6138816692825</v>
      </c>
      <c r="U272" s="84" t="n">
        <f aca="false">IF(AND(R272=1,ISNUMBER(T272)),E272-T272,"")</f>
        <v>1.68611833071746</v>
      </c>
      <c r="V272" s="84" t="n">
        <f aca="false">IF(ISNUMBER(T272),T272,-99)</f>
        <v>22.6138816692825</v>
      </c>
      <c r="W272" s="84" t="n">
        <f aca="false">IF(ISNUMBER(U272),ABS(U272),"")</f>
        <v>1.68611833071746</v>
      </c>
    </row>
    <row r="273" customFormat="false" ht="15" hidden="false" customHeight="false" outlineLevel="0" collapsed="false">
      <c r="A273" s="57" t="n">
        <v>29460</v>
      </c>
      <c r="B273" s="56" t="n">
        <v>1980</v>
      </c>
      <c r="C273" s="56" t="n">
        <v>8</v>
      </c>
      <c r="D273" s="56" t="n">
        <v>119</v>
      </c>
      <c r="E273" s="56" t="n">
        <v>23</v>
      </c>
      <c r="F273" s="56" t="n">
        <v>0</v>
      </c>
      <c r="G273" s="56" t="n">
        <v>11.2</v>
      </c>
      <c r="H273" s="56" t="n">
        <v>0</v>
      </c>
      <c r="I273" s="56" t="n">
        <v>17.8</v>
      </c>
      <c r="J273" s="56" t="n">
        <v>0</v>
      </c>
      <c r="K273" s="56" t="n">
        <v>1016.6</v>
      </c>
      <c r="L273" s="56" t="n">
        <v>0</v>
      </c>
      <c r="M273" s="56" t="n">
        <v>76</v>
      </c>
      <c r="N273" s="56" t="n">
        <v>7.2</v>
      </c>
      <c r="O273" s="56" t="n">
        <f aca="false">IF(D273=1,"",E272)</f>
        <v>24.3</v>
      </c>
      <c r="P273" s="56" t="n">
        <f aca="false">IF(OR(D273=1,K272=""),"",K272)</f>
        <v>1016.5</v>
      </c>
      <c r="Q273" s="56" t="n">
        <f aca="false">IF(OR(F273&lt;&gt;0,AND(I273&lt;&gt;"",E273&lt;I273)),1,0)</f>
        <v>0</v>
      </c>
      <c r="R273" s="56" t="n">
        <f aca="false">IF(AND(D273&gt;1,Q273=0,ISNUMBER(O273),ISNUMBER(P273)),IF(Q272=0,1,0),0)</f>
        <v>1</v>
      </c>
      <c r="S273" s="56" t="n">
        <f aca="false">R273*(B273&gt;=Train_Start)*(B273&lt;=Train_End)</f>
        <v>1</v>
      </c>
      <c r="T273" s="84" t="n">
        <f aca="false">IF(AND(ISNUMBER(O273),ISNUMBER(P273)),Coef_A+Coef_B1*O273+Coef_B2*P273,"")</f>
        <v>23.8844157083825</v>
      </c>
      <c r="U273" s="84" t="n">
        <f aca="false">IF(AND(R273=1,ISNUMBER(T273)),E273-T273,"")</f>
        <v>-0.884415708382495</v>
      </c>
      <c r="V273" s="84" t="n">
        <f aca="false">IF(ISNUMBER(T273),T273,-99)</f>
        <v>23.8844157083825</v>
      </c>
      <c r="W273" s="84" t="n">
        <f aca="false">IF(ISNUMBER(U273),ABS(U273),"")</f>
        <v>0.884415708382495</v>
      </c>
    </row>
    <row r="274" customFormat="false" ht="15" hidden="false" customHeight="false" outlineLevel="0" collapsed="false">
      <c r="A274" s="57" t="n">
        <v>29461</v>
      </c>
      <c r="B274" s="56" t="n">
        <v>1980</v>
      </c>
      <c r="C274" s="56" t="n">
        <v>8</v>
      </c>
      <c r="D274" s="56" t="n">
        <v>120</v>
      </c>
      <c r="E274" s="56" t="n">
        <v>19.6</v>
      </c>
      <c r="F274" s="56" t="n">
        <v>0</v>
      </c>
      <c r="G274" s="56" t="n">
        <v>13.4</v>
      </c>
      <c r="H274" s="56" t="n">
        <v>0</v>
      </c>
      <c r="I274" s="56" t="n">
        <v>18.2</v>
      </c>
      <c r="J274" s="56" t="n">
        <v>0</v>
      </c>
      <c r="K274" s="56" t="n">
        <v>1015.7</v>
      </c>
      <c r="L274" s="56" t="n">
        <v>0</v>
      </c>
      <c r="M274" s="56" t="n">
        <v>80</v>
      </c>
      <c r="N274" s="56" t="n">
        <v>4.1</v>
      </c>
      <c r="O274" s="56" t="n">
        <f aca="false">IF(D274=1,"",E273)</f>
        <v>23</v>
      </c>
      <c r="P274" s="56" t="n">
        <f aca="false">IF(OR(D274=1,K273=""),"",K273)</f>
        <v>1016.6</v>
      </c>
      <c r="Q274" s="56" t="n">
        <f aca="false">IF(OR(F274&lt;&gt;0,AND(I274&lt;&gt;"",E274&lt;I274)),1,0)</f>
        <v>0</v>
      </c>
      <c r="R274" s="56" t="n">
        <f aca="false">IF(AND(D274&gt;1,Q274=0,ISNUMBER(O274),ISNUMBER(P274)),IF(Q273=0,1,0),0)</f>
        <v>1</v>
      </c>
      <c r="S274" s="56" t="n">
        <f aca="false">R274*(B274&gt;=Train_Start)*(B274&lt;=Train_End)</f>
        <v>1</v>
      </c>
      <c r="T274" s="84" t="n">
        <f aca="false">IF(AND(ISNUMBER(O274),ISNUMBER(P274)),Coef_A+Coef_B1*O274+Coef_B2*P274,"")</f>
        <v>22.8224117468904</v>
      </c>
      <c r="U274" s="84" t="n">
        <f aca="false">IF(AND(R274=1,ISNUMBER(T274)),E274-T274,"")</f>
        <v>-3.22241174689044</v>
      </c>
      <c r="V274" s="84" t="n">
        <f aca="false">IF(ISNUMBER(T274),T274,-99)</f>
        <v>22.8224117468904</v>
      </c>
      <c r="W274" s="84" t="n">
        <f aca="false">IF(ISNUMBER(U274),ABS(U274),"")</f>
        <v>3.22241174689044</v>
      </c>
    </row>
    <row r="275" customFormat="false" ht="15" hidden="false" customHeight="false" outlineLevel="0" collapsed="false">
      <c r="A275" s="57" t="n">
        <v>29462</v>
      </c>
      <c r="B275" s="56" t="n">
        <v>1980</v>
      </c>
      <c r="C275" s="56" t="n">
        <v>8</v>
      </c>
      <c r="D275" s="56" t="n">
        <v>121</v>
      </c>
      <c r="E275" s="56" t="n">
        <v>20.4</v>
      </c>
      <c r="F275" s="56" t="n">
        <v>0</v>
      </c>
      <c r="G275" s="56" t="n">
        <v>15.9</v>
      </c>
      <c r="H275" s="56" t="n">
        <v>0</v>
      </c>
      <c r="I275" s="56" t="n">
        <v>17.8</v>
      </c>
      <c r="J275" s="56" t="n">
        <v>0</v>
      </c>
      <c r="K275" s="56" t="n">
        <v>1008</v>
      </c>
      <c r="L275" s="56" t="n">
        <v>0</v>
      </c>
      <c r="M275" s="56" t="n">
        <v>89</v>
      </c>
      <c r="N275" s="56" t="n">
        <v>0</v>
      </c>
      <c r="O275" s="56" t="n">
        <f aca="false">IF(D275=1,"",E274)</f>
        <v>19.6</v>
      </c>
      <c r="P275" s="56" t="n">
        <f aca="false">IF(OR(D275=1,K274=""),"",K274)</f>
        <v>1015.7</v>
      </c>
      <c r="Q275" s="56" t="n">
        <f aca="false">IF(OR(F275&lt;&gt;0,AND(I275&lt;&gt;"",E275&lt;I275)),1,0)</f>
        <v>0</v>
      </c>
      <c r="R275" s="56" t="n">
        <f aca="false">IF(AND(D275&gt;1,Q275=0,ISNUMBER(O275),ISNUMBER(P275)),IF(Q274=0,1,0),0)</f>
        <v>1</v>
      </c>
      <c r="S275" s="56" t="n">
        <f aca="false">R275*(B275&gt;=Train_Start)*(B275&lt;=Train_End)</f>
        <v>1</v>
      </c>
      <c r="T275" s="84" t="n">
        <f aca="false">IF(AND(ISNUMBER(O275),ISNUMBER(P275)),Coef_A+Coef_B1*O275+Coef_B2*P275,"")</f>
        <v>20.0084255853748</v>
      </c>
      <c r="U275" s="84" t="n">
        <f aca="false">IF(AND(R275=1,ISNUMBER(T275)),E275-T275,"")</f>
        <v>0.391574414625183</v>
      </c>
      <c r="V275" s="84" t="n">
        <f aca="false">IF(ISNUMBER(T275),T275,-99)</f>
        <v>20.0084255853748</v>
      </c>
      <c r="W275" s="84" t="n">
        <f aca="false">IF(ISNUMBER(U275),ABS(U275),"")</f>
        <v>0.391574414625183</v>
      </c>
    </row>
    <row r="276" customFormat="false" ht="15" hidden="false" customHeight="false" outlineLevel="0" collapsed="false">
      <c r="A276" s="57" t="n">
        <v>29463</v>
      </c>
      <c r="B276" s="56" t="n">
        <v>1980</v>
      </c>
      <c r="C276" s="56" t="n">
        <v>8</v>
      </c>
      <c r="D276" s="56" t="n">
        <v>122</v>
      </c>
      <c r="E276" s="56" t="n">
        <v>19.9</v>
      </c>
      <c r="F276" s="56" t="n">
        <v>0</v>
      </c>
      <c r="G276" s="56" t="n">
        <v>13.7</v>
      </c>
      <c r="H276" s="56" t="n">
        <v>0</v>
      </c>
      <c r="I276" s="56" t="n">
        <v>17</v>
      </c>
      <c r="J276" s="56" t="n">
        <v>0</v>
      </c>
      <c r="K276" s="56" t="n">
        <v>1007.2</v>
      </c>
      <c r="L276" s="56" t="n">
        <v>0</v>
      </c>
      <c r="M276" s="56" t="n">
        <v>79</v>
      </c>
      <c r="N276" s="56" t="n">
        <v>6</v>
      </c>
      <c r="O276" s="56" t="n">
        <f aca="false">IF(D276=1,"",E275)</f>
        <v>20.4</v>
      </c>
      <c r="P276" s="56" t="n">
        <f aca="false">IF(OR(D276=1,K275=""),"",K275)</f>
        <v>1008</v>
      </c>
      <c r="Q276" s="56" t="n">
        <f aca="false">IF(OR(F276&lt;&gt;0,AND(I276&lt;&gt;"",E276&lt;I276)),1,0)</f>
        <v>0</v>
      </c>
      <c r="R276" s="56" t="n">
        <f aca="false">IF(AND(D276&gt;1,Q276=0,ISNUMBER(O276),ISNUMBER(P276)),IF(Q275=0,1,0),0)</f>
        <v>1</v>
      </c>
      <c r="S276" s="56" t="n">
        <f aca="false">R276*(B276&gt;=Train_Start)*(B276&lt;=Train_End)</f>
        <v>1</v>
      </c>
      <c r="T276" s="84" t="n">
        <f aca="false">IF(AND(ISNUMBER(O276),ISNUMBER(P276)),Coef_A+Coef_B1*O276+Coef_B2*P276,"")</f>
        <v>20.4223487511272</v>
      </c>
      <c r="U276" s="84" t="n">
        <f aca="false">IF(AND(R276=1,ISNUMBER(T276)),E276-T276,"")</f>
        <v>-0.522348751127222</v>
      </c>
      <c r="V276" s="84" t="n">
        <f aca="false">IF(ISNUMBER(T276),T276,-99)</f>
        <v>20.4223487511272</v>
      </c>
      <c r="W276" s="84" t="n">
        <f aca="false">IF(ISNUMBER(U276),ABS(U276),"")</f>
        <v>0.522348751127222</v>
      </c>
    </row>
    <row r="277" customFormat="false" ht="15" hidden="false" customHeight="false" outlineLevel="0" collapsed="false">
      <c r="A277" s="57" t="n">
        <v>29464</v>
      </c>
      <c r="B277" s="56" t="n">
        <v>1980</v>
      </c>
      <c r="C277" s="56" t="n">
        <v>8</v>
      </c>
      <c r="D277" s="56" t="n">
        <v>123</v>
      </c>
      <c r="E277" s="56" t="n">
        <v>22</v>
      </c>
      <c r="F277" s="56" t="n">
        <v>0</v>
      </c>
      <c r="G277" s="56" t="n">
        <v>10.8</v>
      </c>
      <c r="H277" s="56" t="n">
        <v>0</v>
      </c>
      <c r="I277" s="56" t="n">
        <v>15.4</v>
      </c>
      <c r="J277" s="56" t="n">
        <v>0</v>
      </c>
      <c r="K277" s="56" t="n">
        <v>1022</v>
      </c>
      <c r="L277" s="56" t="n">
        <v>0</v>
      </c>
      <c r="M277" s="56" t="n">
        <v>69</v>
      </c>
      <c r="N277" s="56" t="n">
        <v>12.4</v>
      </c>
      <c r="O277" s="56" t="n">
        <f aca="false">IF(D277=1,"",E276)</f>
        <v>19.9</v>
      </c>
      <c r="P277" s="56" t="n">
        <f aca="false">IF(OR(D277=1,K276=""),"",K276)</f>
        <v>1007.2</v>
      </c>
      <c r="Q277" s="56" t="n">
        <f aca="false">IF(OR(F277&lt;&gt;0,AND(I277&lt;&gt;"",E277&lt;I277)),1,0)</f>
        <v>0</v>
      </c>
      <c r="R277" s="56" t="n">
        <f aca="false">IF(AND(D277&gt;1,Q277=0,ISNUMBER(O277),ISNUMBER(P277)),IF(Q276=0,1,0),0)</f>
        <v>1</v>
      </c>
      <c r="S277" s="56" t="n">
        <f aca="false">R277*(B277&gt;=Train_Start)*(B277&lt;=Train_End)</f>
        <v>1</v>
      </c>
      <c r="T277" s="84" t="n">
        <f aca="false">IF(AND(ISNUMBER(O277),ISNUMBER(P277)),Coef_A+Coef_B1*O277+Coef_B2*P277,"")</f>
        <v>19.9875832388987</v>
      </c>
      <c r="U277" s="84" t="n">
        <f aca="false">IF(AND(R277=1,ISNUMBER(T277)),E277-T277,"")</f>
        <v>2.0124167611013</v>
      </c>
      <c r="V277" s="84" t="n">
        <f aca="false">IF(ISNUMBER(T277),T277,-99)</f>
        <v>19.9875832388987</v>
      </c>
      <c r="W277" s="84" t="n">
        <f aca="false">IF(ISNUMBER(U277),ABS(U277),"")</f>
        <v>2.0124167611013</v>
      </c>
    </row>
    <row r="278" customFormat="false" ht="15" hidden="false" customHeight="false" outlineLevel="0" collapsed="false">
      <c r="A278" s="57" t="n">
        <v>29465</v>
      </c>
      <c r="B278" s="56" t="n">
        <v>1980</v>
      </c>
      <c r="C278" s="56" t="n">
        <v>9</v>
      </c>
      <c r="D278" s="56" t="n">
        <v>124</v>
      </c>
      <c r="E278" s="56" t="n">
        <v>22.4</v>
      </c>
      <c r="F278" s="56" t="n">
        <v>0</v>
      </c>
      <c r="G278" s="56" t="n">
        <v>9.4</v>
      </c>
      <c r="H278" s="56" t="n">
        <v>0</v>
      </c>
      <c r="I278" s="56" t="n">
        <v>15.7</v>
      </c>
      <c r="J278" s="56" t="n">
        <v>0</v>
      </c>
      <c r="K278" s="56" t="n">
        <v>1028.1</v>
      </c>
      <c r="L278" s="56" t="n">
        <v>0</v>
      </c>
      <c r="M278" s="56" t="n">
        <v>76</v>
      </c>
      <c r="N278" s="56" t="n">
        <v>10.6</v>
      </c>
      <c r="O278" s="56" t="n">
        <f aca="false">IF(D278=1,"",E277)</f>
        <v>22</v>
      </c>
      <c r="P278" s="56" t="n">
        <f aca="false">IF(OR(D278=1,K277=""),"",K277)</f>
        <v>1022</v>
      </c>
      <c r="Q278" s="56" t="n">
        <f aca="false">IF(OR(F278&lt;&gt;0,AND(I278&lt;&gt;"",E278&lt;I278)),1,0)</f>
        <v>0</v>
      </c>
      <c r="R278" s="56" t="n">
        <f aca="false">IF(AND(D278&gt;1,Q278=0,ISNUMBER(O278),ISNUMBER(P278)),IF(Q277=0,1,0),0)</f>
        <v>1</v>
      </c>
      <c r="S278" s="56" t="n">
        <f aca="false">R278*(B278&gt;=Train_Start)*(B278&lt;=Train_End)</f>
        <v>1</v>
      </c>
      <c r="T278" s="84" t="n">
        <f aca="false">IF(AND(ISNUMBER(O278),ISNUMBER(P278)),Coef_A+Coef_B1*O278+Coef_B2*P278,"")</f>
        <v>22.1724699848713</v>
      </c>
      <c r="U278" s="84" t="n">
        <f aca="false">IF(AND(R278=1,ISNUMBER(T278)),E278-T278,"")</f>
        <v>0.227530015128675</v>
      </c>
      <c r="V278" s="84" t="n">
        <f aca="false">IF(ISNUMBER(T278),T278,-99)</f>
        <v>22.1724699848713</v>
      </c>
      <c r="W278" s="84" t="n">
        <f aca="false">IF(ISNUMBER(U278),ABS(U278),"")</f>
        <v>0.227530015128675</v>
      </c>
    </row>
    <row r="279" customFormat="false" ht="15" hidden="false" customHeight="false" outlineLevel="0" collapsed="false">
      <c r="A279" s="57" t="n">
        <v>29466</v>
      </c>
      <c r="B279" s="56" t="n">
        <v>1980</v>
      </c>
      <c r="C279" s="56" t="n">
        <v>9</v>
      </c>
      <c r="D279" s="56" t="n">
        <v>125</v>
      </c>
      <c r="E279" s="56" t="n">
        <v>25</v>
      </c>
      <c r="F279" s="56" t="n">
        <v>0</v>
      </c>
      <c r="G279" s="56" t="n">
        <v>10.1</v>
      </c>
      <c r="H279" s="56" t="n">
        <v>0</v>
      </c>
      <c r="I279" s="56" t="n">
        <v>16.2</v>
      </c>
      <c r="J279" s="56" t="n">
        <v>0</v>
      </c>
      <c r="K279" s="56" t="n">
        <v>1025.7</v>
      </c>
      <c r="L279" s="56" t="n">
        <v>0</v>
      </c>
      <c r="M279" s="56" t="n">
        <v>70</v>
      </c>
      <c r="N279" s="56" t="n">
        <v>12.1</v>
      </c>
      <c r="O279" s="56" t="n">
        <f aca="false">IF(D279=1,"",E278)</f>
        <v>22.4</v>
      </c>
      <c r="P279" s="56" t="n">
        <f aca="false">IF(OR(D279=1,K278=""),"",K278)</f>
        <v>1028.1</v>
      </c>
      <c r="Q279" s="56" t="n">
        <f aca="false">IF(OR(F279&lt;&gt;0,AND(I279&lt;&gt;"",E279&lt;I279)),1,0)</f>
        <v>0</v>
      </c>
      <c r="R279" s="56" t="n">
        <f aca="false">IF(AND(D279&gt;1,Q279=0,ISNUMBER(O279),ISNUMBER(P279)),IF(Q278=0,1,0),0)</f>
        <v>1</v>
      </c>
      <c r="S279" s="56" t="n">
        <f aca="false">R279*(B279&gt;=Train_Start)*(B279&lt;=Train_End)</f>
        <v>1</v>
      </c>
      <c r="T279" s="84" t="n">
        <f aca="false">IF(AND(ISNUMBER(O279),ISNUMBER(P279)),Coef_A+Coef_B1*O279+Coef_B2*P279,"")</f>
        <v>22.6915620193557</v>
      </c>
      <c r="U279" s="84" t="n">
        <f aca="false">IF(AND(R279=1,ISNUMBER(T279)),E279-T279,"")</f>
        <v>2.30843798064429</v>
      </c>
      <c r="V279" s="84" t="n">
        <f aca="false">IF(ISNUMBER(T279),T279,-99)</f>
        <v>22.6915620193557</v>
      </c>
      <c r="W279" s="84" t="n">
        <f aca="false">IF(ISNUMBER(U279),ABS(U279),"")</f>
        <v>2.30843798064429</v>
      </c>
    </row>
    <row r="280" customFormat="false" ht="15" hidden="false" customHeight="false" outlineLevel="0" collapsed="false">
      <c r="A280" s="57" t="n">
        <v>29467</v>
      </c>
      <c r="B280" s="56" t="n">
        <v>1980</v>
      </c>
      <c r="C280" s="56" t="n">
        <v>9</v>
      </c>
      <c r="D280" s="56" t="n">
        <v>126</v>
      </c>
      <c r="E280" s="56" t="n">
        <v>20.3</v>
      </c>
      <c r="F280" s="56" t="n">
        <v>0</v>
      </c>
      <c r="G280" s="56" t="n">
        <v>10.3</v>
      </c>
      <c r="H280" s="56" t="n">
        <v>0</v>
      </c>
      <c r="I280" s="56" t="n">
        <v>17.6</v>
      </c>
      <c r="J280" s="56" t="n">
        <v>0</v>
      </c>
      <c r="K280" s="56" t="n">
        <v>1017.9</v>
      </c>
      <c r="L280" s="56" t="n">
        <v>0</v>
      </c>
      <c r="M280" s="56" t="n">
        <v>67</v>
      </c>
      <c r="N280" s="56" t="n">
        <v>11.2</v>
      </c>
      <c r="O280" s="56" t="n">
        <f aca="false">IF(D280=1,"",E279)</f>
        <v>25</v>
      </c>
      <c r="P280" s="56" t="n">
        <f aca="false">IF(OR(D280=1,K279=""),"",K279)</f>
        <v>1025.7</v>
      </c>
      <c r="Q280" s="56" t="n">
        <f aca="false">IF(OR(F280&lt;&gt;0,AND(I280&lt;&gt;"",E280&lt;I280)),1,0)</f>
        <v>0</v>
      </c>
      <c r="R280" s="56" t="n">
        <f aca="false">IF(AND(D280&gt;1,Q280=0,ISNUMBER(O280),ISNUMBER(P280)),IF(Q279=0,1,0),0)</f>
        <v>1</v>
      </c>
      <c r="S280" s="56" t="n">
        <f aca="false">R280*(B280&gt;=Train_Start)*(B280&lt;=Train_End)</f>
        <v>1</v>
      </c>
      <c r="T280" s="84" t="n">
        <f aca="false">IF(AND(ISNUMBER(O280),ISNUMBER(P280)),Coef_A+Coef_B1*O280+Coef_B2*P280,"")</f>
        <v>24.7465561741451</v>
      </c>
      <c r="U280" s="84" t="n">
        <f aca="false">IF(AND(R280=1,ISNUMBER(T280)),E280-T280,"")</f>
        <v>-4.44655617414506</v>
      </c>
      <c r="V280" s="84" t="n">
        <f aca="false">IF(ISNUMBER(T280),T280,-99)</f>
        <v>24.7465561741451</v>
      </c>
      <c r="W280" s="84" t="n">
        <f aca="false">IF(ISNUMBER(U280),ABS(U280),"")</f>
        <v>4.44655617414506</v>
      </c>
    </row>
    <row r="281" customFormat="false" ht="15" hidden="false" customHeight="false" outlineLevel="0" collapsed="false">
      <c r="A281" s="57" t="n">
        <v>29468</v>
      </c>
      <c r="B281" s="56" t="n">
        <v>1980</v>
      </c>
      <c r="C281" s="56" t="n">
        <v>9</v>
      </c>
      <c r="D281" s="56" t="n">
        <v>127</v>
      </c>
      <c r="E281" s="56" t="n">
        <v>18.9</v>
      </c>
      <c r="F281" s="56" t="n">
        <v>0</v>
      </c>
      <c r="G281" s="56" t="n">
        <v>11.6</v>
      </c>
      <c r="H281" s="56" t="n">
        <v>0</v>
      </c>
      <c r="I281" s="56" t="n">
        <v>16</v>
      </c>
      <c r="J281" s="56" t="n">
        <v>0</v>
      </c>
      <c r="K281" s="56" t="n">
        <v>1017.2</v>
      </c>
      <c r="L281" s="56" t="n">
        <v>0</v>
      </c>
      <c r="M281" s="56" t="n">
        <v>82</v>
      </c>
      <c r="N281" s="56" t="n">
        <v>0.7</v>
      </c>
      <c r="O281" s="56" t="n">
        <f aca="false">IF(D281=1,"",E280)</f>
        <v>20.3</v>
      </c>
      <c r="P281" s="56" t="n">
        <f aca="false">IF(OR(D281=1,K280=""),"",K280)</f>
        <v>1017.9</v>
      </c>
      <c r="Q281" s="56" t="n">
        <f aca="false">IF(OR(F281&lt;&gt;0,AND(I281&lt;&gt;"",E281&lt;I281)),1,0)</f>
        <v>0</v>
      </c>
      <c r="R281" s="56" t="n">
        <f aca="false">IF(AND(D281&gt;1,Q281=0,ISNUMBER(O281),ISNUMBER(P281)),IF(Q280=0,1,0),0)</f>
        <v>1</v>
      </c>
      <c r="S281" s="56" t="n">
        <f aca="false">R281*(B281&gt;=Train_Start)*(B281&lt;=Train_End)</f>
        <v>1</v>
      </c>
      <c r="T281" s="84" t="n">
        <f aca="false">IF(AND(ISNUMBER(O281),ISNUMBER(P281)),Coef_A+Coef_B1*O281+Coef_B2*P281,"")</f>
        <v>20.6509767886995</v>
      </c>
      <c r="U281" s="84" t="n">
        <f aca="false">IF(AND(R281=1,ISNUMBER(T281)),E281-T281,"")</f>
        <v>-1.75097678869945</v>
      </c>
      <c r="V281" s="84" t="n">
        <f aca="false">IF(ISNUMBER(T281),T281,-99)</f>
        <v>20.6509767886995</v>
      </c>
      <c r="W281" s="84" t="n">
        <f aca="false">IF(ISNUMBER(U281),ABS(U281),"")</f>
        <v>1.75097678869945</v>
      </c>
    </row>
    <row r="282" customFormat="false" ht="15" hidden="false" customHeight="false" outlineLevel="0" collapsed="false">
      <c r="A282" s="57" t="n">
        <v>29469</v>
      </c>
      <c r="B282" s="56" t="n">
        <v>1980</v>
      </c>
      <c r="C282" s="56" t="n">
        <v>9</v>
      </c>
      <c r="D282" s="56" t="n">
        <v>128</v>
      </c>
      <c r="E282" s="56" t="n">
        <v>21.8</v>
      </c>
      <c r="F282" s="56" t="n">
        <v>0</v>
      </c>
      <c r="G282" s="56" t="n">
        <v>13.2</v>
      </c>
      <c r="H282" s="56" t="n">
        <v>0</v>
      </c>
      <c r="I282" s="56" t="n">
        <v>16</v>
      </c>
      <c r="J282" s="56" t="n">
        <v>0</v>
      </c>
      <c r="K282" s="56" t="n">
        <v>1010.6</v>
      </c>
      <c r="L282" s="56" t="n">
        <v>0</v>
      </c>
      <c r="M282" s="56" t="n">
        <v>84</v>
      </c>
      <c r="N282" s="56" t="n">
        <v>3</v>
      </c>
      <c r="O282" s="56" t="n">
        <f aca="false">IF(D282=1,"",E281)</f>
        <v>18.9</v>
      </c>
      <c r="P282" s="56" t="n">
        <f aca="false">IF(OR(D282=1,K281=""),"",K281)</f>
        <v>1017.2</v>
      </c>
      <c r="Q282" s="56" t="n">
        <f aca="false">IF(OR(F282&lt;&gt;0,AND(I282&lt;&gt;"",E282&lt;I282)),1,0)</f>
        <v>0</v>
      </c>
      <c r="R282" s="56" t="n">
        <f aca="false">IF(AND(D282&gt;1,Q282=0,ISNUMBER(O282),ISNUMBER(P282)),IF(Q281=0,1,0),0)</f>
        <v>1</v>
      </c>
      <c r="S282" s="56" t="n">
        <f aca="false">R282*(B282&gt;=Train_Start)*(B282&lt;=Train_End)</f>
        <v>1</v>
      </c>
      <c r="T282" s="84" t="n">
        <f aca="false">IF(AND(ISNUMBER(O282),ISNUMBER(P282)),Coef_A+Coef_B1*O282+Coef_B2*P282,"")</f>
        <v>19.4819429921959</v>
      </c>
      <c r="U282" s="84" t="n">
        <f aca="false">IF(AND(R282=1,ISNUMBER(T282)),E282-T282,"")</f>
        <v>2.31805700780406</v>
      </c>
      <c r="V282" s="84" t="n">
        <f aca="false">IF(ISNUMBER(T282),T282,-99)</f>
        <v>19.4819429921959</v>
      </c>
      <c r="W282" s="84" t="n">
        <f aca="false">IF(ISNUMBER(U282),ABS(U282),"")</f>
        <v>2.31805700780406</v>
      </c>
    </row>
    <row r="283" customFormat="false" ht="15" hidden="false" customHeight="false" outlineLevel="0" collapsed="false">
      <c r="A283" s="57" t="n">
        <v>29470</v>
      </c>
      <c r="B283" s="56" t="n">
        <v>1980</v>
      </c>
      <c r="C283" s="56" t="n">
        <v>9</v>
      </c>
      <c r="D283" s="56" t="n">
        <v>129</v>
      </c>
      <c r="E283" s="56" t="n">
        <v>23.1</v>
      </c>
      <c r="F283" s="56" t="n">
        <v>0</v>
      </c>
      <c r="G283" s="56" t="n">
        <v>10</v>
      </c>
      <c r="H283" s="56" t="n">
        <v>0</v>
      </c>
      <c r="I283" s="56" t="n">
        <v>15.9</v>
      </c>
      <c r="J283" s="56" t="n">
        <v>0</v>
      </c>
      <c r="K283" s="56" t="n">
        <v>1020.2</v>
      </c>
      <c r="L283" s="56" t="n">
        <v>0</v>
      </c>
      <c r="M283" s="56" t="n">
        <v>79</v>
      </c>
      <c r="N283" s="56" t="n">
        <v>10.2</v>
      </c>
      <c r="O283" s="56" t="n">
        <f aca="false">IF(D283=1,"",E282)</f>
        <v>21.8</v>
      </c>
      <c r="P283" s="56" t="n">
        <f aca="false">IF(OR(D283=1,K282=""),"",K282)</f>
        <v>1010.6</v>
      </c>
      <c r="Q283" s="56" t="n">
        <f aca="false">IF(OR(F283&lt;&gt;0,AND(I283&lt;&gt;"",E283&lt;I283)),1,0)</f>
        <v>0</v>
      </c>
      <c r="R283" s="56" t="n">
        <f aca="false">IF(AND(D283&gt;1,Q283=0,ISNUMBER(O283),ISNUMBER(P283)),IF(Q282=0,1,0),0)</f>
        <v>1</v>
      </c>
      <c r="S283" s="56" t="n">
        <f aca="false">R283*(B283&gt;=Train_Start)*(B283&lt;=Train_End)</f>
        <v>1</v>
      </c>
      <c r="T283" s="84" t="n">
        <f aca="false">IF(AND(ISNUMBER(O283),ISNUMBER(P283)),Coef_A+Coef_B1*O283+Coef_B2*P283,"")</f>
        <v>21.6509853474353</v>
      </c>
      <c r="U283" s="84" t="n">
        <f aca="false">IF(AND(R283=1,ISNUMBER(T283)),E283-T283,"")</f>
        <v>1.44901465256469</v>
      </c>
      <c r="V283" s="84" t="n">
        <f aca="false">IF(ISNUMBER(T283),T283,-99)</f>
        <v>21.6509853474353</v>
      </c>
      <c r="W283" s="84" t="n">
        <f aca="false">IF(ISNUMBER(U283),ABS(U283),"")</f>
        <v>1.44901465256469</v>
      </c>
    </row>
    <row r="284" customFormat="false" ht="15" hidden="false" customHeight="false" outlineLevel="0" collapsed="false">
      <c r="A284" s="57" t="n">
        <v>29471</v>
      </c>
      <c r="B284" s="56" t="n">
        <v>1980</v>
      </c>
      <c r="C284" s="56" t="n">
        <v>9</v>
      </c>
      <c r="D284" s="56" t="n">
        <v>130</v>
      </c>
      <c r="E284" s="56" t="n">
        <v>22.1</v>
      </c>
      <c r="F284" s="56" t="n">
        <v>0</v>
      </c>
      <c r="G284" s="56" t="n">
        <v>10.5</v>
      </c>
      <c r="H284" s="56" t="n">
        <v>0</v>
      </c>
      <c r="I284" s="56" t="n">
        <v>16.8</v>
      </c>
      <c r="J284" s="56" t="n">
        <v>0</v>
      </c>
      <c r="K284" s="56" t="n">
        <v>1017.3</v>
      </c>
      <c r="L284" s="56" t="n">
        <v>0</v>
      </c>
      <c r="M284" s="56" t="n">
        <v>73</v>
      </c>
      <c r="N284" s="56" t="n">
        <v>11.3</v>
      </c>
      <c r="O284" s="56" t="n">
        <f aca="false">IF(D284=1,"",E283)</f>
        <v>23.1</v>
      </c>
      <c r="P284" s="56" t="n">
        <f aca="false">IF(OR(D284=1,K283=""),"",K283)</f>
        <v>1020.2</v>
      </c>
      <c r="Q284" s="56" t="n">
        <f aca="false">IF(OR(F284&lt;&gt;0,AND(I284&lt;&gt;"",E284&lt;I284)),1,0)</f>
        <v>0</v>
      </c>
      <c r="R284" s="56" t="n">
        <f aca="false">IF(AND(D284&gt;1,Q284=0,ISNUMBER(O284),ISNUMBER(P284)),IF(Q283=0,1,0),0)</f>
        <v>1</v>
      </c>
      <c r="S284" s="56" t="n">
        <f aca="false">R284*(B284&gt;=Train_Start)*(B284&lt;=Train_End)</f>
        <v>1</v>
      </c>
      <c r="T284" s="84" t="n">
        <f aca="false">IF(AND(ISNUMBER(O284),ISNUMBER(P284)),Coef_A+Coef_B1*O284+Coef_B2*P284,"")</f>
        <v>23.0172772868771</v>
      </c>
      <c r="U284" s="84" t="n">
        <f aca="false">IF(AND(R284=1,ISNUMBER(T284)),E284-T284,"")</f>
        <v>-0.917277286877066</v>
      </c>
      <c r="V284" s="84" t="n">
        <f aca="false">IF(ISNUMBER(T284),T284,-99)</f>
        <v>23.0172772868771</v>
      </c>
      <c r="W284" s="84" t="n">
        <f aca="false">IF(ISNUMBER(U284),ABS(U284),"")</f>
        <v>0.917277286877066</v>
      </c>
    </row>
    <row r="285" customFormat="false" ht="15" hidden="false" customHeight="false" outlineLevel="0" collapsed="false">
      <c r="A285" s="57" t="n">
        <v>29472</v>
      </c>
      <c r="B285" s="56" t="n">
        <v>1980</v>
      </c>
      <c r="C285" s="56" t="n">
        <v>9</v>
      </c>
      <c r="D285" s="56" t="n">
        <v>131</v>
      </c>
      <c r="E285" s="56" t="n">
        <v>17.7</v>
      </c>
      <c r="F285" s="56" t="n">
        <v>0</v>
      </c>
      <c r="G285" s="56" t="n">
        <v>12.3</v>
      </c>
      <c r="H285" s="56" t="n">
        <v>0</v>
      </c>
      <c r="I285" s="56" t="n">
        <v>17.2</v>
      </c>
      <c r="J285" s="56" t="n">
        <v>0</v>
      </c>
      <c r="K285" s="56" t="n">
        <v>1015.5</v>
      </c>
      <c r="L285" s="56" t="n">
        <v>0</v>
      </c>
      <c r="M285" s="56" t="n">
        <v>76</v>
      </c>
      <c r="N285" s="56" t="n">
        <v>5.2</v>
      </c>
      <c r="O285" s="56" t="n">
        <f aca="false">IF(D285=1,"",E284)</f>
        <v>22.1</v>
      </c>
      <c r="P285" s="56" t="n">
        <f aca="false">IF(OR(D285=1,K284=""),"",K284)</f>
        <v>1017.3</v>
      </c>
      <c r="Q285" s="56" t="n">
        <f aca="false">IF(OR(F285&lt;&gt;0,AND(I285&lt;&gt;"",E285&lt;I285)),1,0)</f>
        <v>0</v>
      </c>
      <c r="R285" s="56" t="n">
        <f aca="false">IF(AND(D285&gt;1,Q285=0,ISNUMBER(O285),ISNUMBER(P285)),IF(Q284=0,1,0),0)</f>
        <v>1</v>
      </c>
      <c r="S285" s="56" t="n">
        <f aca="false">R285*(B285&gt;=Train_Start)*(B285&lt;=Train_End)</f>
        <v>1</v>
      </c>
      <c r="T285" s="84" t="n">
        <f aca="false">IF(AND(ISNUMBER(O285),ISNUMBER(P285)),Coef_A+Coef_B1*O285+Coef_B2*P285,"")</f>
        <v>22.1069653993958</v>
      </c>
      <c r="U285" s="84" t="n">
        <f aca="false">IF(AND(R285=1,ISNUMBER(T285)),E285-T285,"")</f>
        <v>-4.40696539939584</v>
      </c>
      <c r="V285" s="84" t="n">
        <f aca="false">IF(ISNUMBER(T285),T285,-99)</f>
        <v>22.1069653993958</v>
      </c>
      <c r="W285" s="84" t="n">
        <f aca="false">IF(ISNUMBER(U285),ABS(U285),"")</f>
        <v>4.40696539939584</v>
      </c>
    </row>
    <row r="286" customFormat="false" ht="15" hidden="false" customHeight="false" outlineLevel="0" collapsed="false">
      <c r="A286" s="57" t="n">
        <v>29473</v>
      </c>
      <c r="B286" s="56" t="n">
        <v>1980</v>
      </c>
      <c r="C286" s="56" t="n">
        <v>9</v>
      </c>
      <c r="D286" s="56" t="n">
        <v>132</v>
      </c>
      <c r="E286" s="56" t="n">
        <v>20.1</v>
      </c>
      <c r="F286" s="56" t="n">
        <v>0</v>
      </c>
      <c r="G286" s="56" t="n">
        <v>8.4</v>
      </c>
      <c r="H286" s="56" t="n">
        <v>0</v>
      </c>
      <c r="I286" s="56" t="n">
        <v>13</v>
      </c>
      <c r="J286" s="56" t="n">
        <v>0</v>
      </c>
      <c r="K286" s="56" t="n">
        <v>1020.3</v>
      </c>
      <c r="L286" s="56" t="n">
        <v>0</v>
      </c>
      <c r="M286" s="56" t="n">
        <v>77</v>
      </c>
      <c r="N286" s="56" t="n">
        <v>3.8</v>
      </c>
      <c r="O286" s="56" t="n">
        <f aca="false">IF(D286=1,"",E285)</f>
        <v>17.7</v>
      </c>
      <c r="P286" s="56" t="n">
        <f aca="false">IF(OR(D286=1,K285=""),"",K285)</f>
        <v>1015.5</v>
      </c>
      <c r="Q286" s="56" t="n">
        <f aca="false">IF(OR(F286&lt;&gt;0,AND(I286&lt;&gt;"",E286&lt;I286)),1,0)</f>
        <v>0</v>
      </c>
      <c r="R286" s="56" t="n">
        <f aca="false">IF(AND(D286&gt;1,Q286=0,ISNUMBER(O286),ISNUMBER(P286)),IF(Q285=0,1,0),0)</f>
        <v>1</v>
      </c>
      <c r="S286" s="56" t="n">
        <f aca="false">R286*(B286&gt;=Train_Start)*(B286&lt;=Train_End)</f>
        <v>1</v>
      </c>
      <c r="T286" s="84" t="n">
        <f aca="false">IF(AND(ISNUMBER(O286),ISNUMBER(P286)),Coef_A+Coef_B1*O286+Coef_B2*P286,"")</f>
        <v>18.445407139667</v>
      </c>
      <c r="U286" s="84" t="n">
        <f aca="false">IF(AND(R286=1,ISNUMBER(T286)),E286-T286,"")</f>
        <v>1.65459286033304</v>
      </c>
      <c r="V286" s="84" t="n">
        <f aca="false">IF(ISNUMBER(T286),T286,-99)</f>
        <v>18.445407139667</v>
      </c>
      <c r="W286" s="84" t="n">
        <f aca="false">IF(ISNUMBER(U286),ABS(U286),"")</f>
        <v>1.65459286033304</v>
      </c>
    </row>
    <row r="287" customFormat="false" ht="15" hidden="false" customHeight="false" outlineLevel="0" collapsed="false">
      <c r="A287" s="57" t="n">
        <v>29474</v>
      </c>
      <c r="B287" s="56" t="n">
        <v>1980</v>
      </c>
      <c r="C287" s="56" t="n">
        <v>9</v>
      </c>
      <c r="D287" s="56" t="n">
        <v>133</v>
      </c>
      <c r="E287" s="56" t="n">
        <v>19.3</v>
      </c>
      <c r="F287" s="56" t="n">
        <v>0</v>
      </c>
      <c r="G287" s="56" t="n">
        <v>12.2</v>
      </c>
      <c r="H287" s="56" t="n">
        <v>0</v>
      </c>
      <c r="I287" s="56" t="n">
        <v>16.2</v>
      </c>
      <c r="J287" s="56" t="n">
        <v>0</v>
      </c>
      <c r="K287" s="56" t="n">
        <v>1010.9</v>
      </c>
      <c r="L287" s="56" t="n">
        <v>0</v>
      </c>
      <c r="M287" s="56" t="n">
        <v>80</v>
      </c>
      <c r="N287" s="56" t="n">
        <v>0.8</v>
      </c>
      <c r="O287" s="56" t="n">
        <f aca="false">IF(D287=1,"",E286)</f>
        <v>20.1</v>
      </c>
      <c r="P287" s="56" t="n">
        <f aca="false">IF(OR(D287=1,K286=""),"",K286)</f>
        <v>1020.3</v>
      </c>
      <c r="Q287" s="56" t="n">
        <f aca="false">IF(OR(F287&lt;&gt;0,AND(I287&lt;&gt;"",E287&lt;I287)),1,0)</f>
        <v>0</v>
      </c>
      <c r="R287" s="56" t="n">
        <f aca="false">IF(AND(D287&gt;1,Q287=0,ISNUMBER(O287),ISNUMBER(P287)),IF(Q286=0,1,0),0)</f>
        <v>1</v>
      </c>
      <c r="S287" s="56" t="n">
        <f aca="false">R287*(B287&gt;=Train_Start)*(B287&lt;=Train_End)</f>
        <v>1</v>
      </c>
      <c r="T287" s="84" t="n">
        <f aca="false">IF(AND(ISNUMBER(O287),ISNUMBER(P287)),Coef_A+Coef_B1*O287+Coef_B2*P287,"")</f>
        <v>20.5623966972125</v>
      </c>
      <c r="U287" s="84" t="n">
        <f aca="false">IF(AND(R287=1,ISNUMBER(T287)),E287-T287,"")</f>
        <v>-1.26239669721249</v>
      </c>
      <c r="V287" s="84" t="n">
        <f aca="false">IF(ISNUMBER(T287),T287,-99)</f>
        <v>20.5623966972125</v>
      </c>
      <c r="W287" s="84" t="n">
        <f aca="false">IF(ISNUMBER(U287),ABS(U287),"")</f>
        <v>1.26239669721249</v>
      </c>
    </row>
    <row r="288" customFormat="false" ht="15" hidden="false" customHeight="false" outlineLevel="0" collapsed="false">
      <c r="A288" s="57" t="n">
        <v>29475</v>
      </c>
      <c r="B288" s="56" t="n">
        <v>1980</v>
      </c>
      <c r="C288" s="56" t="n">
        <v>9</v>
      </c>
      <c r="D288" s="56" t="n">
        <v>134</v>
      </c>
      <c r="E288" s="56" t="n">
        <v>20.4</v>
      </c>
      <c r="F288" s="56" t="n">
        <v>0</v>
      </c>
      <c r="G288" s="56" t="n">
        <v>14</v>
      </c>
      <c r="H288" s="56" t="n">
        <v>0</v>
      </c>
      <c r="I288" s="56" t="n">
        <v>16.6</v>
      </c>
      <c r="J288" s="56" t="n">
        <v>0</v>
      </c>
      <c r="K288" s="56" t="n">
        <v>1014.3</v>
      </c>
      <c r="L288" s="56" t="n">
        <v>0</v>
      </c>
      <c r="M288" s="56" t="n">
        <v>72</v>
      </c>
      <c r="N288" s="56" t="n">
        <v>0.7</v>
      </c>
      <c r="O288" s="56" t="n">
        <f aca="false">IF(D288=1,"",E287)</f>
        <v>19.3</v>
      </c>
      <c r="P288" s="56" t="n">
        <f aca="false">IF(OR(D288=1,K287=""),"",K287)</f>
        <v>1010.9</v>
      </c>
      <c r="Q288" s="56" t="n">
        <f aca="false">IF(OR(F288&lt;&gt;0,AND(I288&lt;&gt;"",E288&lt;I288)),1,0)</f>
        <v>0</v>
      </c>
      <c r="R288" s="56" t="n">
        <f aca="false">IF(AND(D288&gt;1,Q288=0,ISNUMBER(O288),ISNUMBER(P288)),IF(Q287=0,1,0),0)</f>
        <v>1</v>
      </c>
      <c r="S288" s="56" t="n">
        <f aca="false">R288*(B288&gt;=Train_Start)*(B288&lt;=Train_End)</f>
        <v>1</v>
      </c>
      <c r="T288" s="84" t="n">
        <f aca="false">IF(AND(ISNUMBER(O288),ISNUMBER(P288)),Coef_A+Coef_B1*O288+Coef_B2*P288,"")</f>
        <v>19.6120483332189</v>
      </c>
      <c r="U288" s="84" t="n">
        <f aca="false">IF(AND(R288=1,ISNUMBER(T288)),E288-T288,"")</f>
        <v>0.787951666781133</v>
      </c>
      <c r="V288" s="84" t="n">
        <f aca="false">IF(ISNUMBER(T288),T288,-99)</f>
        <v>19.6120483332189</v>
      </c>
      <c r="W288" s="84" t="n">
        <f aca="false">IF(ISNUMBER(U288),ABS(U288),"")</f>
        <v>0.787951666781133</v>
      </c>
    </row>
    <row r="289" customFormat="false" ht="15" hidden="false" customHeight="false" outlineLevel="0" collapsed="false">
      <c r="A289" s="57" t="n">
        <v>29476</v>
      </c>
      <c r="B289" s="56" t="n">
        <v>1980</v>
      </c>
      <c r="C289" s="56" t="n">
        <v>9</v>
      </c>
      <c r="D289" s="56" t="n">
        <v>135</v>
      </c>
      <c r="E289" s="56" t="n">
        <v>19.2</v>
      </c>
      <c r="F289" s="56" t="n">
        <v>0</v>
      </c>
      <c r="G289" s="56" t="n">
        <v>15.3</v>
      </c>
      <c r="H289" s="56" t="n">
        <v>0</v>
      </c>
      <c r="I289" s="56" t="n">
        <v>17.8</v>
      </c>
      <c r="J289" s="56" t="n">
        <v>0</v>
      </c>
      <c r="K289" s="56" t="n">
        <v>1010.5</v>
      </c>
      <c r="L289" s="56" t="n">
        <v>0</v>
      </c>
      <c r="M289" s="56" t="n">
        <v>67</v>
      </c>
      <c r="N289" s="56" t="n">
        <v>8.3</v>
      </c>
      <c r="O289" s="56" t="n">
        <f aca="false">IF(D289=1,"",E288)</f>
        <v>20.4</v>
      </c>
      <c r="P289" s="56" t="n">
        <f aca="false">IF(OR(D289=1,K288=""),"",K288)</f>
        <v>1014.3</v>
      </c>
      <c r="Q289" s="56" t="n">
        <f aca="false">IF(OR(F289&lt;&gt;0,AND(I289&lt;&gt;"",E289&lt;I289)),1,0)</f>
        <v>0</v>
      </c>
      <c r="R289" s="56" t="n">
        <f aca="false">IF(AND(D289&gt;1,Q289=0,ISNUMBER(O289),ISNUMBER(P289)),IF(Q288=0,1,0),0)</f>
        <v>1</v>
      </c>
      <c r="S289" s="56" t="n">
        <f aca="false">R289*(B289&gt;=Train_Start)*(B289&lt;=Train_End)</f>
        <v>1</v>
      </c>
      <c r="T289" s="84" t="n">
        <f aca="false">IF(AND(ISNUMBER(O289),ISNUMBER(P289)),Coef_A+Coef_B1*O289+Coef_B2*P289,"")</f>
        <v>20.6199790873214</v>
      </c>
      <c r="U289" s="84" t="n">
        <f aca="false">IF(AND(R289=1,ISNUMBER(T289)),E289-T289,"")</f>
        <v>-1.41997908732135</v>
      </c>
      <c r="V289" s="84" t="n">
        <f aca="false">IF(ISNUMBER(T289),T289,-99)</f>
        <v>20.6199790873214</v>
      </c>
      <c r="W289" s="84" t="n">
        <f aca="false">IF(ISNUMBER(U289),ABS(U289),"")</f>
        <v>1.41997908732135</v>
      </c>
    </row>
    <row r="290" customFormat="false" ht="15" hidden="false" customHeight="false" outlineLevel="0" collapsed="false">
      <c r="A290" s="57" t="n">
        <v>29477</v>
      </c>
      <c r="B290" s="56" t="n">
        <v>1980</v>
      </c>
      <c r="C290" s="56" t="n">
        <v>9</v>
      </c>
      <c r="D290" s="56" t="n">
        <v>136</v>
      </c>
      <c r="E290" s="56" t="n">
        <v>21.5</v>
      </c>
      <c r="F290" s="56" t="n">
        <v>0</v>
      </c>
      <c r="G290" s="56" t="n">
        <v>10.7</v>
      </c>
      <c r="H290" s="56" t="n">
        <v>0</v>
      </c>
      <c r="I290" s="56" t="n">
        <v>15</v>
      </c>
      <c r="J290" s="56" t="n">
        <v>0</v>
      </c>
      <c r="K290" s="56" t="n">
        <v>1015.7</v>
      </c>
      <c r="L290" s="56" t="n">
        <v>0</v>
      </c>
      <c r="M290" s="56" t="n">
        <v>71</v>
      </c>
      <c r="N290" s="56" t="n">
        <v>5.5</v>
      </c>
      <c r="O290" s="56" t="n">
        <f aca="false">IF(D290=1,"",E289)</f>
        <v>19.2</v>
      </c>
      <c r="P290" s="56" t="n">
        <f aca="false">IF(OR(D290=1,K289=""),"",K289)</f>
        <v>1010.5</v>
      </c>
      <c r="Q290" s="56" t="n">
        <f aca="false">IF(OR(F290&lt;&gt;0,AND(I290&lt;&gt;"",E290&lt;I290)),1,0)</f>
        <v>0</v>
      </c>
      <c r="R290" s="56" t="n">
        <f aca="false">IF(AND(D290&gt;1,Q290=0,ISNUMBER(O290),ISNUMBER(P290)),IF(Q289=0,1,0),0)</f>
        <v>1</v>
      </c>
      <c r="S290" s="56" t="n">
        <f aca="false">R290*(B290&gt;=Train_Start)*(B290&lt;=Train_End)</f>
        <v>1</v>
      </c>
      <c r="T290" s="84" t="n">
        <f aca="false">IF(AND(ISNUMBER(O290),ISNUMBER(P290)),Coef_A+Coef_B1*O290+Coef_B2*P290,"")</f>
        <v>19.517566456061</v>
      </c>
      <c r="U290" s="84" t="n">
        <f aca="false">IF(AND(R290=1,ISNUMBER(T290)),E290-T290,"")</f>
        <v>1.982433543939</v>
      </c>
      <c r="V290" s="84" t="n">
        <f aca="false">IF(ISNUMBER(T290),T290,-99)</f>
        <v>19.517566456061</v>
      </c>
      <c r="W290" s="84" t="n">
        <f aca="false">IF(ISNUMBER(U290),ABS(U290),"")</f>
        <v>1.982433543939</v>
      </c>
    </row>
    <row r="291" customFormat="false" ht="15" hidden="false" customHeight="false" outlineLevel="0" collapsed="false">
      <c r="A291" s="57" t="n">
        <v>29478</v>
      </c>
      <c r="B291" s="56" t="n">
        <v>1980</v>
      </c>
      <c r="C291" s="56" t="n">
        <v>9</v>
      </c>
      <c r="D291" s="56" t="n">
        <v>137</v>
      </c>
      <c r="E291" s="56" t="n">
        <v>20</v>
      </c>
      <c r="F291" s="56" t="n">
        <v>0</v>
      </c>
      <c r="G291" s="56" t="n">
        <v>13</v>
      </c>
      <c r="H291" s="56" t="n">
        <v>0</v>
      </c>
      <c r="I291" s="56" t="n">
        <v>17.2</v>
      </c>
      <c r="J291" s="56" t="n">
        <v>0</v>
      </c>
      <c r="K291" s="56" t="n">
        <v>1016.9</v>
      </c>
      <c r="L291" s="56" t="n">
        <v>0</v>
      </c>
      <c r="M291" s="56" t="n">
        <v>73</v>
      </c>
      <c r="N291" s="56" t="n">
        <v>3.1</v>
      </c>
      <c r="O291" s="56" t="n">
        <f aca="false">IF(D291=1,"",E290)</f>
        <v>21.5</v>
      </c>
      <c r="P291" s="56" t="n">
        <f aca="false">IF(OR(D291=1,K290=""),"",K290)</f>
        <v>1015.7</v>
      </c>
      <c r="Q291" s="56" t="n">
        <f aca="false">IF(OR(F291&lt;&gt;0,AND(I291&lt;&gt;"",E291&lt;I291)),1,0)</f>
        <v>0</v>
      </c>
      <c r="R291" s="56" t="n">
        <f aca="false">IF(AND(D291&gt;1,Q291=0,ISNUMBER(O291),ISNUMBER(P291)),IF(Q290=0,1,0),0)</f>
        <v>1</v>
      </c>
      <c r="S291" s="56" t="n">
        <f aca="false">R291*(B291&gt;=Train_Start)*(B291&lt;=Train_End)</f>
        <v>1</v>
      </c>
      <c r="T291" s="84" t="n">
        <f aca="false">IF(AND(ISNUMBER(O291),ISNUMBER(P291)),Coef_A+Coef_B1*O291+Coef_B2*P291,"")</f>
        <v>21.5651700521559</v>
      </c>
      <c r="U291" s="84" t="n">
        <f aca="false">IF(AND(R291=1,ISNUMBER(T291)),E291-T291,"")</f>
        <v>-1.56517005215586</v>
      </c>
      <c r="V291" s="84" t="n">
        <f aca="false">IF(ISNUMBER(T291),T291,-99)</f>
        <v>21.5651700521559</v>
      </c>
      <c r="W291" s="84" t="n">
        <f aca="false">IF(ISNUMBER(U291),ABS(U291),"")</f>
        <v>1.56517005215586</v>
      </c>
    </row>
    <row r="292" customFormat="false" ht="15" hidden="false" customHeight="false" outlineLevel="0" collapsed="false">
      <c r="A292" s="57" t="n">
        <v>29479</v>
      </c>
      <c r="B292" s="56" t="n">
        <v>1980</v>
      </c>
      <c r="C292" s="56" t="n">
        <v>9</v>
      </c>
      <c r="D292" s="56" t="n">
        <v>138</v>
      </c>
      <c r="E292" s="56" t="n">
        <v>20.2</v>
      </c>
      <c r="F292" s="56" t="n">
        <v>0</v>
      </c>
      <c r="G292" s="56" t="n">
        <v>13.7</v>
      </c>
      <c r="H292" s="56" t="n">
        <v>0</v>
      </c>
      <c r="I292" s="56" t="n">
        <v>16.8</v>
      </c>
      <c r="J292" s="56" t="n">
        <v>0</v>
      </c>
      <c r="K292" s="56" t="n">
        <v>1019.9</v>
      </c>
      <c r="L292" s="56" t="n">
        <v>0</v>
      </c>
      <c r="M292" s="56" t="n">
        <v>84</v>
      </c>
      <c r="N292" s="56" t="n">
        <v>0.8</v>
      </c>
      <c r="O292" s="56" t="n">
        <f aca="false">IF(D292=1,"",E291)</f>
        <v>20</v>
      </c>
      <c r="P292" s="56" t="n">
        <f aca="false">IF(OR(D292=1,K291=""),"",K291)</f>
        <v>1016.9</v>
      </c>
      <c r="Q292" s="56" t="n">
        <f aca="false">IF(OR(F292&lt;&gt;0,AND(I292&lt;&gt;"",E292&lt;I292)),1,0)</f>
        <v>0</v>
      </c>
      <c r="R292" s="56" t="n">
        <f aca="false">IF(AND(D292&gt;1,Q292=0,ISNUMBER(O292),ISNUMBER(P292)),IF(Q291=0,1,0),0)</f>
        <v>1</v>
      </c>
      <c r="S292" s="56" t="n">
        <f aca="false">R292*(B292&gt;=Train_Start)*(B292&lt;=Train_End)</f>
        <v>1</v>
      </c>
      <c r="T292" s="84" t="n">
        <f aca="false">IF(AND(ISNUMBER(O292),ISNUMBER(P292)),Coef_A+Coef_B1*O292+Coef_B2*P292,"")</f>
        <v>20.3738051361527</v>
      </c>
      <c r="U292" s="84" t="n">
        <f aca="false">IF(AND(R292=1,ISNUMBER(T292)),E292-T292,"")</f>
        <v>-0.173805136152662</v>
      </c>
      <c r="V292" s="84" t="n">
        <f aca="false">IF(ISNUMBER(T292),T292,-99)</f>
        <v>20.3738051361527</v>
      </c>
      <c r="W292" s="84" t="n">
        <f aca="false">IF(ISNUMBER(U292),ABS(U292),"")</f>
        <v>0.173805136152662</v>
      </c>
    </row>
    <row r="293" customFormat="false" ht="15" hidden="false" customHeight="false" outlineLevel="0" collapsed="false">
      <c r="A293" s="57" t="n">
        <v>29480</v>
      </c>
      <c r="B293" s="56" t="n">
        <v>1980</v>
      </c>
      <c r="C293" s="56" t="n">
        <v>9</v>
      </c>
      <c r="D293" s="56" t="n">
        <v>139</v>
      </c>
      <c r="E293" s="56" t="n">
        <v>19</v>
      </c>
      <c r="F293" s="56" t="n">
        <v>0</v>
      </c>
      <c r="G293" s="56" t="n">
        <v>14.8</v>
      </c>
      <c r="H293" s="56" t="n">
        <v>0</v>
      </c>
      <c r="I293" s="56" t="n">
        <v>17.5</v>
      </c>
      <c r="J293" s="56" t="n">
        <v>0</v>
      </c>
      <c r="K293" s="56" t="n">
        <v>1017</v>
      </c>
      <c r="L293" s="56" t="n">
        <v>0</v>
      </c>
      <c r="M293" s="56" t="n">
        <v>87</v>
      </c>
      <c r="N293" s="56" t="n">
        <v>1.2</v>
      </c>
      <c r="O293" s="56" t="n">
        <f aca="false">IF(D293=1,"",E292)</f>
        <v>20.2</v>
      </c>
      <c r="P293" s="56" t="n">
        <f aca="false">IF(OR(D293=1,K292=""),"",K292)</f>
        <v>1019.9</v>
      </c>
      <c r="Q293" s="56" t="n">
        <f aca="false">IF(OR(F293&lt;&gt;0,AND(I293&lt;&gt;"",E293&lt;I293)),1,0)</f>
        <v>0</v>
      </c>
      <c r="R293" s="56" t="n">
        <f aca="false">IF(AND(D293&gt;1,Q293=0,ISNUMBER(O293),ISNUMBER(P293)),IF(Q292=0,1,0),0)</f>
        <v>1</v>
      </c>
      <c r="S293" s="56" t="n">
        <f aca="false">R293*(B293&gt;=Train_Start)*(B293&lt;=Train_End)</f>
        <v>1</v>
      </c>
      <c r="T293" s="84" t="n">
        <f aca="false">IF(AND(ISNUMBER(O293),ISNUMBER(P293)),Coef_A+Coef_B1*O293+Coef_B2*P293,"")</f>
        <v>20.6317826586632</v>
      </c>
      <c r="U293" s="84" t="n">
        <f aca="false">IF(AND(R293=1,ISNUMBER(T293)),E293-T293,"")</f>
        <v>-1.63178265866316</v>
      </c>
      <c r="V293" s="84" t="n">
        <f aca="false">IF(ISNUMBER(T293),T293,-99)</f>
        <v>20.6317826586632</v>
      </c>
      <c r="W293" s="84" t="n">
        <f aca="false">IF(ISNUMBER(U293),ABS(U293),"")</f>
        <v>1.63178265866316</v>
      </c>
    </row>
    <row r="294" customFormat="false" ht="15" hidden="false" customHeight="false" outlineLevel="0" collapsed="false">
      <c r="A294" s="57" t="n">
        <v>29481</v>
      </c>
      <c r="B294" s="56" t="n">
        <v>1980</v>
      </c>
      <c r="C294" s="56" t="n">
        <v>9</v>
      </c>
      <c r="D294" s="56" t="n">
        <v>140</v>
      </c>
      <c r="E294" s="56" t="n">
        <v>18.7</v>
      </c>
      <c r="F294" s="56" t="n">
        <v>0</v>
      </c>
      <c r="G294" s="56" t="n">
        <v>11.2</v>
      </c>
      <c r="H294" s="56" t="n">
        <v>0</v>
      </c>
      <c r="I294" s="56" t="n">
        <v>15.1</v>
      </c>
      <c r="J294" s="56" t="n">
        <v>0</v>
      </c>
      <c r="K294" s="56" t="n">
        <v>1017.3</v>
      </c>
      <c r="L294" s="56" t="n">
        <v>0</v>
      </c>
      <c r="M294" s="56" t="n">
        <v>80</v>
      </c>
      <c r="N294" s="56" t="n">
        <v>5.2</v>
      </c>
      <c r="O294" s="56" t="n">
        <f aca="false">IF(D294=1,"",E293)</f>
        <v>19</v>
      </c>
      <c r="P294" s="56" t="n">
        <f aca="false">IF(OR(D294=1,K293=""),"",K293)</f>
        <v>1017</v>
      </c>
      <c r="Q294" s="56" t="n">
        <f aca="false">IF(OR(F294&lt;&gt;0,AND(I294&lt;&gt;"",E294&lt;I294)),1,0)</f>
        <v>0</v>
      </c>
      <c r="R294" s="56" t="n">
        <f aca="false">IF(AND(D294&gt;1,Q294=0,ISNUMBER(O294),ISNUMBER(P294)),IF(Q293=0,1,0),0)</f>
        <v>1</v>
      </c>
      <c r="S294" s="56" t="n">
        <f aca="false">R294*(B294&gt;=Train_Start)*(B294&lt;=Train_End)</f>
        <v>1</v>
      </c>
      <c r="T294" s="84" t="n">
        <f aca="false">IF(AND(ISNUMBER(O294),ISNUMBER(P294)),Coef_A+Coef_B1*O294+Coef_B2*P294,"")</f>
        <v>19.5576029325734</v>
      </c>
      <c r="U294" s="84" t="n">
        <f aca="false">IF(AND(R294=1,ISNUMBER(T294)),E294-T294,"")</f>
        <v>-0.857602932573403</v>
      </c>
      <c r="V294" s="84" t="n">
        <f aca="false">IF(ISNUMBER(T294),T294,-99)</f>
        <v>19.5576029325734</v>
      </c>
      <c r="W294" s="84" t="n">
        <f aca="false">IF(ISNUMBER(U294),ABS(U294),"")</f>
        <v>0.857602932573403</v>
      </c>
    </row>
    <row r="295" customFormat="false" ht="15" hidden="false" customHeight="false" outlineLevel="0" collapsed="false">
      <c r="A295" s="57" t="n">
        <v>29482</v>
      </c>
      <c r="B295" s="56" t="n">
        <v>1980</v>
      </c>
      <c r="C295" s="56" t="n">
        <v>9</v>
      </c>
      <c r="D295" s="56" t="n">
        <v>141</v>
      </c>
      <c r="E295" s="56" t="n">
        <v>21.5</v>
      </c>
      <c r="F295" s="56" t="n">
        <v>0</v>
      </c>
      <c r="G295" s="56" t="n">
        <v>12.8</v>
      </c>
      <c r="H295" s="56" t="n">
        <v>0</v>
      </c>
      <c r="I295" s="56" t="n">
        <v>15.8</v>
      </c>
      <c r="J295" s="56" t="n">
        <v>0</v>
      </c>
      <c r="K295" s="56" t="n">
        <v>1012.7</v>
      </c>
      <c r="L295" s="56" t="n">
        <v>0</v>
      </c>
      <c r="M295" s="56" t="n">
        <v>77</v>
      </c>
      <c r="N295" s="56" t="n">
        <v>2.6</v>
      </c>
      <c r="O295" s="56" t="n">
        <f aca="false">IF(D295=1,"",E294)</f>
        <v>18.7</v>
      </c>
      <c r="P295" s="56" t="n">
        <f aca="false">IF(OR(D295=1,K294=""),"",K294)</f>
        <v>1017.3</v>
      </c>
      <c r="Q295" s="56" t="n">
        <f aca="false">IF(OR(F295&lt;&gt;0,AND(I295&lt;&gt;"",E295&lt;I295)),1,0)</f>
        <v>0</v>
      </c>
      <c r="R295" s="56" t="n">
        <f aca="false">IF(AND(D295&gt;1,Q295=0,ISNUMBER(O295),ISNUMBER(P295)),IF(Q294=0,1,0),0)</f>
        <v>1</v>
      </c>
      <c r="S295" s="56" t="n">
        <f aca="false">R295*(B295&gt;=Train_Start)*(B295&lt;=Train_End)</f>
        <v>1</v>
      </c>
      <c r="T295" s="84" t="n">
        <f aca="false">IF(AND(ISNUMBER(O295),ISNUMBER(P295)),Coef_A+Coef_B1*O295+Coef_B2*P295,"")</f>
        <v>19.3212121430508</v>
      </c>
      <c r="U295" s="84" t="n">
        <f aca="false">IF(AND(R295=1,ISNUMBER(T295)),E295-T295,"")</f>
        <v>2.1787878569492</v>
      </c>
      <c r="V295" s="84" t="n">
        <f aca="false">IF(ISNUMBER(T295),T295,-99)</f>
        <v>19.3212121430508</v>
      </c>
      <c r="W295" s="84" t="n">
        <f aca="false">IF(ISNUMBER(U295),ABS(U295),"")</f>
        <v>2.1787878569492</v>
      </c>
    </row>
    <row r="296" customFormat="false" ht="15" hidden="false" customHeight="false" outlineLevel="0" collapsed="false">
      <c r="A296" s="57" t="n">
        <v>29483</v>
      </c>
      <c r="B296" s="56" t="n">
        <v>1980</v>
      </c>
      <c r="C296" s="56" t="n">
        <v>9</v>
      </c>
      <c r="D296" s="56" t="n">
        <v>142</v>
      </c>
      <c r="E296" s="56" t="n">
        <v>19.7</v>
      </c>
      <c r="F296" s="56" t="n">
        <v>0</v>
      </c>
      <c r="G296" s="56" t="n">
        <v>15.7</v>
      </c>
      <c r="H296" s="56" t="n">
        <v>0</v>
      </c>
      <c r="I296" s="56" t="n">
        <v>18.6</v>
      </c>
      <c r="J296" s="56" t="n">
        <v>0</v>
      </c>
      <c r="K296" s="56" t="n">
        <v>1007.5</v>
      </c>
      <c r="L296" s="56" t="n">
        <v>0</v>
      </c>
      <c r="M296" s="56" t="n">
        <v>78</v>
      </c>
      <c r="N296" s="56" t="n">
        <v>5.3</v>
      </c>
      <c r="O296" s="56" t="n">
        <f aca="false">IF(D296=1,"",E295)</f>
        <v>21.5</v>
      </c>
      <c r="P296" s="56" t="n">
        <f aca="false">IF(OR(D296=1,K295=""),"",K295)</f>
        <v>1012.7</v>
      </c>
      <c r="Q296" s="56" t="n">
        <f aca="false">IF(OR(F296&lt;&gt;0,AND(I296&lt;&gt;"",E296&lt;I296)),1,0)</f>
        <v>0</v>
      </c>
      <c r="R296" s="56" t="n">
        <f aca="false">IF(AND(D296&gt;1,Q296=0,ISNUMBER(O296),ISNUMBER(P296)),IF(Q295=0,1,0),0)</f>
        <v>1</v>
      </c>
      <c r="S296" s="56" t="n">
        <f aca="false">R296*(B296&gt;=Train_Start)*(B296&lt;=Train_End)</f>
        <v>1</v>
      </c>
      <c r="T296" s="84" t="n">
        <f aca="false">IF(AND(ISNUMBER(O296),ISNUMBER(P296)),Coef_A+Coef_B1*O296+Coef_B2*P296,"")</f>
        <v>21.4710603682539</v>
      </c>
      <c r="U296" s="84" t="n">
        <f aca="false">IF(AND(R296=1,ISNUMBER(T296)),E296-T296,"")</f>
        <v>-1.7710603682539</v>
      </c>
      <c r="V296" s="84" t="n">
        <f aca="false">IF(ISNUMBER(T296),T296,-99)</f>
        <v>21.4710603682539</v>
      </c>
      <c r="W296" s="84" t="n">
        <f aca="false">IF(ISNUMBER(U296),ABS(U296),"")</f>
        <v>1.7710603682539</v>
      </c>
    </row>
    <row r="297" customFormat="false" ht="15" hidden="false" customHeight="false" outlineLevel="0" collapsed="false">
      <c r="A297" s="57" t="n">
        <v>29484</v>
      </c>
      <c r="B297" s="56" t="n">
        <v>1980</v>
      </c>
      <c r="C297" s="56" t="n">
        <v>9</v>
      </c>
      <c r="D297" s="56" t="n">
        <v>143</v>
      </c>
      <c r="E297" s="56" t="n">
        <v>19.6</v>
      </c>
      <c r="F297" s="56" t="n">
        <v>0</v>
      </c>
      <c r="G297" s="56" t="n">
        <v>15.2</v>
      </c>
      <c r="H297" s="56" t="n">
        <v>0</v>
      </c>
      <c r="I297" s="56" t="n">
        <v>17.4</v>
      </c>
      <c r="J297" s="56" t="n">
        <v>0</v>
      </c>
      <c r="K297" s="56" t="n">
        <v>1007.6</v>
      </c>
      <c r="L297" s="56" t="n">
        <v>0</v>
      </c>
      <c r="M297" s="56" t="n">
        <v>91</v>
      </c>
      <c r="N297" s="56" t="n">
        <v>0.2</v>
      </c>
      <c r="O297" s="56" t="n">
        <f aca="false">IF(D297=1,"",E296)</f>
        <v>19.7</v>
      </c>
      <c r="P297" s="56" t="n">
        <f aca="false">IF(OR(D297=1,K296=""),"",K296)</f>
        <v>1007.5</v>
      </c>
      <c r="Q297" s="56" t="n">
        <f aca="false">IF(OR(F297&lt;&gt;0,AND(I297&lt;&gt;"",E297&lt;I297)),1,0)</f>
        <v>0</v>
      </c>
      <c r="R297" s="56" t="n">
        <f aca="false">IF(AND(D297&gt;1,Q297=0,ISNUMBER(O297),ISNUMBER(P297)),IF(Q296=0,1,0),0)</f>
        <v>1</v>
      </c>
      <c r="S297" s="56" t="n">
        <f aca="false">R297*(B297&gt;=Train_Start)*(B297&lt;=Train_End)</f>
        <v>1</v>
      </c>
      <c r="T297" s="84" t="n">
        <f aca="false">IF(AND(ISNUMBER(O297),ISNUMBER(P297)),Coef_A+Coef_B1*O297+Coef_B2*P297,"")</f>
        <v>19.8331263686804</v>
      </c>
      <c r="U297" s="84" t="n">
        <f aca="false">IF(AND(R297=1,ISNUMBER(T297)),E297-T297,"")</f>
        <v>-0.233126368680363</v>
      </c>
      <c r="V297" s="84" t="n">
        <f aca="false">IF(ISNUMBER(T297),T297,-99)</f>
        <v>19.8331263686804</v>
      </c>
      <c r="W297" s="84" t="n">
        <f aca="false">IF(ISNUMBER(U297),ABS(U297),"")</f>
        <v>0.233126368680363</v>
      </c>
    </row>
    <row r="298" customFormat="false" ht="15" hidden="false" customHeight="false" outlineLevel="0" collapsed="false">
      <c r="A298" s="57" t="n">
        <v>29485</v>
      </c>
      <c r="B298" s="56" t="n">
        <v>1980</v>
      </c>
      <c r="C298" s="56" t="n">
        <v>9</v>
      </c>
      <c r="D298" s="56" t="n">
        <v>144</v>
      </c>
      <c r="E298" s="56" t="n">
        <v>19.7</v>
      </c>
      <c r="F298" s="56" t="n">
        <v>0</v>
      </c>
      <c r="G298" s="56" t="n">
        <v>15.5</v>
      </c>
      <c r="H298" s="56" t="n">
        <v>0</v>
      </c>
      <c r="I298" s="56" t="n">
        <v>17.6</v>
      </c>
      <c r="J298" s="56" t="n">
        <v>0</v>
      </c>
      <c r="K298" s="56" t="n">
        <v>1007.2</v>
      </c>
      <c r="L298" s="56" t="n">
        <v>0</v>
      </c>
      <c r="M298" s="56" t="n">
        <v>82</v>
      </c>
      <c r="N298" s="56" t="n">
        <v>4.2</v>
      </c>
      <c r="O298" s="56" t="n">
        <f aca="false">IF(D298=1,"",E297)</f>
        <v>19.6</v>
      </c>
      <c r="P298" s="56" t="n">
        <f aca="false">IF(OR(D298=1,K297=""),"",K297)</f>
        <v>1007.6</v>
      </c>
      <c r="Q298" s="56" t="n">
        <f aca="false">IF(OR(F298&lt;&gt;0,AND(I298&lt;&gt;"",E298&lt;I298)),1,0)</f>
        <v>0</v>
      </c>
      <c r="R298" s="56" t="n">
        <f aca="false">IF(AND(D298&gt;1,Q298=0,ISNUMBER(O298),ISNUMBER(P298)),IF(Q297=0,1,0),0)</f>
        <v>1</v>
      </c>
      <c r="S298" s="56" t="n">
        <f aca="false">R298*(B298&gt;=Train_Start)*(B298&lt;=Train_End)</f>
        <v>1</v>
      </c>
      <c r="T298" s="84" t="n">
        <f aca="false">IF(AND(ISNUMBER(O298),ISNUMBER(P298)),Coef_A+Coef_B1*O298+Coef_B2*P298,"")</f>
        <v>19.7543294388395</v>
      </c>
      <c r="U298" s="84" t="n">
        <f aca="false">IF(AND(R298=1,ISNUMBER(T298)),E298-T298,"")</f>
        <v>-0.0543294388395026</v>
      </c>
      <c r="V298" s="84" t="n">
        <f aca="false">IF(ISNUMBER(T298),T298,-99)</f>
        <v>19.7543294388395</v>
      </c>
      <c r="W298" s="84" t="n">
        <f aca="false">IF(ISNUMBER(U298),ABS(U298),"")</f>
        <v>0.0543294388395026</v>
      </c>
    </row>
    <row r="299" customFormat="false" ht="15" hidden="false" customHeight="false" outlineLevel="0" collapsed="false">
      <c r="A299" s="57" t="n">
        <v>29486</v>
      </c>
      <c r="B299" s="56" t="n">
        <v>1980</v>
      </c>
      <c r="C299" s="56" t="n">
        <v>9</v>
      </c>
      <c r="D299" s="56" t="n">
        <v>145</v>
      </c>
      <c r="E299" s="56" t="n">
        <v>20.1</v>
      </c>
      <c r="F299" s="56" t="n">
        <v>0</v>
      </c>
      <c r="G299" s="56" t="n">
        <v>11.2</v>
      </c>
      <c r="H299" s="56" t="n">
        <v>0</v>
      </c>
      <c r="I299" s="56" t="n">
        <v>15.4</v>
      </c>
      <c r="J299" s="56" t="n">
        <v>0</v>
      </c>
      <c r="K299" s="56" t="n">
        <v>1012.7</v>
      </c>
      <c r="L299" s="56" t="n">
        <v>0</v>
      </c>
      <c r="M299" s="56" t="n">
        <v>86</v>
      </c>
      <c r="N299" s="56" t="n">
        <v>5.9</v>
      </c>
      <c r="O299" s="56" t="n">
        <f aca="false">IF(D299=1,"",E298)</f>
        <v>19.7</v>
      </c>
      <c r="P299" s="56" t="n">
        <f aca="false">IF(OR(D299=1,K298=""),"",K298)</f>
        <v>1007.2</v>
      </c>
      <c r="Q299" s="56" t="n">
        <f aca="false">IF(OR(F299&lt;&gt;0,AND(I299&lt;&gt;"",E299&lt;I299)),1,0)</f>
        <v>0</v>
      </c>
      <c r="R299" s="56" t="n">
        <f aca="false">IF(AND(D299&gt;1,Q299=0,ISNUMBER(O299),ISNUMBER(P299)),IF(Q298=0,1,0),0)</f>
        <v>1</v>
      </c>
      <c r="S299" s="56" t="n">
        <f aca="false">R299*(B299&gt;=Train_Start)*(B299&lt;=Train_End)</f>
        <v>1</v>
      </c>
      <c r="T299" s="84" t="n">
        <f aca="false">IF(AND(ISNUMBER(O299),ISNUMBER(P299)),Coef_A+Coef_B1*O299+Coef_B2*P299,"")</f>
        <v>19.8237154002902</v>
      </c>
      <c r="U299" s="84" t="n">
        <f aca="false">IF(AND(R299=1,ISNUMBER(T299)),E299-T299,"")</f>
        <v>0.276284599709832</v>
      </c>
      <c r="V299" s="84" t="n">
        <f aca="false">IF(ISNUMBER(T299),T299,-99)</f>
        <v>19.8237154002902</v>
      </c>
      <c r="W299" s="84" t="n">
        <f aca="false">IF(ISNUMBER(U299),ABS(U299),"")</f>
        <v>0.276284599709832</v>
      </c>
    </row>
    <row r="300" customFormat="false" ht="15" hidden="false" customHeight="false" outlineLevel="0" collapsed="false">
      <c r="A300" s="57" t="n">
        <v>29487</v>
      </c>
      <c r="B300" s="56" t="n">
        <v>1980</v>
      </c>
      <c r="C300" s="56" t="n">
        <v>9</v>
      </c>
      <c r="D300" s="56" t="n">
        <v>146</v>
      </c>
      <c r="E300" s="56" t="n">
        <v>18.9</v>
      </c>
      <c r="F300" s="56" t="n">
        <v>0</v>
      </c>
      <c r="G300" s="56" t="n">
        <v>11.9</v>
      </c>
      <c r="H300" s="56" t="n">
        <v>0</v>
      </c>
      <c r="I300" s="56" t="n">
        <v>16</v>
      </c>
      <c r="J300" s="56" t="n">
        <v>0</v>
      </c>
      <c r="K300" s="56" t="n">
        <v>1018.4</v>
      </c>
      <c r="L300" s="56" t="n">
        <v>0</v>
      </c>
      <c r="M300" s="56" t="n">
        <v>84</v>
      </c>
      <c r="N300" s="56" t="n">
        <v>3.5</v>
      </c>
      <c r="O300" s="56" t="n">
        <f aca="false">IF(D300=1,"",E299)</f>
        <v>20.1</v>
      </c>
      <c r="P300" s="56" t="n">
        <f aca="false">IF(OR(D300=1,K299=""),"",K299)</f>
        <v>1012.7</v>
      </c>
      <c r="Q300" s="56" t="n">
        <f aca="false">IF(OR(F300&lt;&gt;0,AND(I300&lt;&gt;"",E300&lt;I300)),1,0)</f>
        <v>0</v>
      </c>
      <c r="R300" s="56" t="n">
        <f aca="false">IF(AND(D300&gt;1,Q300=0,ISNUMBER(O300),ISNUMBER(P300)),IF(Q299=0,1,0),0)</f>
        <v>1</v>
      </c>
      <c r="S300" s="56" t="n">
        <f aca="false">R300*(B300&gt;=Train_Start)*(B300&lt;=Train_End)</f>
        <v>1</v>
      </c>
      <c r="T300" s="84" t="n">
        <f aca="false">IF(AND(ISNUMBER(O300),ISNUMBER(P300)),Coef_A+Coef_B1*O300+Coef_B2*P300,"")</f>
        <v>20.3239854979942</v>
      </c>
      <c r="U300" s="84" t="n">
        <f aca="false">IF(AND(R300=1,ISNUMBER(T300)),E300-T300,"")</f>
        <v>-1.42398549799418</v>
      </c>
      <c r="V300" s="84" t="n">
        <f aca="false">IF(ISNUMBER(T300),T300,-99)</f>
        <v>20.3239854979942</v>
      </c>
      <c r="W300" s="84" t="n">
        <f aca="false">IF(ISNUMBER(U300),ABS(U300),"")</f>
        <v>1.42398549799418</v>
      </c>
    </row>
    <row r="301" customFormat="false" ht="15" hidden="false" customHeight="false" outlineLevel="0" collapsed="false">
      <c r="A301" s="57" t="n">
        <v>29488</v>
      </c>
      <c r="B301" s="56" t="n">
        <v>1980</v>
      </c>
      <c r="C301" s="56" t="n">
        <v>9</v>
      </c>
      <c r="D301" s="56" t="n">
        <v>147</v>
      </c>
      <c r="E301" s="56" t="n">
        <v>19.8</v>
      </c>
      <c r="F301" s="56" t="n">
        <v>0</v>
      </c>
      <c r="G301" s="56" t="n">
        <v>12.4</v>
      </c>
      <c r="H301" s="56" t="n">
        <v>0</v>
      </c>
      <c r="I301" s="56" t="n">
        <v>15.6</v>
      </c>
      <c r="J301" s="56" t="n">
        <v>0</v>
      </c>
      <c r="K301" s="56" t="n">
        <v>1022.8</v>
      </c>
      <c r="L301" s="56" t="n">
        <v>0</v>
      </c>
      <c r="M301" s="56" t="n">
        <v>77</v>
      </c>
      <c r="N301" s="56" t="n">
        <v>8.8</v>
      </c>
      <c r="O301" s="56" t="n">
        <f aca="false">IF(D301=1,"",E300)</f>
        <v>18.9</v>
      </c>
      <c r="P301" s="56" t="n">
        <f aca="false">IF(OR(D301=1,K300=""),"",K300)</f>
        <v>1018.4</v>
      </c>
      <c r="Q301" s="56" t="n">
        <f aca="false">IF(OR(F301&lt;&gt;0,AND(I301&lt;&gt;"",E301&lt;I301)),1,0)</f>
        <v>0</v>
      </c>
      <c r="R301" s="56" t="n">
        <f aca="false">IF(AND(D301&gt;1,Q301=0,ISNUMBER(O301),ISNUMBER(P301)),IF(Q300=0,1,0),0)</f>
        <v>1</v>
      </c>
      <c r="S301" s="56" t="n">
        <f aca="false">R301*(B301&gt;=Train_Start)*(B301&lt;=Train_End)</f>
        <v>1</v>
      </c>
      <c r="T301" s="84" t="n">
        <f aca="false">IF(AND(ISNUMBER(O301),ISNUMBER(P301)),Coef_A+Coef_B1*O301+Coef_B2*P301,"")</f>
        <v>19.5195868657567</v>
      </c>
      <c r="U301" s="84" t="n">
        <f aca="false">IF(AND(R301=1,ISNUMBER(T301)),E301-T301,"")</f>
        <v>0.280413134243279</v>
      </c>
      <c r="V301" s="84" t="n">
        <f aca="false">IF(ISNUMBER(T301),T301,-99)</f>
        <v>19.5195868657567</v>
      </c>
      <c r="W301" s="84" t="n">
        <f aca="false">IF(ISNUMBER(U301),ABS(U301),"")</f>
        <v>0.280413134243279</v>
      </c>
    </row>
    <row r="302" customFormat="false" ht="15" hidden="false" customHeight="false" outlineLevel="0" collapsed="false">
      <c r="A302" s="57" t="n">
        <v>29489</v>
      </c>
      <c r="B302" s="56" t="n">
        <v>1980</v>
      </c>
      <c r="C302" s="56" t="n">
        <v>9</v>
      </c>
      <c r="D302" s="56" t="n">
        <v>148</v>
      </c>
      <c r="E302" s="56" t="n">
        <v>20.3</v>
      </c>
      <c r="F302" s="56" t="n">
        <v>0</v>
      </c>
      <c r="G302" s="56" t="n">
        <v>9</v>
      </c>
      <c r="H302" s="56" t="n">
        <v>0</v>
      </c>
      <c r="I302" s="56" t="n">
        <v>14.4</v>
      </c>
      <c r="J302" s="56" t="n">
        <v>0</v>
      </c>
      <c r="K302" s="56" t="n">
        <v>1027.1</v>
      </c>
      <c r="L302" s="56" t="n">
        <v>0</v>
      </c>
      <c r="M302" s="56" t="n">
        <v>78</v>
      </c>
      <c r="N302" s="56" t="n">
        <v>7.1</v>
      </c>
      <c r="O302" s="56" t="n">
        <f aca="false">IF(D302=1,"",E301)</f>
        <v>19.8</v>
      </c>
      <c r="P302" s="56" t="n">
        <f aca="false">IF(OR(D302=1,K301=""),"",K301)</f>
        <v>1022.8</v>
      </c>
      <c r="Q302" s="56" t="n">
        <f aca="false">IF(OR(F302&lt;&gt;0,AND(I302&lt;&gt;"",E302&lt;I302)),1,0)</f>
        <v>0</v>
      </c>
      <c r="R302" s="56" t="n">
        <f aca="false">IF(AND(D302&gt;1,Q302=0,ISNUMBER(O302),ISNUMBER(P302)),IF(Q301=0,1,0),0)</f>
        <v>1</v>
      </c>
      <c r="S302" s="56" t="n">
        <f aca="false">R302*(B302&gt;=Train_Start)*(B302&lt;=Train_End)</f>
        <v>1</v>
      </c>
      <c r="T302" s="84" t="n">
        <f aca="false">IF(AND(ISNUMBER(O302),ISNUMBER(P302)),Coef_A+Coef_B1*O302+Coef_B2*P302,"")</f>
        <v>20.3950196758847</v>
      </c>
      <c r="U302" s="84" t="n">
        <f aca="false">IF(AND(R302=1,ISNUMBER(T302)),E302-T302,"")</f>
        <v>-0.095019675884668</v>
      </c>
      <c r="V302" s="84" t="n">
        <f aca="false">IF(ISNUMBER(T302),T302,-99)</f>
        <v>20.3950196758847</v>
      </c>
      <c r="W302" s="84" t="n">
        <f aca="false">IF(ISNUMBER(U302),ABS(U302),"")</f>
        <v>0.095019675884668</v>
      </c>
    </row>
    <row r="303" customFormat="false" ht="15" hidden="false" customHeight="false" outlineLevel="0" collapsed="false">
      <c r="A303" s="57" t="n">
        <v>29490</v>
      </c>
      <c r="B303" s="56" t="n">
        <v>1980</v>
      </c>
      <c r="C303" s="56" t="n">
        <v>9</v>
      </c>
      <c r="D303" s="56" t="n">
        <v>149</v>
      </c>
      <c r="E303" s="56" t="n">
        <v>18.2</v>
      </c>
      <c r="F303" s="56" t="n">
        <v>0</v>
      </c>
      <c r="G303" s="56" t="n">
        <v>9.4</v>
      </c>
      <c r="H303" s="56" t="n">
        <v>0</v>
      </c>
      <c r="I303" s="56" t="n">
        <v>14.8</v>
      </c>
      <c r="J303" s="56" t="n">
        <v>0</v>
      </c>
      <c r="K303" s="56" t="n">
        <v>1022.8</v>
      </c>
      <c r="L303" s="56" t="n">
        <v>0</v>
      </c>
      <c r="M303" s="56" t="n">
        <v>78</v>
      </c>
      <c r="N303" s="56" t="n">
        <v>6</v>
      </c>
      <c r="O303" s="56" t="n">
        <f aca="false">IF(D303=1,"",E302)</f>
        <v>20.3</v>
      </c>
      <c r="P303" s="56" t="n">
        <f aca="false">IF(OR(D303=1,K302=""),"",K302)</f>
        <v>1027.1</v>
      </c>
      <c r="Q303" s="56" t="n">
        <f aca="false">IF(OR(F303&lt;&gt;0,AND(I303&lt;&gt;"",E303&lt;I303)),1,0)</f>
        <v>0</v>
      </c>
      <c r="R303" s="56" t="n">
        <f aca="false">IF(AND(D303&gt;1,Q303=0,ISNUMBER(O303),ISNUMBER(P303)),IF(Q302=0,1,0),0)</f>
        <v>1</v>
      </c>
      <c r="S303" s="56" t="n">
        <f aca="false">R303*(B303&gt;=Train_Start)*(B303&lt;=Train_End)</f>
        <v>1</v>
      </c>
      <c r="T303" s="84" t="n">
        <f aca="false">IF(AND(ISNUMBER(O303),ISNUMBER(P303)),Coef_A+Coef_B1*O303+Coef_B2*P303,"")</f>
        <v>20.9395798193321</v>
      </c>
      <c r="U303" s="84" t="n">
        <f aca="false">IF(AND(R303=1,ISNUMBER(T303)),E303-T303,"")</f>
        <v>-2.73957981933215</v>
      </c>
      <c r="V303" s="84" t="n">
        <f aca="false">IF(ISNUMBER(T303),T303,-99)</f>
        <v>20.9395798193321</v>
      </c>
      <c r="W303" s="84" t="n">
        <f aca="false">IF(ISNUMBER(U303),ABS(U303),"")</f>
        <v>2.73957981933215</v>
      </c>
    </row>
    <row r="304" customFormat="false" ht="15" hidden="false" customHeight="false" outlineLevel="0" collapsed="false">
      <c r="A304" s="57" t="n">
        <v>29491</v>
      </c>
      <c r="B304" s="56" t="n">
        <v>1980</v>
      </c>
      <c r="C304" s="56" t="n">
        <v>9</v>
      </c>
      <c r="D304" s="56" t="n">
        <v>150</v>
      </c>
      <c r="E304" s="56" t="n">
        <v>16.6</v>
      </c>
      <c r="F304" s="56" t="n">
        <v>0</v>
      </c>
      <c r="G304" s="56" t="n">
        <v>13</v>
      </c>
      <c r="H304" s="56" t="n">
        <v>0</v>
      </c>
      <c r="I304" s="56" t="n">
        <v>15.6</v>
      </c>
      <c r="J304" s="56" t="n">
        <v>0</v>
      </c>
      <c r="K304" s="56" t="n">
        <v>1015.8</v>
      </c>
      <c r="L304" s="56" t="n">
        <v>0</v>
      </c>
      <c r="M304" s="56" t="n">
        <v>86</v>
      </c>
      <c r="N304" s="56" t="n">
        <v>0.2</v>
      </c>
      <c r="O304" s="56" t="n">
        <f aca="false">IF(D304=1,"",E303)</f>
        <v>18.2</v>
      </c>
      <c r="P304" s="56" t="n">
        <f aca="false">IF(OR(D304=1,K303=""),"",K303)</f>
        <v>1022.8</v>
      </c>
      <c r="Q304" s="56" t="n">
        <f aca="false">IF(OR(F304&lt;&gt;0,AND(I304&lt;&gt;"",E304&lt;I304)),1,0)</f>
        <v>0</v>
      </c>
      <c r="R304" s="56" t="n">
        <f aca="false">IF(AND(D304&gt;1,Q304=0,ISNUMBER(O304),ISNUMBER(P304)),IF(Q303=0,1,0),0)</f>
        <v>1</v>
      </c>
      <c r="S304" s="56" t="n">
        <f aca="false">R304*(B304&gt;=Train_Start)*(B304&lt;=Train_End)</f>
        <v>1</v>
      </c>
      <c r="T304" s="84" t="n">
        <f aca="false">IF(AND(ISNUMBER(O304),ISNUMBER(P304)),Coef_A+Coef_B1*O304+Coef_B2*P304,"")</f>
        <v>19.0840769670164</v>
      </c>
      <c r="U304" s="84" t="n">
        <f aca="false">IF(AND(R304=1,ISNUMBER(T304)),E304-T304,"")</f>
        <v>-2.48407696701641</v>
      </c>
      <c r="V304" s="84" t="n">
        <f aca="false">IF(ISNUMBER(T304),T304,-99)</f>
        <v>19.0840769670164</v>
      </c>
      <c r="W304" s="84" t="n">
        <f aca="false">IF(ISNUMBER(U304),ABS(U304),"")</f>
        <v>2.48407696701641</v>
      </c>
    </row>
    <row r="305" customFormat="false" ht="15" hidden="false" customHeight="false" outlineLevel="0" collapsed="false">
      <c r="A305" s="57" t="n">
        <v>29492</v>
      </c>
      <c r="B305" s="56" t="n">
        <v>1980</v>
      </c>
      <c r="C305" s="56" t="n">
        <v>9</v>
      </c>
      <c r="D305" s="56" t="n">
        <v>151</v>
      </c>
      <c r="E305" s="56" t="n">
        <v>17.8</v>
      </c>
      <c r="F305" s="56" t="n">
        <v>0</v>
      </c>
      <c r="G305" s="56" t="n">
        <v>10</v>
      </c>
      <c r="H305" s="56" t="n">
        <v>0</v>
      </c>
      <c r="I305" s="56" t="n">
        <v>13.3</v>
      </c>
      <c r="J305" s="56" t="n">
        <v>0</v>
      </c>
      <c r="K305" s="56" t="n">
        <v>1020.7</v>
      </c>
      <c r="L305" s="56" t="n">
        <v>0</v>
      </c>
      <c r="M305" s="56" t="n">
        <v>92</v>
      </c>
      <c r="N305" s="56" t="n">
        <v>0</v>
      </c>
      <c r="O305" s="56" t="n">
        <f aca="false">IF(D305=1,"",E304)</f>
        <v>16.6</v>
      </c>
      <c r="P305" s="56" t="n">
        <f aca="false">IF(OR(D305=1,K304=""),"",K304)</f>
        <v>1015.8</v>
      </c>
      <c r="Q305" s="56" t="n">
        <f aca="false">IF(OR(F305&lt;&gt;0,AND(I305&lt;&gt;"",E305&lt;I305)),1,0)</f>
        <v>0</v>
      </c>
      <c r="R305" s="56" t="n">
        <f aca="false">IF(AND(D305&gt;1,Q305=0,ISNUMBER(O305),ISNUMBER(P305)),IF(Q304=0,1,0),0)</f>
        <v>1</v>
      </c>
      <c r="S305" s="56" t="n">
        <f aca="false">R305*(B305&gt;=Train_Start)*(B305&lt;=Train_End)</f>
        <v>1</v>
      </c>
      <c r="T305" s="84" t="n">
        <f aca="false">IF(AND(ISNUMBER(O305),ISNUMBER(P305)),Coef_A+Coef_B1*O305+Coef_B2*P305,"")</f>
        <v>17.5535449957102</v>
      </c>
      <c r="U305" s="84" t="n">
        <f aca="false">IF(AND(R305=1,ISNUMBER(T305)),E305-T305,"")</f>
        <v>0.246455004289761</v>
      </c>
      <c r="V305" s="84" t="n">
        <f aca="false">IF(ISNUMBER(T305),T305,-99)</f>
        <v>17.5535449957102</v>
      </c>
      <c r="W305" s="84" t="n">
        <f aca="false">IF(ISNUMBER(U305),ABS(U305),"")</f>
        <v>0.246455004289761</v>
      </c>
    </row>
    <row r="306" customFormat="false" ht="15" hidden="false" customHeight="false" outlineLevel="0" collapsed="false">
      <c r="A306" s="57" t="n">
        <v>29493</v>
      </c>
      <c r="B306" s="56" t="n">
        <v>1980</v>
      </c>
      <c r="C306" s="56" t="n">
        <v>9</v>
      </c>
      <c r="D306" s="56" t="n">
        <v>152</v>
      </c>
      <c r="E306" s="56" t="n">
        <v>19.1</v>
      </c>
      <c r="F306" s="56" t="n">
        <v>0</v>
      </c>
      <c r="G306" s="56" t="n">
        <v>12.6</v>
      </c>
      <c r="H306" s="56" t="n">
        <v>0</v>
      </c>
      <c r="I306" s="56" t="n">
        <v>15.2</v>
      </c>
      <c r="J306" s="56" t="n">
        <v>0</v>
      </c>
      <c r="K306" s="56" t="n">
        <v>1025.7</v>
      </c>
      <c r="L306" s="56" t="n">
        <v>0</v>
      </c>
      <c r="M306" s="56" t="n">
        <v>85</v>
      </c>
      <c r="N306" s="56" t="n">
        <v>0.1</v>
      </c>
      <c r="O306" s="56" t="n">
        <f aca="false">IF(D306=1,"",E305)</f>
        <v>17.8</v>
      </c>
      <c r="P306" s="56" t="n">
        <f aca="false">IF(OR(D306=1,K305=""),"",K305)</f>
        <v>1020.7</v>
      </c>
      <c r="Q306" s="56" t="n">
        <f aca="false">IF(OR(F306&lt;&gt;0,AND(I306&lt;&gt;"",E306&lt;I306)),1,0)</f>
        <v>0</v>
      </c>
      <c r="R306" s="56" t="n">
        <f aca="false">IF(AND(D306&gt;1,Q306=0,ISNUMBER(O306),ISNUMBER(P306)),IF(Q305=0,1,0),0)</f>
        <v>1</v>
      </c>
      <c r="S306" s="56" t="n">
        <f aca="false">R306*(B306&gt;=Train_Start)*(B306&lt;=Train_End)</f>
        <v>1</v>
      </c>
      <c r="T306" s="84" t="n">
        <f aca="false">IF(AND(ISNUMBER(O306),ISNUMBER(P306)),Coef_A+Coef_B1*O306+Coef_B2*P306,"")</f>
        <v>18.690464511068</v>
      </c>
      <c r="U306" s="84" t="n">
        <f aca="false">IF(AND(R306=1,ISNUMBER(T306)),E306-T306,"")</f>
        <v>0.409535488932022</v>
      </c>
      <c r="V306" s="84" t="n">
        <f aca="false">IF(ISNUMBER(T306),T306,-99)</f>
        <v>18.690464511068</v>
      </c>
      <c r="W306" s="84" t="n">
        <f aca="false">IF(ISNUMBER(U306),ABS(U306),"")</f>
        <v>0.409535488932022</v>
      </c>
    </row>
    <row r="307" customFormat="false" ht="15" hidden="false" customHeight="false" outlineLevel="0" collapsed="false">
      <c r="A307" s="57" t="n">
        <v>29494</v>
      </c>
      <c r="B307" s="56" t="n">
        <v>1980</v>
      </c>
      <c r="C307" s="56" t="n">
        <v>9</v>
      </c>
      <c r="D307" s="56" t="n">
        <v>153</v>
      </c>
      <c r="E307" s="56" t="n">
        <v>18.4</v>
      </c>
      <c r="F307" s="56" t="n">
        <v>0</v>
      </c>
      <c r="G307" s="56" t="n">
        <v>11</v>
      </c>
      <c r="H307" s="56" t="n">
        <v>0</v>
      </c>
      <c r="I307" s="56" t="n">
        <v>15</v>
      </c>
      <c r="J307" s="56" t="n">
        <v>0</v>
      </c>
      <c r="K307" s="56" t="n">
        <v>1029</v>
      </c>
      <c r="L307" s="56" t="n">
        <v>0</v>
      </c>
      <c r="M307" s="56" t="n">
        <v>75</v>
      </c>
      <c r="N307" s="56" t="n">
        <v>9</v>
      </c>
      <c r="O307" s="56" t="n">
        <f aca="false">IF(D307=1,"",E306)</f>
        <v>19.1</v>
      </c>
      <c r="P307" s="56" t="n">
        <f aca="false">IF(OR(D307=1,K306=""),"",K306)</f>
        <v>1025.7</v>
      </c>
      <c r="Q307" s="56" t="n">
        <f aca="false">IF(OR(F307&lt;&gt;0,AND(I307&lt;&gt;"",E307&lt;I307)),1,0)</f>
        <v>0</v>
      </c>
      <c r="R307" s="56" t="n">
        <f aca="false">IF(AND(D307&gt;1,Q307=0,ISNUMBER(O307),ISNUMBER(P307)),IF(Q306=0,1,0),0)</f>
        <v>1</v>
      </c>
      <c r="S307" s="56" t="n">
        <f aca="false">R307*(B307&gt;=Train_Start)*(B307&lt;=Train_End)</f>
        <v>1</v>
      </c>
      <c r="T307" s="84" t="n">
        <f aca="false">IF(AND(ISNUMBER(O307),ISNUMBER(P307)),Coef_A+Coef_B1*O307+Coef_B2*P307,"")</f>
        <v>19.9124549351934</v>
      </c>
      <c r="U307" s="84" t="n">
        <f aca="false">IF(AND(R307=1,ISNUMBER(T307)),E307-T307,"")</f>
        <v>-1.51245493519338</v>
      </c>
      <c r="V307" s="84" t="n">
        <f aca="false">IF(ISNUMBER(T307),T307,-99)</f>
        <v>19.9124549351934</v>
      </c>
      <c r="W307" s="84" t="n">
        <f aca="false">IF(ISNUMBER(U307),ABS(U307),"")</f>
        <v>1.51245493519338</v>
      </c>
    </row>
    <row r="308" customFormat="false" ht="15" hidden="false" customHeight="false" outlineLevel="0" collapsed="false">
      <c r="A308" s="57" t="n">
        <v>29707</v>
      </c>
      <c r="B308" s="56" t="n">
        <v>1981</v>
      </c>
      <c r="C308" s="56" t="n">
        <v>5</v>
      </c>
      <c r="D308" s="56" t="n">
        <v>1</v>
      </c>
      <c r="E308" s="56" t="n">
        <v>10.6</v>
      </c>
      <c r="F308" s="56" t="n">
        <v>0</v>
      </c>
      <c r="G308" s="56" t="n">
        <v>8.7</v>
      </c>
      <c r="H308" s="56" t="n">
        <v>0</v>
      </c>
      <c r="I308" s="56" t="n">
        <v>9.6</v>
      </c>
      <c r="J308" s="56" t="n">
        <v>0</v>
      </c>
      <c r="K308" s="56" t="n">
        <v>1011.1</v>
      </c>
      <c r="L308" s="56" t="n">
        <v>0</v>
      </c>
      <c r="M308" s="56" t="n">
        <v>74</v>
      </c>
      <c r="N308" s="56" t="n">
        <v>2.1</v>
      </c>
      <c r="O308" s="56" t="str">
        <f aca="false">IF(D308=1,"",E307)</f>
        <v/>
      </c>
      <c r="P308" s="56" t="str">
        <f aca="false">IF(OR(D308=1,K307=""),"",K307)</f>
        <v/>
      </c>
      <c r="Q308" s="56" t="n">
        <f aca="false">IF(OR(F308&lt;&gt;0,AND(I308&lt;&gt;"",E308&lt;I308)),1,0)</f>
        <v>0</v>
      </c>
      <c r="R308" s="56" t="n">
        <f aca="false">IF(AND(D308&gt;1,Q308=0,ISNUMBER(O308),ISNUMBER(P308)),IF(Q307=0,1,0),0)</f>
        <v>0</v>
      </c>
      <c r="S308" s="56" t="n">
        <f aca="false">R308*(B308&gt;=Train_Start)*(B308&lt;=Train_End)</f>
        <v>0</v>
      </c>
      <c r="T308" s="84" t="str">
        <f aca="false">IF(AND(ISNUMBER(O308),ISNUMBER(P308)),Coef_A+Coef_B1*O308+Coef_B2*P308,"")</f>
        <v/>
      </c>
      <c r="U308" s="84" t="str">
        <f aca="false">IF(AND(R308=1,ISNUMBER(T308)),E308-T308,"")</f>
        <v/>
      </c>
      <c r="V308" s="84" t="n">
        <f aca="false">IF(ISNUMBER(T308),T308,-99)</f>
        <v>-99</v>
      </c>
      <c r="W308" s="84" t="str">
        <f aca="false">IF(ISNUMBER(U308),ABS(U308),"")</f>
        <v/>
      </c>
    </row>
    <row r="309" customFormat="false" ht="15" hidden="false" customHeight="false" outlineLevel="0" collapsed="false">
      <c r="A309" s="57" t="n">
        <v>29708</v>
      </c>
      <c r="B309" s="56" t="n">
        <v>1981</v>
      </c>
      <c r="C309" s="56" t="n">
        <v>5</v>
      </c>
      <c r="D309" s="56" t="n">
        <v>2</v>
      </c>
      <c r="E309" s="56" t="n">
        <v>9.2</v>
      </c>
      <c r="F309" s="56" t="n">
        <v>0</v>
      </c>
      <c r="G309" s="56" t="n">
        <v>5</v>
      </c>
      <c r="H309" s="56" t="n">
        <v>0</v>
      </c>
      <c r="I309" s="56" t="n">
        <v>7.8</v>
      </c>
      <c r="J309" s="56" t="n">
        <v>0</v>
      </c>
      <c r="K309" s="56" t="n">
        <v>1015.3</v>
      </c>
      <c r="L309" s="56" t="n">
        <v>0</v>
      </c>
      <c r="M309" s="56" t="n">
        <v>54</v>
      </c>
      <c r="N309" s="56" t="n">
        <v>5.7</v>
      </c>
      <c r="O309" s="56" t="n">
        <f aca="false">IF(D309=1,"",E308)</f>
        <v>10.6</v>
      </c>
      <c r="P309" s="56" t="n">
        <f aca="false">IF(OR(D309=1,K308=""),"",K308)</f>
        <v>1011.1</v>
      </c>
      <c r="Q309" s="56" t="n">
        <f aca="false">IF(OR(F309&lt;&gt;0,AND(I309&lt;&gt;"",E309&lt;I309)),1,0)</f>
        <v>0</v>
      </c>
      <c r="R309" s="56" t="n">
        <f aca="false">IF(AND(D309&gt;1,Q309=0,ISNUMBER(O309),ISNUMBER(P309)),IF(Q308=0,1,0),0)</f>
        <v>1</v>
      </c>
      <c r="S309" s="56" t="n">
        <f aca="false">R309*(B309&gt;=Train_Start)*(B309&lt;=Train_End)</f>
        <v>1</v>
      </c>
      <c r="T309" s="84" t="n">
        <f aca="false">IF(AND(ISNUMBER(O309),ISNUMBER(P309)),Coef_A+Coef_B1*O309+Coef_B2*P309,"")</f>
        <v>12.4900713326745</v>
      </c>
      <c r="U309" s="84" t="n">
        <f aca="false">IF(AND(R309=1,ISNUMBER(T309)),E309-T309,"")</f>
        <v>-3.29007133267454</v>
      </c>
      <c r="V309" s="84" t="n">
        <f aca="false">IF(ISNUMBER(T309),T309,-99)</f>
        <v>12.4900713326745</v>
      </c>
      <c r="W309" s="84" t="n">
        <f aca="false">IF(ISNUMBER(U309),ABS(U309),"")</f>
        <v>3.29007133267454</v>
      </c>
    </row>
    <row r="310" customFormat="false" ht="15" hidden="false" customHeight="false" outlineLevel="0" collapsed="false">
      <c r="A310" s="57" t="n">
        <v>29709</v>
      </c>
      <c r="B310" s="56" t="n">
        <v>1981</v>
      </c>
      <c r="C310" s="56" t="n">
        <v>5</v>
      </c>
      <c r="D310" s="56" t="n">
        <v>3</v>
      </c>
      <c r="E310" s="56" t="n">
        <v>12.2</v>
      </c>
      <c r="F310" s="56" t="n">
        <v>0</v>
      </c>
      <c r="G310" s="56" t="n">
        <v>0.1</v>
      </c>
      <c r="H310" s="56" t="n">
        <v>0</v>
      </c>
      <c r="I310" s="56" t="n">
        <v>4.6</v>
      </c>
      <c r="J310" s="56" t="n">
        <v>0</v>
      </c>
      <c r="K310" s="56" t="n">
        <v>1006.4</v>
      </c>
      <c r="L310" s="56" t="n">
        <v>0</v>
      </c>
      <c r="M310" s="56" t="n">
        <v>84</v>
      </c>
      <c r="N310" s="56" t="n">
        <v>0</v>
      </c>
      <c r="O310" s="56" t="n">
        <f aca="false">IF(D310=1,"",E309)</f>
        <v>9.2</v>
      </c>
      <c r="P310" s="56" t="n">
        <f aca="false">IF(OR(D310=1,K309=""),"",K309)</f>
        <v>1015.3</v>
      </c>
      <c r="Q310" s="56" t="n">
        <f aca="false">IF(OR(F310&lt;&gt;0,AND(I310&lt;&gt;"",E310&lt;I310)),1,0)</f>
        <v>0</v>
      </c>
      <c r="R310" s="56" t="n">
        <f aca="false">IF(AND(D310&gt;1,Q310=0,ISNUMBER(O310),ISNUMBER(P310)),IF(Q309=0,1,0),0)</f>
        <v>1</v>
      </c>
      <c r="S310" s="56" t="n">
        <f aca="false">R310*(B310&gt;=Train_Start)*(B310&lt;=Train_End)</f>
        <v>1</v>
      </c>
      <c r="T310" s="84" t="n">
        <f aca="false">IF(AND(ISNUMBER(O310),ISNUMBER(P310)),Coef_A+Coef_B1*O310+Coef_B2*P310,"")</f>
        <v>11.4747500198776</v>
      </c>
      <c r="U310" s="84" t="n">
        <f aca="false">IF(AND(R310=1,ISNUMBER(T310)),E310-T310,"")</f>
        <v>0.725249980122424</v>
      </c>
      <c r="V310" s="84" t="n">
        <f aca="false">IF(ISNUMBER(T310),T310,-99)</f>
        <v>11.4747500198776</v>
      </c>
      <c r="W310" s="84" t="n">
        <f aca="false">IF(ISNUMBER(U310),ABS(U310),"")</f>
        <v>0.725249980122424</v>
      </c>
    </row>
    <row r="311" customFormat="false" ht="15" hidden="false" customHeight="false" outlineLevel="0" collapsed="false">
      <c r="A311" s="57" t="n">
        <v>29710</v>
      </c>
      <c r="B311" s="56" t="n">
        <v>1981</v>
      </c>
      <c r="C311" s="56" t="n">
        <v>5</v>
      </c>
      <c r="D311" s="56" t="n">
        <v>4</v>
      </c>
      <c r="E311" s="56" t="n">
        <v>13.3</v>
      </c>
      <c r="F311" s="56" t="n">
        <v>0</v>
      </c>
      <c r="G311" s="56" t="n">
        <v>4.9</v>
      </c>
      <c r="H311" s="56" t="n">
        <v>0</v>
      </c>
      <c r="I311" s="56" t="n">
        <v>8.6</v>
      </c>
      <c r="J311" s="56" t="n">
        <v>0</v>
      </c>
      <c r="K311" s="56" t="n">
        <v>996.3</v>
      </c>
      <c r="L311" s="56" t="n">
        <v>0</v>
      </c>
      <c r="M311" s="56" t="n">
        <v>77</v>
      </c>
      <c r="N311" s="56" t="n">
        <v>2.3</v>
      </c>
      <c r="O311" s="56" t="n">
        <f aca="false">IF(D311=1,"",E310)</f>
        <v>12.2</v>
      </c>
      <c r="P311" s="56" t="n">
        <f aca="false">IF(OR(D311=1,K310=""),"",K310)</f>
        <v>1006.4</v>
      </c>
      <c r="Q311" s="56" t="n">
        <f aca="false">IF(OR(F311&lt;&gt;0,AND(I311&lt;&gt;"",E311&lt;I311)),1,0)</f>
        <v>0</v>
      </c>
      <c r="R311" s="56" t="n">
        <f aca="false">IF(AND(D311&gt;1,Q311=0,ISNUMBER(O311),ISNUMBER(P311)),IF(Q310=0,1,0),0)</f>
        <v>1</v>
      </c>
      <c r="S311" s="56" t="n">
        <f aca="false">R311*(B311&gt;=Train_Start)*(B311&lt;=Train_End)</f>
        <v>1</v>
      </c>
      <c r="T311" s="84" t="n">
        <f aca="false">IF(AND(ISNUMBER(O311),ISNUMBER(P311)),Coef_A+Coef_B1*O311+Coef_B2*P311,"")</f>
        <v>13.653575536763</v>
      </c>
      <c r="U311" s="84" t="n">
        <f aca="false">IF(AND(R311=1,ISNUMBER(T311)),E311-T311,"")</f>
        <v>-0.353575536763046</v>
      </c>
      <c r="V311" s="84" t="n">
        <f aca="false">IF(ISNUMBER(T311),T311,-99)</f>
        <v>13.653575536763</v>
      </c>
      <c r="W311" s="84" t="n">
        <f aca="false">IF(ISNUMBER(U311),ABS(U311),"")</f>
        <v>0.353575536763046</v>
      </c>
    </row>
    <row r="312" customFormat="false" ht="15" hidden="false" customHeight="false" outlineLevel="0" collapsed="false">
      <c r="A312" s="57" t="n">
        <v>29711</v>
      </c>
      <c r="B312" s="56" t="n">
        <v>1981</v>
      </c>
      <c r="C312" s="56" t="n">
        <v>5</v>
      </c>
      <c r="D312" s="56" t="n">
        <v>5</v>
      </c>
      <c r="E312" s="56" t="n">
        <v>16.2</v>
      </c>
      <c r="F312" s="56" t="n">
        <v>0</v>
      </c>
      <c r="G312" s="56" t="n">
        <v>1.4</v>
      </c>
      <c r="H312" s="56" t="n">
        <v>0</v>
      </c>
      <c r="I312" s="56" t="n">
        <v>7.4</v>
      </c>
      <c r="J312" s="56" t="n">
        <v>0</v>
      </c>
      <c r="K312" s="56" t="n">
        <v>1005.7</v>
      </c>
      <c r="L312" s="56" t="n">
        <v>0</v>
      </c>
      <c r="M312" s="56" t="n">
        <v>78</v>
      </c>
      <c r="N312" s="56" t="n">
        <v>6.8</v>
      </c>
      <c r="O312" s="56" t="n">
        <f aca="false">IF(D312=1,"",E311)</f>
        <v>13.3</v>
      </c>
      <c r="P312" s="56" t="n">
        <f aca="false">IF(OR(D312=1,K311=""),"",K311)</f>
        <v>996.3</v>
      </c>
      <c r="Q312" s="56" t="n">
        <f aca="false">IF(OR(F312&lt;&gt;0,AND(I312&lt;&gt;"",E312&lt;I312)),1,0)</f>
        <v>0</v>
      </c>
      <c r="R312" s="56" t="n">
        <f aca="false">IF(AND(D312&gt;1,Q312=0,ISNUMBER(O312),ISNUMBER(P312)),IF(Q311=0,1,0),0)</f>
        <v>1</v>
      </c>
      <c r="S312" s="56" t="n">
        <f aca="false">R312*(B312&gt;=Train_Start)*(B312&lt;=Train_End)</f>
        <v>1</v>
      </c>
      <c r="T312" s="84" t="n">
        <f aca="false">IF(AND(ISNUMBER(O312),ISNUMBER(P312)),Coef_A+Coef_B1*O312+Coef_B2*P312,"")</f>
        <v>14.2380127133067</v>
      </c>
      <c r="U312" s="84" t="n">
        <f aca="false">IF(AND(R312=1,ISNUMBER(T312)),E312-T312,"")</f>
        <v>1.96198728669333</v>
      </c>
      <c r="V312" s="84" t="n">
        <f aca="false">IF(ISNUMBER(T312),T312,-99)</f>
        <v>14.2380127133067</v>
      </c>
      <c r="W312" s="84" t="n">
        <f aca="false">IF(ISNUMBER(U312),ABS(U312),"")</f>
        <v>1.96198728669333</v>
      </c>
    </row>
    <row r="313" customFormat="false" ht="15" hidden="false" customHeight="false" outlineLevel="0" collapsed="false">
      <c r="A313" s="57" t="n">
        <v>29712</v>
      </c>
      <c r="B313" s="56" t="n">
        <v>1981</v>
      </c>
      <c r="C313" s="56" t="n">
        <v>5</v>
      </c>
      <c r="D313" s="56" t="n">
        <v>6</v>
      </c>
      <c r="E313" s="56" t="n">
        <v>19.7</v>
      </c>
      <c r="F313" s="56" t="n">
        <v>0</v>
      </c>
      <c r="G313" s="56" t="n">
        <v>7.9</v>
      </c>
      <c r="H313" s="56" t="n">
        <v>0</v>
      </c>
      <c r="I313" s="56" t="n">
        <v>12</v>
      </c>
      <c r="J313" s="56" t="n">
        <v>0</v>
      </c>
      <c r="K313" s="56" t="n">
        <v>1010.2</v>
      </c>
      <c r="L313" s="56" t="n">
        <v>0</v>
      </c>
      <c r="M313" s="56" t="n">
        <v>84</v>
      </c>
      <c r="N313" s="56" t="n">
        <v>0.7</v>
      </c>
      <c r="O313" s="56" t="n">
        <f aca="false">IF(D313=1,"",E312)</f>
        <v>16.2</v>
      </c>
      <c r="P313" s="56" t="n">
        <f aca="false">IF(OR(D313=1,K312=""),"",K312)</f>
        <v>1005.7</v>
      </c>
      <c r="Q313" s="56" t="n">
        <f aca="false">IF(OR(F313&lt;&gt;0,AND(I313&lt;&gt;"",E313&lt;I313)),1,0)</f>
        <v>0</v>
      </c>
      <c r="R313" s="56" t="n">
        <f aca="false">IF(AND(D313&gt;1,Q313=0,ISNUMBER(O313),ISNUMBER(P313)),IF(Q312=0,1,0),0)</f>
        <v>1</v>
      </c>
      <c r="S313" s="56" t="n">
        <f aca="false">R313*(B313&gt;=Train_Start)*(B313&lt;=Train_End)</f>
        <v>1</v>
      </c>
      <c r="T313" s="84" t="n">
        <f aca="false">IF(AND(ISNUMBER(O313),ISNUMBER(P313)),Coef_A+Coef_B1*O313+Coef_B2*P313,"")</f>
        <v>16.9089733826899</v>
      </c>
      <c r="U313" s="84" t="n">
        <f aca="false">IF(AND(R313=1,ISNUMBER(T313)),E313-T313,"")</f>
        <v>2.79102661731011</v>
      </c>
      <c r="V313" s="84" t="n">
        <f aca="false">IF(ISNUMBER(T313),T313,-99)</f>
        <v>16.9089733826899</v>
      </c>
      <c r="W313" s="84" t="n">
        <f aca="false">IF(ISNUMBER(U313),ABS(U313),"")</f>
        <v>2.79102661731011</v>
      </c>
    </row>
    <row r="314" customFormat="false" ht="15" hidden="false" customHeight="false" outlineLevel="0" collapsed="false">
      <c r="A314" s="57" t="n">
        <v>29713</v>
      </c>
      <c r="B314" s="56" t="n">
        <v>1981</v>
      </c>
      <c r="C314" s="56" t="n">
        <v>5</v>
      </c>
      <c r="D314" s="56" t="n">
        <v>7</v>
      </c>
      <c r="E314" s="56" t="n">
        <v>18.5</v>
      </c>
      <c r="F314" s="56" t="n">
        <v>0</v>
      </c>
      <c r="G314" s="56" t="n">
        <v>6.6</v>
      </c>
      <c r="H314" s="56" t="n">
        <v>0</v>
      </c>
      <c r="I314" s="56" t="n">
        <v>13.2</v>
      </c>
      <c r="J314" s="56" t="n">
        <v>0</v>
      </c>
      <c r="K314" s="56" t="n">
        <v>1006.7</v>
      </c>
      <c r="L314" s="56" t="n">
        <v>0</v>
      </c>
      <c r="M314" s="56" t="n">
        <v>83</v>
      </c>
      <c r="N314" s="56" t="n">
        <v>4.3</v>
      </c>
      <c r="O314" s="56" t="n">
        <f aca="false">IF(D314=1,"",E313)</f>
        <v>19.7</v>
      </c>
      <c r="P314" s="56" t="n">
        <f aca="false">IF(OR(D314=1,K313=""),"",K313)</f>
        <v>1010.2</v>
      </c>
      <c r="Q314" s="56" t="n">
        <f aca="false">IF(OR(F314&lt;&gt;0,AND(I314&lt;&gt;"",E314&lt;I314)),1,0)</f>
        <v>0</v>
      </c>
      <c r="R314" s="56" t="n">
        <f aca="false">IF(AND(D314&gt;1,Q314=0,ISNUMBER(O314),ISNUMBER(P314)),IF(Q313=0,1,0),0)</f>
        <v>1</v>
      </c>
      <c r="S314" s="56" t="n">
        <f aca="false">R314*(B314&gt;=Train_Start)*(B314&lt;=Train_End)</f>
        <v>1</v>
      </c>
      <c r="T314" s="84" t="n">
        <f aca="false">IF(AND(ISNUMBER(O314),ISNUMBER(P314)),Coef_A+Coef_B1*O314+Coef_B2*P314,"")</f>
        <v>19.9178250841921</v>
      </c>
      <c r="U314" s="84" t="n">
        <f aca="false">IF(AND(R314=1,ISNUMBER(T314)),E314-T314,"")</f>
        <v>-1.41782508419213</v>
      </c>
      <c r="V314" s="84" t="n">
        <f aca="false">IF(ISNUMBER(T314),T314,-99)</f>
        <v>19.9178250841921</v>
      </c>
      <c r="W314" s="84" t="n">
        <f aca="false">IF(ISNUMBER(U314),ABS(U314),"")</f>
        <v>1.41782508419213</v>
      </c>
    </row>
    <row r="315" customFormat="false" ht="15" hidden="false" customHeight="false" outlineLevel="0" collapsed="false">
      <c r="A315" s="57" t="n">
        <v>29714</v>
      </c>
      <c r="B315" s="56" t="n">
        <v>1981</v>
      </c>
      <c r="C315" s="56" t="n">
        <v>5</v>
      </c>
      <c r="D315" s="56" t="n">
        <v>8</v>
      </c>
      <c r="E315" s="56" t="n">
        <v>16.5</v>
      </c>
      <c r="F315" s="56" t="n">
        <v>0</v>
      </c>
      <c r="G315" s="56" t="n">
        <v>9.5</v>
      </c>
      <c r="H315" s="56" t="n">
        <v>0</v>
      </c>
      <c r="I315" s="56" t="n">
        <v>14</v>
      </c>
      <c r="J315" s="56" t="n">
        <v>0</v>
      </c>
      <c r="K315" s="56" t="n">
        <v>1006.7</v>
      </c>
      <c r="L315" s="56" t="n">
        <v>0</v>
      </c>
      <c r="M315" s="56" t="n">
        <v>76</v>
      </c>
      <c r="N315" s="56" t="n">
        <v>4.5</v>
      </c>
      <c r="O315" s="56" t="n">
        <f aca="false">IF(D315=1,"",E314)</f>
        <v>18.5</v>
      </c>
      <c r="P315" s="56" t="n">
        <f aca="false">IF(OR(D315=1,K314=""),"",K314)</f>
        <v>1006.7</v>
      </c>
      <c r="Q315" s="56" t="n">
        <f aca="false">IF(OR(F315&lt;&gt;0,AND(I315&lt;&gt;"",E315&lt;I315)),1,0)</f>
        <v>0</v>
      </c>
      <c r="R315" s="56" t="n">
        <f aca="false">IF(AND(D315&gt;1,Q315=0,ISNUMBER(O315),ISNUMBER(P315)),IF(Q314=0,1,0),0)</f>
        <v>1</v>
      </c>
      <c r="S315" s="56" t="n">
        <f aca="false">R315*(B315&gt;=Train_Start)*(B315&lt;=Train_End)</f>
        <v>1</v>
      </c>
      <c r="T315" s="84" t="n">
        <f aca="false">IF(AND(ISNUMBER(O315),ISNUMBER(P315)),Coef_A+Coef_B1*O315+Coef_B2*P315,"")</f>
        <v>18.824823421322</v>
      </c>
      <c r="U315" s="84" t="n">
        <f aca="false">IF(AND(R315=1,ISNUMBER(T315)),E315-T315,"")</f>
        <v>-2.32482342132199</v>
      </c>
      <c r="V315" s="84" t="n">
        <f aca="false">IF(ISNUMBER(T315),T315,-99)</f>
        <v>18.824823421322</v>
      </c>
      <c r="W315" s="84" t="n">
        <f aca="false">IF(ISNUMBER(U315),ABS(U315),"")</f>
        <v>2.32482342132199</v>
      </c>
    </row>
    <row r="316" customFormat="false" ht="15" hidden="false" customHeight="false" outlineLevel="0" collapsed="false">
      <c r="A316" s="57" t="n">
        <v>29715</v>
      </c>
      <c r="B316" s="56" t="n">
        <v>1981</v>
      </c>
      <c r="C316" s="56" t="n">
        <v>5</v>
      </c>
      <c r="D316" s="56" t="n">
        <v>9</v>
      </c>
      <c r="E316" s="56" t="n">
        <v>15.3</v>
      </c>
      <c r="F316" s="56" t="n">
        <v>0</v>
      </c>
      <c r="G316" s="56" t="n">
        <v>8.6</v>
      </c>
      <c r="H316" s="56" t="n">
        <v>0</v>
      </c>
      <c r="I316" s="56" t="n">
        <v>12.6</v>
      </c>
      <c r="J316" s="56" t="n">
        <v>0</v>
      </c>
      <c r="K316" s="56" t="n">
        <v>1006.8</v>
      </c>
      <c r="L316" s="56" t="n">
        <v>0</v>
      </c>
      <c r="M316" s="56" t="n">
        <v>82</v>
      </c>
      <c r="N316" s="56" t="n">
        <v>0.6</v>
      </c>
      <c r="O316" s="56" t="n">
        <f aca="false">IF(D316=1,"",E315)</f>
        <v>16.5</v>
      </c>
      <c r="P316" s="56" t="n">
        <f aca="false">IF(OR(D316=1,K315=""),"",K315)</f>
        <v>1006.7</v>
      </c>
      <c r="Q316" s="56" t="n">
        <f aca="false">IF(OR(F316&lt;&gt;0,AND(I316&lt;&gt;"",E316&lt;I316)),1,0)</f>
        <v>0</v>
      </c>
      <c r="R316" s="56" t="n">
        <f aca="false">IF(AND(D316&gt;1,Q316=0,ISNUMBER(O316),ISNUMBER(P316)),IF(Q315=0,1,0),0)</f>
        <v>1</v>
      </c>
      <c r="S316" s="56" t="n">
        <f aca="false">R316*(B316&gt;=Train_Start)*(B316&lt;=Train_End)</f>
        <v>1</v>
      </c>
      <c r="T316" s="84" t="n">
        <f aca="false">IF(AND(ISNUMBER(O316),ISNUMBER(P316)),Coef_A+Coef_B1*O316+Coef_B2*P316,"")</f>
        <v>17.1861450352367</v>
      </c>
      <c r="U316" s="84" t="n">
        <f aca="false">IF(AND(R316=1,ISNUMBER(T316)),E316-T316,"")</f>
        <v>-1.88614503523667</v>
      </c>
      <c r="V316" s="84" t="n">
        <f aca="false">IF(ISNUMBER(T316),T316,-99)</f>
        <v>17.1861450352367</v>
      </c>
      <c r="W316" s="84" t="n">
        <f aca="false">IF(ISNUMBER(U316),ABS(U316),"")</f>
        <v>1.88614503523667</v>
      </c>
    </row>
    <row r="317" customFormat="false" ht="15" hidden="false" customHeight="false" outlineLevel="0" collapsed="false">
      <c r="A317" s="57" t="n">
        <v>29716</v>
      </c>
      <c r="B317" s="56" t="n">
        <v>1981</v>
      </c>
      <c r="C317" s="56" t="n">
        <v>5</v>
      </c>
      <c r="D317" s="56" t="n">
        <v>10</v>
      </c>
      <c r="E317" s="56" t="n">
        <v>21.6</v>
      </c>
      <c r="F317" s="56" t="n">
        <v>0</v>
      </c>
      <c r="G317" s="56" t="n">
        <v>12.7</v>
      </c>
      <c r="H317" s="56" t="n">
        <v>0</v>
      </c>
      <c r="I317" s="56" t="n">
        <v>14</v>
      </c>
      <c r="J317" s="56" t="n">
        <v>0</v>
      </c>
      <c r="K317" s="56" t="n">
        <v>1004.1</v>
      </c>
      <c r="L317" s="56" t="n">
        <v>0</v>
      </c>
      <c r="M317" s="56" t="n">
        <v>90</v>
      </c>
      <c r="N317" s="56" t="n">
        <v>0.8</v>
      </c>
      <c r="O317" s="56" t="n">
        <f aca="false">IF(D317=1,"",E316)</f>
        <v>15.3</v>
      </c>
      <c r="P317" s="56" t="n">
        <f aca="false">IF(OR(D317=1,K316=""),"",K316)</f>
        <v>1006.8</v>
      </c>
      <c r="Q317" s="56" t="n">
        <f aca="false">IF(OR(F317&lt;&gt;0,AND(I317&lt;&gt;"",E317&lt;I317)),1,0)</f>
        <v>0</v>
      </c>
      <c r="R317" s="56" t="n">
        <f aca="false">IF(AND(D317&gt;1,Q317=0,ISNUMBER(O317),ISNUMBER(P317)),IF(Q316=0,1,0),0)</f>
        <v>1</v>
      </c>
      <c r="S317" s="56" t="n">
        <f aca="false">R317*(B317&gt;=Train_Start)*(B317&lt;=Train_End)</f>
        <v>1</v>
      </c>
      <c r="T317" s="84" t="n">
        <f aca="false">IF(AND(ISNUMBER(O317),ISNUMBER(P317)),Coef_A+Coef_B1*O317+Coef_B2*P317,"")</f>
        <v>16.2060749930489</v>
      </c>
      <c r="U317" s="84" t="n">
        <f aca="false">IF(AND(R317=1,ISNUMBER(T317)),E317-T317,"")</f>
        <v>5.39392500695112</v>
      </c>
      <c r="V317" s="84" t="n">
        <f aca="false">IF(ISNUMBER(T317),T317,-99)</f>
        <v>16.2060749930489</v>
      </c>
      <c r="W317" s="84" t="n">
        <f aca="false">IF(ISNUMBER(U317),ABS(U317),"")</f>
        <v>5.39392500695112</v>
      </c>
    </row>
    <row r="318" customFormat="false" ht="15" hidden="false" customHeight="false" outlineLevel="0" collapsed="false">
      <c r="A318" s="57" t="n">
        <v>29717</v>
      </c>
      <c r="B318" s="56" t="n">
        <v>1981</v>
      </c>
      <c r="C318" s="56" t="n">
        <v>5</v>
      </c>
      <c r="D318" s="56" t="n">
        <v>11</v>
      </c>
      <c r="E318" s="56" t="n">
        <v>18.6</v>
      </c>
      <c r="F318" s="56" t="n">
        <v>0</v>
      </c>
      <c r="G318" s="56" t="n">
        <v>10.7</v>
      </c>
      <c r="H318" s="56" t="n">
        <v>0</v>
      </c>
      <c r="I318" s="56" t="n">
        <v>16.2</v>
      </c>
      <c r="J318" s="56" t="n">
        <v>0</v>
      </c>
      <c r="K318" s="56" t="n">
        <v>1000.7</v>
      </c>
      <c r="L318" s="56" t="n">
        <v>0</v>
      </c>
      <c r="M318" s="56" t="n">
        <v>84</v>
      </c>
      <c r="N318" s="56" t="n">
        <v>5.7</v>
      </c>
      <c r="O318" s="56" t="n">
        <f aca="false">IF(D318=1,"",E317)</f>
        <v>21.6</v>
      </c>
      <c r="P318" s="56" t="n">
        <f aca="false">IF(OR(D318=1,K317=""),"",K317)</f>
        <v>1004.1</v>
      </c>
      <c r="Q318" s="56" t="n">
        <f aca="false">IF(OR(F318&lt;&gt;0,AND(I318&lt;&gt;"",E318&lt;I318)),1,0)</f>
        <v>0</v>
      </c>
      <c r="R318" s="56" t="n">
        <f aca="false">IF(AND(D318&gt;1,Q318=0,ISNUMBER(O318),ISNUMBER(P318)),IF(Q317=0,1,0),0)</f>
        <v>1</v>
      </c>
      <c r="S318" s="56" t="n">
        <f aca="false">R318*(B318&gt;=Train_Start)*(B318&lt;=Train_End)</f>
        <v>1</v>
      </c>
      <c r="T318" s="84" t="n">
        <f aca="false">IF(AND(ISNUMBER(O318),ISNUMBER(P318)),Coef_A+Coef_B1*O318+Coef_B2*P318,"")</f>
        <v>21.2832131937059</v>
      </c>
      <c r="U318" s="84" t="n">
        <f aca="false">IF(AND(R318=1,ISNUMBER(T318)),E318-T318,"")</f>
        <v>-2.68321319370585</v>
      </c>
      <c r="V318" s="84" t="n">
        <f aca="false">IF(ISNUMBER(T318),T318,-99)</f>
        <v>21.2832131937059</v>
      </c>
      <c r="W318" s="84" t="n">
        <f aca="false">IF(ISNUMBER(U318),ABS(U318),"")</f>
        <v>2.68321319370585</v>
      </c>
    </row>
    <row r="319" customFormat="false" ht="15" hidden="false" customHeight="false" outlineLevel="0" collapsed="false">
      <c r="A319" s="57" t="n">
        <v>29718</v>
      </c>
      <c r="B319" s="56" t="n">
        <v>1981</v>
      </c>
      <c r="C319" s="56" t="n">
        <v>5</v>
      </c>
      <c r="D319" s="56" t="n">
        <v>12</v>
      </c>
      <c r="E319" s="56" t="n">
        <v>16.2</v>
      </c>
      <c r="F319" s="56" t="n">
        <v>0</v>
      </c>
      <c r="G319" s="56" t="n">
        <v>10</v>
      </c>
      <c r="H319" s="56" t="n">
        <v>0</v>
      </c>
      <c r="I319" s="56" t="n">
        <v>14.3</v>
      </c>
      <c r="J319" s="56" t="n">
        <v>0</v>
      </c>
      <c r="K319" s="56" t="n">
        <v>1003.1</v>
      </c>
      <c r="L319" s="56" t="n">
        <v>0</v>
      </c>
      <c r="M319" s="56" t="n">
        <v>83</v>
      </c>
      <c r="N319" s="56" t="n">
        <v>4.1</v>
      </c>
      <c r="O319" s="56" t="n">
        <f aca="false">IF(D319=1,"",E318)</f>
        <v>18.6</v>
      </c>
      <c r="P319" s="56" t="n">
        <f aca="false">IF(OR(D319=1,K318=""),"",K318)</f>
        <v>1000.7</v>
      </c>
      <c r="Q319" s="56" t="n">
        <f aca="false">IF(OR(F319&lt;&gt;0,AND(I319&lt;&gt;"",E319&lt;I319)),1,0)</f>
        <v>0</v>
      </c>
      <c r="R319" s="56" t="n">
        <f aca="false">IF(AND(D319&gt;1,Q319=0,ISNUMBER(O319),ISNUMBER(P319)),IF(Q318=0,1,0),0)</f>
        <v>1</v>
      </c>
      <c r="S319" s="56" t="n">
        <f aca="false">R319*(B319&gt;=Train_Start)*(B319&lt;=Train_End)</f>
        <v>1</v>
      </c>
      <c r="T319" s="84" t="n">
        <f aca="false">IF(AND(ISNUMBER(O319),ISNUMBER(P319)),Coef_A+Coef_B1*O319+Coef_B2*P319,"")</f>
        <v>18.7185379728223</v>
      </c>
      <c r="U319" s="84" t="n">
        <f aca="false">IF(AND(R319=1,ISNUMBER(T319)),E319-T319,"")</f>
        <v>-2.51853797282232</v>
      </c>
      <c r="V319" s="84" t="n">
        <f aca="false">IF(ISNUMBER(T319),T319,-99)</f>
        <v>18.7185379728223</v>
      </c>
      <c r="W319" s="84" t="n">
        <f aca="false">IF(ISNUMBER(U319),ABS(U319),"")</f>
        <v>2.51853797282232</v>
      </c>
    </row>
    <row r="320" customFormat="false" ht="15" hidden="false" customHeight="false" outlineLevel="0" collapsed="false">
      <c r="A320" s="57" t="n">
        <v>29719</v>
      </c>
      <c r="B320" s="56" t="n">
        <v>1981</v>
      </c>
      <c r="C320" s="56" t="n">
        <v>5</v>
      </c>
      <c r="D320" s="56" t="n">
        <v>13</v>
      </c>
      <c r="E320" s="56" t="n">
        <v>16.4</v>
      </c>
      <c r="F320" s="56" t="n">
        <v>0</v>
      </c>
      <c r="G320" s="56" t="n">
        <v>8.7</v>
      </c>
      <c r="H320" s="56" t="n">
        <v>0</v>
      </c>
      <c r="I320" s="56" t="n">
        <v>12.4</v>
      </c>
      <c r="J320" s="56" t="n">
        <v>0</v>
      </c>
      <c r="K320" s="56" t="n">
        <v>1005.5</v>
      </c>
      <c r="L320" s="56" t="n">
        <v>0</v>
      </c>
      <c r="M320" s="56" t="n">
        <v>79</v>
      </c>
      <c r="N320" s="56" t="n">
        <v>5.7</v>
      </c>
      <c r="O320" s="56" t="n">
        <f aca="false">IF(D320=1,"",E319)</f>
        <v>16.2</v>
      </c>
      <c r="P320" s="56" t="n">
        <f aca="false">IF(OR(D320=1,K319=""),"",K319)</f>
        <v>1003.1</v>
      </c>
      <c r="Q320" s="56" t="n">
        <f aca="false">IF(OR(F320&lt;&gt;0,AND(I320&lt;&gt;"",E320&lt;I320)),1,0)</f>
        <v>0</v>
      </c>
      <c r="R320" s="56" t="n">
        <f aca="false">IF(AND(D320&gt;1,Q320=0,ISNUMBER(O320),ISNUMBER(P320)),IF(Q319=0,1,0),0)</f>
        <v>1</v>
      </c>
      <c r="S320" s="56" t="n">
        <f aca="false">R320*(B320&gt;=Train_Start)*(B320&lt;=Train_End)</f>
        <v>1</v>
      </c>
      <c r="T320" s="84" t="n">
        <f aca="false">IF(AND(ISNUMBER(O320),ISNUMBER(P320)),Coef_A+Coef_B1*O320+Coef_B2*P320,"")</f>
        <v>16.8274116566415</v>
      </c>
      <c r="U320" s="84" t="n">
        <f aca="false">IF(AND(R320=1,ISNUMBER(T320)),E320-T320,"")</f>
        <v>-0.42741165664151</v>
      </c>
      <c r="V320" s="84" t="n">
        <f aca="false">IF(ISNUMBER(T320),T320,-99)</f>
        <v>16.8274116566415</v>
      </c>
      <c r="W320" s="84" t="n">
        <f aca="false">IF(ISNUMBER(U320),ABS(U320),"")</f>
        <v>0.42741165664151</v>
      </c>
    </row>
    <row r="321" customFormat="false" ht="15" hidden="false" customHeight="false" outlineLevel="0" collapsed="false">
      <c r="A321" s="57" t="n">
        <v>29720</v>
      </c>
      <c r="B321" s="56" t="n">
        <v>1981</v>
      </c>
      <c r="C321" s="56" t="n">
        <v>5</v>
      </c>
      <c r="D321" s="56" t="n">
        <v>14</v>
      </c>
      <c r="E321" s="56" t="n">
        <v>18.2</v>
      </c>
      <c r="F321" s="56" t="n">
        <v>0</v>
      </c>
      <c r="G321" s="56" t="n">
        <v>10.2</v>
      </c>
      <c r="H321" s="56" t="n">
        <v>0</v>
      </c>
      <c r="I321" s="56" t="n">
        <v>13.3</v>
      </c>
      <c r="J321" s="56" t="n">
        <v>0</v>
      </c>
      <c r="K321" s="56" t="n">
        <v>1012.2</v>
      </c>
      <c r="L321" s="56" t="n">
        <v>0</v>
      </c>
      <c r="M321" s="56" t="n">
        <v>72</v>
      </c>
      <c r="N321" s="56" t="n">
        <v>5.4</v>
      </c>
      <c r="O321" s="56" t="n">
        <f aca="false">IF(D321=1,"",E320)</f>
        <v>16.4</v>
      </c>
      <c r="P321" s="56" t="n">
        <f aca="false">IF(OR(D321=1,K320=""),"",K320)</f>
        <v>1005.5</v>
      </c>
      <c r="Q321" s="56" t="n">
        <f aca="false">IF(OR(F321&lt;&gt;0,AND(I321&lt;&gt;"",E321&lt;I321)),1,0)</f>
        <v>0</v>
      </c>
      <c r="R321" s="56" t="n">
        <f aca="false">IF(AND(D321&gt;1,Q321=0,ISNUMBER(O321),ISNUMBER(P321)),IF(Q320=0,1,0),0)</f>
        <v>1</v>
      </c>
      <c r="S321" s="56" t="n">
        <f aca="false">R321*(B321&gt;=Train_Start)*(B321&lt;=Train_End)</f>
        <v>1</v>
      </c>
      <c r="T321" s="84" t="n">
        <f aca="false">IF(AND(ISNUMBER(O321),ISNUMBER(P321)),Coef_A+Coef_B1*O321+Coef_B2*P321,"")</f>
        <v>17.0665672423716</v>
      </c>
      <c r="U321" s="84" t="n">
        <f aca="false">IF(AND(R321=1,ISNUMBER(T321)),E321-T321,"")</f>
        <v>1.13343275762838</v>
      </c>
      <c r="V321" s="84" t="n">
        <f aca="false">IF(ISNUMBER(T321),T321,-99)</f>
        <v>17.0665672423716</v>
      </c>
      <c r="W321" s="84" t="n">
        <f aca="false">IF(ISNUMBER(U321),ABS(U321),"")</f>
        <v>1.13343275762838</v>
      </c>
    </row>
    <row r="322" customFormat="false" ht="15" hidden="false" customHeight="false" outlineLevel="0" collapsed="false">
      <c r="A322" s="57" t="n">
        <v>29721</v>
      </c>
      <c r="B322" s="56" t="n">
        <v>1981</v>
      </c>
      <c r="C322" s="56" t="n">
        <v>5</v>
      </c>
      <c r="D322" s="56" t="n">
        <v>15</v>
      </c>
      <c r="E322" s="56" t="n">
        <v>15.1</v>
      </c>
      <c r="F322" s="56" t="n">
        <v>0</v>
      </c>
      <c r="G322" s="56" t="n">
        <v>7</v>
      </c>
      <c r="H322" s="56" t="n">
        <v>0</v>
      </c>
      <c r="I322" s="56" t="n">
        <v>12.6</v>
      </c>
      <c r="J322" s="56" t="n">
        <v>0</v>
      </c>
      <c r="K322" s="56" t="n">
        <v>1013</v>
      </c>
      <c r="L322" s="56" t="n">
        <v>0</v>
      </c>
      <c r="M322" s="56" t="n">
        <v>72</v>
      </c>
      <c r="N322" s="56" t="n">
        <v>9.6</v>
      </c>
      <c r="O322" s="56" t="n">
        <f aca="false">IF(D322=1,"",E321)</f>
        <v>18.2</v>
      </c>
      <c r="P322" s="56" t="n">
        <f aca="false">IF(OR(D322=1,K321=""),"",K321)</f>
        <v>1012.2</v>
      </c>
      <c r="Q322" s="56" t="n">
        <f aca="false">IF(OR(F322&lt;&gt;0,AND(I322&lt;&gt;"",E322&lt;I322)),1,0)</f>
        <v>0</v>
      </c>
      <c r="R322" s="56" t="n">
        <f aca="false">IF(AND(D322&gt;1,Q322=0,ISNUMBER(O322),ISNUMBER(P322)),IF(Q321=0,1,0),0)</f>
        <v>1</v>
      </c>
      <c r="S322" s="56" t="n">
        <f aca="false">R322*(B322&gt;=Train_Start)*(B322&lt;=Train_End)</f>
        <v>1</v>
      </c>
      <c r="T322" s="84" t="n">
        <f aca="false">IF(AND(ISNUMBER(O322),ISNUMBER(P322)),Coef_A+Coef_B1*O322+Coef_B2*P322,"")</f>
        <v>18.7515560838961</v>
      </c>
      <c r="U322" s="84" t="n">
        <f aca="false">IF(AND(R322=1,ISNUMBER(T322)),E322-T322,"")</f>
        <v>-3.65155608389613</v>
      </c>
      <c r="V322" s="84" t="n">
        <f aca="false">IF(ISNUMBER(T322),T322,-99)</f>
        <v>18.7515560838961</v>
      </c>
      <c r="W322" s="84" t="n">
        <f aca="false">IF(ISNUMBER(U322),ABS(U322),"")</f>
        <v>3.65155608389613</v>
      </c>
    </row>
    <row r="323" customFormat="false" ht="15" hidden="false" customHeight="false" outlineLevel="0" collapsed="false">
      <c r="A323" s="57" t="n">
        <v>29722</v>
      </c>
      <c r="B323" s="56" t="n">
        <v>1981</v>
      </c>
      <c r="C323" s="56" t="n">
        <v>5</v>
      </c>
      <c r="D323" s="56" t="n">
        <v>16</v>
      </c>
      <c r="E323" s="56" t="n">
        <v>14</v>
      </c>
      <c r="F323" s="56" t="n">
        <v>0</v>
      </c>
      <c r="G323" s="56" t="n">
        <v>9</v>
      </c>
      <c r="H323" s="56" t="n">
        <v>0</v>
      </c>
      <c r="I323" s="56" t="n">
        <v>12</v>
      </c>
      <c r="J323" s="56" t="n">
        <v>0</v>
      </c>
      <c r="K323" s="56" t="n">
        <v>1006.8</v>
      </c>
      <c r="L323" s="56" t="n">
        <v>0</v>
      </c>
      <c r="M323" s="56" t="n">
        <v>79</v>
      </c>
      <c r="N323" s="56" t="n">
        <v>6.1</v>
      </c>
      <c r="O323" s="56" t="n">
        <f aca="false">IF(D323=1,"",E322)</f>
        <v>15.1</v>
      </c>
      <c r="P323" s="56" t="n">
        <f aca="false">IF(OR(D323=1,K322=""),"",K322)</f>
        <v>1013</v>
      </c>
      <c r="Q323" s="56" t="n">
        <f aca="false">IF(OR(F323&lt;&gt;0,AND(I323&lt;&gt;"",E323&lt;I323)),1,0)</f>
        <v>0</v>
      </c>
      <c r="R323" s="56" t="n">
        <f aca="false">IF(AND(D323&gt;1,Q323=0,ISNUMBER(O323),ISNUMBER(P323)),IF(Q322=0,1,0),0)</f>
        <v>1</v>
      </c>
      <c r="S323" s="56" t="n">
        <f aca="false">R323*(B323&gt;=Train_Start)*(B323&lt;=Train_End)</f>
        <v>1</v>
      </c>
      <c r="T323" s="84" t="n">
        <f aca="false">IF(AND(ISNUMBER(O323),ISNUMBER(P323)),Coef_A+Coef_B1*O323+Coef_B2*P323,"")</f>
        <v>16.2367005011711</v>
      </c>
      <c r="U323" s="84" t="n">
        <f aca="false">IF(AND(R323=1,ISNUMBER(T323)),E323-T323,"")</f>
        <v>-2.23670050117108</v>
      </c>
      <c r="V323" s="84" t="n">
        <f aca="false">IF(ISNUMBER(T323),T323,-99)</f>
        <v>16.2367005011711</v>
      </c>
      <c r="W323" s="84" t="n">
        <f aca="false">IF(ISNUMBER(U323),ABS(U323),"")</f>
        <v>2.23670050117108</v>
      </c>
    </row>
    <row r="324" customFormat="false" ht="15" hidden="false" customHeight="false" outlineLevel="0" collapsed="false">
      <c r="A324" s="57" t="n">
        <v>29723</v>
      </c>
      <c r="B324" s="56" t="n">
        <v>1981</v>
      </c>
      <c r="C324" s="56" t="n">
        <v>5</v>
      </c>
      <c r="D324" s="56" t="n">
        <v>17</v>
      </c>
      <c r="E324" s="56" t="n">
        <v>15.6</v>
      </c>
      <c r="F324" s="56" t="n">
        <v>0</v>
      </c>
      <c r="G324" s="56" t="n">
        <v>8.4</v>
      </c>
      <c r="H324" s="56" t="n">
        <v>0</v>
      </c>
      <c r="I324" s="56" t="n">
        <v>11.2</v>
      </c>
      <c r="J324" s="56" t="n">
        <v>0</v>
      </c>
      <c r="K324" s="56" t="n">
        <v>1008.2</v>
      </c>
      <c r="L324" s="56" t="n">
        <v>0</v>
      </c>
      <c r="M324" s="56" t="n">
        <v>82</v>
      </c>
      <c r="N324" s="56" t="n">
        <v>6.1</v>
      </c>
      <c r="O324" s="56" t="n">
        <f aca="false">IF(D324=1,"",E323)</f>
        <v>14</v>
      </c>
      <c r="P324" s="56" t="n">
        <f aca="false">IF(OR(D324=1,K323=""),"",K323)</f>
        <v>1006.8</v>
      </c>
      <c r="Q324" s="56" t="n">
        <f aca="false">IF(OR(F324&lt;&gt;0,AND(I324&lt;&gt;"",E324&lt;I324)),1,0)</f>
        <v>0</v>
      </c>
      <c r="R324" s="56" t="n">
        <f aca="false">IF(AND(D324&gt;1,Q324=0,ISNUMBER(O324),ISNUMBER(P324)),IF(Q323=0,1,0),0)</f>
        <v>1</v>
      </c>
      <c r="S324" s="56" t="n">
        <f aca="false">R324*(B324&gt;=Train_Start)*(B324&lt;=Train_End)</f>
        <v>1</v>
      </c>
      <c r="T324" s="84" t="n">
        <f aca="false">IF(AND(ISNUMBER(O324),ISNUMBER(P324)),Coef_A+Coef_B1*O324+Coef_B2*P324,"")</f>
        <v>15.1409340420934</v>
      </c>
      <c r="U324" s="84" t="n">
        <f aca="false">IF(AND(R324=1,ISNUMBER(T324)),E324-T324,"")</f>
        <v>0.459065957906576</v>
      </c>
      <c r="V324" s="84" t="n">
        <f aca="false">IF(ISNUMBER(T324),T324,-99)</f>
        <v>15.1409340420934</v>
      </c>
      <c r="W324" s="84" t="n">
        <f aca="false">IF(ISNUMBER(U324),ABS(U324),"")</f>
        <v>0.459065957906576</v>
      </c>
    </row>
    <row r="325" customFormat="false" ht="15" hidden="false" customHeight="false" outlineLevel="0" collapsed="false">
      <c r="A325" s="57" t="n">
        <v>29724</v>
      </c>
      <c r="B325" s="56" t="n">
        <v>1981</v>
      </c>
      <c r="C325" s="56" t="n">
        <v>5</v>
      </c>
      <c r="D325" s="56" t="n">
        <v>18</v>
      </c>
      <c r="E325" s="56" t="n">
        <v>18.5</v>
      </c>
      <c r="F325" s="56" t="n">
        <v>0</v>
      </c>
      <c r="G325" s="56" t="n">
        <v>6.2</v>
      </c>
      <c r="H325" s="56" t="n">
        <v>0</v>
      </c>
      <c r="I325" s="56" t="n">
        <v>10.9</v>
      </c>
      <c r="J325" s="56" t="n">
        <v>0</v>
      </c>
      <c r="K325" s="56" t="n">
        <v>1012.8</v>
      </c>
      <c r="L325" s="56" t="n">
        <v>0</v>
      </c>
      <c r="M325" s="56" t="n">
        <v>89</v>
      </c>
      <c r="N325" s="56" t="n">
        <v>0</v>
      </c>
      <c r="O325" s="56" t="n">
        <f aca="false">IF(D325=1,"",E324)</f>
        <v>15.6</v>
      </c>
      <c r="P325" s="56" t="n">
        <f aca="false">IF(OR(D325=1,K324=""),"",K324)</f>
        <v>1008.2</v>
      </c>
      <c r="Q325" s="56" t="n">
        <f aca="false">IF(OR(F325&lt;&gt;0,AND(I325&lt;&gt;"",E325&lt;I325)),1,0)</f>
        <v>0</v>
      </c>
      <c r="R325" s="56" t="n">
        <f aca="false">IF(AND(D325&gt;1,Q325=0,ISNUMBER(O325),ISNUMBER(P325)),IF(Q324=0,1,0),0)</f>
        <v>1</v>
      </c>
      <c r="S325" s="56" t="n">
        <f aca="false">R325*(B325&gt;=Train_Start)*(B325&lt;=Train_End)</f>
        <v>1</v>
      </c>
      <c r="T325" s="84" t="n">
        <f aca="false">IF(AND(ISNUMBER(O325),ISNUMBER(P325)),Coef_A+Coef_B1*O325+Coef_B2*P325,"")</f>
        <v>16.4957946034493</v>
      </c>
      <c r="U325" s="84" t="n">
        <f aca="false">IF(AND(R325=1,ISNUMBER(T325)),E325-T325,"")</f>
        <v>2.00420539655074</v>
      </c>
      <c r="V325" s="84" t="n">
        <f aca="false">IF(ISNUMBER(T325),T325,-99)</f>
        <v>16.4957946034493</v>
      </c>
      <c r="W325" s="84" t="n">
        <f aca="false">IF(ISNUMBER(U325),ABS(U325),"")</f>
        <v>2.00420539655074</v>
      </c>
    </row>
    <row r="326" customFormat="false" ht="15" hidden="false" customHeight="false" outlineLevel="0" collapsed="false">
      <c r="A326" s="57" t="n">
        <v>29725</v>
      </c>
      <c r="B326" s="56" t="n">
        <v>1981</v>
      </c>
      <c r="C326" s="56" t="n">
        <v>5</v>
      </c>
      <c r="D326" s="56" t="n">
        <v>19</v>
      </c>
      <c r="E326" s="56" t="n">
        <v>21.7</v>
      </c>
      <c r="F326" s="56" t="n">
        <v>0</v>
      </c>
      <c r="G326" s="56" t="n">
        <v>10.5</v>
      </c>
      <c r="H326" s="56" t="n">
        <v>0</v>
      </c>
      <c r="I326" s="56" t="n">
        <v>14.5</v>
      </c>
      <c r="J326" s="56" t="n">
        <v>0</v>
      </c>
      <c r="K326" s="56" t="n">
        <v>1016.3</v>
      </c>
      <c r="L326" s="56" t="n">
        <v>0</v>
      </c>
      <c r="M326" s="56" t="n">
        <v>85</v>
      </c>
      <c r="N326" s="56" t="n">
        <v>2.1</v>
      </c>
      <c r="O326" s="56" t="n">
        <f aca="false">IF(D326=1,"",E325)</f>
        <v>18.5</v>
      </c>
      <c r="P326" s="56" t="n">
        <f aca="false">IF(OR(D326=1,K325=""),"",K325)</f>
        <v>1012.8</v>
      </c>
      <c r="Q326" s="56" t="n">
        <f aca="false">IF(OR(F326&lt;&gt;0,AND(I326&lt;&gt;"",E326&lt;I326)),1,0)</f>
        <v>0</v>
      </c>
      <c r="R326" s="56" t="n">
        <f aca="false">IF(AND(D326&gt;1,Q326=0,ISNUMBER(O326),ISNUMBER(P326)),IF(Q325=0,1,0),0)</f>
        <v>1</v>
      </c>
      <c r="S326" s="56" t="n">
        <f aca="false">R326*(B326&gt;=Train_Start)*(B326&lt;=Train_End)</f>
        <v>1</v>
      </c>
      <c r="T326" s="84" t="n">
        <f aca="false">IF(AND(ISNUMBER(O326),ISNUMBER(P326)),Coef_A+Coef_B1*O326+Coef_B2*P326,"")</f>
        <v>19.0161797785893</v>
      </c>
      <c r="U326" s="84" t="n">
        <f aca="false">IF(AND(R326=1,ISNUMBER(T326)),E326-T326,"")</f>
        <v>2.68382022141068</v>
      </c>
      <c r="V326" s="84" t="n">
        <f aca="false">IF(ISNUMBER(T326),T326,-99)</f>
        <v>19.0161797785893</v>
      </c>
      <c r="W326" s="84" t="n">
        <f aca="false">IF(ISNUMBER(U326),ABS(U326),"")</f>
        <v>2.68382022141068</v>
      </c>
    </row>
    <row r="327" customFormat="false" ht="15" hidden="false" customHeight="false" outlineLevel="0" collapsed="false">
      <c r="A327" s="57" t="n">
        <v>29726</v>
      </c>
      <c r="B327" s="56" t="n">
        <v>1981</v>
      </c>
      <c r="C327" s="56" t="n">
        <v>5</v>
      </c>
      <c r="D327" s="56" t="n">
        <v>20</v>
      </c>
      <c r="E327" s="56" t="n">
        <v>17.7</v>
      </c>
      <c r="F327" s="56" t="n">
        <v>0</v>
      </c>
      <c r="G327" s="56" t="n">
        <v>12</v>
      </c>
      <c r="H327" s="56" t="n">
        <v>0</v>
      </c>
      <c r="I327" s="56" t="n">
        <v>16.8</v>
      </c>
      <c r="J327" s="56" t="n">
        <v>0</v>
      </c>
      <c r="K327" s="56" t="n">
        <v>1013.5</v>
      </c>
      <c r="L327" s="56" t="n">
        <v>0</v>
      </c>
      <c r="M327" s="56" t="n">
        <v>82</v>
      </c>
      <c r="N327" s="56" t="n">
        <v>2.6</v>
      </c>
      <c r="O327" s="56" t="n">
        <f aca="false">IF(D327=1,"",E326)</f>
        <v>21.7</v>
      </c>
      <c r="P327" s="56" t="n">
        <f aca="false">IF(OR(D327=1,K326=""),"",K326)</f>
        <v>1016.3</v>
      </c>
      <c r="Q327" s="56" t="n">
        <f aca="false">IF(OR(F327&lt;&gt;0,AND(I327&lt;&gt;"",E327&lt;I327)),1,0)</f>
        <v>0</v>
      </c>
      <c r="R327" s="56" t="n">
        <f aca="false">IF(AND(D327&gt;1,Q327=0,ISNUMBER(O327),ISNUMBER(P327)),IF(Q326=0,1,0),0)</f>
        <v>1</v>
      </c>
      <c r="S327" s="56" t="n">
        <f aca="false">R327*(B327&gt;=Train_Start)*(B327&lt;=Train_End)</f>
        <v>1</v>
      </c>
      <c r="T327" s="84" t="n">
        <f aca="false">IF(AND(ISNUMBER(O327),ISNUMBER(P327)),Coef_A+Coef_B1*O327+Coef_B2*P327,"")</f>
        <v>21.7478598275448</v>
      </c>
      <c r="U327" s="84" t="n">
        <f aca="false">IF(AND(R327=1,ISNUMBER(T327)),E327-T327,"")</f>
        <v>-4.04785982754479</v>
      </c>
      <c r="V327" s="84" t="n">
        <f aca="false">IF(ISNUMBER(T327),T327,-99)</f>
        <v>21.7478598275448</v>
      </c>
      <c r="W327" s="84" t="n">
        <f aca="false">IF(ISNUMBER(U327),ABS(U327),"")</f>
        <v>4.04785982754479</v>
      </c>
    </row>
    <row r="328" customFormat="false" ht="15" hidden="false" customHeight="false" outlineLevel="0" collapsed="false">
      <c r="A328" s="57" t="n">
        <v>29727</v>
      </c>
      <c r="B328" s="56" t="n">
        <v>1981</v>
      </c>
      <c r="C328" s="56" t="n">
        <v>5</v>
      </c>
      <c r="D328" s="56" t="n">
        <v>21</v>
      </c>
      <c r="E328" s="56" t="n">
        <v>16.6</v>
      </c>
      <c r="F328" s="56" t="n">
        <v>0</v>
      </c>
      <c r="G328" s="56" t="n">
        <v>10.1</v>
      </c>
      <c r="H328" s="56" t="n">
        <v>0</v>
      </c>
      <c r="I328" s="56" t="n">
        <v>13.9</v>
      </c>
      <c r="J328" s="56" t="n">
        <v>0</v>
      </c>
      <c r="K328" s="56" t="n">
        <v>1014.8</v>
      </c>
      <c r="L328" s="56" t="n">
        <v>0</v>
      </c>
      <c r="M328" s="56" t="n">
        <v>87</v>
      </c>
      <c r="N328" s="56" t="n">
        <v>2.2</v>
      </c>
      <c r="O328" s="56" t="n">
        <f aca="false">IF(D328=1,"",E327)</f>
        <v>17.7</v>
      </c>
      <c r="P328" s="56" t="n">
        <f aca="false">IF(OR(D328=1,K327=""),"",K327)</f>
        <v>1013.5</v>
      </c>
      <c r="Q328" s="56" t="n">
        <f aca="false">IF(OR(F328&lt;&gt;0,AND(I328&lt;&gt;"",E328&lt;I328)),1,0)</f>
        <v>0</v>
      </c>
      <c r="R328" s="56" t="n">
        <f aca="false">IF(AND(D328&gt;1,Q328=0,ISNUMBER(O328),ISNUMBER(P328)),IF(Q327=0,1,0),0)</f>
        <v>1</v>
      </c>
      <c r="S328" s="56" t="n">
        <f aca="false">R328*(B328&gt;=Train_Start)*(B328&lt;=Train_End)</f>
        <v>1</v>
      </c>
      <c r="T328" s="84" t="n">
        <f aca="false">IF(AND(ISNUMBER(O328),ISNUMBER(P328)),Coef_A+Coef_B1*O328+Coef_B2*P328,"")</f>
        <v>18.382667350399</v>
      </c>
      <c r="U328" s="84" t="n">
        <f aca="false">IF(AND(R328=1,ISNUMBER(T328)),E328-T328,"")</f>
        <v>-1.78266735039898</v>
      </c>
      <c r="V328" s="84" t="n">
        <f aca="false">IF(ISNUMBER(T328),T328,-99)</f>
        <v>18.382667350399</v>
      </c>
      <c r="W328" s="84" t="n">
        <f aca="false">IF(ISNUMBER(U328),ABS(U328),"")</f>
        <v>1.78266735039898</v>
      </c>
    </row>
    <row r="329" customFormat="false" ht="15" hidden="false" customHeight="false" outlineLevel="0" collapsed="false">
      <c r="A329" s="57" t="n">
        <v>29728</v>
      </c>
      <c r="B329" s="56" t="n">
        <v>1981</v>
      </c>
      <c r="C329" s="56" t="n">
        <v>5</v>
      </c>
      <c r="D329" s="56" t="n">
        <v>22</v>
      </c>
      <c r="E329" s="56" t="n">
        <v>14.6</v>
      </c>
      <c r="F329" s="56" t="n">
        <v>0</v>
      </c>
      <c r="G329" s="56" t="n">
        <v>8.3</v>
      </c>
      <c r="H329" s="56" t="n">
        <v>0</v>
      </c>
      <c r="I329" s="56" t="n">
        <v>12.4</v>
      </c>
      <c r="J329" s="56" t="n">
        <v>0</v>
      </c>
      <c r="K329" s="56" t="n">
        <v>1015.4</v>
      </c>
      <c r="L329" s="56" t="n">
        <v>0</v>
      </c>
      <c r="M329" s="56" t="n">
        <v>76</v>
      </c>
      <c r="N329" s="56" t="n">
        <v>7.4</v>
      </c>
      <c r="O329" s="56" t="n">
        <f aca="false">IF(D329=1,"",E328)</f>
        <v>16.6</v>
      </c>
      <c r="P329" s="56" t="n">
        <f aca="false">IF(OR(D329=1,K328=""),"",K328)</f>
        <v>1014.8</v>
      </c>
      <c r="Q329" s="56" t="n">
        <f aca="false">IF(OR(F329&lt;&gt;0,AND(I329&lt;&gt;"",E329&lt;I329)),1,0)</f>
        <v>0</v>
      </c>
      <c r="R329" s="56" t="n">
        <f aca="false">IF(AND(D329&gt;1,Q329=0,ISNUMBER(O329),ISNUMBER(P329)),IF(Q328=0,1,0),0)</f>
        <v>1</v>
      </c>
      <c r="S329" s="56" t="n">
        <f aca="false">R329*(B329&gt;=Train_Start)*(B329&lt;=Train_End)</f>
        <v>1</v>
      </c>
      <c r="T329" s="84" t="n">
        <f aca="false">IF(AND(ISNUMBER(O329),ISNUMBER(P329)),Coef_A+Coef_B1*O329+Coef_B2*P329,"")</f>
        <v>17.5221751010763</v>
      </c>
      <c r="U329" s="84" t="n">
        <f aca="false">IF(AND(R329=1,ISNUMBER(T329)),E329-T329,"")</f>
        <v>-2.92217510107625</v>
      </c>
      <c r="V329" s="84" t="n">
        <f aca="false">IF(ISNUMBER(T329),T329,-99)</f>
        <v>17.5221751010763</v>
      </c>
      <c r="W329" s="84" t="n">
        <f aca="false">IF(ISNUMBER(U329),ABS(U329),"")</f>
        <v>2.92217510107625</v>
      </c>
    </row>
    <row r="330" customFormat="false" ht="15" hidden="false" customHeight="false" outlineLevel="0" collapsed="false">
      <c r="A330" s="57" t="n">
        <v>29729</v>
      </c>
      <c r="B330" s="56" t="n">
        <v>1981</v>
      </c>
      <c r="C330" s="56" t="n">
        <v>5</v>
      </c>
      <c r="D330" s="56" t="n">
        <v>23</v>
      </c>
      <c r="E330" s="56" t="n">
        <v>15.2</v>
      </c>
      <c r="F330" s="56" t="n">
        <v>0</v>
      </c>
      <c r="G330" s="56" t="n">
        <v>10.7</v>
      </c>
      <c r="H330" s="56" t="n">
        <v>0</v>
      </c>
      <c r="I330" s="56" t="n">
        <v>12.6</v>
      </c>
      <c r="J330" s="56" t="n">
        <v>0</v>
      </c>
      <c r="K330" s="56" t="n">
        <v>1010</v>
      </c>
      <c r="L330" s="56" t="n">
        <v>0</v>
      </c>
      <c r="M330" s="56" t="n">
        <v>88</v>
      </c>
      <c r="N330" s="56" t="n">
        <v>1.3</v>
      </c>
      <c r="O330" s="56" t="n">
        <f aca="false">IF(D330=1,"",E329)</f>
        <v>14.6</v>
      </c>
      <c r="P330" s="56" t="n">
        <f aca="false">IF(OR(D330=1,K329=""),"",K329)</f>
        <v>1015.4</v>
      </c>
      <c r="Q330" s="56" t="n">
        <f aca="false">IF(OR(F330&lt;&gt;0,AND(I330&lt;&gt;"",E330&lt;I330)),1,0)</f>
        <v>0</v>
      </c>
      <c r="R330" s="56" t="n">
        <f aca="false">IF(AND(D330&gt;1,Q330=0,ISNUMBER(O330),ISNUMBER(P330)),IF(Q329=0,1,0),0)</f>
        <v>1</v>
      </c>
      <c r="S330" s="56" t="n">
        <f aca="false">R330*(B330&gt;=Train_Start)*(B330&lt;=Train_End)</f>
        <v>1</v>
      </c>
      <c r="T330" s="84" t="n">
        <f aca="false">IF(AND(ISNUMBER(O330),ISNUMBER(P330)),Coef_A+Coef_B1*O330+Coef_B2*P330,"")</f>
        <v>15.9023186517713</v>
      </c>
      <c r="U330" s="84" t="n">
        <f aca="false">IF(AND(R330=1,ISNUMBER(T330)),E330-T330,"")</f>
        <v>-0.702318651771329</v>
      </c>
      <c r="V330" s="84" t="n">
        <f aca="false">IF(ISNUMBER(T330),T330,-99)</f>
        <v>15.9023186517713</v>
      </c>
      <c r="W330" s="84" t="n">
        <f aca="false">IF(ISNUMBER(U330),ABS(U330),"")</f>
        <v>0.702318651771329</v>
      </c>
    </row>
    <row r="331" customFormat="false" ht="15" hidden="false" customHeight="false" outlineLevel="0" collapsed="false">
      <c r="A331" s="57" t="n">
        <v>29730</v>
      </c>
      <c r="B331" s="56" t="n">
        <v>1981</v>
      </c>
      <c r="C331" s="56" t="n">
        <v>5</v>
      </c>
      <c r="D331" s="56" t="n">
        <v>24</v>
      </c>
      <c r="E331" s="56" t="n">
        <v>13</v>
      </c>
      <c r="F331" s="56" t="n">
        <v>0</v>
      </c>
      <c r="G331" s="56" t="n">
        <v>7.4</v>
      </c>
      <c r="H331" s="56" t="n">
        <v>0</v>
      </c>
      <c r="I331" s="56" t="n">
        <v>11.3</v>
      </c>
      <c r="J331" s="56" t="n">
        <v>0</v>
      </c>
      <c r="K331" s="56" t="n">
        <v>1008</v>
      </c>
      <c r="L331" s="56" t="n">
        <v>0</v>
      </c>
      <c r="M331" s="56" t="n">
        <v>79</v>
      </c>
      <c r="N331" s="56" t="n">
        <v>8.7</v>
      </c>
      <c r="O331" s="56" t="n">
        <f aca="false">IF(D331=1,"",E330)</f>
        <v>15.2</v>
      </c>
      <c r="P331" s="56" t="n">
        <f aca="false">IF(OR(D331=1,K330=""),"",K330)</f>
        <v>1010</v>
      </c>
      <c r="Q331" s="56" t="n">
        <f aca="false">IF(OR(F331&lt;&gt;0,AND(I331&lt;&gt;"",E331&lt;I331)),1,0)</f>
        <v>0</v>
      </c>
      <c r="R331" s="56" t="n">
        <f aca="false">IF(AND(D331&gt;1,Q331=0,ISNUMBER(O331),ISNUMBER(P331)),IF(Q330=0,1,0),0)</f>
        <v>1</v>
      </c>
      <c r="S331" s="56" t="n">
        <f aca="false">R331*(B331&gt;=Train_Start)*(B331&lt;=Train_End)</f>
        <v>1</v>
      </c>
      <c r="T331" s="84" t="n">
        <f aca="false">IF(AND(ISNUMBER(O331),ISNUMBER(P331)),Coef_A+Coef_B1*O331+Coef_B2*P331,"")</f>
        <v>16.2245247365734</v>
      </c>
      <c r="U331" s="84" t="n">
        <f aca="false">IF(AND(R331=1,ISNUMBER(T331)),E331-T331,"")</f>
        <v>-3.22452473657338</v>
      </c>
      <c r="V331" s="84" t="n">
        <f aca="false">IF(ISNUMBER(T331),T331,-99)</f>
        <v>16.2245247365734</v>
      </c>
      <c r="W331" s="84" t="n">
        <f aca="false">IF(ISNUMBER(U331),ABS(U331),"")</f>
        <v>3.22452473657338</v>
      </c>
    </row>
    <row r="332" customFormat="false" ht="15" hidden="false" customHeight="false" outlineLevel="0" collapsed="false">
      <c r="A332" s="57" t="n">
        <v>29731</v>
      </c>
      <c r="B332" s="56" t="n">
        <v>1981</v>
      </c>
      <c r="C332" s="56" t="n">
        <v>5</v>
      </c>
      <c r="D332" s="56" t="n">
        <v>25</v>
      </c>
      <c r="E332" s="56" t="n">
        <v>15.4</v>
      </c>
      <c r="F332" s="56" t="n">
        <v>0</v>
      </c>
      <c r="G332" s="56" t="n">
        <v>7.5</v>
      </c>
      <c r="H332" s="56" t="n">
        <v>0</v>
      </c>
      <c r="I332" s="56" t="n">
        <v>10.2</v>
      </c>
      <c r="J332" s="56" t="n">
        <v>0</v>
      </c>
      <c r="K332" s="56" t="n">
        <v>1000.6</v>
      </c>
      <c r="L332" s="56" t="n">
        <v>0</v>
      </c>
      <c r="M332" s="56" t="n">
        <v>91</v>
      </c>
      <c r="N332" s="56" t="n">
        <v>0.4</v>
      </c>
      <c r="O332" s="56" t="n">
        <f aca="false">IF(D332=1,"",E331)</f>
        <v>13</v>
      </c>
      <c r="P332" s="56" t="n">
        <f aca="false">IF(OR(D332=1,K331=""),"",K331)</f>
        <v>1008</v>
      </c>
      <c r="Q332" s="56" t="n">
        <f aca="false">IF(OR(F332&lt;&gt;0,AND(I332&lt;&gt;"",E332&lt;I332)),1,0)</f>
        <v>0</v>
      </c>
      <c r="R332" s="56" t="n">
        <f aca="false">IF(AND(D332&gt;1,Q332=0,ISNUMBER(O332),ISNUMBER(P332)),IF(Q331=0,1,0),0)</f>
        <v>1</v>
      </c>
      <c r="S332" s="56" t="n">
        <f aca="false">R332*(B332&gt;=Train_Start)*(B332&lt;=Train_End)</f>
        <v>1</v>
      </c>
      <c r="T332" s="84" t="n">
        <f aca="false">IF(AND(ISNUMBER(O332),ISNUMBER(P332)),Coef_A+Coef_B1*O332+Coef_B2*P332,"")</f>
        <v>14.3592387226116</v>
      </c>
      <c r="U332" s="84" t="n">
        <f aca="false">IF(AND(R332=1,ISNUMBER(T332)),E332-T332,"")</f>
        <v>1.04076127738844</v>
      </c>
      <c r="V332" s="84" t="n">
        <f aca="false">IF(ISNUMBER(T332),T332,-99)</f>
        <v>14.3592387226116</v>
      </c>
      <c r="W332" s="84" t="n">
        <f aca="false">IF(ISNUMBER(U332),ABS(U332),"")</f>
        <v>1.04076127738844</v>
      </c>
    </row>
    <row r="333" customFormat="false" ht="15" hidden="false" customHeight="false" outlineLevel="0" collapsed="false">
      <c r="A333" s="57" t="n">
        <v>29732</v>
      </c>
      <c r="B333" s="56" t="n">
        <v>1981</v>
      </c>
      <c r="C333" s="56" t="n">
        <v>5</v>
      </c>
      <c r="D333" s="56" t="n">
        <v>26</v>
      </c>
      <c r="E333" s="56" t="n">
        <v>16.4</v>
      </c>
      <c r="F333" s="56" t="n">
        <v>0</v>
      </c>
      <c r="G333" s="56" t="n">
        <v>6.2</v>
      </c>
      <c r="H333" s="56" t="n">
        <v>0</v>
      </c>
      <c r="I333" s="56" t="n">
        <v>10.8</v>
      </c>
      <c r="J333" s="56" t="n">
        <v>0</v>
      </c>
      <c r="K333" s="56" t="n">
        <v>1003.2</v>
      </c>
      <c r="L333" s="56" t="n">
        <v>0</v>
      </c>
      <c r="M333" s="56" t="n">
        <v>86</v>
      </c>
      <c r="N333" s="56" t="n">
        <v>3.2</v>
      </c>
      <c r="O333" s="56" t="n">
        <f aca="false">IF(D333=1,"",E332)</f>
        <v>15.4</v>
      </c>
      <c r="P333" s="56" t="n">
        <f aca="false">IF(OR(D333=1,K332=""),"",K332)</f>
        <v>1000.6</v>
      </c>
      <c r="Q333" s="56" t="n">
        <f aca="false">IF(OR(F333&lt;&gt;0,AND(I333&lt;&gt;"",E333&lt;I333)),1,0)</f>
        <v>0</v>
      </c>
      <c r="R333" s="56" t="n">
        <f aca="false">IF(AND(D333&gt;1,Q333=0,ISNUMBER(O333),ISNUMBER(P333)),IF(Q332=0,1,0),0)</f>
        <v>1</v>
      </c>
      <c r="S333" s="56" t="n">
        <f aca="false">R333*(B333&gt;=Train_Start)*(B333&lt;=Train_End)</f>
        <v>1</v>
      </c>
      <c r="T333" s="84" t="n">
        <f aca="false">IF(AND(ISNUMBER(O333),ISNUMBER(P333)),Coef_A+Coef_B1*O333+Coef_B2*P333,"")</f>
        <v>16.0935155656224</v>
      </c>
      <c r="U333" s="84" t="n">
        <f aca="false">IF(AND(R333=1,ISNUMBER(T333)),E333-T333,"")</f>
        <v>0.306484434377587</v>
      </c>
      <c r="V333" s="84" t="n">
        <f aca="false">IF(ISNUMBER(T333),T333,-99)</f>
        <v>16.0935155656224</v>
      </c>
      <c r="W333" s="84" t="n">
        <f aca="false">IF(ISNUMBER(U333),ABS(U333),"")</f>
        <v>0.306484434377587</v>
      </c>
    </row>
    <row r="334" customFormat="false" ht="15" hidden="false" customHeight="false" outlineLevel="0" collapsed="false">
      <c r="A334" s="57" t="n">
        <v>29733</v>
      </c>
      <c r="B334" s="56" t="n">
        <v>1981</v>
      </c>
      <c r="C334" s="56" t="n">
        <v>5</v>
      </c>
      <c r="D334" s="56" t="n">
        <v>27</v>
      </c>
      <c r="E334" s="56" t="n">
        <v>15.7</v>
      </c>
      <c r="F334" s="56" t="n">
        <v>0</v>
      </c>
      <c r="G334" s="56" t="n">
        <v>8.1</v>
      </c>
      <c r="H334" s="56" t="n">
        <v>0</v>
      </c>
      <c r="I334" s="56" t="n">
        <v>12.2</v>
      </c>
      <c r="J334" s="56" t="n">
        <v>0</v>
      </c>
      <c r="K334" s="56" t="n">
        <v>1006.4</v>
      </c>
      <c r="L334" s="56" t="n">
        <v>0</v>
      </c>
      <c r="M334" s="56" t="n">
        <v>86</v>
      </c>
      <c r="N334" s="56" t="n">
        <v>2.8</v>
      </c>
      <c r="O334" s="56" t="n">
        <f aca="false">IF(D334=1,"",E333)</f>
        <v>16.4</v>
      </c>
      <c r="P334" s="56" t="n">
        <f aca="false">IF(OR(D334=1,K333=""),"",K333)</f>
        <v>1003.2</v>
      </c>
      <c r="Q334" s="56" t="n">
        <f aca="false">IF(OR(F334&lt;&gt;0,AND(I334&lt;&gt;"",E334&lt;I334)),1,0)</f>
        <v>0</v>
      </c>
      <c r="R334" s="56" t="n">
        <f aca="false">IF(AND(D334&gt;1,Q334=0,ISNUMBER(O334),ISNUMBER(P334)),IF(Q333=0,1,0),0)</f>
        <v>1</v>
      </c>
      <c r="S334" s="56" t="n">
        <f aca="false">R334*(B334&gt;=Train_Start)*(B334&lt;=Train_End)</f>
        <v>1</v>
      </c>
      <c r="T334" s="84" t="n">
        <f aca="false">IF(AND(ISNUMBER(O334),ISNUMBER(P334)),Coef_A+Coef_B1*O334+Coef_B2*P334,"")</f>
        <v>16.9944164847134</v>
      </c>
      <c r="U334" s="84" t="n">
        <f aca="false">IF(AND(R334=1,ISNUMBER(T334)),E334-T334,"")</f>
        <v>-1.29441648471344</v>
      </c>
      <c r="V334" s="84" t="n">
        <f aca="false">IF(ISNUMBER(T334),T334,-99)</f>
        <v>16.9944164847134</v>
      </c>
      <c r="W334" s="84" t="n">
        <f aca="false">IF(ISNUMBER(U334),ABS(U334),"")</f>
        <v>1.29441648471344</v>
      </c>
    </row>
    <row r="335" customFormat="false" ht="15" hidden="false" customHeight="false" outlineLevel="0" collapsed="false">
      <c r="A335" s="57" t="n">
        <v>29734</v>
      </c>
      <c r="B335" s="56" t="n">
        <v>1981</v>
      </c>
      <c r="C335" s="56" t="n">
        <v>5</v>
      </c>
      <c r="D335" s="56" t="n">
        <v>28</v>
      </c>
      <c r="E335" s="56" t="n">
        <v>16.8</v>
      </c>
      <c r="F335" s="56" t="n">
        <v>0</v>
      </c>
      <c r="G335" s="56" t="n">
        <v>9.4</v>
      </c>
      <c r="H335" s="56" t="n">
        <v>0</v>
      </c>
      <c r="I335" s="56" t="n">
        <v>12.6</v>
      </c>
      <c r="J335" s="56" t="n">
        <v>0</v>
      </c>
      <c r="K335" s="56" t="n">
        <v>1009.1</v>
      </c>
      <c r="L335" s="56" t="n">
        <v>0</v>
      </c>
      <c r="M335" s="56" t="n">
        <v>83</v>
      </c>
      <c r="N335" s="56" t="n">
        <v>4</v>
      </c>
      <c r="O335" s="56" t="n">
        <f aca="false">IF(D335=1,"",E334)</f>
        <v>15.7</v>
      </c>
      <c r="P335" s="56" t="n">
        <f aca="false">IF(OR(D335=1,K334=""),"",K334)</f>
        <v>1006.4</v>
      </c>
      <c r="Q335" s="56" t="n">
        <f aca="false">IF(OR(F335&lt;&gt;0,AND(I335&lt;&gt;"",E335&lt;I335)),1,0)</f>
        <v>0</v>
      </c>
      <c r="R335" s="56" t="n">
        <f aca="false">IF(AND(D335&gt;1,Q335=0,ISNUMBER(O335),ISNUMBER(P335)),IF(Q334=0,1,0),0)</f>
        <v>1</v>
      </c>
      <c r="S335" s="56" t="n">
        <f aca="false">R335*(B335&gt;=Train_Start)*(B335&lt;=Train_End)</f>
        <v>1</v>
      </c>
      <c r="T335" s="84" t="n">
        <f aca="false">IF(AND(ISNUMBER(O335),ISNUMBER(P335)),Coef_A+Coef_B1*O335+Coef_B2*P335,"")</f>
        <v>16.5212627124123</v>
      </c>
      <c r="U335" s="84" t="n">
        <f aca="false">IF(AND(R335=1,ISNUMBER(T335)),E335-T335,"")</f>
        <v>0.278737287587656</v>
      </c>
      <c r="V335" s="84" t="n">
        <f aca="false">IF(ISNUMBER(T335),T335,-99)</f>
        <v>16.5212627124123</v>
      </c>
      <c r="W335" s="84" t="n">
        <f aca="false">IF(ISNUMBER(U335),ABS(U335),"")</f>
        <v>0.278737287587656</v>
      </c>
    </row>
    <row r="336" customFormat="false" ht="15" hidden="false" customHeight="false" outlineLevel="0" collapsed="false">
      <c r="A336" s="57" t="n">
        <v>29735</v>
      </c>
      <c r="B336" s="56" t="n">
        <v>1981</v>
      </c>
      <c r="C336" s="56" t="n">
        <v>5</v>
      </c>
      <c r="D336" s="56" t="n">
        <v>29</v>
      </c>
      <c r="E336" s="56" t="n">
        <v>19.2</v>
      </c>
      <c r="F336" s="56" t="n">
        <v>0</v>
      </c>
      <c r="G336" s="56" t="n">
        <v>10.8</v>
      </c>
      <c r="H336" s="56" t="n">
        <v>0</v>
      </c>
      <c r="I336" s="56" t="n">
        <v>13.8</v>
      </c>
      <c r="J336" s="56" t="n">
        <v>0</v>
      </c>
      <c r="K336" s="56" t="n">
        <v>1012.8</v>
      </c>
      <c r="L336" s="56" t="n">
        <v>0</v>
      </c>
      <c r="M336" s="56" t="n">
        <v>86</v>
      </c>
      <c r="N336" s="56" t="n">
        <v>0</v>
      </c>
      <c r="O336" s="56" t="n">
        <f aca="false">IF(D336=1,"",E335)</f>
        <v>16.8</v>
      </c>
      <c r="P336" s="56" t="n">
        <f aca="false">IF(OR(D336=1,K335=""),"",K335)</f>
        <v>1009.1</v>
      </c>
      <c r="Q336" s="56" t="n">
        <f aca="false">IF(OR(F336&lt;&gt;0,AND(I336&lt;&gt;"",E336&lt;I336)),1,0)</f>
        <v>0</v>
      </c>
      <c r="R336" s="56" t="n">
        <f aca="false">IF(AND(D336&gt;1,Q336=0,ISNUMBER(O336),ISNUMBER(P336)),IF(Q335=0,1,0),0)</f>
        <v>1</v>
      </c>
      <c r="S336" s="56" t="n">
        <f aca="false">R336*(B336&gt;=Train_Start)*(B336&lt;=Train_End)</f>
        <v>1</v>
      </c>
      <c r="T336" s="84" t="n">
        <f aca="false">IF(AND(ISNUMBER(O336),ISNUMBER(P336)),Coef_A+Coef_B1*O336+Coef_B2*P336,"")</f>
        <v>17.507234540271</v>
      </c>
      <c r="U336" s="84" t="n">
        <f aca="false">IF(AND(R336=1,ISNUMBER(T336)),E336-T336,"")</f>
        <v>1.69276545972896</v>
      </c>
      <c r="V336" s="84" t="n">
        <f aca="false">IF(ISNUMBER(T336),T336,-99)</f>
        <v>17.507234540271</v>
      </c>
      <c r="W336" s="84" t="n">
        <f aca="false">IF(ISNUMBER(U336),ABS(U336),"")</f>
        <v>1.69276545972896</v>
      </c>
    </row>
    <row r="337" customFormat="false" ht="15" hidden="false" customHeight="false" outlineLevel="0" collapsed="false">
      <c r="A337" s="57" t="n">
        <v>29736</v>
      </c>
      <c r="B337" s="56" t="n">
        <v>1981</v>
      </c>
      <c r="C337" s="56" t="n">
        <v>5</v>
      </c>
      <c r="D337" s="56" t="n">
        <v>30</v>
      </c>
      <c r="E337" s="56" t="n">
        <v>21.8</v>
      </c>
      <c r="F337" s="56" t="n">
        <v>0</v>
      </c>
      <c r="G337" s="56" t="n">
        <v>11.4</v>
      </c>
      <c r="H337" s="56" t="n">
        <v>0</v>
      </c>
      <c r="I337" s="56" t="n">
        <v>15.3</v>
      </c>
      <c r="J337" s="56" t="n">
        <v>0</v>
      </c>
      <c r="K337" s="56" t="n">
        <v>1014.8</v>
      </c>
      <c r="L337" s="56" t="n">
        <v>0</v>
      </c>
      <c r="M337" s="56" t="n">
        <v>83</v>
      </c>
      <c r="N337" s="56" t="n">
        <v>0</v>
      </c>
      <c r="O337" s="56" t="n">
        <f aca="false">IF(D337=1,"",E336)</f>
        <v>19.2</v>
      </c>
      <c r="P337" s="56" t="n">
        <f aca="false">IF(OR(D337=1,K336=""),"",K336)</f>
        <v>1012.8</v>
      </c>
      <c r="Q337" s="56" t="n">
        <f aca="false">IF(OR(F337&lt;&gt;0,AND(I337&lt;&gt;"",E337&lt;I337)),1,0)</f>
        <v>0</v>
      </c>
      <c r="R337" s="56" t="n">
        <f aca="false">IF(AND(D337&gt;1,Q337=0,ISNUMBER(O337),ISNUMBER(P337)),IF(Q336=0,1,0),0)</f>
        <v>1</v>
      </c>
      <c r="S337" s="56" t="n">
        <f aca="false">R337*(B337&gt;=Train_Start)*(B337&lt;=Train_End)</f>
        <v>1</v>
      </c>
      <c r="T337" s="84" t="n">
        <f aca="false">IF(AND(ISNUMBER(O337),ISNUMBER(P337)),Coef_A+Coef_B1*O337+Coef_B2*P337,"")</f>
        <v>19.5897172137192</v>
      </c>
      <c r="U337" s="84" t="n">
        <f aca="false">IF(AND(R337=1,ISNUMBER(T337)),E337-T337,"")</f>
        <v>2.21028278628082</v>
      </c>
      <c r="V337" s="84" t="n">
        <f aca="false">IF(ISNUMBER(T337),T337,-99)</f>
        <v>19.5897172137192</v>
      </c>
      <c r="W337" s="84" t="n">
        <f aca="false">IF(ISNUMBER(U337),ABS(U337),"")</f>
        <v>2.21028278628082</v>
      </c>
    </row>
    <row r="338" customFormat="false" ht="15" hidden="false" customHeight="false" outlineLevel="0" collapsed="false">
      <c r="A338" s="57" t="n">
        <v>29737</v>
      </c>
      <c r="B338" s="56" t="n">
        <v>1981</v>
      </c>
      <c r="C338" s="56" t="n">
        <v>5</v>
      </c>
      <c r="D338" s="56" t="n">
        <v>31</v>
      </c>
      <c r="E338" s="56" t="n">
        <v>22.4</v>
      </c>
      <c r="F338" s="56" t="n">
        <v>0</v>
      </c>
      <c r="G338" s="56" t="n">
        <v>13.1</v>
      </c>
      <c r="H338" s="56" t="n">
        <v>0</v>
      </c>
      <c r="I338" s="56" t="n">
        <v>17.4</v>
      </c>
      <c r="J338" s="56" t="n">
        <v>0</v>
      </c>
      <c r="K338" s="56" t="n">
        <v>1013.5</v>
      </c>
      <c r="L338" s="56" t="n">
        <v>0</v>
      </c>
      <c r="M338" s="56" t="n">
        <v>85</v>
      </c>
      <c r="N338" s="56" t="n">
        <v>6.8</v>
      </c>
      <c r="O338" s="56" t="n">
        <f aca="false">IF(D338=1,"",E337)</f>
        <v>21.8</v>
      </c>
      <c r="P338" s="56" t="n">
        <f aca="false">IF(OR(D338=1,K337=""),"",K337)</f>
        <v>1014.8</v>
      </c>
      <c r="Q338" s="56" t="n">
        <f aca="false">IF(OR(F338&lt;&gt;0,AND(I338&lt;&gt;"",E338&lt;I338)),1,0)</f>
        <v>0</v>
      </c>
      <c r="R338" s="56" t="n">
        <f aca="false">IF(AND(D338&gt;1,Q338=0,ISNUMBER(O338),ISNUMBER(P338)),IF(Q337=0,1,0),0)</f>
        <v>1</v>
      </c>
      <c r="S338" s="56" t="n">
        <f aca="false">R338*(B338&gt;=Train_Start)*(B338&lt;=Train_End)</f>
        <v>1</v>
      </c>
      <c r="T338" s="84" t="n">
        <f aca="false">IF(AND(ISNUMBER(O338),ISNUMBER(P338)),Coef_A+Coef_B1*O338+Coef_B2*P338,"")</f>
        <v>21.7827389048981</v>
      </c>
      <c r="U338" s="84" t="n">
        <f aca="false">IF(AND(R338=1,ISNUMBER(T338)),E338-T338,"")</f>
        <v>0.617261095101931</v>
      </c>
      <c r="V338" s="84" t="n">
        <f aca="false">IF(ISNUMBER(T338),T338,-99)</f>
        <v>21.7827389048981</v>
      </c>
      <c r="W338" s="84" t="n">
        <f aca="false">IF(ISNUMBER(U338),ABS(U338),"")</f>
        <v>0.617261095101931</v>
      </c>
    </row>
    <row r="339" customFormat="false" ht="15" hidden="false" customHeight="false" outlineLevel="0" collapsed="false">
      <c r="A339" s="57" t="n">
        <v>29738</v>
      </c>
      <c r="B339" s="56" t="n">
        <v>1981</v>
      </c>
      <c r="C339" s="56" t="n">
        <v>6</v>
      </c>
      <c r="D339" s="56" t="n">
        <v>32</v>
      </c>
      <c r="E339" s="56" t="n">
        <v>19.2</v>
      </c>
      <c r="F339" s="56" t="n">
        <v>0</v>
      </c>
      <c r="G339" s="56" t="n">
        <v>11.5</v>
      </c>
      <c r="H339" s="56" t="n">
        <v>0</v>
      </c>
      <c r="I339" s="56" t="n">
        <v>17</v>
      </c>
      <c r="J339" s="56" t="n">
        <v>0</v>
      </c>
      <c r="K339" s="56" t="n">
        <v>1017</v>
      </c>
      <c r="L339" s="56" t="n">
        <v>0</v>
      </c>
      <c r="M339" s="56" t="n">
        <v>79</v>
      </c>
      <c r="N339" s="56" t="n">
        <v>7.3</v>
      </c>
      <c r="O339" s="56" t="n">
        <f aca="false">IF(D339=1,"",E338)</f>
        <v>22.4</v>
      </c>
      <c r="P339" s="56" t="n">
        <f aca="false">IF(OR(D339=1,K338=""),"",K338)</f>
        <v>1013.5</v>
      </c>
      <c r="Q339" s="56" t="n">
        <f aca="false">IF(OR(F339&lt;&gt;0,AND(I339&lt;&gt;"",E339&lt;I339)),1,0)</f>
        <v>0</v>
      </c>
      <c r="R339" s="56" t="n">
        <f aca="false">IF(AND(D339&gt;1,Q339=0,ISNUMBER(O339),ISNUMBER(P339)),IF(Q338=0,1,0),0)</f>
        <v>1</v>
      </c>
      <c r="S339" s="56" t="n">
        <f aca="false">R339*(B339&gt;=Train_Start)*(B339&lt;=Train_End)</f>
        <v>1</v>
      </c>
      <c r="T339" s="84" t="n">
        <f aca="false">IF(AND(ISNUMBER(O339),ISNUMBER(P339)),Coef_A+Coef_B1*O339+Coef_B2*P339,"")</f>
        <v>22.2335615576995</v>
      </c>
      <c r="U339" s="84" t="n">
        <f aca="false">IF(AND(R339=1,ISNUMBER(T339)),E339-T339,"")</f>
        <v>-3.03356155769947</v>
      </c>
      <c r="V339" s="84" t="n">
        <f aca="false">IF(ISNUMBER(T339),T339,-99)</f>
        <v>22.2335615576995</v>
      </c>
      <c r="W339" s="84" t="n">
        <f aca="false">IF(ISNUMBER(U339),ABS(U339),"")</f>
        <v>3.03356155769947</v>
      </c>
    </row>
    <row r="340" customFormat="false" ht="15" hidden="false" customHeight="false" outlineLevel="0" collapsed="false">
      <c r="A340" s="57" t="n">
        <v>29739</v>
      </c>
      <c r="B340" s="56" t="n">
        <v>1981</v>
      </c>
      <c r="C340" s="56" t="n">
        <v>6</v>
      </c>
      <c r="D340" s="56" t="n">
        <v>33</v>
      </c>
      <c r="E340" s="56" t="n">
        <v>19.7</v>
      </c>
      <c r="F340" s="56" t="n">
        <v>0</v>
      </c>
      <c r="G340" s="56" t="n">
        <v>14.8</v>
      </c>
      <c r="H340" s="56" t="n">
        <v>0</v>
      </c>
      <c r="I340" s="56" t="n">
        <v>17</v>
      </c>
      <c r="J340" s="56" t="n">
        <v>0</v>
      </c>
      <c r="K340" s="56" t="n">
        <v>1013.7</v>
      </c>
      <c r="L340" s="56" t="n">
        <v>0</v>
      </c>
      <c r="M340" s="56" t="n">
        <v>76</v>
      </c>
      <c r="N340" s="56" t="n">
        <v>8.6</v>
      </c>
      <c r="O340" s="56" t="n">
        <f aca="false">IF(D340=1,"",E339)</f>
        <v>19.2</v>
      </c>
      <c r="P340" s="56" t="n">
        <f aca="false">IF(OR(D340=1,K339=""),"",K339)</f>
        <v>1017</v>
      </c>
      <c r="Q340" s="56" t="n">
        <f aca="false">IF(OR(F340&lt;&gt;0,AND(I340&lt;&gt;"",E340&lt;I340)),1,0)</f>
        <v>0</v>
      </c>
      <c r="R340" s="56" t="n">
        <f aca="false">IF(AND(D340&gt;1,Q340=0,ISNUMBER(O340),ISNUMBER(P340)),IF(Q339=0,1,0),0)</f>
        <v>1</v>
      </c>
      <c r="S340" s="56" t="n">
        <f aca="false">R340*(B340&gt;=Train_Start)*(B340&lt;=Train_End)</f>
        <v>1</v>
      </c>
      <c r="T340" s="84" t="n">
        <f aca="false">IF(AND(ISNUMBER(O340),ISNUMBER(P340)),Coef_A+Coef_B1*O340+Coef_B2*P340,"")</f>
        <v>19.7214707711819</v>
      </c>
      <c r="U340" s="84" t="n">
        <f aca="false">IF(AND(R340=1,ISNUMBER(T340)),E340-T340,"")</f>
        <v>-0.0214707711819351</v>
      </c>
      <c r="V340" s="84" t="n">
        <f aca="false">IF(ISNUMBER(T340),T340,-99)</f>
        <v>19.7214707711819</v>
      </c>
      <c r="W340" s="84" t="n">
        <f aca="false">IF(ISNUMBER(U340),ABS(U340),"")</f>
        <v>0.0214707711819351</v>
      </c>
    </row>
    <row r="341" customFormat="false" ht="15" hidden="false" customHeight="false" outlineLevel="0" collapsed="false">
      <c r="A341" s="57" t="n">
        <v>29740</v>
      </c>
      <c r="B341" s="56" t="n">
        <v>1981</v>
      </c>
      <c r="C341" s="56" t="n">
        <v>6</v>
      </c>
      <c r="D341" s="56" t="n">
        <v>34</v>
      </c>
      <c r="E341" s="56" t="n">
        <v>17.2</v>
      </c>
      <c r="F341" s="56" t="n">
        <v>0</v>
      </c>
      <c r="G341" s="56" t="n">
        <v>9.9</v>
      </c>
      <c r="H341" s="56" t="n">
        <v>0</v>
      </c>
      <c r="I341" s="56" t="n">
        <v>14.8</v>
      </c>
      <c r="J341" s="56" t="n">
        <v>0</v>
      </c>
      <c r="K341" s="56" t="n">
        <v>1015.6</v>
      </c>
      <c r="L341" s="56" t="n">
        <v>0</v>
      </c>
      <c r="M341" s="56" t="n">
        <v>73</v>
      </c>
      <c r="N341" s="56" t="n">
        <v>12.3</v>
      </c>
      <c r="O341" s="56" t="n">
        <f aca="false">IF(D341=1,"",E340)</f>
        <v>19.7</v>
      </c>
      <c r="P341" s="56" t="n">
        <f aca="false">IF(OR(D341=1,K340=""),"",K340)</f>
        <v>1013.7</v>
      </c>
      <c r="Q341" s="56" t="n">
        <f aca="false">IF(OR(F341&lt;&gt;0,AND(I341&lt;&gt;"",E341&lt;I341)),1,0)</f>
        <v>0</v>
      </c>
      <c r="R341" s="56" t="n">
        <f aca="false">IF(AND(D341&gt;1,Q341=0,ISNUMBER(O341),ISNUMBER(P341)),IF(Q340=0,1,0),0)</f>
        <v>1</v>
      </c>
      <c r="S341" s="56" t="n">
        <f aca="false">R341*(B341&gt;=Train_Start)*(B341&lt;=Train_End)</f>
        <v>1</v>
      </c>
      <c r="T341" s="84" t="n">
        <f aca="false">IF(AND(ISNUMBER(O341),ISNUMBER(P341)),Coef_A+Coef_B1*O341+Coef_B2*P341,"")</f>
        <v>20.0276197154111</v>
      </c>
      <c r="U341" s="84" t="n">
        <f aca="false">IF(AND(R341=1,ISNUMBER(T341)),E341-T341,"")</f>
        <v>-2.8276197154111</v>
      </c>
      <c r="V341" s="84" t="n">
        <f aca="false">IF(ISNUMBER(T341),T341,-99)</f>
        <v>20.0276197154111</v>
      </c>
      <c r="W341" s="84" t="n">
        <f aca="false">IF(ISNUMBER(U341),ABS(U341),"")</f>
        <v>2.8276197154111</v>
      </c>
    </row>
    <row r="342" customFormat="false" ht="15" hidden="false" customHeight="false" outlineLevel="0" collapsed="false">
      <c r="A342" s="57" t="n">
        <v>29741</v>
      </c>
      <c r="B342" s="56" t="n">
        <v>1981</v>
      </c>
      <c r="C342" s="56" t="n">
        <v>6</v>
      </c>
      <c r="D342" s="56" t="n">
        <v>35</v>
      </c>
      <c r="E342" s="56" t="n">
        <v>17.2</v>
      </c>
      <c r="F342" s="56" t="n">
        <v>0</v>
      </c>
      <c r="G342" s="56" t="n">
        <v>8.7</v>
      </c>
      <c r="H342" s="56" t="n">
        <v>0</v>
      </c>
      <c r="I342" s="56" t="n">
        <v>13</v>
      </c>
      <c r="J342" s="56" t="n">
        <v>0</v>
      </c>
      <c r="K342" s="56" t="n">
        <v>1014.3</v>
      </c>
      <c r="L342" s="56" t="n">
        <v>0</v>
      </c>
      <c r="M342" s="56" t="n">
        <v>78</v>
      </c>
      <c r="N342" s="56" t="n">
        <v>3.4</v>
      </c>
      <c r="O342" s="56" t="n">
        <f aca="false">IF(D342=1,"",E341)</f>
        <v>17.2</v>
      </c>
      <c r="P342" s="56" t="n">
        <f aca="false">IF(OR(D342=1,K341=""),"",K341)</f>
        <v>1015.6</v>
      </c>
      <c r="Q342" s="56" t="n">
        <f aca="false">IF(OR(F342&lt;&gt;0,AND(I342&lt;&gt;"",E342&lt;I342)),1,0)</f>
        <v>0</v>
      </c>
      <c r="R342" s="56" t="n">
        <f aca="false">IF(AND(D342&gt;1,Q342=0,ISNUMBER(O342),ISNUMBER(P342)),IF(Q341=0,1,0),0)</f>
        <v>1</v>
      </c>
      <c r="S342" s="56" t="n">
        <f aca="false">R342*(B342&gt;=Train_Start)*(B342&lt;=Train_End)</f>
        <v>1</v>
      </c>
      <c r="T342" s="84" t="n">
        <f aca="false">IF(AND(ISNUMBER(O342),ISNUMBER(P342)),Coef_A+Coef_B1*O342+Coef_B2*P342,"")</f>
        <v>18.038874532609</v>
      </c>
      <c r="U342" s="84" t="n">
        <f aca="false">IF(AND(R342=1,ISNUMBER(T342)),E342-T342,"")</f>
        <v>-0.838874532609037</v>
      </c>
      <c r="V342" s="84" t="n">
        <f aca="false">IF(ISNUMBER(T342),T342,-99)</f>
        <v>18.038874532609</v>
      </c>
      <c r="W342" s="84" t="n">
        <f aca="false">IF(ISNUMBER(U342),ABS(U342),"")</f>
        <v>0.838874532609037</v>
      </c>
    </row>
    <row r="343" customFormat="false" ht="15" hidden="false" customHeight="false" outlineLevel="0" collapsed="false">
      <c r="A343" s="57" t="n">
        <v>29742</v>
      </c>
      <c r="B343" s="56" t="n">
        <v>1981</v>
      </c>
      <c r="C343" s="56" t="n">
        <v>6</v>
      </c>
      <c r="D343" s="56" t="n">
        <v>36</v>
      </c>
      <c r="E343" s="56" t="n">
        <v>18.4</v>
      </c>
      <c r="F343" s="56" t="n">
        <v>0</v>
      </c>
      <c r="G343" s="56" t="n">
        <v>9.9</v>
      </c>
      <c r="H343" s="56" t="n">
        <v>0</v>
      </c>
      <c r="I343" s="56" t="n">
        <v>13.6</v>
      </c>
      <c r="J343" s="56" t="n">
        <v>0</v>
      </c>
      <c r="K343" s="56" t="n">
        <v>1014</v>
      </c>
      <c r="L343" s="56" t="n">
        <v>0</v>
      </c>
      <c r="M343" s="56" t="n">
        <v>73</v>
      </c>
      <c r="N343" s="56" t="n">
        <v>1.5</v>
      </c>
      <c r="O343" s="56" t="n">
        <f aca="false">IF(D343=1,"",E342)</f>
        <v>17.2</v>
      </c>
      <c r="P343" s="56" t="n">
        <f aca="false">IF(OR(D343=1,K342=""),"",K342)</f>
        <v>1014.3</v>
      </c>
      <c r="Q343" s="56" t="n">
        <f aca="false">IF(OR(F343&lt;&gt;0,AND(I343&lt;&gt;"",E343&lt;I343)),1,0)</f>
        <v>0</v>
      </c>
      <c r="R343" s="56" t="n">
        <f aca="false">IF(AND(D343&gt;1,Q343=0,ISNUMBER(O343),ISNUMBER(P343)),IF(Q342=0,1,0),0)</f>
        <v>1</v>
      </c>
      <c r="S343" s="56" t="n">
        <f aca="false">R343*(B343&gt;=Train_Start)*(B343&lt;=Train_End)</f>
        <v>1</v>
      </c>
      <c r="T343" s="84" t="n">
        <f aca="false">IF(AND(ISNUMBER(O343),ISNUMBER(P343)),Coef_A+Coef_B1*O343+Coef_B2*P343,"")</f>
        <v>17.9980936695848</v>
      </c>
      <c r="U343" s="84" t="n">
        <f aca="false">IF(AND(R343=1,ISNUMBER(T343)),E343-T343,"")</f>
        <v>0.401906330415152</v>
      </c>
      <c r="V343" s="84" t="n">
        <f aca="false">IF(ISNUMBER(T343),T343,-99)</f>
        <v>17.9980936695848</v>
      </c>
      <c r="W343" s="84" t="n">
        <f aca="false">IF(ISNUMBER(U343),ABS(U343),"")</f>
        <v>0.401906330415152</v>
      </c>
    </row>
    <row r="344" customFormat="false" ht="15" hidden="false" customHeight="false" outlineLevel="0" collapsed="false">
      <c r="A344" s="57" t="n">
        <v>29743</v>
      </c>
      <c r="B344" s="56" t="n">
        <v>1981</v>
      </c>
      <c r="C344" s="56" t="n">
        <v>6</v>
      </c>
      <c r="D344" s="56" t="n">
        <v>37</v>
      </c>
      <c r="E344" s="56" t="n">
        <v>16.4</v>
      </c>
      <c r="F344" s="56" t="n">
        <v>0</v>
      </c>
      <c r="G344" s="56" t="n">
        <v>10.6</v>
      </c>
      <c r="H344" s="56" t="n">
        <v>0</v>
      </c>
      <c r="I344" s="56" t="n">
        <v>14.5</v>
      </c>
      <c r="J344" s="56" t="n">
        <v>0</v>
      </c>
      <c r="K344" s="56" t="n">
        <v>1014</v>
      </c>
      <c r="L344" s="56" t="n">
        <v>0</v>
      </c>
      <c r="M344" s="56" t="n">
        <v>76</v>
      </c>
      <c r="N344" s="56" t="n">
        <v>3.3</v>
      </c>
      <c r="O344" s="56" t="n">
        <f aca="false">IF(D344=1,"",E343)</f>
        <v>18.4</v>
      </c>
      <c r="P344" s="56" t="n">
        <f aca="false">IF(OR(D344=1,K343=""),"",K343)</f>
        <v>1014</v>
      </c>
      <c r="Q344" s="56" t="n">
        <f aca="false">IF(OR(F344&lt;&gt;0,AND(I344&lt;&gt;"",E344&lt;I344)),1,0)</f>
        <v>0</v>
      </c>
      <c r="R344" s="56" t="n">
        <f aca="false">IF(AND(D344&gt;1,Q344=0,ISNUMBER(O344),ISNUMBER(P344)),IF(Q343=0,1,0),0)</f>
        <v>1</v>
      </c>
      <c r="S344" s="56" t="n">
        <f aca="false">R344*(B344&gt;=Train_Start)*(B344&lt;=Train_End)</f>
        <v>1</v>
      </c>
      <c r="T344" s="84" t="n">
        <f aca="false">IF(AND(ISNUMBER(O344),ISNUMBER(P344)),Coef_A+Coef_B1*O344+Coef_B2*P344,"")</f>
        <v>18.9718897328458</v>
      </c>
      <c r="U344" s="84" t="n">
        <f aca="false">IF(AND(R344=1,ISNUMBER(T344)),E344-T344,"")</f>
        <v>-2.57188973284584</v>
      </c>
      <c r="V344" s="84" t="n">
        <f aca="false">IF(ISNUMBER(T344),T344,-99)</f>
        <v>18.9718897328458</v>
      </c>
      <c r="W344" s="84" t="n">
        <f aca="false">IF(ISNUMBER(U344),ABS(U344),"")</f>
        <v>2.57188973284584</v>
      </c>
    </row>
    <row r="345" customFormat="false" ht="15" hidden="false" customHeight="false" outlineLevel="0" collapsed="false">
      <c r="A345" s="57" t="n">
        <v>29744</v>
      </c>
      <c r="B345" s="56" t="n">
        <v>1981</v>
      </c>
      <c r="C345" s="56" t="n">
        <v>6</v>
      </c>
      <c r="D345" s="56" t="n">
        <v>38</v>
      </c>
      <c r="E345" s="56" t="n">
        <v>18.5</v>
      </c>
      <c r="F345" s="56" t="n">
        <v>0</v>
      </c>
      <c r="G345" s="56" t="n">
        <v>9.4</v>
      </c>
      <c r="H345" s="56" t="n">
        <v>0</v>
      </c>
      <c r="I345" s="56" t="n">
        <v>12.9</v>
      </c>
      <c r="J345" s="56" t="n">
        <v>0</v>
      </c>
      <c r="K345" s="56" t="n">
        <v>1012.2</v>
      </c>
      <c r="L345" s="56" t="n">
        <v>0</v>
      </c>
      <c r="M345" s="56" t="n">
        <v>82</v>
      </c>
      <c r="N345" s="56" t="n">
        <v>1.8</v>
      </c>
      <c r="O345" s="56" t="n">
        <f aca="false">IF(D345=1,"",E344)</f>
        <v>16.4</v>
      </c>
      <c r="P345" s="56" t="n">
        <f aca="false">IF(OR(D345=1,K344=""),"",K344)</f>
        <v>1014</v>
      </c>
      <c r="Q345" s="56" t="n">
        <f aca="false">IF(OR(F345&lt;&gt;0,AND(I345&lt;&gt;"",E345&lt;I345)),1,0)</f>
        <v>0</v>
      </c>
      <c r="R345" s="56" t="n">
        <f aca="false">IF(AND(D345&gt;1,Q345=0,ISNUMBER(O345),ISNUMBER(P345)),IF(Q344=0,1,0),0)</f>
        <v>1</v>
      </c>
      <c r="S345" s="56" t="n">
        <f aca="false">R345*(B345&gt;=Train_Start)*(B345&lt;=Train_End)</f>
        <v>1</v>
      </c>
      <c r="T345" s="84" t="n">
        <f aca="false">IF(AND(ISNUMBER(O345),ISNUMBER(P345)),Coef_A+Coef_B1*O345+Coef_B2*P345,"")</f>
        <v>17.3332113467605</v>
      </c>
      <c r="U345" s="84" t="n">
        <f aca="false">IF(AND(R345=1,ISNUMBER(T345)),E345-T345,"")</f>
        <v>1.16678865323948</v>
      </c>
      <c r="V345" s="84" t="n">
        <f aca="false">IF(ISNUMBER(T345),T345,-99)</f>
        <v>17.3332113467605</v>
      </c>
      <c r="W345" s="84" t="n">
        <f aca="false">IF(ISNUMBER(U345),ABS(U345),"")</f>
        <v>1.16678865323948</v>
      </c>
    </row>
    <row r="346" customFormat="false" ht="15" hidden="false" customHeight="false" outlineLevel="0" collapsed="false">
      <c r="A346" s="57" t="n">
        <v>29745</v>
      </c>
      <c r="B346" s="56" t="n">
        <v>1981</v>
      </c>
      <c r="C346" s="56" t="n">
        <v>6</v>
      </c>
      <c r="D346" s="56" t="n">
        <v>39</v>
      </c>
      <c r="E346" s="56" t="n">
        <v>17.2</v>
      </c>
      <c r="F346" s="56" t="n">
        <v>0</v>
      </c>
      <c r="G346" s="56" t="n">
        <v>13</v>
      </c>
      <c r="H346" s="56" t="n">
        <v>0</v>
      </c>
      <c r="I346" s="56" t="n">
        <v>15.8</v>
      </c>
      <c r="J346" s="56" t="n">
        <v>0</v>
      </c>
      <c r="K346" s="56" t="n">
        <v>1004.9</v>
      </c>
      <c r="L346" s="56" t="n">
        <v>0</v>
      </c>
      <c r="M346" s="56" t="n">
        <v>78</v>
      </c>
      <c r="N346" s="56" t="n">
        <v>4.3</v>
      </c>
      <c r="O346" s="56" t="n">
        <f aca="false">IF(D346=1,"",E345)</f>
        <v>18.5</v>
      </c>
      <c r="P346" s="56" t="n">
        <f aca="false">IF(OR(D346=1,K345=""),"",K345)</f>
        <v>1012.2</v>
      </c>
      <c r="Q346" s="56" t="n">
        <f aca="false">IF(OR(F346&lt;&gt;0,AND(I346&lt;&gt;"",E346&lt;I346)),1,0)</f>
        <v>0</v>
      </c>
      <c r="R346" s="56" t="n">
        <f aca="false">IF(AND(D346&gt;1,Q346=0,ISNUMBER(O346),ISNUMBER(P346)),IF(Q345=0,1,0),0)</f>
        <v>1</v>
      </c>
      <c r="S346" s="56" t="n">
        <f aca="false">R346*(B346&gt;=Train_Start)*(B346&lt;=Train_End)</f>
        <v>1</v>
      </c>
      <c r="T346" s="84" t="n">
        <f aca="false">IF(AND(ISNUMBER(O346),ISNUMBER(P346)),Coef_A+Coef_B1*O346+Coef_B2*P346,"")</f>
        <v>18.9973578418089</v>
      </c>
      <c r="U346" s="84" t="n">
        <f aca="false">IF(AND(R346=1,ISNUMBER(T346)),E346-T346,"")</f>
        <v>-1.79735784180893</v>
      </c>
      <c r="V346" s="84" t="n">
        <f aca="false">IF(ISNUMBER(T346),T346,-99)</f>
        <v>18.9973578418089</v>
      </c>
      <c r="W346" s="84" t="n">
        <f aca="false">IF(ISNUMBER(U346),ABS(U346),"")</f>
        <v>1.79735784180893</v>
      </c>
    </row>
    <row r="347" customFormat="false" ht="15" hidden="false" customHeight="false" outlineLevel="0" collapsed="false">
      <c r="A347" s="57" t="n">
        <v>29746</v>
      </c>
      <c r="B347" s="56" t="n">
        <v>1981</v>
      </c>
      <c r="C347" s="56" t="n">
        <v>6</v>
      </c>
      <c r="D347" s="56" t="n">
        <v>40</v>
      </c>
      <c r="E347" s="56" t="n">
        <v>17.8</v>
      </c>
      <c r="F347" s="56" t="n">
        <v>0</v>
      </c>
      <c r="G347" s="56" t="n">
        <v>12</v>
      </c>
      <c r="H347" s="56" t="n">
        <v>0</v>
      </c>
      <c r="I347" s="56" t="n">
        <v>14.6</v>
      </c>
      <c r="J347" s="56" t="n">
        <v>0</v>
      </c>
      <c r="K347" s="56" t="n">
        <v>1006.3</v>
      </c>
      <c r="L347" s="56" t="n">
        <v>0</v>
      </c>
      <c r="M347" s="56" t="n">
        <v>74</v>
      </c>
      <c r="N347" s="56" t="n">
        <v>6</v>
      </c>
      <c r="O347" s="56" t="n">
        <f aca="false">IF(D347=1,"",E346)</f>
        <v>17.2</v>
      </c>
      <c r="P347" s="56" t="n">
        <f aca="false">IF(OR(D347=1,K346=""),"",K346)</f>
        <v>1004.9</v>
      </c>
      <c r="Q347" s="56" t="n">
        <f aca="false">IF(OR(F347&lt;&gt;0,AND(I347&lt;&gt;"",E347&lt;I347)),1,0)</f>
        <v>0</v>
      </c>
      <c r="R347" s="56" t="n">
        <f aca="false">IF(AND(D347&gt;1,Q347=0,ISNUMBER(O347),ISNUMBER(P347)),IF(Q346=0,1,0),0)</f>
        <v>1</v>
      </c>
      <c r="S347" s="56" t="n">
        <f aca="false">R347*(B347&gt;=Train_Start)*(B347&lt;=Train_End)</f>
        <v>1</v>
      </c>
      <c r="T347" s="84" t="n">
        <f aca="false">IF(AND(ISNUMBER(O347),ISNUMBER(P347)),Coef_A+Coef_B1*O347+Coef_B2*P347,"")</f>
        <v>17.7032166600253</v>
      </c>
      <c r="U347" s="84" t="n">
        <f aca="false">IF(AND(R347=1,ISNUMBER(T347)),E347-T347,"")</f>
        <v>0.0967833399746532</v>
      </c>
      <c r="V347" s="84" t="n">
        <f aca="false">IF(ISNUMBER(T347),T347,-99)</f>
        <v>17.7032166600253</v>
      </c>
      <c r="W347" s="84" t="n">
        <f aca="false">IF(ISNUMBER(U347),ABS(U347),"")</f>
        <v>0.0967833399746532</v>
      </c>
    </row>
    <row r="348" customFormat="false" ht="15" hidden="false" customHeight="false" outlineLevel="0" collapsed="false">
      <c r="A348" s="57" t="n">
        <v>29747</v>
      </c>
      <c r="B348" s="56" t="n">
        <v>1981</v>
      </c>
      <c r="C348" s="56" t="n">
        <v>6</v>
      </c>
      <c r="D348" s="56" t="n">
        <v>41</v>
      </c>
      <c r="E348" s="56" t="n">
        <v>18.7</v>
      </c>
      <c r="F348" s="56" t="n">
        <v>0</v>
      </c>
      <c r="G348" s="56" t="n">
        <v>8.4</v>
      </c>
      <c r="H348" s="56" t="n">
        <v>0</v>
      </c>
      <c r="I348" s="56" t="n">
        <v>13.1</v>
      </c>
      <c r="J348" s="56" t="n">
        <v>0</v>
      </c>
      <c r="K348" s="56" t="n">
        <v>1018.3</v>
      </c>
      <c r="L348" s="56" t="n">
        <v>0</v>
      </c>
      <c r="M348" s="56" t="n">
        <v>75</v>
      </c>
      <c r="N348" s="56" t="n">
        <v>5.2</v>
      </c>
      <c r="O348" s="56" t="n">
        <f aca="false">IF(D348=1,"",E347)</f>
        <v>17.8</v>
      </c>
      <c r="P348" s="56" t="n">
        <f aca="false">IF(OR(D348=1,K347=""),"",K347)</f>
        <v>1006.3</v>
      </c>
      <c r="Q348" s="56" t="n">
        <f aca="false">IF(OR(F348&lt;&gt;0,AND(I348&lt;&gt;"",E348&lt;I348)),1,0)</f>
        <v>0</v>
      </c>
      <c r="R348" s="56" t="n">
        <f aca="false">IF(AND(D348&gt;1,Q348=0,ISNUMBER(O348),ISNUMBER(P348)),IF(Q347=0,1,0),0)</f>
        <v>1</v>
      </c>
      <c r="S348" s="56" t="n">
        <f aca="false">R348*(B348&gt;=Train_Start)*(B348&lt;=Train_End)</f>
        <v>1</v>
      </c>
      <c r="T348" s="84" t="n">
        <f aca="false">IF(AND(ISNUMBER(O348),ISNUMBER(P348)),Coef_A+Coef_B1*O348+Coef_B2*P348,"")</f>
        <v>18.2387380283385</v>
      </c>
      <c r="U348" s="84" t="n">
        <f aca="false">IF(AND(R348=1,ISNUMBER(T348)),E348-T348,"")</f>
        <v>0.461261971661472</v>
      </c>
      <c r="V348" s="84" t="n">
        <f aca="false">IF(ISNUMBER(T348),T348,-99)</f>
        <v>18.2387380283385</v>
      </c>
      <c r="W348" s="84" t="n">
        <f aca="false">IF(ISNUMBER(U348),ABS(U348),"")</f>
        <v>0.461261971661472</v>
      </c>
    </row>
    <row r="349" customFormat="false" ht="15" hidden="false" customHeight="false" outlineLevel="0" collapsed="false">
      <c r="A349" s="57" t="n">
        <v>29748</v>
      </c>
      <c r="B349" s="56" t="n">
        <v>1981</v>
      </c>
      <c r="C349" s="56" t="n">
        <v>6</v>
      </c>
      <c r="D349" s="56" t="n">
        <v>42</v>
      </c>
      <c r="E349" s="56" t="n">
        <v>17.3</v>
      </c>
      <c r="F349" s="56" t="n">
        <v>0</v>
      </c>
      <c r="G349" s="56" t="n">
        <v>11</v>
      </c>
      <c r="H349" s="56" t="n">
        <v>0</v>
      </c>
      <c r="I349" s="56" t="n">
        <v>14.8</v>
      </c>
      <c r="J349" s="56" t="n">
        <v>0</v>
      </c>
      <c r="K349" s="56" t="n">
        <v>1015.7</v>
      </c>
      <c r="L349" s="56" t="n">
        <v>0</v>
      </c>
      <c r="M349" s="56" t="n">
        <v>85</v>
      </c>
      <c r="N349" s="56" t="n">
        <v>2</v>
      </c>
      <c r="O349" s="56" t="n">
        <f aca="false">IF(D349=1,"",E348)</f>
        <v>18.7</v>
      </c>
      <c r="P349" s="56" t="n">
        <f aca="false">IF(OR(D349=1,K348=""),"",K348)</f>
        <v>1018.3</v>
      </c>
      <c r="Q349" s="56" t="n">
        <f aca="false">IF(OR(F349&lt;&gt;0,AND(I349&lt;&gt;"",E349&lt;I349)),1,0)</f>
        <v>0</v>
      </c>
      <c r="R349" s="56" t="n">
        <f aca="false">IF(AND(D349&gt;1,Q349=0,ISNUMBER(O349),ISNUMBER(P349)),IF(Q348=0,1,0),0)</f>
        <v>1</v>
      </c>
      <c r="S349" s="56" t="n">
        <f aca="false">R349*(B349&gt;=Train_Start)*(B349&lt;=Train_End)</f>
        <v>1</v>
      </c>
      <c r="T349" s="84" t="n">
        <f aca="false">IF(AND(ISNUMBER(O349),ISNUMBER(P349)),Coef_A+Coef_B1*O349+Coef_B2*P349,"")</f>
        <v>19.3525820376848</v>
      </c>
      <c r="U349" s="84" t="n">
        <f aca="false">IF(AND(R349=1,ISNUMBER(T349)),E349-T349,"")</f>
        <v>-2.05258203768479</v>
      </c>
      <c r="V349" s="84" t="n">
        <f aca="false">IF(ISNUMBER(T349),T349,-99)</f>
        <v>19.3525820376848</v>
      </c>
      <c r="W349" s="84" t="n">
        <f aca="false">IF(ISNUMBER(U349),ABS(U349),"")</f>
        <v>2.05258203768479</v>
      </c>
    </row>
    <row r="350" customFormat="false" ht="15" hidden="false" customHeight="false" outlineLevel="0" collapsed="false">
      <c r="A350" s="57" t="n">
        <v>29749</v>
      </c>
      <c r="B350" s="56" t="n">
        <v>1981</v>
      </c>
      <c r="C350" s="56" t="n">
        <v>6</v>
      </c>
      <c r="D350" s="56" t="n">
        <v>43</v>
      </c>
      <c r="E350" s="56" t="n">
        <v>21.9</v>
      </c>
      <c r="F350" s="56" t="n">
        <v>0</v>
      </c>
      <c r="G350" s="56" t="n">
        <v>10.6</v>
      </c>
      <c r="H350" s="56" t="n">
        <v>0</v>
      </c>
      <c r="I350" s="56" t="n">
        <v>14</v>
      </c>
      <c r="J350" s="56" t="n">
        <v>0</v>
      </c>
      <c r="K350" s="56" t="n">
        <v>1025.4</v>
      </c>
      <c r="L350" s="56" t="n">
        <v>0</v>
      </c>
      <c r="M350" s="56" t="n">
        <v>82</v>
      </c>
      <c r="N350" s="56" t="n">
        <v>0.4</v>
      </c>
      <c r="O350" s="56" t="n">
        <f aca="false">IF(D350=1,"",E349)</f>
        <v>17.3</v>
      </c>
      <c r="P350" s="56" t="n">
        <f aca="false">IF(OR(D350=1,K349=""),"",K349)</f>
        <v>1015.7</v>
      </c>
      <c r="Q350" s="56" t="n">
        <f aca="false">IF(OR(F350&lt;&gt;0,AND(I350&lt;&gt;"",E350&lt;I350)),1,0)</f>
        <v>0</v>
      </c>
      <c r="R350" s="56" t="n">
        <f aca="false">IF(AND(D350&gt;1,Q350=0,ISNUMBER(O350),ISNUMBER(P350)),IF(Q349=0,1,0),0)</f>
        <v>1</v>
      </c>
      <c r="S350" s="56" t="n">
        <f aca="false">R350*(B350&gt;=Train_Start)*(B350&lt;=Train_End)</f>
        <v>1</v>
      </c>
      <c r="T350" s="84" t="n">
        <f aca="false">IF(AND(ISNUMBER(O350),ISNUMBER(P350)),Coef_A+Coef_B1*O350+Coef_B2*P350,"")</f>
        <v>18.1239454413767</v>
      </c>
      <c r="U350" s="84" t="n">
        <f aca="false">IF(AND(R350=1,ISNUMBER(T350)),E350-T350,"")</f>
        <v>3.77605455862329</v>
      </c>
      <c r="V350" s="84" t="n">
        <f aca="false">IF(ISNUMBER(T350),T350,-99)</f>
        <v>18.1239454413767</v>
      </c>
      <c r="W350" s="84" t="n">
        <f aca="false">IF(ISNUMBER(U350),ABS(U350),"")</f>
        <v>3.77605455862329</v>
      </c>
    </row>
    <row r="351" customFormat="false" ht="15" hidden="false" customHeight="false" outlineLevel="0" collapsed="false">
      <c r="A351" s="57" t="n">
        <v>29750</v>
      </c>
      <c r="B351" s="56" t="n">
        <v>1981</v>
      </c>
      <c r="C351" s="56" t="n">
        <v>6</v>
      </c>
      <c r="D351" s="56" t="n">
        <v>44</v>
      </c>
      <c r="E351" s="56" t="n">
        <v>27</v>
      </c>
      <c r="F351" s="56" t="n">
        <v>0</v>
      </c>
      <c r="G351" s="56" t="n">
        <v>10.1</v>
      </c>
      <c r="H351" s="56" t="n">
        <v>0</v>
      </c>
      <c r="I351" s="56" t="n">
        <v>16</v>
      </c>
      <c r="J351" s="56" t="n">
        <v>0</v>
      </c>
      <c r="K351" s="56" t="n">
        <v>1028.7</v>
      </c>
      <c r="L351" s="56" t="n">
        <v>0</v>
      </c>
      <c r="M351" s="56" t="n">
        <v>73</v>
      </c>
      <c r="N351" s="56" t="n">
        <v>10.6</v>
      </c>
      <c r="O351" s="56" t="n">
        <f aca="false">IF(D351=1,"",E350)</f>
        <v>21.9</v>
      </c>
      <c r="P351" s="56" t="n">
        <f aca="false">IF(OR(D351=1,K350=""),"",K350)</f>
        <v>1025.4</v>
      </c>
      <c r="Q351" s="56" t="n">
        <f aca="false">IF(OR(F351&lt;&gt;0,AND(I351&lt;&gt;"",E351&lt;I351)),1,0)</f>
        <v>0</v>
      </c>
      <c r="R351" s="56" t="n">
        <f aca="false">IF(AND(D351&gt;1,Q351=0,ISNUMBER(O351),ISNUMBER(P351)),IF(Q350=0,1,0),0)</f>
        <v>1</v>
      </c>
      <c r="S351" s="56" t="n">
        <f aca="false">R351*(B351&gt;=Train_Start)*(B351&lt;=Train_End)</f>
        <v>1</v>
      </c>
      <c r="T351" s="84" t="n">
        <f aca="false">IF(AND(ISNUMBER(O351),ISNUMBER(P351)),Coef_A+Coef_B1*O351+Coef_B2*P351,"")</f>
        <v>22.1971937073226</v>
      </c>
      <c r="U351" s="84" t="n">
        <f aca="false">IF(AND(R351=1,ISNUMBER(T351)),E351-T351,"")</f>
        <v>4.80280629267737</v>
      </c>
      <c r="V351" s="84" t="n">
        <f aca="false">IF(ISNUMBER(T351),T351,-99)</f>
        <v>22.1971937073226</v>
      </c>
      <c r="W351" s="84" t="n">
        <f aca="false">IF(ISNUMBER(U351),ABS(U351),"")</f>
        <v>4.80280629267737</v>
      </c>
    </row>
    <row r="352" customFormat="false" ht="15" hidden="false" customHeight="false" outlineLevel="0" collapsed="false">
      <c r="A352" s="57" t="n">
        <v>29751</v>
      </c>
      <c r="B352" s="56" t="n">
        <v>1981</v>
      </c>
      <c r="C352" s="56" t="n">
        <v>6</v>
      </c>
      <c r="D352" s="56" t="n">
        <v>45</v>
      </c>
      <c r="E352" s="56" t="n">
        <v>21.1</v>
      </c>
      <c r="F352" s="56" t="n">
        <v>0</v>
      </c>
      <c r="G352" s="56" t="n">
        <v>12.6</v>
      </c>
      <c r="H352" s="56" t="n">
        <v>0</v>
      </c>
      <c r="I352" s="56" t="n">
        <v>19.8</v>
      </c>
      <c r="J352" s="56" t="n">
        <v>0</v>
      </c>
      <c r="K352" s="56" t="n">
        <v>1023.6</v>
      </c>
      <c r="L352" s="56" t="n">
        <v>0</v>
      </c>
      <c r="M352" s="56" t="n">
        <v>73</v>
      </c>
      <c r="N352" s="56" t="n">
        <v>12.8</v>
      </c>
      <c r="O352" s="56" t="n">
        <f aca="false">IF(D352=1,"",E351)</f>
        <v>27</v>
      </c>
      <c r="P352" s="56" t="n">
        <f aca="false">IF(OR(D352=1,K351=""),"",K351)</f>
        <v>1028.7</v>
      </c>
      <c r="Q352" s="56" t="n">
        <f aca="false">IF(OR(F352&lt;&gt;0,AND(I352&lt;&gt;"",E352&lt;I352)),1,0)</f>
        <v>0</v>
      </c>
      <c r="R352" s="56" t="n">
        <f aca="false">IF(AND(D352&gt;1,Q352=0,ISNUMBER(O352),ISNUMBER(P352)),IF(Q351=0,1,0),0)</f>
        <v>1</v>
      </c>
      <c r="S352" s="56" t="n">
        <f aca="false">R352*(B352&gt;=Train_Start)*(B352&lt;=Train_End)</f>
        <v>1</v>
      </c>
      <c r="T352" s="84" t="n">
        <f aca="false">IF(AND(ISNUMBER(O352),ISNUMBER(P352)),Coef_A+Coef_B1*O352+Coef_B2*P352,"")</f>
        <v>26.4793442441323</v>
      </c>
      <c r="U352" s="84" t="n">
        <f aca="false">IF(AND(R352=1,ISNUMBER(T352)),E352-T352,"")</f>
        <v>-5.37934424413234</v>
      </c>
      <c r="V352" s="84" t="n">
        <f aca="false">IF(ISNUMBER(T352),T352,-99)</f>
        <v>26.4793442441323</v>
      </c>
      <c r="W352" s="84" t="n">
        <f aca="false">IF(ISNUMBER(U352),ABS(U352),"")</f>
        <v>5.37934424413234</v>
      </c>
    </row>
    <row r="353" customFormat="false" ht="15" hidden="false" customHeight="false" outlineLevel="0" collapsed="false">
      <c r="A353" s="57" t="n">
        <v>29752</v>
      </c>
      <c r="B353" s="56" t="n">
        <v>1981</v>
      </c>
      <c r="C353" s="56" t="n">
        <v>6</v>
      </c>
      <c r="D353" s="56" t="n">
        <v>46</v>
      </c>
      <c r="E353" s="56" t="n">
        <v>17</v>
      </c>
      <c r="F353" s="56" t="n">
        <v>1</v>
      </c>
      <c r="G353" s="56" t="n">
        <v>15</v>
      </c>
      <c r="H353" s="56" t="n">
        <v>0</v>
      </c>
      <c r="I353" s="56" t="n">
        <v>18</v>
      </c>
      <c r="J353" s="56" t="n">
        <v>1</v>
      </c>
      <c r="K353" s="56" t="n">
        <v>1018.8</v>
      </c>
      <c r="L353" s="56" t="n">
        <v>0</v>
      </c>
      <c r="M353" s="56" t="n">
        <v>71</v>
      </c>
      <c r="N353" s="56" t="n">
        <v>6.7</v>
      </c>
      <c r="O353" s="56" t="n">
        <f aca="false">IF(D353=1,"",E352)</f>
        <v>21.1</v>
      </c>
      <c r="P353" s="56" t="n">
        <f aca="false">IF(OR(D353=1,K352=""),"",K352)</f>
        <v>1023.6</v>
      </c>
      <c r="Q353" s="56" t="n">
        <f aca="false">IF(OR(F353&lt;&gt;0,AND(I353&lt;&gt;"",E353&lt;I353)),1,0)</f>
        <v>1</v>
      </c>
      <c r="R353" s="56" t="n">
        <f aca="false">IF(AND(D353&gt;1,Q353=0,ISNUMBER(O353),ISNUMBER(P353)),IF(Q352=0,1,0),0)</f>
        <v>0</v>
      </c>
      <c r="S353" s="56" t="n">
        <f aca="false">R353*(B353&gt;=Train_Start)*(B353&lt;=Train_End)</f>
        <v>0</v>
      </c>
      <c r="T353" s="84" t="n">
        <f aca="false">IF(AND(ISNUMBER(O353),ISNUMBER(P353)),Coef_A+Coef_B1*O353+Coef_B2*P353,"")</f>
        <v>21.4852565425473</v>
      </c>
      <c r="U353" s="84" t="str">
        <f aca="false">IF(AND(R353=1,ISNUMBER(T353)),E353-T353,"")</f>
        <v/>
      </c>
      <c r="V353" s="84" t="n">
        <f aca="false">IF(ISNUMBER(T353),T353,-99)</f>
        <v>21.4852565425473</v>
      </c>
      <c r="W353" s="84" t="str">
        <f aca="false">IF(ISNUMBER(U353),ABS(U353),"")</f>
        <v/>
      </c>
    </row>
    <row r="354" customFormat="false" ht="15" hidden="false" customHeight="false" outlineLevel="0" collapsed="false">
      <c r="A354" s="57" t="n">
        <v>29753</v>
      </c>
      <c r="B354" s="56" t="n">
        <v>1981</v>
      </c>
      <c r="C354" s="56" t="n">
        <v>6</v>
      </c>
      <c r="D354" s="56" t="n">
        <v>47</v>
      </c>
      <c r="E354" s="56" t="n">
        <v>14</v>
      </c>
      <c r="F354" s="56" t="n">
        <v>0</v>
      </c>
      <c r="G354" s="56" t="n">
        <v>8.6</v>
      </c>
      <c r="H354" s="56" t="n">
        <v>0</v>
      </c>
      <c r="I354" s="56" t="n">
        <v>12.8</v>
      </c>
      <c r="J354" s="56" t="n">
        <v>0</v>
      </c>
      <c r="K354" s="56" t="n">
        <v>1021.9</v>
      </c>
      <c r="L354" s="56" t="n">
        <v>0</v>
      </c>
      <c r="M354" s="56" t="n">
        <v>64</v>
      </c>
      <c r="N354" s="56" t="n">
        <v>7.2</v>
      </c>
      <c r="O354" s="56" t="n">
        <f aca="false">IF(D354=1,"",E353)</f>
        <v>17</v>
      </c>
      <c r="P354" s="56" t="n">
        <f aca="false">IF(OR(D354=1,K353=""),"",K353)</f>
        <v>1018.8</v>
      </c>
      <c r="Q354" s="56" t="n">
        <f aca="false">IF(OR(F354&lt;&gt;0,AND(I354&lt;&gt;"",E354&lt;I354)),1,0)</f>
        <v>0</v>
      </c>
      <c r="R354" s="56" t="n">
        <f aca="false">IF(AND(D354&gt;1,Q354=0,ISNUMBER(O354),ISNUMBER(P354)),IF(Q353=0,1,0),0)</f>
        <v>0</v>
      </c>
      <c r="S354" s="56" t="n">
        <f aca="false">R354*(B354&gt;=Train_Start)*(B354&lt;=Train_End)</f>
        <v>0</v>
      </c>
      <c r="T354" s="84" t="n">
        <f aca="false">IF(AND(ISNUMBER(O354),ISNUMBER(P354)),Coef_A+Coef_B1*O354+Coef_B2*P354,"")</f>
        <v>17.9753903568293</v>
      </c>
      <c r="U354" s="84" t="str">
        <f aca="false">IF(AND(R354=1,ISNUMBER(T354)),E354-T354,"")</f>
        <v/>
      </c>
      <c r="V354" s="84" t="n">
        <f aca="false">IF(ISNUMBER(T354),T354,-99)</f>
        <v>17.9753903568293</v>
      </c>
      <c r="W354" s="84" t="str">
        <f aca="false">IF(ISNUMBER(U354),ABS(U354),"")</f>
        <v/>
      </c>
    </row>
    <row r="355" customFormat="false" ht="15" hidden="false" customHeight="false" outlineLevel="0" collapsed="false">
      <c r="A355" s="57" t="n">
        <v>29754</v>
      </c>
      <c r="B355" s="56" t="n">
        <v>1981</v>
      </c>
      <c r="C355" s="56" t="n">
        <v>6</v>
      </c>
      <c r="D355" s="56" t="n">
        <v>48</v>
      </c>
      <c r="E355" s="56" t="n">
        <v>17.9</v>
      </c>
      <c r="F355" s="56" t="n">
        <v>0</v>
      </c>
      <c r="G355" s="56" t="n">
        <v>10.9</v>
      </c>
      <c r="H355" s="56" t="n">
        <v>0</v>
      </c>
      <c r="I355" s="56" t="n">
        <v>12.4</v>
      </c>
      <c r="J355" s="56" t="n">
        <v>0</v>
      </c>
      <c r="K355" s="56" t="n">
        <v>1023.2</v>
      </c>
      <c r="L355" s="56" t="n">
        <v>0</v>
      </c>
      <c r="M355" s="56" t="n">
        <v>72</v>
      </c>
      <c r="N355" s="56" t="n">
        <v>1.1</v>
      </c>
      <c r="O355" s="56" t="n">
        <f aca="false">IF(D355=1,"",E354)</f>
        <v>14</v>
      </c>
      <c r="P355" s="56" t="n">
        <f aca="false">IF(OR(D355=1,K354=""),"",K354)</f>
        <v>1021.9</v>
      </c>
      <c r="Q355" s="56" t="n">
        <f aca="false">IF(OR(F355&lt;&gt;0,AND(I355&lt;&gt;"",E355&lt;I355)),1,0)</f>
        <v>0</v>
      </c>
      <c r="R355" s="56" t="n">
        <f aca="false">IF(AND(D355&gt;1,Q355=0,ISNUMBER(O355),ISNUMBER(P355)),IF(Q354=0,1,0),0)</f>
        <v>1</v>
      </c>
      <c r="S355" s="56" t="n">
        <f aca="false">R355*(B355&gt;=Train_Start)*(B355&lt;=Train_End)</f>
        <v>1</v>
      </c>
      <c r="T355" s="84" t="n">
        <f aca="false">IF(AND(ISNUMBER(O355),ISNUMBER(P355)),Coef_A+Coef_B1*O355+Coef_B2*P355,"")</f>
        <v>15.6146194510667</v>
      </c>
      <c r="U355" s="84" t="n">
        <f aca="false">IF(AND(R355=1,ISNUMBER(T355)),E355-T355,"")</f>
        <v>2.28538054893334</v>
      </c>
      <c r="V355" s="84" t="n">
        <f aca="false">IF(ISNUMBER(T355),T355,-99)</f>
        <v>15.6146194510667</v>
      </c>
      <c r="W355" s="84" t="n">
        <f aca="false">IF(ISNUMBER(U355),ABS(U355),"")</f>
        <v>2.28538054893334</v>
      </c>
    </row>
    <row r="356" customFormat="false" ht="15" hidden="false" customHeight="false" outlineLevel="0" collapsed="false">
      <c r="A356" s="57" t="n">
        <v>29755</v>
      </c>
      <c r="B356" s="56" t="n">
        <v>1981</v>
      </c>
      <c r="C356" s="56" t="n">
        <v>6</v>
      </c>
      <c r="D356" s="56" t="n">
        <v>49</v>
      </c>
      <c r="E356" s="56" t="n">
        <v>15.7</v>
      </c>
      <c r="F356" s="56" t="n">
        <v>0</v>
      </c>
      <c r="G356" s="56" t="n">
        <v>7.2</v>
      </c>
      <c r="H356" s="56" t="n">
        <v>0</v>
      </c>
      <c r="I356" s="56" t="n">
        <v>12.6</v>
      </c>
      <c r="J356" s="56" t="n">
        <v>0</v>
      </c>
      <c r="K356" s="56" t="n">
        <v>1026.8</v>
      </c>
      <c r="L356" s="56" t="n">
        <v>0</v>
      </c>
      <c r="M356" s="56" t="n">
        <v>71</v>
      </c>
      <c r="N356" s="56" t="n">
        <v>7.6</v>
      </c>
      <c r="O356" s="56" t="n">
        <f aca="false">IF(D356=1,"",E355)</f>
        <v>17.9</v>
      </c>
      <c r="P356" s="56" t="n">
        <f aca="false">IF(OR(D356=1,K355=""),"",K355)</f>
        <v>1023.2</v>
      </c>
      <c r="Q356" s="56" t="n">
        <f aca="false">IF(OR(F356&lt;&gt;0,AND(I356&lt;&gt;"",E356&lt;I356)),1,0)</f>
        <v>0</v>
      </c>
      <c r="R356" s="56" t="n">
        <f aca="false">IF(AND(D356&gt;1,Q356=0,ISNUMBER(O356),ISNUMBER(P356)),IF(Q355=0,1,0),0)</f>
        <v>1</v>
      </c>
      <c r="S356" s="56" t="n">
        <f aca="false">R356*(B356&gt;=Train_Start)*(B356&lt;=Train_End)</f>
        <v>1</v>
      </c>
      <c r="T356" s="84" t="n">
        <f aca="false">IF(AND(ISNUMBER(O356),ISNUMBER(P356)),Coef_A+Coef_B1*O356+Coef_B2*P356,"")</f>
        <v>18.8508231669572</v>
      </c>
      <c r="U356" s="84" t="n">
        <f aca="false">IF(AND(R356=1,ISNUMBER(T356)),E356-T356,"")</f>
        <v>-3.15082316695721</v>
      </c>
      <c r="V356" s="84" t="n">
        <f aca="false">IF(ISNUMBER(T356),T356,-99)</f>
        <v>18.8508231669572</v>
      </c>
      <c r="W356" s="84" t="n">
        <f aca="false">IF(ISNUMBER(U356),ABS(U356),"")</f>
        <v>3.15082316695721</v>
      </c>
    </row>
    <row r="357" customFormat="false" ht="15" hidden="false" customHeight="false" outlineLevel="0" collapsed="false">
      <c r="A357" s="57" t="n">
        <v>29756</v>
      </c>
      <c r="B357" s="56" t="n">
        <v>1981</v>
      </c>
      <c r="C357" s="56" t="n">
        <v>6</v>
      </c>
      <c r="D357" s="56" t="n">
        <v>50</v>
      </c>
      <c r="E357" s="56" t="n">
        <v>18.6</v>
      </c>
      <c r="F357" s="56" t="n">
        <v>0</v>
      </c>
      <c r="G357" s="56" t="n">
        <v>9.4</v>
      </c>
      <c r="H357" s="56" t="n">
        <v>0</v>
      </c>
      <c r="I357" s="56" t="n">
        <v>12.6</v>
      </c>
      <c r="J357" s="56" t="n">
        <v>0</v>
      </c>
      <c r="K357" s="56" t="n">
        <v>1021.9</v>
      </c>
      <c r="L357" s="56" t="n">
        <v>0</v>
      </c>
      <c r="M357" s="56" t="n">
        <v>79</v>
      </c>
      <c r="N357" s="56" t="n">
        <v>0.1</v>
      </c>
      <c r="O357" s="56" t="n">
        <f aca="false">IF(D357=1,"",E356)</f>
        <v>15.7</v>
      </c>
      <c r="P357" s="56" t="n">
        <f aca="false">IF(OR(D357=1,K356=""),"",K356)</f>
        <v>1026.8</v>
      </c>
      <c r="Q357" s="56" t="n">
        <f aca="false">IF(OR(F357&lt;&gt;0,AND(I357&lt;&gt;"",E357&lt;I357)),1,0)</f>
        <v>0</v>
      </c>
      <c r="R357" s="56" t="n">
        <f aca="false">IF(AND(D357&gt;1,Q357=0,ISNUMBER(O357),ISNUMBER(P357)),IF(Q356=0,1,0),0)</f>
        <v>1</v>
      </c>
      <c r="S357" s="56" t="n">
        <f aca="false">R357*(B357&gt;=Train_Start)*(B357&lt;=Train_End)</f>
        <v>1</v>
      </c>
      <c r="T357" s="84" t="n">
        <f aca="false">IF(AND(ISNUMBER(O357),ISNUMBER(P357)),Coef_A+Coef_B1*O357+Coef_B2*P357,"")</f>
        <v>17.1612085629457</v>
      </c>
      <c r="U357" s="84" t="n">
        <f aca="false">IF(AND(R357=1,ISNUMBER(T357)),E357-T357,"")</f>
        <v>1.43879143705427</v>
      </c>
      <c r="V357" s="84" t="n">
        <f aca="false">IF(ISNUMBER(T357),T357,-99)</f>
        <v>17.1612085629457</v>
      </c>
      <c r="W357" s="84" t="n">
        <f aca="false">IF(ISNUMBER(U357),ABS(U357),"")</f>
        <v>1.43879143705427</v>
      </c>
    </row>
    <row r="358" customFormat="false" ht="15" hidden="false" customHeight="false" outlineLevel="0" collapsed="false">
      <c r="A358" s="57" t="n">
        <v>29757</v>
      </c>
      <c r="B358" s="56" t="n">
        <v>1981</v>
      </c>
      <c r="C358" s="56" t="n">
        <v>6</v>
      </c>
      <c r="D358" s="56" t="n">
        <v>51</v>
      </c>
      <c r="E358" s="56" t="n">
        <v>18</v>
      </c>
      <c r="F358" s="56" t="n">
        <v>0</v>
      </c>
      <c r="G358" s="56" t="n">
        <v>11.7</v>
      </c>
      <c r="H358" s="56" t="n">
        <v>0</v>
      </c>
      <c r="I358" s="56" t="n">
        <v>15.2</v>
      </c>
      <c r="J358" s="56" t="n">
        <v>0</v>
      </c>
      <c r="K358" s="56" t="n">
        <v>1022.2</v>
      </c>
      <c r="L358" s="56" t="n">
        <v>0</v>
      </c>
      <c r="M358" s="56" t="n">
        <v>77</v>
      </c>
      <c r="N358" s="56" t="n">
        <v>1.8</v>
      </c>
      <c r="O358" s="56" t="n">
        <f aca="false">IF(D358=1,"",E357)</f>
        <v>18.6</v>
      </c>
      <c r="P358" s="56" t="n">
        <f aca="false">IF(OR(D358=1,K357=""),"",K357)</f>
        <v>1021.9</v>
      </c>
      <c r="Q358" s="56" t="n">
        <f aca="false">IF(OR(F358&lt;&gt;0,AND(I358&lt;&gt;"",E358&lt;I358)),1,0)</f>
        <v>0</v>
      </c>
      <c r="R358" s="56" t="n">
        <f aca="false">IF(AND(D358&gt;1,Q358=0,ISNUMBER(O358),ISNUMBER(P358)),IF(Q357=0,1,0),0)</f>
        <v>1</v>
      </c>
      <c r="S358" s="56" t="n">
        <f aca="false">R358*(B358&gt;=Train_Start)*(B358&lt;=Train_End)</f>
        <v>1</v>
      </c>
      <c r="T358" s="84" t="n">
        <f aca="false">IF(AND(ISNUMBER(O358),ISNUMBER(P358)),Coef_A+Coef_B1*O358+Coef_B2*P358,"")</f>
        <v>19.3835797390629</v>
      </c>
      <c r="U358" s="84" t="n">
        <f aca="false">IF(AND(R358=1,ISNUMBER(T358)),E358-T358,"")</f>
        <v>-1.38357973906289</v>
      </c>
      <c r="V358" s="84" t="n">
        <f aca="false">IF(ISNUMBER(T358),T358,-99)</f>
        <v>19.3835797390629</v>
      </c>
      <c r="W358" s="84" t="n">
        <f aca="false">IF(ISNUMBER(U358),ABS(U358),"")</f>
        <v>1.38357973906289</v>
      </c>
    </row>
    <row r="359" customFormat="false" ht="15" hidden="false" customHeight="false" outlineLevel="0" collapsed="false">
      <c r="A359" s="57" t="n">
        <v>29758</v>
      </c>
      <c r="B359" s="56" t="n">
        <v>1981</v>
      </c>
      <c r="C359" s="56" t="n">
        <v>6</v>
      </c>
      <c r="D359" s="56" t="n">
        <v>52</v>
      </c>
      <c r="E359" s="56" t="n">
        <v>22.8</v>
      </c>
      <c r="F359" s="56" t="n">
        <v>0</v>
      </c>
      <c r="G359" s="56" t="n">
        <v>10.8</v>
      </c>
      <c r="H359" s="56" t="n">
        <v>0</v>
      </c>
      <c r="I359" s="56" t="n">
        <v>14.4</v>
      </c>
      <c r="J359" s="56" t="n">
        <v>0</v>
      </c>
      <c r="K359" s="56" t="n">
        <v>1027.9</v>
      </c>
      <c r="L359" s="56" t="n">
        <v>0</v>
      </c>
      <c r="M359" s="56" t="n">
        <v>65</v>
      </c>
      <c r="N359" s="56" t="n">
        <v>10.6</v>
      </c>
      <c r="O359" s="56" t="n">
        <f aca="false">IF(D359=1,"",E358)</f>
        <v>18</v>
      </c>
      <c r="P359" s="56" t="n">
        <f aca="false">IF(OR(D359=1,K358=""),"",K358)</f>
        <v>1022.2</v>
      </c>
      <c r="Q359" s="56" t="n">
        <f aca="false">IF(OR(F359&lt;&gt;0,AND(I359&lt;&gt;"",E359&lt;I359)),1,0)</f>
        <v>0</v>
      </c>
      <c r="R359" s="56" t="n">
        <f aca="false">IF(AND(D359&gt;1,Q359=0,ISNUMBER(O359),ISNUMBER(P359)),IF(Q358=0,1,0),0)</f>
        <v>1</v>
      </c>
      <c r="S359" s="56" t="n">
        <f aca="false">R359*(B359&gt;=Train_Start)*(B359&lt;=Train_End)</f>
        <v>1</v>
      </c>
      <c r="T359" s="84" t="n">
        <f aca="false">IF(AND(ISNUMBER(O359),ISNUMBER(P359)),Coef_A+Coef_B1*O359+Coef_B2*P359,"")</f>
        <v>18.9013871916275</v>
      </c>
      <c r="U359" s="84" t="n">
        <f aca="false">IF(AND(R359=1,ISNUMBER(T359)),E359-T359,"")</f>
        <v>3.89861280837251</v>
      </c>
      <c r="V359" s="84" t="n">
        <f aca="false">IF(ISNUMBER(T359),T359,-99)</f>
        <v>18.9013871916275</v>
      </c>
      <c r="W359" s="84" t="n">
        <f aca="false">IF(ISNUMBER(U359),ABS(U359),"")</f>
        <v>3.89861280837251</v>
      </c>
    </row>
    <row r="360" customFormat="false" ht="15" hidden="false" customHeight="false" outlineLevel="0" collapsed="false">
      <c r="A360" s="57" t="n">
        <v>29759</v>
      </c>
      <c r="B360" s="56" t="n">
        <v>1981</v>
      </c>
      <c r="C360" s="56" t="n">
        <v>6</v>
      </c>
      <c r="D360" s="56" t="n">
        <v>53</v>
      </c>
      <c r="E360" s="56" t="n">
        <v>21.6</v>
      </c>
      <c r="F360" s="56" t="n">
        <v>0</v>
      </c>
      <c r="G360" s="56" t="n">
        <v>8.8</v>
      </c>
      <c r="H360" s="56" t="n">
        <v>0</v>
      </c>
      <c r="I360" s="56" t="n">
        <v>15.8</v>
      </c>
      <c r="J360" s="56" t="n">
        <v>0</v>
      </c>
      <c r="K360" s="56" t="n">
        <v>1027.6</v>
      </c>
      <c r="L360" s="56" t="n">
        <v>0</v>
      </c>
      <c r="M360" s="56" t="n">
        <v>64</v>
      </c>
      <c r="N360" s="56" t="n">
        <v>11</v>
      </c>
      <c r="O360" s="56" t="n">
        <f aca="false">IF(D360=1,"",E359)</f>
        <v>22.8</v>
      </c>
      <c r="P360" s="56" t="n">
        <f aca="false">IF(OR(D360=1,K359=""),"",K359)</f>
        <v>1027.9</v>
      </c>
      <c r="Q360" s="56" t="n">
        <f aca="false">IF(OR(F360&lt;&gt;0,AND(I360&lt;&gt;"",E360&lt;I360)),1,0)</f>
        <v>0</v>
      </c>
      <c r="R360" s="56" t="n">
        <f aca="false">IF(AND(D360&gt;1,Q360=0,ISNUMBER(O360),ISNUMBER(P360)),IF(Q359=0,1,0),0)</f>
        <v>1</v>
      </c>
      <c r="S360" s="56" t="n">
        <f aca="false">R360*(B360&gt;=Train_Start)*(B360&lt;=Train_End)</f>
        <v>1</v>
      </c>
      <c r="T360" s="84" t="n">
        <f aca="false">IF(AND(ISNUMBER(O360),ISNUMBER(P360)),Coef_A+Coef_B1*O360+Coef_B2*P360,"")</f>
        <v>23.013023717646</v>
      </c>
      <c r="U360" s="84" t="n">
        <f aca="false">IF(AND(R360=1,ISNUMBER(T360)),E360-T360,"")</f>
        <v>-1.41302371764599</v>
      </c>
      <c r="V360" s="84" t="n">
        <f aca="false">IF(ISNUMBER(T360),T360,-99)</f>
        <v>23.013023717646</v>
      </c>
      <c r="W360" s="84" t="n">
        <f aca="false">IF(ISNUMBER(U360),ABS(U360),"")</f>
        <v>1.41302371764599</v>
      </c>
    </row>
    <row r="361" customFormat="false" ht="15" hidden="false" customHeight="false" outlineLevel="0" collapsed="false">
      <c r="A361" s="57" t="n">
        <v>29760</v>
      </c>
      <c r="B361" s="56" t="n">
        <v>1981</v>
      </c>
      <c r="C361" s="56" t="n">
        <v>6</v>
      </c>
      <c r="D361" s="56" t="n">
        <v>54</v>
      </c>
      <c r="E361" s="56" t="n">
        <v>18</v>
      </c>
      <c r="F361" s="56" t="n">
        <v>0</v>
      </c>
      <c r="G361" s="56" t="n">
        <v>12.7</v>
      </c>
      <c r="H361" s="56" t="n">
        <v>0</v>
      </c>
      <c r="I361" s="56" t="n">
        <v>17.2</v>
      </c>
      <c r="J361" s="56" t="n">
        <v>0</v>
      </c>
      <c r="K361" s="56" t="n">
        <v>1023.5</v>
      </c>
      <c r="L361" s="56" t="n">
        <v>0</v>
      </c>
      <c r="M361" s="56" t="n">
        <v>68</v>
      </c>
      <c r="N361" s="56" t="n">
        <v>3.6</v>
      </c>
      <c r="O361" s="56" t="n">
        <f aca="false">IF(D361=1,"",E360)</f>
        <v>21.6</v>
      </c>
      <c r="P361" s="56" t="n">
        <f aca="false">IF(OR(D361=1,K360=""),"",K360)</f>
        <v>1027.6</v>
      </c>
      <c r="Q361" s="56" t="n">
        <f aca="false">IF(OR(F361&lt;&gt;0,AND(I361&lt;&gt;"",E361&lt;I361)),1,0)</f>
        <v>0</v>
      </c>
      <c r="R361" s="56" t="n">
        <f aca="false">IF(AND(D361&gt;1,Q361=0,ISNUMBER(O361),ISNUMBER(P361)),IF(Q360=0,1,0),0)</f>
        <v>1</v>
      </c>
      <c r="S361" s="56" t="n">
        <f aca="false">R361*(B361&gt;=Train_Start)*(B361&lt;=Train_End)</f>
        <v>1</v>
      </c>
      <c r="T361" s="84" t="n">
        <f aca="false">IF(AND(ISNUMBER(O361),ISNUMBER(P361)),Coef_A+Coef_B1*O361+Coef_B2*P361,"")</f>
        <v>22.0204057176046</v>
      </c>
      <c r="U361" s="84" t="n">
        <f aca="false">IF(AND(R361=1,ISNUMBER(T361)),E361-T361,"")</f>
        <v>-4.0204057176046</v>
      </c>
      <c r="V361" s="84" t="n">
        <f aca="false">IF(ISNUMBER(T361),T361,-99)</f>
        <v>22.0204057176046</v>
      </c>
      <c r="W361" s="84" t="n">
        <f aca="false">IF(ISNUMBER(U361),ABS(U361),"")</f>
        <v>4.0204057176046</v>
      </c>
    </row>
    <row r="362" customFormat="false" ht="15" hidden="false" customHeight="false" outlineLevel="0" collapsed="false">
      <c r="A362" s="57" t="n">
        <v>29761</v>
      </c>
      <c r="B362" s="56" t="n">
        <v>1981</v>
      </c>
      <c r="C362" s="56" t="n">
        <v>6</v>
      </c>
      <c r="D362" s="56" t="n">
        <v>55</v>
      </c>
      <c r="E362" s="56" t="n">
        <v>16</v>
      </c>
      <c r="F362" s="56" t="n">
        <v>0</v>
      </c>
      <c r="G362" s="56" t="n">
        <v>12.8</v>
      </c>
      <c r="H362" s="56" t="n">
        <v>0</v>
      </c>
      <c r="I362" s="56" t="n">
        <v>15.4</v>
      </c>
      <c r="J362" s="56" t="n">
        <v>0</v>
      </c>
      <c r="K362" s="56" t="n">
        <v>1017.9</v>
      </c>
      <c r="L362" s="56" t="n">
        <v>0</v>
      </c>
      <c r="M362" s="56" t="n">
        <v>82</v>
      </c>
      <c r="N362" s="56" t="n">
        <v>0.4</v>
      </c>
      <c r="O362" s="56" t="n">
        <f aca="false">IF(D362=1,"",E361)</f>
        <v>18</v>
      </c>
      <c r="P362" s="56" t="n">
        <f aca="false">IF(OR(D362=1,K361=""),"",K361)</f>
        <v>1023.5</v>
      </c>
      <c r="Q362" s="56" t="n">
        <f aca="false">IF(OR(F362&lt;&gt;0,AND(I362&lt;&gt;"",E362&lt;I362)),1,0)</f>
        <v>0</v>
      </c>
      <c r="R362" s="56" t="n">
        <f aca="false">IF(AND(D362&gt;1,Q362=0,ISNUMBER(O362),ISNUMBER(P362)),IF(Q361=0,1,0),0)</f>
        <v>1</v>
      </c>
      <c r="S362" s="56" t="n">
        <f aca="false">R362*(B362&gt;=Train_Start)*(B362&lt;=Train_End)</f>
        <v>1</v>
      </c>
      <c r="T362" s="84" t="n">
        <f aca="false">IF(AND(ISNUMBER(O362),ISNUMBER(P362)),Coef_A+Coef_B1*O362+Coef_B2*P362,"")</f>
        <v>18.9421680546517</v>
      </c>
      <c r="U362" s="84" t="n">
        <f aca="false">IF(AND(R362=1,ISNUMBER(T362)),E362-T362,"")</f>
        <v>-2.94216805465168</v>
      </c>
      <c r="V362" s="84" t="n">
        <f aca="false">IF(ISNUMBER(T362),T362,-99)</f>
        <v>18.9421680546517</v>
      </c>
      <c r="W362" s="84" t="n">
        <f aca="false">IF(ISNUMBER(U362),ABS(U362),"")</f>
        <v>2.94216805465168</v>
      </c>
    </row>
    <row r="363" customFormat="false" ht="15" hidden="false" customHeight="false" outlineLevel="0" collapsed="false">
      <c r="A363" s="57" t="n">
        <v>29762</v>
      </c>
      <c r="B363" s="56" t="n">
        <v>1981</v>
      </c>
      <c r="C363" s="56" t="n">
        <v>6</v>
      </c>
      <c r="D363" s="56" t="n">
        <v>56</v>
      </c>
      <c r="E363" s="56" t="n">
        <v>14.4</v>
      </c>
      <c r="F363" s="56" t="n">
        <v>0</v>
      </c>
      <c r="G363" s="56" t="n">
        <v>10.9</v>
      </c>
      <c r="H363" s="56" t="n">
        <v>0</v>
      </c>
      <c r="I363" s="56" t="n">
        <v>13.4</v>
      </c>
      <c r="J363" s="56" t="n">
        <v>0</v>
      </c>
      <c r="K363" s="56" t="n">
        <v>1018.1</v>
      </c>
      <c r="L363" s="56" t="n">
        <v>0</v>
      </c>
      <c r="M363" s="56" t="n">
        <v>74</v>
      </c>
      <c r="N363" s="56" t="n">
        <v>0.7</v>
      </c>
      <c r="O363" s="56" t="n">
        <f aca="false">IF(D363=1,"",E362)</f>
        <v>16</v>
      </c>
      <c r="P363" s="56" t="n">
        <f aca="false">IF(OR(D363=1,K362=""),"",K362)</f>
        <v>1017.9</v>
      </c>
      <c r="Q363" s="56" t="n">
        <f aca="false">IF(OR(F363&lt;&gt;0,AND(I363&lt;&gt;"",E363&lt;I363)),1,0)</f>
        <v>0</v>
      </c>
      <c r="R363" s="56" t="n">
        <f aca="false">IF(AND(D363&gt;1,Q363=0,ISNUMBER(O363),ISNUMBER(P363)),IF(Q362=0,1,0),0)</f>
        <v>1</v>
      </c>
      <c r="S363" s="56" t="n">
        <f aca="false">R363*(B363&gt;=Train_Start)*(B363&lt;=Train_End)</f>
        <v>1</v>
      </c>
      <c r="T363" s="84" t="n">
        <f aca="false">IF(AND(ISNUMBER(O363),ISNUMBER(P363)),Coef_A+Coef_B1*O363+Coef_B2*P363,"")</f>
        <v>17.127818258616</v>
      </c>
      <c r="U363" s="84" t="n">
        <f aca="false">IF(AND(R363=1,ISNUMBER(T363)),E363-T363,"")</f>
        <v>-2.72781825861602</v>
      </c>
      <c r="V363" s="84" t="n">
        <f aca="false">IF(ISNUMBER(T363),T363,-99)</f>
        <v>17.127818258616</v>
      </c>
      <c r="W363" s="84" t="n">
        <f aca="false">IF(ISNUMBER(U363),ABS(U363),"")</f>
        <v>2.72781825861602</v>
      </c>
    </row>
    <row r="364" customFormat="false" ht="15" hidden="false" customHeight="false" outlineLevel="0" collapsed="false">
      <c r="A364" s="57" t="n">
        <v>29763</v>
      </c>
      <c r="B364" s="56" t="n">
        <v>1981</v>
      </c>
      <c r="C364" s="56" t="n">
        <v>6</v>
      </c>
      <c r="D364" s="56" t="n">
        <v>57</v>
      </c>
      <c r="E364" s="56" t="n">
        <v>15.6</v>
      </c>
      <c r="F364" s="56" t="n">
        <v>0</v>
      </c>
      <c r="G364" s="56" t="n">
        <v>10.1</v>
      </c>
      <c r="H364" s="56" t="n">
        <v>0</v>
      </c>
      <c r="I364" s="56" t="n">
        <v>12.2</v>
      </c>
      <c r="J364" s="56" t="n">
        <v>0</v>
      </c>
      <c r="K364" s="56" t="n">
        <v>1015.4</v>
      </c>
      <c r="L364" s="56" t="n">
        <v>0</v>
      </c>
      <c r="M364" s="56" t="n">
        <v>76</v>
      </c>
      <c r="N364" s="56" t="n">
        <v>0.1</v>
      </c>
      <c r="O364" s="56" t="n">
        <f aca="false">IF(D364=1,"",E363)</f>
        <v>14.4</v>
      </c>
      <c r="P364" s="56" t="n">
        <f aca="false">IF(OR(D364=1,K363=""),"",K363)</f>
        <v>1018.1</v>
      </c>
      <c r="Q364" s="56" t="n">
        <f aca="false">IF(OR(F364&lt;&gt;0,AND(I364&lt;&gt;"",E364&lt;I364)),1,0)</f>
        <v>0</v>
      </c>
      <c r="R364" s="56" t="n">
        <f aca="false">IF(AND(D364&gt;1,Q364=0,ISNUMBER(O364),ISNUMBER(P364)),IF(Q363=0,1,0),0)</f>
        <v>1</v>
      </c>
      <c r="S364" s="56" t="n">
        <f aca="false">R364*(B364&gt;=Train_Start)*(B364&lt;=Train_End)</f>
        <v>1</v>
      </c>
      <c r="T364" s="84" t="n">
        <f aca="false">IF(AND(ISNUMBER(O364),ISNUMBER(P364)),Coef_A+Coef_B1*O364+Coef_B2*P364,"")</f>
        <v>15.8231495286746</v>
      </c>
      <c r="U364" s="84" t="n">
        <f aca="false">IF(AND(R364=1,ISNUMBER(T364)),E364-T364,"")</f>
        <v>-0.22314952867457</v>
      </c>
      <c r="V364" s="84" t="n">
        <f aca="false">IF(ISNUMBER(T364),T364,-99)</f>
        <v>15.8231495286746</v>
      </c>
      <c r="W364" s="84" t="n">
        <f aca="false">IF(ISNUMBER(U364),ABS(U364),"")</f>
        <v>0.22314952867457</v>
      </c>
    </row>
    <row r="365" customFormat="false" ht="15" hidden="false" customHeight="false" outlineLevel="0" collapsed="false">
      <c r="A365" s="57" t="n">
        <v>29764</v>
      </c>
      <c r="B365" s="56" t="n">
        <v>1981</v>
      </c>
      <c r="C365" s="56" t="n">
        <v>6</v>
      </c>
      <c r="D365" s="56" t="n">
        <v>58</v>
      </c>
      <c r="E365" s="56" t="n">
        <v>14.4</v>
      </c>
      <c r="F365" s="56" t="n">
        <v>0</v>
      </c>
      <c r="G365" s="56" t="n">
        <v>8.5</v>
      </c>
      <c r="H365" s="56" t="n">
        <v>0</v>
      </c>
      <c r="I365" s="56" t="n">
        <v>12</v>
      </c>
      <c r="J365" s="56" t="n">
        <v>0</v>
      </c>
      <c r="K365" s="56" t="n">
        <v>1017.3</v>
      </c>
      <c r="L365" s="56" t="n">
        <v>0</v>
      </c>
      <c r="M365" s="56" t="n">
        <v>62</v>
      </c>
      <c r="N365" s="56" t="n">
        <v>5.8</v>
      </c>
      <c r="O365" s="56" t="n">
        <f aca="false">IF(D365=1,"",E364)</f>
        <v>15.6</v>
      </c>
      <c r="P365" s="56" t="n">
        <f aca="false">IF(OR(D365=1,K364=""),"",K364)</f>
        <v>1015.4</v>
      </c>
      <c r="Q365" s="56" t="n">
        <f aca="false">IF(OR(F365&lt;&gt;0,AND(I365&lt;&gt;"",E365&lt;I365)),1,0)</f>
        <v>0</v>
      </c>
      <c r="R365" s="56" t="n">
        <f aca="false">IF(AND(D365&gt;1,Q365=0,ISNUMBER(O365),ISNUMBER(P365)),IF(Q364=0,1,0),0)</f>
        <v>1</v>
      </c>
      <c r="S365" s="56" t="n">
        <f aca="false">R365*(B365&gt;=Train_Start)*(B365&lt;=Train_End)</f>
        <v>1</v>
      </c>
      <c r="T365" s="84" t="n">
        <f aca="false">IF(AND(ISNUMBER(O365),ISNUMBER(P365)),Coef_A+Coef_B1*O365+Coef_B2*P365,"")</f>
        <v>16.721657844814</v>
      </c>
      <c r="U365" s="84" t="n">
        <f aca="false">IF(AND(R365=1,ISNUMBER(T365)),E365-T365,"")</f>
        <v>-2.32165784481398</v>
      </c>
      <c r="V365" s="84" t="n">
        <f aca="false">IF(ISNUMBER(T365),T365,-99)</f>
        <v>16.721657844814</v>
      </c>
      <c r="W365" s="84" t="n">
        <f aca="false">IF(ISNUMBER(U365),ABS(U365),"")</f>
        <v>2.32165784481398</v>
      </c>
    </row>
    <row r="366" customFormat="false" ht="15" hidden="false" customHeight="false" outlineLevel="0" collapsed="false">
      <c r="A366" s="57" t="n">
        <v>29765</v>
      </c>
      <c r="B366" s="56" t="n">
        <v>1981</v>
      </c>
      <c r="C366" s="56" t="n">
        <v>6</v>
      </c>
      <c r="D366" s="56" t="n">
        <v>59</v>
      </c>
      <c r="E366" s="56" t="n">
        <v>19.1</v>
      </c>
      <c r="F366" s="56" t="n">
        <v>0</v>
      </c>
      <c r="G366" s="56" t="n">
        <v>7.6</v>
      </c>
      <c r="H366" s="56" t="n">
        <v>0</v>
      </c>
      <c r="I366" s="56" t="n">
        <v>11</v>
      </c>
      <c r="J366" s="56" t="n">
        <v>0</v>
      </c>
      <c r="K366" s="56" t="n">
        <v>1019.2</v>
      </c>
      <c r="L366" s="56" t="n">
        <v>0</v>
      </c>
      <c r="M366" s="56" t="n">
        <v>66</v>
      </c>
      <c r="N366" s="56" t="n">
        <v>3.2</v>
      </c>
      <c r="O366" s="56" t="n">
        <f aca="false">IF(D366=1,"",E365)</f>
        <v>14.4</v>
      </c>
      <c r="P366" s="56" t="n">
        <f aca="false">IF(OR(D366=1,K365=""),"",K365)</f>
        <v>1017.3</v>
      </c>
      <c r="Q366" s="56" t="n">
        <f aca="false">IF(OR(F366&lt;&gt;0,AND(I366&lt;&gt;"",E366&lt;I366)),1,0)</f>
        <v>0</v>
      </c>
      <c r="R366" s="56" t="n">
        <f aca="false">IF(AND(D366&gt;1,Q366=0,ISNUMBER(O366),ISNUMBER(P366)),IF(Q365=0,1,0),0)</f>
        <v>1</v>
      </c>
      <c r="S366" s="56" t="n">
        <f aca="false">R366*(B366&gt;=Train_Start)*(B366&lt;=Train_End)</f>
        <v>1</v>
      </c>
      <c r="T366" s="84" t="n">
        <f aca="false">IF(AND(ISNUMBER(O366),ISNUMBER(P366)),Coef_A+Coef_B1*O366+Coef_B2*P366,"")</f>
        <v>15.7980536129674</v>
      </c>
      <c r="U366" s="84" t="n">
        <f aca="false">IF(AND(R366=1,ISNUMBER(T366)),E366-T366,"")</f>
        <v>3.30194638703263</v>
      </c>
      <c r="V366" s="84" t="n">
        <f aca="false">IF(ISNUMBER(T366),T366,-99)</f>
        <v>15.7980536129674</v>
      </c>
      <c r="W366" s="84" t="n">
        <f aca="false">IF(ISNUMBER(U366),ABS(U366),"")</f>
        <v>3.30194638703263</v>
      </c>
    </row>
    <row r="367" customFormat="false" ht="15" hidden="false" customHeight="false" outlineLevel="0" collapsed="false">
      <c r="A367" s="57" t="n">
        <v>29766</v>
      </c>
      <c r="B367" s="56" t="n">
        <v>1981</v>
      </c>
      <c r="C367" s="56" t="n">
        <v>6</v>
      </c>
      <c r="D367" s="56" t="n">
        <v>60</v>
      </c>
      <c r="E367" s="56" t="n">
        <v>21.8</v>
      </c>
      <c r="F367" s="56" t="n">
        <v>0</v>
      </c>
      <c r="G367" s="56" t="n">
        <v>5.5</v>
      </c>
      <c r="H367" s="56" t="n">
        <v>0</v>
      </c>
      <c r="I367" s="56" t="n">
        <v>12.3</v>
      </c>
      <c r="J367" s="56" t="n">
        <v>0</v>
      </c>
      <c r="K367" s="56" t="n">
        <v>1021.7</v>
      </c>
      <c r="L367" s="56" t="n">
        <v>0</v>
      </c>
      <c r="M367" s="56" t="n">
        <v>65</v>
      </c>
      <c r="N367" s="56" t="n">
        <v>7.8</v>
      </c>
      <c r="O367" s="56" t="n">
        <f aca="false">IF(D367=1,"",E366)</f>
        <v>19.1</v>
      </c>
      <c r="P367" s="56" t="n">
        <f aca="false">IF(OR(D367=1,K366=""),"",K366)</f>
        <v>1019.2</v>
      </c>
      <c r="Q367" s="56" t="n">
        <f aca="false">IF(OR(F367&lt;&gt;0,AND(I367&lt;&gt;"",E367&lt;I367)),1,0)</f>
        <v>0</v>
      </c>
      <c r="R367" s="56" t="n">
        <f aca="false">IF(AND(D367&gt;1,Q367=0,ISNUMBER(O367),ISNUMBER(P367)),IF(Q366=0,1,0),0)</f>
        <v>1</v>
      </c>
      <c r="S367" s="56" t="n">
        <f aca="false">R367*(B367&gt;=Train_Start)*(B367&lt;=Train_End)</f>
        <v>1</v>
      </c>
      <c r="T367" s="84" t="n">
        <f aca="false">IF(AND(ISNUMBER(O367),ISNUMBER(P367)),Coef_A+Coef_B1*O367+Coef_B2*P367,"")</f>
        <v>19.7085506200724</v>
      </c>
      <c r="U367" s="84" t="n">
        <f aca="false">IF(AND(R367=1,ISNUMBER(T367)),E367-T367,"")</f>
        <v>2.09144937992755</v>
      </c>
      <c r="V367" s="84" t="n">
        <f aca="false">IF(ISNUMBER(T367),T367,-99)</f>
        <v>19.7085506200724</v>
      </c>
      <c r="W367" s="84" t="n">
        <f aca="false">IF(ISNUMBER(U367),ABS(U367),"")</f>
        <v>2.09144937992755</v>
      </c>
    </row>
    <row r="368" customFormat="false" ht="15" hidden="false" customHeight="false" outlineLevel="0" collapsed="false">
      <c r="A368" s="57" t="n">
        <v>29767</v>
      </c>
      <c r="B368" s="56" t="n">
        <v>1981</v>
      </c>
      <c r="C368" s="56" t="n">
        <v>6</v>
      </c>
      <c r="D368" s="56" t="n">
        <v>61</v>
      </c>
      <c r="E368" s="56" t="n">
        <v>21</v>
      </c>
      <c r="F368" s="56" t="n">
        <v>0</v>
      </c>
      <c r="G368" s="56" t="n">
        <v>9.5</v>
      </c>
      <c r="H368" s="56" t="n">
        <v>0</v>
      </c>
      <c r="I368" s="56" t="n">
        <v>15.6</v>
      </c>
      <c r="J368" s="56" t="n">
        <v>0</v>
      </c>
      <c r="K368" s="56" t="n">
        <v>1017.9</v>
      </c>
      <c r="L368" s="56" t="n">
        <v>0</v>
      </c>
      <c r="M368" s="56" t="n">
        <v>74</v>
      </c>
      <c r="N368" s="56" t="n">
        <v>4.9</v>
      </c>
      <c r="O368" s="56" t="n">
        <f aca="false">IF(D368=1,"",E367)</f>
        <v>21.8</v>
      </c>
      <c r="P368" s="56" t="n">
        <f aca="false">IF(OR(D368=1,K367=""),"",K367)</f>
        <v>1021.7</v>
      </c>
      <c r="Q368" s="56" t="n">
        <f aca="false">IF(OR(F368&lt;&gt;0,AND(I368&lt;&gt;"",E368&lt;I368)),1,0)</f>
        <v>0</v>
      </c>
      <c r="R368" s="56" t="n">
        <f aca="false">IF(AND(D368&gt;1,Q368=0,ISNUMBER(O368),ISNUMBER(P368)),IF(Q367=0,1,0),0)</f>
        <v>1</v>
      </c>
      <c r="S368" s="56" t="n">
        <f aca="false">R368*(B368&gt;=Train_Start)*(B368&lt;=Train_End)</f>
        <v>1</v>
      </c>
      <c r="T368" s="84" t="n">
        <f aca="false">IF(AND(ISNUMBER(O368),ISNUMBER(P368)),Coef_A+Coef_B1*O368+Coef_B2*P368,"")</f>
        <v>21.9991911778726</v>
      </c>
      <c r="U368" s="84" t="n">
        <f aca="false">IF(AND(R368=1,ISNUMBER(T368)),E368-T368,"")</f>
        <v>-0.9991911778726</v>
      </c>
      <c r="V368" s="84" t="n">
        <f aca="false">IF(ISNUMBER(T368),T368,-99)</f>
        <v>21.9991911778726</v>
      </c>
      <c r="W368" s="84" t="n">
        <f aca="false">IF(ISNUMBER(U368),ABS(U368),"")</f>
        <v>0.9991911778726</v>
      </c>
    </row>
    <row r="369" customFormat="false" ht="15" hidden="false" customHeight="false" outlineLevel="0" collapsed="false">
      <c r="A369" s="57" t="n">
        <v>29768</v>
      </c>
      <c r="B369" s="56" t="n">
        <v>1981</v>
      </c>
      <c r="C369" s="56" t="n">
        <v>7</v>
      </c>
      <c r="D369" s="56" t="n">
        <v>62</v>
      </c>
      <c r="E369" s="56" t="n">
        <v>18.2</v>
      </c>
      <c r="F369" s="56" t="n">
        <v>0</v>
      </c>
      <c r="G369" s="56" t="n">
        <v>11.5</v>
      </c>
      <c r="H369" s="56" t="n">
        <v>0</v>
      </c>
      <c r="I369" s="56" t="n">
        <v>16.2</v>
      </c>
      <c r="J369" s="56" t="n">
        <v>0</v>
      </c>
      <c r="K369" s="56" t="n">
        <v>1012.2</v>
      </c>
      <c r="L369" s="56" t="n">
        <v>0</v>
      </c>
      <c r="M369" s="56" t="n">
        <v>74</v>
      </c>
      <c r="N369" s="56" t="n">
        <v>3</v>
      </c>
      <c r="O369" s="56" t="n">
        <f aca="false">IF(D369=1,"",E368)</f>
        <v>21</v>
      </c>
      <c r="P369" s="56" t="n">
        <f aca="false">IF(OR(D369=1,K368=""),"",K368)</f>
        <v>1017.9</v>
      </c>
      <c r="Q369" s="56" t="n">
        <f aca="false">IF(OR(F369&lt;&gt;0,AND(I369&lt;&gt;"",E369&lt;I369)),1,0)</f>
        <v>0</v>
      </c>
      <c r="R369" s="56" t="n">
        <f aca="false">IF(AND(D369&gt;1,Q369=0,ISNUMBER(O369),ISNUMBER(P369)),IF(Q368=0,1,0),0)</f>
        <v>1</v>
      </c>
      <c r="S369" s="56" t="n">
        <f aca="false">R369*(B369&gt;=Train_Start)*(B369&lt;=Train_End)</f>
        <v>1</v>
      </c>
      <c r="T369" s="84" t="n">
        <f aca="false">IF(AND(ISNUMBER(O369),ISNUMBER(P369)),Coef_A+Coef_B1*O369+Coef_B2*P369,"")</f>
        <v>21.2245142238293</v>
      </c>
      <c r="U369" s="84" t="n">
        <f aca="false">IF(AND(R369=1,ISNUMBER(T369)),E369-T369,"")</f>
        <v>-3.02451422382931</v>
      </c>
      <c r="V369" s="84" t="n">
        <f aca="false">IF(ISNUMBER(T369),T369,-99)</f>
        <v>21.2245142238293</v>
      </c>
      <c r="W369" s="84" t="n">
        <f aca="false">IF(ISNUMBER(U369),ABS(U369),"")</f>
        <v>3.02451422382931</v>
      </c>
    </row>
    <row r="370" customFormat="false" ht="15" hidden="false" customHeight="false" outlineLevel="0" collapsed="false">
      <c r="A370" s="57" t="n">
        <v>29769</v>
      </c>
      <c r="B370" s="56" t="n">
        <v>1981</v>
      </c>
      <c r="C370" s="56" t="n">
        <v>7</v>
      </c>
      <c r="D370" s="56" t="n">
        <v>63</v>
      </c>
      <c r="E370" s="56" t="n">
        <v>18</v>
      </c>
      <c r="F370" s="56" t="n">
        <v>0</v>
      </c>
      <c r="G370" s="56" t="n">
        <v>9.1</v>
      </c>
      <c r="H370" s="56" t="n">
        <v>0</v>
      </c>
      <c r="I370" s="56" t="n">
        <v>13.6</v>
      </c>
      <c r="J370" s="56" t="n">
        <v>0</v>
      </c>
      <c r="K370" s="56" t="n">
        <v>1007.8</v>
      </c>
      <c r="L370" s="56" t="n">
        <v>0</v>
      </c>
      <c r="M370" s="56" t="n">
        <v>68</v>
      </c>
      <c r="N370" s="56" t="n">
        <v>4.8</v>
      </c>
      <c r="O370" s="56" t="n">
        <f aca="false">IF(D370=1,"",E369)</f>
        <v>18.2</v>
      </c>
      <c r="P370" s="56" t="n">
        <f aca="false">IF(OR(D370=1,K369=""),"",K369)</f>
        <v>1012.2</v>
      </c>
      <c r="Q370" s="56" t="n">
        <f aca="false">IF(OR(F370&lt;&gt;0,AND(I370&lt;&gt;"",E370&lt;I370)),1,0)</f>
        <v>0</v>
      </c>
      <c r="R370" s="56" t="n">
        <f aca="false">IF(AND(D370&gt;1,Q370=0,ISNUMBER(O370),ISNUMBER(P370)),IF(Q369=0,1,0),0)</f>
        <v>1</v>
      </c>
      <c r="S370" s="56" t="n">
        <f aca="false">R370*(B370&gt;=Train_Start)*(B370&lt;=Train_End)</f>
        <v>1</v>
      </c>
      <c r="T370" s="84" t="n">
        <f aca="false">IF(AND(ISNUMBER(O370),ISNUMBER(P370)),Coef_A+Coef_B1*O370+Coef_B2*P370,"")</f>
        <v>18.7515560838961</v>
      </c>
      <c r="U370" s="84" t="n">
        <f aca="false">IF(AND(R370=1,ISNUMBER(T370)),E370-T370,"")</f>
        <v>-0.751556083896126</v>
      </c>
      <c r="V370" s="84" t="n">
        <f aca="false">IF(ISNUMBER(T370),T370,-99)</f>
        <v>18.7515560838961</v>
      </c>
      <c r="W370" s="84" t="n">
        <f aca="false">IF(ISNUMBER(U370),ABS(U370),"")</f>
        <v>0.751556083896126</v>
      </c>
    </row>
    <row r="371" customFormat="false" ht="15" hidden="false" customHeight="false" outlineLevel="0" collapsed="false">
      <c r="A371" s="57" t="n">
        <v>29770</v>
      </c>
      <c r="B371" s="56" t="n">
        <v>1981</v>
      </c>
      <c r="C371" s="56" t="n">
        <v>7</v>
      </c>
      <c r="D371" s="56" t="n">
        <v>64</v>
      </c>
      <c r="E371" s="56" t="n">
        <v>19.4</v>
      </c>
      <c r="F371" s="56" t="n">
        <v>0</v>
      </c>
      <c r="G371" s="56" t="n">
        <v>9.9</v>
      </c>
      <c r="H371" s="56" t="n">
        <v>0</v>
      </c>
      <c r="I371" s="56" t="n">
        <v>14</v>
      </c>
      <c r="J371" s="56" t="n">
        <v>0</v>
      </c>
      <c r="K371" s="56" t="n">
        <v>1008</v>
      </c>
      <c r="L371" s="56" t="n">
        <v>0</v>
      </c>
      <c r="M371" s="56" t="n">
        <v>74</v>
      </c>
      <c r="N371" s="56" t="n">
        <v>8.3</v>
      </c>
      <c r="O371" s="56" t="n">
        <f aca="false">IF(D371=1,"",E370)</f>
        <v>18</v>
      </c>
      <c r="P371" s="56" t="n">
        <f aca="false">IF(OR(D371=1,K370=""),"",K370)</f>
        <v>1007.8</v>
      </c>
      <c r="Q371" s="56" t="n">
        <f aca="false">IF(OR(F371&lt;&gt;0,AND(I371&lt;&gt;"",E371&lt;I371)),1,0)</f>
        <v>0</v>
      </c>
      <c r="R371" s="56" t="n">
        <f aca="false">IF(AND(D371&gt;1,Q371=0,ISNUMBER(O371),ISNUMBER(P371)),IF(Q370=0,1,0),0)</f>
        <v>1</v>
      </c>
      <c r="S371" s="56" t="n">
        <f aca="false">R371*(B371&gt;=Train_Start)*(B371&lt;=Train_End)</f>
        <v>1</v>
      </c>
      <c r="T371" s="84" t="n">
        <f aca="false">IF(AND(ISNUMBER(O371),ISNUMBER(P371)),Coef_A+Coef_B1*O371+Coef_B2*P371,"")</f>
        <v>18.449660708898</v>
      </c>
      <c r="U371" s="84" t="n">
        <f aca="false">IF(AND(R371=1,ISNUMBER(T371)),E371-T371,"")</f>
        <v>0.950339291101955</v>
      </c>
      <c r="V371" s="84" t="n">
        <f aca="false">IF(ISNUMBER(T371),T371,-99)</f>
        <v>18.449660708898</v>
      </c>
      <c r="W371" s="84" t="n">
        <f aca="false">IF(ISNUMBER(U371),ABS(U371),"")</f>
        <v>0.950339291101955</v>
      </c>
    </row>
    <row r="372" customFormat="false" ht="15" hidden="false" customHeight="false" outlineLevel="0" collapsed="false">
      <c r="A372" s="57" t="n">
        <v>29771</v>
      </c>
      <c r="B372" s="56" t="n">
        <v>1981</v>
      </c>
      <c r="C372" s="56" t="n">
        <v>7</v>
      </c>
      <c r="D372" s="56" t="n">
        <v>65</v>
      </c>
      <c r="E372" s="56" t="n">
        <v>21.6</v>
      </c>
      <c r="F372" s="56" t="n">
        <v>0</v>
      </c>
      <c r="G372" s="56" t="n">
        <v>10.5</v>
      </c>
      <c r="H372" s="56" t="n">
        <v>0</v>
      </c>
      <c r="I372" s="56" t="n">
        <v>15</v>
      </c>
      <c r="J372" s="56" t="n">
        <v>0</v>
      </c>
      <c r="K372" s="56" t="n">
        <v>1016.7</v>
      </c>
      <c r="L372" s="56" t="n">
        <v>0</v>
      </c>
      <c r="M372" s="56" t="n">
        <v>82</v>
      </c>
      <c r="N372" s="56" t="n">
        <v>1.7</v>
      </c>
      <c r="O372" s="56" t="n">
        <f aca="false">IF(D372=1,"",E371)</f>
        <v>19.4</v>
      </c>
      <c r="P372" s="56" t="n">
        <f aca="false">IF(OR(D372=1,K371=""),"",K371)</f>
        <v>1008</v>
      </c>
      <c r="Q372" s="56" t="n">
        <f aca="false">IF(OR(F372&lt;&gt;0,AND(I372&lt;&gt;"",E372&lt;I372)),1,0)</f>
        <v>0</v>
      </c>
      <c r="R372" s="56" t="n">
        <f aca="false">IF(AND(D372&gt;1,Q372=0,ISNUMBER(O372),ISNUMBER(P372)),IF(Q371=0,1,0),0)</f>
        <v>1</v>
      </c>
      <c r="S372" s="56" t="n">
        <f aca="false">R372*(B372&gt;=Train_Start)*(B372&lt;=Train_End)</f>
        <v>1</v>
      </c>
      <c r="T372" s="84" t="n">
        <f aca="false">IF(AND(ISNUMBER(O372),ISNUMBER(P372)),Coef_A+Coef_B1*O372+Coef_B2*P372,"")</f>
        <v>19.6030095580846</v>
      </c>
      <c r="U372" s="84" t="n">
        <f aca="false">IF(AND(R372=1,ISNUMBER(T372)),E372-T372,"")</f>
        <v>1.99699044191544</v>
      </c>
      <c r="V372" s="84" t="n">
        <f aca="false">IF(ISNUMBER(T372),T372,-99)</f>
        <v>19.6030095580846</v>
      </c>
      <c r="W372" s="84" t="n">
        <f aca="false">IF(ISNUMBER(U372),ABS(U372),"")</f>
        <v>1.99699044191544</v>
      </c>
    </row>
    <row r="373" customFormat="false" ht="15" hidden="false" customHeight="false" outlineLevel="0" collapsed="false">
      <c r="A373" s="57" t="n">
        <v>29772</v>
      </c>
      <c r="B373" s="56" t="n">
        <v>1981</v>
      </c>
      <c r="C373" s="56" t="n">
        <v>7</v>
      </c>
      <c r="D373" s="56" t="n">
        <v>66</v>
      </c>
      <c r="E373" s="56" t="n">
        <v>22.6</v>
      </c>
      <c r="F373" s="56" t="n">
        <v>0</v>
      </c>
      <c r="G373" s="56" t="n">
        <v>13</v>
      </c>
      <c r="H373" s="56" t="n">
        <v>0</v>
      </c>
      <c r="I373" s="56" t="n">
        <v>17.3</v>
      </c>
      <c r="J373" s="56" t="n">
        <v>0</v>
      </c>
      <c r="K373" s="56" t="n">
        <v>1017.1</v>
      </c>
      <c r="L373" s="56" t="n">
        <v>0</v>
      </c>
      <c r="M373" s="56" t="n">
        <v>74</v>
      </c>
      <c r="N373" s="56" t="n">
        <v>4.8</v>
      </c>
      <c r="O373" s="56" t="n">
        <f aca="false">IF(D373=1,"",E372)</f>
        <v>21.6</v>
      </c>
      <c r="P373" s="56" t="n">
        <f aca="false">IF(OR(D373=1,K372=""),"",K372)</f>
        <v>1016.7</v>
      </c>
      <c r="Q373" s="56" t="n">
        <f aca="false">IF(OR(F373&lt;&gt;0,AND(I373&lt;&gt;"",E373&lt;I373)),1,0)</f>
        <v>0</v>
      </c>
      <c r="R373" s="56" t="n">
        <f aca="false">IF(AND(D373&gt;1,Q373=0,ISNUMBER(O373),ISNUMBER(P373)),IF(Q372=0,1,0),0)</f>
        <v>1</v>
      </c>
      <c r="S373" s="56" t="n">
        <f aca="false">R373*(B373&gt;=Train_Start)*(B373&lt;=Train_End)</f>
        <v>1</v>
      </c>
      <c r="T373" s="84" t="n">
        <f aca="false">IF(AND(ISNUMBER(O373),ISNUMBER(P373)),Coef_A+Coef_B1*O373+Coef_B2*P373,"")</f>
        <v>21.6784738660941</v>
      </c>
      <c r="U373" s="84" t="n">
        <f aca="false">IF(AND(R373=1,ISNUMBER(T373)),E373-T373,"")</f>
        <v>0.921526133905882</v>
      </c>
      <c r="V373" s="84" t="n">
        <f aca="false">IF(ISNUMBER(T373),T373,-99)</f>
        <v>21.6784738660941</v>
      </c>
      <c r="W373" s="84" t="n">
        <f aca="false">IF(ISNUMBER(U373),ABS(U373),"")</f>
        <v>0.921526133905882</v>
      </c>
    </row>
    <row r="374" customFormat="false" ht="15" hidden="false" customHeight="false" outlineLevel="0" collapsed="false">
      <c r="A374" s="57" t="n">
        <v>29773</v>
      </c>
      <c r="B374" s="56" t="n">
        <v>1981</v>
      </c>
      <c r="C374" s="56" t="n">
        <v>7</v>
      </c>
      <c r="D374" s="56" t="n">
        <v>67</v>
      </c>
      <c r="E374" s="56" t="n">
        <v>24.6</v>
      </c>
      <c r="F374" s="56" t="n">
        <v>0</v>
      </c>
      <c r="G374" s="56" t="n">
        <v>14.4</v>
      </c>
      <c r="H374" s="56" t="n">
        <v>0</v>
      </c>
      <c r="I374" s="56" t="n">
        <v>18.5</v>
      </c>
      <c r="J374" s="56" t="n">
        <v>0</v>
      </c>
      <c r="K374" s="56" t="n">
        <v>1018.5</v>
      </c>
      <c r="L374" s="56" t="n">
        <v>0</v>
      </c>
      <c r="M374" s="56" t="n">
        <v>70</v>
      </c>
      <c r="N374" s="56" t="n">
        <v>9.7</v>
      </c>
      <c r="O374" s="56" t="n">
        <f aca="false">IF(D374=1,"",E373)</f>
        <v>22.6</v>
      </c>
      <c r="P374" s="56" t="n">
        <f aca="false">IF(OR(D374=1,K373=""),"",K373)</f>
        <v>1017.1</v>
      </c>
      <c r="Q374" s="56" t="n">
        <f aca="false">IF(OR(F374&lt;&gt;0,AND(I374&lt;&gt;"",E374&lt;I374)),1,0)</f>
        <v>0</v>
      </c>
      <c r="R374" s="56" t="n">
        <f aca="false">IF(AND(D374&gt;1,Q374=0,ISNUMBER(O374),ISNUMBER(P374)),IF(Q373=0,1,0),0)</f>
        <v>1</v>
      </c>
      <c r="S374" s="56" t="n">
        <f aca="false">R374*(B374&gt;=Train_Start)*(B374&lt;=Train_End)</f>
        <v>1</v>
      </c>
      <c r="T374" s="84" t="n">
        <f aca="false">IF(AND(ISNUMBER(O374),ISNUMBER(P374)),Coef_A+Coef_B1*O374+Coef_B2*P374,"")</f>
        <v>22.5103610169904</v>
      </c>
      <c r="U374" s="84" t="n">
        <f aca="false">IF(AND(R374=1,ISNUMBER(T374)),E374-T374,"")</f>
        <v>2.08963898300963</v>
      </c>
      <c r="V374" s="84" t="n">
        <f aca="false">IF(ISNUMBER(T374),T374,-99)</f>
        <v>22.5103610169904</v>
      </c>
      <c r="W374" s="84" t="n">
        <f aca="false">IF(ISNUMBER(U374),ABS(U374),"")</f>
        <v>2.08963898300963</v>
      </c>
    </row>
    <row r="375" customFormat="false" ht="15" hidden="false" customHeight="false" outlineLevel="0" collapsed="false">
      <c r="A375" s="57" t="n">
        <v>29774</v>
      </c>
      <c r="B375" s="56" t="n">
        <v>1981</v>
      </c>
      <c r="C375" s="56" t="n">
        <v>7</v>
      </c>
      <c r="D375" s="56" t="n">
        <v>68</v>
      </c>
      <c r="E375" s="56" t="n">
        <v>27.8</v>
      </c>
      <c r="F375" s="56" t="n">
        <v>0</v>
      </c>
      <c r="G375" s="56" t="n">
        <v>14.3</v>
      </c>
      <c r="H375" s="56" t="n">
        <v>0</v>
      </c>
      <c r="I375" s="56" t="n">
        <v>19.4</v>
      </c>
      <c r="J375" s="56" t="n">
        <v>0</v>
      </c>
      <c r="K375" s="56" t="n">
        <v>1021</v>
      </c>
      <c r="L375" s="56" t="n">
        <v>0</v>
      </c>
      <c r="M375" s="56" t="n">
        <v>66</v>
      </c>
      <c r="N375" s="56" t="n">
        <v>11.6</v>
      </c>
      <c r="O375" s="56" t="n">
        <f aca="false">IF(D375=1,"",E374)</f>
        <v>24.6</v>
      </c>
      <c r="P375" s="56" t="n">
        <f aca="false">IF(OR(D375=1,K374=""),"",K374)</f>
        <v>1018.5</v>
      </c>
      <c r="Q375" s="56" t="n">
        <f aca="false">IF(OR(F375&lt;&gt;0,AND(I375&lt;&gt;"",E375&lt;I375)),1,0)</f>
        <v>0</v>
      </c>
      <c r="R375" s="56" t="n">
        <f aca="false">IF(AND(D375&gt;1,Q375=0,ISNUMBER(O375),ISNUMBER(P375)),IF(Q374=0,1,0),0)</f>
        <v>1</v>
      </c>
      <c r="S375" s="56" t="n">
        <f aca="false">R375*(B375&gt;=Train_Start)*(B375&lt;=Train_End)</f>
        <v>1</v>
      </c>
      <c r="T375" s="84" t="n">
        <f aca="false">IF(AND(ISNUMBER(O375),ISNUMBER(P375)),Coef_A+Coef_B1*O375+Coef_B2*P375,"")</f>
        <v>24.1929572555633</v>
      </c>
      <c r="U375" s="84" t="n">
        <f aca="false">IF(AND(R375=1,ISNUMBER(T375)),E375-T375,"")</f>
        <v>3.60704274443673</v>
      </c>
      <c r="V375" s="84" t="n">
        <f aca="false">IF(ISNUMBER(T375),T375,-99)</f>
        <v>24.1929572555633</v>
      </c>
      <c r="W375" s="84" t="n">
        <f aca="false">IF(ISNUMBER(U375),ABS(U375),"")</f>
        <v>3.60704274443673</v>
      </c>
    </row>
    <row r="376" customFormat="false" ht="15" hidden="false" customHeight="false" outlineLevel="0" collapsed="false">
      <c r="A376" s="57" t="n">
        <v>29775</v>
      </c>
      <c r="B376" s="56" t="n">
        <v>1981</v>
      </c>
      <c r="C376" s="56" t="n">
        <v>7</v>
      </c>
      <c r="D376" s="56" t="n">
        <v>69</v>
      </c>
      <c r="E376" s="56" t="n">
        <v>27.4</v>
      </c>
      <c r="F376" s="56" t="n">
        <v>0</v>
      </c>
      <c r="G376" s="56" t="n">
        <v>13.7</v>
      </c>
      <c r="H376" s="56" t="n">
        <v>0</v>
      </c>
      <c r="I376" s="56" t="n">
        <v>20.8</v>
      </c>
      <c r="J376" s="56" t="n">
        <v>0</v>
      </c>
      <c r="K376" s="56" t="n">
        <v>1016.7</v>
      </c>
      <c r="L376" s="56" t="n">
        <v>0</v>
      </c>
      <c r="M376" s="56" t="n">
        <v>67</v>
      </c>
      <c r="N376" s="56" t="n">
        <v>6.7</v>
      </c>
      <c r="O376" s="56" t="n">
        <f aca="false">IF(D376=1,"",E375)</f>
        <v>27.8</v>
      </c>
      <c r="P376" s="56" t="n">
        <f aca="false">IF(OR(D376=1,K375=""),"",K375)</f>
        <v>1021</v>
      </c>
      <c r="Q376" s="56" t="n">
        <f aca="false">IF(OR(F376&lt;&gt;0,AND(I376&lt;&gt;"",E376&lt;I376)),1,0)</f>
        <v>0</v>
      </c>
      <c r="R376" s="56" t="n">
        <f aca="false">IF(AND(D376&gt;1,Q376=0,ISNUMBER(O376),ISNUMBER(P376)),IF(Q375=0,1,0),0)</f>
        <v>1</v>
      </c>
      <c r="S376" s="56" t="n">
        <f aca="false">R376*(B376&gt;=Train_Start)*(B376&lt;=Train_End)</f>
        <v>1</v>
      </c>
      <c r="T376" s="84" t="n">
        <f aca="false">IF(AND(ISNUMBER(O376),ISNUMBER(P376)),Coef_A+Coef_B1*O376+Coef_B2*P376,"")</f>
        <v>26.8932674098847</v>
      </c>
      <c r="U376" s="84" t="n">
        <f aca="false">IF(AND(R376=1,ISNUMBER(T376)),E376-T376,"")</f>
        <v>0.506732590115252</v>
      </c>
      <c r="V376" s="84" t="n">
        <f aca="false">IF(ISNUMBER(T376),T376,-99)</f>
        <v>26.8932674098847</v>
      </c>
      <c r="W376" s="84" t="n">
        <f aca="false">IF(ISNUMBER(U376),ABS(U376),"")</f>
        <v>0.506732590115252</v>
      </c>
    </row>
    <row r="377" customFormat="false" ht="15" hidden="false" customHeight="false" outlineLevel="0" collapsed="false">
      <c r="A377" s="57" t="n">
        <v>29776</v>
      </c>
      <c r="B377" s="56" t="n">
        <v>1981</v>
      </c>
      <c r="C377" s="56" t="n">
        <v>7</v>
      </c>
      <c r="D377" s="56" t="n">
        <v>70</v>
      </c>
      <c r="E377" s="56" t="n">
        <v>21.5</v>
      </c>
      <c r="F377" s="56" t="n">
        <v>1</v>
      </c>
      <c r="G377" s="56" t="n">
        <v>17.4</v>
      </c>
      <c r="H377" s="56" t="n">
        <v>0</v>
      </c>
      <c r="I377" s="56" t="n">
        <v>22.4</v>
      </c>
      <c r="J377" s="56" t="n">
        <v>1</v>
      </c>
      <c r="K377" s="56" t="n">
        <v>1013.2</v>
      </c>
      <c r="L377" s="56" t="n">
        <v>0</v>
      </c>
      <c r="M377" s="56" t="n">
        <v>73</v>
      </c>
      <c r="N377" s="56" t="n">
        <v>3.8</v>
      </c>
      <c r="O377" s="56" t="n">
        <f aca="false">IF(D377=1,"",E376)</f>
        <v>27.4</v>
      </c>
      <c r="P377" s="56" t="n">
        <f aca="false">IF(OR(D377=1,K376=""),"",K376)</f>
        <v>1016.7</v>
      </c>
      <c r="Q377" s="56" t="n">
        <f aca="false">IF(OR(F377&lt;&gt;0,AND(I377&lt;&gt;"",E377&lt;I377)),1,0)</f>
        <v>1</v>
      </c>
      <c r="R377" s="56" t="n">
        <f aca="false">IF(AND(D377&gt;1,Q377=0,ISNUMBER(O377),ISNUMBER(P377)),IF(Q376=0,1,0),0)</f>
        <v>0</v>
      </c>
      <c r="S377" s="56" t="n">
        <f aca="false">R377*(B377&gt;=Train_Start)*(B377&lt;=Train_End)</f>
        <v>0</v>
      </c>
      <c r="T377" s="84" t="n">
        <f aca="false">IF(AND(ISNUMBER(O377),ISNUMBER(P377)),Coef_A+Coef_B1*O377+Coef_B2*P377,"")</f>
        <v>26.4306411857415</v>
      </c>
      <c r="U377" s="84" t="str">
        <f aca="false">IF(AND(R377=1,ISNUMBER(T377)),E377-T377,"")</f>
        <v/>
      </c>
      <c r="V377" s="84" t="n">
        <f aca="false">IF(ISNUMBER(T377),T377,-99)</f>
        <v>26.4306411857415</v>
      </c>
      <c r="W377" s="84" t="str">
        <f aca="false">IF(ISNUMBER(U377),ABS(U377),"")</f>
        <v/>
      </c>
    </row>
    <row r="378" customFormat="false" ht="15" hidden="false" customHeight="false" outlineLevel="0" collapsed="false">
      <c r="A378" s="57" t="n">
        <v>29777</v>
      </c>
      <c r="B378" s="56" t="n">
        <v>1981</v>
      </c>
      <c r="C378" s="56" t="n">
        <v>7</v>
      </c>
      <c r="D378" s="56" t="n">
        <v>71</v>
      </c>
      <c r="E378" s="56" t="n">
        <v>23.1</v>
      </c>
      <c r="F378" s="56" t="n">
        <v>0</v>
      </c>
      <c r="G378" s="56" t="n">
        <v>15.7</v>
      </c>
      <c r="H378" s="56" t="n">
        <v>0</v>
      </c>
      <c r="I378" s="56" t="n">
        <v>18.6</v>
      </c>
      <c r="J378" s="56" t="n">
        <v>0</v>
      </c>
      <c r="K378" s="56" t="n">
        <v>1016.6</v>
      </c>
      <c r="L378" s="56" t="n">
        <v>0</v>
      </c>
      <c r="M378" s="56" t="n">
        <v>77</v>
      </c>
      <c r="N378" s="56" t="n">
        <v>1.3</v>
      </c>
      <c r="O378" s="56" t="n">
        <f aca="false">IF(D378=1,"",E377)</f>
        <v>21.5</v>
      </c>
      <c r="P378" s="56" t="n">
        <f aca="false">IF(OR(D378=1,K377=""),"",K377)</f>
        <v>1013.2</v>
      </c>
      <c r="Q378" s="56" t="n">
        <f aca="false">IF(OR(F378&lt;&gt;0,AND(I378&lt;&gt;"",E378&lt;I378)),1,0)</f>
        <v>0</v>
      </c>
      <c r="R378" s="56" t="n">
        <f aca="false">IF(AND(D378&gt;1,Q378=0,ISNUMBER(O378),ISNUMBER(P378)),IF(Q377=0,1,0),0)</f>
        <v>0</v>
      </c>
      <c r="S378" s="56" t="n">
        <f aca="false">R378*(B378&gt;=Train_Start)*(B378&lt;=Train_End)</f>
        <v>0</v>
      </c>
      <c r="T378" s="84" t="n">
        <f aca="false">IF(AND(ISNUMBER(O378),ISNUMBER(P378)),Coef_A+Coef_B1*O378+Coef_B2*P378,"")</f>
        <v>21.4867453155709</v>
      </c>
      <c r="U378" s="84" t="str">
        <f aca="false">IF(AND(R378=1,ISNUMBER(T378)),E378-T378,"")</f>
        <v/>
      </c>
      <c r="V378" s="84" t="n">
        <f aca="false">IF(ISNUMBER(T378),T378,-99)</f>
        <v>21.4867453155709</v>
      </c>
      <c r="W378" s="84" t="str">
        <f aca="false">IF(ISNUMBER(U378),ABS(U378),"")</f>
        <v/>
      </c>
    </row>
    <row r="379" customFormat="false" ht="15" hidden="false" customHeight="false" outlineLevel="0" collapsed="false">
      <c r="A379" s="57" t="n">
        <v>29778</v>
      </c>
      <c r="B379" s="56" t="n">
        <v>1981</v>
      </c>
      <c r="C379" s="56" t="n">
        <v>7</v>
      </c>
      <c r="D379" s="56" t="n">
        <v>72</v>
      </c>
      <c r="E379" s="56" t="n">
        <v>20.9</v>
      </c>
      <c r="F379" s="56" t="n">
        <v>0</v>
      </c>
      <c r="G379" s="56" t="n">
        <v>12.5</v>
      </c>
      <c r="H379" s="56" t="n">
        <v>0</v>
      </c>
      <c r="I379" s="56" t="n">
        <v>17.8</v>
      </c>
      <c r="J379" s="56" t="n">
        <v>0</v>
      </c>
      <c r="K379" s="56" t="n">
        <v>1016.6</v>
      </c>
      <c r="L379" s="56" t="n">
        <v>0</v>
      </c>
      <c r="M379" s="56" t="n">
        <v>72</v>
      </c>
      <c r="N379" s="56" t="n">
        <v>4.9</v>
      </c>
      <c r="O379" s="56" t="n">
        <f aca="false">IF(D379=1,"",E378)</f>
        <v>23.1</v>
      </c>
      <c r="P379" s="56" t="n">
        <f aca="false">IF(OR(D379=1,K378=""),"",K378)</f>
        <v>1016.6</v>
      </c>
      <c r="Q379" s="56" t="n">
        <f aca="false">IF(OR(F379&lt;&gt;0,AND(I379&lt;&gt;"",E379&lt;I379)),1,0)</f>
        <v>0</v>
      </c>
      <c r="R379" s="56" t="n">
        <f aca="false">IF(AND(D379&gt;1,Q379=0,ISNUMBER(O379),ISNUMBER(P379)),IF(Q378=0,1,0),0)</f>
        <v>1</v>
      </c>
      <c r="S379" s="56" t="n">
        <f aca="false">R379*(B379&gt;=Train_Start)*(B379&lt;=Train_End)</f>
        <v>1</v>
      </c>
      <c r="T379" s="84" t="n">
        <f aca="false">IF(AND(ISNUMBER(O379),ISNUMBER(P379)),Coef_A+Coef_B1*O379+Coef_B2*P379,"")</f>
        <v>22.9043456661947</v>
      </c>
      <c r="U379" s="84" t="n">
        <f aca="false">IF(AND(R379=1,ISNUMBER(T379)),E379-T379,"")</f>
        <v>-2.00434566619471</v>
      </c>
      <c r="V379" s="84" t="n">
        <f aca="false">IF(ISNUMBER(T379),T379,-99)</f>
        <v>22.9043456661947</v>
      </c>
      <c r="W379" s="84" t="n">
        <f aca="false">IF(ISNUMBER(U379),ABS(U379),"")</f>
        <v>2.00434566619471</v>
      </c>
    </row>
    <row r="380" customFormat="false" ht="15" hidden="false" customHeight="false" outlineLevel="0" collapsed="false">
      <c r="A380" s="57" t="n">
        <v>29779</v>
      </c>
      <c r="B380" s="56" t="n">
        <v>1981</v>
      </c>
      <c r="C380" s="56" t="n">
        <v>7</v>
      </c>
      <c r="D380" s="56" t="n">
        <v>73</v>
      </c>
      <c r="E380" s="56" t="n">
        <v>22.9</v>
      </c>
      <c r="F380" s="56" t="n">
        <v>0</v>
      </c>
      <c r="G380" s="56" t="n">
        <v>13.1</v>
      </c>
      <c r="H380" s="56" t="n">
        <v>0</v>
      </c>
      <c r="I380" s="56" t="n">
        <v>17</v>
      </c>
      <c r="J380" s="56" t="n">
        <v>0</v>
      </c>
      <c r="K380" s="56" t="n">
        <v>1017.8</v>
      </c>
      <c r="L380" s="56" t="n">
        <v>0</v>
      </c>
      <c r="M380" s="56" t="n">
        <v>76</v>
      </c>
      <c r="N380" s="56" t="n">
        <v>2.1</v>
      </c>
      <c r="O380" s="56" t="n">
        <f aca="false">IF(D380=1,"",E379)</f>
        <v>20.9</v>
      </c>
      <c r="P380" s="56" t="n">
        <f aca="false">IF(OR(D380=1,K379=""),"",K379)</f>
        <v>1016.6</v>
      </c>
      <c r="Q380" s="56" t="n">
        <f aca="false">IF(OR(F380&lt;&gt;0,AND(I380&lt;&gt;"",E380&lt;I380)),1,0)</f>
        <v>0</v>
      </c>
      <c r="R380" s="56" t="n">
        <f aca="false">IF(AND(D380&gt;1,Q380=0,ISNUMBER(O380),ISNUMBER(P380)),IF(Q379=0,1,0),0)</f>
        <v>1</v>
      </c>
      <c r="S380" s="56" t="n">
        <f aca="false">R380*(B380&gt;=Train_Start)*(B380&lt;=Train_End)</f>
        <v>1</v>
      </c>
      <c r="T380" s="84" t="n">
        <f aca="false">IF(AND(ISNUMBER(O380),ISNUMBER(P380)),Coef_A+Coef_B1*O380+Coef_B2*P380,"")</f>
        <v>21.1017994415009</v>
      </c>
      <c r="U380" s="84" t="n">
        <f aca="false">IF(AND(R380=1,ISNUMBER(T380)),E380-T380,"")</f>
        <v>1.79820055849914</v>
      </c>
      <c r="V380" s="84" t="n">
        <f aca="false">IF(ISNUMBER(T380),T380,-99)</f>
        <v>21.1017994415009</v>
      </c>
      <c r="W380" s="84" t="n">
        <f aca="false">IF(ISNUMBER(U380),ABS(U380),"")</f>
        <v>1.79820055849914</v>
      </c>
    </row>
    <row r="381" customFormat="false" ht="15" hidden="false" customHeight="false" outlineLevel="0" collapsed="false">
      <c r="A381" s="57" t="n">
        <v>29780</v>
      </c>
      <c r="B381" s="56" t="n">
        <v>1981</v>
      </c>
      <c r="C381" s="56" t="n">
        <v>7</v>
      </c>
      <c r="D381" s="56" t="n">
        <v>74</v>
      </c>
      <c r="E381" s="56" t="n">
        <v>23</v>
      </c>
      <c r="F381" s="56" t="n">
        <v>0</v>
      </c>
      <c r="G381" s="56" t="n">
        <v>14.6</v>
      </c>
      <c r="H381" s="56" t="n">
        <v>0</v>
      </c>
      <c r="I381" s="56" t="n">
        <v>18.8</v>
      </c>
      <c r="J381" s="56" t="n">
        <v>0</v>
      </c>
      <c r="K381" s="56" t="n">
        <v>1018.1</v>
      </c>
      <c r="L381" s="56" t="n">
        <v>0</v>
      </c>
      <c r="M381" s="56" t="n">
        <v>72</v>
      </c>
      <c r="N381" s="56" t="n">
        <v>5.2</v>
      </c>
      <c r="O381" s="56" t="n">
        <f aca="false">IF(D381=1,"",E380)</f>
        <v>22.9</v>
      </c>
      <c r="P381" s="56" t="n">
        <f aca="false">IF(OR(D381=1,K380=""),"",K380)</f>
        <v>1017.8</v>
      </c>
      <c r="Q381" s="56" t="n">
        <f aca="false">IF(OR(F381&lt;&gt;0,AND(I381&lt;&gt;"",E381&lt;I381)),1,0)</f>
        <v>0</v>
      </c>
      <c r="R381" s="56" t="n">
        <f aca="false">IF(AND(D381&gt;1,Q381=0,ISNUMBER(O381),ISNUMBER(P381)),IF(Q380=0,1,0),0)</f>
        <v>1</v>
      </c>
      <c r="S381" s="56" t="n">
        <f aca="false">R381*(B381&gt;=Train_Start)*(B381&lt;=Train_End)</f>
        <v>1</v>
      </c>
      <c r="T381" s="84" t="n">
        <f aca="false">IF(AND(ISNUMBER(O381),ISNUMBER(P381)),Coef_A+Coef_B1*O381+Coef_B2*P381,"")</f>
        <v>22.778121701147</v>
      </c>
      <c r="U381" s="84" t="n">
        <f aca="false">IF(AND(R381=1,ISNUMBER(T381)),E381-T381,"")</f>
        <v>0.221878298853042</v>
      </c>
      <c r="V381" s="84" t="n">
        <f aca="false">IF(ISNUMBER(T381),T381,-99)</f>
        <v>22.778121701147</v>
      </c>
      <c r="W381" s="84" t="n">
        <f aca="false">IF(ISNUMBER(U381),ABS(U381),"")</f>
        <v>0.221878298853042</v>
      </c>
    </row>
    <row r="382" customFormat="false" ht="15" hidden="false" customHeight="false" outlineLevel="0" collapsed="false">
      <c r="A382" s="57" t="n">
        <v>29781</v>
      </c>
      <c r="B382" s="56" t="n">
        <v>1981</v>
      </c>
      <c r="C382" s="56" t="n">
        <v>7</v>
      </c>
      <c r="D382" s="56" t="n">
        <v>75</v>
      </c>
      <c r="E382" s="56" t="n">
        <v>22.6</v>
      </c>
      <c r="F382" s="56" t="n">
        <v>0</v>
      </c>
      <c r="G382" s="56" t="n">
        <v>14</v>
      </c>
      <c r="H382" s="56" t="n">
        <v>0</v>
      </c>
      <c r="I382" s="56" t="n">
        <v>18.5</v>
      </c>
      <c r="J382" s="56" t="n">
        <v>0</v>
      </c>
      <c r="K382" s="56" t="n">
        <v>1021.7</v>
      </c>
      <c r="L382" s="56" t="n">
        <v>0</v>
      </c>
      <c r="M382" s="56" t="n">
        <v>65</v>
      </c>
      <c r="N382" s="56" t="n">
        <v>6.3</v>
      </c>
      <c r="O382" s="56" t="n">
        <f aca="false">IF(D382=1,"",E381)</f>
        <v>23</v>
      </c>
      <c r="P382" s="56" t="n">
        <f aca="false">IF(OR(D382=1,K381=""),"",K381)</f>
        <v>1018.1</v>
      </c>
      <c r="Q382" s="56" t="n">
        <f aca="false">IF(OR(F382&lt;&gt;0,AND(I382&lt;&gt;"",E382&lt;I382)),1,0)</f>
        <v>0</v>
      </c>
      <c r="R382" s="56" t="n">
        <f aca="false">IF(AND(D382&gt;1,Q382=0,ISNUMBER(O382),ISNUMBER(P382)),IF(Q381=0,1,0),0)</f>
        <v>1</v>
      </c>
      <c r="S382" s="56" t="n">
        <f aca="false">R382*(B382&gt;=Train_Start)*(B382&lt;=Train_End)</f>
        <v>1</v>
      </c>
      <c r="T382" s="84" t="n">
        <f aca="false">IF(AND(ISNUMBER(O382),ISNUMBER(P382)),Coef_A+Coef_B1*O382+Coef_B2*P382,"")</f>
        <v>22.8694665888414</v>
      </c>
      <c r="U382" s="84" t="n">
        <f aca="false">IF(AND(R382=1,ISNUMBER(T382)),E382-T382,"")</f>
        <v>-0.269466588841425</v>
      </c>
      <c r="V382" s="84" t="n">
        <f aca="false">IF(ISNUMBER(T382),T382,-99)</f>
        <v>22.8694665888414</v>
      </c>
      <c r="W382" s="84" t="n">
        <f aca="false">IF(ISNUMBER(U382),ABS(U382),"")</f>
        <v>0.269466588841425</v>
      </c>
    </row>
    <row r="383" customFormat="false" ht="15" hidden="false" customHeight="false" outlineLevel="0" collapsed="false">
      <c r="A383" s="57" t="n">
        <v>29782</v>
      </c>
      <c r="B383" s="56" t="n">
        <v>1981</v>
      </c>
      <c r="C383" s="56" t="n">
        <v>7</v>
      </c>
      <c r="D383" s="56" t="n">
        <v>76</v>
      </c>
      <c r="E383" s="56" t="n">
        <v>21.5</v>
      </c>
      <c r="F383" s="56" t="n">
        <v>0</v>
      </c>
      <c r="G383" s="56" t="n">
        <v>14.6</v>
      </c>
      <c r="H383" s="56" t="n">
        <v>0</v>
      </c>
      <c r="I383" s="56" t="n">
        <v>18.6</v>
      </c>
      <c r="J383" s="56" t="n">
        <v>0</v>
      </c>
      <c r="K383" s="56" t="n">
        <v>1020.3</v>
      </c>
      <c r="L383" s="56" t="n">
        <v>0</v>
      </c>
      <c r="M383" s="56" t="n">
        <v>69</v>
      </c>
      <c r="N383" s="56" t="n">
        <v>3.8</v>
      </c>
      <c r="O383" s="56" t="n">
        <f aca="false">IF(D383=1,"",E382)</f>
        <v>22.6</v>
      </c>
      <c r="P383" s="56" t="n">
        <f aca="false">IF(OR(D383=1,K382=""),"",K382)</f>
        <v>1021.7</v>
      </c>
      <c r="Q383" s="56" t="n">
        <f aca="false">IF(OR(F383&lt;&gt;0,AND(I383&lt;&gt;"",E383&lt;I383)),1,0)</f>
        <v>0</v>
      </c>
      <c r="R383" s="56" t="n">
        <f aca="false">IF(AND(D383&gt;1,Q383=0,ISNUMBER(O383),ISNUMBER(P383)),IF(Q382=0,1,0),0)</f>
        <v>1</v>
      </c>
      <c r="S383" s="56" t="n">
        <f aca="false">R383*(B383&gt;=Train_Start)*(B383&lt;=Train_End)</f>
        <v>1</v>
      </c>
      <c r="T383" s="84" t="n">
        <f aca="false">IF(AND(ISNUMBER(O383),ISNUMBER(P383)),Coef_A+Coef_B1*O383+Coef_B2*P383,"")</f>
        <v>22.6546625323067</v>
      </c>
      <c r="U383" s="84" t="n">
        <f aca="false">IF(AND(R383=1,ISNUMBER(T383)),E383-T383,"")</f>
        <v>-1.15466253230673</v>
      </c>
      <c r="V383" s="84" t="n">
        <f aca="false">IF(ISNUMBER(T383),T383,-99)</f>
        <v>22.6546625323067</v>
      </c>
      <c r="W383" s="84" t="n">
        <f aca="false">IF(ISNUMBER(U383),ABS(U383),"")</f>
        <v>1.15466253230673</v>
      </c>
    </row>
    <row r="384" customFormat="false" ht="15" hidden="false" customHeight="false" outlineLevel="0" collapsed="false">
      <c r="A384" s="57" t="n">
        <v>29783</v>
      </c>
      <c r="B384" s="56" t="n">
        <v>1981</v>
      </c>
      <c r="C384" s="56" t="n">
        <v>7</v>
      </c>
      <c r="D384" s="56" t="n">
        <v>77</v>
      </c>
      <c r="E384" s="56" t="n">
        <v>18</v>
      </c>
      <c r="F384" s="56" t="n">
        <v>0</v>
      </c>
      <c r="G384" s="56" t="n">
        <v>12.6</v>
      </c>
      <c r="H384" s="56" t="n">
        <v>0</v>
      </c>
      <c r="I384" s="56" t="n">
        <v>17</v>
      </c>
      <c r="J384" s="56" t="n">
        <v>0</v>
      </c>
      <c r="K384" s="56" t="n">
        <v>1014.1</v>
      </c>
      <c r="L384" s="56" t="n">
        <v>0</v>
      </c>
      <c r="M384" s="56" t="n">
        <v>74</v>
      </c>
      <c r="N384" s="56" t="n">
        <v>1.3</v>
      </c>
      <c r="O384" s="56" t="n">
        <f aca="false">IF(D384=1,"",E383)</f>
        <v>21.5</v>
      </c>
      <c r="P384" s="56" t="n">
        <f aca="false">IF(OR(D384=1,K383=""),"",K383)</f>
        <v>1020.3</v>
      </c>
      <c r="Q384" s="56" t="n">
        <f aca="false">IF(OR(F384&lt;&gt;0,AND(I384&lt;&gt;"",E384&lt;I384)),1,0)</f>
        <v>0</v>
      </c>
      <c r="R384" s="56" t="n">
        <f aca="false">IF(AND(D384&gt;1,Q384=0,ISNUMBER(O384),ISNUMBER(P384)),IF(Q383=0,1,0),0)</f>
        <v>1</v>
      </c>
      <c r="S384" s="56" t="n">
        <f aca="false">R384*(B384&gt;=Train_Start)*(B384&lt;=Train_End)</f>
        <v>1</v>
      </c>
      <c r="T384" s="84" t="n">
        <f aca="false">IF(AND(ISNUMBER(O384),ISNUMBER(P384)),Coef_A+Coef_B1*O384+Coef_B2*P384,"")</f>
        <v>21.7094715674722</v>
      </c>
      <c r="U384" s="84" t="n">
        <f aca="false">IF(AND(R384=1,ISNUMBER(T384)),E384-T384,"")</f>
        <v>-3.70947156747221</v>
      </c>
      <c r="V384" s="84" t="n">
        <f aca="false">IF(ISNUMBER(T384),T384,-99)</f>
        <v>21.7094715674722</v>
      </c>
      <c r="W384" s="84" t="n">
        <f aca="false">IF(ISNUMBER(U384),ABS(U384),"")</f>
        <v>3.70947156747221</v>
      </c>
    </row>
    <row r="385" customFormat="false" ht="15" hidden="false" customHeight="false" outlineLevel="0" collapsed="false">
      <c r="A385" s="57" t="n">
        <v>29784</v>
      </c>
      <c r="B385" s="56" t="n">
        <v>1981</v>
      </c>
      <c r="C385" s="56" t="n">
        <v>7</v>
      </c>
      <c r="D385" s="56" t="n">
        <v>78</v>
      </c>
      <c r="E385" s="56" t="n">
        <v>20.1</v>
      </c>
      <c r="F385" s="56" t="n">
        <v>0</v>
      </c>
      <c r="G385" s="56" t="n">
        <v>9</v>
      </c>
      <c r="H385" s="56" t="n">
        <v>0</v>
      </c>
      <c r="I385" s="56" t="n">
        <v>13.5</v>
      </c>
      <c r="J385" s="56" t="n">
        <v>0</v>
      </c>
      <c r="K385" s="56" t="n">
        <v>1012.5</v>
      </c>
      <c r="L385" s="56" t="n">
        <v>0</v>
      </c>
      <c r="M385" s="56" t="n">
        <v>72</v>
      </c>
      <c r="N385" s="56" t="n">
        <v>3.8</v>
      </c>
      <c r="O385" s="56" t="n">
        <f aca="false">IF(D385=1,"",E384)</f>
        <v>18</v>
      </c>
      <c r="P385" s="56" t="n">
        <f aca="false">IF(OR(D385=1,K384=""),"",K384)</f>
        <v>1014.1</v>
      </c>
      <c r="Q385" s="56" t="n">
        <f aca="false">IF(OR(F385&lt;&gt;0,AND(I385&lt;&gt;"",E385&lt;I385)),1,0)</f>
        <v>0</v>
      </c>
      <c r="R385" s="56" t="n">
        <f aca="false">IF(AND(D385&gt;1,Q385=0,ISNUMBER(O385),ISNUMBER(P385)),IF(Q384=0,1,0),0)</f>
        <v>1</v>
      </c>
      <c r="S385" s="56" t="n">
        <f aca="false">R385*(B385&gt;=Train_Start)*(B385&lt;=Train_End)</f>
        <v>1</v>
      </c>
      <c r="T385" s="84" t="n">
        <f aca="false">IF(AND(ISNUMBER(O385),ISNUMBER(P385)),Coef_A+Coef_B1*O385+Coef_B2*P385,"")</f>
        <v>18.6472910450922</v>
      </c>
      <c r="U385" s="84" t="n">
        <f aca="false">IF(AND(R385=1,ISNUMBER(T385)),E385-T385,"")</f>
        <v>1.45270895490782</v>
      </c>
      <c r="V385" s="84" t="n">
        <f aca="false">IF(ISNUMBER(T385),T385,-99)</f>
        <v>18.6472910450922</v>
      </c>
      <c r="W385" s="84" t="n">
        <f aca="false">IF(ISNUMBER(U385),ABS(U385),"")</f>
        <v>1.45270895490782</v>
      </c>
    </row>
    <row r="386" customFormat="false" ht="15" hidden="false" customHeight="false" outlineLevel="0" collapsed="false">
      <c r="A386" s="57" t="n">
        <v>29785</v>
      </c>
      <c r="B386" s="56" t="n">
        <v>1981</v>
      </c>
      <c r="C386" s="56" t="n">
        <v>7</v>
      </c>
      <c r="D386" s="56" t="n">
        <v>79</v>
      </c>
      <c r="E386" s="56" t="n">
        <v>22.9</v>
      </c>
      <c r="F386" s="56" t="n">
        <v>0</v>
      </c>
      <c r="G386" s="56" t="n">
        <v>11.2</v>
      </c>
      <c r="H386" s="56" t="n">
        <v>0</v>
      </c>
      <c r="I386" s="56" t="n">
        <v>15.6</v>
      </c>
      <c r="J386" s="56" t="n">
        <v>0</v>
      </c>
      <c r="K386" s="56" t="n">
        <v>1017.9</v>
      </c>
      <c r="L386" s="56" t="n">
        <v>0</v>
      </c>
      <c r="M386" s="56" t="n">
        <v>64</v>
      </c>
      <c r="N386" s="56" t="n">
        <v>7.9</v>
      </c>
      <c r="O386" s="56" t="n">
        <f aca="false">IF(D386=1,"",E385)</f>
        <v>20.1</v>
      </c>
      <c r="P386" s="56" t="n">
        <f aca="false">IF(OR(D386=1,K385=""),"",K385)</f>
        <v>1012.5</v>
      </c>
      <c r="Q386" s="56" t="n">
        <f aca="false">IF(OR(F386&lt;&gt;0,AND(I386&lt;&gt;"",E386&lt;I386)),1,0)</f>
        <v>0</v>
      </c>
      <c r="R386" s="56" t="n">
        <f aca="false">IF(AND(D386&gt;1,Q386=0,ISNUMBER(O386),ISNUMBER(P386)),IF(Q385=0,1,0),0)</f>
        <v>1</v>
      </c>
      <c r="S386" s="56" t="n">
        <f aca="false">R386*(B386&gt;=Train_Start)*(B386&lt;=Train_End)</f>
        <v>1</v>
      </c>
      <c r="T386" s="84" t="n">
        <f aca="false">IF(AND(ISNUMBER(O386),ISNUMBER(P386)),Coef_A+Coef_B1*O386+Coef_B2*P386,"")</f>
        <v>20.3177115190674</v>
      </c>
      <c r="U386" s="84" t="n">
        <f aca="false">IF(AND(R386=1,ISNUMBER(T386)),E386-T386,"")</f>
        <v>2.58228848093262</v>
      </c>
      <c r="V386" s="84" t="n">
        <f aca="false">IF(ISNUMBER(T386),T386,-99)</f>
        <v>20.3177115190674</v>
      </c>
      <c r="W386" s="84" t="n">
        <f aca="false">IF(ISNUMBER(U386),ABS(U386),"")</f>
        <v>2.58228848093262</v>
      </c>
    </row>
    <row r="387" customFormat="false" ht="15" hidden="false" customHeight="false" outlineLevel="0" collapsed="false">
      <c r="A387" s="57" t="n">
        <v>29786</v>
      </c>
      <c r="B387" s="56" t="n">
        <v>1981</v>
      </c>
      <c r="C387" s="56" t="n">
        <v>7</v>
      </c>
      <c r="D387" s="56" t="n">
        <v>80</v>
      </c>
      <c r="E387" s="56" t="n">
        <v>24.3</v>
      </c>
      <c r="F387" s="56" t="n">
        <v>0</v>
      </c>
      <c r="G387" s="56" t="n">
        <v>8.8</v>
      </c>
      <c r="H387" s="56" t="n">
        <v>0</v>
      </c>
      <c r="I387" s="56" t="n">
        <v>15.8</v>
      </c>
      <c r="J387" s="56" t="n">
        <v>0</v>
      </c>
      <c r="K387" s="56" t="n">
        <v>1020.2</v>
      </c>
      <c r="L387" s="56" t="n">
        <v>0</v>
      </c>
      <c r="M387" s="56" t="n">
        <v>73</v>
      </c>
      <c r="N387" s="56" t="n">
        <v>1.9</v>
      </c>
      <c r="O387" s="56" t="n">
        <f aca="false">IF(D387=1,"",E386)</f>
        <v>22.9</v>
      </c>
      <c r="P387" s="56" t="n">
        <f aca="false">IF(OR(D387=1,K386=""),"",K386)</f>
        <v>1017.9</v>
      </c>
      <c r="Q387" s="56" t="n">
        <f aca="false">IF(OR(F387&lt;&gt;0,AND(I387&lt;&gt;"",E387&lt;I387)),1,0)</f>
        <v>0</v>
      </c>
      <c r="R387" s="56" t="n">
        <f aca="false">IF(AND(D387&gt;1,Q387=0,ISNUMBER(O387),ISNUMBER(P387)),IF(Q386=0,1,0),0)</f>
        <v>1</v>
      </c>
      <c r="S387" s="56" t="n">
        <f aca="false">R387*(B387&gt;=Train_Start)*(B387&lt;=Train_End)</f>
        <v>1</v>
      </c>
      <c r="T387" s="84" t="n">
        <f aca="false">IF(AND(ISNUMBER(O387),ISNUMBER(P387)),Coef_A+Coef_B1*O387+Coef_B2*P387,"")</f>
        <v>22.7812586906104</v>
      </c>
      <c r="U387" s="84" t="n">
        <f aca="false">IF(AND(R387=1,ISNUMBER(T387)),E387-T387,"")</f>
        <v>1.51874130938964</v>
      </c>
      <c r="V387" s="84" t="n">
        <f aca="false">IF(ISNUMBER(T387),T387,-99)</f>
        <v>22.7812586906104</v>
      </c>
      <c r="W387" s="84" t="n">
        <f aca="false">IF(ISNUMBER(U387),ABS(U387),"")</f>
        <v>1.51874130938964</v>
      </c>
    </row>
    <row r="388" customFormat="false" ht="15" hidden="false" customHeight="false" outlineLevel="0" collapsed="false">
      <c r="A388" s="57" t="n">
        <v>29787</v>
      </c>
      <c r="B388" s="56" t="n">
        <v>1981</v>
      </c>
      <c r="C388" s="56" t="n">
        <v>7</v>
      </c>
      <c r="D388" s="56" t="n">
        <v>81</v>
      </c>
      <c r="E388" s="56" t="n">
        <v>25.2</v>
      </c>
      <c r="F388" s="56" t="n">
        <v>0</v>
      </c>
      <c r="G388" s="56" t="n">
        <v>14.6</v>
      </c>
      <c r="H388" s="56" t="n">
        <v>0</v>
      </c>
      <c r="I388" s="56" t="n">
        <v>19.4</v>
      </c>
      <c r="J388" s="56" t="n">
        <v>0</v>
      </c>
      <c r="K388" s="56" t="n">
        <v>1019.1</v>
      </c>
      <c r="L388" s="56" t="n">
        <v>0</v>
      </c>
      <c r="M388" s="56" t="n">
        <v>68</v>
      </c>
      <c r="N388" s="56" t="n">
        <v>8.4</v>
      </c>
      <c r="O388" s="56" t="n">
        <f aca="false">IF(D388=1,"",E387)</f>
        <v>24.3</v>
      </c>
      <c r="P388" s="56" t="n">
        <f aca="false">IF(OR(D388=1,K387=""),"",K387)</f>
        <v>1020.2</v>
      </c>
      <c r="Q388" s="56" t="n">
        <f aca="false">IF(OR(F388&lt;&gt;0,AND(I388&lt;&gt;"",E388&lt;I388)),1,0)</f>
        <v>0</v>
      </c>
      <c r="R388" s="56" t="n">
        <f aca="false">IF(AND(D388&gt;1,Q388=0,ISNUMBER(O388),ISNUMBER(P388)),IF(Q387=0,1,0),0)</f>
        <v>1</v>
      </c>
      <c r="S388" s="56" t="n">
        <f aca="false">R388*(B388&gt;=Train_Start)*(B388&lt;=Train_End)</f>
        <v>1</v>
      </c>
      <c r="T388" s="84" t="n">
        <f aca="false">IF(AND(ISNUMBER(O388),ISNUMBER(P388)),Coef_A+Coef_B1*O388+Coef_B2*P388,"")</f>
        <v>24.0004843185283</v>
      </c>
      <c r="U388" s="84" t="n">
        <f aca="false">IF(AND(R388=1,ISNUMBER(T388)),E388-T388,"")</f>
        <v>1.19951568147174</v>
      </c>
      <c r="V388" s="84" t="n">
        <f aca="false">IF(ISNUMBER(T388),T388,-99)</f>
        <v>24.0004843185283</v>
      </c>
      <c r="W388" s="84" t="n">
        <f aca="false">IF(ISNUMBER(U388),ABS(U388),"")</f>
        <v>1.19951568147174</v>
      </c>
    </row>
    <row r="389" customFormat="false" ht="15" hidden="false" customHeight="false" outlineLevel="0" collapsed="false">
      <c r="A389" s="57" t="n">
        <v>29788</v>
      </c>
      <c r="B389" s="56" t="n">
        <v>1981</v>
      </c>
      <c r="C389" s="56" t="n">
        <v>7</v>
      </c>
      <c r="D389" s="56" t="n">
        <v>82</v>
      </c>
      <c r="E389" s="56" t="n">
        <v>18.4</v>
      </c>
      <c r="F389" s="56" t="n">
        <v>1</v>
      </c>
      <c r="G389" s="56" t="n">
        <v>15.6</v>
      </c>
      <c r="H389" s="56" t="n">
        <v>0</v>
      </c>
      <c r="I389" s="56" t="n">
        <v>20.4</v>
      </c>
      <c r="J389" s="56" t="n">
        <v>1</v>
      </c>
      <c r="K389" s="56" t="n">
        <v>1013.5</v>
      </c>
      <c r="L389" s="56" t="n">
        <v>0</v>
      </c>
      <c r="M389" s="56" t="n">
        <v>68</v>
      </c>
      <c r="N389" s="56" t="n">
        <v>4.6</v>
      </c>
      <c r="O389" s="56" t="n">
        <f aca="false">IF(D389=1,"",E388)</f>
        <v>25.2</v>
      </c>
      <c r="P389" s="56" t="n">
        <f aca="false">IF(OR(D389=1,K388=""),"",K388)</f>
        <v>1019.1</v>
      </c>
      <c r="Q389" s="56" t="n">
        <f aca="false">IF(OR(F389&lt;&gt;0,AND(I389&lt;&gt;"",E389&lt;I389)),1,0)</f>
        <v>1</v>
      </c>
      <c r="R389" s="56" t="n">
        <f aca="false">IF(AND(D389&gt;1,Q389=0,ISNUMBER(O389),ISNUMBER(P389)),IF(Q388=0,1,0),0)</f>
        <v>0</v>
      </c>
      <c r="S389" s="56" t="n">
        <f aca="false">R389*(B389&gt;=Train_Start)*(B389&lt;=Train_End)</f>
        <v>0</v>
      </c>
      <c r="T389" s="84" t="n">
        <f aca="false">IF(AND(ISNUMBER(O389),ISNUMBER(P389)),Coef_A+Coef_B1*O389+Coef_B2*P389,"")</f>
        <v>24.7033827081693</v>
      </c>
      <c r="U389" s="84" t="str">
        <f aca="false">IF(AND(R389=1,ISNUMBER(T389)),E389-T389,"")</f>
        <v/>
      </c>
      <c r="V389" s="84" t="n">
        <f aca="false">IF(ISNUMBER(T389),T389,-99)</f>
        <v>24.7033827081693</v>
      </c>
      <c r="W389" s="84" t="str">
        <f aca="false">IF(ISNUMBER(U389),ABS(U389),"")</f>
        <v/>
      </c>
    </row>
    <row r="390" customFormat="false" ht="15" hidden="false" customHeight="false" outlineLevel="0" collapsed="false">
      <c r="A390" s="57" t="n">
        <v>29789</v>
      </c>
      <c r="B390" s="56" t="n">
        <v>1981</v>
      </c>
      <c r="C390" s="56" t="n">
        <v>7</v>
      </c>
      <c r="D390" s="56" t="n">
        <v>83</v>
      </c>
      <c r="E390" s="56" t="n">
        <v>17.6</v>
      </c>
      <c r="F390" s="56" t="n">
        <v>0</v>
      </c>
      <c r="G390" s="56" t="n">
        <v>13.4</v>
      </c>
      <c r="H390" s="56" t="n">
        <v>0</v>
      </c>
      <c r="I390" s="56" t="n">
        <v>15.9</v>
      </c>
      <c r="J390" s="56" t="n">
        <v>0</v>
      </c>
      <c r="K390" s="56" t="n">
        <v>1004.6</v>
      </c>
      <c r="L390" s="56" t="n">
        <v>0</v>
      </c>
      <c r="M390" s="56" t="n">
        <v>87</v>
      </c>
      <c r="N390" s="56" t="n">
        <v>2.7</v>
      </c>
      <c r="O390" s="56" t="n">
        <f aca="false">IF(D390=1,"",E389)</f>
        <v>18.4</v>
      </c>
      <c r="P390" s="56" t="n">
        <f aca="false">IF(OR(D390=1,K389=""),"",K389)</f>
        <v>1013.5</v>
      </c>
      <c r="Q390" s="56" t="n">
        <f aca="false">IF(OR(F390&lt;&gt;0,AND(I390&lt;&gt;"",E390&lt;I390)),1,0)</f>
        <v>0</v>
      </c>
      <c r="R390" s="56" t="n">
        <f aca="false">IF(AND(D390&gt;1,Q390=0,ISNUMBER(O390),ISNUMBER(P390)),IF(Q389=0,1,0),0)</f>
        <v>0</v>
      </c>
      <c r="S390" s="56" t="n">
        <f aca="false">R390*(B390&gt;=Train_Start)*(B390&lt;=Train_End)</f>
        <v>0</v>
      </c>
      <c r="T390" s="84" t="n">
        <f aca="false">IF(AND(ISNUMBER(O390),ISNUMBER(P390)),Coef_A+Coef_B1*O390+Coef_B2*P390,"")</f>
        <v>18.9562047855288</v>
      </c>
      <c r="U390" s="84" t="str">
        <f aca="false">IF(AND(R390=1,ISNUMBER(T390)),E390-T390,"")</f>
        <v/>
      </c>
      <c r="V390" s="84" t="n">
        <f aca="false">IF(ISNUMBER(T390),T390,-99)</f>
        <v>18.9562047855288</v>
      </c>
      <c r="W390" s="84" t="str">
        <f aca="false">IF(ISNUMBER(U390),ABS(U390),"")</f>
        <v/>
      </c>
    </row>
    <row r="391" customFormat="false" ht="15" hidden="false" customHeight="false" outlineLevel="0" collapsed="false">
      <c r="A391" s="57" t="n">
        <v>29790</v>
      </c>
      <c r="B391" s="56" t="n">
        <v>1981</v>
      </c>
      <c r="C391" s="56" t="n">
        <v>7</v>
      </c>
      <c r="D391" s="56" t="n">
        <v>84</v>
      </c>
      <c r="E391" s="56" t="n">
        <v>16</v>
      </c>
      <c r="F391" s="56" t="n">
        <v>0</v>
      </c>
      <c r="G391" s="56" t="n">
        <v>11.6</v>
      </c>
      <c r="H391" s="56" t="n">
        <v>0</v>
      </c>
      <c r="I391" s="56" t="n">
        <v>14.6</v>
      </c>
      <c r="J391" s="56" t="n">
        <v>0</v>
      </c>
      <c r="K391" s="56" t="n">
        <v>1003</v>
      </c>
      <c r="L391" s="56" t="n">
        <v>0</v>
      </c>
      <c r="M391" s="56" t="n">
        <v>88</v>
      </c>
      <c r="N391" s="56" t="n">
        <v>0.9</v>
      </c>
      <c r="O391" s="56" t="n">
        <f aca="false">IF(D391=1,"",E390)</f>
        <v>17.6</v>
      </c>
      <c r="P391" s="56" t="n">
        <f aca="false">IF(OR(D391=1,K390=""),"",K390)</f>
        <v>1004.6</v>
      </c>
      <c r="Q391" s="56" t="n">
        <f aca="false">IF(OR(F391&lt;&gt;0,AND(I391&lt;&gt;"",E391&lt;I391)),1,0)</f>
        <v>0</v>
      </c>
      <c r="R391" s="56" t="n">
        <f aca="false">IF(AND(D391&gt;1,Q391=0,ISNUMBER(O391),ISNUMBER(P391)),IF(Q390=0,1,0),0)</f>
        <v>1</v>
      </c>
      <c r="S391" s="56" t="n">
        <f aca="false">R391*(B391&gt;=Train_Start)*(B391&lt;=Train_End)</f>
        <v>1</v>
      </c>
      <c r="T391" s="84" t="n">
        <f aca="false">IF(AND(ISNUMBER(O391),ISNUMBER(P391)),Coef_A+Coef_B1*O391+Coef_B2*P391,"")</f>
        <v>18.0215413688522</v>
      </c>
      <c r="U391" s="84" t="n">
        <f aca="false">IF(AND(R391=1,ISNUMBER(T391)),E391-T391,"")</f>
        <v>-2.02154136885222</v>
      </c>
      <c r="V391" s="84" t="n">
        <f aca="false">IF(ISNUMBER(T391),T391,-99)</f>
        <v>18.0215413688522</v>
      </c>
      <c r="W391" s="84" t="n">
        <f aca="false">IF(ISNUMBER(U391),ABS(U391),"")</f>
        <v>2.02154136885222</v>
      </c>
    </row>
    <row r="392" customFormat="false" ht="15" hidden="false" customHeight="false" outlineLevel="0" collapsed="false">
      <c r="A392" s="57" t="n">
        <v>29791</v>
      </c>
      <c r="B392" s="56" t="n">
        <v>1981</v>
      </c>
      <c r="C392" s="56" t="n">
        <v>7</v>
      </c>
      <c r="D392" s="56" t="n">
        <v>85</v>
      </c>
      <c r="E392" s="56" t="n">
        <v>17.5</v>
      </c>
      <c r="F392" s="56" t="n">
        <v>0</v>
      </c>
      <c r="G392" s="56" t="n">
        <v>11.5</v>
      </c>
      <c r="H392" s="56" t="n">
        <v>0</v>
      </c>
      <c r="I392" s="56" t="n">
        <v>13.8</v>
      </c>
      <c r="J392" s="56" t="n">
        <v>0</v>
      </c>
      <c r="K392" s="56" t="n">
        <v>1013.1</v>
      </c>
      <c r="L392" s="56" t="n">
        <v>0</v>
      </c>
      <c r="M392" s="56" t="n">
        <v>76</v>
      </c>
      <c r="N392" s="56" t="n">
        <v>0.6</v>
      </c>
      <c r="O392" s="56" t="n">
        <f aca="false">IF(D392=1,"",E391)</f>
        <v>16</v>
      </c>
      <c r="P392" s="56" t="n">
        <f aca="false">IF(OR(D392=1,K391=""),"",K391)</f>
        <v>1003</v>
      </c>
      <c r="Q392" s="56" t="n">
        <f aca="false">IF(OR(F392&lt;&gt;0,AND(I392&lt;&gt;"",E392&lt;I392)),1,0)</f>
        <v>0</v>
      </c>
      <c r="R392" s="56" t="n">
        <f aca="false">IF(AND(D392&gt;1,Q392=0,ISNUMBER(O392),ISNUMBER(P392)),IF(Q391=0,1,0),0)</f>
        <v>1</v>
      </c>
      <c r="S392" s="56" t="n">
        <f aca="false">R392*(B392&gt;=Train_Start)*(B392&lt;=Train_End)</f>
        <v>1</v>
      </c>
      <c r="T392" s="84" t="n">
        <f aca="false">IF(AND(ISNUMBER(O392),ISNUMBER(P392)),Coef_A+Coef_B1*O392+Coef_B2*P392,"")</f>
        <v>16.6604068285696</v>
      </c>
      <c r="U392" s="84" t="n">
        <f aca="false">IF(AND(R392=1,ISNUMBER(T392)),E392-T392,"")</f>
        <v>0.839593171430423</v>
      </c>
      <c r="V392" s="84" t="n">
        <f aca="false">IF(ISNUMBER(T392),T392,-99)</f>
        <v>16.6604068285696</v>
      </c>
      <c r="W392" s="84" t="n">
        <f aca="false">IF(ISNUMBER(U392),ABS(U392),"")</f>
        <v>0.839593171430423</v>
      </c>
    </row>
    <row r="393" customFormat="false" ht="15" hidden="false" customHeight="false" outlineLevel="0" collapsed="false">
      <c r="A393" s="57" t="n">
        <v>29792</v>
      </c>
      <c r="B393" s="56" t="n">
        <v>1981</v>
      </c>
      <c r="C393" s="56" t="n">
        <v>7</v>
      </c>
      <c r="D393" s="56" t="n">
        <v>86</v>
      </c>
      <c r="E393" s="56" t="n">
        <v>24.6</v>
      </c>
      <c r="F393" s="56" t="n">
        <v>0</v>
      </c>
      <c r="G393" s="56" t="n">
        <v>9.2</v>
      </c>
      <c r="H393" s="56" t="n">
        <v>0</v>
      </c>
      <c r="I393" s="56" t="n">
        <v>13.4</v>
      </c>
      <c r="J393" s="56" t="n">
        <v>0</v>
      </c>
      <c r="K393" s="56" t="n">
        <v>1021.4</v>
      </c>
      <c r="L393" s="56" t="n">
        <v>0</v>
      </c>
      <c r="M393" s="56" t="n">
        <v>70</v>
      </c>
      <c r="N393" s="56" t="n">
        <v>2.4</v>
      </c>
      <c r="O393" s="56" t="n">
        <f aca="false">IF(D393=1,"",E392)</f>
        <v>17.5</v>
      </c>
      <c r="P393" s="56" t="n">
        <f aca="false">IF(OR(D393=1,K392=""),"",K392)</f>
        <v>1013.1</v>
      </c>
      <c r="Q393" s="56" t="n">
        <f aca="false">IF(OR(F393&lt;&gt;0,AND(I393&lt;&gt;"",E393&lt;I393)),1,0)</f>
        <v>0</v>
      </c>
      <c r="R393" s="56" t="n">
        <f aca="false">IF(AND(D393&gt;1,Q393=0,ISNUMBER(O393),ISNUMBER(P393)),IF(Q392=0,1,0),0)</f>
        <v>1</v>
      </c>
      <c r="S393" s="56" t="n">
        <f aca="false">R393*(B393&gt;=Train_Start)*(B393&lt;=Train_End)</f>
        <v>1</v>
      </c>
      <c r="T393" s="84" t="n">
        <f aca="false">IF(AND(ISNUMBER(O393),ISNUMBER(P393)),Coef_A+Coef_B1*O393+Coef_B2*P393,"")</f>
        <v>18.2062515539369</v>
      </c>
      <c r="U393" s="84" t="n">
        <f aca="false">IF(AND(R393=1,ISNUMBER(T393)),E393-T393,"")</f>
        <v>6.39374844606314</v>
      </c>
      <c r="V393" s="84" t="n">
        <f aca="false">IF(ISNUMBER(T393),T393,-99)</f>
        <v>18.2062515539369</v>
      </c>
      <c r="W393" s="84" t="n">
        <f aca="false">IF(ISNUMBER(U393),ABS(U393),"")</f>
        <v>6.39374844606314</v>
      </c>
    </row>
    <row r="394" customFormat="false" ht="15" hidden="false" customHeight="false" outlineLevel="0" collapsed="false">
      <c r="A394" s="57" t="n">
        <v>29793</v>
      </c>
      <c r="B394" s="56" t="n">
        <v>1981</v>
      </c>
      <c r="C394" s="56" t="n">
        <v>7</v>
      </c>
      <c r="D394" s="56" t="n">
        <v>87</v>
      </c>
      <c r="E394" s="56" t="n">
        <v>24.8</v>
      </c>
      <c r="F394" s="56" t="n">
        <v>0</v>
      </c>
      <c r="G394" s="56" t="n">
        <v>11.9</v>
      </c>
      <c r="H394" s="56" t="n">
        <v>0</v>
      </c>
      <c r="I394" s="56" t="n">
        <v>18.2</v>
      </c>
      <c r="J394" s="56" t="n">
        <v>0</v>
      </c>
      <c r="K394" s="56" t="n">
        <v>1023.8</v>
      </c>
      <c r="L394" s="56" t="n">
        <v>0</v>
      </c>
      <c r="M394" s="56" t="n">
        <v>74</v>
      </c>
      <c r="N394" s="56" t="n">
        <v>2.1</v>
      </c>
      <c r="O394" s="56" t="n">
        <f aca="false">IF(D394=1,"",E393)</f>
        <v>24.6</v>
      </c>
      <c r="P394" s="56" t="n">
        <f aca="false">IF(OR(D394=1,K393=""),"",K393)</f>
        <v>1021.4</v>
      </c>
      <c r="Q394" s="56" t="n">
        <f aca="false">IF(OR(F394&lt;&gt;0,AND(I394&lt;&gt;"",E394&lt;I394)),1,0)</f>
        <v>0</v>
      </c>
      <c r="R394" s="56" t="n">
        <f aca="false">IF(AND(D394&gt;1,Q394=0,ISNUMBER(O394),ISNUMBER(P394)),IF(Q393=0,1,0),0)</f>
        <v>1</v>
      </c>
      <c r="S394" s="56" t="n">
        <f aca="false">R394*(B394&gt;=Train_Start)*(B394&lt;=Train_End)</f>
        <v>1</v>
      </c>
      <c r="T394" s="84" t="n">
        <f aca="false">IF(AND(ISNUMBER(O394),ISNUMBER(P394)),Coef_A+Coef_B1*O394+Coef_B2*P394,"")</f>
        <v>24.2839299500018</v>
      </c>
      <c r="U394" s="84" t="n">
        <f aca="false">IF(AND(R394=1,ISNUMBER(T394)),E394-T394,"")</f>
        <v>0.516070049998159</v>
      </c>
      <c r="V394" s="84" t="n">
        <f aca="false">IF(ISNUMBER(T394),T394,-99)</f>
        <v>24.2839299500018</v>
      </c>
      <c r="W394" s="84" t="n">
        <f aca="false">IF(ISNUMBER(U394),ABS(U394),"")</f>
        <v>0.516070049998159</v>
      </c>
    </row>
    <row r="395" customFormat="false" ht="15" hidden="false" customHeight="false" outlineLevel="0" collapsed="false">
      <c r="A395" s="57" t="n">
        <v>29794</v>
      </c>
      <c r="B395" s="56" t="n">
        <v>1981</v>
      </c>
      <c r="C395" s="56" t="n">
        <v>7</v>
      </c>
      <c r="D395" s="56" t="n">
        <v>88</v>
      </c>
      <c r="E395" s="56" t="n">
        <v>26.4</v>
      </c>
      <c r="F395" s="56" t="n">
        <v>0</v>
      </c>
      <c r="G395" s="56" t="n">
        <v>14</v>
      </c>
      <c r="H395" s="56" t="n">
        <v>0</v>
      </c>
      <c r="I395" s="56" t="n">
        <v>19.4</v>
      </c>
      <c r="J395" s="56" t="n">
        <v>0</v>
      </c>
      <c r="K395" s="56" t="n">
        <v>1026.4</v>
      </c>
      <c r="L395" s="56" t="n">
        <v>0</v>
      </c>
      <c r="M395" s="56" t="n">
        <v>67</v>
      </c>
      <c r="N395" s="56" t="n">
        <v>3.2</v>
      </c>
      <c r="O395" s="56" t="n">
        <f aca="false">IF(D395=1,"",E394)</f>
        <v>24.8</v>
      </c>
      <c r="P395" s="56" t="n">
        <f aca="false">IF(OR(D395=1,K394=""),"",K394)</f>
        <v>1023.8</v>
      </c>
      <c r="Q395" s="56" t="n">
        <f aca="false">IF(OR(F395&lt;&gt;0,AND(I395&lt;&gt;"",E395&lt;I395)),1,0)</f>
        <v>0</v>
      </c>
      <c r="R395" s="56" t="n">
        <f aca="false">IF(AND(D395&gt;1,Q395=0,ISNUMBER(O395),ISNUMBER(P395)),IF(Q394=0,1,0),0)</f>
        <v>1</v>
      </c>
      <c r="S395" s="56" t="n">
        <f aca="false">R395*(B395&gt;=Train_Start)*(B395&lt;=Train_End)</f>
        <v>1</v>
      </c>
      <c r="T395" s="84" t="n">
        <f aca="false">IF(AND(ISNUMBER(O395),ISNUMBER(P395)),Coef_A+Coef_B1*O395+Coef_B2*P395,"")</f>
        <v>24.5230855357319</v>
      </c>
      <c r="U395" s="84" t="n">
        <f aca="false">IF(AND(R395=1,ISNUMBER(T395)),E395-T395,"")</f>
        <v>1.87691446426805</v>
      </c>
      <c r="V395" s="84" t="n">
        <f aca="false">IF(ISNUMBER(T395),T395,-99)</f>
        <v>24.5230855357319</v>
      </c>
      <c r="W395" s="84" t="n">
        <f aca="false">IF(ISNUMBER(U395),ABS(U395),"")</f>
        <v>1.87691446426805</v>
      </c>
    </row>
    <row r="396" customFormat="false" ht="15" hidden="false" customHeight="false" outlineLevel="0" collapsed="false">
      <c r="A396" s="57" t="n">
        <v>29795</v>
      </c>
      <c r="B396" s="56" t="n">
        <v>1981</v>
      </c>
      <c r="C396" s="56" t="n">
        <v>7</v>
      </c>
      <c r="D396" s="56" t="n">
        <v>89</v>
      </c>
      <c r="E396" s="56" t="n">
        <v>24</v>
      </c>
      <c r="F396" s="56" t="n">
        <v>0</v>
      </c>
      <c r="G396" s="56" t="n">
        <v>14.8</v>
      </c>
      <c r="H396" s="56" t="n">
        <v>0</v>
      </c>
      <c r="I396" s="56" t="n">
        <v>20.6</v>
      </c>
      <c r="J396" s="56" t="n">
        <v>0</v>
      </c>
      <c r="K396" s="56" t="n">
        <v>1023.1</v>
      </c>
      <c r="L396" s="56" t="n">
        <v>0</v>
      </c>
      <c r="M396" s="56" t="n">
        <v>69</v>
      </c>
      <c r="N396" s="56" t="n">
        <v>7.1</v>
      </c>
      <c r="O396" s="56" t="n">
        <f aca="false">IF(D396=1,"",E395)</f>
        <v>26.4</v>
      </c>
      <c r="P396" s="56" t="n">
        <f aca="false">IF(OR(D396=1,K395=""),"",K395)</f>
        <v>1026.4</v>
      </c>
      <c r="Q396" s="56" t="n">
        <f aca="false">IF(OR(F396&lt;&gt;0,AND(I396&lt;&gt;"",E396&lt;I396)),1,0)</f>
        <v>0</v>
      </c>
      <c r="R396" s="56" t="n">
        <f aca="false">IF(AND(D396&gt;1,Q396=0,ISNUMBER(O396),ISNUMBER(P396)),IF(Q395=0,1,0),0)</f>
        <v>1</v>
      </c>
      <c r="S396" s="56" t="n">
        <f aca="false">R396*(B396&gt;=Train_Start)*(B396&lt;=Train_End)</f>
        <v>1</v>
      </c>
      <c r="T396" s="84" t="n">
        <f aca="false">IF(AND(ISNUMBER(O396),ISNUMBER(P396)),Coef_A+Coef_B1*O396+Coef_B2*P396,"")</f>
        <v>25.9155899706486</v>
      </c>
      <c r="U396" s="84" t="n">
        <f aca="false">IF(AND(R396=1,ISNUMBER(T396)),E396-T396,"")</f>
        <v>-1.91558997064857</v>
      </c>
      <c r="V396" s="84" t="n">
        <f aca="false">IF(ISNUMBER(T396),T396,-99)</f>
        <v>25.9155899706486</v>
      </c>
      <c r="W396" s="84" t="n">
        <f aca="false">IF(ISNUMBER(U396),ABS(U396),"")</f>
        <v>1.91558997064857</v>
      </c>
    </row>
    <row r="397" customFormat="false" ht="15" hidden="false" customHeight="false" outlineLevel="0" collapsed="false">
      <c r="A397" s="57" t="n">
        <v>29796</v>
      </c>
      <c r="B397" s="56" t="n">
        <v>1981</v>
      </c>
      <c r="C397" s="56" t="n">
        <v>7</v>
      </c>
      <c r="D397" s="56" t="n">
        <v>90</v>
      </c>
      <c r="E397" s="56" t="n">
        <v>23.4</v>
      </c>
      <c r="F397" s="56" t="n">
        <v>0</v>
      </c>
      <c r="G397" s="56" t="n">
        <v>14.6</v>
      </c>
      <c r="H397" s="56" t="n">
        <v>0</v>
      </c>
      <c r="I397" s="56" t="n">
        <v>19.3</v>
      </c>
      <c r="J397" s="56" t="n">
        <v>0</v>
      </c>
      <c r="K397" s="56" t="n">
        <v>1020.7</v>
      </c>
      <c r="L397" s="56" t="n">
        <v>0</v>
      </c>
      <c r="M397" s="56" t="n">
        <v>71</v>
      </c>
      <c r="N397" s="56" t="n">
        <v>10.1</v>
      </c>
      <c r="O397" s="56" t="n">
        <f aca="false">IF(D397=1,"",E396)</f>
        <v>24</v>
      </c>
      <c r="P397" s="56" t="n">
        <f aca="false">IF(OR(D397=1,K396=""),"",K396)</f>
        <v>1023.1</v>
      </c>
      <c r="Q397" s="56" t="n">
        <f aca="false">IF(OR(F397&lt;&gt;0,AND(I397&lt;&gt;"",E397&lt;I397)),1,0)</f>
        <v>0</v>
      </c>
      <c r="R397" s="56" t="n">
        <f aca="false">IF(AND(D397&gt;1,Q397=0,ISNUMBER(O397),ISNUMBER(P397)),IF(Q396=0,1,0),0)</f>
        <v>1</v>
      </c>
      <c r="S397" s="56" t="n">
        <f aca="false">R397*(B397&gt;=Train_Start)*(B397&lt;=Train_End)</f>
        <v>1</v>
      </c>
      <c r="T397" s="84" t="n">
        <f aca="false">IF(AND(ISNUMBER(O397),ISNUMBER(P397)),Coef_A+Coef_B1*O397+Coef_B2*P397,"")</f>
        <v>23.845655255054</v>
      </c>
      <c r="U397" s="84" t="n">
        <f aca="false">IF(AND(R397=1,ISNUMBER(T397)),E397-T397,"")</f>
        <v>-0.445655255054028</v>
      </c>
      <c r="V397" s="84" t="n">
        <f aca="false">IF(ISNUMBER(T397),T397,-99)</f>
        <v>23.845655255054</v>
      </c>
      <c r="W397" s="84" t="n">
        <f aca="false">IF(ISNUMBER(U397),ABS(U397),"")</f>
        <v>0.445655255054028</v>
      </c>
    </row>
    <row r="398" customFormat="false" ht="15" hidden="false" customHeight="false" outlineLevel="0" collapsed="false">
      <c r="A398" s="57" t="n">
        <v>29797</v>
      </c>
      <c r="B398" s="56" t="n">
        <v>1981</v>
      </c>
      <c r="C398" s="56" t="n">
        <v>7</v>
      </c>
      <c r="D398" s="56" t="n">
        <v>91</v>
      </c>
      <c r="E398" s="56" t="n">
        <v>21.6</v>
      </c>
      <c r="F398" s="56" t="n">
        <v>0</v>
      </c>
      <c r="G398" s="56" t="n">
        <v>13</v>
      </c>
      <c r="H398" s="56" t="n">
        <v>0</v>
      </c>
      <c r="I398" s="56" t="n">
        <v>18.2</v>
      </c>
      <c r="J398" s="56" t="n">
        <v>0</v>
      </c>
      <c r="K398" s="56" t="n">
        <v>1022.4</v>
      </c>
      <c r="L398" s="56" t="n">
        <v>0</v>
      </c>
      <c r="M398" s="56" t="n">
        <v>66</v>
      </c>
      <c r="N398" s="56" t="n">
        <v>12.3</v>
      </c>
      <c r="O398" s="56" t="n">
        <f aca="false">IF(D398=1,"",E397)</f>
        <v>23.4</v>
      </c>
      <c r="P398" s="56" t="n">
        <f aca="false">IF(OR(D398=1,K397=""),"",K397)</f>
        <v>1020.7</v>
      </c>
      <c r="Q398" s="56" t="n">
        <f aca="false">IF(OR(F398&lt;&gt;0,AND(I398&lt;&gt;"",E398&lt;I398)),1,0)</f>
        <v>0</v>
      </c>
      <c r="R398" s="56" t="n">
        <f aca="false">IF(AND(D398&gt;1,Q398=0,ISNUMBER(O398),ISNUMBER(P398)),IF(Q397=0,1,0),0)</f>
        <v>1</v>
      </c>
      <c r="S398" s="56" t="n">
        <f aca="false">R398*(B398&gt;=Train_Start)*(B398&lt;=Train_End)</f>
        <v>1</v>
      </c>
      <c r="T398" s="84" t="n">
        <f aca="false">IF(AND(ISNUMBER(O398),ISNUMBER(P398)),Coef_A+Coef_B1*O398+Coef_B2*P398,"")</f>
        <v>23.2787639921069</v>
      </c>
      <c r="U398" s="84" t="n">
        <f aca="false">IF(AND(R398=1,ISNUMBER(T398)),E398-T398,"")</f>
        <v>-1.67876399210686</v>
      </c>
      <c r="V398" s="84" t="n">
        <f aca="false">IF(ISNUMBER(T398),T398,-99)</f>
        <v>23.2787639921069</v>
      </c>
      <c r="W398" s="84" t="n">
        <f aca="false">IF(ISNUMBER(U398),ABS(U398),"")</f>
        <v>1.67876399210686</v>
      </c>
    </row>
    <row r="399" customFormat="false" ht="15" hidden="false" customHeight="false" outlineLevel="0" collapsed="false">
      <c r="A399" s="57" t="n">
        <v>29798</v>
      </c>
      <c r="B399" s="56" t="n">
        <v>1981</v>
      </c>
      <c r="C399" s="56" t="n">
        <v>7</v>
      </c>
      <c r="D399" s="56" t="n">
        <v>92</v>
      </c>
      <c r="E399" s="56" t="n">
        <v>17.4</v>
      </c>
      <c r="F399" s="56" t="n">
        <v>0</v>
      </c>
      <c r="G399" s="56" t="n">
        <v>12.5</v>
      </c>
      <c r="H399" s="56" t="n">
        <v>0</v>
      </c>
      <c r="I399" s="56" t="n">
        <v>17</v>
      </c>
      <c r="J399" s="56" t="n">
        <v>0</v>
      </c>
      <c r="K399" s="56" t="n">
        <v>1014.2</v>
      </c>
      <c r="L399" s="56" t="n">
        <v>0</v>
      </c>
      <c r="M399" s="56" t="n">
        <v>77</v>
      </c>
      <c r="N399" s="56" t="n">
        <v>1.6</v>
      </c>
      <c r="O399" s="56" t="n">
        <f aca="false">IF(D399=1,"",E398)</f>
        <v>21.6</v>
      </c>
      <c r="P399" s="56" t="n">
        <f aca="false">IF(OR(D399=1,K398=""),"",K398)</f>
        <v>1022.4</v>
      </c>
      <c r="Q399" s="56" t="n">
        <f aca="false">IF(OR(F399&lt;&gt;0,AND(I399&lt;&gt;"",E399&lt;I399)),1,0)</f>
        <v>0</v>
      </c>
      <c r="R399" s="56" t="n">
        <f aca="false">IF(AND(D399&gt;1,Q399=0,ISNUMBER(O399),ISNUMBER(P399)),IF(Q398=0,1,0),0)</f>
        <v>1</v>
      </c>
      <c r="S399" s="56" t="n">
        <f aca="false">R399*(B399&gt;=Train_Start)*(B399&lt;=Train_End)</f>
        <v>1</v>
      </c>
      <c r="T399" s="84" t="n">
        <f aca="false">IF(AND(ISNUMBER(O399),ISNUMBER(P399)),Coef_A+Coef_B1*O399+Coef_B2*P399,"")</f>
        <v>21.8572822655079</v>
      </c>
      <c r="U399" s="84" t="n">
        <f aca="false">IF(AND(R399=1,ISNUMBER(T399)),E399-T399,"")</f>
        <v>-4.45728226550786</v>
      </c>
      <c r="V399" s="84" t="n">
        <f aca="false">IF(ISNUMBER(T399),T399,-99)</f>
        <v>21.8572822655079</v>
      </c>
      <c r="W399" s="84" t="n">
        <f aca="false">IF(ISNUMBER(U399),ABS(U399),"")</f>
        <v>4.45728226550786</v>
      </c>
    </row>
    <row r="400" customFormat="false" ht="15" hidden="false" customHeight="false" outlineLevel="0" collapsed="false">
      <c r="A400" s="57" t="n">
        <v>29799</v>
      </c>
      <c r="B400" s="56" t="n">
        <v>1981</v>
      </c>
      <c r="C400" s="56" t="n">
        <v>8</v>
      </c>
      <c r="D400" s="56" t="n">
        <v>93</v>
      </c>
      <c r="E400" s="56" t="n">
        <v>21.2</v>
      </c>
      <c r="F400" s="56" t="n">
        <v>0</v>
      </c>
      <c r="G400" s="56" t="n">
        <v>10.4</v>
      </c>
      <c r="H400" s="56" t="n">
        <v>0</v>
      </c>
      <c r="I400" s="56" t="n">
        <v>13.9</v>
      </c>
      <c r="J400" s="56" t="n">
        <v>0</v>
      </c>
      <c r="K400" s="56" t="n">
        <v>1016</v>
      </c>
      <c r="L400" s="56" t="n">
        <v>0</v>
      </c>
      <c r="M400" s="56" t="n">
        <v>82</v>
      </c>
      <c r="N400" s="56" t="n">
        <v>0.5</v>
      </c>
      <c r="O400" s="56" t="n">
        <f aca="false">IF(D400=1,"",E399)</f>
        <v>17.4</v>
      </c>
      <c r="P400" s="56" t="n">
        <f aca="false">IF(OR(D400=1,K399=""),"",K399)</f>
        <v>1014.2</v>
      </c>
      <c r="Q400" s="56" t="n">
        <f aca="false">IF(OR(F400&lt;&gt;0,AND(I400&lt;&gt;"",E400&lt;I400)),1,0)</f>
        <v>0</v>
      </c>
      <c r="R400" s="56" t="n">
        <f aca="false">IF(AND(D400&gt;1,Q400=0,ISNUMBER(O400),ISNUMBER(P400)),IF(Q399=0,1,0),0)</f>
        <v>1</v>
      </c>
      <c r="S400" s="56" t="n">
        <f aca="false">R400*(B400&gt;=Train_Start)*(B400&lt;=Train_End)</f>
        <v>1</v>
      </c>
      <c r="T400" s="84" t="n">
        <f aca="false">IF(AND(ISNUMBER(O400),ISNUMBER(P400)),Coef_A+Coef_B1*O400+Coef_B2*P400,"")</f>
        <v>18.15882451873</v>
      </c>
      <c r="U400" s="84" t="n">
        <f aca="false">IF(AND(R400=1,ISNUMBER(T400)),E400-T400,"")</f>
        <v>3.04117548127002</v>
      </c>
      <c r="V400" s="84" t="n">
        <f aca="false">IF(ISNUMBER(T400),T400,-99)</f>
        <v>18.15882451873</v>
      </c>
      <c r="W400" s="84" t="n">
        <f aca="false">IF(ISNUMBER(U400),ABS(U400),"")</f>
        <v>3.04117548127002</v>
      </c>
    </row>
    <row r="401" customFormat="false" ht="15" hidden="false" customHeight="false" outlineLevel="0" collapsed="false">
      <c r="A401" s="57" t="n">
        <v>29800</v>
      </c>
      <c r="B401" s="56" t="n">
        <v>1981</v>
      </c>
      <c r="C401" s="56" t="n">
        <v>8</v>
      </c>
      <c r="D401" s="56" t="n">
        <v>94</v>
      </c>
      <c r="E401" s="56" t="n">
        <v>25.9</v>
      </c>
      <c r="F401" s="56" t="n">
        <v>0</v>
      </c>
      <c r="G401" s="56" t="n">
        <v>9.6</v>
      </c>
      <c r="H401" s="56" t="n">
        <v>0</v>
      </c>
      <c r="I401" s="56" t="n">
        <v>15.4</v>
      </c>
      <c r="J401" s="56" t="n">
        <v>0</v>
      </c>
      <c r="K401" s="56" t="n">
        <v>1023</v>
      </c>
      <c r="L401" s="56" t="n">
        <v>0</v>
      </c>
      <c r="M401" s="56" t="n">
        <v>68</v>
      </c>
      <c r="N401" s="56" t="n">
        <v>14.3</v>
      </c>
      <c r="O401" s="56" t="n">
        <f aca="false">IF(D401=1,"",E400)</f>
        <v>21.2</v>
      </c>
      <c r="P401" s="56" t="n">
        <f aca="false">IF(OR(D401=1,K400=""),"",K400)</f>
        <v>1016</v>
      </c>
      <c r="Q401" s="56" t="n">
        <f aca="false">IF(OR(F401&lt;&gt;0,AND(I401&lt;&gt;"",E401&lt;I401)),1,0)</f>
        <v>0</v>
      </c>
      <c r="R401" s="56" t="n">
        <f aca="false">IF(AND(D401&gt;1,Q401=0,ISNUMBER(O401),ISNUMBER(P401)),IF(Q400=0,1,0),0)</f>
        <v>1</v>
      </c>
      <c r="S401" s="56" t="n">
        <f aca="false">R401*(B401&gt;=Train_Start)*(B401&lt;=Train_End)</f>
        <v>1</v>
      </c>
      <c r="T401" s="84" t="n">
        <f aca="false">IF(AND(ISNUMBER(O401),ISNUMBER(P401)),Coef_A+Coef_B1*O401+Coef_B2*P401,"")</f>
        <v>21.3287792626333</v>
      </c>
      <c r="U401" s="84" t="n">
        <f aca="false">IF(AND(R401=1,ISNUMBER(T401)),E401-T401,"")</f>
        <v>4.57122073736674</v>
      </c>
      <c r="V401" s="84" t="n">
        <f aca="false">IF(ISNUMBER(T401),T401,-99)</f>
        <v>21.3287792626333</v>
      </c>
      <c r="W401" s="84" t="n">
        <f aca="false">IF(ISNUMBER(U401),ABS(U401),"")</f>
        <v>4.57122073736674</v>
      </c>
    </row>
    <row r="402" customFormat="false" ht="15" hidden="false" customHeight="false" outlineLevel="0" collapsed="false">
      <c r="A402" s="57" t="n">
        <v>29801</v>
      </c>
      <c r="B402" s="56" t="n">
        <v>1981</v>
      </c>
      <c r="C402" s="56" t="n">
        <v>8</v>
      </c>
      <c r="D402" s="56" t="n">
        <v>95</v>
      </c>
      <c r="E402" s="56" t="n">
        <v>27</v>
      </c>
      <c r="F402" s="56" t="n">
        <v>0</v>
      </c>
      <c r="G402" s="56" t="n">
        <v>9.8</v>
      </c>
      <c r="H402" s="56" t="n">
        <v>0</v>
      </c>
      <c r="I402" s="56" t="n">
        <v>17.8</v>
      </c>
      <c r="J402" s="56" t="n">
        <v>0</v>
      </c>
      <c r="K402" s="56" t="n">
        <v>1027.2</v>
      </c>
      <c r="L402" s="56" t="n">
        <v>0</v>
      </c>
      <c r="M402" s="56" t="n">
        <v>74</v>
      </c>
      <c r="N402" s="56" t="n">
        <v>13.1</v>
      </c>
      <c r="O402" s="56" t="n">
        <f aca="false">IF(D402=1,"",E401)</f>
        <v>25.9</v>
      </c>
      <c r="P402" s="56" t="n">
        <f aca="false">IF(OR(D402=1,K401=""),"",K401)</f>
        <v>1023</v>
      </c>
      <c r="Q402" s="56" t="n">
        <f aca="false">IF(OR(F402&lt;&gt;0,AND(I402&lt;&gt;"",E402&lt;I402)),1,0)</f>
        <v>0</v>
      </c>
      <c r="R402" s="56" t="n">
        <f aca="false">IF(AND(D402&gt;1,Q402=0,ISNUMBER(O402),ISNUMBER(P402)),IF(Q401=0,1,0),0)</f>
        <v>1</v>
      </c>
      <c r="S402" s="56" t="n">
        <f aca="false">R402*(B402&gt;=Train_Start)*(B402&lt;=Train_End)</f>
        <v>1</v>
      </c>
      <c r="T402" s="84" t="n">
        <f aca="false">IF(AND(ISNUMBER(O402),ISNUMBER(P402)),Coef_A+Coef_B1*O402+Coef_B2*P402,"")</f>
        <v>25.3992627323717</v>
      </c>
      <c r="U402" s="84" t="n">
        <f aca="false">IF(AND(R402=1,ISNUMBER(T402)),E402-T402,"")</f>
        <v>1.60073726762833</v>
      </c>
      <c r="V402" s="84" t="n">
        <f aca="false">IF(ISNUMBER(T402),T402,-99)</f>
        <v>25.3992627323717</v>
      </c>
      <c r="W402" s="84" t="n">
        <f aca="false">IF(ISNUMBER(U402),ABS(U402),"")</f>
        <v>1.60073726762833</v>
      </c>
    </row>
    <row r="403" customFormat="false" ht="15" hidden="false" customHeight="false" outlineLevel="0" collapsed="false">
      <c r="A403" s="57" t="n">
        <v>29802</v>
      </c>
      <c r="B403" s="56" t="n">
        <v>1981</v>
      </c>
      <c r="C403" s="56" t="n">
        <v>8</v>
      </c>
      <c r="D403" s="56" t="n">
        <v>96</v>
      </c>
      <c r="E403" s="56" t="n">
        <v>28.8</v>
      </c>
      <c r="F403" s="56" t="n">
        <v>0</v>
      </c>
      <c r="G403" s="56" t="n">
        <v>14.8</v>
      </c>
      <c r="H403" s="56" t="n">
        <v>0</v>
      </c>
      <c r="I403" s="56" t="n">
        <v>20.9</v>
      </c>
      <c r="J403" s="56" t="n">
        <v>0</v>
      </c>
      <c r="K403" s="56" t="n">
        <v>1027.5</v>
      </c>
      <c r="L403" s="56" t="n">
        <v>0</v>
      </c>
      <c r="M403" s="56" t="n">
        <v>80</v>
      </c>
      <c r="N403" s="56" t="n">
        <v>7.5</v>
      </c>
      <c r="O403" s="56" t="n">
        <f aca="false">IF(D403=1,"",E402)</f>
        <v>27</v>
      </c>
      <c r="P403" s="56" t="n">
        <f aca="false">IF(OR(D403=1,K402=""),"",K402)</f>
        <v>1027.2</v>
      </c>
      <c r="Q403" s="56" t="n">
        <f aca="false">IF(OR(F403&lt;&gt;0,AND(I403&lt;&gt;"",E403&lt;I403)),1,0)</f>
        <v>0</v>
      </c>
      <c r="R403" s="56" t="n">
        <f aca="false">IF(AND(D403&gt;1,Q403=0,ISNUMBER(O403),ISNUMBER(P403)),IF(Q402=0,1,0),0)</f>
        <v>1</v>
      </c>
      <c r="S403" s="56" t="n">
        <f aca="false">R403*(B403&gt;=Train_Start)*(B403&lt;=Train_End)</f>
        <v>1</v>
      </c>
      <c r="T403" s="84" t="n">
        <f aca="false">IF(AND(ISNUMBER(O403),ISNUMBER(P403)),Coef_A+Coef_B1*O403+Coef_B2*P403,"")</f>
        <v>26.4322894021814</v>
      </c>
      <c r="U403" s="84" t="n">
        <f aca="false">IF(AND(R403=1,ISNUMBER(T403)),E403-T403,"")</f>
        <v>2.36771059781864</v>
      </c>
      <c r="V403" s="84" t="n">
        <f aca="false">IF(ISNUMBER(T403),T403,-99)</f>
        <v>26.4322894021814</v>
      </c>
      <c r="W403" s="84" t="n">
        <f aca="false">IF(ISNUMBER(U403),ABS(U403),"")</f>
        <v>2.36771059781864</v>
      </c>
    </row>
    <row r="404" customFormat="false" ht="15" hidden="false" customHeight="false" outlineLevel="0" collapsed="false">
      <c r="A404" s="57" t="n">
        <v>29803</v>
      </c>
      <c r="B404" s="56" t="n">
        <v>1981</v>
      </c>
      <c r="C404" s="56" t="n">
        <v>8</v>
      </c>
      <c r="D404" s="56" t="n">
        <v>97</v>
      </c>
      <c r="E404" s="56" t="n">
        <v>19.2</v>
      </c>
      <c r="F404" s="56" t="n">
        <v>1</v>
      </c>
      <c r="G404" s="56" t="n">
        <v>16.7</v>
      </c>
      <c r="H404" s="56" t="n">
        <v>0</v>
      </c>
      <c r="I404" s="56" t="n">
        <v>22.8</v>
      </c>
      <c r="J404" s="56" t="n">
        <v>1</v>
      </c>
      <c r="K404" s="56" t="n">
        <v>1021.8</v>
      </c>
      <c r="L404" s="56" t="n">
        <v>0</v>
      </c>
      <c r="M404" s="56" t="n">
        <v>67</v>
      </c>
      <c r="N404" s="56" t="n">
        <v>6.6</v>
      </c>
      <c r="O404" s="56" t="n">
        <f aca="false">IF(D404=1,"",E403)</f>
        <v>28.8</v>
      </c>
      <c r="P404" s="56" t="n">
        <f aca="false">IF(OR(D404=1,K403=""),"",K403)</f>
        <v>1027.5</v>
      </c>
      <c r="Q404" s="56" t="n">
        <f aca="false">IF(OR(F404&lt;&gt;0,AND(I404&lt;&gt;"",E404&lt;I404)),1,0)</f>
        <v>1</v>
      </c>
      <c r="R404" s="56" t="n">
        <f aca="false">IF(AND(D404&gt;1,Q404=0,ISNUMBER(O404),ISNUMBER(P404)),IF(Q403=0,1,0),0)</f>
        <v>0</v>
      </c>
      <c r="S404" s="56" t="n">
        <f aca="false">R404*(B404&gt;=Train_Start)*(B404&lt;=Train_End)</f>
        <v>0</v>
      </c>
      <c r="T404" s="84" t="n">
        <f aca="false">IF(AND(ISNUMBER(O404),ISNUMBER(P404)),Coef_A+Coef_B1*O404+Coef_B2*P404,"")</f>
        <v>27.9165109180483</v>
      </c>
      <c r="U404" s="84" t="str">
        <f aca="false">IF(AND(R404=1,ISNUMBER(T404)),E404-T404,"")</f>
        <v/>
      </c>
      <c r="V404" s="84" t="n">
        <f aca="false">IF(ISNUMBER(T404),T404,-99)</f>
        <v>27.9165109180483</v>
      </c>
      <c r="W404" s="84" t="str">
        <f aca="false">IF(ISNUMBER(U404),ABS(U404),"")</f>
        <v/>
      </c>
    </row>
    <row r="405" customFormat="false" ht="15" hidden="false" customHeight="false" outlineLevel="0" collapsed="false">
      <c r="A405" s="57" t="n">
        <v>29804</v>
      </c>
      <c r="B405" s="56" t="n">
        <v>1981</v>
      </c>
      <c r="C405" s="56" t="n">
        <v>8</v>
      </c>
      <c r="D405" s="56" t="n">
        <v>98</v>
      </c>
      <c r="E405" s="56" t="n">
        <v>18.2</v>
      </c>
      <c r="F405" s="56" t="n">
        <v>0</v>
      </c>
      <c r="G405" s="56" t="n">
        <v>15.6</v>
      </c>
      <c r="H405" s="56" t="n">
        <v>0</v>
      </c>
      <c r="I405" s="56" t="n">
        <v>17.4</v>
      </c>
      <c r="J405" s="56" t="n">
        <v>0</v>
      </c>
      <c r="K405" s="56" t="n">
        <v>1016.9</v>
      </c>
      <c r="L405" s="56" t="n">
        <v>0</v>
      </c>
      <c r="M405" s="56" t="n">
        <v>82</v>
      </c>
      <c r="N405" s="56" t="n">
        <v>0</v>
      </c>
      <c r="O405" s="56" t="n">
        <f aca="false">IF(D405=1,"",E404)</f>
        <v>19.2</v>
      </c>
      <c r="P405" s="56" t="n">
        <f aca="false">IF(OR(D405=1,K404=""),"",K404)</f>
        <v>1021.8</v>
      </c>
      <c r="Q405" s="56" t="n">
        <f aca="false">IF(OR(F405&lt;&gt;0,AND(I405&lt;&gt;"",E405&lt;I405)),1,0)</f>
        <v>0</v>
      </c>
      <c r="R405" s="56" t="n">
        <f aca="false">IF(AND(D405&gt;1,Q405=0,ISNUMBER(O405),ISNUMBER(P405)),IF(Q404=0,1,0),0)</f>
        <v>0</v>
      </c>
      <c r="S405" s="56" t="n">
        <f aca="false">R405*(B405&gt;=Train_Start)*(B405&lt;=Train_End)</f>
        <v>0</v>
      </c>
      <c r="T405" s="84" t="n">
        <f aca="false">IF(AND(ISNUMBER(O405),ISNUMBER(P405)),Coef_A+Coef_B1*O405+Coef_B2*P405,"")</f>
        <v>19.8720462654251</v>
      </c>
      <c r="U405" s="84" t="str">
        <f aca="false">IF(AND(R405=1,ISNUMBER(T405)),E405-T405,"")</f>
        <v/>
      </c>
      <c r="V405" s="84" t="n">
        <f aca="false">IF(ISNUMBER(T405),T405,-99)</f>
        <v>19.8720462654251</v>
      </c>
      <c r="W405" s="84" t="str">
        <f aca="false">IF(ISNUMBER(U405),ABS(U405),"")</f>
        <v/>
      </c>
    </row>
    <row r="406" customFormat="false" ht="15" hidden="false" customHeight="false" outlineLevel="0" collapsed="false">
      <c r="A406" s="57" t="n">
        <v>29805</v>
      </c>
      <c r="B406" s="56" t="n">
        <v>1981</v>
      </c>
      <c r="C406" s="56" t="n">
        <v>8</v>
      </c>
      <c r="D406" s="56" t="n">
        <v>99</v>
      </c>
      <c r="E406" s="56" t="n">
        <v>19.8</v>
      </c>
      <c r="F406" s="56" t="n">
        <v>0</v>
      </c>
      <c r="G406" s="56" t="n">
        <v>15.3</v>
      </c>
      <c r="H406" s="56" t="n">
        <v>0</v>
      </c>
      <c r="I406" s="56" t="n">
        <v>16.8</v>
      </c>
      <c r="J406" s="56" t="n">
        <v>0</v>
      </c>
      <c r="K406" s="56" t="n">
        <v>1017.3</v>
      </c>
      <c r="L406" s="56" t="n">
        <v>0</v>
      </c>
      <c r="M406" s="56" t="n">
        <v>91</v>
      </c>
      <c r="N406" s="56" t="n">
        <v>0</v>
      </c>
      <c r="O406" s="56" t="n">
        <f aca="false">IF(D406=1,"",E405)</f>
        <v>18.2</v>
      </c>
      <c r="P406" s="56" t="n">
        <f aca="false">IF(OR(D406=1,K405=""),"",K405)</f>
        <v>1016.9</v>
      </c>
      <c r="Q406" s="56" t="n">
        <f aca="false">IF(OR(F406&lt;&gt;0,AND(I406&lt;&gt;"",E406&lt;I406)),1,0)</f>
        <v>0</v>
      </c>
      <c r="R406" s="56" t="n">
        <f aca="false">IF(AND(D406&gt;1,Q406=0,ISNUMBER(O406),ISNUMBER(P406)),IF(Q405=0,1,0),0)</f>
        <v>1</v>
      </c>
      <c r="S406" s="56" t="n">
        <f aca="false">R406*(B406&gt;=Train_Start)*(B406&lt;=Train_End)</f>
        <v>1</v>
      </c>
      <c r="T406" s="84" t="n">
        <f aca="false">IF(AND(ISNUMBER(O406),ISNUMBER(P406)),Coef_A+Coef_B1*O406+Coef_B2*P406,"")</f>
        <v>18.8989945886759</v>
      </c>
      <c r="U406" s="84" t="n">
        <f aca="false">IF(AND(R406=1,ISNUMBER(T406)),E406-T406,"")</f>
        <v>0.901005411324125</v>
      </c>
      <c r="V406" s="84" t="n">
        <f aca="false">IF(ISNUMBER(T406),T406,-99)</f>
        <v>18.8989945886759</v>
      </c>
      <c r="W406" s="84" t="n">
        <f aca="false">IF(ISNUMBER(U406),ABS(U406),"")</f>
        <v>0.901005411324125</v>
      </c>
    </row>
    <row r="407" customFormat="false" ht="15" hidden="false" customHeight="false" outlineLevel="0" collapsed="false">
      <c r="A407" s="57" t="n">
        <v>29806</v>
      </c>
      <c r="B407" s="56" t="n">
        <v>1981</v>
      </c>
      <c r="C407" s="56" t="n">
        <v>8</v>
      </c>
      <c r="D407" s="56" t="n">
        <v>100</v>
      </c>
      <c r="E407" s="56" t="n">
        <v>17.8</v>
      </c>
      <c r="F407" s="56" t="n">
        <v>0</v>
      </c>
      <c r="G407" s="56" t="n">
        <v>15</v>
      </c>
      <c r="H407" s="56" t="n">
        <v>0</v>
      </c>
      <c r="I407" s="56" t="n">
        <v>17.4</v>
      </c>
      <c r="J407" s="56" t="n">
        <v>0</v>
      </c>
      <c r="K407" s="56" t="n">
        <v>1017.5</v>
      </c>
      <c r="L407" s="56" t="n">
        <v>0</v>
      </c>
      <c r="M407" s="56" t="n">
        <v>91</v>
      </c>
      <c r="N407" s="56" t="n">
        <v>0</v>
      </c>
      <c r="O407" s="56" t="n">
        <f aca="false">IF(D407=1,"",E406)</f>
        <v>19.8</v>
      </c>
      <c r="P407" s="56" t="n">
        <f aca="false">IF(OR(D407=1,K406=""),"",K406)</f>
        <v>1017.3</v>
      </c>
      <c r="Q407" s="56" t="n">
        <f aca="false">IF(OR(F407&lt;&gt;0,AND(I407&lt;&gt;"",E407&lt;I407)),1,0)</f>
        <v>0</v>
      </c>
      <c r="R407" s="56" t="n">
        <f aca="false">IF(AND(D407&gt;1,Q407=0,ISNUMBER(O407),ISNUMBER(P407)),IF(Q406=0,1,0),0)</f>
        <v>1</v>
      </c>
      <c r="S407" s="56" t="n">
        <f aca="false">R407*(B407&gt;=Train_Start)*(B407&lt;=Train_End)</f>
        <v>1</v>
      </c>
      <c r="T407" s="84" t="n">
        <f aca="false">IF(AND(ISNUMBER(O407),ISNUMBER(P407)),Coef_A+Coef_B1*O407+Coef_B2*P407,"")</f>
        <v>20.2224852553977</v>
      </c>
      <c r="U407" s="84" t="n">
        <f aca="false">IF(AND(R407=1,ISNUMBER(T407)),E407-T407,"")</f>
        <v>-2.42248525539773</v>
      </c>
      <c r="V407" s="84" t="n">
        <f aca="false">IF(ISNUMBER(T407),T407,-99)</f>
        <v>20.2224852553977</v>
      </c>
      <c r="W407" s="84" t="n">
        <f aca="false">IF(ISNUMBER(U407),ABS(U407),"")</f>
        <v>2.42248525539773</v>
      </c>
    </row>
    <row r="408" customFormat="false" ht="15" hidden="false" customHeight="false" outlineLevel="0" collapsed="false">
      <c r="A408" s="57" t="n">
        <v>29807</v>
      </c>
      <c r="B408" s="56" t="n">
        <v>1981</v>
      </c>
      <c r="C408" s="56" t="n">
        <v>8</v>
      </c>
      <c r="D408" s="56" t="n">
        <v>101</v>
      </c>
      <c r="E408" s="56" t="n">
        <v>20.3</v>
      </c>
      <c r="F408" s="56" t="n">
        <v>0</v>
      </c>
      <c r="G408" s="56" t="n">
        <v>14.5</v>
      </c>
      <c r="H408" s="56" t="n">
        <v>0</v>
      </c>
      <c r="I408" s="56" t="n">
        <v>16.2</v>
      </c>
      <c r="J408" s="56" t="n">
        <v>0</v>
      </c>
      <c r="K408" s="56" t="n">
        <v>1019.8</v>
      </c>
      <c r="L408" s="56" t="n">
        <v>0</v>
      </c>
      <c r="M408" s="56" t="n">
        <v>88</v>
      </c>
      <c r="N408" s="56" t="n">
        <v>0</v>
      </c>
      <c r="O408" s="56" t="n">
        <f aca="false">IF(D408=1,"",E407)</f>
        <v>17.8</v>
      </c>
      <c r="P408" s="56" t="n">
        <f aca="false">IF(OR(D408=1,K407=""),"",K407)</f>
        <v>1017.5</v>
      </c>
      <c r="Q408" s="56" t="n">
        <f aca="false">IF(OR(F408&lt;&gt;0,AND(I408&lt;&gt;"",E408&lt;I408)),1,0)</f>
        <v>0</v>
      </c>
      <c r="R408" s="56" t="n">
        <f aca="false">IF(AND(D408&gt;1,Q408=0,ISNUMBER(O408),ISNUMBER(P408)),IF(Q407=0,1,0),0)</f>
        <v>1</v>
      </c>
      <c r="S408" s="56" t="n">
        <f aca="false">R408*(B408&gt;=Train_Start)*(B408&lt;=Train_End)</f>
        <v>1</v>
      </c>
      <c r="T408" s="84" t="n">
        <f aca="false">IF(AND(ISNUMBER(O408),ISNUMBER(P408)),Coef_A+Coef_B1*O408+Coef_B2*P408,"")</f>
        <v>18.5900808482392</v>
      </c>
      <c r="U408" s="84" t="n">
        <f aca="false">IF(AND(R408=1,ISNUMBER(T408)),E408-T408,"")</f>
        <v>1.70991915176079</v>
      </c>
      <c r="V408" s="84" t="n">
        <f aca="false">IF(ISNUMBER(T408),T408,-99)</f>
        <v>18.5900808482392</v>
      </c>
      <c r="W408" s="84" t="n">
        <f aca="false">IF(ISNUMBER(U408),ABS(U408),"")</f>
        <v>1.70991915176079</v>
      </c>
    </row>
    <row r="409" customFormat="false" ht="15" hidden="false" customHeight="false" outlineLevel="0" collapsed="false">
      <c r="A409" s="57" t="n">
        <v>29808</v>
      </c>
      <c r="B409" s="56" t="n">
        <v>1981</v>
      </c>
      <c r="C409" s="56" t="n">
        <v>8</v>
      </c>
      <c r="D409" s="56" t="n">
        <v>102</v>
      </c>
      <c r="E409" s="56" t="n">
        <v>23.7</v>
      </c>
      <c r="F409" s="56" t="n">
        <v>0</v>
      </c>
      <c r="G409" s="56" t="n">
        <v>13.8</v>
      </c>
      <c r="H409" s="56" t="n">
        <v>0</v>
      </c>
      <c r="I409" s="56" t="n">
        <v>17</v>
      </c>
      <c r="J409" s="56" t="n">
        <v>0</v>
      </c>
      <c r="K409" s="56" t="n">
        <v>1022.8</v>
      </c>
      <c r="L409" s="56" t="n">
        <v>0</v>
      </c>
      <c r="M409" s="56" t="n">
        <v>72</v>
      </c>
      <c r="N409" s="56" t="n">
        <v>5.5</v>
      </c>
      <c r="O409" s="56" t="n">
        <f aca="false">IF(D409=1,"",E408)</f>
        <v>20.3</v>
      </c>
      <c r="P409" s="56" t="n">
        <f aca="false">IF(OR(D409=1,K408=""),"",K408)</f>
        <v>1019.8</v>
      </c>
      <c r="Q409" s="56" t="n">
        <f aca="false">IF(OR(F409&lt;&gt;0,AND(I409&lt;&gt;"",E409&lt;I409)),1,0)</f>
        <v>0</v>
      </c>
      <c r="R409" s="56" t="n">
        <f aca="false">IF(AND(D409&gt;1,Q409=0,ISNUMBER(O409),ISNUMBER(P409)),IF(Q408=0,1,0),0)</f>
        <v>1</v>
      </c>
      <c r="S409" s="56" t="n">
        <f aca="false">R409*(B409&gt;=Train_Start)*(B409&lt;=Train_End)</f>
        <v>1</v>
      </c>
      <c r="T409" s="84" t="n">
        <f aca="false">IF(AND(ISNUMBER(O409),ISNUMBER(P409)),Coef_A+Coef_B1*O409+Coef_B2*P409,"")</f>
        <v>20.710579588504</v>
      </c>
      <c r="U409" s="84" t="n">
        <f aca="false">IF(AND(R409=1,ISNUMBER(T409)),E409-T409,"")</f>
        <v>2.98942041149597</v>
      </c>
      <c r="V409" s="84" t="n">
        <f aca="false">IF(ISNUMBER(T409),T409,-99)</f>
        <v>20.710579588504</v>
      </c>
      <c r="W409" s="84" t="n">
        <f aca="false">IF(ISNUMBER(U409),ABS(U409),"")</f>
        <v>2.98942041149597</v>
      </c>
    </row>
    <row r="410" customFormat="false" ht="15" hidden="false" customHeight="false" outlineLevel="0" collapsed="false">
      <c r="A410" s="57" t="n">
        <v>29809</v>
      </c>
      <c r="B410" s="56" t="n">
        <v>1981</v>
      </c>
      <c r="C410" s="56" t="n">
        <v>8</v>
      </c>
      <c r="D410" s="56" t="n">
        <v>103</v>
      </c>
      <c r="E410" s="56" t="n">
        <v>25.6</v>
      </c>
      <c r="F410" s="56" t="n">
        <v>0</v>
      </c>
      <c r="G410" s="56" t="n">
        <v>9.5</v>
      </c>
      <c r="H410" s="56" t="n">
        <v>0</v>
      </c>
      <c r="I410" s="56" t="n">
        <v>16.6</v>
      </c>
      <c r="J410" s="56" t="n">
        <v>0</v>
      </c>
      <c r="K410" s="56" t="n">
        <v>1021.4</v>
      </c>
      <c r="L410" s="56" t="n">
        <v>0</v>
      </c>
      <c r="M410" s="56" t="n">
        <v>70</v>
      </c>
      <c r="N410" s="56" t="n">
        <v>12.5</v>
      </c>
      <c r="O410" s="56" t="n">
        <f aca="false">IF(D410=1,"",E409)</f>
        <v>23.7</v>
      </c>
      <c r="P410" s="56" t="n">
        <f aca="false">IF(OR(D410=1,K409=""),"",K409)</f>
        <v>1022.8</v>
      </c>
      <c r="Q410" s="56" t="n">
        <f aca="false">IF(OR(F410&lt;&gt;0,AND(I410&lt;&gt;"",E410&lt;I410)),1,0)</f>
        <v>0</v>
      </c>
      <c r="R410" s="56" t="n">
        <f aca="false">IF(AND(D410&gt;1,Q410=0,ISNUMBER(O410),ISNUMBER(P410)),IF(Q409=0,1,0),0)</f>
        <v>1</v>
      </c>
      <c r="S410" s="56" t="n">
        <f aca="false">R410*(B410&gt;=Train_Start)*(B410&lt;=Train_End)</f>
        <v>1</v>
      </c>
      <c r="T410" s="84" t="n">
        <f aca="false">IF(AND(ISNUMBER(O410),ISNUMBER(P410)),Coef_A+Coef_B1*O410+Coef_B2*P410,"")</f>
        <v>23.590442528751</v>
      </c>
      <c r="U410" s="84" t="n">
        <f aca="false">IF(AND(R410=1,ISNUMBER(T410)),E410-T410,"")</f>
        <v>2.00955747124897</v>
      </c>
      <c r="V410" s="84" t="n">
        <f aca="false">IF(ISNUMBER(T410),T410,-99)</f>
        <v>23.590442528751</v>
      </c>
      <c r="W410" s="84" t="n">
        <f aca="false">IF(ISNUMBER(U410),ABS(U410),"")</f>
        <v>2.00955747124897</v>
      </c>
    </row>
    <row r="411" customFormat="false" ht="15" hidden="false" customHeight="false" outlineLevel="0" collapsed="false">
      <c r="A411" s="57" t="n">
        <v>29810</v>
      </c>
      <c r="B411" s="56" t="n">
        <v>1981</v>
      </c>
      <c r="C411" s="56" t="n">
        <v>8</v>
      </c>
      <c r="D411" s="56" t="n">
        <v>104</v>
      </c>
      <c r="E411" s="56" t="n">
        <v>24.4</v>
      </c>
      <c r="F411" s="56" t="n">
        <v>0</v>
      </c>
      <c r="G411" s="56" t="n">
        <v>11.8</v>
      </c>
      <c r="H411" s="56" t="n">
        <v>0</v>
      </c>
      <c r="I411" s="56" t="n">
        <v>18.7</v>
      </c>
      <c r="J411" s="56" t="n">
        <v>0</v>
      </c>
      <c r="K411" s="56" t="n">
        <v>1020.7</v>
      </c>
      <c r="L411" s="56" t="n">
        <v>0</v>
      </c>
      <c r="M411" s="56" t="n">
        <v>69</v>
      </c>
      <c r="N411" s="56" t="n">
        <v>11.4</v>
      </c>
      <c r="O411" s="56" t="n">
        <f aca="false">IF(D411=1,"",E410)</f>
        <v>25.6</v>
      </c>
      <c r="P411" s="56" t="n">
        <f aca="false">IF(OR(D411=1,K410=""),"",K410)</f>
        <v>1021.4</v>
      </c>
      <c r="Q411" s="56" t="n">
        <f aca="false">IF(OR(F411&lt;&gt;0,AND(I411&lt;&gt;"",E411&lt;I411)),1,0)</f>
        <v>0</v>
      </c>
      <c r="R411" s="56" t="n">
        <f aca="false">IF(AND(D411&gt;1,Q411=0,ISNUMBER(O411),ISNUMBER(P411)),IF(Q410=0,1,0),0)</f>
        <v>1</v>
      </c>
      <c r="S411" s="56" t="n">
        <f aca="false">R411*(B411&gt;=Train_Start)*(B411&lt;=Train_End)</f>
        <v>1</v>
      </c>
      <c r="T411" s="84" t="n">
        <f aca="false">IF(AND(ISNUMBER(O411),ISNUMBER(P411)),Coef_A+Coef_B1*O411+Coef_B2*P411,"")</f>
        <v>25.1032691430445</v>
      </c>
      <c r="U411" s="84" t="n">
        <f aca="false">IF(AND(R411=1,ISNUMBER(T411)),E411-T411,"")</f>
        <v>-0.703269143044501</v>
      </c>
      <c r="V411" s="84" t="n">
        <f aca="false">IF(ISNUMBER(T411),T411,-99)</f>
        <v>25.1032691430445</v>
      </c>
      <c r="W411" s="84" t="n">
        <f aca="false">IF(ISNUMBER(U411),ABS(U411),"")</f>
        <v>0.703269143044501</v>
      </c>
    </row>
    <row r="412" customFormat="false" ht="15" hidden="false" customHeight="false" outlineLevel="0" collapsed="false">
      <c r="A412" s="57" t="n">
        <v>29811</v>
      </c>
      <c r="B412" s="56" t="n">
        <v>1981</v>
      </c>
      <c r="C412" s="56" t="n">
        <v>8</v>
      </c>
      <c r="D412" s="56" t="n">
        <v>105</v>
      </c>
      <c r="E412" s="56" t="n">
        <v>26.2</v>
      </c>
      <c r="F412" s="56" t="n">
        <v>0</v>
      </c>
      <c r="G412" s="56" t="n">
        <v>12.3</v>
      </c>
      <c r="H412" s="56" t="n">
        <v>0</v>
      </c>
      <c r="I412" s="56" t="n">
        <v>18.4</v>
      </c>
      <c r="J412" s="56" t="n">
        <v>0</v>
      </c>
      <c r="K412" s="56" t="n">
        <v>1020.3</v>
      </c>
      <c r="L412" s="56" t="n">
        <v>0</v>
      </c>
      <c r="M412" s="56" t="n">
        <v>63</v>
      </c>
      <c r="N412" s="56" t="n">
        <v>6.8</v>
      </c>
      <c r="O412" s="56" t="n">
        <f aca="false">IF(D412=1,"",E411)</f>
        <v>24.4</v>
      </c>
      <c r="P412" s="56" t="n">
        <f aca="false">IF(OR(D412=1,K411=""),"",K411)</f>
        <v>1020.7</v>
      </c>
      <c r="Q412" s="56" t="n">
        <f aca="false">IF(OR(F412&lt;&gt;0,AND(I412&lt;&gt;"",E412&lt;I412)),1,0)</f>
        <v>0</v>
      </c>
      <c r="R412" s="56" t="n">
        <f aca="false">IF(AND(D412&gt;1,Q412=0,ISNUMBER(O412),ISNUMBER(P412)),IF(Q411=0,1,0),0)</f>
        <v>1</v>
      </c>
      <c r="S412" s="56" t="n">
        <f aca="false">R412*(B412&gt;=Train_Start)*(B412&lt;=Train_End)</f>
        <v>1</v>
      </c>
      <c r="T412" s="84" t="n">
        <f aca="false">IF(AND(ISNUMBER(O412),ISNUMBER(P412)),Coef_A+Coef_B1*O412+Coef_B2*P412,"")</f>
        <v>24.0981031851495</v>
      </c>
      <c r="U412" s="84" t="n">
        <f aca="false">IF(AND(R412=1,ISNUMBER(T412)),E412-T412,"")</f>
        <v>2.10189681485048</v>
      </c>
      <c r="V412" s="84" t="n">
        <f aca="false">IF(ISNUMBER(T412),T412,-99)</f>
        <v>24.0981031851495</v>
      </c>
      <c r="W412" s="84" t="n">
        <f aca="false">IF(ISNUMBER(U412),ABS(U412),"")</f>
        <v>2.10189681485048</v>
      </c>
    </row>
    <row r="413" customFormat="false" ht="15" hidden="false" customHeight="false" outlineLevel="0" collapsed="false">
      <c r="A413" s="57" t="n">
        <v>29812</v>
      </c>
      <c r="B413" s="56" t="n">
        <v>1981</v>
      </c>
      <c r="C413" s="56" t="n">
        <v>8</v>
      </c>
      <c r="D413" s="56" t="n">
        <v>106</v>
      </c>
      <c r="E413" s="56" t="n">
        <v>26.3</v>
      </c>
      <c r="F413" s="56" t="n">
        <v>0</v>
      </c>
      <c r="G413" s="56" t="n">
        <v>13.8</v>
      </c>
      <c r="H413" s="56" t="n">
        <v>0</v>
      </c>
      <c r="I413" s="56" t="n">
        <v>20</v>
      </c>
      <c r="J413" s="56" t="n">
        <v>0</v>
      </c>
      <c r="K413" s="56" t="n">
        <v>1020.2</v>
      </c>
      <c r="L413" s="56" t="n">
        <v>0</v>
      </c>
      <c r="M413" s="56" t="n">
        <v>76</v>
      </c>
      <c r="N413" s="56" t="n">
        <v>7.3</v>
      </c>
      <c r="O413" s="56" t="n">
        <f aca="false">IF(D413=1,"",E412)</f>
        <v>26.2</v>
      </c>
      <c r="P413" s="56" t="n">
        <f aca="false">IF(OR(D413=1,K412=""),"",K412)</f>
        <v>1020.3</v>
      </c>
      <c r="Q413" s="56" t="n">
        <f aca="false">IF(OR(F413&lt;&gt;0,AND(I413&lt;&gt;"",E413&lt;I413)),1,0)</f>
        <v>0</v>
      </c>
      <c r="R413" s="56" t="n">
        <f aca="false">IF(AND(D413&gt;1,Q413=0,ISNUMBER(O413),ISNUMBER(P413)),IF(Q412=0,1,0),0)</f>
        <v>1</v>
      </c>
      <c r="S413" s="56" t="n">
        <f aca="false">R413*(B413&gt;=Train_Start)*(B413&lt;=Train_End)</f>
        <v>1</v>
      </c>
      <c r="T413" s="84" t="n">
        <f aca="false">IF(AND(ISNUMBER(O413),ISNUMBER(P413)),Coef_A+Coef_B1*O413+Coef_B2*P413,"")</f>
        <v>25.5603657747727</v>
      </c>
      <c r="U413" s="84" t="n">
        <f aca="false">IF(AND(R413=1,ISNUMBER(T413)),E413-T413,"")</f>
        <v>0.739634225227299</v>
      </c>
      <c r="V413" s="84" t="n">
        <f aca="false">IF(ISNUMBER(T413),T413,-99)</f>
        <v>25.5603657747727</v>
      </c>
      <c r="W413" s="84" t="n">
        <f aca="false">IF(ISNUMBER(U413),ABS(U413),"")</f>
        <v>0.739634225227299</v>
      </c>
    </row>
    <row r="414" customFormat="false" ht="15" hidden="false" customHeight="false" outlineLevel="0" collapsed="false">
      <c r="A414" s="57" t="n">
        <v>29813</v>
      </c>
      <c r="B414" s="56" t="n">
        <v>1981</v>
      </c>
      <c r="C414" s="56" t="n">
        <v>8</v>
      </c>
      <c r="D414" s="56" t="n">
        <v>107</v>
      </c>
      <c r="E414" s="56" t="n">
        <v>21</v>
      </c>
      <c r="F414" s="56" t="n">
        <v>1</v>
      </c>
      <c r="G414" s="56" t="n">
        <v>17.8</v>
      </c>
      <c r="H414" s="56" t="n">
        <v>0</v>
      </c>
      <c r="I414" s="56" t="n">
        <v>22</v>
      </c>
      <c r="J414" s="56" t="n">
        <v>1</v>
      </c>
      <c r="K414" s="56" t="n">
        <v>1018.9</v>
      </c>
      <c r="L414" s="56" t="n">
        <v>0</v>
      </c>
      <c r="M414" s="56" t="n">
        <v>75</v>
      </c>
      <c r="N414" s="56" t="n">
        <v>7.3</v>
      </c>
      <c r="O414" s="56" t="n">
        <f aca="false">IF(D414=1,"",E413)</f>
        <v>26.3</v>
      </c>
      <c r="P414" s="56" t="n">
        <f aca="false">IF(OR(D414=1,K413=""),"",K413)</f>
        <v>1020.2</v>
      </c>
      <c r="Q414" s="56" t="n">
        <f aca="false">IF(OR(F414&lt;&gt;0,AND(I414&lt;&gt;"",E414&lt;I414)),1,0)</f>
        <v>1</v>
      </c>
      <c r="R414" s="56" t="n">
        <f aca="false">IF(AND(D414&gt;1,Q414=0,ISNUMBER(O414),ISNUMBER(P414)),IF(Q413=0,1,0),0)</f>
        <v>0</v>
      </c>
      <c r="S414" s="56" t="n">
        <f aca="false">R414*(B414&gt;=Train_Start)*(B414&lt;=Train_End)</f>
        <v>0</v>
      </c>
      <c r="T414" s="84" t="n">
        <f aca="false">IF(AND(ISNUMBER(O414),ISNUMBER(P414)),Coef_A+Coef_B1*O414+Coef_B2*P414,"")</f>
        <v>25.6391627046136</v>
      </c>
      <c r="U414" s="84" t="str">
        <f aca="false">IF(AND(R414=1,ISNUMBER(T414)),E414-T414,"")</f>
        <v/>
      </c>
      <c r="V414" s="84" t="n">
        <f aca="false">IF(ISNUMBER(T414),T414,-99)</f>
        <v>25.6391627046136</v>
      </c>
      <c r="W414" s="84" t="str">
        <f aca="false">IF(ISNUMBER(U414),ABS(U414),"")</f>
        <v/>
      </c>
    </row>
    <row r="415" customFormat="false" ht="15" hidden="false" customHeight="false" outlineLevel="0" collapsed="false">
      <c r="A415" s="57" t="n">
        <v>29814</v>
      </c>
      <c r="B415" s="56" t="n">
        <v>1981</v>
      </c>
      <c r="C415" s="56" t="n">
        <v>8</v>
      </c>
      <c r="D415" s="56" t="n">
        <v>108</v>
      </c>
      <c r="E415" s="56" t="n">
        <v>22.2</v>
      </c>
      <c r="F415" s="56" t="n">
        <v>0</v>
      </c>
      <c r="G415" s="56" t="n">
        <v>12.5</v>
      </c>
      <c r="H415" s="56" t="n">
        <v>0</v>
      </c>
      <c r="I415" s="56" t="n">
        <v>16.8</v>
      </c>
      <c r="J415" s="56" t="n">
        <v>0</v>
      </c>
      <c r="K415" s="56" t="n">
        <v>1022.5</v>
      </c>
      <c r="L415" s="56" t="n">
        <v>0</v>
      </c>
      <c r="M415" s="56" t="n">
        <v>59</v>
      </c>
      <c r="N415" s="56" t="n">
        <v>12.5</v>
      </c>
      <c r="O415" s="56" t="n">
        <f aca="false">IF(D415=1,"",E414)</f>
        <v>21</v>
      </c>
      <c r="P415" s="56" t="n">
        <f aca="false">IF(OR(D415=1,K414=""),"",K414)</f>
        <v>1018.9</v>
      </c>
      <c r="Q415" s="56" t="n">
        <f aca="false">IF(OR(F415&lt;&gt;0,AND(I415&lt;&gt;"",E415&lt;I415)),1,0)</f>
        <v>0</v>
      </c>
      <c r="R415" s="56" t="n">
        <f aca="false">IF(AND(D415&gt;1,Q415=0,ISNUMBER(O415),ISNUMBER(P415)),IF(Q414=0,1,0),0)</f>
        <v>0</v>
      </c>
      <c r="S415" s="56" t="n">
        <f aca="false">R415*(B415&gt;=Train_Start)*(B415&lt;=Train_End)</f>
        <v>0</v>
      </c>
      <c r="T415" s="84" t="n">
        <f aca="false">IF(AND(ISNUMBER(O415),ISNUMBER(P415)),Coef_A+Coef_B1*O415+Coef_B2*P415,"")</f>
        <v>21.2558841184633</v>
      </c>
      <c r="U415" s="84" t="str">
        <f aca="false">IF(AND(R415=1,ISNUMBER(T415)),E415-T415,"")</f>
        <v/>
      </c>
      <c r="V415" s="84" t="n">
        <f aca="false">IF(ISNUMBER(T415),T415,-99)</f>
        <v>21.2558841184633</v>
      </c>
      <c r="W415" s="84" t="str">
        <f aca="false">IF(ISNUMBER(U415),ABS(U415),"")</f>
        <v/>
      </c>
    </row>
    <row r="416" customFormat="false" ht="15" hidden="false" customHeight="false" outlineLevel="0" collapsed="false">
      <c r="A416" s="57" t="n">
        <v>29815</v>
      </c>
      <c r="B416" s="56" t="n">
        <v>1981</v>
      </c>
      <c r="C416" s="56" t="n">
        <v>8</v>
      </c>
      <c r="D416" s="56" t="n">
        <v>109</v>
      </c>
      <c r="E416" s="56" t="n">
        <v>23.6</v>
      </c>
      <c r="F416" s="56" t="n">
        <v>0</v>
      </c>
      <c r="G416" s="56" t="n">
        <v>9.1</v>
      </c>
      <c r="H416" s="56" t="n">
        <v>0</v>
      </c>
      <c r="I416" s="56" t="n">
        <v>15.6</v>
      </c>
      <c r="J416" s="56" t="n">
        <v>0</v>
      </c>
      <c r="K416" s="56" t="n">
        <v>1026.5</v>
      </c>
      <c r="L416" s="56" t="n">
        <v>0</v>
      </c>
      <c r="M416" s="56" t="n">
        <v>63</v>
      </c>
      <c r="N416" s="56" t="n">
        <v>13.1</v>
      </c>
      <c r="O416" s="56" t="n">
        <f aca="false">IF(D416=1,"",E415)</f>
        <v>22.2</v>
      </c>
      <c r="P416" s="56" t="n">
        <f aca="false">IF(OR(D416=1,K415=""),"",K415)</f>
        <v>1022.5</v>
      </c>
      <c r="Q416" s="56" t="n">
        <f aca="false">IF(OR(F416&lt;&gt;0,AND(I416&lt;&gt;"",E416&lt;I416)),1,0)</f>
        <v>0</v>
      </c>
      <c r="R416" s="56" t="n">
        <f aca="false">IF(AND(D416&gt;1,Q416=0,ISNUMBER(O416),ISNUMBER(P416)),IF(Q415=0,1,0),0)</f>
        <v>1</v>
      </c>
      <c r="S416" s="56" t="n">
        <f aca="false">R416*(B416&gt;=Train_Start)*(B416&lt;=Train_End)</f>
        <v>1</v>
      </c>
      <c r="T416" s="84" t="n">
        <f aca="false">IF(AND(ISNUMBER(O416),ISNUMBER(P416)),Coef_A+Coef_B1*O416+Coef_B2*P416,"")</f>
        <v>22.3520227707969</v>
      </c>
      <c r="U416" s="84" t="n">
        <f aca="false">IF(AND(R416=1,ISNUMBER(T416)),E416-T416,"")</f>
        <v>1.24797722920315</v>
      </c>
      <c r="V416" s="84" t="n">
        <f aca="false">IF(ISNUMBER(T416),T416,-99)</f>
        <v>22.3520227707969</v>
      </c>
      <c r="W416" s="84" t="n">
        <f aca="false">IF(ISNUMBER(U416),ABS(U416),"")</f>
        <v>1.24797722920315</v>
      </c>
    </row>
    <row r="417" customFormat="false" ht="15" hidden="false" customHeight="false" outlineLevel="0" collapsed="false">
      <c r="A417" s="57" t="n">
        <v>29816</v>
      </c>
      <c r="B417" s="56" t="n">
        <v>1981</v>
      </c>
      <c r="C417" s="56" t="n">
        <v>8</v>
      </c>
      <c r="D417" s="56" t="n">
        <v>110</v>
      </c>
      <c r="E417" s="56" t="n">
        <v>21.6</v>
      </c>
      <c r="F417" s="56" t="n">
        <v>0</v>
      </c>
      <c r="G417" s="56" t="n">
        <v>11.1</v>
      </c>
      <c r="H417" s="56" t="n">
        <v>0</v>
      </c>
      <c r="I417" s="56" t="n">
        <v>17.4</v>
      </c>
      <c r="J417" s="56" t="n">
        <v>0</v>
      </c>
      <c r="K417" s="56" t="n">
        <v>1022.1</v>
      </c>
      <c r="L417" s="56" t="n">
        <v>0</v>
      </c>
      <c r="M417" s="56" t="n">
        <v>68</v>
      </c>
      <c r="N417" s="56" t="n">
        <v>10.7</v>
      </c>
      <c r="O417" s="56" t="n">
        <f aca="false">IF(D417=1,"",E416)</f>
        <v>23.6</v>
      </c>
      <c r="P417" s="56" t="n">
        <f aca="false">IF(OR(D417=1,K416=""),"",K416)</f>
        <v>1026.5</v>
      </c>
      <c r="Q417" s="56" t="n">
        <f aca="false">IF(OR(F417&lt;&gt;0,AND(I417&lt;&gt;"",E417&lt;I417)),1,0)</f>
        <v>0</v>
      </c>
      <c r="R417" s="56" t="n">
        <f aca="false">IF(AND(D417&gt;1,Q417=0,ISNUMBER(O417),ISNUMBER(P417)),IF(Q416=0,1,0),0)</f>
        <v>1</v>
      </c>
      <c r="S417" s="56" t="n">
        <f aca="false">R417*(B417&gt;=Train_Start)*(B417&lt;=Train_End)</f>
        <v>1</v>
      </c>
      <c r="T417" s="84" t="n">
        <f aca="false">IF(AND(ISNUMBER(O417),ISNUMBER(P417)),Coef_A+Coef_B1*O417+Coef_B2*P417,"")</f>
        <v>23.6245772195925</v>
      </c>
      <c r="U417" s="84" t="n">
        <f aca="false">IF(AND(R417=1,ISNUMBER(T417)),E417-T417,"")</f>
        <v>-2.02457721959253</v>
      </c>
      <c r="V417" s="84" t="n">
        <f aca="false">IF(ISNUMBER(T417),T417,-99)</f>
        <v>23.6245772195925</v>
      </c>
      <c r="W417" s="84" t="n">
        <f aca="false">IF(ISNUMBER(U417),ABS(U417),"")</f>
        <v>2.02457721959253</v>
      </c>
    </row>
    <row r="418" customFormat="false" ht="15" hidden="false" customHeight="false" outlineLevel="0" collapsed="false">
      <c r="A418" s="57" t="n">
        <v>29817</v>
      </c>
      <c r="B418" s="56" t="n">
        <v>1981</v>
      </c>
      <c r="C418" s="56" t="n">
        <v>8</v>
      </c>
      <c r="D418" s="56" t="n">
        <v>111</v>
      </c>
      <c r="E418" s="56" t="n">
        <v>19.9</v>
      </c>
      <c r="F418" s="56" t="n">
        <v>0</v>
      </c>
      <c r="G418" s="56" t="n">
        <v>14</v>
      </c>
      <c r="H418" s="56" t="n">
        <v>0</v>
      </c>
      <c r="I418" s="56" t="n">
        <v>17.8</v>
      </c>
      <c r="J418" s="56" t="n">
        <v>0</v>
      </c>
      <c r="K418" s="56" t="n">
        <v>1016</v>
      </c>
      <c r="L418" s="56" t="n">
        <v>0</v>
      </c>
      <c r="M418" s="56" t="n">
        <v>74</v>
      </c>
      <c r="N418" s="56" t="n">
        <v>4.4</v>
      </c>
      <c r="O418" s="56" t="n">
        <f aca="false">IF(D418=1,"",E417)</f>
        <v>21.6</v>
      </c>
      <c r="P418" s="56" t="n">
        <f aca="false">IF(OR(D418=1,K417=""),"",K417)</f>
        <v>1022.1</v>
      </c>
      <c r="Q418" s="56" t="n">
        <f aca="false">IF(OR(F418&lt;&gt;0,AND(I418&lt;&gt;"",E418&lt;I418)),1,0)</f>
        <v>0</v>
      </c>
      <c r="R418" s="56" t="n">
        <f aca="false">IF(AND(D418&gt;1,Q418=0,ISNUMBER(O418),ISNUMBER(P418)),IF(Q417=0,1,0),0)</f>
        <v>1</v>
      </c>
      <c r="S418" s="56" t="n">
        <f aca="false">R418*(B418&gt;=Train_Start)*(B418&lt;=Train_End)</f>
        <v>1</v>
      </c>
      <c r="T418" s="84" t="n">
        <f aca="false">IF(AND(ISNUMBER(O418),ISNUMBER(P418)),Coef_A+Coef_B1*O418+Coef_B2*P418,"")</f>
        <v>21.8478712971177</v>
      </c>
      <c r="U418" s="84" t="n">
        <f aca="false">IF(AND(R418=1,ISNUMBER(T418)),E418-T418,"")</f>
        <v>-1.94787129711766</v>
      </c>
      <c r="V418" s="84" t="n">
        <f aca="false">IF(ISNUMBER(T418),T418,-99)</f>
        <v>21.8478712971177</v>
      </c>
      <c r="W418" s="84" t="n">
        <f aca="false">IF(ISNUMBER(U418),ABS(U418),"")</f>
        <v>1.94787129711766</v>
      </c>
    </row>
    <row r="419" customFormat="false" ht="15" hidden="false" customHeight="false" outlineLevel="0" collapsed="false">
      <c r="A419" s="57" t="n">
        <v>29818</v>
      </c>
      <c r="B419" s="56" t="n">
        <v>1981</v>
      </c>
      <c r="C419" s="56" t="n">
        <v>8</v>
      </c>
      <c r="D419" s="56" t="n">
        <v>112</v>
      </c>
      <c r="E419" s="56" t="n">
        <v>20</v>
      </c>
      <c r="F419" s="56" t="n">
        <v>0</v>
      </c>
      <c r="G419" s="56" t="n">
        <v>14.6</v>
      </c>
      <c r="H419" s="56" t="n">
        <v>0</v>
      </c>
      <c r="I419" s="56" t="n">
        <v>17.2</v>
      </c>
      <c r="J419" s="56" t="n">
        <v>0</v>
      </c>
      <c r="K419" s="56" t="n">
        <v>1008.8</v>
      </c>
      <c r="L419" s="56" t="n">
        <v>0</v>
      </c>
      <c r="M419" s="56" t="n">
        <v>77</v>
      </c>
      <c r="N419" s="56" t="n">
        <v>5.6</v>
      </c>
      <c r="O419" s="56" t="n">
        <f aca="false">IF(D419=1,"",E418)</f>
        <v>19.9</v>
      </c>
      <c r="P419" s="56" t="n">
        <f aca="false">IF(OR(D419=1,K418=""),"",K418)</f>
        <v>1016</v>
      </c>
      <c r="Q419" s="56" t="n">
        <f aca="false">IF(OR(F419&lt;&gt;0,AND(I419&lt;&gt;"",E419&lt;I419)),1,0)</f>
        <v>0</v>
      </c>
      <c r="R419" s="56" t="n">
        <f aca="false">IF(AND(D419&gt;1,Q419=0,ISNUMBER(O419),ISNUMBER(P419)),IF(Q418=0,1,0),0)</f>
        <v>1</v>
      </c>
      <c r="S419" s="56" t="n">
        <f aca="false">R419*(B419&gt;=Train_Start)*(B419&lt;=Train_End)</f>
        <v>1</v>
      </c>
      <c r="T419" s="84" t="n">
        <f aca="false">IF(AND(ISNUMBER(O419),ISNUMBER(P419)),Coef_A+Coef_B1*O419+Coef_B2*P419,"")</f>
        <v>20.2636383116778</v>
      </c>
      <c r="U419" s="84" t="n">
        <f aca="false">IF(AND(R419=1,ISNUMBER(T419)),E419-T419,"")</f>
        <v>-0.263638311677806</v>
      </c>
      <c r="V419" s="84" t="n">
        <f aca="false">IF(ISNUMBER(T419),T419,-99)</f>
        <v>20.2636383116778</v>
      </c>
      <c r="W419" s="84" t="n">
        <f aca="false">IF(ISNUMBER(U419),ABS(U419),"")</f>
        <v>0.263638311677806</v>
      </c>
    </row>
    <row r="420" customFormat="false" ht="15" hidden="false" customHeight="false" outlineLevel="0" collapsed="false">
      <c r="A420" s="57" t="n">
        <v>29819</v>
      </c>
      <c r="B420" s="56" t="n">
        <v>1981</v>
      </c>
      <c r="C420" s="56" t="n">
        <v>8</v>
      </c>
      <c r="D420" s="56" t="n">
        <v>113</v>
      </c>
      <c r="E420" s="56" t="n">
        <v>22.8</v>
      </c>
      <c r="F420" s="56" t="n">
        <v>0</v>
      </c>
      <c r="G420" s="56" t="n">
        <v>8.5</v>
      </c>
      <c r="H420" s="56" t="n">
        <v>0</v>
      </c>
      <c r="I420" s="56" t="n">
        <v>14.2</v>
      </c>
      <c r="J420" s="56" t="n">
        <v>0</v>
      </c>
      <c r="K420" s="56" t="n">
        <v>1015.8</v>
      </c>
      <c r="L420" s="56" t="n">
        <v>0</v>
      </c>
      <c r="M420" s="56" t="n">
        <v>78</v>
      </c>
      <c r="N420" s="56" t="n">
        <v>6.1</v>
      </c>
      <c r="O420" s="56" t="n">
        <f aca="false">IF(D420=1,"",E419)</f>
        <v>20</v>
      </c>
      <c r="P420" s="56" t="n">
        <f aca="false">IF(OR(D420=1,K419=""),"",K419)</f>
        <v>1008.8</v>
      </c>
      <c r="Q420" s="56" t="n">
        <f aca="false">IF(OR(F420&lt;&gt;0,AND(I420&lt;&gt;"",E420&lt;I420)),1,0)</f>
        <v>0</v>
      </c>
      <c r="R420" s="56" t="n">
        <f aca="false">IF(AND(D420&gt;1,Q420=0,ISNUMBER(O420),ISNUMBER(P420)),IF(Q419=0,1,0),0)</f>
        <v>1</v>
      </c>
      <c r="S420" s="56" t="n">
        <f aca="false">R420*(B420&gt;=Train_Start)*(B420&lt;=Train_End)</f>
        <v>1</v>
      </c>
      <c r="T420" s="84" t="n">
        <f aca="false">IF(AND(ISNUMBER(O420),ISNUMBER(P420)),Coef_A+Coef_B1*O420+Coef_B2*P420,"")</f>
        <v>20.1197089896173</v>
      </c>
      <c r="U420" s="84" t="n">
        <f aca="false">IF(AND(R420=1,ISNUMBER(T420)),E420-T420,"")</f>
        <v>2.68029101038265</v>
      </c>
      <c r="V420" s="84" t="n">
        <f aca="false">IF(ISNUMBER(T420),T420,-99)</f>
        <v>20.1197089896173</v>
      </c>
      <c r="W420" s="84" t="n">
        <f aca="false">IF(ISNUMBER(U420),ABS(U420),"")</f>
        <v>2.68029101038265</v>
      </c>
    </row>
    <row r="421" customFormat="false" ht="15" hidden="false" customHeight="false" outlineLevel="0" collapsed="false">
      <c r="A421" s="57" t="n">
        <v>29820</v>
      </c>
      <c r="B421" s="56" t="n">
        <v>1981</v>
      </c>
      <c r="C421" s="56" t="n">
        <v>8</v>
      </c>
      <c r="D421" s="56" t="n">
        <v>114</v>
      </c>
      <c r="E421" s="56" t="n">
        <v>20.5</v>
      </c>
      <c r="F421" s="56" t="n">
        <v>0</v>
      </c>
      <c r="G421" s="56" t="n">
        <v>12.5</v>
      </c>
      <c r="H421" s="56" t="n">
        <v>0</v>
      </c>
      <c r="I421" s="56" t="n">
        <v>17.6</v>
      </c>
      <c r="J421" s="56" t="n">
        <v>0</v>
      </c>
      <c r="K421" s="56" t="n">
        <v>1017.2</v>
      </c>
      <c r="L421" s="56" t="n">
        <v>0</v>
      </c>
      <c r="M421" s="56" t="n">
        <v>81</v>
      </c>
      <c r="N421" s="56" t="n">
        <v>3</v>
      </c>
      <c r="O421" s="56" t="n">
        <f aca="false">IF(D421=1,"",E420)</f>
        <v>22.8</v>
      </c>
      <c r="P421" s="56" t="n">
        <f aca="false">IF(OR(D421=1,K420=""),"",K420)</f>
        <v>1015.8</v>
      </c>
      <c r="Q421" s="56" t="n">
        <f aca="false">IF(OR(F421&lt;&gt;0,AND(I421&lt;&gt;"",E421&lt;I421)),1,0)</f>
        <v>0</v>
      </c>
      <c r="R421" s="56" t="n">
        <f aca="false">IF(AND(D421&gt;1,Q421=0,ISNUMBER(O421),ISNUMBER(P421)),IF(Q420=0,1,0),0)</f>
        <v>1</v>
      </c>
      <c r="S421" s="56" t="n">
        <f aca="false">R421*(B421&gt;=Train_Start)*(B421&lt;=Train_End)</f>
        <v>1</v>
      </c>
      <c r="T421" s="84" t="n">
        <f aca="false">IF(AND(ISNUMBER(O421),ISNUMBER(P421)),Coef_A+Coef_B1*O421+Coef_B2*P421,"")</f>
        <v>22.6334479925747</v>
      </c>
      <c r="U421" s="84" t="n">
        <f aca="false">IF(AND(R421=1,ISNUMBER(T421)),E421-T421,"")</f>
        <v>-2.13344799257472</v>
      </c>
      <c r="V421" s="84" t="n">
        <f aca="false">IF(ISNUMBER(T421),T421,-99)</f>
        <v>22.6334479925747</v>
      </c>
      <c r="W421" s="84" t="n">
        <f aca="false">IF(ISNUMBER(U421),ABS(U421),"")</f>
        <v>2.13344799257472</v>
      </c>
    </row>
    <row r="422" customFormat="false" ht="15" hidden="false" customHeight="false" outlineLevel="0" collapsed="false">
      <c r="A422" s="57" t="n">
        <v>29821</v>
      </c>
      <c r="B422" s="56" t="n">
        <v>1981</v>
      </c>
      <c r="C422" s="56" t="n">
        <v>8</v>
      </c>
      <c r="D422" s="56" t="n">
        <v>115</v>
      </c>
      <c r="E422" s="56" t="n">
        <v>22.5</v>
      </c>
      <c r="F422" s="56" t="n">
        <v>0</v>
      </c>
      <c r="G422" s="56" t="n">
        <v>12.7</v>
      </c>
      <c r="H422" s="56" t="n">
        <v>0</v>
      </c>
      <c r="I422" s="56" t="n">
        <v>16.6</v>
      </c>
      <c r="J422" s="56" t="n">
        <v>0</v>
      </c>
      <c r="K422" s="56" t="n">
        <v>1025</v>
      </c>
      <c r="L422" s="56" t="n">
        <v>0</v>
      </c>
      <c r="M422" s="56" t="n">
        <v>76</v>
      </c>
      <c r="N422" s="56" t="n">
        <v>6.1</v>
      </c>
      <c r="O422" s="56" t="n">
        <f aca="false">IF(D422=1,"",E421)</f>
        <v>20.5</v>
      </c>
      <c r="P422" s="56" t="n">
        <f aca="false">IF(OR(D422=1,K421=""),"",K421)</f>
        <v>1017.2</v>
      </c>
      <c r="Q422" s="56" t="n">
        <f aca="false">IF(OR(F422&lt;&gt;0,AND(I422&lt;&gt;"",E422&lt;I422)),1,0)</f>
        <v>0</v>
      </c>
      <c r="R422" s="56" t="n">
        <f aca="false">IF(AND(D422&gt;1,Q422=0,ISNUMBER(O422),ISNUMBER(P422)),IF(Q421=0,1,0),0)</f>
        <v>1</v>
      </c>
      <c r="S422" s="56" t="n">
        <f aca="false">R422*(B422&gt;=Train_Start)*(B422&lt;=Train_End)</f>
        <v>1</v>
      </c>
      <c r="T422" s="84" t="n">
        <f aca="false">IF(AND(ISNUMBER(O422),ISNUMBER(P422)),Coef_A+Coef_B1*O422+Coef_B2*P422,"")</f>
        <v>20.7928857010642</v>
      </c>
      <c r="U422" s="84" t="n">
        <f aca="false">IF(AND(R422=1,ISNUMBER(T422)),E422-T422,"")</f>
        <v>1.70711429893581</v>
      </c>
      <c r="V422" s="84" t="n">
        <f aca="false">IF(ISNUMBER(T422),T422,-99)</f>
        <v>20.7928857010642</v>
      </c>
      <c r="W422" s="84" t="n">
        <f aca="false">IF(ISNUMBER(U422),ABS(U422),"")</f>
        <v>1.70711429893581</v>
      </c>
    </row>
    <row r="423" customFormat="false" ht="15" hidden="false" customHeight="false" outlineLevel="0" collapsed="false">
      <c r="A423" s="57" t="n">
        <v>29822</v>
      </c>
      <c r="B423" s="56" t="n">
        <v>1981</v>
      </c>
      <c r="C423" s="56" t="n">
        <v>8</v>
      </c>
      <c r="D423" s="56" t="n">
        <v>116</v>
      </c>
      <c r="E423" s="56" t="n">
        <v>24.9</v>
      </c>
      <c r="F423" s="56" t="n">
        <v>0</v>
      </c>
      <c r="G423" s="56" t="n">
        <v>12.5</v>
      </c>
      <c r="H423" s="56" t="n">
        <v>0</v>
      </c>
      <c r="I423" s="56" t="n">
        <v>17.5</v>
      </c>
      <c r="J423" s="56" t="n">
        <v>0</v>
      </c>
      <c r="K423" s="56" t="n">
        <v>1028.6</v>
      </c>
      <c r="L423" s="56" t="n">
        <v>0</v>
      </c>
      <c r="M423" s="56" t="n">
        <v>83</v>
      </c>
      <c r="N423" s="56" t="n">
        <v>3.3</v>
      </c>
      <c r="O423" s="56" t="n">
        <f aca="false">IF(D423=1,"",E422)</f>
        <v>22.5</v>
      </c>
      <c r="P423" s="56" t="n">
        <f aca="false">IF(OR(D423=1,K422=""),"",K422)</f>
        <v>1025</v>
      </c>
      <c r="Q423" s="56" t="n">
        <f aca="false">IF(OR(F423&lt;&gt;0,AND(I423&lt;&gt;"",E423&lt;I423)),1,0)</f>
        <v>0</v>
      </c>
      <c r="R423" s="56" t="n">
        <f aca="false">IF(AND(D423&gt;1,Q423=0,ISNUMBER(O423),ISNUMBER(P423)),IF(Q422=0,1,0),0)</f>
        <v>1</v>
      </c>
      <c r="S423" s="56" t="n">
        <f aca="false">R423*(B423&gt;=Train_Start)*(B423&lt;=Train_End)</f>
        <v>1</v>
      </c>
      <c r="T423" s="84" t="n">
        <f aca="false">IF(AND(ISNUMBER(O423),ISNUMBER(P423)),Coef_A+Coef_B1*O423+Coef_B2*P423,"")</f>
        <v>22.6762492652946</v>
      </c>
      <c r="U423" s="84" t="n">
        <f aca="false">IF(AND(R423=1,ISNUMBER(T423)),E423-T423,"")</f>
        <v>2.22375073470538</v>
      </c>
      <c r="V423" s="84" t="n">
        <f aca="false">IF(ISNUMBER(T423),T423,-99)</f>
        <v>22.6762492652946</v>
      </c>
      <c r="W423" s="84" t="n">
        <f aca="false">IF(ISNUMBER(U423),ABS(U423),"")</f>
        <v>2.22375073470538</v>
      </c>
    </row>
    <row r="424" customFormat="false" ht="15" hidden="false" customHeight="false" outlineLevel="0" collapsed="false">
      <c r="A424" s="57" t="n">
        <v>29823</v>
      </c>
      <c r="B424" s="56" t="n">
        <v>1981</v>
      </c>
      <c r="C424" s="56" t="n">
        <v>8</v>
      </c>
      <c r="D424" s="56" t="n">
        <v>117</v>
      </c>
      <c r="E424" s="56" t="n">
        <v>26.6</v>
      </c>
      <c r="F424" s="56" t="n">
        <v>0</v>
      </c>
      <c r="G424" s="56" t="n">
        <v>12.3</v>
      </c>
      <c r="H424" s="56" t="n">
        <v>0</v>
      </c>
      <c r="I424" s="56" t="n">
        <v>18.6</v>
      </c>
      <c r="J424" s="56" t="n">
        <v>0</v>
      </c>
      <c r="K424" s="56" t="n">
        <v>1029.6</v>
      </c>
      <c r="L424" s="56" t="n">
        <v>0</v>
      </c>
      <c r="M424" s="56" t="n">
        <v>74</v>
      </c>
      <c r="N424" s="56" t="n">
        <v>9.1</v>
      </c>
      <c r="O424" s="56" t="n">
        <f aca="false">IF(D424=1,"",E423)</f>
        <v>24.9</v>
      </c>
      <c r="P424" s="56" t="n">
        <f aca="false">IF(OR(D424=1,K423=""),"",K423)</f>
        <v>1028.6</v>
      </c>
      <c r="Q424" s="56" t="n">
        <f aca="false">IF(OR(F424&lt;&gt;0,AND(I424&lt;&gt;"",E424&lt;I424)),1,0)</f>
        <v>0</v>
      </c>
      <c r="R424" s="56" t="n">
        <f aca="false">IF(AND(D424&gt;1,Q424=0,ISNUMBER(O424),ISNUMBER(P424)),IF(Q423=0,1,0),0)</f>
        <v>1</v>
      </c>
      <c r="S424" s="56" t="n">
        <f aca="false">R424*(B424&gt;=Train_Start)*(B424&lt;=Train_End)</f>
        <v>1</v>
      </c>
      <c r="T424" s="84" t="n">
        <f aca="false">IF(AND(ISNUMBER(O424),ISNUMBER(P424)),Coef_A+Coef_B1*O424+Coef_B2*P424,"")</f>
        <v>24.7555949492794</v>
      </c>
      <c r="U424" s="84" t="n">
        <f aca="false">IF(AND(R424=1,ISNUMBER(T424)),E424-T424,"")</f>
        <v>1.84440505072064</v>
      </c>
      <c r="V424" s="84" t="n">
        <f aca="false">IF(ISNUMBER(T424),T424,-99)</f>
        <v>24.7555949492794</v>
      </c>
      <c r="W424" s="84" t="n">
        <f aca="false">IF(ISNUMBER(U424),ABS(U424),"")</f>
        <v>1.84440505072064</v>
      </c>
    </row>
    <row r="425" customFormat="false" ht="15" hidden="false" customHeight="false" outlineLevel="0" collapsed="false">
      <c r="A425" s="57" t="n">
        <v>29824</v>
      </c>
      <c r="B425" s="56" t="n">
        <v>1981</v>
      </c>
      <c r="C425" s="56" t="n">
        <v>8</v>
      </c>
      <c r="D425" s="56" t="n">
        <v>118</v>
      </c>
      <c r="E425" s="56" t="n">
        <v>27.9</v>
      </c>
      <c r="F425" s="56" t="n">
        <v>0</v>
      </c>
      <c r="G425" s="56" t="n">
        <v>14.1</v>
      </c>
      <c r="H425" s="56" t="n">
        <v>0</v>
      </c>
      <c r="I425" s="56" t="n">
        <v>20.4</v>
      </c>
      <c r="J425" s="56" t="n">
        <v>0</v>
      </c>
      <c r="K425" s="56" t="n">
        <v>1029.8</v>
      </c>
      <c r="L425" s="56" t="n">
        <v>0</v>
      </c>
      <c r="M425" s="56" t="n">
        <v>65</v>
      </c>
      <c r="N425" s="56" t="n">
        <v>12.6</v>
      </c>
      <c r="O425" s="56" t="n">
        <f aca="false">IF(D425=1,"",E424)</f>
        <v>26.6</v>
      </c>
      <c r="P425" s="56" t="n">
        <f aca="false">IF(OR(D425=1,K424=""),"",K424)</f>
        <v>1029.6</v>
      </c>
      <c r="Q425" s="56" t="n">
        <f aca="false">IF(OR(F425&lt;&gt;0,AND(I425&lt;&gt;"",E425&lt;I425)),1,0)</f>
        <v>0</v>
      </c>
      <c r="R425" s="56" t="n">
        <f aca="false">IF(AND(D425&gt;1,Q425=0,ISNUMBER(O425),ISNUMBER(P425)),IF(Q424=0,1,0),0)</f>
        <v>1</v>
      </c>
      <c r="S425" s="56" t="n">
        <f aca="false">R425*(B425&gt;=Train_Start)*(B425&lt;=Train_End)</f>
        <v>1</v>
      </c>
      <c r="T425" s="84" t="n">
        <f aca="false">IF(AND(ISNUMBER(O425),ISNUMBER(P425)),Coef_A+Coef_B1*O425+Coef_B2*P425,"")</f>
        <v>26.1798414720859</v>
      </c>
      <c r="U425" s="84" t="n">
        <f aca="false">IF(AND(R425=1,ISNUMBER(T425)),E425-T425,"")</f>
        <v>1.72015852791413</v>
      </c>
      <c r="V425" s="84" t="n">
        <f aca="false">IF(ISNUMBER(T425),T425,-99)</f>
        <v>26.1798414720859</v>
      </c>
      <c r="W425" s="84" t="n">
        <f aca="false">IF(ISNUMBER(U425),ABS(U425),"")</f>
        <v>1.72015852791413</v>
      </c>
    </row>
    <row r="426" customFormat="false" ht="15" hidden="false" customHeight="false" outlineLevel="0" collapsed="false">
      <c r="A426" s="57" t="n">
        <v>29825</v>
      </c>
      <c r="B426" s="56" t="n">
        <v>1981</v>
      </c>
      <c r="C426" s="56" t="n">
        <v>8</v>
      </c>
      <c r="D426" s="56" t="n">
        <v>119</v>
      </c>
      <c r="E426" s="56" t="n">
        <v>27</v>
      </c>
      <c r="F426" s="56" t="n">
        <v>0</v>
      </c>
      <c r="G426" s="56" t="n">
        <v>12.1</v>
      </c>
      <c r="H426" s="56" t="n">
        <v>0</v>
      </c>
      <c r="I426" s="56" t="n">
        <v>20</v>
      </c>
      <c r="J426" s="56" t="n">
        <v>0</v>
      </c>
      <c r="K426" s="56" t="n">
        <v>1027.3</v>
      </c>
      <c r="L426" s="56" t="n">
        <v>0</v>
      </c>
      <c r="M426" s="56" t="n">
        <v>64</v>
      </c>
      <c r="N426" s="56" t="n">
        <v>12.3</v>
      </c>
      <c r="O426" s="56" t="n">
        <f aca="false">IF(D426=1,"",E425)</f>
        <v>27.9</v>
      </c>
      <c r="P426" s="56" t="n">
        <f aca="false">IF(OR(D426=1,K425=""),"",K425)</f>
        <v>1029.8</v>
      </c>
      <c r="Q426" s="56" t="n">
        <f aca="false">IF(OR(F426&lt;&gt;0,AND(I426&lt;&gt;"",E426&lt;I426)),1,0)</f>
        <v>0</v>
      </c>
      <c r="R426" s="56" t="n">
        <f aca="false">IF(AND(D426&gt;1,Q426=0,ISNUMBER(O426),ISNUMBER(P426)),IF(Q425=0,1,0),0)</f>
        <v>1</v>
      </c>
      <c r="S426" s="56" t="n">
        <f aca="false">R426*(B426&gt;=Train_Start)*(B426&lt;=Train_End)</f>
        <v>1</v>
      </c>
      <c r="T426" s="84" t="n">
        <f aca="false">IF(AND(ISNUMBER(O426),ISNUMBER(P426)),Coef_A+Coef_B1*O426+Coef_B2*P426,"")</f>
        <v>27.2512564019681</v>
      </c>
      <c r="U426" s="84" t="n">
        <f aca="false">IF(AND(R426=1,ISNUMBER(T426)),E426-T426,"")</f>
        <v>-0.251256401968121</v>
      </c>
      <c r="V426" s="84" t="n">
        <f aca="false">IF(ISNUMBER(T426),T426,-99)</f>
        <v>27.2512564019681</v>
      </c>
      <c r="W426" s="84" t="n">
        <f aca="false">IF(ISNUMBER(U426),ABS(U426),"")</f>
        <v>0.251256401968121</v>
      </c>
    </row>
    <row r="427" customFormat="false" ht="15" hidden="false" customHeight="false" outlineLevel="0" collapsed="false">
      <c r="A427" s="57" t="n">
        <v>29826</v>
      </c>
      <c r="B427" s="56" t="n">
        <v>1981</v>
      </c>
      <c r="C427" s="56" t="n">
        <v>8</v>
      </c>
      <c r="D427" s="56" t="n">
        <v>120</v>
      </c>
      <c r="E427" s="56" t="n">
        <v>22</v>
      </c>
      <c r="F427" s="56" t="n">
        <v>0</v>
      </c>
      <c r="G427" s="56" t="n">
        <v>14.4</v>
      </c>
      <c r="H427" s="56" t="n">
        <v>0</v>
      </c>
      <c r="I427" s="56" t="n">
        <v>20.7</v>
      </c>
      <c r="J427" s="56" t="n">
        <v>0</v>
      </c>
      <c r="K427" s="56" t="n">
        <v>1020.2</v>
      </c>
      <c r="L427" s="56" t="n">
        <v>0</v>
      </c>
      <c r="M427" s="56" t="n">
        <v>75</v>
      </c>
      <c r="N427" s="56" t="n">
        <v>10.2</v>
      </c>
      <c r="O427" s="56" t="n">
        <f aca="false">IF(D427=1,"",E426)</f>
        <v>27</v>
      </c>
      <c r="P427" s="56" t="n">
        <f aca="false">IF(OR(D427=1,K426=""),"",K426)</f>
        <v>1027.3</v>
      </c>
      <c r="Q427" s="56" t="n">
        <f aca="false">IF(OR(F427&lt;&gt;0,AND(I427&lt;&gt;"",E427&lt;I427)),1,0)</f>
        <v>0</v>
      </c>
      <c r="R427" s="56" t="n">
        <f aca="false">IF(AND(D427&gt;1,Q427=0,ISNUMBER(O427),ISNUMBER(P427)),IF(Q426=0,1,0),0)</f>
        <v>1</v>
      </c>
      <c r="S427" s="56" t="n">
        <f aca="false">R427*(B427&gt;=Train_Start)*(B427&lt;=Train_End)</f>
        <v>1</v>
      </c>
      <c r="T427" s="84" t="n">
        <f aca="false">IF(AND(ISNUMBER(O427),ISNUMBER(P427)),Coef_A+Coef_B1*O427+Coef_B2*P427,"")</f>
        <v>26.4354263916448</v>
      </c>
      <c r="U427" s="84" t="n">
        <f aca="false">IF(AND(R427=1,ISNUMBER(T427)),E427-T427,"")</f>
        <v>-4.43542639164475</v>
      </c>
      <c r="V427" s="84" t="n">
        <f aca="false">IF(ISNUMBER(T427),T427,-99)</f>
        <v>26.4354263916448</v>
      </c>
      <c r="W427" s="84" t="n">
        <f aca="false">IF(ISNUMBER(U427),ABS(U427),"")</f>
        <v>4.43542639164475</v>
      </c>
    </row>
    <row r="428" customFormat="false" ht="15" hidden="false" customHeight="false" outlineLevel="0" collapsed="false">
      <c r="A428" s="57" t="n">
        <v>29827</v>
      </c>
      <c r="B428" s="56" t="n">
        <v>1981</v>
      </c>
      <c r="C428" s="56" t="n">
        <v>8</v>
      </c>
      <c r="D428" s="56" t="n">
        <v>121</v>
      </c>
      <c r="E428" s="56" t="n">
        <v>22.7</v>
      </c>
      <c r="F428" s="56" t="n">
        <v>0</v>
      </c>
      <c r="G428" s="56" t="n">
        <v>15.5</v>
      </c>
      <c r="H428" s="56" t="n">
        <v>0</v>
      </c>
      <c r="I428" s="56" t="n">
        <v>18.8</v>
      </c>
      <c r="J428" s="56" t="n">
        <v>0</v>
      </c>
      <c r="K428" s="56" t="n">
        <v>1016.4</v>
      </c>
      <c r="L428" s="56" t="n">
        <v>0</v>
      </c>
      <c r="M428" s="56" t="n">
        <v>85</v>
      </c>
      <c r="N428" s="56" t="n">
        <v>3.4</v>
      </c>
      <c r="O428" s="56" t="n">
        <f aca="false">IF(D428=1,"",E427)</f>
        <v>22</v>
      </c>
      <c r="P428" s="56" t="n">
        <f aca="false">IF(OR(D428=1,K427=""),"",K427)</f>
        <v>1020.2</v>
      </c>
      <c r="Q428" s="56" t="n">
        <f aca="false">IF(OR(F428&lt;&gt;0,AND(I428&lt;&gt;"",E428&lt;I428)),1,0)</f>
        <v>0</v>
      </c>
      <c r="R428" s="56" t="n">
        <f aca="false">IF(AND(D428&gt;1,Q428=0,ISNUMBER(O428),ISNUMBER(P428)),IF(Q427=0,1,0),0)</f>
        <v>1</v>
      </c>
      <c r="S428" s="56" t="n">
        <f aca="false">R428*(B428&gt;=Train_Start)*(B428&lt;=Train_End)</f>
        <v>1</v>
      </c>
      <c r="T428" s="84" t="n">
        <f aca="false">IF(AND(ISNUMBER(O428),ISNUMBER(P428)),Coef_A+Coef_B1*O428+Coef_B2*P428,"")</f>
        <v>22.1160041745301</v>
      </c>
      <c r="U428" s="84" t="n">
        <f aca="false">IF(AND(R428=1,ISNUMBER(T428)),E428-T428,"")</f>
        <v>0.583995825469856</v>
      </c>
      <c r="V428" s="84" t="n">
        <f aca="false">IF(ISNUMBER(T428),T428,-99)</f>
        <v>22.1160041745301</v>
      </c>
      <c r="W428" s="84" t="n">
        <f aca="false">IF(ISNUMBER(U428),ABS(U428),"")</f>
        <v>0.583995825469856</v>
      </c>
    </row>
    <row r="429" customFormat="false" ht="15" hidden="false" customHeight="false" outlineLevel="0" collapsed="false">
      <c r="A429" s="57" t="n">
        <v>29828</v>
      </c>
      <c r="B429" s="56" t="n">
        <v>1981</v>
      </c>
      <c r="C429" s="56" t="n">
        <v>8</v>
      </c>
      <c r="D429" s="56" t="n">
        <v>122</v>
      </c>
      <c r="E429" s="56" t="n">
        <v>21.1</v>
      </c>
      <c r="F429" s="56" t="n">
        <v>0</v>
      </c>
      <c r="G429" s="56" t="n">
        <v>13.6</v>
      </c>
      <c r="H429" s="56" t="n">
        <v>0</v>
      </c>
      <c r="I429" s="56" t="n">
        <v>18.2</v>
      </c>
      <c r="J429" s="56" t="n">
        <v>0</v>
      </c>
      <c r="K429" s="56" t="n">
        <v>1019</v>
      </c>
      <c r="L429" s="56" t="n">
        <v>0</v>
      </c>
      <c r="M429" s="56" t="n">
        <v>74</v>
      </c>
      <c r="N429" s="56" t="n">
        <v>10.7</v>
      </c>
      <c r="O429" s="56" t="n">
        <f aca="false">IF(D429=1,"",E428)</f>
        <v>22.7</v>
      </c>
      <c r="P429" s="56" t="n">
        <f aca="false">IF(OR(D429=1,K428=""),"",K428)</f>
        <v>1016.4</v>
      </c>
      <c r="Q429" s="56" t="n">
        <f aca="false">IF(OR(F429&lt;&gt;0,AND(I429&lt;&gt;"",E429&lt;I429)),1,0)</f>
        <v>0</v>
      </c>
      <c r="R429" s="56" t="n">
        <f aca="false">IF(AND(D429&gt;1,Q429=0,ISNUMBER(O429),ISNUMBER(P429)),IF(Q428=0,1,0),0)</f>
        <v>1</v>
      </c>
      <c r="S429" s="56" t="n">
        <f aca="false">R429*(B429&gt;=Train_Start)*(B429&lt;=Train_End)</f>
        <v>1</v>
      </c>
      <c r="T429" s="84" t="n">
        <f aca="false">IF(AND(ISNUMBER(O429),ISNUMBER(P429)),Coef_A+Coef_B1*O429+Coef_B2*P429,"")</f>
        <v>22.5703360100508</v>
      </c>
      <c r="U429" s="84" t="n">
        <f aca="false">IF(AND(R429=1,ISNUMBER(T429)),E429-T429,"")</f>
        <v>-1.47033601005084</v>
      </c>
      <c r="V429" s="84" t="n">
        <f aca="false">IF(ISNUMBER(T429),T429,-99)</f>
        <v>22.5703360100508</v>
      </c>
      <c r="W429" s="84" t="n">
        <f aca="false">IF(ISNUMBER(U429),ABS(U429),"")</f>
        <v>1.47033601005084</v>
      </c>
    </row>
    <row r="430" customFormat="false" ht="15" hidden="false" customHeight="false" outlineLevel="0" collapsed="false">
      <c r="A430" s="57" t="n">
        <v>29829</v>
      </c>
      <c r="B430" s="56" t="n">
        <v>1981</v>
      </c>
      <c r="C430" s="56" t="n">
        <v>8</v>
      </c>
      <c r="D430" s="56" t="n">
        <v>123</v>
      </c>
      <c r="E430" s="56" t="n">
        <v>19.2</v>
      </c>
      <c r="F430" s="56" t="n">
        <v>0</v>
      </c>
      <c r="G430" s="56" t="n">
        <v>12.9</v>
      </c>
      <c r="H430" s="56" t="n">
        <v>0</v>
      </c>
      <c r="I430" s="56" t="n">
        <v>17</v>
      </c>
      <c r="J430" s="56" t="n">
        <v>0</v>
      </c>
      <c r="K430" s="56" t="n">
        <v>1019.2</v>
      </c>
      <c r="L430" s="56" t="n">
        <v>0</v>
      </c>
      <c r="M430" s="56" t="n">
        <v>76</v>
      </c>
      <c r="N430" s="56" t="n">
        <v>2</v>
      </c>
      <c r="O430" s="56" t="n">
        <f aca="false">IF(D430=1,"",E429)</f>
        <v>21.1</v>
      </c>
      <c r="P430" s="56" t="n">
        <f aca="false">IF(OR(D430=1,K429=""),"",K429)</f>
        <v>1019</v>
      </c>
      <c r="Q430" s="56" t="n">
        <f aca="false">IF(OR(F430&lt;&gt;0,AND(I430&lt;&gt;"",E430&lt;I430)),1,0)</f>
        <v>0</v>
      </c>
      <c r="R430" s="56" t="n">
        <f aca="false">IF(AND(D430&gt;1,Q430=0,ISNUMBER(O430),ISNUMBER(P430)),IF(Q429=0,1,0),0)</f>
        <v>1</v>
      </c>
      <c r="S430" s="56" t="n">
        <f aca="false">R430*(B430&gt;=Train_Start)*(B430&lt;=Train_End)</f>
        <v>1</v>
      </c>
      <c r="T430" s="84" t="n">
        <f aca="false">IF(AND(ISNUMBER(O430),ISNUMBER(P430)),Coef_A+Coef_B1*O430+Coef_B2*P430,"")</f>
        <v>21.340955027231</v>
      </c>
      <c r="U430" s="84" t="n">
        <f aca="false">IF(AND(R430=1,ISNUMBER(T430)),E430-T430,"")</f>
        <v>-2.14095502723097</v>
      </c>
      <c r="V430" s="84" t="n">
        <f aca="false">IF(ISNUMBER(T430),T430,-99)</f>
        <v>21.340955027231</v>
      </c>
      <c r="W430" s="84" t="n">
        <f aca="false">IF(ISNUMBER(U430),ABS(U430),"")</f>
        <v>2.14095502723097</v>
      </c>
    </row>
    <row r="431" customFormat="false" ht="15" hidden="false" customHeight="false" outlineLevel="0" collapsed="false">
      <c r="A431" s="57" t="n">
        <v>29830</v>
      </c>
      <c r="B431" s="56" t="n">
        <v>1981</v>
      </c>
      <c r="C431" s="56" t="n">
        <v>9</v>
      </c>
      <c r="D431" s="56" t="n">
        <v>124</v>
      </c>
      <c r="E431" s="56" t="n">
        <v>21</v>
      </c>
      <c r="F431" s="56" t="n">
        <v>0</v>
      </c>
      <c r="G431" s="56" t="n">
        <v>12.9</v>
      </c>
      <c r="H431" s="56" t="n">
        <v>0</v>
      </c>
      <c r="I431" s="56" t="n">
        <v>16</v>
      </c>
      <c r="J431" s="56" t="n">
        <v>0</v>
      </c>
      <c r="K431" s="56" t="n">
        <v>1022.1</v>
      </c>
      <c r="L431" s="56" t="n">
        <v>0</v>
      </c>
      <c r="M431" s="56" t="n">
        <v>74</v>
      </c>
      <c r="N431" s="56" t="n">
        <v>1.7</v>
      </c>
      <c r="O431" s="56" t="n">
        <f aca="false">IF(D431=1,"",E430)</f>
        <v>19.2</v>
      </c>
      <c r="P431" s="56" t="n">
        <f aca="false">IF(OR(D431=1,K430=""),"",K430)</f>
        <v>1019.2</v>
      </c>
      <c r="Q431" s="56" t="n">
        <f aca="false">IF(OR(F431&lt;&gt;0,AND(I431&lt;&gt;"",E431&lt;I431)),1,0)</f>
        <v>0</v>
      </c>
      <c r="R431" s="56" t="n">
        <f aca="false">IF(AND(D431&gt;1,Q431=0,ISNUMBER(O431),ISNUMBER(P431)),IF(Q430=0,1,0),0)</f>
        <v>1</v>
      </c>
      <c r="S431" s="56" t="n">
        <f aca="false">R431*(B431&gt;=Train_Start)*(B431&lt;=Train_End)</f>
        <v>1</v>
      </c>
      <c r="T431" s="84" t="n">
        <f aca="false">IF(AND(ISNUMBER(O431),ISNUMBER(P431)),Coef_A+Coef_B1*O431+Coef_B2*P431,"")</f>
        <v>19.7904845393767</v>
      </c>
      <c r="U431" s="84" t="n">
        <f aca="false">IF(AND(R431=1,ISNUMBER(T431)),E431-T431,"")</f>
        <v>1.20951546062329</v>
      </c>
      <c r="V431" s="84" t="n">
        <f aca="false">IF(ISNUMBER(T431),T431,-99)</f>
        <v>19.7904845393767</v>
      </c>
      <c r="W431" s="84" t="n">
        <f aca="false">IF(ISNUMBER(U431),ABS(U431),"")</f>
        <v>1.20951546062329</v>
      </c>
    </row>
    <row r="432" customFormat="false" ht="15" hidden="false" customHeight="false" outlineLevel="0" collapsed="false">
      <c r="A432" s="57" t="n">
        <v>29831</v>
      </c>
      <c r="B432" s="56" t="n">
        <v>1981</v>
      </c>
      <c r="C432" s="56" t="n">
        <v>9</v>
      </c>
      <c r="D432" s="56" t="n">
        <v>125</v>
      </c>
      <c r="E432" s="56" t="n">
        <v>22.1</v>
      </c>
      <c r="F432" s="56" t="n">
        <v>0</v>
      </c>
      <c r="G432" s="56" t="n">
        <v>10.6</v>
      </c>
      <c r="H432" s="56" t="n">
        <v>0</v>
      </c>
      <c r="I432" s="56" t="n">
        <v>15.8</v>
      </c>
      <c r="J432" s="56" t="n">
        <v>0</v>
      </c>
      <c r="K432" s="56" t="n">
        <v>1025.8</v>
      </c>
      <c r="L432" s="56" t="n">
        <v>0</v>
      </c>
      <c r="M432" s="56" t="n">
        <v>78</v>
      </c>
      <c r="N432" s="56" t="n">
        <v>2.9</v>
      </c>
      <c r="O432" s="56" t="n">
        <f aca="false">IF(D432=1,"",E431)</f>
        <v>21</v>
      </c>
      <c r="P432" s="56" t="n">
        <f aca="false">IF(OR(D432=1,K431=""),"",K431)</f>
        <v>1022.1</v>
      </c>
      <c r="Q432" s="56" t="n">
        <f aca="false">IF(OR(F432&lt;&gt;0,AND(I432&lt;&gt;"",E432&lt;I432)),1,0)</f>
        <v>0</v>
      </c>
      <c r="R432" s="56" t="n">
        <f aca="false">IF(AND(D432&gt;1,Q432=0,ISNUMBER(O432),ISNUMBER(P432)),IF(Q431=0,1,0),0)</f>
        <v>1</v>
      </c>
      <c r="S432" s="56" t="n">
        <f aca="false">R432*(B432&gt;=Train_Start)*(B432&lt;=Train_End)</f>
        <v>1</v>
      </c>
      <c r="T432" s="84" t="n">
        <f aca="false">IF(AND(ISNUMBER(O432),ISNUMBER(P432)),Coef_A+Coef_B1*O432+Coef_B2*P432,"")</f>
        <v>21.3562677812921</v>
      </c>
      <c r="U432" s="84" t="n">
        <f aca="false">IF(AND(R432=1,ISNUMBER(T432)),E432-T432,"")</f>
        <v>0.743732218707937</v>
      </c>
      <c r="V432" s="84" t="n">
        <f aca="false">IF(ISNUMBER(T432),T432,-99)</f>
        <v>21.3562677812921</v>
      </c>
      <c r="W432" s="84" t="n">
        <f aca="false">IF(ISNUMBER(U432),ABS(U432),"")</f>
        <v>0.743732218707937</v>
      </c>
    </row>
    <row r="433" customFormat="false" ht="15" hidden="false" customHeight="false" outlineLevel="0" collapsed="false">
      <c r="A433" s="57" t="n">
        <v>29832</v>
      </c>
      <c r="B433" s="56" t="n">
        <v>1981</v>
      </c>
      <c r="C433" s="56" t="n">
        <v>9</v>
      </c>
      <c r="D433" s="56" t="n">
        <v>126</v>
      </c>
      <c r="E433" s="56" t="n">
        <v>23</v>
      </c>
      <c r="F433" s="56" t="n">
        <v>0</v>
      </c>
      <c r="G433" s="56" t="n">
        <v>10.6</v>
      </c>
      <c r="H433" s="56" t="n">
        <v>0</v>
      </c>
      <c r="I433" s="56" t="n">
        <v>16.4</v>
      </c>
      <c r="J433" s="56" t="n">
        <v>0</v>
      </c>
      <c r="K433" s="56" t="n">
        <v>1030.2</v>
      </c>
      <c r="L433" s="56" t="n">
        <v>0</v>
      </c>
      <c r="M433" s="56" t="n">
        <v>76</v>
      </c>
      <c r="N433" s="56" t="n">
        <v>5.6</v>
      </c>
      <c r="O433" s="56" t="n">
        <f aca="false">IF(D433=1,"",E432)</f>
        <v>22.1</v>
      </c>
      <c r="P433" s="56" t="n">
        <f aca="false">IF(OR(D433=1,K432=""),"",K432)</f>
        <v>1025.8</v>
      </c>
      <c r="Q433" s="56" t="n">
        <f aca="false">IF(OR(F433&lt;&gt;0,AND(I433&lt;&gt;"",E433&lt;I433)),1,0)</f>
        <v>0</v>
      </c>
      <c r="R433" s="56" t="n">
        <f aca="false">IF(AND(D433&gt;1,Q433=0,ISNUMBER(O433),ISNUMBER(P433)),IF(Q432=0,1,0),0)</f>
        <v>1</v>
      </c>
      <c r="S433" s="56" t="n">
        <f aca="false">R433*(B433&gt;=Train_Start)*(B433&lt;=Train_End)</f>
        <v>1</v>
      </c>
      <c r="T433" s="84" t="n">
        <f aca="false">IF(AND(ISNUMBER(O433),ISNUMBER(P433)),Coef_A+Coef_B1*O433+Coef_B2*P433,"")</f>
        <v>22.3736095037848</v>
      </c>
      <c r="U433" s="84" t="n">
        <f aca="false">IF(AND(R433=1,ISNUMBER(T433)),E433-T433,"")</f>
        <v>0.626390496215251</v>
      </c>
      <c r="V433" s="84" t="n">
        <f aca="false">IF(ISNUMBER(T433),T433,-99)</f>
        <v>22.3736095037848</v>
      </c>
      <c r="W433" s="84" t="n">
        <f aca="false">IF(ISNUMBER(U433),ABS(U433),"")</f>
        <v>0.626390496215251</v>
      </c>
    </row>
    <row r="434" customFormat="false" ht="15" hidden="false" customHeight="false" outlineLevel="0" collapsed="false">
      <c r="A434" s="57" t="n">
        <v>29833</v>
      </c>
      <c r="B434" s="56" t="n">
        <v>1981</v>
      </c>
      <c r="C434" s="56" t="n">
        <v>9</v>
      </c>
      <c r="D434" s="56" t="n">
        <v>127</v>
      </c>
      <c r="E434" s="56" t="n">
        <v>24.3</v>
      </c>
      <c r="F434" s="56" t="n">
        <v>0</v>
      </c>
      <c r="G434" s="56" t="n">
        <v>8.9</v>
      </c>
      <c r="H434" s="56" t="n">
        <v>0</v>
      </c>
      <c r="I434" s="56" t="n">
        <v>16</v>
      </c>
      <c r="J434" s="56" t="n">
        <v>0</v>
      </c>
      <c r="K434" s="56" t="n">
        <v>1029</v>
      </c>
      <c r="L434" s="56" t="n">
        <v>0</v>
      </c>
      <c r="M434" s="56" t="n">
        <v>73</v>
      </c>
      <c r="N434" s="56" t="n">
        <v>8.1</v>
      </c>
      <c r="O434" s="56" t="n">
        <f aca="false">IF(D434=1,"",E433)</f>
        <v>23</v>
      </c>
      <c r="P434" s="56" t="n">
        <f aca="false">IF(OR(D434=1,K433=""),"",K433)</f>
        <v>1030.2</v>
      </c>
      <c r="Q434" s="56" t="n">
        <f aca="false">IF(OR(F434&lt;&gt;0,AND(I434&lt;&gt;"",E434&lt;I434)),1,0)</f>
        <v>0</v>
      </c>
      <c r="R434" s="56" t="n">
        <f aca="false">IF(AND(D434&gt;1,Q434=0,ISNUMBER(O434),ISNUMBER(P434)),IF(Q433=0,1,0),0)</f>
        <v>1</v>
      </c>
      <c r="S434" s="56" t="n">
        <f aca="false">R434*(B434&gt;=Train_Start)*(B434&lt;=Train_End)</f>
        <v>1</v>
      </c>
      <c r="T434" s="84" t="n">
        <f aca="false">IF(AND(ISNUMBER(O434),ISNUMBER(P434)),Coef_A+Coef_B1*O434+Coef_B2*P434,"")</f>
        <v>23.2490423139127</v>
      </c>
      <c r="U434" s="84" t="n">
        <f aca="false">IF(AND(R434=1,ISNUMBER(T434)),E434-T434,"")</f>
        <v>1.0509576860873</v>
      </c>
      <c r="V434" s="84" t="n">
        <f aca="false">IF(ISNUMBER(T434),T434,-99)</f>
        <v>23.2490423139127</v>
      </c>
      <c r="W434" s="84" t="n">
        <f aca="false">IF(ISNUMBER(U434),ABS(U434),"")</f>
        <v>1.0509576860873</v>
      </c>
    </row>
    <row r="435" customFormat="false" ht="15" hidden="false" customHeight="false" outlineLevel="0" collapsed="false">
      <c r="A435" s="57" t="n">
        <v>29834</v>
      </c>
      <c r="B435" s="56" t="n">
        <v>1981</v>
      </c>
      <c r="C435" s="56" t="n">
        <v>9</v>
      </c>
      <c r="D435" s="56" t="n">
        <v>128</v>
      </c>
      <c r="E435" s="56" t="n">
        <v>24.8</v>
      </c>
      <c r="F435" s="56" t="n">
        <v>0</v>
      </c>
      <c r="G435" s="56" t="n">
        <v>9.3</v>
      </c>
      <c r="H435" s="56" t="n">
        <v>0</v>
      </c>
      <c r="I435" s="56" t="n">
        <v>16.8</v>
      </c>
      <c r="J435" s="56" t="n">
        <v>0</v>
      </c>
      <c r="K435" s="56" t="n">
        <v>1026</v>
      </c>
      <c r="L435" s="56" t="n">
        <v>0</v>
      </c>
      <c r="M435" s="56" t="n">
        <v>65</v>
      </c>
      <c r="N435" s="56" t="n">
        <v>10.9</v>
      </c>
      <c r="O435" s="56" t="n">
        <f aca="false">IF(D435=1,"",E434)</f>
        <v>24.3</v>
      </c>
      <c r="P435" s="56" t="n">
        <f aca="false">IF(OR(D435=1,K434=""),"",K434)</f>
        <v>1029</v>
      </c>
      <c r="Q435" s="56" t="n">
        <f aca="false">IF(OR(F435&lt;&gt;0,AND(I435&lt;&gt;"",E435&lt;I435)),1,0)</f>
        <v>0</v>
      </c>
      <c r="R435" s="56" t="n">
        <f aca="false">IF(AND(D435&gt;1,Q435=0,ISNUMBER(O435),ISNUMBER(P435)),IF(Q434=0,1,0),0)</f>
        <v>1</v>
      </c>
      <c r="S435" s="56" t="n">
        <f aca="false">R435*(B435&gt;=Train_Start)*(B435&lt;=Train_End)</f>
        <v>1</v>
      </c>
      <c r="T435" s="84" t="n">
        <f aca="false">IF(AND(ISNUMBER(O435),ISNUMBER(P435)),Coef_A+Coef_B1*O435+Coef_B2*P435,"")</f>
        <v>24.2765393913074</v>
      </c>
      <c r="U435" s="84" t="n">
        <f aca="false">IF(AND(R435=1,ISNUMBER(T435)),E435-T435,"")</f>
        <v>0.523460608692638</v>
      </c>
      <c r="V435" s="84" t="n">
        <f aca="false">IF(ISNUMBER(T435),T435,-99)</f>
        <v>24.2765393913074</v>
      </c>
      <c r="W435" s="84" t="n">
        <f aca="false">IF(ISNUMBER(U435),ABS(U435),"")</f>
        <v>0.523460608692638</v>
      </c>
    </row>
    <row r="436" customFormat="false" ht="15" hidden="false" customHeight="false" outlineLevel="0" collapsed="false">
      <c r="A436" s="57" t="n">
        <v>29835</v>
      </c>
      <c r="B436" s="56" t="n">
        <v>1981</v>
      </c>
      <c r="C436" s="56" t="n">
        <v>9</v>
      </c>
      <c r="D436" s="56" t="n">
        <v>129</v>
      </c>
      <c r="E436" s="56" t="n">
        <v>22</v>
      </c>
      <c r="F436" s="56" t="n">
        <v>0</v>
      </c>
      <c r="G436" s="56" t="n">
        <v>10.2</v>
      </c>
      <c r="H436" s="56" t="n">
        <v>0</v>
      </c>
      <c r="I436" s="56" t="n">
        <v>17.5</v>
      </c>
      <c r="J436" s="56" t="n">
        <v>0</v>
      </c>
      <c r="K436" s="56" t="n">
        <v>1023.6</v>
      </c>
      <c r="L436" s="56" t="n">
        <v>0</v>
      </c>
      <c r="M436" s="56" t="n">
        <v>64</v>
      </c>
      <c r="N436" s="56" t="n">
        <v>11</v>
      </c>
      <c r="O436" s="56" t="n">
        <f aca="false">IF(D436=1,"",E435)</f>
        <v>24.8</v>
      </c>
      <c r="P436" s="56" t="n">
        <f aca="false">IF(OR(D436=1,K435=""),"",K435)</f>
        <v>1026</v>
      </c>
      <c r="Q436" s="56" t="n">
        <f aca="false">IF(OR(F436&lt;&gt;0,AND(I436&lt;&gt;"",E436&lt;I436)),1,0)</f>
        <v>0</v>
      </c>
      <c r="R436" s="56" t="n">
        <f aca="false">IF(AND(D436&gt;1,Q436=0,ISNUMBER(O436),ISNUMBER(P436)),IF(Q435=0,1,0),0)</f>
        <v>1</v>
      </c>
      <c r="S436" s="56" t="n">
        <f aca="false">R436*(B436&gt;=Train_Start)*(B436&lt;=Train_End)</f>
        <v>1</v>
      </c>
      <c r="T436" s="84" t="n">
        <f aca="false">IF(AND(ISNUMBER(O436),ISNUMBER(P436)),Coef_A+Coef_B1*O436+Coef_B2*P436,"")</f>
        <v>24.5920993039267</v>
      </c>
      <c r="U436" s="84" t="n">
        <f aca="false">IF(AND(R436=1,ISNUMBER(T436)),E436-T436,"")</f>
        <v>-2.59209930392672</v>
      </c>
      <c r="V436" s="84" t="n">
        <f aca="false">IF(ISNUMBER(T436),T436,-99)</f>
        <v>24.5920993039267</v>
      </c>
      <c r="W436" s="84" t="n">
        <f aca="false">IF(ISNUMBER(U436),ABS(U436),"")</f>
        <v>2.59209930392672</v>
      </c>
    </row>
    <row r="437" customFormat="false" ht="15" hidden="false" customHeight="false" outlineLevel="0" collapsed="false">
      <c r="A437" s="57" t="n">
        <v>29836</v>
      </c>
      <c r="B437" s="56" t="n">
        <v>1981</v>
      </c>
      <c r="C437" s="56" t="n">
        <v>9</v>
      </c>
      <c r="D437" s="56" t="n">
        <v>130</v>
      </c>
      <c r="E437" s="56" t="n">
        <v>24.5</v>
      </c>
      <c r="F437" s="56" t="n">
        <v>0</v>
      </c>
      <c r="G437" s="56" t="n">
        <v>13.7</v>
      </c>
      <c r="H437" s="56" t="n">
        <v>0</v>
      </c>
      <c r="I437" s="56" t="n">
        <v>17.8</v>
      </c>
      <c r="J437" s="56" t="n">
        <v>0</v>
      </c>
      <c r="K437" s="56" t="n">
        <v>1016.1</v>
      </c>
      <c r="L437" s="56" t="n">
        <v>0</v>
      </c>
      <c r="M437" s="56" t="n">
        <v>75</v>
      </c>
      <c r="N437" s="56" t="n">
        <v>1.7</v>
      </c>
      <c r="O437" s="56" t="n">
        <f aca="false">IF(D437=1,"",E436)</f>
        <v>22</v>
      </c>
      <c r="P437" s="56" t="n">
        <f aca="false">IF(OR(D437=1,K436=""),"",K436)</f>
        <v>1023.6</v>
      </c>
      <c r="Q437" s="56" t="n">
        <f aca="false">IF(OR(F437&lt;&gt;0,AND(I437&lt;&gt;"",E437&lt;I437)),1,0)</f>
        <v>0</v>
      </c>
      <c r="R437" s="56" t="n">
        <f aca="false">IF(AND(D437&gt;1,Q437=0,ISNUMBER(O437),ISNUMBER(P437)),IF(Q436=0,1,0),0)</f>
        <v>1</v>
      </c>
      <c r="S437" s="56" t="n">
        <f aca="false">R437*(B437&gt;=Train_Start)*(B437&lt;=Train_End)</f>
        <v>1</v>
      </c>
      <c r="T437" s="84" t="n">
        <f aca="false">IF(AND(ISNUMBER(O437),ISNUMBER(P437)),Coef_A+Coef_B1*O437+Coef_B2*P437,"")</f>
        <v>22.2226618162857</v>
      </c>
      <c r="U437" s="84" t="n">
        <f aca="false">IF(AND(R437=1,ISNUMBER(T437)),E437-T437,"")</f>
        <v>2.27733818371429</v>
      </c>
      <c r="V437" s="84" t="n">
        <f aca="false">IF(ISNUMBER(T437),T437,-99)</f>
        <v>22.2226618162857</v>
      </c>
      <c r="W437" s="84" t="n">
        <f aca="false">IF(ISNUMBER(U437),ABS(U437),"")</f>
        <v>2.27733818371429</v>
      </c>
    </row>
    <row r="438" customFormat="false" ht="15" hidden="false" customHeight="false" outlineLevel="0" collapsed="false">
      <c r="A438" s="57" t="n">
        <v>29837</v>
      </c>
      <c r="B438" s="56" t="n">
        <v>1981</v>
      </c>
      <c r="C438" s="56" t="n">
        <v>9</v>
      </c>
      <c r="D438" s="56" t="n">
        <v>131</v>
      </c>
      <c r="E438" s="56" t="n">
        <v>24</v>
      </c>
      <c r="F438" s="56" t="n">
        <v>0</v>
      </c>
      <c r="G438" s="56" t="n">
        <v>15.3</v>
      </c>
      <c r="H438" s="56" t="n">
        <v>0</v>
      </c>
      <c r="I438" s="56" t="n">
        <v>19.9</v>
      </c>
      <c r="J438" s="56" t="n">
        <v>0</v>
      </c>
      <c r="K438" s="56" t="n">
        <v>1016.3</v>
      </c>
      <c r="L438" s="56" t="n">
        <v>0</v>
      </c>
      <c r="M438" s="56" t="n">
        <v>73</v>
      </c>
      <c r="N438" s="56" t="n">
        <v>5.9</v>
      </c>
      <c r="O438" s="56" t="n">
        <f aca="false">IF(D438=1,"",E437)</f>
        <v>24.5</v>
      </c>
      <c r="P438" s="56" t="n">
        <f aca="false">IF(OR(D438=1,K437=""),"",K437)</f>
        <v>1016.1</v>
      </c>
      <c r="Q438" s="56" t="n">
        <f aca="false">IF(OR(F438&lt;&gt;0,AND(I438&lt;&gt;"",E438&lt;I438)),1,0)</f>
        <v>0</v>
      </c>
      <c r="R438" s="56" t="n">
        <f aca="false">IF(AND(D438&gt;1,Q438=0,ISNUMBER(O438),ISNUMBER(P438)),IF(Q437=0,1,0),0)</f>
        <v>1</v>
      </c>
      <c r="S438" s="56" t="n">
        <f aca="false">R438*(B438&gt;=Train_Start)*(B438&lt;=Train_End)</f>
        <v>1</v>
      </c>
      <c r="T438" s="84" t="n">
        <f aca="false">IF(AND(ISNUMBER(O438),ISNUMBER(P438)),Coef_A+Coef_B1*O438+Coef_B2*P438,"")</f>
        <v>24.0357355891374</v>
      </c>
      <c r="U438" s="84" t="n">
        <f aca="false">IF(AND(R438=1,ISNUMBER(T438)),E438-T438,"")</f>
        <v>-0.0357355891374311</v>
      </c>
      <c r="V438" s="84" t="n">
        <f aca="false">IF(ISNUMBER(T438),T438,-99)</f>
        <v>24.0357355891374</v>
      </c>
      <c r="W438" s="84" t="n">
        <f aca="false">IF(ISNUMBER(U438),ABS(U438),"")</f>
        <v>0.0357355891374311</v>
      </c>
    </row>
    <row r="439" customFormat="false" ht="15" hidden="false" customHeight="false" outlineLevel="0" collapsed="false">
      <c r="A439" s="57" t="n">
        <v>29838</v>
      </c>
      <c r="B439" s="56" t="n">
        <v>1981</v>
      </c>
      <c r="C439" s="56" t="n">
        <v>9</v>
      </c>
      <c r="D439" s="56" t="n">
        <v>132</v>
      </c>
      <c r="E439" s="56" t="n">
        <v>25.5</v>
      </c>
      <c r="F439" s="56" t="n">
        <v>0</v>
      </c>
      <c r="G439" s="56" t="n">
        <v>11.6</v>
      </c>
      <c r="H439" s="56" t="n">
        <v>0</v>
      </c>
      <c r="I439" s="56" t="n">
        <v>17.8</v>
      </c>
      <c r="J439" s="56" t="n">
        <v>0</v>
      </c>
      <c r="K439" s="56" t="n">
        <v>1020.7</v>
      </c>
      <c r="L439" s="56" t="n">
        <v>0</v>
      </c>
      <c r="M439" s="56" t="n">
        <v>73</v>
      </c>
      <c r="N439" s="56" t="n">
        <v>9.1</v>
      </c>
      <c r="O439" s="56" t="n">
        <f aca="false">IF(D439=1,"",E438)</f>
        <v>24</v>
      </c>
      <c r="P439" s="56" t="n">
        <f aca="false">IF(OR(D439=1,K438=""),"",K438)</f>
        <v>1016.3</v>
      </c>
      <c r="Q439" s="56" t="n">
        <f aca="false">IF(OR(F439&lt;&gt;0,AND(I439&lt;&gt;"",E439&lt;I439)),1,0)</f>
        <v>0</v>
      </c>
      <c r="R439" s="56" t="n">
        <f aca="false">IF(AND(D439&gt;1,Q439=0,ISNUMBER(O439),ISNUMBER(P439)),IF(Q438=0,1,0),0)</f>
        <v>1</v>
      </c>
      <c r="S439" s="56" t="n">
        <f aca="false">R439*(B439&gt;=Train_Start)*(B439&lt;=Train_End)</f>
        <v>1</v>
      </c>
      <c r="T439" s="84" t="n">
        <f aca="false">IF(AND(ISNUMBER(O439),ISNUMBER(P439)),Coef_A+Coef_B1*O439+Coef_B2*P439,"")</f>
        <v>23.6323399715429</v>
      </c>
      <c r="U439" s="84" t="n">
        <f aca="false">IF(AND(R439=1,ISNUMBER(T439)),E439-T439,"")</f>
        <v>1.8676600284571</v>
      </c>
      <c r="V439" s="84" t="n">
        <f aca="false">IF(ISNUMBER(T439),T439,-99)</f>
        <v>23.6323399715429</v>
      </c>
      <c r="W439" s="84" t="n">
        <f aca="false">IF(ISNUMBER(U439),ABS(U439),"")</f>
        <v>1.8676600284571</v>
      </c>
    </row>
    <row r="440" customFormat="false" ht="15" hidden="false" customHeight="false" outlineLevel="0" collapsed="false">
      <c r="A440" s="57" t="n">
        <v>29839</v>
      </c>
      <c r="B440" s="56" t="n">
        <v>1981</v>
      </c>
      <c r="C440" s="56" t="n">
        <v>9</v>
      </c>
      <c r="D440" s="56" t="n">
        <v>133</v>
      </c>
      <c r="E440" s="56" t="n">
        <v>22.2</v>
      </c>
      <c r="F440" s="56" t="n">
        <v>0</v>
      </c>
      <c r="G440" s="56" t="n">
        <v>13</v>
      </c>
      <c r="H440" s="56" t="n">
        <v>0</v>
      </c>
      <c r="I440" s="56" t="n">
        <v>19.2</v>
      </c>
      <c r="J440" s="56" t="n">
        <v>0</v>
      </c>
      <c r="K440" s="56" t="n">
        <v>1010.9</v>
      </c>
      <c r="L440" s="56" t="n">
        <v>0</v>
      </c>
      <c r="M440" s="56" t="n">
        <v>72</v>
      </c>
      <c r="N440" s="56" t="n">
        <v>8</v>
      </c>
      <c r="O440" s="56" t="n">
        <f aca="false">IF(D440=1,"",E439)</f>
        <v>25.5</v>
      </c>
      <c r="P440" s="56" t="n">
        <f aca="false">IF(OR(D440=1,K439=""),"",K439)</f>
        <v>1020.7</v>
      </c>
      <c r="Q440" s="56" t="n">
        <f aca="false">IF(OR(F440&lt;&gt;0,AND(I440&lt;&gt;"",E440&lt;I440)),1,0)</f>
        <v>0</v>
      </c>
      <c r="R440" s="56" t="n">
        <f aca="false">IF(AND(D440&gt;1,Q440=0,ISNUMBER(O440),ISNUMBER(P440)),IF(Q439=0,1,0),0)</f>
        <v>1</v>
      </c>
      <c r="S440" s="56" t="n">
        <f aca="false">R440*(B440&gt;=Train_Start)*(B440&lt;=Train_End)</f>
        <v>1</v>
      </c>
      <c r="T440" s="84" t="n">
        <f aca="false">IF(AND(ISNUMBER(O440),ISNUMBER(P440)),Coef_A+Coef_B1*O440+Coef_B2*P440,"")</f>
        <v>24.9993762974964</v>
      </c>
      <c r="U440" s="84" t="n">
        <f aca="false">IF(AND(R440=1,ISNUMBER(T440)),E440-T440,"")</f>
        <v>-2.79937629749644</v>
      </c>
      <c r="V440" s="84" t="n">
        <f aca="false">IF(ISNUMBER(T440),T440,-99)</f>
        <v>24.9993762974964</v>
      </c>
      <c r="W440" s="84" t="n">
        <f aca="false">IF(ISNUMBER(U440),ABS(U440),"")</f>
        <v>2.79937629749644</v>
      </c>
    </row>
    <row r="441" customFormat="false" ht="15" hidden="false" customHeight="false" outlineLevel="0" collapsed="false">
      <c r="A441" s="57" t="n">
        <v>29840</v>
      </c>
      <c r="B441" s="56" t="n">
        <v>1981</v>
      </c>
      <c r="C441" s="56" t="n">
        <v>9</v>
      </c>
      <c r="D441" s="56" t="n">
        <v>134</v>
      </c>
      <c r="E441" s="56" t="n">
        <v>18.1</v>
      </c>
      <c r="F441" s="56" t="n">
        <v>0</v>
      </c>
      <c r="G441" s="56" t="n">
        <v>11.7</v>
      </c>
      <c r="H441" s="56" t="n">
        <v>0</v>
      </c>
      <c r="I441" s="56" t="n">
        <v>17</v>
      </c>
      <c r="J441" s="56" t="n">
        <v>0</v>
      </c>
      <c r="K441" s="56" t="n">
        <v>1010.9</v>
      </c>
      <c r="L441" s="56" t="n">
        <v>0</v>
      </c>
      <c r="M441" s="56" t="n">
        <v>76</v>
      </c>
      <c r="N441" s="56" t="n">
        <v>8.8</v>
      </c>
      <c r="O441" s="56" t="n">
        <f aca="false">IF(D441=1,"",E440)</f>
        <v>22.2</v>
      </c>
      <c r="P441" s="56" t="n">
        <f aca="false">IF(OR(D441=1,K440=""),"",K440)</f>
        <v>1010.9</v>
      </c>
      <c r="Q441" s="56" t="n">
        <f aca="false">IF(OR(F441&lt;&gt;0,AND(I441&lt;&gt;"",E441&lt;I441)),1,0)</f>
        <v>0</v>
      </c>
      <c r="R441" s="56" t="n">
        <f aca="false">IF(AND(D441&gt;1,Q441=0,ISNUMBER(O441),ISNUMBER(P441)),IF(Q440=0,1,0),0)</f>
        <v>1</v>
      </c>
      <c r="S441" s="56" t="n">
        <f aca="false">R441*(B441&gt;=Train_Start)*(B441&lt;=Train_End)</f>
        <v>1</v>
      </c>
      <c r="T441" s="84" t="n">
        <f aca="false">IF(AND(ISNUMBER(O441),ISNUMBER(P441)),Coef_A+Coef_B1*O441+Coef_B2*P441,"")</f>
        <v>21.9881319930426</v>
      </c>
      <c r="U441" s="84" t="n">
        <f aca="false">IF(AND(R441=1,ISNUMBER(T441)),E441-T441,"")</f>
        <v>-3.88813199304257</v>
      </c>
      <c r="V441" s="84" t="n">
        <f aca="false">IF(ISNUMBER(T441),T441,-99)</f>
        <v>21.9881319930426</v>
      </c>
      <c r="W441" s="84" t="n">
        <f aca="false">IF(ISNUMBER(U441),ABS(U441),"")</f>
        <v>3.88813199304257</v>
      </c>
    </row>
    <row r="442" customFormat="false" ht="15" hidden="false" customHeight="false" outlineLevel="0" collapsed="false">
      <c r="A442" s="57" t="n">
        <v>29841</v>
      </c>
      <c r="B442" s="56" t="n">
        <v>1981</v>
      </c>
      <c r="C442" s="56" t="n">
        <v>9</v>
      </c>
      <c r="D442" s="56" t="n">
        <v>135</v>
      </c>
      <c r="E442" s="56" t="n">
        <v>19.1</v>
      </c>
      <c r="F442" s="56" t="n">
        <v>0</v>
      </c>
      <c r="G442" s="56" t="n">
        <v>11.7</v>
      </c>
      <c r="H442" s="56" t="n">
        <v>0</v>
      </c>
      <c r="I442" s="56" t="n">
        <v>14.9</v>
      </c>
      <c r="J442" s="56" t="n">
        <v>0</v>
      </c>
      <c r="K442" s="56" t="n">
        <v>1011.7</v>
      </c>
      <c r="L442" s="56" t="n">
        <v>0</v>
      </c>
      <c r="M442" s="56" t="n">
        <v>82</v>
      </c>
      <c r="N442" s="56" t="n">
        <v>2.5</v>
      </c>
      <c r="O442" s="56" t="n">
        <f aca="false">IF(D442=1,"",E441)</f>
        <v>18.1</v>
      </c>
      <c r="P442" s="56" t="n">
        <f aca="false">IF(OR(D442=1,K441=""),"",K441)</f>
        <v>1010.9</v>
      </c>
      <c r="Q442" s="56" t="n">
        <f aca="false">IF(OR(F442&lt;&gt;0,AND(I442&lt;&gt;"",E442&lt;I442)),1,0)</f>
        <v>0</v>
      </c>
      <c r="R442" s="56" t="n">
        <f aca="false">IF(AND(D442&gt;1,Q442=0,ISNUMBER(O442),ISNUMBER(P442)),IF(Q441=0,1,0),0)</f>
        <v>1</v>
      </c>
      <c r="S442" s="56" t="n">
        <f aca="false">R442*(B442&gt;=Train_Start)*(B442&lt;=Train_End)</f>
        <v>1</v>
      </c>
      <c r="T442" s="84" t="n">
        <f aca="false">IF(AND(ISNUMBER(O442),ISNUMBER(P442)),Coef_A+Coef_B1*O442+Coef_B2*P442,"")</f>
        <v>18.6288413015677</v>
      </c>
      <c r="U442" s="84" t="n">
        <f aca="false">IF(AND(R442=1,ISNUMBER(T442)),E442-T442,"")</f>
        <v>0.471158698432326</v>
      </c>
      <c r="V442" s="84" t="n">
        <f aca="false">IF(ISNUMBER(T442),T442,-99)</f>
        <v>18.6288413015677</v>
      </c>
      <c r="W442" s="84" t="n">
        <f aca="false">IF(ISNUMBER(U442),ABS(U442),"")</f>
        <v>0.471158698432326</v>
      </c>
    </row>
    <row r="443" customFormat="false" ht="15" hidden="false" customHeight="false" outlineLevel="0" collapsed="false">
      <c r="A443" s="57" t="n">
        <v>29842</v>
      </c>
      <c r="B443" s="56" t="n">
        <v>1981</v>
      </c>
      <c r="C443" s="56" t="n">
        <v>9</v>
      </c>
      <c r="D443" s="56" t="n">
        <v>136</v>
      </c>
      <c r="E443" s="56" t="n">
        <v>18.2</v>
      </c>
      <c r="F443" s="56" t="n">
        <v>0</v>
      </c>
      <c r="G443" s="56" t="n">
        <v>7.8</v>
      </c>
      <c r="H443" s="56" t="n">
        <v>0</v>
      </c>
      <c r="I443" s="56" t="n">
        <v>13.4</v>
      </c>
      <c r="J443" s="56" t="n">
        <v>0</v>
      </c>
      <c r="K443" s="56" t="n">
        <v>1016.4</v>
      </c>
      <c r="L443" s="56" t="n">
        <v>0</v>
      </c>
      <c r="M443" s="56" t="n">
        <v>75</v>
      </c>
      <c r="N443" s="56" t="n">
        <v>9.2</v>
      </c>
      <c r="O443" s="56" t="n">
        <f aca="false">IF(D443=1,"",E442)</f>
        <v>19.1</v>
      </c>
      <c r="P443" s="56" t="n">
        <f aca="false">IF(OR(D443=1,K442=""),"",K442)</f>
        <v>1011.7</v>
      </c>
      <c r="Q443" s="56" t="n">
        <f aca="false">IF(OR(F443&lt;&gt;0,AND(I443&lt;&gt;"",E443&lt;I443)),1,0)</f>
        <v>0</v>
      </c>
      <c r="R443" s="56" t="n">
        <f aca="false">IF(AND(D443&gt;1,Q443=0,ISNUMBER(O443),ISNUMBER(P443)),IF(Q442=0,1,0),0)</f>
        <v>1</v>
      </c>
      <c r="S443" s="56" t="n">
        <f aca="false">R443*(B443&gt;=Train_Start)*(B443&lt;=Train_End)</f>
        <v>1</v>
      </c>
      <c r="T443" s="84" t="n">
        <f aca="false">IF(AND(ISNUMBER(O443),ISNUMBER(P443)),Coef_A+Coef_B1*O443+Coef_B2*P443,"")</f>
        <v>19.4732764103175</v>
      </c>
      <c r="U443" s="84" t="n">
        <f aca="false">IF(AND(R443=1,ISNUMBER(T443)),E443-T443,"")</f>
        <v>-1.27327641031753</v>
      </c>
      <c r="V443" s="84" t="n">
        <f aca="false">IF(ISNUMBER(T443),T443,-99)</f>
        <v>19.4732764103175</v>
      </c>
      <c r="W443" s="84" t="n">
        <f aca="false">IF(ISNUMBER(U443),ABS(U443),"")</f>
        <v>1.27327641031753</v>
      </c>
    </row>
    <row r="444" customFormat="false" ht="15" hidden="false" customHeight="false" outlineLevel="0" collapsed="false">
      <c r="A444" s="57" t="n">
        <v>29843</v>
      </c>
      <c r="B444" s="56" t="n">
        <v>1981</v>
      </c>
      <c r="C444" s="56" t="n">
        <v>9</v>
      </c>
      <c r="D444" s="56" t="n">
        <v>137</v>
      </c>
      <c r="E444" s="56" t="n">
        <v>21.2</v>
      </c>
      <c r="F444" s="56" t="n">
        <v>0</v>
      </c>
      <c r="G444" s="56" t="n">
        <v>7.4</v>
      </c>
      <c r="H444" s="56" t="n">
        <v>0</v>
      </c>
      <c r="I444" s="56" t="n">
        <v>12.8</v>
      </c>
      <c r="J444" s="56" t="n">
        <v>0</v>
      </c>
      <c r="K444" s="56" t="n">
        <v>1019.7</v>
      </c>
      <c r="L444" s="56" t="n">
        <v>0</v>
      </c>
      <c r="M444" s="56" t="n">
        <v>89</v>
      </c>
      <c r="N444" s="56" t="n">
        <v>0.9</v>
      </c>
      <c r="O444" s="56" t="n">
        <f aca="false">IF(D444=1,"",E443)</f>
        <v>18.2</v>
      </c>
      <c r="P444" s="56" t="n">
        <f aca="false">IF(OR(D444=1,K443=""),"",K443)</f>
        <v>1016.4</v>
      </c>
      <c r="Q444" s="56" t="n">
        <f aca="false">IF(OR(F444&lt;&gt;0,AND(I444&lt;&gt;"",E444&lt;I444)),1,0)</f>
        <v>0</v>
      </c>
      <c r="R444" s="56" t="n">
        <f aca="false">IF(AND(D444&gt;1,Q444=0,ISNUMBER(O444),ISNUMBER(P444)),IF(Q443=0,1,0),0)</f>
        <v>1</v>
      </c>
      <c r="S444" s="56" t="n">
        <f aca="false">R444*(B444&gt;=Train_Start)*(B444&lt;=Train_End)</f>
        <v>1</v>
      </c>
      <c r="T444" s="84" t="n">
        <f aca="false">IF(AND(ISNUMBER(O444),ISNUMBER(P444)),Coef_A+Coef_B1*O444+Coef_B2*P444,"")</f>
        <v>18.8833096413589</v>
      </c>
      <c r="U444" s="84" t="n">
        <f aca="false">IF(AND(R444=1,ISNUMBER(T444)),E444-T444,"")</f>
        <v>2.31669035864111</v>
      </c>
      <c r="V444" s="84" t="n">
        <f aca="false">IF(ISNUMBER(T444),T444,-99)</f>
        <v>18.8833096413589</v>
      </c>
      <c r="W444" s="84" t="n">
        <f aca="false">IF(ISNUMBER(U444),ABS(U444),"")</f>
        <v>2.31669035864111</v>
      </c>
    </row>
    <row r="445" customFormat="false" ht="15" hidden="false" customHeight="false" outlineLevel="0" collapsed="false">
      <c r="A445" s="57" t="n">
        <v>29844</v>
      </c>
      <c r="B445" s="56" t="n">
        <v>1981</v>
      </c>
      <c r="C445" s="56" t="n">
        <v>9</v>
      </c>
      <c r="D445" s="56" t="n">
        <v>138</v>
      </c>
      <c r="E445" s="56" t="n">
        <v>18.6</v>
      </c>
      <c r="F445" s="56" t="n">
        <v>0</v>
      </c>
      <c r="G445" s="56" t="n">
        <v>13.4</v>
      </c>
      <c r="H445" s="56" t="n">
        <v>0</v>
      </c>
      <c r="I445" s="56" t="n">
        <v>17.3</v>
      </c>
      <c r="J445" s="56" t="n">
        <v>0</v>
      </c>
      <c r="K445" s="56" t="n">
        <v>1015.5</v>
      </c>
      <c r="L445" s="56" t="n">
        <v>0</v>
      </c>
      <c r="M445" s="56" t="n">
        <v>83</v>
      </c>
      <c r="N445" s="56" t="n">
        <v>4.8</v>
      </c>
      <c r="O445" s="56" t="n">
        <f aca="false">IF(D445=1,"",E444)</f>
        <v>21.2</v>
      </c>
      <c r="P445" s="56" t="n">
        <f aca="false">IF(OR(D445=1,K444=""),"",K444)</f>
        <v>1019.7</v>
      </c>
      <c r="Q445" s="56" t="n">
        <f aca="false">IF(OR(F445&lt;&gt;0,AND(I445&lt;&gt;"",E445&lt;I445)),1,0)</f>
        <v>0</v>
      </c>
      <c r="R445" s="56" t="n">
        <f aca="false">IF(AND(D445&gt;1,Q445=0,ISNUMBER(O445),ISNUMBER(P445)),IF(Q444=0,1,0),0)</f>
        <v>1</v>
      </c>
      <c r="S445" s="56" t="n">
        <f aca="false">R445*(B445&gt;=Train_Start)*(B445&lt;=Train_End)</f>
        <v>1</v>
      </c>
      <c r="T445" s="84" t="n">
        <f aca="false">IF(AND(ISNUMBER(O445),ISNUMBER(P445)),Coef_A+Coef_B1*O445+Coef_B2*P445,"")</f>
        <v>21.444847872779</v>
      </c>
      <c r="U445" s="84" t="n">
        <f aca="false">IF(AND(R445=1,ISNUMBER(T445)),E445-T445,"")</f>
        <v>-2.84484787277902</v>
      </c>
      <c r="V445" s="84" t="n">
        <f aca="false">IF(ISNUMBER(T445),T445,-99)</f>
        <v>21.444847872779</v>
      </c>
      <c r="W445" s="84" t="n">
        <f aca="false">IF(ISNUMBER(U445),ABS(U445),"")</f>
        <v>2.84484787277902</v>
      </c>
    </row>
    <row r="446" customFormat="false" ht="15" hidden="false" customHeight="false" outlineLevel="0" collapsed="false">
      <c r="A446" s="57" t="n">
        <v>29845</v>
      </c>
      <c r="B446" s="56" t="n">
        <v>1981</v>
      </c>
      <c r="C446" s="56" t="n">
        <v>9</v>
      </c>
      <c r="D446" s="56" t="n">
        <v>139</v>
      </c>
      <c r="E446" s="56" t="n">
        <v>20.4</v>
      </c>
      <c r="F446" s="56" t="n">
        <v>0</v>
      </c>
      <c r="G446" s="56" t="n">
        <v>14.4</v>
      </c>
      <c r="H446" s="56" t="n">
        <v>0</v>
      </c>
      <c r="I446" s="56" t="n">
        <v>16.5</v>
      </c>
      <c r="J446" s="56" t="n">
        <v>0</v>
      </c>
      <c r="K446" s="56" t="n">
        <v>1019.4</v>
      </c>
      <c r="L446" s="56" t="n">
        <v>0</v>
      </c>
      <c r="M446" s="56" t="n">
        <v>76</v>
      </c>
      <c r="N446" s="56" t="n">
        <v>0</v>
      </c>
      <c r="O446" s="56" t="n">
        <f aca="false">IF(D446=1,"",E445)</f>
        <v>18.6</v>
      </c>
      <c r="P446" s="56" t="n">
        <f aca="false">IF(OR(D446=1,K445=""),"",K445)</f>
        <v>1015.5</v>
      </c>
      <c r="Q446" s="56" t="n">
        <f aca="false">IF(OR(F446&lt;&gt;0,AND(I446&lt;&gt;"",E446&lt;I446)),1,0)</f>
        <v>0</v>
      </c>
      <c r="R446" s="56" t="n">
        <f aca="false">IF(AND(D446&gt;1,Q446=0,ISNUMBER(O446),ISNUMBER(P446)),IF(Q445=0,1,0),0)</f>
        <v>1</v>
      </c>
      <c r="S446" s="56" t="n">
        <f aca="false">R446*(B446&gt;=Train_Start)*(B446&lt;=Train_End)</f>
        <v>1</v>
      </c>
      <c r="T446" s="84" t="n">
        <f aca="false">IF(AND(ISNUMBER(O446),ISNUMBER(P446)),Coef_A+Coef_B1*O446+Coef_B2*P446,"")</f>
        <v>19.1828124134054</v>
      </c>
      <c r="U446" s="84" t="n">
        <f aca="false">IF(AND(R446=1,ISNUMBER(T446)),E446-T446,"")</f>
        <v>1.21718758659464</v>
      </c>
      <c r="V446" s="84" t="n">
        <f aca="false">IF(ISNUMBER(T446),T446,-99)</f>
        <v>19.1828124134054</v>
      </c>
      <c r="W446" s="84" t="n">
        <f aca="false">IF(ISNUMBER(U446),ABS(U446),"")</f>
        <v>1.21718758659464</v>
      </c>
    </row>
    <row r="447" customFormat="false" ht="15" hidden="false" customHeight="false" outlineLevel="0" collapsed="false">
      <c r="A447" s="57" t="n">
        <v>29846</v>
      </c>
      <c r="B447" s="56" t="n">
        <v>1981</v>
      </c>
      <c r="C447" s="56" t="n">
        <v>9</v>
      </c>
      <c r="D447" s="56" t="n">
        <v>140</v>
      </c>
      <c r="E447" s="56" t="n">
        <v>19.8</v>
      </c>
      <c r="F447" s="56" t="n">
        <v>0</v>
      </c>
      <c r="G447" s="56" t="n">
        <v>13.7</v>
      </c>
      <c r="H447" s="56" t="n">
        <v>0</v>
      </c>
      <c r="I447" s="56" t="n">
        <v>17</v>
      </c>
      <c r="J447" s="56" t="n">
        <v>0</v>
      </c>
      <c r="K447" s="56" t="n">
        <v>1014.1</v>
      </c>
      <c r="L447" s="56" t="n">
        <v>0</v>
      </c>
      <c r="M447" s="56" t="n">
        <v>89</v>
      </c>
      <c r="N447" s="56" t="n">
        <v>0.1</v>
      </c>
      <c r="O447" s="56" t="n">
        <f aca="false">IF(D447=1,"",E446)</f>
        <v>20.4</v>
      </c>
      <c r="P447" s="56" t="n">
        <f aca="false">IF(OR(D447=1,K446=""),"",K446)</f>
        <v>1019.4</v>
      </c>
      <c r="Q447" s="56" t="n">
        <f aca="false">IF(OR(F447&lt;&gt;0,AND(I447&lt;&gt;"",E447&lt;I447)),1,0)</f>
        <v>0</v>
      </c>
      <c r="R447" s="56" t="n">
        <f aca="false">IF(AND(D447&gt;1,Q447=0,ISNUMBER(O447),ISNUMBER(P447)),IF(Q446=0,1,0),0)</f>
        <v>1</v>
      </c>
      <c r="S447" s="56" t="n">
        <f aca="false">R447*(B447&gt;=Train_Start)*(B447&lt;=Train_End)</f>
        <v>1</v>
      </c>
      <c r="T447" s="84" t="n">
        <f aca="false">IF(AND(ISNUMBER(O447),ISNUMBER(P447)),Coef_A+Coef_B1*O447+Coef_B2*P447,"")</f>
        <v>20.7799655499547</v>
      </c>
      <c r="U447" s="84" t="n">
        <f aca="false">IF(AND(R447=1,ISNUMBER(T447)),E447-T447,"")</f>
        <v>-0.979965549954695</v>
      </c>
      <c r="V447" s="84" t="n">
        <f aca="false">IF(ISNUMBER(T447),T447,-99)</f>
        <v>20.7799655499547</v>
      </c>
      <c r="W447" s="84" t="n">
        <f aca="false">IF(ISNUMBER(U447),ABS(U447),"")</f>
        <v>0.979965549954695</v>
      </c>
    </row>
    <row r="448" customFormat="false" ht="15" hidden="false" customHeight="false" outlineLevel="0" collapsed="false">
      <c r="A448" s="57" t="n">
        <v>29847</v>
      </c>
      <c r="B448" s="56" t="n">
        <v>1981</v>
      </c>
      <c r="C448" s="56" t="n">
        <v>9</v>
      </c>
      <c r="D448" s="56" t="n">
        <v>141</v>
      </c>
      <c r="E448" s="56" t="n">
        <v>19</v>
      </c>
      <c r="F448" s="56" t="n">
        <v>0</v>
      </c>
      <c r="G448" s="56" t="n">
        <v>14.2</v>
      </c>
      <c r="H448" s="56" t="n">
        <v>0</v>
      </c>
      <c r="I448" s="56" t="n">
        <v>17</v>
      </c>
      <c r="J448" s="56" t="n">
        <v>0</v>
      </c>
      <c r="K448" s="56" t="n">
        <v>1003</v>
      </c>
      <c r="L448" s="56" t="n">
        <v>0</v>
      </c>
      <c r="M448" s="56" t="n">
        <v>78</v>
      </c>
      <c r="N448" s="56" t="n">
        <v>3</v>
      </c>
      <c r="O448" s="56" t="n">
        <f aca="false">IF(D448=1,"",E447)</f>
        <v>19.8</v>
      </c>
      <c r="P448" s="56" t="n">
        <f aca="false">IF(OR(D448=1,K447=""),"",K447)</f>
        <v>1014.1</v>
      </c>
      <c r="Q448" s="56" t="n">
        <f aca="false">IF(OR(F448&lt;&gt;0,AND(I448&lt;&gt;"",E448&lt;I448)),1,0)</f>
        <v>0</v>
      </c>
      <c r="R448" s="56" t="n">
        <f aca="false">IF(AND(D448&gt;1,Q448=0,ISNUMBER(O448),ISNUMBER(P448)),IF(Q447=0,1,0),0)</f>
        <v>1</v>
      </c>
      <c r="S448" s="56" t="n">
        <f aca="false">R448*(B448&gt;=Train_Start)*(B448&lt;=Train_End)</f>
        <v>1</v>
      </c>
      <c r="T448" s="84" t="n">
        <f aca="false">IF(AND(ISNUMBER(O448),ISNUMBER(P448)),Coef_A+Coef_B1*O448+Coef_B2*P448,"")</f>
        <v>20.122101592569</v>
      </c>
      <c r="U448" s="84" t="n">
        <f aca="false">IF(AND(R448=1,ISNUMBER(T448)),E448-T448,"")</f>
        <v>-1.12210159256896</v>
      </c>
      <c r="V448" s="84" t="n">
        <f aca="false">IF(ISNUMBER(T448),T448,-99)</f>
        <v>20.122101592569</v>
      </c>
      <c r="W448" s="84" t="n">
        <f aca="false">IF(ISNUMBER(U448),ABS(U448),"")</f>
        <v>1.12210159256896</v>
      </c>
    </row>
    <row r="449" customFormat="false" ht="15" hidden="false" customHeight="false" outlineLevel="0" collapsed="false">
      <c r="A449" s="57" t="n">
        <v>29848</v>
      </c>
      <c r="B449" s="56" t="n">
        <v>1981</v>
      </c>
      <c r="C449" s="56" t="n">
        <v>9</v>
      </c>
      <c r="D449" s="56" t="n">
        <v>142</v>
      </c>
      <c r="E449" s="56" t="n">
        <v>18.2</v>
      </c>
      <c r="F449" s="56" t="n">
        <v>0</v>
      </c>
      <c r="G449" s="56" t="n">
        <v>10.5</v>
      </c>
      <c r="H449" s="56" t="n">
        <v>0</v>
      </c>
      <c r="I449" s="56" t="n">
        <v>14.8</v>
      </c>
      <c r="J449" s="56" t="n">
        <v>0</v>
      </c>
      <c r="K449" s="56" t="n">
        <v>999.8</v>
      </c>
      <c r="L449" s="56" t="n">
        <v>0</v>
      </c>
      <c r="M449" s="56" t="n">
        <v>84</v>
      </c>
      <c r="N449" s="56" t="n">
        <v>3.5</v>
      </c>
      <c r="O449" s="56" t="n">
        <f aca="false">IF(D449=1,"",E448)</f>
        <v>19</v>
      </c>
      <c r="P449" s="56" t="n">
        <f aca="false">IF(OR(D449=1,K448=""),"",K448)</f>
        <v>1003</v>
      </c>
      <c r="Q449" s="56" t="n">
        <f aca="false">IF(OR(F449&lt;&gt;0,AND(I449&lt;&gt;"",E449&lt;I449)),1,0)</f>
        <v>0</v>
      </c>
      <c r="R449" s="56" t="n">
        <f aca="false">IF(AND(D449&gt;1,Q449=0,ISNUMBER(O449),ISNUMBER(P449)),IF(Q448=0,1,0),0)</f>
        <v>1</v>
      </c>
      <c r="S449" s="56" t="n">
        <f aca="false">R449*(B449&gt;=Train_Start)*(B449&lt;=Train_End)</f>
        <v>1</v>
      </c>
      <c r="T449" s="84" t="n">
        <f aca="false">IF(AND(ISNUMBER(O449),ISNUMBER(P449)),Coef_A+Coef_B1*O449+Coef_B2*P449,"")</f>
        <v>19.1184244076976</v>
      </c>
      <c r="U449" s="84" t="n">
        <f aca="false">IF(AND(R449=1,ISNUMBER(T449)),E449-T449,"")</f>
        <v>-0.918424407697554</v>
      </c>
      <c r="V449" s="84" t="n">
        <f aca="false">IF(ISNUMBER(T449),T449,-99)</f>
        <v>19.1184244076976</v>
      </c>
      <c r="W449" s="84" t="n">
        <f aca="false">IF(ISNUMBER(U449),ABS(U449),"")</f>
        <v>0.918424407697554</v>
      </c>
    </row>
    <row r="450" customFormat="false" ht="15" hidden="false" customHeight="false" outlineLevel="0" collapsed="false">
      <c r="A450" s="57" t="n">
        <v>29849</v>
      </c>
      <c r="B450" s="56" t="n">
        <v>1981</v>
      </c>
      <c r="C450" s="56" t="n">
        <v>9</v>
      </c>
      <c r="D450" s="56" t="n">
        <v>143</v>
      </c>
      <c r="E450" s="56" t="n">
        <v>20.3</v>
      </c>
      <c r="F450" s="56" t="n">
        <v>0</v>
      </c>
      <c r="G450" s="56" t="n">
        <v>12.5</v>
      </c>
      <c r="H450" s="56" t="n">
        <v>0</v>
      </c>
      <c r="I450" s="56" t="n">
        <v>15.4</v>
      </c>
      <c r="J450" s="56" t="n">
        <v>0</v>
      </c>
      <c r="K450" s="56" t="n">
        <v>994.6</v>
      </c>
      <c r="L450" s="56" t="n">
        <v>0</v>
      </c>
      <c r="M450" s="56" t="n">
        <v>73</v>
      </c>
      <c r="N450" s="56" t="n">
        <v>0.8</v>
      </c>
      <c r="O450" s="56" t="n">
        <f aca="false">IF(D450=1,"",E449)</f>
        <v>18.2</v>
      </c>
      <c r="P450" s="56" t="n">
        <f aca="false">IF(OR(D450=1,K449=""),"",K449)</f>
        <v>999.8</v>
      </c>
      <c r="Q450" s="56" t="n">
        <f aca="false">IF(OR(F450&lt;&gt;0,AND(I450&lt;&gt;"",E450&lt;I450)),1,0)</f>
        <v>0</v>
      </c>
      <c r="R450" s="56" t="n">
        <f aca="false">IF(AND(D450&gt;1,Q450=0,ISNUMBER(O450),ISNUMBER(P450)),IF(Q449=0,1,0),0)</f>
        <v>1</v>
      </c>
      <c r="S450" s="56" t="n">
        <f aca="false">R450*(B450&gt;=Train_Start)*(B450&lt;=Train_End)</f>
        <v>1</v>
      </c>
      <c r="T450" s="84" t="n">
        <f aca="false">IF(AND(ISNUMBER(O450),ISNUMBER(P450)),Coef_A+Coef_B1*O450+Coef_B2*P450,"")</f>
        <v>18.3625693904347</v>
      </c>
      <c r="U450" s="84" t="n">
        <f aca="false">IF(AND(R450=1,ISNUMBER(T450)),E450-T450,"")</f>
        <v>1.93743060956534</v>
      </c>
      <c r="V450" s="84" t="n">
        <f aca="false">IF(ISNUMBER(T450),T450,-99)</f>
        <v>18.3625693904347</v>
      </c>
      <c r="W450" s="84" t="n">
        <f aca="false">IF(ISNUMBER(U450),ABS(U450),"")</f>
        <v>1.93743060956534</v>
      </c>
    </row>
    <row r="451" customFormat="false" ht="15" hidden="false" customHeight="false" outlineLevel="0" collapsed="false">
      <c r="A451" s="57" t="n">
        <v>29850</v>
      </c>
      <c r="B451" s="56" t="n">
        <v>1981</v>
      </c>
      <c r="C451" s="56" t="n">
        <v>9</v>
      </c>
      <c r="D451" s="56" t="n">
        <v>144</v>
      </c>
      <c r="E451" s="56" t="n">
        <v>19.7</v>
      </c>
      <c r="F451" s="56" t="n">
        <v>0</v>
      </c>
      <c r="G451" s="56" t="n">
        <v>11.7</v>
      </c>
      <c r="H451" s="56" t="n">
        <v>0</v>
      </c>
      <c r="I451" s="56" t="n">
        <v>16</v>
      </c>
      <c r="J451" s="56" t="n">
        <v>0</v>
      </c>
      <c r="K451" s="56" t="n">
        <v>1004.2</v>
      </c>
      <c r="L451" s="56" t="n">
        <v>0</v>
      </c>
      <c r="M451" s="56" t="n">
        <v>74</v>
      </c>
      <c r="N451" s="56" t="n">
        <v>8.6</v>
      </c>
      <c r="O451" s="56" t="n">
        <f aca="false">IF(D451=1,"",E450)</f>
        <v>20.3</v>
      </c>
      <c r="P451" s="56" t="n">
        <f aca="false">IF(OR(D451=1,K450=""),"",K450)</f>
        <v>994.6</v>
      </c>
      <c r="Q451" s="56" t="n">
        <f aca="false">IF(OR(F451&lt;&gt;0,AND(I451&lt;&gt;"",E451&lt;I451)),1,0)</f>
        <v>0</v>
      </c>
      <c r="R451" s="56" t="n">
        <f aca="false">IF(AND(D451&gt;1,Q451=0,ISNUMBER(O451),ISNUMBER(P451)),IF(Q450=0,1,0),0)</f>
        <v>1</v>
      </c>
      <c r="S451" s="56" t="n">
        <f aca="false">R451*(B451&gt;=Train_Start)*(B451&lt;=Train_End)</f>
        <v>1</v>
      </c>
      <c r="T451" s="84" t="n">
        <f aca="false">IF(AND(ISNUMBER(O451),ISNUMBER(P451)),Coef_A+Coef_B1*O451+Coef_B2*P451,"")</f>
        <v>19.9200582437275</v>
      </c>
      <c r="U451" s="84" t="n">
        <f aca="false">IF(AND(R451=1,ISNUMBER(T451)),E451-T451,"")</f>
        <v>-0.220058243727497</v>
      </c>
      <c r="V451" s="84" t="n">
        <f aca="false">IF(ISNUMBER(T451),T451,-99)</f>
        <v>19.9200582437275</v>
      </c>
      <c r="W451" s="84" t="n">
        <f aca="false">IF(ISNUMBER(U451),ABS(U451),"")</f>
        <v>0.220058243727497</v>
      </c>
    </row>
    <row r="452" customFormat="false" ht="15" hidden="false" customHeight="false" outlineLevel="0" collapsed="false">
      <c r="A452" s="57" t="n">
        <v>29851</v>
      </c>
      <c r="B452" s="56" t="n">
        <v>1981</v>
      </c>
      <c r="C452" s="56" t="n">
        <v>9</v>
      </c>
      <c r="D452" s="56" t="n">
        <v>145</v>
      </c>
      <c r="E452" s="56" t="n">
        <v>18.8</v>
      </c>
      <c r="F452" s="56" t="n">
        <v>0</v>
      </c>
      <c r="G452" s="56" t="n">
        <v>12.5</v>
      </c>
      <c r="H452" s="56" t="n">
        <v>0</v>
      </c>
      <c r="I452" s="56" t="n">
        <v>16.1</v>
      </c>
      <c r="J452" s="56" t="n">
        <v>0</v>
      </c>
      <c r="K452" s="56" t="n">
        <v>1009.4</v>
      </c>
      <c r="L452" s="56" t="n">
        <v>0</v>
      </c>
      <c r="M452" s="56" t="n">
        <v>78</v>
      </c>
      <c r="N452" s="56" t="n">
        <v>6.3</v>
      </c>
      <c r="O452" s="56" t="n">
        <f aca="false">IF(D452=1,"",E451)</f>
        <v>19.7</v>
      </c>
      <c r="P452" s="56" t="n">
        <f aca="false">IF(OR(D452=1,K451=""),"",K451)</f>
        <v>1004.2</v>
      </c>
      <c r="Q452" s="56" t="n">
        <f aca="false">IF(OR(F452&lt;&gt;0,AND(I452&lt;&gt;"",E452&lt;I452)),1,0)</f>
        <v>0</v>
      </c>
      <c r="R452" s="56" t="n">
        <f aca="false">IF(AND(D452&gt;1,Q452=0,ISNUMBER(O452),ISNUMBER(P452)),IF(Q451=0,1,0),0)</f>
        <v>1</v>
      </c>
      <c r="S452" s="56" t="n">
        <f aca="false">R452*(B452&gt;=Train_Start)*(B452&lt;=Train_End)</f>
        <v>1</v>
      </c>
      <c r="T452" s="84" t="n">
        <f aca="false">IF(AND(ISNUMBER(O452),ISNUMBER(P452)),Coef_A+Coef_B1*O452+Coef_B2*P452,"")</f>
        <v>19.7296057163882</v>
      </c>
      <c r="U452" s="84" t="n">
        <f aca="false">IF(AND(R452=1,ISNUMBER(T452)),E452-T452,"")</f>
        <v>-0.929605716388199</v>
      </c>
      <c r="V452" s="84" t="n">
        <f aca="false">IF(ISNUMBER(T452),T452,-99)</f>
        <v>19.7296057163882</v>
      </c>
      <c r="W452" s="84" t="n">
        <f aca="false">IF(ISNUMBER(U452),ABS(U452),"")</f>
        <v>0.929605716388199</v>
      </c>
    </row>
    <row r="453" customFormat="false" ht="15" hidden="false" customHeight="false" outlineLevel="0" collapsed="false">
      <c r="A453" s="57" t="n">
        <v>29852</v>
      </c>
      <c r="B453" s="56" t="n">
        <v>1981</v>
      </c>
      <c r="C453" s="56" t="n">
        <v>9</v>
      </c>
      <c r="D453" s="56" t="n">
        <v>146</v>
      </c>
      <c r="E453" s="56" t="n">
        <v>17.7</v>
      </c>
      <c r="F453" s="56" t="n">
        <v>0</v>
      </c>
      <c r="G453" s="56" t="n">
        <v>7.2</v>
      </c>
      <c r="H453" s="56" t="n">
        <v>0</v>
      </c>
      <c r="I453" s="56" t="n">
        <v>13</v>
      </c>
      <c r="J453" s="56" t="n">
        <v>0</v>
      </c>
      <c r="K453" s="56" t="n">
        <v>1015.4</v>
      </c>
      <c r="L453" s="56" t="n">
        <v>0</v>
      </c>
      <c r="M453" s="56" t="n">
        <v>76</v>
      </c>
      <c r="N453" s="56" t="n">
        <v>8.8</v>
      </c>
      <c r="O453" s="56" t="n">
        <f aca="false">IF(D453=1,"",E452)</f>
        <v>18.8</v>
      </c>
      <c r="P453" s="56" t="n">
        <f aca="false">IF(OR(D453=1,K452=""),"",K452)</f>
        <v>1009.4</v>
      </c>
      <c r="Q453" s="56" t="n">
        <f aca="false">IF(OR(F453&lt;&gt;0,AND(I453&lt;&gt;"",E453&lt;I453)),1,0)</f>
        <v>0</v>
      </c>
      <c r="R453" s="56" t="n">
        <f aca="false">IF(AND(D453&gt;1,Q453=0,ISNUMBER(O453),ISNUMBER(P453)),IF(Q452=0,1,0),0)</f>
        <v>1</v>
      </c>
      <c r="S453" s="56" t="n">
        <f aca="false">R453*(B453&gt;=Train_Start)*(B453&lt;=Train_End)</f>
        <v>1</v>
      </c>
      <c r="T453" s="84" t="n">
        <f aca="false">IF(AND(ISNUMBER(O453),ISNUMBER(P453)),Coef_A+Coef_B1*O453+Coef_B2*P453,"")</f>
        <v>19.1553238947466</v>
      </c>
      <c r="U453" s="84" t="n">
        <f aca="false">IF(AND(R453=1,ISNUMBER(T453)),E453-T453,"")</f>
        <v>-1.45532389474655</v>
      </c>
      <c r="V453" s="84" t="n">
        <f aca="false">IF(ISNUMBER(T453),T453,-99)</f>
        <v>19.1553238947466</v>
      </c>
      <c r="W453" s="84" t="n">
        <f aca="false">IF(ISNUMBER(U453),ABS(U453),"")</f>
        <v>1.45532389474655</v>
      </c>
    </row>
    <row r="454" customFormat="false" ht="15" hidden="false" customHeight="false" outlineLevel="0" collapsed="false">
      <c r="A454" s="57" t="n">
        <v>29853</v>
      </c>
      <c r="B454" s="56" t="n">
        <v>1981</v>
      </c>
      <c r="C454" s="56" t="n">
        <v>9</v>
      </c>
      <c r="D454" s="56" t="n">
        <v>147</v>
      </c>
      <c r="E454" s="56" t="n">
        <v>18.1</v>
      </c>
      <c r="F454" s="56" t="n">
        <v>0</v>
      </c>
      <c r="G454" s="56" t="n">
        <v>13.1</v>
      </c>
      <c r="H454" s="56" t="n">
        <v>0</v>
      </c>
      <c r="I454" s="56" t="n">
        <v>15.4</v>
      </c>
      <c r="J454" s="56" t="n">
        <v>0</v>
      </c>
      <c r="K454" s="56" t="n">
        <v>1003.5</v>
      </c>
      <c r="L454" s="56" t="n">
        <v>0</v>
      </c>
      <c r="M454" s="56" t="n">
        <v>85</v>
      </c>
      <c r="N454" s="56" t="n">
        <v>0.2</v>
      </c>
      <c r="O454" s="56" t="n">
        <f aca="false">IF(D454=1,"",E453)</f>
        <v>17.7</v>
      </c>
      <c r="P454" s="56" t="n">
        <f aca="false">IF(OR(D454=1,K453=""),"",K453)</f>
        <v>1015.4</v>
      </c>
      <c r="Q454" s="56" t="n">
        <f aca="false">IF(OR(F454&lt;&gt;0,AND(I454&lt;&gt;"",E454&lt;I454)),1,0)</f>
        <v>0</v>
      </c>
      <c r="R454" s="56" t="n">
        <f aca="false">IF(AND(D454&gt;1,Q454=0,ISNUMBER(O454),ISNUMBER(P454)),IF(Q453=0,1,0),0)</f>
        <v>1</v>
      </c>
      <c r="S454" s="56" t="n">
        <f aca="false">R454*(B454&gt;=Train_Start)*(B454&lt;=Train_End)</f>
        <v>1</v>
      </c>
      <c r="T454" s="84" t="n">
        <f aca="false">IF(AND(ISNUMBER(O454),ISNUMBER(P454)),Coef_A+Coef_B1*O454+Coef_B2*P454,"")</f>
        <v>18.4422701502036</v>
      </c>
      <c r="U454" s="84" t="n">
        <f aca="false">IF(AND(R454=1,ISNUMBER(T454)),E454-T454,"")</f>
        <v>-0.342270150203564</v>
      </c>
      <c r="V454" s="84" t="n">
        <f aca="false">IF(ISNUMBER(T454),T454,-99)</f>
        <v>18.4422701502036</v>
      </c>
      <c r="W454" s="84" t="n">
        <f aca="false">IF(ISNUMBER(U454),ABS(U454),"")</f>
        <v>0.342270150203564</v>
      </c>
    </row>
    <row r="455" customFormat="false" ht="15" hidden="false" customHeight="false" outlineLevel="0" collapsed="false">
      <c r="A455" s="57" t="n">
        <v>29854</v>
      </c>
      <c r="B455" s="56" t="n">
        <v>1981</v>
      </c>
      <c r="C455" s="56" t="n">
        <v>9</v>
      </c>
      <c r="D455" s="56" t="n">
        <v>148</v>
      </c>
      <c r="E455" s="56" t="n">
        <v>15.5</v>
      </c>
      <c r="F455" s="56" t="n">
        <v>0</v>
      </c>
      <c r="G455" s="56" t="n">
        <v>11</v>
      </c>
      <c r="H455" s="56" t="n">
        <v>0</v>
      </c>
      <c r="I455" s="56" t="n">
        <v>14.6</v>
      </c>
      <c r="J455" s="56" t="n">
        <v>0</v>
      </c>
      <c r="K455" s="56" t="n">
        <v>996.8</v>
      </c>
      <c r="L455" s="56" t="n">
        <v>0</v>
      </c>
      <c r="M455" s="56" t="n">
        <v>83</v>
      </c>
      <c r="N455" s="56" t="n">
        <v>7.7</v>
      </c>
      <c r="O455" s="56" t="n">
        <f aca="false">IF(D455=1,"",E454)</f>
        <v>18.1</v>
      </c>
      <c r="P455" s="56" t="n">
        <f aca="false">IF(OR(D455=1,K454=""),"",K454)</f>
        <v>1003.5</v>
      </c>
      <c r="Q455" s="56" t="n">
        <f aca="false">IF(OR(F455&lt;&gt;0,AND(I455&lt;&gt;"",E455&lt;I455)),1,0)</f>
        <v>0</v>
      </c>
      <c r="R455" s="56" t="n">
        <f aca="false">IF(AND(D455&gt;1,Q455=0,ISNUMBER(O455),ISNUMBER(P455)),IF(Q454=0,1,0),0)</f>
        <v>1</v>
      </c>
      <c r="S455" s="56" t="n">
        <f aca="false">R455*(B455&gt;=Train_Start)*(B455&lt;=Train_End)</f>
        <v>1</v>
      </c>
      <c r="T455" s="84" t="n">
        <f aca="false">IF(AND(ISNUMBER(O455),ISNUMBER(P455)),Coef_A+Coef_B1*O455+Coef_B2*P455,"")</f>
        <v>18.3967040812762</v>
      </c>
      <c r="U455" s="84" t="n">
        <f aca="false">IF(AND(R455=1,ISNUMBER(T455)),E455-T455,"")</f>
        <v>-2.89670408127616</v>
      </c>
      <c r="V455" s="84" t="n">
        <f aca="false">IF(ISNUMBER(T455),T455,-99)</f>
        <v>18.3967040812762</v>
      </c>
      <c r="W455" s="84" t="n">
        <f aca="false">IF(ISNUMBER(U455),ABS(U455),"")</f>
        <v>2.89670408127616</v>
      </c>
    </row>
    <row r="456" customFormat="false" ht="15" hidden="false" customHeight="false" outlineLevel="0" collapsed="false">
      <c r="A456" s="57" t="n">
        <v>29855</v>
      </c>
      <c r="B456" s="56" t="n">
        <v>1981</v>
      </c>
      <c r="C456" s="56" t="n">
        <v>9</v>
      </c>
      <c r="D456" s="56" t="n">
        <v>149</v>
      </c>
      <c r="E456" s="56" t="n">
        <v>17.9</v>
      </c>
      <c r="F456" s="56" t="n">
        <v>0</v>
      </c>
      <c r="G456" s="56" t="n">
        <v>12.6</v>
      </c>
      <c r="H456" s="56" t="n">
        <v>0</v>
      </c>
      <c r="I456" s="56" t="n">
        <v>14</v>
      </c>
      <c r="J456" s="56" t="n">
        <v>0</v>
      </c>
      <c r="K456" s="56" t="n">
        <v>988.7</v>
      </c>
      <c r="L456" s="56" t="n">
        <v>0</v>
      </c>
      <c r="M456" s="56" t="n">
        <v>87</v>
      </c>
      <c r="N456" s="56" t="n">
        <v>3.2</v>
      </c>
      <c r="O456" s="56" t="n">
        <f aca="false">IF(D456=1,"",E455)</f>
        <v>15.5</v>
      </c>
      <c r="P456" s="56" t="n">
        <f aca="false">IF(OR(D456=1,K455=""),"",K455)</f>
        <v>996.8</v>
      </c>
      <c r="Q456" s="56" t="n">
        <f aca="false">IF(OR(F456&lt;&gt;0,AND(I456&lt;&gt;"",E456&lt;I456)),1,0)</f>
        <v>0</v>
      </c>
      <c r="R456" s="56" t="n">
        <f aca="false">IF(AND(D456&gt;1,Q456=0,ISNUMBER(O456),ISNUMBER(P456)),IF(Q455=0,1,0),0)</f>
        <v>1</v>
      </c>
      <c r="S456" s="56" t="n">
        <f aca="false">R456*(B456&gt;=Train_Start)*(B456&lt;=Train_End)</f>
        <v>1</v>
      </c>
      <c r="T456" s="84" t="n">
        <f aca="false">IF(AND(ISNUMBER(O456),ISNUMBER(P456)),Coef_A+Coef_B1*O456+Coef_B2*P456,"")</f>
        <v>16.0562438853175</v>
      </c>
      <c r="U456" s="84" t="n">
        <f aca="false">IF(AND(R456=1,ISNUMBER(T456)),E456-T456,"")</f>
        <v>1.84375611468248</v>
      </c>
      <c r="V456" s="84" t="n">
        <f aca="false">IF(ISNUMBER(T456),T456,-99)</f>
        <v>16.0562438853175</v>
      </c>
      <c r="W456" s="84" t="n">
        <f aca="false">IF(ISNUMBER(U456),ABS(U456),"")</f>
        <v>1.84375611468248</v>
      </c>
    </row>
    <row r="457" customFormat="false" ht="15" hidden="false" customHeight="false" outlineLevel="0" collapsed="false">
      <c r="A457" s="57" t="n">
        <v>29856</v>
      </c>
      <c r="B457" s="56" t="n">
        <v>1981</v>
      </c>
      <c r="C457" s="56" t="n">
        <v>9</v>
      </c>
      <c r="D457" s="56" t="n">
        <v>150</v>
      </c>
      <c r="E457" s="56" t="n">
        <v>17.6</v>
      </c>
      <c r="F457" s="56" t="n">
        <v>0</v>
      </c>
      <c r="G457" s="56" t="n">
        <v>10.6</v>
      </c>
      <c r="H457" s="56" t="n">
        <v>0</v>
      </c>
      <c r="I457" s="56" t="n">
        <v>14.2</v>
      </c>
      <c r="J457" s="56" t="n">
        <v>0</v>
      </c>
      <c r="K457" s="56" t="n">
        <v>1000.5</v>
      </c>
      <c r="L457" s="56" t="n">
        <v>0</v>
      </c>
      <c r="M457" s="56" t="n">
        <v>79</v>
      </c>
      <c r="N457" s="56" t="n">
        <v>5.3</v>
      </c>
      <c r="O457" s="56" t="n">
        <f aca="false">IF(D457=1,"",E456)</f>
        <v>17.9</v>
      </c>
      <c r="P457" s="56" t="n">
        <f aca="false">IF(OR(D457=1,K456=""),"",K456)</f>
        <v>988.7</v>
      </c>
      <c r="Q457" s="56" t="n">
        <f aca="false">IF(OR(F457&lt;&gt;0,AND(I457&lt;&gt;"",E457&lt;I457)),1,0)</f>
        <v>0</v>
      </c>
      <c r="R457" s="56" t="n">
        <f aca="false">IF(AND(D457&gt;1,Q457=0,ISNUMBER(O457),ISNUMBER(P457)),IF(Q456=0,1,0),0)</f>
        <v>1</v>
      </c>
      <c r="S457" s="56" t="n">
        <f aca="false">R457*(B457&gt;=Train_Start)*(B457&lt;=Train_End)</f>
        <v>1</v>
      </c>
      <c r="T457" s="84" t="n">
        <f aca="false">IF(AND(ISNUMBER(O457),ISNUMBER(P457)),Coef_A+Coef_B1*O457+Coef_B2*P457,"")</f>
        <v>17.7685618020846</v>
      </c>
      <c r="U457" s="84" t="n">
        <f aca="false">IF(AND(R457=1,ISNUMBER(T457)),E457-T457,"")</f>
        <v>-0.168561802084582</v>
      </c>
      <c r="V457" s="84" t="n">
        <f aca="false">IF(ISNUMBER(T457),T457,-99)</f>
        <v>17.7685618020846</v>
      </c>
      <c r="W457" s="84" t="n">
        <f aca="false">IF(ISNUMBER(U457),ABS(U457),"")</f>
        <v>0.168561802084582</v>
      </c>
    </row>
    <row r="458" customFormat="false" ht="15" hidden="false" customHeight="false" outlineLevel="0" collapsed="false">
      <c r="A458" s="57" t="n">
        <v>29857</v>
      </c>
      <c r="B458" s="56" t="n">
        <v>1981</v>
      </c>
      <c r="C458" s="56" t="n">
        <v>9</v>
      </c>
      <c r="D458" s="56" t="n">
        <v>151</v>
      </c>
      <c r="E458" s="56" t="n">
        <v>17.2</v>
      </c>
      <c r="F458" s="56" t="n">
        <v>0</v>
      </c>
      <c r="G458" s="56" t="n">
        <v>7.4</v>
      </c>
      <c r="H458" s="56" t="n">
        <v>0</v>
      </c>
      <c r="I458" s="56" t="n">
        <v>12.5</v>
      </c>
      <c r="J458" s="56" t="n">
        <v>0</v>
      </c>
      <c r="K458" s="56" t="n">
        <v>1012.8</v>
      </c>
      <c r="L458" s="56" t="n">
        <v>0</v>
      </c>
      <c r="M458" s="56" t="n">
        <v>79</v>
      </c>
      <c r="N458" s="56" t="n">
        <v>8.2</v>
      </c>
      <c r="O458" s="56" t="n">
        <f aca="false">IF(D458=1,"",E457)</f>
        <v>17.6</v>
      </c>
      <c r="P458" s="56" t="n">
        <f aca="false">IF(OR(D458=1,K457=""),"",K457)</f>
        <v>1000.5</v>
      </c>
      <c r="Q458" s="56" t="n">
        <f aca="false">IF(OR(F458&lt;&gt;0,AND(I458&lt;&gt;"",E458&lt;I458)),1,0)</f>
        <v>0</v>
      </c>
      <c r="R458" s="56" t="n">
        <f aca="false">IF(AND(D458&gt;1,Q458=0,ISNUMBER(O458),ISNUMBER(P458)),IF(Q457=0,1,0),0)</f>
        <v>1</v>
      </c>
      <c r="S458" s="56" t="n">
        <f aca="false">R458*(B458&gt;=Train_Start)*(B458&lt;=Train_End)</f>
        <v>1</v>
      </c>
      <c r="T458" s="84" t="n">
        <f aca="false">IF(AND(ISNUMBER(O458),ISNUMBER(P458)),Coef_A+Coef_B1*O458+Coef_B2*P458,"")</f>
        <v>17.8929248008529</v>
      </c>
      <c r="U458" s="84" t="n">
        <f aca="false">IF(AND(R458=1,ISNUMBER(T458)),E458-T458,"")</f>
        <v>-0.692924800852861</v>
      </c>
      <c r="V458" s="84" t="n">
        <f aca="false">IF(ISNUMBER(T458),T458,-99)</f>
        <v>17.8929248008529</v>
      </c>
      <c r="W458" s="84" t="n">
        <f aca="false">IF(ISNUMBER(U458),ABS(U458),"")</f>
        <v>0.692924800852861</v>
      </c>
    </row>
    <row r="459" customFormat="false" ht="15" hidden="false" customHeight="false" outlineLevel="0" collapsed="false">
      <c r="A459" s="57" t="n">
        <v>29858</v>
      </c>
      <c r="B459" s="56" t="n">
        <v>1981</v>
      </c>
      <c r="C459" s="56" t="n">
        <v>9</v>
      </c>
      <c r="D459" s="56" t="n">
        <v>152</v>
      </c>
      <c r="E459" s="56" t="n">
        <v>19.6</v>
      </c>
      <c r="F459" s="56" t="n">
        <v>0</v>
      </c>
      <c r="G459" s="56" t="n">
        <v>6.7</v>
      </c>
      <c r="H459" s="56" t="n">
        <v>0</v>
      </c>
      <c r="I459" s="56" t="n">
        <v>12</v>
      </c>
      <c r="J459" s="56" t="n">
        <v>0</v>
      </c>
      <c r="K459" s="56" t="n">
        <v>1016.9</v>
      </c>
      <c r="L459" s="56" t="n">
        <v>0</v>
      </c>
      <c r="M459" s="56" t="n">
        <v>83</v>
      </c>
      <c r="N459" s="56" t="n">
        <v>3.7</v>
      </c>
      <c r="O459" s="56" t="n">
        <f aca="false">IF(D459=1,"",E458)</f>
        <v>17.2</v>
      </c>
      <c r="P459" s="56" t="n">
        <f aca="false">IF(OR(D459=1,K458=""),"",K458)</f>
        <v>1012.8</v>
      </c>
      <c r="Q459" s="56" t="n">
        <f aca="false">IF(OR(F459&lt;&gt;0,AND(I459&lt;&gt;"",E459&lt;I459)),1,0)</f>
        <v>0</v>
      </c>
      <c r="R459" s="56" t="n">
        <f aca="false">IF(AND(D459&gt;1,Q459=0,ISNUMBER(O459),ISNUMBER(P459)),IF(Q458=0,1,0),0)</f>
        <v>1</v>
      </c>
      <c r="S459" s="56" t="n">
        <f aca="false">R459*(B459&gt;=Train_Start)*(B459&lt;=Train_End)</f>
        <v>1</v>
      </c>
      <c r="T459" s="84" t="n">
        <f aca="false">IF(AND(ISNUMBER(O459),ISNUMBER(P459)),Coef_A+Coef_B1*O459+Coef_B2*P459,"")</f>
        <v>17.9510388276339</v>
      </c>
      <c r="U459" s="84" t="n">
        <f aca="false">IF(AND(R459=1,ISNUMBER(T459)),E459-T459,"")</f>
        <v>1.64896117236614</v>
      </c>
      <c r="V459" s="84" t="n">
        <f aca="false">IF(ISNUMBER(T459),T459,-99)</f>
        <v>17.9510388276339</v>
      </c>
      <c r="W459" s="84" t="n">
        <f aca="false">IF(ISNUMBER(U459),ABS(U459),"")</f>
        <v>1.64896117236614</v>
      </c>
    </row>
    <row r="460" customFormat="false" ht="15" hidden="false" customHeight="false" outlineLevel="0" collapsed="false">
      <c r="A460" s="57" t="n">
        <v>29859</v>
      </c>
      <c r="B460" s="56" t="n">
        <v>1981</v>
      </c>
      <c r="C460" s="56" t="n">
        <v>9</v>
      </c>
      <c r="D460" s="56" t="n">
        <v>153</v>
      </c>
      <c r="E460" s="56" t="n">
        <v>20</v>
      </c>
      <c r="F460" s="56" t="n">
        <v>0</v>
      </c>
      <c r="G460" s="56" t="n">
        <v>11.8</v>
      </c>
      <c r="H460" s="56" t="n">
        <v>0</v>
      </c>
      <c r="I460" s="56" t="n">
        <v>15.7</v>
      </c>
      <c r="J460" s="56" t="n">
        <v>0</v>
      </c>
      <c r="K460" s="56" t="n">
        <v>1010.7</v>
      </c>
      <c r="L460" s="56" t="n">
        <v>0</v>
      </c>
      <c r="M460" s="56" t="n">
        <v>94</v>
      </c>
      <c r="N460" s="56" t="n">
        <v>0.6</v>
      </c>
      <c r="O460" s="56" t="n">
        <f aca="false">IF(D460=1,"",E459)</f>
        <v>19.6</v>
      </c>
      <c r="P460" s="56" t="n">
        <f aca="false">IF(OR(D460=1,K459=""),"",K459)</f>
        <v>1016.9</v>
      </c>
      <c r="Q460" s="56" t="n">
        <f aca="false">IF(OR(F460&lt;&gt;0,AND(I460&lt;&gt;"",E460&lt;I460)),1,0)</f>
        <v>0</v>
      </c>
      <c r="R460" s="56" t="n">
        <f aca="false">IF(AND(D460&gt;1,Q460=0,ISNUMBER(O460),ISNUMBER(P460)),IF(Q459=0,1,0),0)</f>
        <v>1</v>
      </c>
      <c r="S460" s="56" t="n">
        <f aca="false">R460*(B460&gt;=Train_Start)*(B460&lt;=Train_End)</f>
        <v>1</v>
      </c>
      <c r="T460" s="84" t="n">
        <f aca="false">IF(AND(ISNUMBER(O460),ISNUMBER(P460)),Coef_A+Coef_B1*O460+Coef_B2*P460,"")</f>
        <v>20.0460694589356</v>
      </c>
      <c r="U460" s="84" t="n">
        <f aca="false">IF(AND(R460=1,ISNUMBER(T460)),E460-T460,"")</f>
        <v>-0.0460694589356017</v>
      </c>
      <c r="V460" s="84" t="n">
        <f aca="false">IF(ISNUMBER(T460),T460,-99)</f>
        <v>20.0460694589356</v>
      </c>
      <c r="W460" s="84" t="n">
        <f aca="false">IF(ISNUMBER(U460),ABS(U460),"")</f>
        <v>0.0460694589356017</v>
      </c>
    </row>
    <row r="461" customFormat="false" ht="15" hidden="false" customHeight="false" outlineLevel="0" collapsed="false">
      <c r="A461" s="57" t="n">
        <v>30072</v>
      </c>
      <c r="B461" s="56" t="n">
        <v>1982</v>
      </c>
      <c r="C461" s="56" t="n">
        <v>5</v>
      </c>
      <c r="D461" s="56" t="n">
        <v>1</v>
      </c>
      <c r="E461" s="56" t="n">
        <v>13.5</v>
      </c>
      <c r="F461" s="56" t="n">
        <v>0</v>
      </c>
      <c r="G461" s="56" t="n">
        <v>6.9</v>
      </c>
      <c r="H461" s="56" t="n">
        <v>0</v>
      </c>
      <c r="I461" s="56" t="n">
        <v>10.4</v>
      </c>
      <c r="J461" s="56" t="n">
        <v>0</v>
      </c>
      <c r="K461" s="56" t="n">
        <v>1017.7</v>
      </c>
      <c r="L461" s="56" t="n">
        <v>0</v>
      </c>
      <c r="M461" s="56" t="n">
        <v>61</v>
      </c>
      <c r="N461" s="56" t="n">
        <v>6.9</v>
      </c>
      <c r="O461" s="56" t="str">
        <f aca="false">IF(D461=1,"",E460)</f>
        <v/>
      </c>
      <c r="P461" s="56" t="str">
        <f aca="false">IF(OR(D461=1,K460=""),"",K460)</f>
        <v/>
      </c>
      <c r="Q461" s="56" t="n">
        <f aca="false">IF(OR(F461&lt;&gt;0,AND(I461&lt;&gt;"",E461&lt;I461)),1,0)</f>
        <v>0</v>
      </c>
      <c r="R461" s="56" t="n">
        <f aca="false">IF(AND(D461&gt;1,Q461=0,ISNUMBER(O461),ISNUMBER(P461)),IF(Q460=0,1,0),0)</f>
        <v>0</v>
      </c>
      <c r="S461" s="56" t="n">
        <f aca="false">R461*(B461&gt;=Train_Start)*(B461&lt;=Train_End)</f>
        <v>0</v>
      </c>
      <c r="T461" s="84" t="str">
        <f aca="false">IF(AND(ISNUMBER(O461),ISNUMBER(P461)),Coef_A+Coef_B1*O461+Coef_B2*P461,"")</f>
        <v/>
      </c>
      <c r="U461" s="84" t="str">
        <f aca="false">IF(AND(R461=1,ISNUMBER(T461)),E461-T461,"")</f>
        <v/>
      </c>
      <c r="V461" s="84" t="n">
        <f aca="false">IF(ISNUMBER(T461),T461,-99)</f>
        <v>-99</v>
      </c>
      <c r="W461" s="84" t="str">
        <f aca="false">IF(ISNUMBER(U461),ABS(U461),"")</f>
        <v/>
      </c>
    </row>
    <row r="462" customFormat="false" ht="15" hidden="false" customHeight="false" outlineLevel="0" collapsed="false">
      <c r="A462" s="57" t="n">
        <v>30073</v>
      </c>
      <c r="B462" s="56" t="n">
        <v>1982</v>
      </c>
      <c r="C462" s="56" t="n">
        <v>5</v>
      </c>
      <c r="D462" s="56" t="n">
        <v>2</v>
      </c>
      <c r="E462" s="56" t="n">
        <v>12.6</v>
      </c>
      <c r="F462" s="56" t="n">
        <v>0</v>
      </c>
      <c r="G462" s="56" t="n">
        <v>1.4</v>
      </c>
      <c r="H462" s="56" t="n">
        <v>0</v>
      </c>
      <c r="I462" s="56" t="n">
        <v>7.4</v>
      </c>
      <c r="J462" s="56" t="n">
        <v>0</v>
      </c>
      <c r="K462" s="56" t="n">
        <v>1015.6</v>
      </c>
      <c r="L462" s="56" t="n">
        <v>0</v>
      </c>
      <c r="M462" s="56" t="n">
        <v>61</v>
      </c>
      <c r="N462" s="56" t="n">
        <v>2.1</v>
      </c>
      <c r="O462" s="56" t="n">
        <f aca="false">IF(D462=1,"",E461)</f>
        <v>13.5</v>
      </c>
      <c r="P462" s="56" t="n">
        <f aca="false">IF(OR(D462=1,K461=""),"",K461)</f>
        <v>1017.7</v>
      </c>
      <c r="Q462" s="56" t="n">
        <f aca="false">IF(OR(F462&lt;&gt;0,AND(I462&lt;&gt;"",E462&lt;I462)),1,0)</f>
        <v>0</v>
      </c>
      <c r="R462" s="56" t="n">
        <f aca="false">IF(AND(D462&gt;1,Q462=0,ISNUMBER(O462),ISNUMBER(P462)),IF(Q461=0,1,0),0)</f>
        <v>1</v>
      </c>
      <c r="S462" s="56" t="n">
        <f aca="false">R462*(B462&gt;=Train_Start)*(B462&lt;=Train_End)</f>
        <v>1</v>
      </c>
      <c r="T462" s="84" t="n">
        <f aca="false">IF(AND(ISNUMBER(O462),ISNUMBER(P462)),Coef_A+Coef_B1*O462+Coef_B2*P462,"")</f>
        <v>15.0731962970826</v>
      </c>
      <c r="U462" s="84" t="n">
        <f aca="false">IF(AND(R462=1,ISNUMBER(T462)),E462-T462,"")</f>
        <v>-2.47319629708258</v>
      </c>
      <c r="V462" s="84" t="n">
        <f aca="false">IF(ISNUMBER(T462),T462,-99)</f>
        <v>15.0731962970826</v>
      </c>
      <c r="W462" s="84" t="n">
        <f aca="false">IF(ISNUMBER(U462),ABS(U462),"")</f>
        <v>2.47319629708258</v>
      </c>
    </row>
    <row r="463" customFormat="false" ht="15" hidden="false" customHeight="false" outlineLevel="0" collapsed="false">
      <c r="A463" s="57" t="n">
        <v>30074</v>
      </c>
      <c r="B463" s="56" t="n">
        <v>1982</v>
      </c>
      <c r="C463" s="56" t="n">
        <v>5</v>
      </c>
      <c r="D463" s="56" t="n">
        <v>3</v>
      </c>
      <c r="E463" s="56" t="n">
        <v>12.2</v>
      </c>
      <c r="F463" s="56" t="n">
        <v>0</v>
      </c>
      <c r="G463" s="56" t="n">
        <v>5.5</v>
      </c>
      <c r="H463" s="56" t="n">
        <v>0</v>
      </c>
      <c r="I463" s="56" t="n">
        <v>9</v>
      </c>
      <c r="J463" s="56" t="n">
        <v>0</v>
      </c>
      <c r="K463" s="56" t="n">
        <v>1002.1</v>
      </c>
      <c r="L463" s="56" t="n">
        <v>0</v>
      </c>
      <c r="M463" s="56" t="n">
        <v>76</v>
      </c>
      <c r="N463" s="56" t="n">
        <v>7.1</v>
      </c>
      <c r="O463" s="56" t="n">
        <f aca="false">IF(D463=1,"",E462)</f>
        <v>12.6</v>
      </c>
      <c r="P463" s="56" t="n">
        <f aca="false">IF(OR(D463=1,K462=""),"",K462)</f>
        <v>1015.6</v>
      </c>
      <c r="Q463" s="56" t="n">
        <f aca="false">IF(OR(F463&lt;&gt;0,AND(I463&lt;&gt;"",E463&lt;I463)),1,0)</f>
        <v>0</v>
      </c>
      <c r="R463" s="56" t="n">
        <f aca="false">IF(AND(D463&gt;1,Q463=0,ISNUMBER(O463),ISNUMBER(P463)),IF(Q462=0,1,0),0)</f>
        <v>1</v>
      </c>
      <c r="S463" s="56" t="n">
        <f aca="false">R463*(B463&gt;=Train_Start)*(B463&lt;=Train_End)</f>
        <v>1</v>
      </c>
      <c r="T463" s="84" t="n">
        <f aca="false">IF(AND(ISNUMBER(O463),ISNUMBER(P463)),Coef_A+Coef_B1*O463+Coef_B2*P463,"")</f>
        <v>14.2699142446128</v>
      </c>
      <c r="U463" s="84" t="n">
        <f aca="false">IF(AND(R463=1,ISNUMBER(T463)),E463-T463,"")</f>
        <v>-2.06991424461281</v>
      </c>
      <c r="V463" s="84" t="n">
        <f aca="false">IF(ISNUMBER(T463),T463,-99)</f>
        <v>14.2699142446128</v>
      </c>
      <c r="W463" s="84" t="n">
        <f aca="false">IF(ISNUMBER(U463),ABS(U463),"")</f>
        <v>2.06991424461281</v>
      </c>
    </row>
    <row r="464" customFormat="false" ht="15" hidden="false" customHeight="false" outlineLevel="0" collapsed="false">
      <c r="A464" s="57" t="n">
        <v>30075</v>
      </c>
      <c r="B464" s="56" t="n">
        <v>1982</v>
      </c>
      <c r="C464" s="56" t="n">
        <v>5</v>
      </c>
      <c r="D464" s="56" t="n">
        <v>4</v>
      </c>
      <c r="E464" s="56" t="n">
        <v>11.1</v>
      </c>
      <c r="F464" s="56" t="n">
        <v>0</v>
      </c>
      <c r="G464" s="56" t="n">
        <v>2.8</v>
      </c>
      <c r="H464" s="56" t="n">
        <v>0</v>
      </c>
      <c r="I464" s="56" t="n">
        <v>7.5</v>
      </c>
      <c r="J464" s="56" t="n">
        <v>0</v>
      </c>
      <c r="K464" s="56" t="n">
        <v>1005.9</v>
      </c>
      <c r="L464" s="56" t="n">
        <v>0</v>
      </c>
      <c r="M464" s="56" t="n">
        <v>77</v>
      </c>
      <c r="N464" s="56" t="n">
        <v>8.5</v>
      </c>
      <c r="O464" s="56" t="n">
        <f aca="false">IF(D464=1,"",E463)</f>
        <v>12.2</v>
      </c>
      <c r="P464" s="56" t="n">
        <f aca="false">IF(OR(D464=1,K463=""),"",K463)</f>
        <v>1002.1</v>
      </c>
      <c r="Q464" s="56" t="n">
        <f aca="false">IF(OR(F464&lt;&gt;0,AND(I464&lt;&gt;"",E464&lt;I464)),1,0)</f>
        <v>0</v>
      </c>
      <c r="R464" s="56" t="n">
        <f aca="false">IF(AND(D464&gt;1,Q464=0,ISNUMBER(O464),ISNUMBER(P464)),IF(Q463=0,1,0),0)</f>
        <v>1</v>
      </c>
      <c r="S464" s="56" t="n">
        <f aca="false">R464*(B464&gt;=Train_Start)*(B464&lt;=Train_End)</f>
        <v>1</v>
      </c>
      <c r="T464" s="84" t="n">
        <f aca="false">IF(AND(ISNUMBER(O464),ISNUMBER(P464)),Coef_A+Coef_B1*O464+Coef_B2*P464,"")</f>
        <v>13.5186849898369</v>
      </c>
      <c r="U464" s="84" t="n">
        <f aca="false">IF(AND(R464=1,ISNUMBER(T464)),E464-T464,"")</f>
        <v>-2.41868498983689</v>
      </c>
      <c r="V464" s="84" t="n">
        <f aca="false">IF(ISNUMBER(T464),T464,-99)</f>
        <v>13.5186849898369</v>
      </c>
      <c r="W464" s="84" t="n">
        <f aca="false">IF(ISNUMBER(U464),ABS(U464),"")</f>
        <v>2.41868498983689</v>
      </c>
    </row>
    <row r="465" customFormat="false" ht="15" hidden="false" customHeight="false" outlineLevel="0" collapsed="false">
      <c r="A465" s="57" t="n">
        <v>30076</v>
      </c>
      <c r="B465" s="56" t="n">
        <v>1982</v>
      </c>
      <c r="C465" s="56" t="n">
        <v>5</v>
      </c>
      <c r="D465" s="56" t="n">
        <v>5</v>
      </c>
      <c r="E465" s="56" t="n">
        <v>9.7</v>
      </c>
      <c r="F465" s="56" t="n">
        <v>0</v>
      </c>
      <c r="G465" s="56" t="n">
        <v>0.2</v>
      </c>
      <c r="H465" s="56" t="n">
        <v>0</v>
      </c>
      <c r="I465" s="56" t="n">
        <v>5.6</v>
      </c>
      <c r="J465" s="56" t="n">
        <v>0</v>
      </c>
      <c r="K465" s="56" t="n">
        <v>1009.9</v>
      </c>
      <c r="L465" s="56" t="n">
        <v>0</v>
      </c>
      <c r="M465" s="56" t="n">
        <v>83</v>
      </c>
      <c r="N465" s="56" t="n">
        <v>1.9</v>
      </c>
      <c r="O465" s="56" t="n">
        <f aca="false">IF(D465=1,"",E464)</f>
        <v>11.1</v>
      </c>
      <c r="P465" s="56" t="n">
        <f aca="false">IF(OR(D465=1,K464=""),"",K464)</f>
        <v>1005.9</v>
      </c>
      <c r="Q465" s="56" t="n">
        <f aca="false">IF(OR(F465&lt;&gt;0,AND(I465&lt;&gt;"",E465&lt;I465)),1,0)</f>
        <v>0</v>
      </c>
      <c r="R465" s="56" t="n">
        <f aca="false">IF(AND(D465&gt;1,Q465=0,ISNUMBER(O465),ISNUMBER(P465)),IF(Q464=0,1,0),0)</f>
        <v>1</v>
      </c>
      <c r="S465" s="56" t="n">
        <f aca="false">R465*(B465&gt;=Train_Start)*(B465&lt;=Train_End)</f>
        <v>1</v>
      </c>
      <c r="T465" s="84" t="n">
        <f aca="false">IF(AND(ISNUMBER(O465),ISNUMBER(P465)),Coef_A+Coef_B1*O465+Coef_B2*P465,"")</f>
        <v>12.7366174770991</v>
      </c>
      <c r="U465" s="84" t="n">
        <f aca="false">IF(AND(R465=1,ISNUMBER(T465)),E465-T465,"")</f>
        <v>-3.03661747709913</v>
      </c>
      <c r="V465" s="84" t="n">
        <f aca="false">IF(ISNUMBER(T465),T465,-99)</f>
        <v>12.7366174770991</v>
      </c>
      <c r="W465" s="84" t="n">
        <f aca="false">IF(ISNUMBER(U465),ABS(U465),"")</f>
        <v>3.03661747709913</v>
      </c>
    </row>
    <row r="466" customFormat="false" ht="15" hidden="false" customHeight="false" outlineLevel="0" collapsed="false">
      <c r="A466" s="57" t="n">
        <v>30077</v>
      </c>
      <c r="B466" s="56" t="n">
        <v>1982</v>
      </c>
      <c r="C466" s="56" t="n">
        <v>5</v>
      </c>
      <c r="D466" s="56" t="n">
        <v>6</v>
      </c>
      <c r="E466" s="56" t="n">
        <v>11.8</v>
      </c>
      <c r="F466" s="56" t="n">
        <v>0</v>
      </c>
      <c r="G466" s="56" t="n">
        <v>2.7</v>
      </c>
      <c r="H466" s="56" t="n">
        <v>0</v>
      </c>
      <c r="I466" s="56" t="n">
        <v>6.2</v>
      </c>
      <c r="J466" s="56" t="n">
        <v>0</v>
      </c>
      <c r="K466" s="56" t="n">
        <v>1013.8</v>
      </c>
      <c r="L466" s="56" t="n">
        <v>0</v>
      </c>
      <c r="M466" s="56" t="n">
        <v>85</v>
      </c>
      <c r="N466" s="56" t="n">
        <v>3.3</v>
      </c>
      <c r="O466" s="56" t="n">
        <f aca="false">IF(D466=1,"",E465)</f>
        <v>9.7</v>
      </c>
      <c r="P466" s="56" t="n">
        <f aca="false">IF(OR(D466=1,K465=""),"",K465)</f>
        <v>1009.9</v>
      </c>
      <c r="Q466" s="56" t="n">
        <f aca="false">IF(OR(F466&lt;&gt;0,AND(I466&lt;&gt;"",E466&lt;I466)),1,0)</f>
        <v>0</v>
      </c>
      <c r="R466" s="56" t="n">
        <f aca="false">IF(AND(D466&gt;1,Q466=0,ISNUMBER(O466),ISNUMBER(P466)),IF(Q465=0,1,0),0)</f>
        <v>1</v>
      </c>
      <c r="S466" s="56" t="n">
        <f aca="false">R466*(B466&gt;=Train_Start)*(B466&lt;=Train_End)</f>
        <v>1</v>
      </c>
      <c r="T466" s="84" t="n">
        <f aca="false">IF(AND(ISNUMBER(O466),ISNUMBER(P466)),Coef_A+Coef_B1*O466+Coef_B2*P466,"")</f>
        <v>11.7150221853754</v>
      </c>
      <c r="U466" s="84" t="n">
        <f aca="false">IF(AND(R466=1,ISNUMBER(T466)),E466-T466,"")</f>
        <v>0.0849778146246401</v>
      </c>
      <c r="V466" s="84" t="n">
        <f aca="false">IF(ISNUMBER(T466),T466,-99)</f>
        <v>11.7150221853754</v>
      </c>
      <c r="W466" s="84" t="n">
        <f aca="false">IF(ISNUMBER(U466),ABS(U466),"")</f>
        <v>0.0849778146246401</v>
      </c>
    </row>
    <row r="467" customFormat="false" ht="15" hidden="false" customHeight="false" outlineLevel="0" collapsed="false">
      <c r="A467" s="57" t="n">
        <v>30078</v>
      </c>
      <c r="B467" s="56" t="n">
        <v>1982</v>
      </c>
      <c r="C467" s="56" t="n">
        <v>5</v>
      </c>
      <c r="D467" s="56" t="n">
        <v>7</v>
      </c>
      <c r="E467" s="56" t="n">
        <v>13.7</v>
      </c>
      <c r="F467" s="56" t="n">
        <v>0</v>
      </c>
      <c r="G467" s="56" t="n">
        <v>2.1</v>
      </c>
      <c r="H467" s="56" t="n">
        <v>0</v>
      </c>
      <c r="I467" s="56" t="n">
        <v>7</v>
      </c>
      <c r="J467" s="56" t="n">
        <v>0</v>
      </c>
      <c r="K467" s="56" t="n">
        <v>1019.6</v>
      </c>
      <c r="L467" s="56" t="n">
        <v>0</v>
      </c>
      <c r="M467" s="56" t="n">
        <v>75</v>
      </c>
      <c r="N467" s="56" t="n">
        <v>4.4</v>
      </c>
      <c r="O467" s="56" t="n">
        <f aca="false">IF(D467=1,"",E466)</f>
        <v>11.8</v>
      </c>
      <c r="P467" s="56" t="n">
        <f aca="false">IF(OR(D467=1,K466=""),"",K466)</f>
        <v>1013.8</v>
      </c>
      <c r="Q467" s="56" t="n">
        <f aca="false">IF(OR(F467&lt;&gt;0,AND(I467&lt;&gt;"",E467&lt;I467)),1,0)</f>
        <v>0</v>
      </c>
      <c r="R467" s="56" t="n">
        <f aca="false">IF(AND(D467&gt;1,Q467=0,ISNUMBER(O467),ISNUMBER(P467)),IF(Q466=0,1,0),0)</f>
        <v>1</v>
      </c>
      <c r="S467" s="56" t="n">
        <f aca="false">R467*(B467&gt;=Train_Start)*(B467&lt;=Train_End)</f>
        <v>1</v>
      </c>
      <c r="T467" s="84" t="n">
        <f aca="false">IF(AND(ISNUMBER(O467),ISNUMBER(P467)),Coef_A+Coef_B1*O467+Coef_B2*P467,"")</f>
        <v>13.5579770798375</v>
      </c>
      <c r="U467" s="84" t="n">
        <f aca="false">IF(AND(R467=1,ISNUMBER(T467)),E467-T467,"")</f>
        <v>0.142022920162496</v>
      </c>
      <c r="V467" s="84" t="n">
        <f aca="false">IF(ISNUMBER(T467),T467,-99)</f>
        <v>13.5579770798375</v>
      </c>
      <c r="W467" s="84" t="n">
        <f aca="false">IF(ISNUMBER(U467),ABS(U467),"")</f>
        <v>0.142022920162496</v>
      </c>
    </row>
    <row r="468" customFormat="false" ht="15" hidden="false" customHeight="false" outlineLevel="0" collapsed="false">
      <c r="A468" s="57" t="n">
        <v>30079</v>
      </c>
      <c r="B468" s="56" t="n">
        <v>1982</v>
      </c>
      <c r="C468" s="56" t="n">
        <v>5</v>
      </c>
      <c r="D468" s="56" t="n">
        <v>8</v>
      </c>
      <c r="E468" s="56" t="n">
        <v>15.6</v>
      </c>
      <c r="F468" s="56" t="n">
        <v>0</v>
      </c>
      <c r="G468" s="56" t="n">
        <v>2.6</v>
      </c>
      <c r="H468" s="56" t="n">
        <v>0</v>
      </c>
      <c r="I468" s="56" t="n">
        <v>8.2</v>
      </c>
      <c r="J468" s="56" t="n">
        <v>0</v>
      </c>
      <c r="K468" s="56" t="n">
        <v>1020.7</v>
      </c>
      <c r="L468" s="56" t="n">
        <v>0</v>
      </c>
      <c r="M468" s="56" t="n">
        <v>69</v>
      </c>
      <c r="N468" s="56" t="n">
        <v>9.9</v>
      </c>
      <c r="O468" s="56" t="n">
        <f aca="false">IF(D468=1,"",E467)</f>
        <v>13.7</v>
      </c>
      <c r="P468" s="56" t="n">
        <f aca="false">IF(OR(D468=1,K467=""),"",K467)</f>
        <v>1019.6</v>
      </c>
      <c r="Q468" s="56" t="n">
        <f aca="false">IF(OR(F468&lt;&gt;0,AND(I468&lt;&gt;"",E468&lt;I468)),1,0)</f>
        <v>0</v>
      </c>
      <c r="R468" s="56" t="n">
        <f aca="false">IF(AND(D468&gt;1,Q468=0,ISNUMBER(O468),ISNUMBER(P468)),IF(Q467=0,1,0),0)</f>
        <v>1</v>
      </c>
      <c r="S468" s="56" t="n">
        <f aca="false">R468*(B468&gt;=Train_Start)*(B468&lt;=Train_End)</f>
        <v>1</v>
      </c>
      <c r="T468" s="84" t="n">
        <f aca="false">IF(AND(ISNUMBER(O468),ISNUMBER(P468)),Coef_A+Coef_B1*O468+Coef_B2*P468,"")</f>
        <v>15.2966669354957</v>
      </c>
      <c r="U468" s="84" t="n">
        <f aca="false">IF(AND(R468=1,ISNUMBER(T468)),E468-T468,"")</f>
        <v>0.30333306450431</v>
      </c>
      <c r="V468" s="84" t="n">
        <f aca="false">IF(ISNUMBER(T468),T468,-99)</f>
        <v>15.2966669354957</v>
      </c>
      <c r="W468" s="84" t="n">
        <f aca="false">IF(ISNUMBER(U468),ABS(U468),"")</f>
        <v>0.30333306450431</v>
      </c>
    </row>
    <row r="469" customFormat="false" ht="15" hidden="false" customHeight="false" outlineLevel="0" collapsed="false">
      <c r="A469" s="57" t="n">
        <v>30080</v>
      </c>
      <c r="B469" s="56" t="n">
        <v>1982</v>
      </c>
      <c r="C469" s="56" t="n">
        <v>5</v>
      </c>
      <c r="D469" s="56" t="n">
        <v>9</v>
      </c>
      <c r="E469" s="56" t="n">
        <v>16.7</v>
      </c>
      <c r="F469" s="56" t="n">
        <v>0</v>
      </c>
      <c r="G469" s="56" t="n">
        <v>2.1</v>
      </c>
      <c r="H469" s="56" t="n">
        <v>0</v>
      </c>
      <c r="I469" s="56" t="n">
        <v>8.8</v>
      </c>
      <c r="J469" s="56" t="n">
        <v>0</v>
      </c>
      <c r="K469" s="56" t="n">
        <v>1019.4</v>
      </c>
      <c r="L469" s="56" t="n">
        <v>0</v>
      </c>
      <c r="M469" s="56" t="n">
        <v>62</v>
      </c>
      <c r="N469" s="56" t="n">
        <v>8.1</v>
      </c>
      <c r="O469" s="56" t="n">
        <f aca="false">IF(D469=1,"",E468)</f>
        <v>15.6</v>
      </c>
      <c r="P469" s="56" t="n">
        <f aca="false">IF(OR(D469=1,K468=""),"",K468)</f>
        <v>1020.7</v>
      </c>
      <c r="Q469" s="56" t="n">
        <f aca="false">IF(OR(F469&lt;&gt;0,AND(I469&lt;&gt;"",E469&lt;I469)),1,0)</f>
        <v>0</v>
      </c>
      <c r="R469" s="56" t="n">
        <f aca="false">IF(AND(D469&gt;1,Q469=0,ISNUMBER(O469),ISNUMBER(P469)),IF(Q468=0,1,0),0)</f>
        <v>1</v>
      </c>
      <c r="S469" s="56" t="n">
        <f aca="false">R469*(B469&gt;=Train_Start)*(B469&lt;=Train_End)</f>
        <v>1</v>
      </c>
      <c r="T469" s="84" t="n">
        <f aca="false">IF(AND(ISNUMBER(O469),ISNUMBER(P469)),Coef_A+Coef_B1*O469+Coef_B2*P469,"")</f>
        <v>16.8879182863741</v>
      </c>
      <c r="U469" s="84" t="n">
        <f aca="false">IF(AND(R469=1,ISNUMBER(T469)),E469-T469,"")</f>
        <v>-0.187918286374131</v>
      </c>
      <c r="V469" s="84" t="n">
        <f aca="false">IF(ISNUMBER(T469),T469,-99)</f>
        <v>16.8879182863741</v>
      </c>
      <c r="W469" s="84" t="n">
        <f aca="false">IF(ISNUMBER(U469),ABS(U469),"")</f>
        <v>0.187918286374131</v>
      </c>
    </row>
    <row r="470" customFormat="false" ht="15" hidden="false" customHeight="false" outlineLevel="0" collapsed="false">
      <c r="A470" s="57" t="n">
        <v>30081</v>
      </c>
      <c r="B470" s="56" t="n">
        <v>1982</v>
      </c>
      <c r="C470" s="56" t="n">
        <v>5</v>
      </c>
      <c r="D470" s="56" t="n">
        <v>10</v>
      </c>
      <c r="E470" s="56" t="n">
        <v>18.9</v>
      </c>
      <c r="F470" s="56" t="n">
        <v>0</v>
      </c>
      <c r="G470" s="56" t="n">
        <v>5</v>
      </c>
      <c r="H470" s="56" t="n">
        <v>0</v>
      </c>
      <c r="I470" s="56" t="n">
        <v>10.8</v>
      </c>
      <c r="J470" s="56" t="n">
        <v>0</v>
      </c>
      <c r="K470" s="56" t="n">
        <v>1020</v>
      </c>
      <c r="L470" s="56" t="n">
        <v>0</v>
      </c>
      <c r="M470" s="56" t="n">
        <v>61</v>
      </c>
      <c r="N470" s="56" t="n">
        <v>9.2</v>
      </c>
      <c r="O470" s="56" t="n">
        <f aca="false">IF(D470=1,"",E469)</f>
        <v>16.7</v>
      </c>
      <c r="P470" s="56" t="n">
        <f aca="false">IF(OR(D470=1,K469=""),"",K469)</f>
        <v>1019.4</v>
      </c>
      <c r="Q470" s="56" t="n">
        <f aca="false">IF(OR(F470&lt;&gt;0,AND(I470&lt;&gt;"",E470&lt;I470)),1,0)</f>
        <v>0</v>
      </c>
      <c r="R470" s="56" t="n">
        <f aca="false">IF(AND(D470&gt;1,Q470=0,ISNUMBER(O470),ISNUMBER(P470)),IF(Q469=0,1,0),0)</f>
        <v>1</v>
      </c>
      <c r="S470" s="56" t="n">
        <f aca="false">R470*(B470&gt;=Train_Start)*(B470&lt;=Train_End)</f>
        <v>1</v>
      </c>
      <c r="T470" s="84" t="n">
        <f aca="false">IF(AND(ISNUMBER(O470),ISNUMBER(P470)),Coef_A+Coef_B1*O470+Coef_B2*P470,"")</f>
        <v>17.7484105356969</v>
      </c>
      <c r="U470" s="84" t="n">
        <f aca="false">IF(AND(R470=1,ISNUMBER(T470)),E470-T470,"")</f>
        <v>1.15158946430314</v>
      </c>
      <c r="V470" s="84" t="n">
        <f aca="false">IF(ISNUMBER(T470),T470,-99)</f>
        <v>17.7484105356969</v>
      </c>
      <c r="W470" s="84" t="n">
        <f aca="false">IF(ISNUMBER(U470),ABS(U470),"")</f>
        <v>1.15158946430314</v>
      </c>
    </row>
    <row r="471" customFormat="false" ht="15" hidden="false" customHeight="false" outlineLevel="0" collapsed="false">
      <c r="A471" s="57" t="n">
        <v>30082</v>
      </c>
      <c r="B471" s="56" t="n">
        <v>1982</v>
      </c>
      <c r="C471" s="56" t="n">
        <v>5</v>
      </c>
      <c r="D471" s="56" t="n">
        <v>11</v>
      </c>
      <c r="E471" s="56" t="n">
        <v>20.6</v>
      </c>
      <c r="F471" s="56" t="n">
        <v>0</v>
      </c>
      <c r="G471" s="56" t="n">
        <v>5.4</v>
      </c>
      <c r="H471" s="56" t="n">
        <v>0</v>
      </c>
      <c r="I471" s="56" t="n">
        <v>12.2</v>
      </c>
      <c r="J471" s="56" t="n">
        <v>0</v>
      </c>
      <c r="K471" s="56" t="n">
        <v>1022.9</v>
      </c>
      <c r="L471" s="56" t="n">
        <v>0</v>
      </c>
      <c r="M471" s="56" t="n">
        <v>55</v>
      </c>
      <c r="N471" s="56" t="n">
        <v>13.2</v>
      </c>
      <c r="O471" s="56" t="n">
        <f aca="false">IF(D471=1,"",E470)</f>
        <v>18.9</v>
      </c>
      <c r="P471" s="56" t="n">
        <f aca="false">IF(OR(D471=1,K470=""),"",K470)</f>
        <v>1020</v>
      </c>
      <c r="Q471" s="56" t="n">
        <f aca="false">IF(OR(F471&lt;&gt;0,AND(I471&lt;&gt;"",E471&lt;I471)),1,0)</f>
        <v>0</v>
      </c>
      <c r="R471" s="56" t="n">
        <f aca="false">IF(AND(D471&gt;1,Q471=0,ISNUMBER(O471),ISNUMBER(P471)),IF(Q470=0,1,0),0)</f>
        <v>1</v>
      </c>
      <c r="S471" s="56" t="n">
        <f aca="false">R471*(B471&gt;=Train_Start)*(B471&lt;=Train_End)</f>
        <v>1</v>
      </c>
      <c r="T471" s="84" t="n">
        <f aca="false">IF(AND(ISNUMBER(O471),ISNUMBER(P471)),Coef_A+Coef_B1*O471+Coef_B2*P471,"")</f>
        <v>19.5697786971711</v>
      </c>
      <c r="U471" s="84" t="n">
        <f aca="false">IF(AND(R471=1,ISNUMBER(T471)),E471-T471,"")</f>
        <v>1.0302213028289</v>
      </c>
      <c r="V471" s="84" t="n">
        <f aca="false">IF(ISNUMBER(T471),T471,-99)</f>
        <v>19.5697786971711</v>
      </c>
      <c r="W471" s="84" t="n">
        <f aca="false">IF(ISNUMBER(U471),ABS(U471),"")</f>
        <v>1.0302213028289</v>
      </c>
    </row>
    <row r="472" customFormat="false" ht="15" hidden="false" customHeight="false" outlineLevel="0" collapsed="false">
      <c r="A472" s="57" t="n">
        <v>30083</v>
      </c>
      <c r="B472" s="56" t="n">
        <v>1982</v>
      </c>
      <c r="C472" s="56" t="n">
        <v>5</v>
      </c>
      <c r="D472" s="56" t="n">
        <v>12</v>
      </c>
      <c r="E472" s="56" t="n">
        <v>23.1</v>
      </c>
      <c r="F472" s="56" t="n">
        <v>0</v>
      </c>
      <c r="G472" s="56" t="n">
        <v>9.1</v>
      </c>
      <c r="H472" s="56" t="n">
        <v>0</v>
      </c>
      <c r="I472" s="56" t="n">
        <v>14.8</v>
      </c>
      <c r="J472" s="56" t="n">
        <v>0</v>
      </c>
      <c r="K472" s="56" t="n">
        <v>1026.4</v>
      </c>
      <c r="L472" s="56" t="n">
        <v>0</v>
      </c>
      <c r="M472" s="56" t="n">
        <v>59</v>
      </c>
      <c r="N472" s="56" t="n">
        <v>1</v>
      </c>
      <c r="O472" s="56" t="n">
        <f aca="false">IF(D472=1,"",E471)</f>
        <v>20.6</v>
      </c>
      <c r="P472" s="56" t="n">
        <f aca="false">IF(OR(D472=1,K471=""),"",K471)</f>
        <v>1022.9</v>
      </c>
      <c r="Q472" s="56" t="n">
        <f aca="false">IF(OR(F472&lt;&gt;0,AND(I472&lt;&gt;"",E472&lt;I472)),1,0)</f>
        <v>0</v>
      </c>
      <c r="R472" s="56" t="n">
        <f aca="false">IF(AND(D472&gt;1,Q472=0,ISNUMBER(O472),ISNUMBER(P472)),IF(Q471=0,1,0),0)</f>
        <v>1</v>
      </c>
      <c r="S472" s="56" t="n">
        <f aca="false">R472*(B472&gt;=Train_Start)*(B472&lt;=Train_End)</f>
        <v>1</v>
      </c>
      <c r="T472" s="84" t="n">
        <f aca="false">IF(AND(ISNUMBER(O472),ISNUMBER(P472)),Coef_A+Coef_B1*O472+Coef_B2*P472,"")</f>
        <v>21.0536280197822</v>
      </c>
      <c r="U472" s="84" t="n">
        <f aca="false">IF(AND(R472=1,ISNUMBER(T472)),E472-T472,"")</f>
        <v>2.04637198021781</v>
      </c>
      <c r="V472" s="84" t="n">
        <f aca="false">IF(ISNUMBER(T472),T472,-99)</f>
        <v>21.0536280197822</v>
      </c>
      <c r="W472" s="84" t="n">
        <f aca="false">IF(ISNUMBER(U472),ABS(U472),"")</f>
        <v>2.04637198021781</v>
      </c>
    </row>
    <row r="473" customFormat="false" ht="15" hidden="false" customHeight="false" outlineLevel="0" collapsed="false">
      <c r="A473" s="57" t="n">
        <v>30084</v>
      </c>
      <c r="B473" s="56" t="n">
        <v>1982</v>
      </c>
      <c r="C473" s="56" t="n">
        <v>5</v>
      </c>
      <c r="D473" s="56" t="n">
        <v>13</v>
      </c>
      <c r="E473" s="56" t="n">
        <v>23</v>
      </c>
      <c r="F473" s="56" t="n">
        <v>0</v>
      </c>
      <c r="G473" s="56" t="n">
        <v>10.3</v>
      </c>
      <c r="H473" s="56" t="n">
        <v>0</v>
      </c>
      <c r="I473" s="56" t="n">
        <v>16.7</v>
      </c>
      <c r="J473" s="56" t="n">
        <v>0</v>
      </c>
      <c r="K473" s="56" t="n">
        <v>1028.3</v>
      </c>
      <c r="L473" s="56" t="n">
        <v>0</v>
      </c>
      <c r="M473" s="56" t="n">
        <v>55</v>
      </c>
      <c r="N473" s="56" t="n">
        <v>13.7</v>
      </c>
      <c r="O473" s="56" t="n">
        <f aca="false">IF(D473=1,"",E472)</f>
        <v>23.1</v>
      </c>
      <c r="P473" s="56" t="n">
        <f aca="false">IF(OR(D473=1,K472=""),"",K472)</f>
        <v>1026.4</v>
      </c>
      <c r="Q473" s="56" t="n">
        <f aca="false">IF(OR(F473&lt;&gt;0,AND(I473&lt;&gt;"",E473&lt;I473)),1,0)</f>
        <v>0</v>
      </c>
      <c r="R473" s="56" t="n">
        <f aca="false">IF(AND(D473&gt;1,Q473=0,ISNUMBER(O473),ISNUMBER(P473)),IF(Q472=0,1,0),0)</f>
        <v>1</v>
      </c>
      <c r="S473" s="56" t="n">
        <f aca="false">R473*(B473&gt;=Train_Start)*(B473&lt;=Train_End)</f>
        <v>1</v>
      </c>
      <c r="T473" s="84" t="n">
        <f aca="false">IF(AND(ISNUMBER(O473),ISNUMBER(P473)),Coef_A+Coef_B1*O473+Coef_B2*P473,"")</f>
        <v>23.2117706336078</v>
      </c>
      <c r="U473" s="84" t="n">
        <f aca="false">IF(AND(R473=1,ISNUMBER(T473)),E473-T473,"")</f>
        <v>-0.211770633607806</v>
      </c>
      <c r="V473" s="84" t="n">
        <f aca="false">IF(ISNUMBER(T473),T473,-99)</f>
        <v>23.2117706336078</v>
      </c>
      <c r="W473" s="84" t="n">
        <f aca="false">IF(ISNUMBER(U473),ABS(U473),"")</f>
        <v>0.211770633607806</v>
      </c>
    </row>
    <row r="474" customFormat="false" ht="15" hidden="false" customHeight="false" outlineLevel="0" collapsed="false">
      <c r="A474" s="57" t="n">
        <v>30085</v>
      </c>
      <c r="B474" s="56" t="n">
        <v>1982</v>
      </c>
      <c r="C474" s="56" t="n">
        <v>5</v>
      </c>
      <c r="D474" s="56" t="n">
        <v>14</v>
      </c>
      <c r="E474" s="56" t="n">
        <v>25.3</v>
      </c>
      <c r="F474" s="56" t="n">
        <v>0</v>
      </c>
      <c r="G474" s="56" t="n">
        <v>8.4</v>
      </c>
      <c r="H474" s="56" t="n">
        <v>0</v>
      </c>
      <c r="I474" s="56" t="n">
        <v>15.7</v>
      </c>
      <c r="J474" s="56" t="n">
        <v>0</v>
      </c>
      <c r="K474" s="56" t="n">
        <v>1024.1</v>
      </c>
      <c r="L474" s="56" t="n">
        <v>0</v>
      </c>
      <c r="M474" s="56" t="n">
        <v>60</v>
      </c>
      <c r="N474" s="56" t="n">
        <v>13.5</v>
      </c>
      <c r="O474" s="56" t="n">
        <f aca="false">IF(D474=1,"",E473)</f>
        <v>23</v>
      </c>
      <c r="P474" s="56" t="n">
        <f aca="false">IF(OR(D474=1,K473=""),"",K473)</f>
        <v>1028.3</v>
      </c>
      <c r="Q474" s="56" t="n">
        <f aca="false">IF(OR(F474&lt;&gt;0,AND(I474&lt;&gt;"",E474&lt;I474)),1,0)</f>
        <v>0</v>
      </c>
      <c r="R474" s="56" t="n">
        <f aca="false">IF(AND(D474&gt;1,Q474=0,ISNUMBER(O474),ISNUMBER(P474)),IF(Q473=0,1,0),0)</f>
        <v>1</v>
      </c>
      <c r="S474" s="56" t="n">
        <f aca="false">R474*(B474&gt;=Train_Start)*(B474&lt;=Train_End)</f>
        <v>1</v>
      </c>
      <c r="T474" s="84" t="n">
        <f aca="false">IF(AND(ISNUMBER(O474),ISNUMBER(P474)),Coef_A+Coef_B1*O474+Coef_B2*P474,"")</f>
        <v>23.1894395141081</v>
      </c>
      <c r="U474" s="84" t="n">
        <f aca="false">IF(AND(R474=1,ISNUMBER(T474)),E474-T474,"")</f>
        <v>2.11056048589189</v>
      </c>
      <c r="V474" s="84" t="n">
        <f aca="false">IF(ISNUMBER(T474),T474,-99)</f>
        <v>23.1894395141081</v>
      </c>
      <c r="W474" s="84" t="n">
        <f aca="false">IF(ISNUMBER(U474),ABS(U474),"")</f>
        <v>2.11056048589189</v>
      </c>
    </row>
    <row r="475" customFormat="false" ht="15" hidden="false" customHeight="false" outlineLevel="0" collapsed="false">
      <c r="A475" s="57" t="n">
        <v>30086</v>
      </c>
      <c r="B475" s="56" t="n">
        <v>1982</v>
      </c>
      <c r="C475" s="56" t="n">
        <v>5</v>
      </c>
      <c r="D475" s="56" t="n">
        <v>15</v>
      </c>
      <c r="E475" s="56" t="n">
        <v>22.5</v>
      </c>
      <c r="F475" s="56" t="n">
        <v>0</v>
      </c>
      <c r="G475" s="56" t="n">
        <v>9</v>
      </c>
      <c r="H475" s="56" t="n">
        <v>0</v>
      </c>
      <c r="I475" s="56" t="n">
        <v>17.2</v>
      </c>
      <c r="J475" s="56" t="n">
        <v>0</v>
      </c>
      <c r="K475" s="56" t="n">
        <v>1015.5</v>
      </c>
      <c r="L475" s="56" t="n">
        <v>0</v>
      </c>
      <c r="M475" s="56" t="n">
        <v>61</v>
      </c>
      <c r="N475" s="56" t="n">
        <v>7.7</v>
      </c>
      <c r="O475" s="56" t="n">
        <f aca="false">IF(D475=1,"",E474)</f>
        <v>25.3</v>
      </c>
      <c r="P475" s="56" t="n">
        <f aca="false">IF(OR(D475=1,K474=""),"",K474)</f>
        <v>1024.1</v>
      </c>
      <c r="Q475" s="56" t="n">
        <f aca="false">IF(OR(F475&lt;&gt;0,AND(I475&lt;&gt;"",E475&lt;I475)),1,0)</f>
        <v>0</v>
      </c>
      <c r="R475" s="56" t="n">
        <f aca="false">IF(AND(D475&gt;1,Q475=0,ISNUMBER(O475),ISNUMBER(P475)),IF(Q474=0,1,0),0)</f>
        <v>1</v>
      </c>
      <c r="S475" s="56" t="n">
        <f aca="false">R475*(B475&gt;=Train_Start)*(B475&lt;=Train_End)</f>
        <v>1</v>
      </c>
      <c r="T475" s="84" t="n">
        <f aca="false">IF(AND(ISNUMBER(O475),ISNUMBER(P475)),Coef_A+Coef_B1*O475+Coef_B2*P475,"")</f>
        <v>24.9421661006435</v>
      </c>
      <c r="U475" s="84" t="n">
        <f aca="false">IF(AND(R475=1,ISNUMBER(T475)),E475-T475,"")</f>
        <v>-2.44216610064347</v>
      </c>
      <c r="V475" s="84" t="n">
        <f aca="false">IF(ISNUMBER(T475),T475,-99)</f>
        <v>24.9421661006435</v>
      </c>
      <c r="W475" s="84" t="n">
        <f aca="false">IF(ISNUMBER(U475),ABS(U475),"")</f>
        <v>2.44216610064347</v>
      </c>
    </row>
    <row r="476" customFormat="false" ht="15" hidden="false" customHeight="false" outlineLevel="0" collapsed="false">
      <c r="A476" s="57" t="n">
        <v>30087</v>
      </c>
      <c r="B476" s="56" t="n">
        <v>1982</v>
      </c>
      <c r="C476" s="56" t="n">
        <v>5</v>
      </c>
      <c r="D476" s="56" t="n">
        <v>16</v>
      </c>
      <c r="E476" s="56" t="n">
        <v>18.6</v>
      </c>
      <c r="F476" s="56" t="n">
        <v>0</v>
      </c>
      <c r="G476" s="56" t="n">
        <v>10.7</v>
      </c>
      <c r="H476" s="56" t="n">
        <v>0</v>
      </c>
      <c r="I476" s="56" t="n">
        <v>16.6</v>
      </c>
      <c r="J476" s="56" t="n">
        <v>0</v>
      </c>
      <c r="K476" s="56" t="n">
        <v>1013.6</v>
      </c>
      <c r="L476" s="56" t="n">
        <v>0</v>
      </c>
      <c r="M476" s="56" t="n">
        <v>68</v>
      </c>
      <c r="N476" s="56" t="n">
        <v>10.4</v>
      </c>
      <c r="O476" s="56" t="n">
        <f aca="false">IF(D476=1,"",E475)</f>
        <v>22.5</v>
      </c>
      <c r="P476" s="56" t="n">
        <f aca="false">IF(OR(D476=1,K475=""),"",K475)</f>
        <v>1015.5</v>
      </c>
      <c r="Q476" s="56" t="n">
        <f aca="false">IF(OR(F476&lt;&gt;0,AND(I476&lt;&gt;"",E476&lt;I476)),1,0)</f>
        <v>0</v>
      </c>
      <c r="R476" s="56" t="n">
        <f aca="false">IF(AND(D476&gt;1,Q476=0,ISNUMBER(O476),ISNUMBER(P476)),IF(Q475=0,1,0),0)</f>
        <v>1</v>
      </c>
      <c r="S476" s="56" t="n">
        <f aca="false">R476*(B476&gt;=Train_Start)*(B476&lt;=Train_End)</f>
        <v>1</v>
      </c>
      <c r="T476" s="84" t="n">
        <f aca="false">IF(AND(ISNUMBER(O476),ISNUMBER(P476)),Coef_A+Coef_B1*O476+Coef_B2*P476,"")</f>
        <v>22.3782352662717</v>
      </c>
      <c r="U476" s="84" t="n">
        <f aca="false">IF(AND(R476=1,ISNUMBER(T476)),E476-T476,"")</f>
        <v>-3.77823526627172</v>
      </c>
      <c r="V476" s="84" t="n">
        <f aca="false">IF(ISNUMBER(T476),T476,-99)</f>
        <v>22.3782352662717</v>
      </c>
      <c r="W476" s="84" t="n">
        <f aca="false">IF(ISNUMBER(U476),ABS(U476),"")</f>
        <v>3.77823526627172</v>
      </c>
    </row>
    <row r="477" customFormat="false" ht="15" hidden="false" customHeight="false" outlineLevel="0" collapsed="false">
      <c r="A477" s="57" t="n">
        <v>30088</v>
      </c>
      <c r="B477" s="56" t="n">
        <v>1982</v>
      </c>
      <c r="C477" s="56" t="n">
        <v>5</v>
      </c>
      <c r="D477" s="56" t="n">
        <v>17</v>
      </c>
      <c r="E477" s="56" t="n">
        <v>20.4</v>
      </c>
      <c r="F477" s="56" t="n">
        <v>0</v>
      </c>
      <c r="G477" s="56" t="n">
        <v>10.9</v>
      </c>
      <c r="H477" s="56" t="n">
        <v>0</v>
      </c>
      <c r="I477" s="56" t="n">
        <v>14.8</v>
      </c>
      <c r="J477" s="56" t="n">
        <v>0</v>
      </c>
      <c r="K477" s="56" t="n">
        <v>1015.1</v>
      </c>
      <c r="L477" s="56" t="n">
        <v>0</v>
      </c>
      <c r="M477" s="56" t="n">
        <v>78</v>
      </c>
      <c r="N477" s="56" t="n">
        <v>2</v>
      </c>
      <c r="O477" s="56" t="n">
        <f aca="false">IF(D477=1,"",E476)</f>
        <v>18.6</v>
      </c>
      <c r="P477" s="56" t="n">
        <f aca="false">IF(OR(D477=1,K476=""),"",K476)</f>
        <v>1013.6</v>
      </c>
      <c r="Q477" s="56" t="n">
        <f aca="false">IF(OR(F477&lt;&gt;0,AND(I477&lt;&gt;"",E477&lt;I477)),1,0)</f>
        <v>0</v>
      </c>
      <c r="R477" s="56" t="n">
        <f aca="false">IF(AND(D477&gt;1,Q477=0,ISNUMBER(O477),ISNUMBER(P477)),IF(Q476=0,1,0),0)</f>
        <v>1</v>
      </c>
      <c r="S477" s="56" t="n">
        <f aca="false">R477*(B477&gt;=Train_Start)*(B477&lt;=Train_End)</f>
        <v>1</v>
      </c>
      <c r="T477" s="84" t="n">
        <f aca="false">IF(AND(ISNUMBER(O477),ISNUMBER(P477)),Coef_A+Coef_B1*O477+Coef_B2*P477,"")</f>
        <v>19.1232096136008</v>
      </c>
      <c r="U477" s="84" t="n">
        <f aca="false">IF(AND(R477=1,ISNUMBER(T477)),E477-T477,"")</f>
        <v>1.27679038639922</v>
      </c>
      <c r="V477" s="84" t="n">
        <f aca="false">IF(ISNUMBER(T477),T477,-99)</f>
        <v>19.1232096136008</v>
      </c>
      <c r="W477" s="84" t="n">
        <f aca="false">IF(ISNUMBER(U477),ABS(U477),"")</f>
        <v>1.27679038639922</v>
      </c>
    </row>
    <row r="478" customFormat="false" ht="15" hidden="false" customHeight="false" outlineLevel="0" collapsed="false">
      <c r="A478" s="57" t="n">
        <v>30089</v>
      </c>
      <c r="B478" s="56" t="n">
        <v>1982</v>
      </c>
      <c r="C478" s="56" t="n">
        <v>5</v>
      </c>
      <c r="D478" s="56" t="n">
        <v>18</v>
      </c>
      <c r="E478" s="56" t="n">
        <v>18.6</v>
      </c>
      <c r="F478" s="56" t="n">
        <v>0</v>
      </c>
      <c r="G478" s="56" t="n">
        <v>7</v>
      </c>
      <c r="H478" s="56" t="n">
        <v>0</v>
      </c>
      <c r="I478" s="56" t="n">
        <v>13.7</v>
      </c>
      <c r="J478" s="56" t="n">
        <v>0</v>
      </c>
      <c r="K478" s="56" t="n">
        <v>1016.8</v>
      </c>
      <c r="L478" s="56" t="n">
        <v>0</v>
      </c>
      <c r="M478" s="56" t="n">
        <v>66</v>
      </c>
      <c r="N478" s="56" t="n">
        <v>8.2</v>
      </c>
      <c r="O478" s="56" t="n">
        <f aca="false">IF(D478=1,"",E477)</f>
        <v>20.4</v>
      </c>
      <c r="P478" s="56" t="n">
        <f aca="false">IF(OR(D478=1,K477=""),"",K477)</f>
        <v>1015.1</v>
      </c>
      <c r="Q478" s="56" t="n">
        <f aca="false">IF(OR(F478&lt;&gt;0,AND(I478&lt;&gt;"",E478&lt;I478)),1,0)</f>
        <v>0</v>
      </c>
      <c r="R478" s="56" t="n">
        <f aca="false">IF(AND(D478&gt;1,Q478=0,ISNUMBER(O478),ISNUMBER(P478)),IF(Q477=0,1,0),0)</f>
        <v>1</v>
      </c>
      <c r="S478" s="56" t="n">
        <f aca="false">R478*(B478&gt;=Train_Start)*(B478&lt;=Train_End)</f>
        <v>1</v>
      </c>
      <c r="T478" s="84" t="n">
        <f aca="false">IF(AND(ISNUMBER(O478),ISNUMBER(P478)),Coef_A+Coef_B1*O478+Coef_B2*P478,"")</f>
        <v>20.6450750030285</v>
      </c>
      <c r="U478" s="84" t="n">
        <f aca="false">IF(AND(R478=1,ISNUMBER(T478)),E478-T478,"")</f>
        <v>-2.04507500302854</v>
      </c>
      <c r="V478" s="84" t="n">
        <f aca="false">IF(ISNUMBER(T478),T478,-99)</f>
        <v>20.6450750030285</v>
      </c>
      <c r="W478" s="84" t="n">
        <f aca="false">IF(ISNUMBER(U478),ABS(U478),"")</f>
        <v>2.04507500302854</v>
      </c>
    </row>
    <row r="479" customFormat="false" ht="15" hidden="false" customHeight="false" outlineLevel="0" collapsed="false">
      <c r="A479" s="57" t="n">
        <v>30090</v>
      </c>
      <c r="B479" s="56" t="n">
        <v>1982</v>
      </c>
      <c r="C479" s="56" t="n">
        <v>5</v>
      </c>
      <c r="D479" s="56" t="n">
        <v>19</v>
      </c>
      <c r="E479" s="56" t="n">
        <v>16.8</v>
      </c>
      <c r="F479" s="56" t="n">
        <v>0</v>
      </c>
      <c r="G479" s="56" t="n">
        <v>8.1</v>
      </c>
      <c r="H479" s="56" t="n">
        <v>0</v>
      </c>
      <c r="I479" s="56" t="n">
        <v>13.4</v>
      </c>
      <c r="J479" s="56" t="n">
        <v>0</v>
      </c>
      <c r="K479" s="56" t="n">
        <v>1019.7</v>
      </c>
      <c r="L479" s="56" t="n">
        <v>0</v>
      </c>
      <c r="M479" s="56" t="n">
        <v>73</v>
      </c>
      <c r="N479" s="56" t="n">
        <v>5.7</v>
      </c>
      <c r="O479" s="56" t="n">
        <f aca="false">IF(D479=1,"",E478)</f>
        <v>18.6</v>
      </c>
      <c r="P479" s="56" t="n">
        <f aca="false">IF(OR(D479=1,K478=""),"",K478)</f>
        <v>1016.8</v>
      </c>
      <c r="Q479" s="56" t="n">
        <f aca="false">IF(OR(F479&lt;&gt;0,AND(I479&lt;&gt;"",E479&lt;I479)),1,0)</f>
        <v>0</v>
      </c>
      <c r="R479" s="56" t="n">
        <f aca="false">IF(AND(D479&gt;1,Q479=0,ISNUMBER(O479),ISNUMBER(P479)),IF(Q478=0,1,0),0)</f>
        <v>1</v>
      </c>
      <c r="S479" s="56" t="n">
        <f aca="false">R479*(B479&gt;=Train_Start)*(B479&lt;=Train_End)</f>
        <v>1</v>
      </c>
      <c r="T479" s="84" t="n">
        <f aca="false">IF(AND(ISNUMBER(O479),ISNUMBER(P479)),Coef_A+Coef_B1*O479+Coef_B2*P479,"")</f>
        <v>19.2235932764295</v>
      </c>
      <c r="U479" s="84" t="n">
        <f aca="false">IF(AND(R479=1,ISNUMBER(T479)),E479-T479,"")</f>
        <v>-2.42359327642954</v>
      </c>
      <c r="V479" s="84" t="n">
        <f aca="false">IF(ISNUMBER(T479),T479,-99)</f>
        <v>19.2235932764295</v>
      </c>
      <c r="W479" s="84" t="n">
        <f aca="false">IF(ISNUMBER(U479),ABS(U479),"")</f>
        <v>2.42359327642954</v>
      </c>
    </row>
    <row r="480" customFormat="false" ht="15" hidden="false" customHeight="false" outlineLevel="0" collapsed="false">
      <c r="A480" s="57" t="n">
        <v>30091</v>
      </c>
      <c r="B480" s="56" t="n">
        <v>1982</v>
      </c>
      <c r="C480" s="56" t="n">
        <v>5</v>
      </c>
      <c r="D480" s="56" t="n">
        <v>20</v>
      </c>
      <c r="E480" s="56" t="n">
        <v>18.8</v>
      </c>
      <c r="F480" s="56" t="n">
        <v>0</v>
      </c>
      <c r="G480" s="56" t="n">
        <v>11.6</v>
      </c>
      <c r="H480" s="56" t="n">
        <v>0</v>
      </c>
      <c r="I480" s="56" t="n">
        <v>14.2</v>
      </c>
      <c r="J480" s="56" t="n">
        <v>0</v>
      </c>
      <c r="K480" s="56" t="n">
        <v>1020.2</v>
      </c>
      <c r="L480" s="56" t="n">
        <v>0</v>
      </c>
      <c r="M480" s="56" t="n">
        <v>84</v>
      </c>
      <c r="N480" s="56" t="n">
        <v>0</v>
      </c>
      <c r="O480" s="56" t="n">
        <f aca="false">IF(D480=1,"",E479)</f>
        <v>16.8</v>
      </c>
      <c r="P480" s="56" t="n">
        <f aca="false">IF(OR(D480=1,K479=""),"",K479)</f>
        <v>1019.7</v>
      </c>
      <c r="Q480" s="56" t="n">
        <f aca="false">IF(OR(F480&lt;&gt;0,AND(I480&lt;&gt;"",E480&lt;I480)),1,0)</f>
        <v>0</v>
      </c>
      <c r="R480" s="56" t="n">
        <f aca="false">IF(AND(D480&gt;1,Q480=0,ISNUMBER(O480),ISNUMBER(P480)),IF(Q479=0,1,0),0)</f>
        <v>1</v>
      </c>
      <c r="S480" s="56" t="n">
        <f aca="false">R480*(B480&gt;=Train_Start)*(B480&lt;=Train_End)</f>
        <v>1</v>
      </c>
      <c r="T480" s="84" t="n">
        <f aca="false">IF(AND(ISNUMBER(O480),ISNUMBER(P480)),Coef_A+Coef_B1*O480+Coef_B2*P480,"")</f>
        <v>17.8397554233913</v>
      </c>
      <c r="U480" s="84" t="n">
        <f aca="false">IF(AND(R480=1,ISNUMBER(T480)),E480-T480,"")</f>
        <v>0.96024457660867</v>
      </c>
      <c r="V480" s="84" t="n">
        <f aca="false">IF(ISNUMBER(T480),T480,-99)</f>
        <v>17.8397554233913</v>
      </c>
      <c r="W480" s="84" t="n">
        <f aca="false">IF(ISNUMBER(U480),ABS(U480),"")</f>
        <v>0.96024457660867</v>
      </c>
    </row>
    <row r="481" customFormat="false" ht="15" hidden="false" customHeight="false" outlineLevel="0" collapsed="false">
      <c r="A481" s="57" t="n">
        <v>30092</v>
      </c>
      <c r="B481" s="56" t="n">
        <v>1982</v>
      </c>
      <c r="C481" s="56" t="n">
        <v>5</v>
      </c>
      <c r="D481" s="56" t="n">
        <v>21</v>
      </c>
      <c r="E481" s="56" t="n">
        <v>17.1</v>
      </c>
      <c r="F481" s="56" t="n">
        <v>0</v>
      </c>
      <c r="G481" s="56" t="n">
        <v>12.5</v>
      </c>
      <c r="H481" s="56" t="n">
        <v>0</v>
      </c>
      <c r="I481" s="56" t="n">
        <v>15.6</v>
      </c>
      <c r="J481" s="56" t="n">
        <v>0</v>
      </c>
      <c r="K481" s="56" t="n">
        <v>1021.3</v>
      </c>
      <c r="L481" s="56" t="n">
        <v>0</v>
      </c>
      <c r="M481" s="56" t="n">
        <v>80</v>
      </c>
      <c r="N481" s="56" t="n">
        <v>0</v>
      </c>
      <c r="O481" s="56" t="n">
        <f aca="false">IF(D481=1,"",E480)</f>
        <v>18.8</v>
      </c>
      <c r="P481" s="56" t="n">
        <f aca="false">IF(OR(D481=1,K480=""),"",K480)</f>
        <v>1020.2</v>
      </c>
      <c r="Q481" s="56" t="n">
        <f aca="false">IF(OR(F481&lt;&gt;0,AND(I481&lt;&gt;"",E481&lt;I481)),1,0)</f>
        <v>0</v>
      </c>
      <c r="R481" s="56" t="n">
        <f aca="false">IF(AND(D481&gt;1,Q481=0,ISNUMBER(O481),ISNUMBER(P481)),IF(Q480=0,1,0),0)</f>
        <v>1</v>
      </c>
      <c r="S481" s="56" t="n">
        <f aca="false">R481*(B481&gt;=Train_Start)*(B481&lt;=Train_End)</f>
        <v>1</v>
      </c>
      <c r="T481" s="84" t="n">
        <f aca="false">IF(AND(ISNUMBER(O481),ISNUMBER(P481)),Coef_A+Coef_B1*O481+Coef_B2*P481,"")</f>
        <v>19.4941187567936</v>
      </c>
      <c r="U481" s="84" t="n">
        <f aca="false">IF(AND(R481=1,ISNUMBER(T481)),E481-T481,"")</f>
        <v>-2.39411875679364</v>
      </c>
      <c r="V481" s="84" t="n">
        <f aca="false">IF(ISNUMBER(T481),T481,-99)</f>
        <v>19.4941187567936</v>
      </c>
      <c r="W481" s="84" t="n">
        <f aca="false">IF(ISNUMBER(U481),ABS(U481),"")</f>
        <v>2.39411875679364</v>
      </c>
    </row>
    <row r="482" customFormat="false" ht="15" hidden="false" customHeight="false" outlineLevel="0" collapsed="false">
      <c r="A482" s="57" t="n">
        <v>30093</v>
      </c>
      <c r="B482" s="56" t="n">
        <v>1982</v>
      </c>
      <c r="C482" s="56" t="n">
        <v>5</v>
      </c>
      <c r="D482" s="56" t="n">
        <v>22</v>
      </c>
      <c r="E482" s="56" t="n">
        <v>14.7</v>
      </c>
      <c r="F482" s="56" t="n">
        <v>0</v>
      </c>
      <c r="G482" s="56" t="n">
        <v>11.5</v>
      </c>
      <c r="H482" s="56" t="n">
        <v>0</v>
      </c>
      <c r="I482" s="56" t="n">
        <v>14.3</v>
      </c>
      <c r="J482" s="56" t="n">
        <v>0</v>
      </c>
      <c r="K482" s="56" t="n">
        <v>1011.6</v>
      </c>
      <c r="L482" s="56" t="n">
        <v>0</v>
      </c>
      <c r="M482" s="56" t="n">
        <v>84</v>
      </c>
      <c r="N482" s="56" t="n">
        <v>1.1</v>
      </c>
      <c r="O482" s="56" t="n">
        <f aca="false">IF(D482=1,"",E481)</f>
        <v>17.1</v>
      </c>
      <c r="P482" s="56" t="n">
        <f aca="false">IF(OR(D482=1,K481=""),"",K481)</f>
        <v>1021.3</v>
      </c>
      <c r="Q482" s="56" t="n">
        <f aca="false">IF(OR(F482&lt;&gt;0,AND(I482&lt;&gt;"",E482&lt;I482)),1,0)</f>
        <v>0</v>
      </c>
      <c r="R482" s="56" t="n">
        <f aca="false">IF(AND(D482&gt;1,Q482=0,ISNUMBER(O482),ISNUMBER(P482)),IF(Q481=0,1,0),0)</f>
        <v>1</v>
      </c>
      <c r="S482" s="56" t="n">
        <f aca="false">R482*(B482&gt;=Train_Start)*(B482&lt;=Train_End)</f>
        <v>1</v>
      </c>
      <c r="T482" s="84" t="n">
        <f aca="false">IF(AND(ISNUMBER(O482),ISNUMBER(P482)),Coef_A+Coef_B1*O482+Coef_B2*P482,"")</f>
        <v>18.1357490127185</v>
      </c>
      <c r="U482" s="84" t="n">
        <f aca="false">IF(AND(R482=1,ISNUMBER(T482)),E482-T482,"")</f>
        <v>-3.43574901271851</v>
      </c>
      <c r="V482" s="84" t="n">
        <f aca="false">IF(ISNUMBER(T482),T482,-99)</f>
        <v>18.1357490127185</v>
      </c>
      <c r="W482" s="84" t="n">
        <f aca="false">IF(ISNUMBER(U482),ABS(U482),"")</f>
        <v>3.43574901271851</v>
      </c>
    </row>
    <row r="483" customFormat="false" ht="15" hidden="false" customHeight="false" outlineLevel="0" collapsed="false">
      <c r="A483" s="57" t="n">
        <v>30094</v>
      </c>
      <c r="B483" s="56" t="n">
        <v>1982</v>
      </c>
      <c r="C483" s="56" t="n">
        <v>5</v>
      </c>
      <c r="D483" s="56" t="n">
        <v>23</v>
      </c>
      <c r="E483" s="56" t="n">
        <v>17.5</v>
      </c>
      <c r="F483" s="56" t="n">
        <v>0</v>
      </c>
      <c r="G483" s="56" t="n">
        <v>10.3</v>
      </c>
      <c r="H483" s="56" t="n">
        <v>0</v>
      </c>
      <c r="I483" s="56" t="n">
        <v>12.5</v>
      </c>
      <c r="J483" s="56" t="n">
        <v>0</v>
      </c>
      <c r="K483" s="56" t="n">
        <v>1005.1</v>
      </c>
      <c r="L483" s="56" t="n">
        <v>0</v>
      </c>
      <c r="M483" s="56" t="n">
        <v>83</v>
      </c>
      <c r="N483" s="56" t="n">
        <v>3.5</v>
      </c>
      <c r="O483" s="56" t="n">
        <f aca="false">IF(D483=1,"",E482)</f>
        <v>14.7</v>
      </c>
      <c r="P483" s="56" t="n">
        <f aca="false">IF(OR(D483=1,K482=""),"",K482)</f>
        <v>1011.6</v>
      </c>
      <c r="Q483" s="56" t="n">
        <f aca="false">IF(OR(F483&lt;&gt;0,AND(I483&lt;&gt;"",E483&lt;I483)),1,0)</f>
        <v>0</v>
      </c>
      <c r="R483" s="56" t="n">
        <f aca="false">IF(AND(D483&gt;1,Q483=0,ISNUMBER(O483),ISNUMBER(P483)),IF(Q482=0,1,0),0)</f>
        <v>1</v>
      </c>
      <c r="S483" s="56" t="n">
        <f aca="false">R483*(B483&gt;=Train_Start)*(B483&lt;=Train_End)</f>
        <v>1</v>
      </c>
      <c r="T483" s="84" t="n">
        <f aca="false">IF(AND(ISNUMBER(O483),ISNUMBER(P483)),Coef_A+Coef_B1*O483+Coef_B2*P483,"")</f>
        <v>15.8650469714664</v>
      </c>
      <c r="U483" s="84" t="n">
        <f aca="false">IF(AND(R483=1,ISNUMBER(T483)),E483-T483,"")</f>
        <v>1.63495302853357</v>
      </c>
      <c r="V483" s="84" t="n">
        <f aca="false">IF(ISNUMBER(T483),T483,-99)</f>
        <v>15.8650469714664</v>
      </c>
      <c r="W483" s="84" t="n">
        <f aca="false">IF(ISNUMBER(U483),ABS(U483),"")</f>
        <v>1.63495302853357</v>
      </c>
    </row>
    <row r="484" customFormat="false" ht="15" hidden="false" customHeight="false" outlineLevel="0" collapsed="false">
      <c r="A484" s="57" t="n">
        <v>30095</v>
      </c>
      <c r="B484" s="56" t="n">
        <v>1982</v>
      </c>
      <c r="C484" s="56" t="n">
        <v>5</v>
      </c>
      <c r="D484" s="56" t="n">
        <v>24</v>
      </c>
      <c r="E484" s="56" t="n">
        <v>19.8</v>
      </c>
      <c r="F484" s="56" t="n">
        <v>0</v>
      </c>
      <c r="G484" s="56" t="n">
        <v>7.2</v>
      </c>
      <c r="H484" s="56" t="n">
        <v>0</v>
      </c>
      <c r="I484" s="56" t="n">
        <v>12.4</v>
      </c>
      <c r="J484" s="56" t="n">
        <v>0</v>
      </c>
      <c r="K484" s="56" t="n">
        <v>1012.7</v>
      </c>
      <c r="L484" s="56" t="n">
        <v>0</v>
      </c>
      <c r="M484" s="56" t="n">
        <v>77</v>
      </c>
      <c r="N484" s="56" t="n">
        <v>2.1</v>
      </c>
      <c r="O484" s="56" t="n">
        <f aca="false">IF(D484=1,"",E483)</f>
        <v>17.5</v>
      </c>
      <c r="P484" s="56" t="n">
        <f aca="false">IF(OR(D484=1,K483=""),"",K483)</f>
        <v>1005.1</v>
      </c>
      <c r="Q484" s="56" t="n">
        <f aca="false">IF(OR(F484&lt;&gt;0,AND(I484&lt;&gt;"",E484&lt;I484)),1,0)</f>
        <v>0</v>
      </c>
      <c r="R484" s="56" t="n">
        <f aca="false">IF(AND(D484&gt;1,Q484=0,ISNUMBER(O484),ISNUMBER(P484)),IF(Q483=0,1,0),0)</f>
        <v>1</v>
      </c>
      <c r="S484" s="56" t="n">
        <f aca="false">R484*(B484&gt;=Train_Start)*(B484&lt;=Train_End)</f>
        <v>1</v>
      </c>
      <c r="T484" s="84" t="n">
        <f aca="false">IF(AND(ISNUMBER(O484),ISNUMBER(P484)),Coef_A+Coef_B1*O484+Coef_B2*P484,"")</f>
        <v>17.9552923968649</v>
      </c>
      <c r="U484" s="84" t="n">
        <f aca="false">IF(AND(R484=1,ISNUMBER(T484)),E484-T484,"")</f>
        <v>1.84470760313506</v>
      </c>
      <c r="V484" s="84" t="n">
        <f aca="false">IF(ISNUMBER(T484),T484,-99)</f>
        <v>17.9552923968649</v>
      </c>
      <c r="W484" s="84" t="n">
        <f aca="false">IF(ISNUMBER(U484),ABS(U484),"")</f>
        <v>1.84470760313506</v>
      </c>
    </row>
    <row r="485" customFormat="false" ht="15" hidden="false" customHeight="false" outlineLevel="0" collapsed="false">
      <c r="A485" s="57" t="n">
        <v>30096</v>
      </c>
      <c r="B485" s="56" t="n">
        <v>1982</v>
      </c>
      <c r="C485" s="56" t="n">
        <v>5</v>
      </c>
      <c r="D485" s="56" t="n">
        <v>25</v>
      </c>
      <c r="E485" s="56" t="n">
        <v>24.1</v>
      </c>
      <c r="F485" s="56" t="n">
        <v>0</v>
      </c>
      <c r="G485" s="56" t="n">
        <v>12.6</v>
      </c>
      <c r="H485" s="56" t="n">
        <v>0</v>
      </c>
      <c r="I485" s="56" t="n">
        <v>16.2</v>
      </c>
      <c r="J485" s="56" t="n">
        <v>0</v>
      </c>
      <c r="K485" s="56" t="n">
        <v>1017</v>
      </c>
      <c r="L485" s="56" t="n">
        <v>0</v>
      </c>
      <c r="M485" s="56" t="n">
        <v>68</v>
      </c>
      <c r="N485" s="56" t="n">
        <v>10.1</v>
      </c>
      <c r="O485" s="56" t="n">
        <f aca="false">IF(D485=1,"",E484)</f>
        <v>19.8</v>
      </c>
      <c r="P485" s="56" t="n">
        <f aca="false">IF(OR(D485=1,K484=""),"",K484)</f>
        <v>1012.7</v>
      </c>
      <c r="Q485" s="56" t="n">
        <f aca="false">IF(OR(F485&lt;&gt;0,AND(I485&lt;&gt;"",E485&lt;I485)),1,0)</f>
        <v>0</v>
      </c>
      <c r="R485" s="56" t="n">
        <f aca="false">IF(AND(D485&gt;1,Q485=0,ISNUMBER(O485),ISNUMBER(P485)),IF(Q484=0,1,0),0)</f>
        <v>1</v>
      </c>
      <c r="S485" s="56" t="n">
        <f aca="false">R485*(B485&gt;=Train_Start)*(B485&lt;=Train_End)</f>
        <v>1</v>
      </c>
      <c r="T485" s="84" t="n">
        <f aca="false">IF(AND(ISNUMBER(O485),ISNUMBER(P485)),Coef_A+Coef_B1*O485+Coef_B2*P485,"")</f>
        <v>20.0781837400814</v>
      </c>
      <c r="U485" s="84" t="n">
        <f aca="false">IF(AND(R485=1,ISNUMBER(T485)),E485-T485,"")</f>
        <v>4.02181625991862</v>
      </c>
      <c r="V485" s="84" t="n">
        <f aca="false">IF(ISNUMBER(T485),T485,-99)</f>
        <v>20.0781837400814</v>
      </c>
      <c r="W485" s="84" t="n">
        <f aca="false">IF(ISNUMBER(U485),ABS(U485),"")</f>
        <v>4.02181625991862</v>
      </c>
    </row>
    <row r="486" customFormat="false" ht="15" hidden="false" customHeight="false" outlineLevel="0" collapsed="false">
      <c r="A486" s="57" t="n">
        <v>30097</v>
      </c>
      <c r="B486" s="56" t="n">
        <v>1982</v>
      </c>
      <c r="C486" s="56" t="n">
        <v>5</v>
      </c>
      <c r="D486" s="56" t="n">
        <v>26</v>
      </c>
      <c r="E486" s="56" t="n">
        <v>13.9</v>
      </c>
      <c r="F486" s="56" t="n">
        <v>1</v>
      </c>
      <c r="G486" s="56" t="n">
        <v>10</v>
      </c>
      <c r="H486" s="56" t="n">
        <v>0</v>
      </c>
      <c r="I486" s="56" t="n">
        <v>17</v>
      </c>
      <c r="J486" s="56" t="n">
        <v>1</v>
      </c>
      <c r="K486" s="56" t="n">
        <v>1017</v>
      </c>
      <c r="L486" s="56" t="n">
        <v>0</v>
      </c>
      <c r="M486" s="56" t="n">
        <v>70</v>
      </c>
      <c r="N486" s="56" t="n">
        <v>6.4</v>
      </c>
      <c r="O486" s="56" t="n">
        <f aca="false">IF(D486=1,"",E485)</f>
        <v>24.1</v>
      </c>
      <c r="P486" s="56" t="n">
        <f aca="false">IF(OR(D486=1,K485=""),"",K485)</f>
        <v>1017</v>
      </c>
      <c r="Q486" s="56" t="n">
        <f aca="false">IF(OR(F486&lt;&gt;0,AND(I486&lt;&gt;"",E486&lt;I486)),1,0)</f>
        <v>1</v>
      </c>
      <c r="R486" s="56" t="n">
        <f aca="false">IF(AND(D486&gt;1,Q486=0,ISNUMBER(O486),ISNUMBER(P486)),IF(Q485=0,1,0),0)</f>
        <v>0</v>
      </c>
      <c r="S486" s="56" t="n">
        <f aca="false">R486*(B486&gt;=Train_Start)*(B486&lt;=Train_End)</f>
        <v>0</v>
      </c>
      <c r="T486" s="84" t="n">
        <f aca="false">IF(AND(ISNUMBER(O486),ISNUMBER(P486)),Coef_A+Coef_B1*O486+Coef_B2*P486,"")</f>
        <v>23.736232817091</v>
      </c>
      <c r="U486" s="84" t="str">
        <f aca="false">IF(AND(R486=1,ISNUMBER(T486)),E486-T486,"")</f>
        <v/>
      </c>
      <c r="V486" s="84" t="n">
        <f aca="false">IF(ISNUMBER(T486),T486,-99)</f>
        <v>23.736232817091</v>
      </c>
      <c r="W486" s="84" t="str">
        <f aca="false">IF(ISNUMBER(U486),ABS(U486),"")</f>
        <v/>
      </c>
    </row>
    <row r="487" customFormat="false" ht="15" hidden="false" customHeight="false" outlineLevel="0" collapsed="false">
      <c r="A487" s="57" t="n">
        <v>30098</v>
      </c>
      <c r="B487" s="56" t="n">
        <v>1982</v>
      </c>
      <c r="C487" s="56" t="n">
        <v>5</v>
      </c>
      <c r="D487" s="56" t="n">
        <v>27</v>
      </c>
      <c r="E487" s="56" t="n">
        <v>20.7</v>
      </c>
      <c r="F487" s="56" t="n">
        <v>0</v>
      </c>
      <c r="G487" s="56" t="n">
        <v>11.9</v>
      </c>
      <c r="H487" s="56" t="n">
        <v>0</v>
      </c>
      <c r="I487" s="56" t="n">
        <v>12.9</v>
      </c>
      <c r="J487" s="56" t="n">
        <v>0</v>
      </c>
      <c r="K487" s="56" t="n">
        <v>1018.9</v>
      </c>
      <c r="L487" s="56" t="n">
        <v>0</v>
      </c>
      <c r="M487" s="56" t="n">
        <v>90</v>
      </c>
      <c r="N487" s="56" t="n">
        <v>0.6</v>
      </c>
      <c r="O487" s="56" t="n">
        <f aca="false">IF(D487=1,"",E486)</f>
        <v>13.9</v>
      </c>
      <c r="P487" s="56" t="n">
        <f aca="false">IF(OR(D487=1,K486=""),"",K486)</f>
        <v>1017</v>
      </c>
      <c r="Q487" s="56" t="n">
        <f aca="false">IF(OR(F487&lt;&gt;0,AND(I487&lt;&gt;"",E487&lt;I487)),1,0)</f>
        <v>0</v>
      </c>
      <c r="R487" s="56" t="n">
        <f aca="false">IF(AND(D487&gt;1,Q487=0,ISNUMBER(O487),ISNUMBER(P487)),IF(Q486=0,1,0),0)</f>
        <v>0</v>
      </c>
      <c r="S487" s="56" t="n">
        <f aca="false">R487*(B487&gt;=Train_Start)*(B487&lt;=Train_End)</f>
        <v>0</v>
      </c>
      <c r="T487" s="84" t="n">
        <f aca="false">IF(AND(ISNUMBER(O487),ISNUMBER(P487)),Coef_A+Coef_B1*O487+Coef_B2*P487,"")</f>
        <v>15.3789730480559</v>
      </c>
      <c r="U487" s="84" t="str">
        <f aca="false">IF(AND(R487=1,ISNUMBER(T487)),E487-T487,"")</f>
        <v/>
      </c>
      <c r="V487" s="84" t="n">
        <f aca="false">IF(ISNUMBER(T487),T487,-99)</f>
        <v>15.3789730480559</v>
      </c>
      <c r="W487" s="84" t="str">
        <f aca="false">IF(ISNUMBER(U487),ABS(U487),"")</f>
        <v/>
      </c>
    </row>
    <row r="488" customFormat="false" ht="15" hidden="false" customHeight="false" outlineLevel="0" collapsed="false">
      <c r="A488" s="57" t="n">
        <v>30099</v>
      </c>
      <c r="B488" s="56" t="n">
        <v>1982</v>
      </c>
      <c r="C488" s="56" t="n">
        <v>5</v>
      </c>
      <c r="D488" s="56" t="n">
        <v>28</v>
      </c>
      <c r="E488" s="56" t="n">
        <v>23.4</v>
      </c>
      <c r="F488" s="56" t="n">
        <v>0</v>
      </c>
      <c r="G488" s="56" t="n">
        <v>6.5</v>
      </c>
      <c r="H488" s="56" t="n">
        <v>0</v>
      </c>
      <c r="I488" s="56" t="n">
        <v>13.6</v>
      </c>
      <c r="J488" s="56" t="n">
        <v>0</v>
      </c>
      <c r="K488" s="56" t="n">
        <v>1025.7</v>
      </c>
      <c r="L488" s="56" t="n">
        <v>0</v>
      </c>
      <c r="M488" s="56" t="n">
        <v>68</v>
      </c>
      <c r="N488" s="56" t="n">
        <v>12.7</v>
      </c>
      <c r="O488" s="56" t="n">
        <f aca="false">IF(D488=1,"",E487)</f>
        <v>20.7</v>
      </c>
      <c r="P488" s="56" t="n">
        <f aca="false">IF(OR(D488=1,K487=""),"",K487)</f>
        <v>1018.9</v>
      </c>
      <c r="Q488" s="56" t="n">
        <f aca="false">IF(OR(F488&lt;&gt;0,AND(I488&lt;&gt;"",E488&lt;I488)),1,0)</f>
        <v>0</v>
      </c>
      <c r="R488" s="56" t="n">
        <f aca="false">IF(AND(D488&gt;1,Q488=0,ISNUMBER(O488),ISNUMBER(P488)),IF(Q487=0,1,0),0)</f>
        <v>1</v>
      </c>
      <c r="S488" s="56" t="n">
        <f aca="false">R488*(B488&gt;=Train_Start)*(B488&lt;=Train_End)</f>
        <v>1</v>
      </c>
      <c r="T488" s="84" t="n">
        <f aca="false">IF(AND(ISNUMBER(O488),ISNUMBER(P488)),Coef_A+Coef_B1*O488+Coef_B2*P488,"")</f>
        <v>21.0100823605505</v>
      </c>
      <c r="U488" s="84" t="n">
        <f aca="false">IF(AND(R488=1,ISNUMBER(T488)),E488-T488,"")</f>
        <v>2.3899176394495</v>
      </c>
      <c r="V488" s="84" t="n">
        <f aca="false">IF(ISNUMBER(T488),T488,-99)</f>
        <v>21.0100823605505</v>
      </c>
      <c r="W488" s="84" t="n">
        <f aca="false">IF(ISNUMBER(U488),ABS(U488),"")</f>
        <v>2.3899176394495</v>
      </c>
    </row>
    <row r="489" customFormat="false" ht="15" hidden="false" customHeight="false" outlineLevel="0" collapsed="false">
      <c r="A489" s="57" t="n">
        <v>30100</v>
      </c>
      <c r="B489" s="56" t="n">
        <v>1982</v>
      </c>
      <c r="C489" s="56" t="n">
        <v>5</v>
      </c>
      <c r="D489" s="56" t="n">
        <v>29</v>
      </c>
      <c r="E489" s="56" t="n">
        <v>21.7</v>
      </c>
      <c r="F489" s="56" t="n">
        <v>0</v>
      </c>
      <c r="G489" s="56" t="n">
        <v>8.7</v>
      </c>
      <c r="H489" s="56" t="n">
        <v>0</v>
      </c>
      <c r="I489" s="56" t="n">
        <v>16</v>
      </c>
      <c r="J489" s="56" t="n">
        <v>0</v>
      </c>
      <c r="K489" s="56" t="n">
        <v>1029.3</v>
      </c>
      <c r="L489" s="56" t="n">
        <v>0</v>
      </c>
      <c r="M489" s="56" t="n">
        <v>58</v>
      </c>
      <c r="N489" s="56" t="n">
        <v>13.7</v>
      </c>
      <c r="O489" s="56" t="n">
        <f aca="false">IF(D489=1,"",E488)</f>
        <v>23.4</v>
      </c>
      <c r="P489" s="56" t="n">
        <f aca="false">IF(OR(D489=1,K488=""),"",K488)</f>
        <v>1025.7</v>
      </c>
      <c r="Q489" s="56" t="n">
        <f aca="false">IF(OR(F489&lt;&gt;0,AND(I489&lt;&gt;"",E489&lt;I489)),1,0)</f>
        <v>0</v>
      </c>
      <c r="R489" s="56" t="n">
        <f aca="false">IF(AND(D489&gt;1,Q489=0,ISNUMBER(O489),ISNUMBER(P489)),IF(Q488=0,1,0),0)</f>
        <v>1</v>
      </c>
      <c r="S489" s="56" t="n">
        <f aca="false">R489*(B489&gt;=Train_Start)*(B489&lt;=Train_End)</f>
        <v>1</v>
      </c>
      <c r="T489" s="84" t="n">
        <f aca="false">IF(AND(ISNUMBER(O489),ISNUMBER(P489)),Coef_A+Coef_B1*O489+Coef_B2*P489,"")</f>
        <v>23.4356134652768</v>
      </c>
      <c r="U489" s="84" t="n">
        <f aca="false">IF(AND(R489=1,ISNUMBER(T489)),E489-T489,"")</f>
        <v>-1.7356134652768</v>
      </c>
      <c r="V489" s="84" t="n">
        <f aca="false">IF(ISNUMBER(T489),T489,-99)</f>
        <v>23.4356134652768</v>
      </c>
      <c r="W489" s="84" t="n">
        <f aca="false">IF(ISNUMBER(U489),ABS(U489),"")</f>
        <v>1.7356134652768</v>
      </c>
    </row>
    <row r="490" customFormat="false" ht="15" hidden="false" customHeight="false" outlineLevel="0" collapsed="false">
      <c r="A490" s="57" t="n">
        <v>30101</v>
      </c>
      <c r="B490" s="56" t="n">
        <v>1982</v>
      </c>
      <c r="C490" s="56" t="n">
        <v>5</v>
      </c>
      <c r="D490" s="56" t="n">
        <v>30</v>
      </c>
      <c r="E490" s="56" t="n">
        <v>26.6</v>
      </c>
      <c r="F490" s="56" t="n">
        <v>0</v>
      </c>
      <c r="G490" s="56" t="n">
        <v>10.5</v>
      </c>
      <c r="H490" s="56" t="n">
        <v>0</v>
      </c>
      <c r="I490" s="56" t="n">
        <v>16.1</v>
      </c>
      <c r="J490" s="56" t="n">
        <v>0</v>
      </c>
      <c r="K490" s="56" t="n">
        <v>1025.7</v>
      </c>
      <c r="L490" s="56" t="n">
        <v>0</v>
      </c>
      <c r="M490" s="56" t="n">
        <v>59</v>
      </c>
      <c r="N490" s="56" t="n">
        <v>9.1</v>
      </c>
      <c r="O490" s="56" t="n">
        <f aca="false">IF(D490=1,"",E489)</f>
        <v>21.7</v>
      </c>
      <c r="P490" s="56" t="n">
        <f aca="false">IF(OR(D490=1,K489=""),"",K489)</f>
        <v>1029.3</v>
      </c>
      <c r="Q490" s="56" t="n">
        <f aca="false">IF(OR(F490&lt;&gt;0,AND(I490&lt;&gt;"",E490&lt;I490)),1,0)</f>
        <v>0</v>
      </c>
      <c r="R490" s="56" t="n">
        <f aca="false">IF(AND(D490&gt;1,Q490=0,ISNUMBER(O490),ISNUMBER(P490)),IF(Q489=0,1,0),0)</f>
        <v>1</v>
      </c>
      <c r="S490" s="56" t="n">
        <f aca="false">R490*(B490&gt;=Train_Start)*(B490&lt;=Train_End)</f>
        <v>1</v>
      </c>
      <c r="T490" s="84" t="n">
        <f aca="false">IF(AND(ISNUMBER(O490),ISNUMBER(P490)),Coef_A+Coef_B1*O490+Coef_B2*P490,"")</f>
        <v>22.1556684577866</v>
      </c>
      <c r="U490" s="84" t="n">
        <f aca="false">IF(AND(R490=1,ISNUMBER(T490)),E490-T490,"")</f>
        <v>4.44433154221336</v>
      </c>
      <c r="V490" s="84" t="n">
        <f aca="false">IF(ISNUMBER(T490),T490,-99)</f>
        <v>22.1556684577866</v>
      </c>
      <c r="W490" s="84" t="n">
        <f aca="false">IF(ISNUMBER(U490),ABS(U490),"")</f>
        <v>4.44433154221336</v>
      </c>
    </row>
    <row r="491" customFormat="false" ht="15" hidden="false" customHeight="false" outlineLevel="0" collapsed="false">
      <c r="A491" s="57" t="n">
        <v>30102</v>
      </c>
      <c r="B491" s="56" t="n">
        <v>1982</v>
      </c>
      <c r="C491" s="56" t="n">
        <v>5</v>
      </c>
      <c r="D491" s="56" t="n">
        <v>31</v>
      </c>
      <c r="E491" s="56" t="n">
        <v>26.3</v>
      </c>
      <c r="F491" s="56" t="n">
        <v>0</v>
      </c>
      <c r="G491" s="56" t="n">
        <v>11.9</v>
      </c>
      <c r="H491" s="56" t="n">
        <v>0</v>
      </c>
      <c r="I491" s="56" t="n">
        <v>19.2</v>
      </c>
      <c r="J491" s="56" t="n">
        <v>0</v>
      </c>
      <c r="K491" s="56" t="n">
        <v>1020.5</v>
      </c>
      <c r="L491" s="56" t="n">
        <v>0</v>
      </c>
      <c r="M491" s="56" t="n">
        <v>68</v>
      </c>
      <c r="N491" s="56" t="n">
        <v>8.7</v>
      </c>
      <c r="O491" s="56" t="n">
        <f aca="false">IF(D491=1,"",E490)</f>
        <v>26.6</v>
      </c>
      <c r="P491" s="56" t="n">
        <f aca="false">IF(OR(D491=1,K490=""),"",K490)</f>
        <v>1025.7</v>
      </c>
      <c r="Q491" s="56" t="n">
        <f aca="false">IF(OR(F491&lt;&gt;0,AND(I491&lt;&gt;"",E491&lt;I491)),1,0)</f>
        <v>0</v>
      </c>
      <c r="R491" s="56" t="n">
        <f aca="false">IF(AND(D491&gt;1,Q491=0,ISNUMBER(O491),ISNUMBER(P491)),IF(Q490=0,1,0),0)</f>
        <v>1</v>
      </c>
      <c r="S491" s="56" t="n">
        <f aca="false">R491*(B491&gt;=Train_Start)*(B491&lt;=Train_End)</f>
        <v>1</v>
      </c>
      <c r="T491" s="84" t="n">
        <f aca="false">IF(AND(ISNUMBER(O491),ISNUMBER(P491)),Coef_A+Coef_B1*O491+Coef_B2*P491,"")</f>
        <v>26.0574988830133</v>
      </c>
      <c r="U491" s="84" t="n">
        <f aca="false">IF(AND(R491=1,ISNUMBER(T491)),E491-T491,"")</f>
        <v>0.242501116986691</v>
      </c>
      <c r="V491" s="84" t="n">
        <f aca="false">IF(ISNUMBER(T491),T491,-99)</f>
        <v>26.0574988830133</v>
      </c>
      <c r="W491" s="84" t="n">
        <f aca="false">IF(ISNUMBER(U491),ABS(U491),"")</f>
        <v>0.242501116986691</v>
      </c>
    </row>
    <row r="492" customFormat="false" ht="15" hidden="false" customHeight="false" outlineLevel="0" collapsed="false">
      <c r="A492" s="57" t="n">
        <v>30103</v>
      </c>
      <c r="B492" s="56" t="n">
        <v>1982</v>
      </c>
      <c r="C492" s="56" t="n">
        <v>6</v>
      </c>
      <c r="D492" s="56" t="n">
        <v>32</v>
      </c>
      <c r="E492" s="56" t="n">
        <v>26.8</v>
      </c>
      <c r="F492" s="56" t="n">
        <v>0</v>
      </c>
      <c r="G492" s="56" t="n">
        <v>14.9</v>
      </c>
      <c r="H492" s="56" t="n">
        <v>0</v>
      </c>
      <c r="I492" s="56" t="n">
        <v>20.6</v>
      </c>
      <c r="J492" s="56" t="n">
        <v>0</v>
      </c>
      <c r="K492" s="56" t="n">
        <v>1022.6</v>
      </c>
      <c r="L492" s="56" t="n">
        <v>0</v>
      </c>
      <c r="M492" s="56" t="n">
        <v>70</v>
      </c>
      <c r="N492" s="56" t="n">
        <v>10.1</v>
      </c>
      <c r="O492" s="56" t="n">
        <f aca="false">IF(D492=1,"",E491)</f>
        <v>26.3</v>
      </c>
      <c r="P492" s="56" t="n">
        <f aca="false">IF(OR(D492=1,K491=""),"",K491)</f>
        <v>1020.5</v>
      </c>
      <c r="Q492" s="56" t="n">
        <f aca="false">IF(OR(F492&lt;&gt;0,AND(I492&lt;&gt;"",E492&lt;I492)),1,0)</f>
        <v>0</v>
      </c>
      <c r="R492" s="56" t="n">
        <f aca="false">IF(AND(D492&gt;1,Q492=0,ISNUMBER(O492),ISNUMBER(P492)),IF(Q491=0,1,0),0)</f>
        <v>1</v>
      </c>
      <c r="S492" s="56" t="n">
        <f aca="false">R492*(B492&gt;=Train_Start)*(B492&lt;=Train_End)</f>
        <v>1</v>
      </c>
      <c r="T492" s="84" t="n">
        <f aca="false">IF(AND(ISNUMBER(O492),ISNUMBER(P492)),Coef_A+Coef_B1*O492+Coef_B2*P492,"")</f>
        <v>25.6485736730038</v>
      </c>
      <c r="U492" s="84" t="n">
        <f aca="false">IF(AND(R492=1,ISNUMBER(T492)),E492-T492,"")</f>
        <v>1.15142632699623</v>
      </c>
      <c r="V492" s="84" t="n">
        <f aca="false">IF(ISNUMBER(T492),T492,-99)</f>
        <v>25.6485736730038</v>
      </c>
      <c r="W492" s="84" t="n">
        <f aca="false">IF(ISNUMBER(U492),ABS(U492),"")</f>
        <v>1.15142632699623</v>
      </c>
    </row>
    <row r="493" customFormat="false" ht="15" hidden="false" customHeight="false" outlineLevel="0" collapsed="false">
      <c r="A493" s="57" t="n">
        <v>30104</v>
      </c>
      <c r="B493" s="56" t="n">
        <v>1982</v>
      </c>
      <c r="C493" s="56" t="n">
        <v>6</v>
      </c>
      <c r="D493" s="56" t="n">
        <v>33</v>
      </c>
      <c r="E493" s="56" t="n">
        <v>24.6</v>
      </c>
      <c r="F493" s="56" t="n">
        <v>0</v>
      </c>
      <c r="G493" s="56" t="n">
        <v>14.7</v>
      </c>
      <c r="H493" s="56" t="n">
        <v>0</v>
      </c>
      <c r="I493" s="56" t="n">
        <v>20.8</v>
      </c>
      <c r="J493" s="56" t="n">
        <v>0</v>
      </c>
      <c r="K493" s="56" t="n">
        <v>1020.3</v>
      </c>
      <c r="L493" s="56" t="n">
        <v>0</v>
      </c>
      <c r="M493" s="56" t="n">
        <v>77</v>
      </c>
      <c r="N493" s="56" t="n">
        <v>9.8</v>
      </c>
      <c r="O493" s="56" t="n">
        <f aca="false">IF(D493=1,"",E492)</f>
        <v>26.8</v>
      </c>
      <c r="P493" s="56" t="n">
        <f aca="false">IF(OR(D493=1,K492=""),"",K492)</f>
        <v>1022.6</v>
      </c>
      <c r="Q493" s="56" t="n">
        <f aca="false">IF(OR(F493&lt;&gt;0,AND(I493&lt;&gt;"",E493&lt;I493)),1,0)</f>
        <v>0</v>
      </c>
      <c r="R493" s="56" t="n">
        <f aca="false">IF(AND(D493&gt;1,Q493=0,ISNUMBER(O493),ISNUMBER(P493)),IF(Q492=0,1,0),0)</f>
        <v>1</v>
      </c>
      <c r="S493" s="56" t="n">
        <f aca="false">R493*(B493&gt;=Train_Start)*(B493&lt;=Train_End)</f>
        <v>1</v>
      </c>
      <c r="T493" s="84" t="n">
        <f aca="false">IF(AND(ISNUMBER(O493),ISNUMBER(P493)),Coef_A+Coef_B1*O493+Coef_B2*P493,"")</f>
        <v>26.1241200482565</v>
      </c>
      <c r="U493" s="84" t="n">
        <f aca="false">IF(AND(R493=1,ISNUMBER(T493)),E493-T493,"")</f>
        <v>-1.52412004825648</v>
      </c>
      <c r="V493" s="84" t="n">
        <f aca="false">IF(ISNUMBER(T493),T493,-99)</f>
        <v>26.1241200482565</v>
      </c>
      <c r="W493" s="84" t="n">
        <f aca="false">IF(ISNUMBER(U493),ABS(U493),"")</f>
        <v>1.52412004825648</v>
      </c>
    </row>
    <row r="494" customFormat="false" ht="15" hidden="false" customHeight="false" outlineLevel="0" collapsed="false">
      <c r="A494" s="57" t="n">
        <v>30105</v>
      </c>
      <c r="B494" s="56" t="n">
        <v>1982</v>
      </c>
      <c r="C494" s="56" t="n">
        <v>6</v>
      </c>
      <c r="D494" s="56" t="n">
        <v>34</v>
      </c>
      <c r="E494" s="56" t="n">
        <v>28.9</v>
      </c>
      <c r="F494" s="56" t="n">
        <v>0</v>
      </c>
      <c r="G494" s="56" t="n">
        <v>15.3</v>
      </c>
      <c r="H494" s="56" t="n">
        <v>0</v>
      </c>
      <c r="I494" s="56" t="n">
        <v>20</v>
      </c>
      <c r="J494" s="56" t="n">
        <v>0</v>
      </c>
      <c r="K494" s="56" t="n">
        <v>1018</v>
      </c>
      <c r="L494" s="56" t="n">
        <v>0</v>
      </c>
      <c r="M494" s="56" t="n">
        <v>77</v>
      </c>
      <c r="N494" s="56" t="n">
        <v>2.6</v>
      </c>
      <c r="O494" s="56" t="n">
        <f aca="false">IF(D494=1,"",E493)</f>
        <v>24.6</v>
      </c>
      <c r="P494" s="56" t="n">
        <f aca="false">IF(OR(D494=1,K493=""),"",K493)</f>
        <v>1020.3</v>
      </c>
      <c r="Q494" s="56" t="n">
        <f aca="false">IF(OR(F494&lt;&gt;0,AND(I494&lt;&gt;"",E494&lt;I494)),1,0)</f>
        <v>0</v>
      </c>
      <c r="R494" s="56" t="n">
        <f aca="false">IF(AND(D494&gt;1,Q494=0,ISNUMBER(O494),ISNUMBER(P494)),IF(Q493=0,1,0),0)</f>
        <v>1</v>
      </c>
      <c r="S494" s="56" t="n">
        <f aca="false">R494*(B494&gt;=Train_Start)*(B494&lt;=Train_End)</f>
        <v>1</v>
      </c>
      <c r="T494" s="84" t="n">
        <f aca="false">IF(AND(ISNUMBER(O494),ISNUMBER(P494)),Coef_A+Coef_B1*O494+Coef_B2*P494,"")</f>
        <v>24.2494230659045</v>
      </c>
      <c r="U494" s="84" t="n">
        <f aca="false">IF(AND(R494=1,ISNUMBER(T494)),E494-T494,"")</f>
        <v>4.65057693409555</v>
      </c>
      <c r="V494" s="84" t="n">
        <f aca="false">IF(ISNUMBER(T494),T494,-99)</f>
        <v>24.2494230659045</v>
      </c>
      <c r="W494" s="84" t="n">
        <f aca="false">IF(ISNUMBER(U494),ABS(U494),"")</f>
        <v>4.65057693409555</v>
      </c>
    </row>
    <row r="495" customFormat="false" ht="15" hidden="false" customHeight="false" outlineLevel="0" collapsed="false">
      <c r="A495" s="57" t="n">
        <v>30106</v>
      </c>
      <c r="B495" s="56" t="n">
        <v>1982</v>
      </c>
      <c r="C495" s="56" t="n">
        <v>6</v>
      </c>
      <c r="D495" s="56" t="n">
        <v>35</v>
      </c>
      <c r="E495" s="56" t="n">
        <v>29.3</v>
      </c>
      <c r="F495" s="56" t="n">
        <v>0</v>
      </c>
      <c r="G495" s="56" t="n">
        <v>15.2</v>
      </c>
      <c r="H495" s="56" t="n">
        <v>0</v>
      </c>
      <c r="I495" s="56" t="n">
        <v>22</v>
      </c>
      <c r="J495" s="56" t="n">
        <v>0</v>
      </c>
      <c r="K495" s="56" t="n">
        <v>1017.7</v>
      </c>
      <c r="L495" s="56" t="n">
        <v>0</v>
      </c>
      <c r="M495" s="56" t="n">
        <v>70</v>
      </c>
      <c r="N495" s="56" t="n">
        <v>12.8</v>
      </c>
      <c r="O495" s="56" t="n">
        <f aca="false">IF(D495=1,"",E494)</f>
        <v>28.9</v>
      </c>
      <c r="P495" s="56" t="n">
        <f aca="false">IF(OR(D495=1,K494=""),"",K494)</f>
        <v>1018</v>
      </c>
      <c r="Q495" s="56" t="n">
        <f aca="false">IF(OR(F495&lt;&gt;0,AND(I495&lt;&gt;"",E495&lt;I495)),1,0)</f>
        <v>0</v>
      </c>
      <c r="R495" s="56" t="n">
        <f aca="false">IF(AND(D495&gt;1,Q495=0,ISNUMBER(O495),ISNUMBER(P495)),IF(Q494=0,1,0),0)</f>
        <v>1</v>
      </c>
      <c r="S495" s="56" t="n">
        <f aca="false">R495*(B495&gt;=Train_Start)*(B495&lt;=Train_End)</f>
        <v>1</v>
      </c>
      <c r="T495" s="84" t="n">
        <f aca="false">IF(AND(ISNUMBER(O495),ISNUMBER(P495)),Coef_A+Coef_B1*O495+Coef_B2*P495,"")</f>
        <v>27.7004308383297</v>
      </c>
      <c r="U495" s="84" t="n">
        <f aca="false">IF(AND(R495=1,ISNUMBER(T495)),E495-T495,"")</f>
        <v>1.5995691616703</v>
      </c>
      <c r="V495" s="84" t="n">
        <f aca="false">IF(ISNUMBER(T495),T495,-99)</f>
        <v>27.7004308383297</v>
      </c>
      <c r="W495" s="84" t="n">
        <f aca="false">IF(ISNUMBER(U495),ABS(U495),"")</f>
        <v>1.5995691616703</v>
      </c>
    </row>
    <row r="496" customFormat="false" ht="15" hidden="false" customHeight="false" outlineLevel="0" collapsed="false">
      <c r="A496" s="57" t="n">
        <v>30107</v>
      </c>
      <c r="B496" s="56" t="n">
        <v>1982</v>
      </c>
      <c r="C496" s="56" t="n">
        <v>6</v>
      </c>
      <c r="D496" s="56" t="n">
        <v>36</v>
      </c>
      <c r="E496" s="56" t="n">
        <v>26.1</v>
      </c>
      <c r="F496" s="56" t="n">
        <v>0</v>
      </c>
      <c r="G496" s="56" t="n">
        <v>17.2</v>
      </c>
      <c r="H496" s="56" t="n">
        <v>0</v>
      </c>
      <c r="I496" s="56" t="n">
        <v>23.2</v>
      </c>
      <c r="J496" s="56" t="n">
        <v>0</v>
      </c>
      <c r="K496" s="56" t="n">
        <v>1018.1</v>
      </c>
      <c r="L496" s="56" t="n">
        <v>0</v>
      </c>
      <c r="M496" s="56" t="n">
        <v>68</v>
      </c>
      <c r="N496" s="56" t="n">
        <v>12.9</v>
      </c>
      <c r="O496" s="56" t="n">
        <f aca="false">IF(D496=1,"",E495)</f>
        <v>29.3</v>
      </c>
      <c r="P496" s="56" t="n">
        <f aca="false">IF(OR(D496=1,K495=""),"",K495)</f>
        <v>1017.7</v>
      </c>
      <c r="Q496" s="56" t="n">
        <f aca="false">IF(OR(F496&lt;&gt;0,AND(I496&lt;&gt;"",E496&lt;I496)),1,0)</f>
        <v>0</v>
      </c>
      <c r="R496" s="56" t="n">
        <f aca="false">IF(AND(D496&gt;1,Q496=0,ISNUMBER(O496),ISNUMBER(P496)),IF(Q495=0,1,0),0)</f>
        <v>1</v>
      </c>
      <c r="S496" s="56" t="n">
        <f aca="false">R496*(B496&gt;=Train_Start)*(B496&lt;=Train_End)</f>
        <v>1</v>
      </c>
      <c r="T496" s="84" t="n">
        <f aca="false">IF(AND(ISNUMBER(O496),ISNUMBER(P496)),Coef_A+Coef_B1*O496+Coef_B2*P496,"")</f>
        <v>28.0187555471566</v>
      </c>
      <c r="U496" s="84" t="n">
        <f aca="false">IF(AND(R496=1,ISNUMBER(T496)),E496-T496,"")</f>
        <v>-1.91875554715657</v>
      </c>
      <c r="V496" s="84" t="n">
        <f aca="false">IF(ISNUMBER(T496),T496,-99)</f>
        <v>28.0187555471566</v>
      </c>
      <c r="W496" s="84" t="n">
        <f aca="false">IF(ISNUMBER(U496),ABS(U496),"")</f>
        <v>1.91875554715657</v>
      </c>
    </row>
    <row r="497" customFormat="false" ht="15" hidden="false" customHeight="false" outlineLevel="0" collapsed="false">
      <c r="A497" s="57" t="n">
        <v>30108</v>
      </c>
      <c r="B497" s="56" t="n">
        <v>1982</v>
      </c>
      <c r="C497" s="56" t="n">
        <v>6</v>
      </c>
      <c r="D497" s="56" t="n">
        <v>37</v>
      </c>
      <c r="E497" s="56" t="n">
        <v>25.3</v>
      </c>
      <c r="F497" s="56" t="n">
        <v>0</v>
      </c>
      <c r="G497" s="56" t="n">
        <v>18.2</v>
      </c>
      <c r="H497" s="56" t="n">
        <v>0</v>
      </c>
      <c r="I497" s="56" t="n">
        <v>22.2</v>
      </c>
      <c r="J497" s="56" t="n">
        <v>0</v>
      </c>
      <c r="K497" s="56" t="n">
        <v>1016.4</v>
      </c>
      <c r="L497" s="56" t="n">
        <v>0</v>
      </c>
      <c r="M497" s="56" t="n">
        <v>75</v>
      </c>
      <c r="N497" s="56" t="n">
        <v>7.2</v>
      </c>
      <c r="O497" s="56" t="n">
        <f aca="false">IF(D497=1,"",E496)</f>
        <v>26.1</v>
      </c>
      <c r="P497" s="56" t="n">
        <f aca="false">IF(OR(D497=1,K496=""),"",K496)</f>
        <v>1018.1</v>
      </c>
      <c r="Q497" s="56" t="n">
        <f aca="false">IF(OR(F497&lt;&gt;0,AND(I497&lt;&gt;"",E497&lt;I497)),1,0)</f>
        <v>0</v>
      </c>
      <c r="R497" s="56" t="n">
        <f aca="false">IF(AND(D497&gt;1,Q497=0,ISNUMBER(O497),ISNUMBER(P497)),IF(Q496=0,1,0),0)</f>
        <v>1</v>
      </c>
      <c r="S497" s="56" t="n">
        <f aca="false">R497*(B497&gt;=Train_Start)*(B497&lt;=Train_End)</f>
        <v>1</v>
      </c>
      <c r="T497" s="84" t="n">
        <f aca="false">IF(AND(ISNUMBER(O497),ISNUMBER(P497)),Coef_A+Coef_B1*O497+Coef_B2*P497,"")</f>
        <v>25.4094180872737</v>
      </c>
      <c r="U497" s="84" t="n">
        <f aca="false">IF(AND(R497=1,ISNUMBER(T497)),E497-T497,"")</f>
        <v>-0.109418087273664</v>
      </c>
      <c r="V497" s="84" t="n">
        <f aca="false">IF(ISNUMBER(T497),T497,-99)</f>
        <v>25.4094180872737</v>
      </c>
      <c r="W497" s="84" t="n">
        <f aca="false">IF(ISNUMBER(U497),ABS(U497),"")</f>
        <v>0.109418087273664</v>
      </c>
    </row>
    <row r="498" customFormat="false" ht="15" hidden="false" customHeight="false" outlineLevel="0" collapsed="false">
      <c r="A498" s="57" t="n">
        <v>30109</v>
      </c>
      <c r="B498" s="56" t="n">
        <v>1982</v>
      </c>
      <c r="C498" s="56" t="n">
        <v>6</v>
      </c>
      <c r="D498" s="56" t="n">
        <v>38</v>
      </c>
      <c r="E498" s="56" t="n">
        <v>25.5</v>
      </c>
      <c r="F498" s="56" t="n">
        <v>0</v>
      </c>
      <c r="G498" s="56" t="n">
        <v>15.3</v>
      </c>
      <c r="H498" s="56" t="n">
        <v>0</v>
      </c>
      <c r="I498" s="56" t="n">
        <v>20.3</v>
      </c>
      <c r="J498" s="56" t="n">
        <v>0</v>
      </c>
      <c r="K498" s="56" t="n">
        <v>1021.6</v>
      </c>
      <c r="L498" s="56" t="n">
        <v>0</v>
      </c>
      <c r="M498" s="56" t="n">
        <v>76</v>
      </c>
      <c r="N498" s="56" t="n">
        <v>5</v>
      </c>
      <c r="O498" s="56" t="n">
        <f aca="false">IF(D498=1,"",E497)</f>
        <v>25.3</v>
      </c>
      <c r="P498" s="56" t="n">
        <f aca="false">IF(OR(D498=1,K497=""),"",K497)</f>
        <v>1016.4</v>
      </c>
      <c r="Q498" s="56" t="n">
        <f aca="false">IF(OR(F498&lt;&gt;0,AND(I498&lt;&gt;"",E498&lt;I498)),1,0)</f>
        <v>0</v>
      </c>
      <c r="R498" s="56" t="n">
        <f aca="false">IF(AND(D498&gt;1,Q498=0,ISNUMBER(O498),ISNUMBER(P498)),IF(Q497=0,1,0),0)</f>
        <v>1</v>
      </c>
      <c r="S498" s="56" t="n">
        <f aca="false">R498*(B498&gt;=Train_Start)*(B498&lt;=Train_End)</f>
        <v>1</v>
      </c>
      <c r="T498" s="84" t="n">
        <f aca="false">IF(AND(ISNUMBER(O498),ISNUMBER(P498)),Coef_A+Coef_B1*O498+Coef_B2*P498,"")</f>
        <v>24.7006179119618</v>
      </c>
      <c r="U498" s="84" t="n">
        <f aca="false">IF(AND(R498=1,ISNUMBER(T498)),E498-T498,"")</f>
        <v>0.799382088038247</v>
      </c>
      <c r="V498" s="84" t="n">
        <f aca="false">IF(ISNUMBER(T498),T498,-99)</f>
        <v>24.7006179119618</v>
      </c>
      <c r="W498" s="84" t="n">
        <f aca="false">IF(ISNUMBER(U498),ABS(U498),"")</f>
        <v>0.799382088038247</v>
      </c>
    </row>
    <row r="499" customFormat="false" ht="15" hidden="false" customHeight="false" outlineLevel="0" collapsed="false">
      <c r="A499" s="57" t="n">
        <v>30110</v>
      </c>
      <c r="B499" s="56" t="n">
        <v>1982</v>
      </c>
      <c r="C499" s="56" t="n">
        <v>6</v>
      </c>
      <c r="D499" s="56" t="n">
        <v>39</v>
      </c>
      <c r="E499" s="56" t="n">
        <v>22.8</v>
      </c>
      <c r="F499" s="56" t="n">
        <v>0</v>
      </c>
      <c r="G499" s="56" t="n">
        <v>16.6</v>
      </c>
      <c r="H499" s="56" t="n">
        <v>0</v>
      </c>
      <c r="I499" s="56" t="n">
        <v>21</v>
      </c>
      <c r="J499" s="56" t="n">
        <v>0</v>
      </c>
      <c r="K499" s="56" t="n">
        <v>1022.3</v>
      </c>
      <c r="L499" s="56" t="n">
        <v>0</v>
      </c>
      <c r="M499" s="56" t="n">
        <v>69</v>
      </c>
      <c r="N499" s="56" t="n">
        <v>11.6</v>
      </c>
      <c r="O499" s="56" t="n">
        <f aca="false">IF(D499=1,"",E498)</f>
        <v>25.5</v>
      </c>
      <c r="P499" s="56" t="n">
        <f aca="false">IF(OR(D499=1,K498=""),"",K498)</f>
        <v>1021.6</v>
      </c>
      <c r="Q499" s="56" t="n">
        <f aca="false">IF(OR(F499&lt;&gt;0,AND(I499&lt;&gt;"",E499&lt;I499)),1,0)</f>
        <v>0</v>
      </c>
      <c r="R499" s="56" t="n">
        <f aca="false">IF(AND(D499&gt;1,Q499=0,ISNUMBER(O499),ISNUMBER(P499)),IF(Q498=0,1,0),0)</f>
        <v>1</v>
      </c>
      <c r="S499" s="56" t="n">
        <f aca="false">R499*(B499&gt;=Train_Start)*(B499&lt;=Train_End)</f>
        <v>1</v>
      </c>
      <c r="T499" s="84" t="n">
        <f aca="false">IF(AND(ISNUMBER(O499),ISNUMBER(P499)),Coef_A+Coef_B1*O499+Coef_B2*P499,"")</f>
        <v>25.027609202667</v>
      </c>
      <c r="U499" s="84" t="n">
        <f aca="false">IF(AND(R499=1,ISNUMBER(T499)),E499-T499,"")</f>
        <v>-2.22760920266703</v>
      </c>
      <c r="V499" s="84" t="n">
        <f aca="false">IF(ISNUMBER(T499),T499,-99)</f>
        <v>25.027609202667</v>
      </c>
      <c r="W499" s="84" t="n">
        <f aca="false">IF(ISNUMBER(U499),ABS(U499),"")</f>
        <v>2.22760920266703</v>
      </c>
    </row>
    <row r="500" customFormat="false" ht="15" hidden="false" customHeight="false" outlineLevel="0" collapsed="false">
      <c r="A500" s="57" t="n">
        <v>30111</v>
      </c>
      <c r="B500" s="56" t="n">
        <v>1982</v>
      </c>
      <c r="C500" s="56" t="n">
        <v>6</v>
      </c>
      <c r="D500" s="56" t="n">
        <v>40</v>
      </c>
      <c r="E500" s="56" t="n">
        <v>19.2</v>
      </c>
      <c r="F500" s="56" t="n">
        <v>0</v>
      </c>
      <c r="G500" s="56" t="n">
        <v>13.5</v>
      </c>
      <c r="H500" s="56" t="n">
        <v>0</v>
      </c>
      <c r="I500" s="56" t="n">
        <v>18.2</v>
      </c>
      <c r="J500" s="56" t="n">
        <v>0</v>
      </c>
      <c r="K500" s="56" t="n">
        <v>1021.1</v>
      </c>
      <c r="L500" s="56" t="n">
        <v>0</v>
      </c>
      <c r="M500" s="56" t="n">
        <v>73</v>
      </c>
      <c r="N500" s="56" t="n">
        <v>11.7</v>
      </c>
      <c r="O500" s="56" t="n">
        <f aca="false">IF(D500=1,"",E499)</f>
        <v>22.8</v>
      </c>
      <c r="P500" s="56" t="n">
        <f aca="false">IF(OR(D500=1,K499=""),"",K499)</f>
        <v>1022.3</v>
      </c>
      <c r="Q500" s="56" t="n">
        <f aca="false">IF(OR(F500&lt;&gt;0,AND(I500&lt;&gt;"",E500&lt;I500)),1,0)</f>
        <v>0</v>
      </c>
      <c r="R500" s="56" t="n">
        <f aca="false">IF(AND(D500&gt;1,Q500=0,ISNUMBER(O500),ISNUMBER(P500)),IF(Q499=0,1,0),0)</f>
        <v>1</v>
      </c>
      <c r="S500" s="56" t="n">
        <f aca="false">R500*(B500&gt;=Train_Start)*(B500&lt;=Train_End)</f>
        <v>1</v>
      </c>
      <c r="T500" s="84" t="n">
        <f aca="false">IF(AND(ISNUMBER(O500),ISNUMBER(P500)),Coef_A+Coef_B1*O500+Coef_B2*P500,"")</f>
        <v>22.8373523076957</v>
      </c>
      <c r="U500" s="84" t="n">
        <f aca="false">IF(AND(R500=1,ISNUMBER(T500)),E500-T500,"")</f>
        <v>-3.63735230769565</v>
      </c>
      <c r="V500" s="84" t="n">
        <f aca="false">IF(ISNUMBER(T500),T500,-99)</f>
        <v>22.8373523076957</v>
      </c>
      <c r="W500" s="84" t="n">
        <f aca="false">IF(ISNUMBER(U500),ABS(U500),"")</f>
        <v>3.63735230769565</v>
      </c>
    </row>
    <row r="501" customFormat="false" ht="15" hidden="false" customHeight="false" outlineLevel="0" collapsed="false">
      <c r="A501" s="57" t="n">
        <v>30112</v>
      </c>
      <c r="B501" s="56" t="n">
        <v>1982</v>
      </c>
      <c r="C501" s="56" t="n">
        <v>6</v>
      </c>
      <c r="D501" s="56" t="n">
        <v>41</v>
      </c>
      <c r="E501" s="56" t="n">
        <v>20.3</v>
      </c>
      <c r="F501" s="56" t="n">
        <v>0</v>
      </c>
      <c r="G501" s="56" t="n">
        <v>12.5</v>
      </c>
      <c r="H501" s="56" t="n">
        <v>0</v>
      </c>
      <c r="I501" s="56" t="n">
        <v>15.8</v>
      </c>
      <c r="J501" s="56" t="n">
        <v>0</v>
      </c>
      <c r="K501" s="56" t="n">
        <v>1014.4</v>
      </c>
      <c r="L501" s="56" t="n">
        <v>0</v>
      </c>
      <c r="M501" s="56" t="n">
        <v>77</v>
      </c>
      <c r="N501" s="56" t="n">
        <v>4.7</v>
      </c>
      <c r="O501" s="56" t="n">
        <f aca="false">IF(D501=1,"",E500)</f>
        <v>19.2</v>
      </c>
      <c r="P501" s="56" t="n">
        <f aca="false">IF(OR(D501=1,K500=""),"",K500)</f>
        <v>1021.1</v>
      </c>
      <c r="Q501" s="56" t="n">
        <f aca="false">IF(OR(F501&lt;&gt;0,AND(I501&lt;&gt;"",E501&lt;I501)),1,0)</f>
        <v>0</v>
      </c>
      <c r="R501" s="56" t="n">
        <f aca="false">IF(AND(D501&gt;1,Q501=0,ISNUMBER(O501),ISNUMBER(P501)),IF(Q500=0,1,0),0)</f>
        <v>1</v>
      </c>
      <c r="S501" s="56" t="n">
        <f aca="false">R501*(B501&gt;=Train_Start)*(B501&lt;=Train_End)</f>
        <v>1</v>
      </c>
      <c r="T501" s="84" t="n">
        <f aca="false">IF(AND(ISNUMBER(O501),ISNUMBER(P501)),Coef_A+Coef_B1*O501+Coef_B2*P501,"")</f>
        <v>19.8500873391813</v>
      </c>
      <c r="U501" s="84" t="n">
        <f aca="false">IF(AND(R501=1,ISNUMBER(T501)),E501-T501,"")</f>
        <v>0.449912660818708</v>
      </c>
      <c r="V501" s="84" t="n">
        <f aca="false">IF(ISNUMBER(T501),T501,-99)</f>
        <v>19.8500873391813</v>
      </c>
      <c r="W501" s="84" t="n">
        <f aca="false">IF(ISNUMBER(U501),ABS(U501),"")</f>
        <v>0.449912660818708</v>
      </c>
    </row>
    <row r="502" customFormat="false" ht="15" hidden="false" customHeight="false" outlineLevel="0" collapsed="false">
      <c r="A502" s="57" t="n">
        <v>30113</v>
      </c>
      <c r="B502" s="56" t="n">
        <v>1982</v>
      </c>
      <c r="C502" s="56" t="n">
        <v>6</v>
      </c>
      <c r="D502" s="56" t="n">
        <v>42</v>
      </c>
      <c r="E502" s="56" t="n">
        <v>18.8</v>
      </c>
      <c r="F502" s="56" t="n">
        <v>0</v>
      </c>
      <c r="G502" s="56" t="n">
        <v>13.5</v>
      </c>
      <c r="H502" s="56" t="n">
        <v>0</v>
      </c>
      <c r="I502" s="56" t="n">
        <v>16.9</v>
      </c>
      <c r="J502" s="56" t="n">
        <v>0</v>
      </c>
      <c r="K502" s="56" t="n">
        <v>1006.1</v>
      </c>
      <c r="L502" s="56" t="n">
        <v>0</v>
      </c>
      <c r="M502" s="56" t="n">
        <v>73</v>
      </c>
      <c r="N502" s="56" t="n">
        <v>6.4</v>
      </c>
      <c r="O502" s="56" t="n">
        <f aca="false">IF(D502=1,"",E501)</f>
        <v>20.3</v>
      </c>
      <c r="P502" s="56" t="n">
        <f aca="false">IF(OR(D502=1,K501=""),"",K501)</f>
        <v>1014.4</v>
      </c>
      <c r="Q502" s="56" t="n">
        <f aca="false">IF(OR(F502&lt;&gt;0,AND(I502&lt;&gt;"",E502&lt;I502)),1,0)</f>
        <v>0</v>
      </c>
      <c r="R502" s="56" t="n">
        <f aca="false">IF(AND(D502&gt;1,Q502=0,ISNUMBER(O502),ISNUMBER(P502)),IF(Q501=0,1,0),0)</f>
        <v>1</v>
      </c>
      <c r="S502" s="56" t="n">
        <f aca="false">R502*(B502&gt;=Train_Start)*(B502&lt;=Train_End)</f>
        <v>1</v>
      </c>
      <c r="T502" s="84" t="n">
        <f aca="false">IF(AND(ISNUMBER(O502),ISNUMBER(P502)),Coef_A+Coef_B1*O502+Coef_B2*P502,"")</f>
        <v>20.5411821574805</v>
      </c>
      <c r="U502" s="84" t="n">
        <f aca="false">IF(AND(R502=1,ISNUMBER(T502)),E502-T502,"")</f>
        <v>-1.74118215748048</v>
      </c>
      <c r="V502" s="84" t="n">
        <f aca="false">IF(ISNUMBER(T502),T502,-99)</f>
        <v>20.5411821574805</v>
      </c>
      <c r="W502" s="84" t="n">
        <f aca="false">IF(ISNUMBER(U502),ABS(U502),"")</f>
        <v>1.74118215748048</v>
      </c>
    </row>
    <row r="503" customFormat="false" ht="15" hidden="false" customHeight="false" outlineLevel="0" collapsed="false">
      <c r="A503" s="57" t="n">
        <v>30114</v>
      </c>
      <c r="B503" s="56" t="n">
        <v>1982</v>
      </c>
      <c r="C503" s="56" t="n">
        <v>6</v>
      </c>
      <c r="D503" s="56" t="n">
        <v>43</v>
      </c>
      <c r="E503" s="56" t="n">
        <v>15.5</v>
      </c>
      <c r="F503" s="56" t="n">
        <v>0</v>
      </c>
      <c r="G503" s="56" t="n">
        <v>10.6</v>
      </c>
      <c r="H503" s="56" t="n">
        <v>0</v>
      </c>
      <c r="I503" s="56" t="n">
        <v>14.7</v>
      </c>
      <c r="J503" s="56" t="n">
        <v>0</v>
      </c>
      <c r="K503" s="56" t="n">
        <v>1003.8</v>
      </c>
      <c r="L503" s="56" t="n">
        <v>0</v>
      </c>
      <c r="M503" s="56" t="n">
        <v>81</v>
      </c>
      <c r="N503" s="56" t="n">
        <v>4.6</v>
      </c>
      <c r="O503" s="56" t="n">
        <f aca="false">IF(D503=1,"",E502)</f>
        <v>18.8</v>
      </c>
      <c r="P503" s="56" t="n">
        <f aca="false">IF(OR(D503=1,K502=""),"",K502)</f>
        <v>1006.1</v>
      </c>
      <c r="Q503" s="56" t="n">
        <f aca="false">IF(OR(F503&lt;&gt;0,AND(I503&lt;&gt;"",E503&lt;I503)),1,0)</f>
        <v>0</v>
      </c>
      <c r="R503" s="56" t="n">
        <f aca="false">IF(AND(D503&gt;1,Q503=0,ISNUMBER(O503),ISNUMBER(P503)),IF(Q502=0,1,0),0)</f>
        <v>1</v>
      </c>
      <c r="S503" s="56" t="n">
        <f aca="false">R503*(B503&gt;=Train_Start)*(B503&lt;=Train_End)</f>
        <v>1</v>
      </c>
      <c r="T503" s="84" t="n">
        <f aca="false">IF(AND(ISNUMBER(O503),ISNUMBER(P503)),Coef_A+Coef_B1*O503+Coef_B2*P503,"")</f>
        <v>19.0518032424544</v>
      </c>
      <c r="U503" s="84" t="n">
        <f aca="false">IF(AND(R503=1,ISNUMBER(T503)),E503-T503,"")</f>
        <v>-3.55180324245439</v>
      </c>
      <c r="V503" s="84" t="n">
        <f aca="false">IF(ISNUMBER(T503),T503,-99)</f>
        <v>19.0518032424544</v>
      </c>
      <c r="W503" s="84" t="n">
        <f aca="false">IF(ISNUMBER(U503),ABS(U503),"")</f>
        <v>3.55180324245439</v>
      </c>
    </row>
    <row r="504" customFormat="false" ht="15" hidden="false" customHeight="false" outlineLevel="0" collapsed="false">
      <c r="A504" s="57" t="n">
        <v>30115</v>
      </c>
      <c r="B504" s="56" t="n">
        <v>1982</v>
      </c>
      <c r="C504" s="56" t="n">
        <v>6</v>
      </c>
      <c r="D504" s="56" t="n">
        <v>44</v>
      </c>
      <c r="E504" s="56" t="n">
        <v>17.1</v>
      </c>
      <c r="F504" s="56" t="n">
        <v>0</v>
      </c>
      <c r="G504" s="56" t="n">
        <v>10.4</v>
      </c>
      <c r="H504" s="56" t="n">
        <v>0</v>
      </c>
      <c r="I504" s="56" t="n">
        <v>13</v>
      </c>
      <c r="J504" s="56" t="n">
        <v>0</v>
      </c>
      <c r="K504" s="56" t="n">
        <v>1009.8</v>
      </c>
      <c r="L504" s="56" t="n">
        <v>0</v>
      </c>
      <c r="M504" s="56" t="n">
        <v>74</v>
      </c>
      <c r="N504" s="56" t="n">
        <v>1.3</v>
      </c>
      <c r="O504" s="56" t="n">
        <f aca="false">IF(D504=1,"",E503)</f>
        <v>15.5</v>
      </c>
      <c r="P504" s="56" t="n">
        <f aca="false">IF(OR(D504=1,K503=""),"",K503)</f>
        <v>1003.8</v>
      </c>
      <c r="Q504" s="56" t="n">
        <f aca="false">IF(OR(F504&lt;&gt;0,AND(I504&lt;&gt;"",E504&lt;I504)),1,0)</f>
        <v>0</v>
      </c>
      <c r="R504" s="56" t="n">
        <f aca="false">IF(AND(D504&gt;1,Q504=0,ISNUMBER(O504),ISNUMBER(P504)),IF(Q503=0,1,0),0)</f>
        <v>1</v>
      </c>
      <c r="S504" s="56" t="n">
        <f aca="false">R504*(B504&gt;=Train_Start)*(B504&lt;=Train_End)</f>
        <v>1</v>
      </c>
      <c r="T504" s="84" t="n">
        <f aca="false">IF(AND(ISNUMBER(O504),ISNUMBER(P504)),Coef_A+Coef_B1*O504+Coef_B2*P504,"")</f>
        <v>16.2758331477554</v>
      </c>
      <c r="U504" s="84" t="n">
        <f aca="false">IF(AND(R504=1,ISNUMBER(T504)),E504-T504,"")</f>
        <v>0.824166852244559</v>
      </c>
      <c r="V504" s="84" t="n">
        <f aca="false">IF(ISNUMBER(T504),T504,-99)</f>
        <v>16.2758331477554</v>
      </c>
      <c r="W504" s="84" t="n">
        <f aca="false">IF(ISNUMBER(U504),ABS(U504),"")</f>
        <v>0.824166852244559</v>
      </c>
    </row>
    <row r="505" customFormat="false" ht="15" hidden="false" customHeight="false" outlineLevel="0" collapsed="false">
      <c r="A505" s="57" t="n">
        <v>30116</v>
      </c>
      <c r="B505" s="56" t="n">
        <v>1982</v>
      </c>
      <c r="C505" s="56" t="n">
        <v>6</v>
      </c>
      <c r="D505" s="56" t="n">
        <v>45</v>
      </c>
      <c r="E505" s="56" t="n">
        <v>18.3</v>
      </c>
      <c r="F505" s="56" t="n">
        <v>0</v>
      </c>
      <c r="G505" s="56" t="n">
        <v>9.5</v>
      </c>
      <c r="H505" s="56" t="n">
        <v>0</v>
      </c>
      <c r="I505" s="56" t="n">
        <v>13.3</v>
      </c>
      <c r="J505" s="56" t="n">
        <v>0</v>
      </c>
      <c r="K505" s="56" t="n">
        <v>1015.4</v>
      </c>
      <c r="L505" s="56" t="n">
        <v>0</v>
      </c>
      <c r="M505" s="56" t="n">
        <v>57</v>
      </c>
      <c r="N505" s="56" t="n">
        <v>3.6</v>
      </c>
      <c r="O505" s="56" t="n">
        <f aca="false">IF(D505=1,"",E504)</f>
        <v>17.1</v>
      </c>
      <c r="P505" s="56" t="n">
        <f aca="false">IF(OR(D505=1,K504=""),"",K504)</f>
        <v>1009.8</v>
      </c>
      <c r="Q505" s="56" t="n">
        <f aca="false">IF(OR(F505&lt;&gt;0,AND(I505&lt;&gt;"",E505&lt;I505)),1,0)</f>
        <v>0</v>
      </c>
      <c r="R505" s="56" t="n">
        <f aca="false">IF(AND(D505&gt;1,Q505=0,ISNUMBER(O505),ISNUMBER(P505)),IF(Q504=0,1,0),0)</f>
        <v>1</v>
      </c>
      <c r="S505" s="56" t="n">
        <f aca="false">R505*(B505&gt;=Train_Start)*(B505&lt;=Train_End)</f>
        <v>1</v>
      </c>
      <c r="T505" s="84" t="n">
        <f aca="false">IF(AND(ISNUMBER(O505),ISNUMBER(P505)),Coef_A+Coef_B1*O505+Coef_B2*P505,"")</f>
        <v>17.7749952244276</v>
      </c>
      <c r="U505" s="84" t="n">
        <f aca="false">IF(AND(R505=1,ISNUMBER(T505)),E505-T505,"")</f>
        <v>0.525004775572374</v>
      </c>
      <c r="V505" s="84" t="n">
        <f aca="false">IF(ISNUMBER(T505),T505,-99)</f>
        <v>17.7749952244276</v>
      </c>
      <c r="W505" s="84" t="n">
        <f aca="false">IF(ISNUMBER(U505),ABS(U505),"")</f>
        <v>0.525004775572374</v>
      </c>
    </row>
    <row r="506" customFormat="false" ht="15" hidden="false" customHeight="false" outlineLevel="0" collapsed="false">
      <c r="A506" s="57" t="n">
        <v>30117</v>
      </c>
      <c r="B506" s="56" t="n">
        <v>1982</v>
      </c>
      <c r="C506" s="56" t="n">
        <v>6</v>
      </c>
      <c r="D506" s="56" t="n">
        <v>46</v>
      </c>
      <c r="E506" s="56" t="n">
        <v>20.6</v>
      </c>
      <c r="F506" s="56" t="n">
        <v>0</v>
      </c>
      <c r="G506" s="56" t="n">
        <v>8.6</v>
      </c>
      <c r="H506" s="56" t="n">
        <v>0</v>
      </c>
      <c r="I506" s="56" t="n">
        <v>13.4</v>
      </c>
      <c r="J506" s="56" t="n">
        <v>0</v>
      </c>
      <c r="K506" s="56" t="n">
        <v>1016.3</v>
      </c>
      <c r="L506" s="56" t="n">
        <v>0</v>
      </c>
      <c r="M506" s="56" t="n">
        <v>65</v>
      </c>
      <c r="N506" s="56" t="n">
        <v>3.3</v>
      </c>
      <c r="O506" s="56" t="n">
        <f aca="false">IF(D506=1,"",E505)</f>
        <v>18.3</v>
      </c>
      <c r="P506" s="56" t="n">
        <f aca="false">IF(OR(D506=1,K505=""),"",K505)</f>
        <v>1015.4</v>
      </c>
      <c r="Q506" s="56" t="n">
        <f aca="false">IF(OR(F506&lt;&gt;0,AND(I506&lt;&gt;"",E506&lt;I506)),1,0)</f>
        <v>0</v>
      </c>
      <c r="R506" s="56" t="n">
        <f aca="false">IF(AND(D506&gt;1,Q506=0,ISNUMBER(O506),ISNUMBER(P506)),IF(Q505=0,1,0),0)</f>
        <v>1</v>
      </c>
      <c r="S506" s="56" t="n">
        <f aca="false">R506*(B506&gt;=Train_Start)*(B506&lt;=Train_End)</f>
        <v>1</v>
      </c>
      <c r="T506" s="84" t="n">
        <f aca="false">IF(AND(ISNUMBER(O506),ISNUMBER(P506)),Coef_A+Coef_B1*O506+Coef_B2*P506,"")</f>
        <v>18.9338736660292</v>
      </c>
      <c r="U506" s="84" t="n">
        <f aca="false">IF(AND(R506=1,ISNUMBER(T506)),E506-T506,"")</f>
        <v>1.66612633397084</v>
      </c>
      <c r="V506" s="84" t="n">
        <f aca="false">IF(ISNUMBER(T506),T506,-99)</f>
        <v>18.9338736660292</v>
      </c>
      <c r="W506" s="84" t="n">
        <f aca="false">IF(ISNUMBER(U506),ABS(U506),"")</f>
        <v>1.66612633397084</v>
      </c>
    </row>
    <row r="507" customFormat="false" ht="15" hidden="false" customHeight="false" outlineLevel="0" collapsed="false">
      <c r="A507" s="57" t="n">
        <v>30118</v>
      </c>
      <c r="B507" s="56" t="n">
        <v>1982</v>
      </c>
      <c r="C507" s="56" t="n">
        <v>6</v>
      </c>
      <c r="D507" s="56" t="n">
        <v>47</v>
      </c>
      <c r="E507" s="56" t="n">
        <v>23.7</v>
      </c>
      <c r="F507" s="56" t="n">
        <v>0</v>
      </c>
      <c r="G507" s="56" t="n">
        <v>10.5</v>
      </c>
      <c r="H507" s="56" t="n">
        <v>0</v>
      </c>
      <c r="I507" s="56" t="n">
        <v>15.6</v>
      </c>
      <c r="J507" s="56" t="n">
        <v>0</v>
      </c>
      <c r="K507" s="56" t="n">
        <v>1014.3</v>
      </c>
      <c r="L507" s="56" t="n">
        <v>0</v>
      </c>
      <c r="M507" s="56" t="n">
        <v>68</v>
      </c>
      <c r="N507" s="56" t="n">
        <v>11.7</v>
      </c>
      <c r="O507" s="56" t="n">
        <f aca="false">IF(D507=1,"",E506)</f>
        <v>20.6</v>
      </c>
      <c r="P507" s="56" t="n">
        <f aca="false">IF(OR(D507=1,K506=""),"",K506)</f>
        <v>1016.3</v>
      </c>
      <c r="Q507" s="56" t="n">
        <f aca="false">IF(OR(F507&lt;&gt;0,AND(I507&lt;&gt;"",E507&lt;I507)),1,0)</f>
        <v>0</v>
      </c>
      <c r="R507" s="56" t="n">
        <f aca="false">IF(AND(D507&gt;1,Q507=0,ISNUMBER(O507),ISNUMBER(P507)),IF(Q506=0,1,0),0)</f>
        <v>1</v>
      </c>
      <c r="S507" s="56" t="n">
        <f aca="false">R507*(B507&gt;=Train_Start)*(B507&lt;=Train_End)</f>
        <v>1</v>
      </c>
      <c r="T507" s="84" t="n">
        <f aca="false">IF(AND(ISNUMBER(O507),ISNUMBER(P507)),Coef_A+Coef_B1*O507+Coef_B2*P507,"")</f>
        <v>20.8465867151979</v>
      </c>
      <c r="U507" s="84" t="n">
        <f aca="false">IF(AND(R507=1,ISNUMBER(T507)),E507-T507,"")</f>
        <v>2.85341328480213</v>
      </c>
      <c r="V507" s="84" t="n">
        <f aca="false">IF(ISNUMBER(T507),T507,-99)</f>
        <v>20.8465867151979</v>
      </c>
      <c r="W507" s="84" t="n">
        <f aca="false">IF(ISNUMBER(U507),ABS(U507),"")</f>
        <v>2.85341328480213</v>
      </c>
    </row>
    <row r="508" customFormat="false" ht="15" hidden="false" customHeight="false" outlineLevel="0" collapsed="false">
      <c r="A508" s="57" t="n">
        <v>30119</v>
      </c>
      <c r="B508" s="56" t="n">
        <v>1982</v>
      </c>
      <c r="C508" s="56" t="n">
        <v>6</v>
      </c>
      <c r="D508" s="56" t="n">
        <v>48</v>
      </c>
      <c r="E508" s="56" t="n">
        <v>18.3</v>
      </c>
      <c r="F508" s="56" t="n">
        <v>0</v>
      </c>
      <c r="G508" s="56" t="n">
        <v>12.1</v>
      </c>
      <c r="H508" s="56" t="n">
        <v>0</v>
      </c>
      <c r="I508" s="56" t="n">
        <v>17.9</v>
      </c>
      <c r="J508" s="56" t="n">
        <v>0</v>
      </c>
      <c r="K508" s="56" t="n">
        <v>1016.6</v>
      </c>
      <c r="L508" s="56" t="n">
        <v>0</v>
      </c>
      <c r="M508" s="56" t="n">
        <v>71</v>
      </c>
      <c r="N508" s="56" t="n">
        <v>8.9</v>
      </c>
      <c r="O508" s="56" t="n">
        <f aca="false">IF(D508=1,"",E507)</f>
        <v>23.7</v>
      </c>
      <c r="P508" s="56" t="n">
        <f aca="false">IF(OR(D508=1,K507=""),"",K507)</f>
        <v>1014.3</v>
      </c>
      <c r="Q508" s="56" t="n">
        <f aca="false">IF(OR(F508&lt;&gt;0,AND(I508&lt;&gt;"",E508&lt;I508)),1,0)</f>
        <v>0</v>
      </c>
      <c r="R508" s="56" t="n">
        <f aca="false">IF(AND(D508&gt;1,Q508=0,ISNUMBER(O508),ISNUMBER(P508)),IF(Q507=0,1,0),0)</f>
        <v>1</v>
      </c>
      <c r="S508" s="56" t="n">
        <f aca="false">R508*(B508&gt;=Train_Start)*(B508&lt;=Train_End)</f>
        <v>1</v>
      </c>
      <c r="T508" s="84" t="n">
        <f aca="false">IF(AND(ISNUMBER(O508),ISNUMBER(P508)),Coef_A+Coef_B1*O508+Coef_B2*P508,"")</f>
        <v>23.3237984243621</v>
      </c>
      <c r="U508" s="84" t="n">
        <f aca="false">IF(AND(R508=1,ISNUMBER(T508)),E508-T508,"")</f>
        <v>-5.02379842436212</v>
      </c>
      <c r="V508" s="84" t="n">
        <f aca="false">IF(ISNUMBER(T508),T508,-99)</f>
        <v>23.3237984243621</v>
      </c>
      <c r="W508" s="84" t="n">
        <f aca="false">IF(ISNUMBER(U508),ABS(U508),"")</f>
        <v>5.02379842436212</v>
      </c>
    </row>
    <row r="509" customFormat="false" ht="15" hidden="false" customHeight="false" outlineLevel="0" collapsed="false">
      <c r="A509" s="57" t="n">
        <v>30120</v>
      </c>
      <c r="B509" s="56" t="n">
        <v>1982</v>
      </c>
      <c r="C509" s="56" t="n">
        <v>6</v>
      </c>
      <c r="D509" s="56" t="n">
        <v>49</v>
      </c>
      <c r="E509" s="56" t="n">
        <v>19.9</v>
      </c>
      <c r="F509" s="56" t="n">
        <v>0</v>
      </c>
      <c r="G509" s="56" t="n">
        <v>12.4</v>
      </c>
      <c r="H509" s="56" t="n">
        <v>0</v>
      </c>
      <c r="I509" s="56" t="n">
        <v>15.4</v>
      </c>
      <c r="J509" s="56" t="n">
        <v>0</v>
      </c>
      <c r="K509" s="56" t="n">
        <v>1007.3</v>
      </c>
      <c r="L509" s="56" t="n">
        <v>0</v>
      </c>
      <c r="M509" s="56" t="n">
        <v>80</v>
      </c>
      <c r="N509" s="56" t="n">
        <v>1.5</v>
      </c>
      <c r="O509" s="56" t="n">
        <f aca="false">IF(D509=1,"",E508)</f>
        <v>18.3</v>
      </c>
      <c r="P509" s="56" t="n">
        <f aca="false">IF(OR(D509=1,K508=""),"",K508)</f>
        <v>1016.6</v>
      </c>
      <c r="Q509" s="56" t="n">
        <f aca="false">IF(OR(F509&lt;&gt;0,AND(I509&lt;&gt;"",E509&lt;I509)),1,0)</f>
        <v>0</v>
      </c>
      <c r="R509" s="56" t="n">
        <f aca="false">IF(AND(D509&gt;1,Q509=0,ISNUMBER(O509),ISNUMBER(P509)),IF(Q508=0,1,0),0)</f>
        <v>1</v>
      </c>
      <c r="S509" s="56" t="n">
        <f aca="false">R509*(B509&gt;=Train_Start)*(B509&lt;=Train_End)</f>
        <v>1</v>
      </c>
      <c r="T509" s="84" t="n">
        <f aca="false">IF(AND(ISNUMBER(O509),ISNUMBER(P509)),Coef_A+Coef_B1*O509+Coef_B2*P509,"")</f>
        <v>18.97151753959</v>
      </c>
      <c r="U509" s="84" t="n">
        <f aca="false">IF(AND(R509=1,ISNUMBER(T509)),E509-T509,"")</f>
        <v>0.928482460410049</v>
      </c>
      <c r="V509" s="84" t="n">
        <f aca="false">IF(ISNUMBER(T509),T509,-99)</f>
        <v>18.97151753959</v>
      </c>
      <c r="W509" s="84" t="n">
        <f aca="false">IF(ISNUMBER(U509),ABS(U509),"")</f>
        <v>0.928482460410049</v>
      </c>
    </row>
    <row r="510" customFormat="false" ht="15" hidden="false" customHeight="false" outlineLevel="0" collapsed="false">
      <c r="A510" s="57" t="n">
        <v>30121</v>
      </c>
      <c r="B510" s="56" t="n">
        <v>1982</v>
      </c>
      <c r="C510" s="56" t="n">
        <v>6</v>
      </c>
      <c r="D510" s="56" t="n">
        <v>50</v>
      </c>
      <c r="E510" s="56" t="n">
        <v>21.6</v>
      </c>
      <c r="F510" s="56" t="n">
        <v>0</v>
      </c>
      <c r="G510" s="56" t="n">
        <v>12.3</v>
      </c>
      <c r="H510" s="56" t="n">
        <v>0</v>
      </c>
      <c r="I510" s="56" t="n">
        <v>16.1</v>
      </c>
      <c r="J510" s="56" t="n">
        <v>0</v>
      </c>
      <c r="K510" s="56" t="n">
        <v>1011.5</v>
      </c>
      <c r="L510" s="56" t="n">
        <v>0</v>
      </c>
      <c r="M510" s="56" t="n">
        <v>79</v>
      </c>
      <c r="N510" s="56" t="n">
        <v>0.8</v>
      </c>
      <c r="O510" s="56" t="n">
        <f aca="false">IF(D510=1,"",E509)</f>
        <v>19.9</v>
      </c>
      <c r="P510" s="56" t="n">
        <f aca="false">IF(OR(D510=1,K509=""),"",K509)</f>
        <v>1007.3</v>
      </c>
      <c r="Q510" s="56" t="n">
        <f aca="false">IF(OR(F510&lt;&gt;0,AND(I510&lt;&gt;"",E510&lt;I510)),1,0)</f>
        <v>0</v>
      </c>
      <c r="R510" s="56" t="n">
        <f aca="false">IF(AND(D510&gt;1,Q510=0,ISNUMBER(O510),ISNUMBER(P510)),IF(Q509=0,1,0),0)</f>
        <v>1</v>
      </c>
      <c r="S510" s="56" t="n">
        <f aca="false">R510*(B510&gt;=Train_Start)*(B510&lt;=Train_End)</f>
        <v>1</v>
      </c>
      <c r="T510" s="84" t="n">
        <f aca="false">IF(AND(ISNUMBER(O510),ISNUMBER(P510)),Coef_A+Coef_B1*O510+Coef_B2*P510,"")</f>
        <v>19.9907202283621</v>
      </c>
      <c r="U510" s="84" t="n">
        <f aca="false">IF(AND(R510=1,ISNUMBER(T510)),E510-T510,"")</f>
        <v>1.6092797716379</v>
      </c>
      <c r="V510" s="84" t="n">
        <f aca="false">IF(ISNUMBER(T510),T510,-99)</f>
        <v>19.9907202283621</v>
      </c>
      <c r="W510" s="84" t="n">
        <f aca="false">IF(ISNUMBER(U510),ABS(U510),"")</f>
        <v>1.6092797716379</v>
      </c>
    </row>
    <row r="511" customFormat="false" ht="15" hidden="false" customHeight="false" outlineLevel="0" collapsed="false">
      <c r="A511" s="57" t="n">
        <v>30122</v>
      </c>
      <c r="B511" s="56" t="n">
        <v>1982</v>
      </c>
      <c r="C511" s="56" t="n">
        <v>6</v>
      </c>
      <c r="D511" s="56" t="n">
        <v>51</v>
      </c>
      <c r="E511" s="56" t="n">
        <v>18.9</v>
      </c>
      <c r="F511" s="56" t="n">
        <v>0</v>
      </c>
      <c r="G511" s="56" t="n">
        <v>8.5</v>
      </c>
      <c r="H511" s="56" t="n">
        <v>0</v>
      </c>
      <c r="I511" s="56" t="n">
        <v>15</v>
      </c>
      <c r="J511" s="56" t="n">
        <v>0</v>
      </c>
      <c r="K511" s="56" t="n">
        <v>1016.6</v>
      </c>
      <c r="L511" s="56" t="n">
        <v>0</v>
      </c>
      <c r="M511" s="56" t="n">
        <v>64</v>
      </c>
      <c r="N511" s="56" t="n">
        <v>10.6</v>
      </c>
      <c r="O511" s="56" t="n">
        <f aca="false">IF(D511=1,"",E510)</f>
        <v>21.6</v>
      </c>
      <c r="P511" s="56" t="n">
        <f aca="false">IF(OR(D511=1,K510=""),"",K510)</f>
        <v>1011.5</v>
      </c>
      <c r="Q511" s="56" t="n">
        <f aca="false">IF(OR(F511&lt;&gt;0,AND(I511&lt;&gt;"",E511&lt;I511)),1,0)</f>
        <v>0</v>
      </c>
      <c r="R511" s="56" t="n">
        <f aca="false">IF(AND(D511&gt;1,Q511=0,ISNUMBER(O511),ISNUMBER(P511)),IF(Q510=0,1,0),0)</f>
        <v>1</v>
      </c>
      <c r="S511" s="56" t="n">
        <f aca="false">R511*(B511&gt;=Train_Start)*(B511&lt;=Train_End)</f>
        <v>1</v>
      </c>
      <c r="T511" s="84" t="n">
        <f aca="false">IF(AND(ISNUMBER(O511),ISNUMBER(P511)),Coef_A+Coef_B1*O511+Coef_B2*P511,"")</f>
        <v>21.5153504139974</v>
      </c>
      <c r="U511" s="84" t="n">
        <f aca="false">IF(AND(R511=1,ISNUMBER(T511)),E511-T511,"")</f>
        <v>-2.61535041399737</v>
      </c>
      <c r="V511" s="84" t="n">
        <f aca="false">IF(ISNUMBER(T511),T511,-99)</f>
        <v>21.5153504139974</v>
      </c>
      <c r="W511" s="84" t="n">
        <f aca="false">IF(ISNUMBER(U511),ABS(U511),"")</f>
        <v>2.61535041399737</v>
      </c>
    </row>
    <row r="512" customFormat="false" ht="15" hidden="false" customHeight="false" outlineLevel="0" collapsed="false">
      <c r="A512" s="57" t="n">
        <v>30123</v>
      </c>
      <c r="B512" s="56" t="n">
        <v>1982</v>
      </c>
      <c r="C512" s="56" t="n">
        <v>6</v>
      </c>
      <c r="D512" s="56" t="n">
        <v>52</v>
      </c>
      <c r="E512" s="56" t="n">
        <v>18.7</v>
      </c>
      <c r="F512" s="56" t="n">
        <v>0</v>
      </c>
      <c r="G512" s="56" t="n">
        <v>13.1</v>
      </c>
      <c r="H512" s="56" t="n">
        <v>0</v>
      </c>
      <c r="I512" s="56" t="n">
        <v>16</v>
      </c>
      <c r="J512" s="56" t="n">
        <v>0</v>
      </c>
      <c r="K512" s="56" t="n">
        <v>1013.9</v>
      </c>
      <c r="L512" s="56" t="n">
        <v>0</v>
      </c>
      <c r="M512" s="56" t="n">
        <v>77</v>
      </c>
      <c r="N512" s="56" t="n">
        <v>0.1</v>
      </c>
      <c r="O512" s="56" t="n">
        <f aca="false">IF(D512=1,"",E511)</f>
        <v>18.9</v>
      </c>
      <c r="P512" s="56" t="n">
        <f aca="false">IF(OR(D512=1,K511=""),"",K511)</f>
        <v>1016.6</v>
      </c>
      <c r="Q512" s="56" t="n">
        <f aca="false">IF(OR(F512&lt;&gt;0,AND(I512&lt;&gt;"",E512&lt;I512)),1,0)</f>
        <v>0</v>
      </c>
      <c r="R512" s="56" t="n">
        <f aca="false">IF(AND(D512&gt;1,Q512=0,ISNUMBER(O512),ISNUMBER(P512)),IF(Q511=0,1,0),0)</f>
        <v>1</v>
      </c>
      <c r="S512" s="56" t="n">
        <f aca="false">R512*(B512&gt;=Train_Start)*(B512&lt;=Train_End)</f>
        <v>1</v>
      </c>
      <c r="T512" s="84" t="n">
        <f aca="false">IF(AND(ISNUMBER(O512),ISNUMBER(P512)),Coef_A+Coef_B1*O512+Coef_B2*P512,"")</f>
        <v>19.4631210554155</v>
      </c>
      <c r="U512" s="84" t="n">
        <f aca="false">IF(AND(R512=1,ISNUMBER(T512)),E512-T512,"")</f>
        <v>-0.763121055415542</v>
      </c>
      <c r="V512" s="84" t="n">
        <f aca="false">IF(ISNUMBER(T512),T512,-99)</f>
        <v>19.4631210554155</v>
      </c>
      <c r="W512" s="84" t="n">
        <f aca="false">IF(ISNUMBER(U512),ABS(U512),"")</f>
        <v>0.763121055415542</v>
      </c>
    </row>
    <row r="513" customFormat="false" ht="15" hidden="false" customHeight="false" outlineLevel="0" collapsed="false">
      <c r="A513" s="57" t="n">
        <v>30124</v>
      </c>
      <c r="B513" s="56" t="n">
        <v>1982</v>
      </c>
      <c r="C513" s="56" t="n">
        <v>6</v>
      </c>
      <c r="D513" s="56" t="n">
        <v>53</v>
      </c>
      <c r="E513" s="56" t="n">
        <v>17.9</v>
      </c>
      <c r="F513" s="56" t="n">
        <v>0</v>
      </c>
      <c r="G513" s="56" t="n">
        <v>13.7</v>
      </c>
      <c r="H513" s="56" t="n">
        <v>0</v>
      </c>
      <c r="I513" s="56" t="n">
        <v>16.2</v>
      </c>
      <c r="J513" s="56" t="n">
        <v>0</v>
      </c>
      <c r="K513" s="56" t="n">
        <v>1006</v>
      </c>
      <c r="L513" s="56" t="n">
        <v>0</v>
      </c>
      <c r="M513" s="56" t="n">
        <v>90</v>
      </c>
      <c r="N513" s="56" t="n">
        <v>2.6</v>
      </c>
      <c r="O513" s="56" t="n">
        <f aca="false">IF(D513=1,"",E512)</f>
        <v>18.7</v>
      </c>
      <c r="P513" s="56" t="n">
        <f aca="false">IF(OR(D513=1,K512=""),"",K512)</f>
        <v>1013.9</v>
      </c>
      <c r="Q513" s="56" t="n">
        <f aca="false">IF(OR(F513&lt;&gt;0,AND(I513&lt;&gt;"",E513&lt;I513)),1,0)</f>
        <v>0</v>
      </c>
      <c r="R513" s="56" t="n">
        <f aca="false">IF(AND(D513&gt;1,Q513=0,ISNUMBER(O513),ISNUMBER(P513)),IF(Q512=0,1,0),0)</f>
        <v>1</v>
      </c>
      <c r="S513" s="56" t="n">
        <f aca="false">R513*(B513&gt;=Train_Start)*(B513&lt;=Train_End)</f>
        <v>1</v>
      </c>
      <c r="T513" s="84" t="n">
        <f aca="false">IF(AND(ISNUMBER(O513),ISNUMBER(P513)),Coef_A+Coef_B1*O513+Coef_B2*P513,"")</f>
        <v>19.2145545012952</v>
      </c>
      <c r="U513" s="84" t="n">
        <f aca="false">IF(AND(R513=1,ISNUMBER(T513)),E513-T513,"")</f>
        <v>-1.31455450129524</v>
      </c>
      <c r="V513" s="84" t="n">
        <f aca="false">IF(ISNUMBER(T513),T513,-99)</f>
        <v>19.2145545012952</v>
      </c>
      <c r="W513" s="84" t="n">
        <f aca="false">IF(ISNUMBER(U513),ABS(U513),"")</f>
        <v>1.31455450129524</v>
      </c>
    </row>
    <row r="514" customFormat="false" ht="15" hidden="false" customHeight="false" outlineLevel="0" collapsed="false">
      <c r="A514" s="57" t="n">
        <v>30125</v>
      </c>
      <c r="B514" s="56" t="n">
        <v>1982</v>
      </c>
      <c r="C514" s="56" t="n">
        <v>6</v>
      </c>
      <c r="D514" s="56" t="n">
        <v>54</v>
      </c>
      <c r="E514" s="56" t="n">
        <v>20.7</v>
      </c>
      <c r="F514" s="56" t="n">
        <v>0</v>
      </c>
      <c r="G514" s="56" t="n">
        <v>11.1</v>
      </c>
      <c r="H514" s="56" t="n">
        <v>0</v>
      </c>
      <c r="I514" s="56" t="n">
        <v>14.5</v>
      </c>
      <c r="J514" s="56" t="n">
        <v>0</v>
      </c>
      <c r="K514" s="56" t="n">
        <v>1002.7</v>
      </c>
      <c r="L514" s="56" t="n">
        <v>0</v>
      </c>
      <c r="M514" s="56" t="n">
        <v>86</v>
      </c>
      <c r="N514" s="56" t="n">
        <v>1.5</v>
      </c>
      <c r="O514" s="56" t="n">
        <f aca="false">IF(D514=1,"",E513)</f>
        <v>17.9</v>
      </c>
      <c r="P514" s="56" t="n">
        <f aca="false">IF(OR(D514=1,K513=""),"",K513)</f>
        <v>1006</v>
      </c>
      <c r="Q514" s="56" t="n">
        <f aca="false">IF(OR(F514&lt;&gt;0,AND(I514&lt;&gt;"",E514&lt;I514)),1,0)</f>
        <v>0</v>
      </c>
      <c r="R514" s="56" t="n">
        <f aca="false">IF(AND(D514&gt;1,Q514=0,ISNUMBER(O514),ISNUMBER(P514)),IF(Q513=0,1,0),0)</f>
        <v>1</v>
      </c>
      <c r="S514" s="56" t="n">
        <f aca="false">R514*(B514&gt;=Train_Start)*(B514&lt;=Train_End)</f>
        <v>1</v>
      </c>
      <c r="T514" s="84" t="n">
        <f aca="false">IF(AND(ISNUMBER(O514),ISNUMBER(P514)),Coef_A+Coef_B1*O514+Coef_B2*P514,"")</f>
        <v>18.3112609792526</v>
      </c>
      <c r="U514" s="84" t="n">
        <f aca="false">IF(AND(R514=1,ISNUMBER(T514)),E514-T514,"")</f>
        <v>2.38873902074741</v>
      </c>
      <c r="V514" s="84" t="n">
        <f aca="false">IF(ISNUMBER(T514),T514,-99)</f>
        <v>18.3112609792526</v>
      </c>
      <c r="W514" s="84" t="n">
        <f aca="false">IF(ISNUMBER(U514),ABS(U514),"")</f>
        <v>2.38873902074741</v>
      </c>
    </row>
    <row r="515" customFormat="false" ht="15" hidden="false" customHeight="false" outlineLevel="0" collapsed="false">
      <c r="A515" s="57" t="n">
        <v>30126</v>
      </c>
      <c r="B515" s="56" t="n">
        <v>1982</v>
      </c>
      <c r="C515" s="56" t="n">
        <v>6</v>
      </c>
      <c r="D515" s="56" t="n">
        <v>55</v>
      </c>
      <c r="E515" s="56" t="n">
        <v>17.6</v>
      </c>
      <c r="F515" s="56" t="n">
        <v>0</v>
      </c>
      <c r="G515" s="56" t="n">
        <v>13.3</v>
      </c>
      <c r="H515" s="56" t="n">
        <v>0</v>
      </c>
      <c r="I515" s="56" t="n">
        <v>17</v>
      </c>
      <c r="J515" s="56" t="n">
        <v>0</v>
      </c>
      <c r="K515" s="56" t="n">
        <v>1010</v>
      </c>
      <c r="L515" s="56" t="n">
        <v>0</v>
      </c>
      <c r="M515" s="56" t="n">
        <v>79</v>
      </c>
      <c r="N515" s="56" t="n">
        <v>3.2</v>
      </c>
      <c r="O515" s="56" t="n">
        <f aca="false">IF(D515=1,"",E514)</f>
        <v>20.7</v>
      </c>
      <c r="P515" s="56" t="n">
        <f aca="false">IF(OR(D515=1,K514=""),"",K514)</f>
        <v>1002.7</v>
      </c>
      <c r="Q515" s="56" t="n">
        <f aca="false">IF(OR(F515&lt;&gt;0,AND(I515&lt;&gt;"",E515&lt;I515)),1,0)</f>
        <v>0</v>
      </c>
      <c r="R515" s="56" t="n">
        <f aca="false">IF(AND(D515&gt;1,Q515=0,ISNUMBER(O515),ISNUMBER(P515)),IF(Q514=0,1,0),0)</f>
        <v>1</v>
      </c>
      <c r="S515" s="56" t="n">
        <f aca="false">R515*(B515&gt;=Train_Start)*(B515&lt;=Train_End)</f>
        <v>1</v>
      </c>
      <c r="T515" s="84" t="n">
        <f aca="false">IF(AND(ISNUMBER(O515),ISNUMBER(P515)),Coef_A+Coef_B1*O515+Coef_B2*P515,"")</f>
        <v>20.5018900674799</v>
      </c>
      <c r="U515" s="84" t="n">
        <f aca="false">IF(AND(R515=1,ISNUMBER(T515)),E515-T515,"")</f>
        <v>-2.90189006747987</v>
      </c>
      <c r="V515" s="84" t="n">
        <f aca="false">IF(ISNUMBER(T515),T515,-99)</f>
        <v>20.5018900674799</v>
      </c>
      <c r="W515" s="84" t="n">
        <f aca="false">IF(ISNUMBER(U515),ABS(U515),"")</f>
        <v>2.90189006747987</v>
      </c>
    </row>
    <row r="516" customFormat="false" ht="15" hidden="false" customHeight="false" outlineLevel="0" collapsed="false">
      <c r="A516" s="57" t="n">
        <v>30127</v>
      </c>
      <c r="B516" s="56" t="n">
        <v>1982</v>
      </c>
      <c r="C516" s="56" t="n">
        <v>6</v>
      </c>
      <c r="D516" s="56" t="n">
        <v>56</v>
      </c>
      <c r="E516" s="56" t="n">
        <v>18.5</v>
      </c>
      <c r="F516" s="56" t="n">
        <v>0</v>
      </c>
      <c r="G516" s="56" t="n">
        <v>13.3</v>
      </c>
      <c r="H516" s="56" t="n">
        <v>0</v>
      </c>
      <c r="I516" s="56" t="n">
        <v>15.4</v>
      </c>
      <c r="J516" s="56" t="n">
        <v>0</v>
      </c>
      <c r="K516" s="56" t="n">
        <v>1006.1</v>
      </c>
      <c r="L516" s="56" t="n">
        <v>0</v>
      </c>
      <c r="M516" s="56" t="n">
        <v>85</v>
      </c>
      <c r="N516" s="56" t="n">
        <v>2.3</v>
      </c>
      <c r="O516" s="56" t="n">
        <f aca="false">IF(D516=1,"",E515)</f>
        <v>17.6</v>
      </c>
      <c r="P516" s="56" t="n">
        <f aca="false">IF(OR(D516=1,K515=""),"",K515)</f>
        <v>1010</v>
      </c>
      <c r="Q516" s="56" t="n">
        <f aca="false">IF(OR(F516&lt;&gt;0,AND(I516&lt;&gt;"",E516&lt;I516)),1,0)</f>
        <v>0</v>
      </c>
      <c r="R516" s="56" t="n">
        <f aca="false">IF(AND(D516&gt;1,Q516=0,ISNUMBER(O516),ISNUMBER(P516)),IF(Q515=0,1,0),0)</f>
        <v>1</v>
      </c>
      <c r="S516" s="56" t="n">
        <f aca="false">R516*(B516&gt;=Train_Start)*(B516&lt;=Train_End)</f>
        <v>1</v>
      </c>
      <c r="T516" s="84" t="n">
        <f aca="false">IF(AND(ISNUMBER(O516),ISNUMBER(P516)),Coef_A+Coef_B1*O516+Coef_B2*P516,"")</f>
        <v>18.1909387998758</v>
      </c>
      <c r="U516" s="84" t="n">
        <f aca="false">IF(AND(R516=1,ISNUMBER(T516)),E516-T516,"")</f>
        <v>0.309061200124241</v>
      </c>
      <c r="V516" s="84" t="n">
        <f aca="false">IF(ISNUMBER(T516),T516,-99)</f>
        <v>18.1909387998758</v>
      </c>
      <c r="W516" s="84" t="n">
        <f aca="false">IF(ISNUMBER(U516),ABS(U516),"")</f>
        <v>0.309061200124241</v>
      </c>
    </row>
    <row r="517" customFormat="false" ht="15" hidden="false" customHeight="false" outlineLevel="0" collapsed="false">
      <c r="A517" s="57" t="n">
        <v>30128</v>
      </c>
      <c r="B517" s="56" t="n">
        <v>1982</v>
      </c>
      <c r="C517" s="56" t="n">
        <v>6</v>
      </c>
      <c r="D517" s="56" t="n">
        <v>57</v>
      </c>
      <c r="E517" s="56" t="n">
        <v>21.1</v>
      </c>
      <c r="F517" s="56" t="n">
        <v>0</v>
      </c>
      <c r="G517" s="56" t="n">
        <v>12.3</v>
      </c>
      <c r="H517" s="56" t="n">
        <v>0</v>
      </c>
      <c r="I517" s="56" t="n">
        <v>15.4</v>
      </c>
      <c r="J517" s="56" t="n">
        <v>0</v>
      </c>
      <c r="K517" s="56" t="n">
        <v>1003.9</v>
      </c>
      <c r="L517" s="56" t="n">
        <v>0</v>
      </c>
      <c r="M517" s="56" t="n">
        <v>86</v>
      </c>
      <c r="N517" s="56" t="n">
        <v>1.5</v>
      </c>
      <c r="O517" s="56" t="n">
        <f aca="false">IF(D517=1,"",E516)</f>
        <v>18.5</v>
      </c>
      <c r="P517" s="56" t="n">
        <f aca="false">IF(OR(D517=1,K516=""),"",K516)</f>
        <v>1006.1</v>
      </c>
      <c r="Q517" s="56" t="n">
        <f aca="false">IF(OR(F517&lt;&gt;0,AND(I517&lt;&gt;"",E517&lt;I517)),1,0)</f>
        <v>0</v>
      </c>
      <c r="R517" s="56" t="n">
        <f aca="false">IF(AND(D517&gt;1,Q517=0,ISNUMBER(O517),ISNUMBER(P517)),IF(Q516=0,1,0),0)</f>
        <v>1</v>
      </c>
      <c r="S517" s="56" t="n">
        <f aca="false">R517*(B517&gt;=Train_Start)*(B517&lt;=Train_End)</f>
        <v>1</v>
      </c>
      <c r="T517" s="84" t="n">
        <f aca="false">IF(AND(ISNUMBER(O517),ISNUMBER(P517)),Coef_A+Coef_B1*O517+Coef_B2*P517,"")</f>
        <v>18.8060014845416</v>
      </c>
      <c r="U517" s="84" t="n">
        <f aca="false">IF(AND(R517=1,ISNUMBER(T517)),E517-T517,"")</f>
        <v>2.29399851545841</v>
      </c>
      <c r="V517" s="84" t="n">
        <f aca="false">IF(ISNUMBER(T517),T517,-99)</f>
        <v>18.8060014845416</v>
      </c>
      <c r="W517" s="84" t="n">
        <f aca="false">IF(ISNUMBER(U517),ABS(U517),"")</f>
        <v>2.29399851545841</v>
      </c>
    </row>
    <row r="518" customFormat="false" ht="15" hidden="false" customHeight="false" outlineLevel="0" collapsed="false">
      <c r="A518" s="57" t="n">
        <v>30129</v>
      </c>
      <c r="B518" s="56" t="n">
        <v>1982</v>
      </c>
      <c r="C518" s="56" t="n">
        <v>6</v>
      </c>
      <c r="D518" s="56" t="n">
        <v>58</v>
      </c>
      <c r="E518" s="56" t="n">
        <v>19.3</v>
      </c>
      <c r="F518" s="56" t="n">
        <v>0</v>
      </c>
      <c r="G518" s="56" t="n">
        <v>13.1</v>
      </c>
      <c r="H518" s="56" t="n">
        <v>0</v>
      </c>
      <c r="I518" s="56" t="n">
        <v>17.1</v>
      </c>
      <c r="J518" s="56" t="n">
        <v>0</v>
      </c>
      <c r="K518" s="56" t="n">
        <v>1008.7</v>
      </c>
      <c r="L518" s="56" t="n">
        <v>0</v>
      </c>
      <c r="M518" s="56" t="n">
        <v>79</v>
      </c>
      <c r="N518" s="56" t="n">
        <v>2.8</v>
      </c>
      <c r="O518" s="56" t="n">
        <f aca="false">IF(D518=1,"",E517)</f>
        <v>21.1</v>
      </c>
      <c r="P518" s="56" t="n">
        <f aca="false">IF(OR(D518=1,K517=""),"",K517)</f>
        <v>1003.9</v>
      </c>
      <c r="Q518" s="56" t="n">
        <f aca="false">IF(OR(F518&lt;&gt;0,AND(I518&lt;&gt;"",E518&lt;I518)),1,0)</f>
        <v>0</v>
      </c>
      <c r="R518" s="56" t="n">
        <f aca="false">IF(AND(D518&gt;1,Q518=0,ISNUMBER(O518),ISNUMBER(P518)),IF(Q517=0,1,0),0)</f>
        <v>1</v>
      </c>
      <c r="S518" s="56" t="n">
        <f aca="false">R518*(B518&gt;=Train_Start)*(B518&lt;=Train_End)</f>
        <v>1</v>
      </c>
      <c r="T518" s="84" t="n">
        <f aca="false">IF(AND(ISNUMBER(O518),ISNUMBER(P518)),Coef_A+Coef_B1*O518+Coef_B2*P518,"")</f>
        <v>20.8672696182577</v>
      </c>
      <c r="U518" s="84" t="n">
        <f aca="false">IF(AND(R518=1,ISNUMBER(T518)),E518-T518,"")</f>
        <v>-1.56726961825772</v>
      </c>
      <c r="V518" s="84" t="n">
        <f aca="false">IF(ISNUMBER(T518),T518,-99)</f>
        <v>20.8672696182577</v>
      </c>
      <c r="W518" s="84" t="n">
        <f aca="false">IF(ISNUMBER(U518),ABS(U518),"")</f>
        <v>1.56726961825772</v>
      </c>
    </row>
    <row r="519" customFormat="false" ht="15" hidden="false" customHeight="false" outlineLevel="0" collapsed="false">
      <c r="A519" s="57" t="n">
        <v>30130</v>
      </c>
      <c r="B519" s="56" t="n">
        <v>1982</v>
      </c>
      <c r="C519" s="56" t="n">
        <v>6</v>
      </c>
      <c r="D519" s="56" t="n">
        <v>59</v>
      </c>
      <c r="E519" s="56" t="n">
        <v>20.5</v>
      </c>
      <c r="F519" s="56" t="n">
        <v>0</v>
      </c>
      <c r="G519" s="56" t="n">
        <v>12.4</v>
      </c>
      <c r="H519" s="56" t="n">
        <v>0</v>
      </c>
      <c r="I519" s="56" t="n">
        <v>15.8</v>
      </c>
      <c r="J519" s="56" t="n">
        <v>0</v>
      </c>
      <c r="K519" s="56" t="n">
        <v>1007.7</v>
      </c>
      <c r="L519" s="56" t="n">
        <v>0</v>
      </c>
      <c r="M519" s="56" t="n">
        <v>75</v>
      </c>
      <c r="N519" s="56" t="n">
        <v>8.8</v>
      </c>
      <c r="O519" s="56" t="n">
        <f aca="false">IF(D519=1,"",E518)</f>
        <v>19.3</v>
      </c>
      <c r="P519" s="56" t="n">
        <f aca="false">IF(OR(D519=1,K518=""),"",K518)</f>
        <v>1008.7</v>
      </c>
      <c r="Q519" s="56" t="n">
        <f aca="false">IF(OR(F519&lt;&gt;0,AND(I519&lt;&gt;"",E519&lt;I519)),1,0)</f>
        <v>0</v>
      </c>
      <c r="R519" s="56" t="n">
        <f aca="false">IF(AND(D519&gt;1,Q519=0,ISNUMBER(O519),ISNUMBER(P519)),IF(Q518=0,1,0),0)</f>
        <v>1</v>
      </c>
      <c r="S519" s="56" t="n">
        <f aca="false">R519*(B519&gt;=Train_Start)*(B519&lt;=Train_End)</f>
        <v>1</v>
      </c>
      <c r="T519" s="84" t="n">
        <f aca="false">IF(AND(ISNUMBER(O519),ISNUMBER(P519)),Coef_A+Coef_B1*O519+Coef_B2*P519,"")</f>
        <v>19.5430345650241</v>
      </c>
      <c r="U519" s="84" t="n">
        <f aca="false">IF(AND(R519=1,ISNUMBER(T519)),E519-T519,"")</f>
        <v>0.956965434975906</v>
      </c>
      <c r="V519" s="84" t="n">
        <f aca="false">IF(ISNUMBER(T519),T519,-99)</f>
        <v>19.5430345650241</v>
      </c>
      <c r="W519" s="84" t="n">
        <f aca="false">IF(ISNUMBER(U519),ABS(U519),"")</f>
        <v>0.956965434975906</v>
      </c>
    </row>
    <row r="520" customFormat="false" ht="15" hidden="false" customHeight="false" outlineLevel="0" collapsed="false">
      <c r="A520" s="57" t="n">
        <v>30131</v>
      </c>
      <c r="B520" s="56" t="n">
        <v>1982</v>
      </c>
      <c r="C520" s="56" t="n">
        <v>6</v>
      </c>
      <c r="D520" s="56" t="n">
        <v>60</v>
      </c>
      <c r="E520" s="56" t="n">
        <v>21.8</v>
      </c>
      <c r="F520" s="56" t="n">
        <v>0</v>
      </c>
      <c r="G520" s="56" t="n">
        <v>11.2</v>
      </c>
      <c r="H520" s="56" t="n">
        <v>0</v>
      </c>
      <c r="I520" s="56" t="n">
        <v>15.8</v>
      </c>
      <c r="J520" s="56" t="n">
        <v>0</v>
      </c>
      <c r="K520" s="56" t="n">
        <v>1014.3</v>
      </c>
      <c r="L520" s="56" t="n">
        <v>0</v>
      </c>
      <c r="M520" s="56" t="n">
        <v>70</v>
      </c>
      <c r="N520" s="56" t="n">
        <v>9.1</v>
      </c>
      <c r="O520" s="56" t="n">
        <f aca="false">IF(D520=1,"",E519)</f>
        <v>20.5</v>
      </c>
      <c r="P520" s="56" t="n">
        <f aca="false">IF(OR(D520=1,K519=""),"",K519)</f>
        <v>1007.7</v>
      </c>
      <c r="Q520" s="56" t="n">
        <f aca="false">IF(OR(F520&lt;&gt;0,AND(I520&lt;&gt;"",E520&lt;I520)),1,0)</f>
        <v>0</v>
      </c>
      <c r="R520" s="56" t="n">
        <f aca="false">IF(AND(D520&gt;1,Q520=0,ISNUMBER(O520),ISNUMBER(P520)),IF(Q519=0,1,0),0)</f>
        <v>1</v>
      </c>
      <c r="S520" s="56" t="n">
        <f aca="false">R520*(B520&gt;=Train_Start)*(B520&lt;=Train_End)</f>
        <v>1</v>
      </c>
      <c r="T520" s="84" t="n">
        <f aca="false">IF(AND(ISNUMBER(O520),ISNUMBER(P520)),Coef_A+Coef_B1*O520+Coef_B2*P520,"")</f>
        <v>20.4948717020413</v>
      </c>
      <c r="U520" s="84" t="n">
        <f aca="false">IF(AND(R520=1,ISNUMBER(T520)),E520-T520,"")</f>
        <v>1.30512829795871</v>
      </c>
      <c r="V520" s="84" t="n">
        <f aca="false">IF(ISNUMBER(T520),T520,-99)</f>
        <v>20.4948717020413</v>
      </c>
      <c r="W520" s="84" t="n">
        <f aca="false">IF(ISNUMBER(U520),ABS(U520),"")</f>
        <v>1.30512829795871</v>
      </c>
    </row>
    <row r="521" customFormat="false" ht="15" hidden="false" customHeight="false" outlineLevel="0" collapsed="false">
      <c r="A521" s="57" t="n">
        <v>30132</v>
      </c>
      <c r="B521" s="56" t="n">
        <v>1982</v>
      </c>
      <c r="C521" s="56" t="n">
        <v>6</v>
      </c>
      <c r="D521" s="56" t="n">
        <v>61</v>
      </c>
      <c r="E521" s="56" t="n">
        <v>18.7</v>
      </c>
      <c r="F521" s="56" t="n">
        <v>0</v>
      </c>
      <c r="G521" s="56" t="n">
        <v>9.5</v>
      </c>
      <c r="H521" s="56" t="n">
        <v>0</v>
      </c>
      <c r="I521" s="56" t="n">
        <v>15.6</v>
      </c>
      <c r="J521" s="56" t="n">
        <v>0</v>
      </c>
      <c r="K521" s="56" t="n">
        <v>1022.6</v>
      </c>
      <c r="L521" s="56" t="n">
        <v>0</v>
      </c>
      <c r="M521" s="56" t="n">
        <v>69</v>
      </c>
      <c r="N521" s="56" t="n">
        <v>9.1</v>
      </c>
      <c r="O521" s="56" t="n">
        <f aca="false">IF(D521=1,"",E520)</f>
        <v>21.8</v>
      </c>
      <c r="P521" s="56" t="n">
        <f aca="false">IF(OR(D521=1,K520=""),"",K520)</f>
        <v>1014.3</v>
      </c>
      <c r="Q521" s="56" t="n">
        <f aca="false">IF(OR(F521&lt;&gt;0,AND(I521&lt;&gt;"",E521&lt;I521)),1,0)</f>
        <v>0</v>
      </c>
      <c r="R521" s="56" t="n">
        <f aca="false">IF(AND(D521&gt;1,Q521=0,ISNUMBER(O521),ISNUMBER(P521)),IF(Q520=0,1,0),0)</f>
        <v>1</v>
      </c>
      <c r="S521" s="56" t="n">
        <f aca="false">R521*(B521&gt;=Train_Start)*(B521&lt;=Train_End)</f>
        <v>1</v>
      </c>
      <c r="T521" s="84" t="n">
        <f aca="false">IF(AND(ISNUMBER(O521),ISNUMBER(P521)),Coef_A+Coef_B1*O521+Coef_B2*P521,"")</f>
        <v>21.7670539575811</v>
      </c>
      <c r="U521" s="84" t="n">
        <f aca="false">IF(AND(R521=1,ISNUMBER(T521)),E521-T521,"")</f>
        <v>-3.06705395758107</v>
      </c>
      <c r="V521" s="84" t="n">
        <f aca="false">IF(ISNUMBER(T521),T521,-99)</f>
        <v>21.7670539575811</v>
      </c>
      <c r="W521" s="84" t="n">
        <f aca="false">IF(ISNUMBER(U521),ABS(U521),"")</f>
        <v>3.06705395758107</v>
      </c>
    </row>
    <row r="522" customFormat="false" ht="15" hidden="false" customHeight="false" outlineLevel="0" collapsed="false">
      <c r="A522" s="57" t="n">
        <v>30133</v>
      </c>
      <c r="B522" s="56" t="n">
        <v>1982</v>
      </c>
      <c r="C522" s="56" t="n">
        <v>7</v>
      </c>
      <c r="D522" s="56" t="n">
        <v>62</v>
      </c>
      <c r="E522" s="56" t="n">
        <v>22.4</v>
      </c>
      <c r="F522" s="56" t="n">
        <v>0</v>
      </c>
      <c r="G522" s="56" t="n">
        <v>13.1</v>
      </c>
      <c r="H522" s="56" t="n">
        <v>0</v>
      </c>
      <c r="I522" s="56" t="n">
        <v>15.9</v>
      </c>
      <c r="J522" s="56" t="n">
        <v>0</v>
      </c>
      <c r="K522" s="56" t="n">
        <v>1020.2</v>
      </c>
      <c r="L522" s="56" t="n">
        <v>0</v>
      </c>
      <c r="M522" s="56" t="n">
        <v>85</v>
      </c>
      <c r="N522" s="56" t="n">
        <v>0.2</v>
      </c>
      <c r="O522" s="56" t="n">
        <f aca="false">IF(D522=1,"",E521)</f>
        <v>18.7</v>
      </c>
      <c r="P522" s="56" t="n">
        <f aca="false">IF(OR(D522=1,K521=""),"",K521)</f>
        <v>1022.6</v>
      </c>
      <c r="Q522" s="56" t="n">
        <f aca="false">IF(OR(F522&lt;&gt;0,AND(I522&lt;&gt;"",E522&lt;I522)),1,0)</f>
        <v>0</v>
      </c>
      <c r="R522" s="56" t="n">
        <f aca="false">IF(AND(D522&gt;1,Q522=0,ISNUMBER(O522),ISNUMBER(P522)),IF(Q521=0,1,0),0)</f>
        <v>1</v>
      </c>
      <c r="S522" s="56" t="n">
        <f aca="false">R522*(B522&gt;=Train_Start)*(B522&lt;=Train_End)</f>
        <v>1</v>
      </c>
      <c r="T522" s="84" t="n">
        <f aca="false">IF(AND(ISNUMBER(O522),ISNUMBER(P522)),Coef_A+Coef_B1*O522+Coef_B2*P522,"")</f>
        <v>19.487472584611</v>
      </c>
      <c r="U522" s="84" t="n">
        <f aca="false">IF(AND(R522=1,ISNUMBER(T522)),E522-T522,"")</f>
        <v>2.91252741538905</v>
      </c>
      <c r="V522" s="84" t="n">
        <f aca="false">IF(ISNUMBER(T522),T522,-99)</f>
        <v>19.487472584611</v>
      </c>
      <c r="W522" s="84" t="n">
        <f aca="false">IF(ISNUMBER(U522),ABS(U522),"")</f>
        <v>2.91252741538905</v>
      </c>
    </row>
    <row r="523" customFormat="false" ht="15" hidden="false" customHeight="false" outlineLevel="0" collapsed="false">
      <c r="A523" s="57" t="n">
        <v>30134</v>
      </c>
      <c r="B523" s="56" t="n">
        <v>1982</v>
      </c>
      <c r="C523" s="56" t="n">
        <v>7</v>
      </c>
      <c r="D523" s="56" t="n">
        <v>63</v>
      </c>
      <c r="E523" s="56" t="n">
        <v>20.4</v>
      </c>
      <c r="F523" s="56" t="n">
        <v>0</v>
      </c>
      <c r="G523" s="56" t="n">
        <v>13.6</v>
      </c>
      <c r="H523" s="56" t="n">
        <v>0</v>
      </c>
      <c r="I523" s="56" t="n">
        <v>18</v>
      </c>
      <c r="J523" s="56" t="n">
        <v>0</v>
      </c>
      <c r="K523" s="56" t="n">
        <v>1011.5</v>
      </c>
      <c r="L523" s="56" t="n">
        <v>0</v>
      </c>
      <c r="M523" s="56" t="n">
        <v>77</v>
      </c>
      <c r="N523" s="56" t="n">
        <v>3.6</v>
      </c>
      <c r="O523" s="56" t="n">
        <f aca="false">IF(D523=1,"",E522)</f>
        <v>22.4</v>
      </c>
      <c r="P523" s="56" t="n">
        <f aca="false">IF(OR(D523=1,K522=""),"",K522)</f>
        <v>1020.2</v>
      </c>
      <c r="Q523" s="56" t="n">
        <f aca="false">IF(OR(F523&lt;&gt;0,AND(I523&lt;&gt;"",E523&lt;I523)),1,0)</f>
        <v>0</v>
      </c>
      <c r="R523" s="56" t="n">
        <f aca="false">IF(AND(D523&gt;1,Q523=0,ISNUMBER(O523),ISNUMBER(P523)),IF(Q522=0,1,0),0)</f>
        <v>1</v>
      </c>
      <c r="S523" s="56" t="n">
        <f aca="false">R523*(B523&gt;=Train_Start)*(B523&lt;=Train_End)</f>
        <v>1</v>
      </c>
      <c r="T523" s="84" t="n">
        <f aca="false">IF(AND(ISNUMBER(O523),ISNUMBER(P523)),Coef_A+Coef_B1*O523+Coef_B2*P523,"")</f>
        <v>22.4437398517472</v>
      </c>
      <c r="U523" s="84" t="n">
        <f aca="false">IF(AND(R523=1,ISNUMBER(T523)),E523-T523,"")</f>
        <v>-2.0437398517472</v>
      </c>
      <c r="V523" s="84" t="n">
        <f aca="false">IF(ISNUMBER(T523),T523,-99)</f>
        <v>22.4437398517472</v>
      </c>
      <c r="W523" s="84" t="n">
        <f aca="false">IF(ISNUMBER(U523),ABS(U523),"")</f>
        <v>2.0437398517472</v>
      </c>
    </row>
    <row r="524" customFormat="false" ht="15" hidden="false" customHeight="false" outlineLevel="0" collapsed="false">
      <c r="A524" s="57" t="n">
        <v>30135</v>
      </c>
      <c r="B524" s="56" t="n">
        <v>1982</v>
      </c>
      <c r="C524" s="56" t="n">
        <v>7</v>
      </c>
      <c r="D524" s="56" t="n">
        <v>64</v>
      </c>
      <c r="E524" s="56" t="n">
        <v>19.3</v>
      </c>
      <c r="F524" s="56" t="n">
        <v>0</v>
      </c>
      <c r="G524" s="56" t="n">
        <v>11.9</v>
      </c>
      <c r="H524" s="56" t="n">
        <v>0</v>
      </c>
      <c r="I524" s="56" t="n">
        <v>16.2</v>
      </c>
      <c r="J524" s="56" t="n">
        <v>0</v>
      </c>
      <c r="K524" s="56" t="n">
        <v>1010.8</v>
      </c>
      <c r="L524" s="56" t="n">
        <v>0</v>
      </c>
      <c r="M524" s="56" t="n">
        <v>69</v>
      </c>
      <c r="N524" s="56" t="n">
        <v>5.7</v>
      </c>
      <c r="O524" s="56" t="n">
        <f aca="false">IF(D524=1,"",E523)</f>
        <v>20.4</v>
      </c>
      <c r="P524" s="56" t="n">
        <f aca="false">IF(OR(D524=1,K523=""),"",K523)</f>
        <v>1011.5</v>
      </c>
      <c r="Q524" s="56" t="n">
        <f aca="false">IF(OR(F524&lt;&gt;0,AND(I524&lt;&gt;"",E524&lt;I524)),1,0)</f>
        <v>0</v>
      </c>
      <c r="R524" s="56" t="n">
        <f aca="false">IF(AND(D524&gt;1,Q524=0,ISNUMBER(O524),ISNUMBER(P524)),IF(Q523=0,1,0),0)</f>
        <v>1</v>
      </c>
      <c r="S524" s="56" t="n">
        <f aca="false">R524*(B524&gt;=Train_Start)*(B524&lt;=Train_End)</f>
        <v>1</v>
      </c>
      <c r="T524" s="84" t="n">
        <f aca="false">IF(AND(ISNUMBER(O524),ISNUMBER(P524)),Coef_A+Coef_B1*O524+Coef_B2*P524,"")</f>
        <v>20.5321433823462</v>
      </c>
      <c r="U524" s="84" t="n">
        <f aca="false">IF(AND(R524=1,ISNUMBER(T524)),E524-T524,"")</f>
        <v>-1.23214338234618</v>
      </c>
      <c r="V524" s="84" t="n">
        <f aca="false">IF(ISNUMBER(T524),T524,-99)</f>
        <v>20.5321433823462</v>
      </c>
      <c r="W524" s="84" t="n">
        <f aca="false">IF(ISNUMBER(U524),ABS(U524),"")</f>
        <v>1.23214338234618</v>
      </c>
    </row>
    <row r="525" customFormat="false" ht="15" hidden="false" customHeight="false" outlineLevel="0" collapsed="false">
      <c r="A525" s="57" t="n">
        <v>30136</v>
      </c>
      <c r="B525" s="56" t="n">
        <v>1982</v>
      </c>
      <c r="C525" s="56" t="n">
        <v>7</v>
      </c>
      <c r="D525" s="56" t="n">
        <v>65</v>
      </c>
      <c r="E525" s="56" t="n">
        <v>22.6</v>
      </c>
      <c r="F525" s="56" t="n">
        <v>0</v>
      </c>
      <c r="G525" s="56" t="n">
        <v>9</v>
      </c>
      <c r="H525" s="56" t="n">
        <v>0</v>
      </c>
      <c r="I525" s="56" t="n">
        <v>14.2</v>
      </c>
      <c r="J525" s="56" t="n">
        <v>0</v>
      </c>
      <c r="K525" s="56" t="n">
        <v>1018.6</v>
      </c>
      <c r="L525" s="56" t="n">
        <v>0</v>
      </c>
      <c r="M525" s="56" t="n">
        <v>73</v>
      </c>
      <c r="N525" s="56" t="n">
        <v>1.5</v>
      </c>
      <c r="O525" s="56" t="n">
        <f aca="false">IF(D525=1,"",E524)</f>
        <v>19.3</v>
      </c>
      <c r="P525" s="56" t="n">
        <f aca="false">IF(OR(D525=1,K524=""),"",K524)</f>
        <v>1010.8</v>
      </c>
      <c r="Q525" s="56" t="n">
        <f aca="false">IF(OR(F525&lt;&gt;0,AND(I525&lt;&gt;"",E525&lt;I525)),1,0)</f>
        <v>0</v>
      </c>
      <c r="R525" s="56" t="n">
        <f aca="false">IF(AND(D525&gt;1,Q525=0,ISNUMBER(O525),ISNUMBER(P525)),IF(Q524=0,1,0),0)</f>
        <v>1</v>
      </c>
      <c r="S525" s="56" t="n">
        <f aca="false">R525*(B525&gt;=Train_Start)*(B525&lt;=Train_End)</f>
        <v>1</v>
      </c>
      <c r="T525" s="84" t="n">
        <f aca="false">IF(AND(ISNUMBER(O525),ISNUMBER(P525)),Coef_A+Coef_B1*O525+Coef_B2*P525,"")</f>
        <v>19.6089113437555</v>
      </c>
      <c r="U525" s="84" t="n">
        <f aca="false">IF(AND(R525=1,ISNUMBER(T525)),E525-T525,"")</f>
        <v>2.99108865624454</v>
      </c>
      <c r="V525" s="84" t="n">
        <f aca="false">IF(ISNUMBER(T525),T525,-99)</f>
        <v>19.6089113437555</v>
      </c>
      <c r="W525" s="84" t="n">
        <f aca="false">IF(ISNUMBER(U525),ABS(U525),"")</f>
        <v>2.99108865624454</v>
      </c>
    </row>
    <row r="526" customFormat="false" ht="15" hidden="false" customHeight="false" outlineLevel="0" collapsed="false">
      <c r="A526" s="57" t="n">
        <v>30137</v>
      </c>
      <c r="B526" s="56" t="n">
        <v>1982</v>
      </c>
      <c r="C526" s="56" t="n">
        <v>7</v>
      </c>
      <c r="D526" s="56" t="n">
        <v>66</v>
      </c>
      <c r="E526" s="56" t="n">
        <v>24</v>
      </c>
      <c r="F526" s="56" t="n">
        <v>0</v>
      </c>
      <c r="G526" s="56" t="n">
        <v>11.3</v>
      </c>
      <c r="H526" s="56" t="n">
        <v>0</v>
      </c>
      <c r="I526" s="56" t="n">
        <v>17</v>
      </c>
      <c r="J526" s="56" t="n">
        <v>0</v>
      </c>
      <c r="K526" s="56" t="n">
        <v>1020.6</v>
      </c>
      <c r="L526" s="56" t="n">
        <v>0</v>
      </c>
      <c r="M526" s="56" t="n">
        <v>70</v>
      </c>
      <c r="N526" s="56" t="n">
        <v>8</v>
      </c>
      <c r="O526" s="56" t="n">
        <f aca="false">IF(D526=1,"",E525)</f>
        <v>22.6</v>
      </c>
      <c r="P526" s="56" t="n">
        <f aca="false">IF(OR(D526=1,K525=""),"",K525)</f>
        <v>1018.6</v>
      </c>
      <c r="Q526" s="56" t="n">
        <f aca="false">IF(OR(F526&lt;&gt;0,AND(I526&lt;&gt;"",E526&lt;I526)),1,0)</f>
        <v>0</v>
      </c>
      <c r="R526" s="56" t="n">
        <f aca="false">IF(AND(D526&gt;1,Q526=0,ISNUMBER(O526),ISNUMBER(P526)),IF(Q525=0,1,0),0)</f>
        <v>1</v>
      </c>
      <c r="S526" s="56" t="n">
        <f aca="false">R526*(B526&gt;=Train_Start)*(B526&lt;=Train_End)</f>
        <v>1</v>
      </c>
      <c r="T526" s="84" t="n">
        <f aca="false">IF(AND(ISNUMBER(O526),ISNUMBER(P526)),Coef_A+Coef_B1*O526+Coef_B2*P526,"")</f>
        <v>22.5574158589414</v>
      </c>
      <c r="U526" s="84" t="n">
        <f aca="false">IF(AND(R526=1,ISNUMBER(T526)),E526-T526,"")</f>
        <v>1.44258414105864</v>
      </c>
      <c r="V526" s="84" t="n">
        <f aca="false">IF(ISNUMBER(T526),T526,-99)</f>
        <v>22.5574158589414</v>
      </c>
      <c r="W526" s="84" t="n">
        <f aca="false">IF(ISNUMBER(U526),ABS(U526),"")</f>
        <v>1.44258414105864</v>
      </c>
    </row>
    <row r="527" customFormat="false" ht="15" hidden="false" customHeight="false" outlineLevel="0" collapsed="false">
      <c r="A527" s="57" t="n">
        <v>30138</v>
      </c>
      <c r="B527" s="56" t="n">
        <v>1982</v>
      </c>
      <c r="C527" s="56" t="n">
        <v>7</v>
      </c>
      <c r="D527" s="56" t="n">
        <v>67</v>
      </c>
      <c r="E527" s="56" t="n">
        <v>24.2</v>
      </c>
      <c r="F527" s="56" t="n">
        <v>0</v>
      </c>
      <c r="G527" s="56" t="n">
        <v>13.5</v>
      </c>
      <c r="H527" s="56" t="n">
        <v>0</v>
      </c>
      <c r="I527" s="56" t="n">
        <v>18.8</v>
      </c>
      <c r="J527" s="56" t="n">
        <v>0</v>
      </c>
      <c r="K527" s="56" t="n">
        <v>1018.7</v>
      </c>
      <c r="L527" s="56" t="n">
        <v>0</v>
      </c>
      <c r="M527" s="56" t="n">
        <v>76</v>
      </c>
      <c r="N527" s="56" t="n">
        <v>6.1</v>
      </c>
      <c r="O527" s="56" t="n">
        <f aca="false">IF(D527=1,"",E526)</f>
        <v>24</v>
      </c>
      <c r="P527" s="56" t="n">
        <f aca="false">IF(OR(D527=1,K526=""),"",K526)</f>
        <v>1020.6</v>
      </c>
      <c r="Q527" s="56" t="n">
        <f aca="false">IF(OR(F527&lt;&gt;0,AND(I527&lt;&gt;"",E527&lt;I527)),1,0)</f>
        <v>0</v>
      </c>
      <c r="R527" s="56" t="n">
        <f aca="false">IF(AND(D527&gt;1,Q527=0,ISNUMBER(O527),ISNUMBER(P527)),IF(Q526=0,1,0),0)</f>
        <v>1</v>
      </c>
      <c r="S527" s="56" t="n">
        <f aca="false">R527*(B527&gt;=Train_Start)*(B527&lt;=Train_End)</f>
        <v>1</v>
      </c>
      <c r="T527" s="84" t="n">
        <f aca="false">IF(AND(ISNUMBER(O527),ISNUMBER(P527)),Coef_A+Coef_B1*O527+Coef_B2*P527,"")</f>
        <v>23.7672305184691</v>
      </c>
      <c r="U527" s="84" t="n">
        <f aca="false">IF(AND(R527=1,ISNUMBER(T527)),E527-T527,"")</f>
        <v>0.432769481530944</v>
      </c>
      <c r="V527" s="84" t="n">
        <f aca="false">IF(ISNUMBER(T527),T527,-99)</f>
        <v>23.7672305184691</v>
      </c>
      <c r="W527" s="84" t="n">
        <f aca="false">IF(ISNUMBER(U527),ABS(U527),"")</f>
        <v>0.432769481530944</v>
      </c>
    </row>
    <row r="528" customFormat="false" ht="15" hidden="false" customHeight="false" outlineLevel="0" collapsed="false">
      <c r="A528" s="57" t="n">
        <v>30139</v>
      </c>
      <c r="B528" s="56" t="n">
        <v>1982</v>
      </c>
      <c r="C528" s="56" t="n">
        <v>7</v>
      </c>
      <c r="D528" s="56" t="n">
        <v>68</v>
      </c>
      <c r="E528" s="56" t="n">
        <v>28.4</v>
      </c>
      <c r="F528" s="56" t="n">
        <v>0</v>
      </c>
      <c r="G528" s="56" t="n">
        <v>12.3</v>
      </c>
      <c r="H528" s="56" t="n">
        <v>0</v>
      </c>
      <c r="I528" s="56" t="n">
        <v>18.2</v>
      </c>
      <c r="J528" s="56" t="n">
        <v>0</v>
      </c>
      <c r="K528" s="56" t="n">
        <v>1021.1</v>
      </c>
      <c r="L528" s="56" t="n">
        <v>0</v>
      </c>
      <c r="M528" s="56" t="n">
        <v>76</v>
      </c>
      <c r="N528" s="56" t="n">
        <v>8.2</v>
      </c>
      <c r="O528" s="56" t="n">
        <f aca="false">IF(D528=1,"",E527)</f>
        <v>24.2</v>
      </c>
      <c r="P528" s="56" t="n">
        <f aca="false">IF(OR(D528=1,K527=""),"",K527)</f>
        <v>1018.7</v>
      </c>
      <c r="Q528" s="56" t="n">
        <f aca="false">IF(OR(F528&lt;&gt;0,AND(I528&lt;&gt;"",E528&lt;I528)),1,0)</f>
        <v>0</v>
      </c>
      <c r="R528" s="56" t="n">
        <f aca="false">IF(AND(D528&gt;1,Q528=0,ISNUMBER(O528),ISNUMBER(P528)),IF(Q527=0,1,0),0)</f>
        <v>1</v>
      </c>
      <c r="S528" s="56" t="n">
        <f aca="false">R528*(B528&gt;=Train_Start)*(B528&lt;=Train_End)</f>
        <v>1</v>
      </c>
      <c r="T528" s="84" t="n">
        <f aca="false">IF(AND(ISNUMBER(O528),ISNUMBER(P528)),Coef_A+Coef_B1*O528+Coef_B2*P528,"")</f>
        <v>23.871495557273</v>
      </c>
      <c r="U528" s="84" t="n">
        <f aca="false">IF(AND(R528=1,ISNUMBER(T528)),E528-T528,"")</f>
        <v>4.52850444272699</v>
      </c>
      <c r="V528" s="84" t="n">
        <f aca="false">IF(ISNUMBER(T528),T528,-99)</f>
        <v>23.871495557273</v>
      </c>
      <c r="W528" s="84" t="n">
        <f aca="false">IF(ISNUMBER(U528),ABS(U528),"")</f>
        <v>4.52850444272699</v>
      </c>
    </row>
    <row r="529" customFormat="false" ht="15" hidden="false" customHeight="false" outlineLevel="0" collapsed="false">
      <c r="A529" s="57" t="n">
        <v>30140</v>
      </c>
      <c r="B529" s="56" t="n">
        <v>1982</v>
      </c>
      <c r="C529" s="56" t="n">
        <v>7</v>
      </c>
      <c r="D529" s="56" t="n">
        <v>69</v>
      </c>
      <c r="E529" s="56" t="n">
        <v>27.6</v>
      </c>
      <c r="F529" s="56" t="n">
        <v>0</v>
      </c>
      <c r="G529" s="56" t="n">
        <v>14.2</v>
      </c>
      <c r="H529" s="56" t="n">
        <v>0</v>
      </c>
      <c r="I529" s="56" t="n">
        <v>21.3</v>
      </c>
      <c r="J529" s="56" t="n">
        <v>0</v>
      </c>
      <c r="K529" s="56" t="n">
        <v>1021.2</v>
      </c>
      <c r="L529" s="56" t="n">
        <v>0</v>
      </c>
      <c r="M529" s="56" t="n">
        <v>72</v>
      </c>
      <c r="N529" s="56" t="n">
        <v>12.9</v>
      </c>
      <c r="O529" s="56" t="n">
        <f aca="false">IF(D529=1,"",E528)</f>
        <v>28.4</v>
      </c>
      <c r="P529" s="56" t="n">
        <f aca="false">IF(OR(D529=1,K528=""),"",K528)</f>
        <v>1021.1</v>
      </c>
      <c r="Q529" s="56" t="n">
        <f aca="false">IF(OR(F529&lt;&gt;0,AND(I529&lt;&gt;"",E529&lt;I529)),1,0)</f>
        <v>0</v>
      </c>
      <c r="R529" s="56" t="n">
        <f aca="false">IF(AND(D529&gt;1,Q529=0,ISNUMBER(O529),ISNUMBER(P529)),IF(Q528=0,1,0),0)</f>
        <v>1</v>
      </c>
      <c r="S529" s="56" t="n">
        <f aca="false">R529*(B529&gt;=Train_Start)*(B529&lt;=Train_End)</f>
        <v>1</v>
      </c>
      <c r="T529" s="84" t="n">
        <f aca="false">IF(AND(ISNUMBER(O529),ISNUMBER(P529)),Coef_A+Coef_B1*O529+Coef_B2*P529,"")</f>
        <v>27.3880079151737</v>
      </c>
      <c r="U529" s="84" t="n">
        <f aca="false">IF(AND(R529=1,ISNUMBER(T529)),E529-T529,"")</f>
        <v>0.21199208482626</v>
      </c>
      <c r="V529" s="84" t="n">
        <f aca="false">IF(ISNUMBER(T529),T529,-99)</f>
        <v>27.3880079151737</v>
      </c>
      <c r="W529" s="84" t="n">
        <f aca="false">IF(ISNUMBER(U529),ABS(U529),"")</f>
        <v>0.21199208482626</v>
      </c>
    </row>
    <row r="530" customFormat="false" ht="15" hidden="false" customHeight="false" outlineLevel="0" collapsed="false">
      <c r="A530" s="57" t="n">
        <v>30141</v>
      </c>
      <c r="B530" s="56" t="n">
        <v>1982</v>
      </c>
      <c r="C530" s="56" t="n">
        <v>7</v>
      </c>
      <c r="D530" s="56" t="n">
        <v>70</v>
      </c>
      <c r="E530" s="56" t="n">
        <v>23</v>
      </c>
      <c r="F530" s="56" t="n">
        <v>0</v>
      </c>
      <c r="G530" s="56" t="n">
        <v>17.1</v>
      </c>
      <c r="H530" s="56" t="n">
        <v>0</v>
      </c>
      <c r="I530" s="56" t="n">
        <v>22.4</v>
      </c>
      <c r="J530" s="56" t="n">
        <v>0</v>
      </c>
      <c r="K530" s="56" t="n">
        <v>1015.3</v>
      </c>
      <c r="L530" s="56" t="n">
        <v>0</v>
      </c>
      <c r="M530" s="56" t="n">
        <v>76</v>
      </c>
      <c r="N530" s="56" t="n">
        <v>5.5</v>
      </c>
      <c r="O530" s="56" t="n">
        <f aca="false">IF(D530=1,"",E529)</f>
        <v>27.6</v>
      </c>
      <c r="P530" s="56" t="n">
        <f aca="false">IF(OR(D530=1,K529=""),"",K529)</f>
        <v>1021.2</v>
      </c>
      <c r="Q530" s="56" t="n">
        <f aca="false">IF(OR(F530&lt;&gt;0,AND(I530&lt;&gt;"",E530&lt;I530)),1,0)</f>
        <v>0</v>
      </c>
      <c r="R530" s="56" t="n">
        <f aca="false">IF(AND(D530&gt;1,Q530=0,ISNUMBER(O530),ISNUMBER(P530)),IF(Q529=0,1,0),0)</f>
        <v>1</v>
      </c>
      <c r="S530" s="56" t="n">
        <f aca="false">R530*(B530&gt;=Train_Start)*(B530&lt;=Train_End)</f>
        <v>1</v>
      </c>
      <c r="T530" s="84" t="n">
        <f aca="false">IF(AND(ISNUMBER(O530),ISNUMBER(P530)),Coef_A+Coef_B1*O530+Coef_B2*P530,"")</f>
        <v>26.735673550203</v>
      </c>
      <c r="U530" s="84" t="n">
        <f aca="false">IF(AND(R530=1,ISNUMBER(T530)),E530-T530,"")</f>
        <v>-3.73567355020302</v>
      </c>
      <c r="V530" s="84" t="n">
        <f aca="false">IF(ISNUMBER(T530),T530,-99)</f>
        <v>26.735673550203</v>
      </c>
      <c r="W530" s="84" t="n">
        <f aca="false">IF(ISNUMBER(U530),ABS(U530),"")</f>
        <v>3.73567355020302</v>
      </c>
    </row>
    <row r="531" customFormat="false" ht="15" hidden="false" customHeight="false" outlineLevel="0" collapsed="false">
      <c r="A531" s="57" t="n">
        <v>30142</v>
      </c>
      <c r="B531" s="56" t="n">
        <v>1982</v>
      </c>
      <c r="C531" s="56" t="n">
        <v>7</v>
      </c>
      <c r="D531" s="56" t="n">
        <v>71</v>
      </c>
      <c r="E531" s="56" t="n">
        <v>26</v>
      </c>
      <c r="F531" s="56" t="n">
        <v>0</v>
      </c>
      <c r="G531" s="56" t="n">
        <v>15.7</v>
      </c>
      <c r="H531" s="56" t="n">
        <v>0</v>
      </c>
      <c r="I531" s="56" t="n">
        <v>19.4</v>
      </c>
      <c r="J531" s="56" t="n">
        <v>0</v>
      </c>
      <c r="K531" s="56" t="n">
        <v>1019.8</v>
      </c>
      <c r="L531" s="56" t="n">
        <v>0</v>
      </c>
      <c r="M531" s="56" t="n">
        <v>73</v>
      </c>
      <c r="N531" s="56" t="n">
        <v>8.3</v>
      </c>
      <c r="O531" s="56" t="n">
        <f aca="false">IF(D531=1,"",E530)</f>
        <v>23</v>
      </c>
      <c r="P531" s="56" t="n">
        <f aca="false">IF(OR(D531=1,K530=""),"",K530)</f>
        <v>1015.3</v>
      </c>
      <c r="Q531" s="56" t="n">
        <f aca="false">IF(OR(F531&lt;&gt;0,AND(I531&lt;&gt;"",E531&lt;I531)),1,0)</f>
        <v>0</v>
      </c>
      <c r="R531" s="56" t="n">
        <f aca="false">IF(AND(D531&gt;1,Q531=0,ISNUMBER(O531),ISNUMBER(P531)),IF(Q530=0,1,0),0)</f>
        <v>1</v>
      </c>
      <c r="S531" s="56" t="n">
        <f aca="false">R531*(B531&gt;=Train_Start)*(B531&lt;=Train_End)</f>
        <v>1</v>
      </c>
      <c r="T531" s="84" t="n">
        <f aca="false">IF(AND(ISNUMBER(O531),ISNUMBER(P531)),Coef_A+Coef_B1*O531+Coef_B2*P531,"")</f>
        <v>22.7816308838663</v>
      </c>
      <c r="U531" s="84" t="n">
        <f aca="false">IF(AND(R531=1,ISNUMBER(T531)),E531-T531,"")</f>
        <v>3.21836911613375</v>
      </c>
      <c r="V531" s="84" t="n">
        <f aca="false">IF(ISNUMBER(T531),T531,-99)</f>
        <v>22.7816308838663</v>
      </c>
      <c r="W531" s="84" t="n">
        <f aca="false">IF(ISNUMBER(U531),ABS(U531),"")</f>
        <v>3.21836911613375</v>
      </c>
    </row>
    <row r="532" customFormat="false" ht="15" hidden="false" customHeight="false" outlineLevel="0" collapsed="false">
      <c r="A532" s="57" t="n">
        <v>30143</v>
      </c>
      <c r="B532" s="56" t="n">
        <v>1982</v>
      </c>
      <c r="C532" s="56" t="n">
        <v>7</v>
      </c>
      <c r="D532" s="56" t="n">
        <v>72</v>
      </c>
      <c r="E532" s="56" t="n">
        <v>19.4</v>
      </c>
      <c r="F532" s="56" t="n">
        <v>1</v>
      </c>
      <c r="G532" s="56" t="n">
        <v>15.9</v>
      </c>
      <c r="H532" s="56" t="n">
        <v>0</v>
      </c>
      <c r="I532" s="56" t="n">
        <v>21</v>
      </c>
      <c r="J532" s="56" t="n">
        <v>1</v>
      </c>
      <c r="K532" s="56" t="n">
        <v>1019.6</v>
      </c>
      <c r="L532" s="56" t="n">
        <v>0</v>
      </c>
      <c r="M532" s="56" t="n">
        <v>68</v>
      </c>
      <c r="N532" s="56" t="n">
        <v>10</v>
      </c>
      <c r="O532" s="56" t="n">
        <f aca="false">IF(D532=1,"",E531)</f>
        <v>26</v>
      </c>
      <c r="P532" s="56" t="n">
        <f aca="false">IF(OR(D532=1,K531=""),"",K531)</f>
        <v>1019.8</v>
      </c>
      <c r="Q532" s="56" t="n">
        <f aca="false">IF(OR(F532&lt;&gt;0,AND(I532&lt;&gt;"",E532&lt;I532)),1,0)</f>
        <v>1</v>
      </c>
      <c r="R532" s="56" t="n">
        <f aca="false">IF(AND(D532&gt;1,Q532=0,ISNUMBER(O532),ISNUMBER(P532)),IF(Q531=0,1,0),0)</f>
        <v>0</v>
      </c>
      <c r="S532" s="56" t="n">
        <f aca="false">R532*(B532&gt;=Train_Start)*(B532&lt;=Train_End)</f>
        <v>0</v>
      </c>
      <c r="T532" s="84" t="n">
        <f aca="false">IF(AND(ISNUMBER(O532),ISNUMBER(P532)),Coef_A+Coef_B1*O532+Coef_B2*P532,"")</f>
        <v>25.3808129888472</v>
      </c>
      <c r="U532" s="84" t="str">
        <f aca="false">IF(AND(R532=1,ISNUMBER(T532)),E532-T532,"")</f>
        <v/>
      </c>
      <c r="V532" s="84" t="n">
        <f aca="false">IF(ISNUMBER(T532),T532,-99)</f>
        <v>25.3808129888472</v>
      </c>
      <c r="W532" s="84" t="str">
        <f aca="false">IF(ISNUMBER(U532),ABS(U532),"")</f>
        <v/>
      </c>
    </row>
    <row r="533" customFormat="false" ht="15" hidden="false" customHeight="false" outlineLevel="0" collapsed="false">
      <c r="A533" s="57" t="n">
        <v>30144</v>
      </c>
      <c r="B533" s="56" t="n">
        <v>1982</v>
      </c>
      <c r="C533" s="56" t="n">
        <v>7</v>
      </c>
      <c r="D533" s="56" t="n">
        <v>73</v>
      </c>
      <c r="E533" s="56" t="n">
        <v>27.1</v>
      </c>
      <c r="F533" s="56" t="n">
        <v>0</v>
      </c>
      <c r="G533" s="56" t="n">
        <v>15.5</v>
      </c>
      <c r="H533" s="56" t="n">
        <v>0</v>
      </c>
      <c r="I533" s="56" t="n">
        <v>17.4</v>
      </c>
      <c r="J533" s="56" t="n">
        <v>0</v>
      </c>
      <c r="K533" s="56" t="n">
        <v>1018.9</v>
      </c>
      <c r="L533" s="56" t="n">
        <v>0</v>
      </c>
      <c r="M533" s="56" t="n">
        <v>83</v>
      </c>
      <c r="N533" s="56" t="n">
        <v>0</v>
      </c>
      <c r="O533" s="56" t="n">
        <f aca="false">IF(D533=1,"",E532)</f>
        <v>19.4</v>
      </c>
      <c r="P533" s="56" t="n">
        <f aca="false">IF(OR(D533=1,K532=""),"",K532)</f>
        <v>1019.6</v>
      </c>
      <c r="Q533" s="56" t="n">
        <f aca="false">IF(OR(F533&lt;&gt;0,AND(I533&lt;&gt;"",E533&lt;I533)),1,0)</f>
        <v>0</v>
      </c>
      <c r="R533" s="56" t="n">
        <f aca="false">IF(AND(D533&gt;1,Q533=0,ISNUMBER(O533),ISNUMBER(P533)),IF(Q532=0,1,0),0)</f>
        <v>0</v>
      </c>
      <c r="S533" s="56" t="n">
        <f aca="false">R533*(B533&gt;=Train_Start)*(B533&lt;=Train_End)</f>
        <v>0</v>
      </c>
      <c r="T533" s="84" t="n">
        <f aca="false">IF(AND(ISNUMBER(O533),ISNUMBER(P533)),Coef_A+Coef_B1*O533+Coef_B2*P533,"")</f>
        <v>19.9669003358388</v>
      </c>
      <c r="U533" s="84" t="str">
        <f aca="false">IF(AND(R533=1,ISNUMBER(T533)),E533-T533,"")</f>
        <v/>
      </c>
      <c r="V533" s="84" t="n">
        <f aca="false">IF(ISNUMBER(T533),T533,-99)</f>
        <v>19.9669003358388</v>
      </c>
      <c r="W533" s="84" t="str">
        <f aca="false">IF(ISNUMBER(U533),ABS(U533),"")</f>
        <v/>
      </c>
    </row>
    <row r="534" customFormat="false" ht="15" hidden="false" customHeight="false" outlineLevel="0" collapsed="false">
      <c r="A534" s="57" t="n">
        <v>30145</v>
      </c>
      <c r="B534" s="56" t="n">
        <v>1982</v>
      </c>
      <c r="C534" s="56" t="n">
        <v>7</v>
      </c>
      <c r="D534" s="56" t="n">
        <v>74</v>
      </c>
      <c r="E534" s="56" t="n">
        <v>22.6</v>
      </c>
      <c r="F534" s="56" t="n">
        <v>0</v>
      </c>
      <c r="G534" s="56" t="n">
        <v>14.7</v>
      </c>
      <c r="H534" s="56" t="n">
        <v>0</v>
      </c>
      <c r="I534" s="56" t="n">
        <v>20.9</v>
      </c>
      <c r="J534" s="56" t="n">
        <v>0</v>
      </c>
      <c r="K534" s="56" t="n">
        <v>1015</v>
      </c>
      <c r="L534" s="56" t="n">
        <v>0</v>
      </c>
      <c r="M534" s="56" t="n">
        <v>72</v>
      </c>
      <c r="N534" s="56" t="n">
        <v>7.7</v>
      </c>
      <c r="O534" s="56" t="n">
        <f aca="false">IF(D534=1,"",E533)</f>
        <v>27.1</v>
      </c>
      <c r="P534" s="56" t="n">
        <f aca="false">IF(OR(D534=1,K533=""),"",K533)</f>
        <v>1018.9</v>
      </c>
      <c r="Q534" s="56" t="n">
        <f aca="false">IF(OR(F534&lt;&gt;0,AND(I534&lt;&gt;"",E534&lt;I534)),1,0)</f>
        <v>0</v>
      </c>
      <c r="R534" s="56" t="n">
        <f aca="false">IF(AND(D534&gt;1,Q534=0,ISNUMBER(O534),ISNUMBER(P534)),IF(Q533=0,1,0),0)</f>
        <v>1</v>
      </c>
      <c r="S534" s="56" t="n">
        <f aca="false">R534*(B534&gt;=Train_Start)*(B534&lt;=Train_End)</f>
        <v>1</v>
      </c>
      <c r="T534" s="84" t="n">
        <f aca="false">IF(AND(ISNUMBER(O534),ISNUMBER(P534)),Coef_A+Coef_B1*O534+Coef_B2*P534,"")</f>
        <v>26.2538531960235</v>
      </c>
      <c r="U534" s="84" t="n">
        <f aca="false">IF(AND(R534=1,ISNUMBER(T534)),E534-T534,"")</f>
        <v>-3.65385319602351</v>
      </c>
      <c r="V534" s="84" t="n">
        <f aca="false">IF(ISNUMBER(T534),T534,-99)</f>
        <v>26.2538531960235</v>
      </c>
      <c r="W534" s="84" t="n">
        <f aca="false">IF(ISNUMBER(U534),ABS(U534),"")</f>
        <v>3.65385319602351</v>
      </c>
    </row>
    <row r="535" customFormat="false" ht="15" hidden="false" customHeight="false" outlineLevel="0" collapsed="false">
      <c r="A535" s="57" t="n">
        <v>30146</v>
      </c>
      <c r="B535" s="56" t="n">
        <v>1982</v>
      </c>
      <c r="C535" s="56" t="n">
        <v>7</v>
      </c>
      <c r="D535" s="56" t="n">
        <v>75</v>
      </c>
      <c r="E535" s="56" t="n">
        <v>22.2</v>
      </c>
      <c r="F535" s="56" t="n">
        <v>0</v>
      </c>
      <c r="G535" s="56" t="n">
        <v>16.2</v>
      </c>
      <c r="H535" s="56" t="n">
        <v>0</v>
      </c>
      <c r="I535" s="56" t="n">
        <v>19.4</v>
      </c>
      <c r="J535" s="56" t="n">
        <v>0</v>
      </c>
      <c r="K535" s="56" t="n">
        <v>1008.8</v>
      </c>
      <c r="L535" s="56" t="n">
        <v>0</v>
      </c>
      <c r="M535" s="56" t="n">
        <v>87</v>
      </c>
      <c r="N535" s="56" t="n">
        <v>0.7</v>
      </c>
      <c r="O535" s="56" t="n">
        <f aca="false">IF(D535=1,"",E534)</f>
        <v>22.6</v>
      </c>
      <c r="P535" s="56" t="n">
        <f aca="false">IF(OR(D535=1,K534=""),"",K534)</f>
        <v>1015</v>
      </c>
      <c r="Q535" s="56" t="n">
        <f aca="false">IF(OR(F535&lt;&gt;0,AND(I535&lt;&gt;"",E535&lt;I535)),1,0)</f>
        <v>0</v>
      </c>
      <c r="R535" s="56" t="n">
        <f aca="false">IF(AND(D535&gt;1,Q535=0,ISNUMBER(O535),ISNUMBER(P535)),IF(Q534=0,1,0),0)</f>
        <v>1</v>
      </c>
      <c r="S535" s="56" t="n">
        <f aca="false">R535*(B535&gt;=Train_Start)*(B535&lt;=Train_End)</f>
        <v>1</v>
      </c>
      <c r="T535" s="84" t="n">
        <f aca="false">IF(AND(ISNUMBER(O535),ISNUMBER(P535)),Coef_A+Coef_B1*O535+Coef_B2*P535,"")</f>
        <v>22.444484238259</v>
      </c>
      <c r="U535" s="84" t="n">
        <f aca="false">IF(AND(R535=1,ISNUMBER(T535)),E535-T535,"")</f>
        <v>-0.244484238258995</v>
      </c>
      <c r="V535" s="84" t="n">
        <f aca="false">IF(ISNUMBER(T535),T535,-99)</f>
        <v>22.444484238259</v>
      </c>
      <c r="W535" s="84" t="n">
        <f aca="false">IF(ISNUMBER(U535),ABS(U535),"")</f>
        <v>0.244484238258995</v>
      </c>
    </row>
    <row r="536" customFormat="false" ht="15" hidden="false" customHeight="false" outlineLevel="0" collapsed="false">
      <c r="A536" s="57" t="n">
        <v>30147</v>
      </c>
      <c r="B536" s="56" t="n">
        <v>1982</v>
      </c>
      <c r="C536" s="56" t="n">
        <v>7</v>
      </c>
      <c r="D536" s="56" t="n">
        <v>76</v>
      </c>
      <c r="E536" s="56" t="n">
        <v>20.6</v>
      </c>
      <c r="F536" s="56" t="n">
        <v>0</v>
      </c>
      <c r="G536" s="56" t="n">
        <v>15.2</v>
      </c>
      <c r="H536" s="56" t="n">
        <v>0</v>
      </c>
      <c r="I536" s="56" t="n">
        <v>18.7</v>
      </c>
      <c r="J536" s="56" t="n">
        <v>0</v>
      </c>
      <c r="K536" s="56" t="n">
        <v>1008.1</v>
      </c>
      <c r="L536" s="56" t="n">
        <v>0</v>
      </c>
      <c r="M536" s="56" t="n">
        <v>87</v>
      </c>
      <c r="N536" s="56" t="n">
        <v>1.1</v>
      </c>
      <c r="O536" s="56" t="n">
        <f aca="false">IF(D536=1,"",E535)</f>
        <v>22.2</v>
      </c>
      <c r="P536" s="56" t="n">
        <f aca="false">IF(OR(D536=1,K535=""),"",K535)</f>
        <v>1008.8</v>
      </c>
      <c r="Q536" s="56" t="n">
        <f aca="false">IF(OR(F536&lt;&gt;0,AND(I536&lt;&gt;"",E536&lt;I536)),1,0)</f>
        <v>0</v>
      </c>
      <c r="R536" s="56" t="n">
        <f aca="false">IF(AND(D536&gt;1,Q536=0,ISNUMBER(O536),ISNUMBER(P536)),IF(Q535=0,1,0),0)</f>
        <v>1</v>
      </c>
      <c r="S536" s="56" t="n">
        <f aca="false">R536*(B536&gt;=Train_Start)*(B536&lt;=Train_End)</f>
        <v>1</v>
      </c>
      <c r="T536" s="84" t="n">
        <f aca="false">IF(AND(ISNUMBER(O536),ISNUMBER(P536)),Coef_A+Coef_B1*O536+Coef_B2*P536,"")</f>
        <v>21.9222552143112</v>
      </c>
      <c r="U536" s="84" t="n">
        <f aca="false">IF(AND(R536=1,ISNUMBER(T536)),E536-T536,"")</f>
        <v>-1.32225521431119</v>
      </c>
      <c r="V536" s="84" t="n">
        <f aca="false">IF(ISNUMBER(T536),T536,-99)</f>
        <v>21.9222552143112</v>
      </c>
      <c r="W536" s="84" t="n">
        <f aca="false">IF(ISNUMBER(U536),ABS(U536),"")</f>
        <v>1.32225521431119</v>
      </c>
    </row>
    <row r="537" customFormat="false" ht="15" hidden="false" customHeight="false" outlineLevel="0" collapsed="false">
      <c r="A537" s="57" t="n">
        <v>30148</v>
      </c>
      <c r="B537" s="56" t="n">
        <v>1982</v>
      </c>
      <c r="C537" s="56" t="n">
        <v>7</v>
      </c>
      <c r="D537" s="56" t="n">
        <v>77</v>
      </c>
      <c r="E537" s="56" t="n">
        <v>23</v>
      </c>
      <c r="F537" s="56" t="n">
        <v>0</v>
      </c>
      <c r="G537" s="56" t="n">
        <v>8.7</v>
      </c>
      <c r="H537" s="56" t="n">
        <v>0</v>
      </c>
      <c r="I537" s="56" t="n">
        <v>14.6</v>
      </c>
      <c r="J537" s="56" t="n">
        <v>0</v>
      </c>
      <c r="K537" s="56" t="n">
        <v>1017.5</v>
      </c>
      <c r="L537" s="56" t="n">
        <v>0</v>
      </c>
      <c r="M537" s="56" t="n">
        <v>68</v>
      </c>
      <c r="N537" s="56" t="n">
        <v>7.1</v>
      </c>
      <c r="O537" s="56" t="n">
        <f aca="false">IF(D537=1,"",E536)</f>
        <v>20.6</v>
      </c>
      <c r="P537" s="56" t="n">
        <f aca="false">IF(OR(D537=1,K536=""),"",K536)</f>
        <v>1008.1</v>
      </c>
      <c r="Q537" s="56" t="n">
        <f aca="false">IF(OR(F537&lt;&gt;0,AND(I537&lt;&gt;"",E537&lt;I537)),1,0)</f>
        <v>0</v>
      </c>
      <c r="R537" s="56" t="n">
        <f aca="false">IF(AND(D537&gt;1,Q537=0,ISNUMBER(O537),ISNUMBER(P537)),IF(Q536=0,1,0),0)</f>
        <v>1</v>
      </c>
      <c r="S537" s="56" t="n">
        <f aca="false">R537*(B537&gt;=Train_Start)*(B537&lt;=Train_End)</f>
        <v>1</v>
      </c>
      <c r="T537" s="84" t="n">
        <f aca="false">IF(AND(ISNUMBER(O537),ISNUMBER(P537)),Coef_A+Coef_B1*O537+Coef_B2*P537,"")</f>
        <v>20.5893535791992</v>
      </c>
      <c r="U537" s="84" t="n">
        <f aca="false">IF(AND(R537=1,ISNUMBER(T537)),E537-T537,"")</f>
        <v>2.41064642080084</v>
      </c>
      <c r="V537" s="84" t="n">
        <f aca="false">IF(ISNUMBER(T537),T537,-99)</f>
        <v>20.5893535791992</v>
      </c>
      <c r="W537" s="84" t="n">
        <f aca="false">IF(ISNUMBER(U537),ABS(U537),"")</f>
        <v>2.41064642080084</v>
      </c>
    </row>
    <row r="538" customFormat="false" ht="15" hidden="false" customHeight="false" outlineLevel="0" collapsed="false">
      <c r="A538" s="57" t="n">
        <v>30149</v>
      </c>
      <c r="B538" s="56" t="n">
        <v>1982</v>
      </c>
      <c r="C538" s="56" t="n">
        <v>7</v>
      </c>
      <c r="D538" s="56" t="n">
        <v>78</v>
      </c>
      <c r="E538" s="56" t="n">
        <v>23.8</v>
      </c>
      <c r="F538" s="56" t="n">
        <v>0</v>
      </c>
      <c r="G538" s="56" t="n">
        <v>10.2</v>
      </c>
      <c r="H538" s="56" t="n">
        <v>0</v>
      </c>
      <c r="I538" s="56" t="n">
        <v>16.6</v>
      </c>
      <c r="J538" s="56" t="n">
        <v>0</v>
      </c>
      <c r="K538" s="56" t="n">
        <v>1024.4</v>
      </c>
      <c r="L538" s="56" t="n">
        <v>0</v>
      </c>
      <c r="M538" s="56" t="n">
        <v>65</v>
      </c>
      <c r="N538" s="56" t="n">
        <v>13.2</v>
      </c>
      <c r="O538" s="56" t="n">
        <f aca="false">IF(D538=1,"",E537)</f>
        <v>23</v>
      </c>
      <c r="P538" s="56" t="n">
        <f aca="false">IF(OR(D538=1,K537=""),"",K537)</f>
        <v>1017.5</v>
      </c>
      <c r="Q538" s="56" t="n">
        <f aca="false">IF(OR(F538&lt;&gt;0,AND(I538&lt;&gt;"",E538&lt;I538)),1,0)</f>
        <v>0</v>
      </c>
      <c r="R538" s="56" t="n">
        <f aca="false">IF(AND(D538&gt;1,Q538=0,ISNUMBER(O538),ISNUMBER(P538)),IF(Q537=0,1,0),0)</f>
        <v>1</v>
      </c>
      <c r="S538" s="56" t="n">
        <f aca="false">R538*(B538&gt;=Train_Start)*(B538&lt;=Train_End)</f>
        <v>1</v>
      </c>
      <c r="T538" s="84" t="n">
        <f aca="false">IF(AND(ISNUMBER(O538),ISNUMBER(P538)),Coef_A+Coef_B1*O538+Coef_B2*P538,"")</f>
        <v>22.850644652061</v>
      </c>
      <c r="U538" s="84" t="n">
        <f aca="false">IF(AND(R538=1,ISNUMBER(T538)),E538-T538,"")</f>
        <v>0.949355347938969</v>
      </c>
      <c r="V538" s="84" t="n">
        <f aca="false">IF(ISNUMBER(T538),T538,-99)</f>
        <v>22.850644652061</v>
      </c>
      <c r="W538" s="84" t="n">
        <f aca="false">IF(ISNUMBER(U538),ABS(U538),"")</f>
        <v>0.949355347938969</v>
      </c>
    </row>
    <row r="539" customFormat="false" ht="15" hidden="false" customHeight="false" outlineLevel="0" collapsed="false">
      <c r="A539" s="57" t="n">
        <v>30150</v>
      </c>
      <c r="B539" s="56" t="n">
        <v>1982</v>
      </c>
      <c r="C539" s="56" t="n">
        <v>7</v>
      </c>
      <c r="D539" s="56" t="n">
        <v>79</v>
      </c>
      <c r="E539" s="56" t="n">
        <v>23.4</v>
      </c>
      <c r="F539" s="56" t="n">
        <v>0</v>
      </c>
      <c r="G539" s="56" t="n">
        <v>12.9</v>
      </c>
      <c r="H539" s="56" t="n">
        <v>0</v>
      </c>
      <c r="I539" s="56" t="n">
        <v>18.4</v>
      </c>
      <c r="J539" s="56" t="n">
        <v>0</v>
      </c>
      <c r="K539" s="56" t="n">
        <v>1027.9</v>
      </c>
      <c r="L539" s="56" t="n">
        <v>0</v>
      </c>
      <c r="M539" s="56" t="n">
        <v>69</v>
      </c>
      <c r="N539" s="56" t="n">
        <v>5.7</v>
      </c>
      <c r="O539" s="56" t="n">
        <f aca="false">IF(D539=1,"",E538)</f>
        <v>23.8</v>
      </c>
      <c r="P539" s="56" t="n">
        <f aca="false">IF(OR(D539=1,K538=""),"",K538)</f>
        <v>1024.4</v>
      </c>
      <c r="Q539" s="56" t="n">
        <f aca="false">IF(OR(F539&lt;&gt;0,AND(I539&lt;&gt;"",E539&lt;I539)),1,0)</f>
        <v>0</v>
      </c>
      <c r="R539" s="56" t="n">
        <f aca="false">IF(AND(D539&gt;1,Q539=0,ISNUMBER(O539),ISNUMBER(P539)),IF(Q538=0,1,0),0)</f>
        <v>1</v>
      </c>
      <c r="S539" s="56" t="n">
        <f aca="false">R539*(B539&gt;=Train_Start)*(B539&lt;=Train_End)</f>
        <v>1</v>
      </c>
      <c r="T539" s="84" t="n">
        <f aca="false">IF(AND(ISNUMBER(O539),ISNUMBER(P539)),Coef_A+Coef_B1*O539+Coef_B2*P539,"")</f>
        <v>23.7225682794697</v>
      </c>
      <c r="U539" s="84" t="n">
        <f aca="false">IF(AND(R539=1,ISNUMBER(T539)),E539-T539,"")</f>
        <v>-0.322568279469685</v>
      </c>
      <c r="V539" s="84" t="n">
        <f aca="false">IF(ISNUMBER(T539),T539,-99)</f>
        <v>23.7225682794697</v>
      </c>
      <c r="W539" s="84" t="n">
        <f aca="false">IF(ISNUMBER(U539),ABS(U539),"")</f>
        <v>0.322568279469685</v>
      </c>
    </row>
    <row r="540" customFormat="false" ht="15" hidden="false" customHeight="false" outlineLevel="0" collapsed="false">
      <c r="A540" s="57" t="n">
        <v>30151</v>
      </c>
      <c r="B540" s="56" t="n">
        <v>1982</v>
      </c>
      <c r="C540" s="56" t="n">
        <v>7</v>
      </c>
      <c r="D540" s="56" t="n">
        <v>80</v>
      </c>
      <c r="E540" s="56" t="n">
        <v>22.7</v>
      </c>
      <c r="F540" s="56" t="n">
        <v>0</v>
      </c>
      <c r="G540" s="56" t="n">
        <v>16</v>
      </c>
      <c r="H540" s="56" t="n">
        <v>0</v>
      </c>
      <c r="I540" s="56" t="n">
        <v>19.7</v>
      </c>
      <c r="J540" s="56" t="n">
        <v>0</v>
      </c>
      <c r="K540" s="56" t="n">
        <v>1028</v>
      </c>
      <c r="L540" s="56" t="n">
        <v>0</v>
      </c>
      <c r="M540" s="56" t="n">
        <v>69</v>
      </c>
      <c r="N540" s="56" t="n">
        <v>8.4</v>
      </c>
      <c r="O540" s="56" t="n">
        <f aca="false">IF(D540=1,"",E539)</f>
        <v>23.4</v>
      </c>
      <c r="P540" s="56" t="n">
        <f aca="false">IF(OR(D540=1,K539=""),"",K539)</f>
        <v>1027.9</v>
      </c>
      <c r="Q540" s="56" t="n">
        <f aca="false">IF(OR(F540&lt;&gt;0,AND(I540&lt;&gt;"",E540&lt;I540)),1,0)</f>
        <v>0</v>
      </c>
      <c r="R540" s="56" t="n">
        <f aca="false">IF(AND(D540&gt;1,Q540=0,ISNUMBER(O540),ISNUMBER(P540)),IF(Q539=0,1,0),0)</f>
        <v>1</v>
      </c>
      <c r="S540" s="56" t="n">
        <f aca="false">R540*(B540&gt;=Train_Start)*(B540&lt;=Train_End)</f>
        <v>1</v>
      </c>
      <c r="T540" s="84" t="n">
        <f aca="false">IF(AND(ISNUMBER(O540),ISNUMBER(P540)),Coef_A+Coef_B1*O540+Coef_B2*P540,"")</f>
        <v>23.5046272334716</v>
      </c>
      <c r="U540" s="84" t="n">
        <f aca="false">IF(AND(R540=1,ISNUMBER(T540)),E540-T540,"")</f>
        <v>-0.804627233471582</v>
      </c>
      <c r="V540" s="84" t="n">
        <f aca="false">IF(ISNUMBER(T540),T540,-99)</f>
        <v>23.5046272334716</v>
      </c>
      <c r="W540" s="84" t="n">
        <f aca="false">IF(ISNUMBER(U540),ABS(U540),"")</f>
        <v>0.804627233471582</v>
      </c>
    </row>
    <row r="541" customFormat="false" ht="15" hidden="false" customHeight="false" outlineLevel="0" collapsed="false">
      <c r="A541" s="57" t="n">
        <v>30152</v>
      </c>
      <c r="B541" s="56" t="n">
        <v>1982</v>
      </c>
      <c r="C541" s="56" t="n">
        <v>7</v>
      </c>
      <c r="D541" s="56" t="n">
        <v>81</v>
      </c>
      <c r="E541" s="56" t="n">
        <v>19.8</v>
      </c>
      <c r="F541" s="56" t="n">
        <v>0</v>
      </c>
      <c r="G541" s="56" t="n">
        <v>12.3</v>
      </c>
      <c r="H541" s="56" t="n">
        <v>0</v>
      </c>
      <c r="I541" s="56" t="n">
        <v>17.5</v>
      </c>
      <c r="J541" s="56" t="n">
        <v>0</v>
      </c>
      <c r="K541" s="56" t="n">
        <v>1025.7</v>
      </c>
      <c r="L541" s="56" t="n">
        <v>0</v>
      </c>
      <c r="M541" s="56" t="n">
        <v>68</v>
      </c>
      <c r="N541" s="56" t="n">
        <v>7.6</v>
      </c>
      <c r="O541" s="56" t="n">
        <f aca="false">IF(D541=1,"",E540)</f>
        <v>22.7</v>
      </c>
      <c r="P541" s="56" t="n">
        <f aca="false">IF(OR(D541=1,K540=""),"",K540)</f>
        <v>1028</v>
      </c>
      <c r="Q541" s="56" t="n">
        <f aca="false">IF(OR(F541&lt;&gt;0,AND(I541&lt;&gt;"",E541&lt;I541)),1,0)</f>
        <v>0</v>
      </c>
      <c r="R541" s="56" t="n">
        <f aca="false">IF(AND(D541&gt;1,Q541=0,ISNUMBER(O541),ISNUMBER(P541)),IF(Q540=0,1,0),0)</f>
        <v>1</v>
      </c>
      <c r="S541" s="56" t="n">
        <f aca="false">R541*(B541&gt;=Train_Start)*(B541&lt;=Train_End)</f>
        <v>1</v>
      </c>
      <c r="T541" s="84" t="n">
        <f aca="false">IF(AND(ISNUMBER(O541),ISNUMBER(P541)),Coef_A+Coef_B1*O541+Coef_B2*P541,"")</f>
        <v>22.9342267878051</v>
      </c>
      <c r="U541" s="84" t="n">
        <f aca="false">IF(AND(R541=1,ISNUMBER(T541)),E541-T541,"")</f>
        <v>-3.13422678780512</v>
      </c>
      <c r="V541" s="84" t="n">
        <f aca="false">IF(ISNUMBER(T541),T541,-99)</f>
        <v>22.9342267878051</v>
      </c>
      <c r="W541" s="84" t="n">
        <f aca="false">IF(ISNUMBER(U541),ABS(U541),"")</f>
        <v>3.13422678780512</v>
      </c>
    </row>
    <row r="542" customFormat="false" ht="15" hidden="false" customHeight="false" outlineLevel="0" collapsed="false">
      <c r="A542" s="57" t="n">
        <v>30153</v>
      </c>
      <c r="B542" s="56" t="n">
        <v>1982</v>
      </c>
      <c r="C542" s="56" t="n">
        <v>7</v>
      </c>
      <c r="D542" s="56" t="n">
        <v>82</v>
      </c>
      <c r="E542" s="56" t="n">
        <v>21.6</v>
      </c>
      <c r="F542" s="56" t="n">
        <v>0</v>
      </c>
      <c r="G542" s="56" t="n">
        <v>14.9</v>
      </c>
      <c r="H542" s="56" t="n">
        <v>0</v>
      </c>
      <c r="I542" s="56" t="n">
        <v>17.4</v>
      </c>
      <c r="J542" s="56" t="n">
        <v>0</v>
      </c>
      <c r="K542" s="56" t="n">
        <v>1024.5</v>
      </c>
      <c r="L542" s="56" t="n">
        <v>0</v>
      </c>
      <c r="M542" s="56" t="n">
        <v>75</v>
      </c>
      <c r="N542" s="56" t="n">
        <v>0.6</v>
      </c>
      <c r="O542" s="56" t="n">
        <f aca="false">IF(D542=1,"",E541)</f>
        <v>19.8</v>
      </c>
      <c r="P542" s="56" t="n">
        <f aca="false">IF(OR(D542=1,K541=""),"",K541)</f>
        <v>1025.7</v>
      </c>
      <c r="Q542" s="56" t="n">
        <f aca="false">IF(OR(F542&lt;&gt;0,AND(I542&lt;&gt;"",E542&lt;I542)),1,0)</f>
        <v>0</v>
      </c>
      <c r="R542" s="56" t="n">
        <f aca="false">IF(AND(D542&gt;1,Q542=0,ISNUMBER(O542),ISNUMBER(P542)),IF(Q541=0,1,0),0)</f>
        <v>1</v>
      </c>
      <c r="S542" s="56" t="n">
        <f aca="false">R542*(B542&gt;=Train_Start)*(B542&lt;=Train_End)</f>
        <v>1</v>
      </c>
      <c r="T542" s="84" t="n">
        <f aca="false">IF(AND(ISNUMBER(O542),ISNUMBER(P542)),Coef_A+Coef_B1*O542+Coef_B2*P542,"")</f>
        <v>20.4859923703232</v>
      </c>
      <c r="U542" s="84" t="n">
        <f aca="false">IF(AND(R542=1,ISNUMBER(T542)),E542-T542,"")</f>
        <v>1.11400762967676</v>
      </c>
      <c r="V542" s="84" t="n">
        <f aca="false">IF(ISNUMBER(T542),T542,-99)</f>
        <v>20.4859923703232</v>
      </c>
      <c r="W542" s="84" t="n">
        <f aca="false">IF(ISNUMBER(U542),ABS(U542),"")</f>
        <v>1.11400762967676</v>
      </c>
    </row>
    <row r="543" customFormat="false" ht="15" hidden="false" customHeight="false" outlineLevel="0" collapsed="false">
      <c r="A543" s="57" t="n">
        <v>30154</v>
      </c>
      <c r="B543" s="56" t="n">
        <v>1982</v>
      </c>
      <c r="C543" s="56" t="n">
        <v>7</v>
      </c>
      <c r="D543" s="56" t="n">
        <v>83</v>
      </c>
      <c r="E543" s="56" t="n">
        <v>17.6</v>
      </c>
      <c r="F543" s="56" t="n">
        <v>0</v>
      </c>
      <c r="G543" s="56" t="n">
        <v>12.7</v>
      </c>
      <c r="H543" s="56" t="n">
        <v>0</v>
      </c>
      <c r="I543" s="56" t="n">
        <v>17.2</v>
      </c>
      <c r="J543" s="56" t="n">
        <v>0</v>
      </c>
      <c r="K543" s="56" t="n">
        <v>1023.7</v>
      </c>
      <c r="L543" s="56" t="n">
        <v>0</v>
      </c>
      <c r="M543" s="56" t="n">
        <v>69</v>
      </c>
      <c r="N543" s="56" t="n">
        <v>3.3</v>
      </c>
      <c r="O543" s="56" t="n">
        <f aca="false">IF(D543=1,"",E542)</f>
        <v>21.6</v>
      </c>
      <c r="P543" s="56" t="n">
        <f aca="false">IF(OR(D543=1,K542=""),"",K542)</f>
        <v>1024.5</v>
      </c>
      <c r="Q543" s="56" t="n">
        <f aca="false">IF(OR(F543&lt;&gt;0,AND(I543&lt;&gt;"",E543&lt;I543)),1,0)</f>
        <v>0</v>
      </c>
      <c r="R543" s="56" t="n">
        <f aca="false">IF(AND(D543&gt;1,Q543=0,ISNUMBER(O543),ISNUMBER(P543)),IF(Q542=0,1,0),0)</f>
        <v>1</v>
      </c>
      <c r="S543" s="56" t="n">
        <f aca="false">R543*(B543&gt;=Train_Start)*(B543&lt;=Train_End)</f>
        <v>1</v>
      </c>
      <c r="T543" s="84" t="n">
        <f aca="false">IF(AND(ISNUMBER(O543),ISNUMBER(P543)),Coef_A+Coef_B1*O543+Coef_B2*P543,"")</f>
        <v>21.9231590442392</v>
      </c>
      <c r="U543" s="84" t="n">
        <f aca="false">IF(AND(R543=1,ISNUMBER(T543)),E543-T543,"")</f>
        <v>-4.32315904423923</v>
      </c>
      <c r="V543" s="84" t="n">
        <f aca="false">IF(ISNUMBER(T543),T543,-99)</f>
        <v>21.9231590442392</v>
      </c>
      <c r="W543" s="84" t="n">
        <f aca="false">IF(ISNUMBER(U543),ABS(U543),"")</f>
        <v>4.32315904423923</v>
      </c>
    </row>
    <row r="544" customFormat="false" ht="15" hidden="false" customHeight="false" outlineLevel="0" collapsed="false">
      <c r="A544" s="57" t="n">
        <v>30155</v>
      </c>
      <c r="B544" s="56" t="n">
        <v>1982</v>
      </c>
      <c r="C544" s="56" t="n">
        <v>7</v>
      </c>
      <c r="D544" s="56" t="n">
        <v>84</v>
      </c>
      <c r="E544" s="56" t="n">
        <v>18.6</v>
      </c>
      <c r="F544" s="56" t="n">
        <v>0</v>
      </c>
      <c r="G544" s="56" t="n">
        <v>12.9</v>
      </c>
      <c r="H544" s="56" t="n">
        <v>0</v>
      </c>
      <c r="I544" s="56" t="n">
        <v>15.2</v>
      </c>
      <c r="J544" s="56" t="n">
        <v>0</v>
      </c>
      <c r="K544" s="56" t="n">
        <v>1022.6</v>
      </c>
      <c r="L544" s="56" t="n">
        <v>0</v>
      </c>
      <c r="M544" s="56" t="n">
        <v>74</v>
      </c>
      <c r="N544" s="56" t="n">
        <v>0.3</v>
      </c>
      <c r="O544" s="56" t="n">
        <f aca="false">IF(D544=1,"",E543)</f>
        <v>17.6</v>
      </c>
      <c r="P544" s="56" t="n">
        <f aca="false">IF(OR(D544=1,K543=""),"",K543)</f>
        <v>1023.7</v>
      </c>
      <c r="Q544" s="56" t="n">
        <f aca="false">IF(OR(F544&lt;&gt;0,AND(I544&lt;&gt;"",E544&lt;I544)),1,0)</f>
        <v>0</v>
      </c>
      <c r="R544" s="56" t="n">
        <f aca="false">IF(AND(D544&gt;1,Q544=0,ISNUMBER(O544),ISNUMBER(P544)),IF(Q543=0,1,0),0)</f>
        <v>1</v>
      </c>
      <c r="S544" s="56" t="n">
        <f aca="false">R544*(B544&gt;=Train_Start)*(B544&lt;=Train_End)</f>
        <v>1</v>
      </c>
      <c r="T544" s="84" t="n">
        <f aca="false">IF(AND(ISNUMBER(O544),ISNUMBER(P544)),Coef_A+Coef_B1*O544+Coef_B2*P544,"")</f>
        <v>18.6207063563614</v>
      </c>
      <c r="U544" s="84" t="n">
        <f aca="false">IF(AND(R544=1,ISNUMBER(T544)),E544-T544,"")</f>
        <v>-0.0207063563614156</v>
      </c>
      <c r="V544" s="84" t="n">
        <f aca="false">IF(ISNUMBER(T544),T544,-99)</f>
        <v>18.6207063563614</v>
      </c>
      <c r="W544" s="84" t="n">
        <f aca="false">IF(ISNUMBER(U544),ABS(U544),"")</f>
        <v>0.0207063563614156</v>
      </c>
    </row>
    <row r="545" customFormat="false" ht="15" hidden="false" customHeight="false" outlineLevel="0" collapsed="false">
      <c r="A545" s="57" t="n">
        <v>30156</v>
      </c>
      <c r="B545" s="56" t="n">
        <v>1982</v>
      </c>
      <c r="C545" s="56" t="n">
        <v>7</v>
      </c>
      <c r="D545" s="56" t="n">
        <v>85</v>
      </c>
      <c r="E545" s="56" t="n">
        <v>25.2</v>
      </c>
      <c r="F545" s="56" t="n">
        <v>0</v>
      </c>
      <c r="G545" s="56" t="n">
        <v>13.2</v>
      </c>
      <c r="H545" s="56" t="n">
        <v>0</v>
      </c>
      <c r="I545" s="56" t="n">
        <v>15.9</v>
      </c>
      <c r="J545" s="56" t="n">
        <v>0</v>
      </c>
      <c r="K545" s="56" t="n">
        <v>1022.8</v>
      </c>
      <c r="L545" s="56" t="n">
        <v>0</v>
      </c>
      <c r="M545" s="56" t="n">
        <v>74</v>
      </c>
      <c r="N545" s="56" t="n">
        <v>0.5</v>
      </c>
      <c r="O545" s="56" t="n">
        <f aca="false">IF(D545=1,"",E544)</f>
        <v>18.6</v>
      </c>
      <c r="P545" s="56" t="n">
        <f aca="false">IF(OR(D545=1,K544=""),"",K544)</f>
        <v>1022.6</v>
      </c>
      <c r="Q545" s="56" t="n">
        <f aca="false">IF(OR(F545&lt;&gt;0,AND(I545&lt;&gt;"",E545&lt;I545)),1,0)</f>
        <v>0</v>
      </c>
      <c r="R545" s="56" t="n">
        <f aca="false">IF(AND(D545&gt;1,Q545=0,ISNUMBER(O545),ISNUMBER(P545)),IF(Q544=0,1,0),0)</f>
        <v>1</v>
      </c>
      <c r="S545" s="56" t="n">
        <f aca="false">R545*(B545&gt;=Train_Start)*(B545&lt;=Train_End)</f>
        <v>1</v>
      </c>
      <c r="T545" s="84" t="n">
        <f aca="false">IF(AND(ISNUMBER(O545),ISNUMBER(P545)),Coef_A+Coef_B1*O545+Coef_B2*P545,"")</f>
        <v>19.4055386653067</v>
      </c>
      <c r="U545" s="84" t="n">
        <f aca="false">IF(AND(R545=1,ISNUMBER(T545)),E545-T545,"")</f>
        <v>5.79446133469331</v>
      </c>
      <c r="V545" s="84" t="n">
        <f aca="false">IF(ISNUMBER(T545),T545,-99)</f>
        <v>19.4055386653067</v>
      </c>
      <c r="W545" s="84" t="n">
        <f aca="false">IF(ISNUMBER(U545),ABS(U545),"")</f>
        <v>5.79446133469331</v>
      </c>
    </row>
    <row r="546" customFormat="false" ht="15" hidden="false" customHeight="false" outlineLevel="0" collapsed="false">
      <c r="A546" s="57" t="n">
        <v>30157</v>
      </c>
      <c r="B546" s="56" t="n">
        <v>1982</v>
      </c>
      <c r="C546" s="56" t="n">
        <v>7</v>
      </c>
      <c r="D546" s="56" t="n">
        <v>86</v>
      </c>
      <c r="E546" s="56" t="n">
        <v>21.7</v>
      </c>
      <c r="F546" s="56" t="n">
        <v>0</v>
      </c>
      <c r="G546" s="56" t="n">
        <v>12.6</v>
      </c>
      <c r="H546" s="56" t="n">
        <v>0</v>
      </c>
      <c r="I546" s="56" t="n">
        <v>18.9</v>
      </c>
      <c r="J546" s="56" t="n">
        <v>0</v>
      </c>
      <c r="K546" s="56" t="n">
        <v>1023.6</v>
      </c>
      <c r="L546" s="56" t="n">
        <v>0</v>
      </c>
      <c r="M546" s="56" t="n">
        <v>65</v>
      </c>
      <c r="N546" s="56" t="n">
        <v>9.8</v>
      </c>
      <c r="O546" s="56" t="n">
        <f aca="false">IF(D546=1,"",E545)</f>
        <v>25.2</v>
      </c>
      <c r="P546" s="56" t="n">
        <f aca="false">IF(OR(D546=1,K545=""),"",K545)</f>
        <v>1022.8</v>
      </c>
      <c r="Q546" s="56" t="n">
        <f aca="false">IF(OR(F546&lt;&gt;0,AND(I546&lt;&gt;"",E546&lt;I546)),1,0)</f>
        <v>0</v>
      </c>
      <c r="R546" s="56" t="n">
        <f aca="false">IF(AND(D546&gt;1,Q546=0,ISNUMBER(O546),ISNUMBER(P546)),IF(Q545=0,1,0),0)</f>
        <v>1</v>
      </c>
      <c r="S546" s="56" t="n">
        <f aca="false">R546*(B546&gt;=Train_Start)*(B546&lt;=Train_End)</f>
        <v>1</v>
      </c>
      <c r="T546" s="84" t="n">
        <f aca="false">IF(AND(ISNUMBER(O546),ISNUMBER(P546)),Coef_A+Coef_B1*O546+Coef_B2*P546,"")</f>
        <v>24.819451318315</v>
      </c>
      <c r="U546" s="84" t="n">
        <f aca="false">IF(AND(R546=1,ISNUMBER(T546)),E546-T546,"")</f>
        <v>-3.11945131831502</v>
      </c>
      <c r="V546" s="84" t="n">
        <f aca="false">IF(ISNUMBER(T546),T546,-99)</f>
        <v>24.819451318315</v>
      </c>
      <c r="W546" s="84" t="n">
        <f aca="false">IF(ISNUMBER(U546),ABS(U546),"")</f>
        <v>3.11945131831502</v>
      </c>
    </row>
    <row r="547" customFormat="false" ht="15" hidden="false" customHeight="false" outlineLevel="0" collapsed="false">
      <c r="A547" s="57" t="n">
        <v>30158</v>
      </c>
      <c r="B547" s="56" t="n">
        <v>1982</v>
      </c>
      <c r="C547" s="56" t="n">
        <v>7</v>
      </c>
      <c r="D547" s="56" t="n">
        <v>87</v>
      </c>
      <c r="E547" s="56" t="n">
        <v>18.2</v>
      </c>
      <c r="F547" s="56" t="n">
        <v>0</v>
      </c>
      <c r="G547" s="56" t="n">
        <v>14.4</v>
      </c>
      <c r="H547" s="56" t="n">
        <v>0</v>
      </c>
      <c r="I547" s="56" t="n">
        <v>18</v>
      </c>
      <c r="J547" s="56" t="n">
        <v>0</v>
      </c>
      <c r="K547" s="56" t="n">
        <v>1024.3</v>
      </c>
      <c r="L547" s="56" t="n">
        <v>0</v>
      </c>
      <c r="M547" s="56" t="n">
        <v>70</v>
      </c>
      <c r="N547" s="56" t="n">
        <v>2.2</v>
      </c>
      <c r="O547" s="56" t="n">
        <f aca="false">IF(D547=1,"",E546)</f>
        <v>21.7</v>
      </c>
      <c r="P547" s="56" t="n">
        <f aca="false">IF(OR(D547=1,K546=""),"",K546)</f>
        <v>1023.6</v>
      </c>
      <c r="Q547" s="56" t="n">
        <f aca="false">IF(OR(F547&lt;&gt;0,AND(I547&lt;&gt;"",E547&lt;I547)),1,0)</f>
        <v>0</v>
      </c>
      <c r="R547" s="56" t="n">
        <f aca="false">IF(AND(D547&gt;1,Q547=0,ISNUMBER(O547),ISNUMBER(P547)),IF(Q546=0,1,0),0)</f>
        <v>1</v>
      </c>
      <c r="S547" s="56" t="n">
        <f aca="false">R547*(B547&gt;=Train_Start)*(B547&lt;=Train_End)</f>
        <v>1</v>
      </c>
      <c r="T547" s="84" t="n">
        <f aca="false">IF(AND(ISNUMBER(O547),ISNUMBER(P547)),Coef_A+Coef_B1*O547+Coef_B2*P547,"")</f>
        <v>21.9768600583729</v>
      </c>
      <c r="U547" s="84" t="n">
        <f aca="false">IF(AND(R547=1,ISNUMBER(T547)),E547-T547,"")</f>
        <v>-3.77686005837291</v>
      </c>
      <c r="V547" s="84" t="n">
        <f aca="false">IF(ISNUMBER(T547),T547,-99)</f>
        <v>21.9768600583729</v>
      </c>
      <c r="W547" s="84" t="n">
        <f aca="false">IF(ISNUMBER(U547),ABS(U547),"")</f>
        <v>3.77686005837291</v>
      </c>
    </row>
    <row r="548" customFormat="false" ht="15" hidden="false" customHeight="false" outlineLevel="0" collapsed="false">
      <c r="A548" s="57" t="n">
        <v>30159</v>
      </c>
      <c r="B548" s="56" t="n">
        <v>1982</v>
      </c>
      <c r="C548" s="56" t="n">
        <v>7</v>
      </c>
      <c r="D548" s="56" t="n">
        <v>88</v>
      </c>
      <c r="E548" s="56" t="n">
        <v>22.7</v>
      </c>
      <c r="F548" s="56" t="n">
        <v>0</v>
      </c>
      <c r="G548" s="56" t="n">
        <v>10.3</v>
      </c>
      <c r="H548" s="56" t="n">
        <v>0</v>
      </c>
      <c r="I548" s="56" t="n">
        <v>14.2</v>
      </c>
      <c r="J548" s="56" t="n">
        <v>0</v>
      </c>
      <c r="K548" s="56" t="n">
        <v>1023.8</v>
      </c>
      <c r="L548" s="56" t="n">
        <v>0</v>
      </c>
      <c r="M548" s="56" t="n">
        <v>66</v>
      </c>
      <c r="N548" s="56" t="n">
        <v>4.5</v>
      </c>
      <c r="O548" s="56" t="n">
        <f aca="false">IF(D548=1,"",E547)</f>
        <v>18.2</v>
      </c>
      <c r="P548" s="56" t="n">
        <f aca="false">IF(OR(D548=1,K547=""),"",K547)</f>
        <v>1024.3</v>
      </c>
      <c r="Q548" s="56" t="n">
        <f aca="false">IF(OR(F548&lt;&gt;0,AND(I548&lt;&gt;"",E548&lt;I548)),1,0)</f>
        <v>0</v>
      </c>
      <c r="R548" s="56" t="n">
        <f aca="false">IF(AND(D548&gt;1,Q548=0,ISNUMBER(O548),ISNUMBER(P548)),IF(Q547=0,1,0),0)</f>
        <v>1</v>
      </c>
      <c r="S548" s="56" t="n">
        <f aca="false">R548*(B548&gt;=Train_Start)*(B548&lt;=Train_End)</f>
        <v>1</v>
      </c>
      <c r="T548" s="84" t="n">
        <f aca="false">IF(AND(ISNUMBER(O548),ISNUMBER(P548)),Coef_A+Coef_B1*O548+Coef_B2*P548,"")</f>
        <v>19.1311318089674</v>
      </c>
      <c r="U548" s="84" t="n">
        <f aca="false">IF(AND(R548=1,ISNUMBER(T548)),E548-T548,"")</f>
        <v>3.5688681910326</v>
      </c>
      <c r="V548" s="84" t="n">
        <f aca="false">IF(ISNUMBER(T548),T548,-99)</f>
        <v>19.1311318089674</v>
      </c>
      <c r="W548" s="84" t="n">
        <f aca="false">IF(ISNUMBER(U548),ABS(U548),"")</f>
        <v>3.5688681910326</v>
      </c>
    </row>
    <row r="549" customFormat="false" ht="15" hidden="false" customHeight="false" outlineLevel="0" collapsed="false">
      <c r="A549" s="57" t="n">
        <v>30160</v>
      </c>
      <c r="B549" s="56" t="n">
        <v>1982</v>
      </c>
      <c r="C549" s="56" t="n">
        <v>7</v>
      </c>
      <c r="D549" s="56" t="n">
        <v>89</v>
      </c>
      <c r="E549" s="56" t="n">
        <v>24.3</v>
      </c>
      <c r="F549" s="56" t="n">
        <v>0</v>
      </c>
      <c r="G549" s="56" t="n">
        <v>10.7</v>
      </c>
      <c r="H549" s="56" t="n">
        <v>0</v>
      </c>
      <c r="I549" s="56" t="n">
        <v>16.7</v>
      </c>
      <c r="J549" s="56" t="n">
        <v>0</v>
      </c>
      <c r="K549" s="56" t="n">
        <v>1022.5</v>
      </c>
      <c r="L549" s="56" t="n">
        <v>0</v>
      </c>
      <c r="M549" s="56" t="n">
        <v>68</v>
      </c>
      <c r="N549" s="56" t="n">
        <v>5</v>
      </c>
      <c r="O549" s="56" t="n">
        <f aca="false">IF(D549=1,"",E548)</f>
        <v>22.7</v>
      </c>
      <c r="P549" s="56" t="n">
        <f aca="false">IF(OR(D549=1,K548=""),"",K548)</f>
        <v>1023.8</v>
      </c>
      <c r="Q549" s="56" t="n">
        <f aca="false">IF(OR(F549&lt;&gt;0,AND(I549&lt;&gt;"",E549&lt;I549)),1,0)</f>
        <v>0</v>
      </c>
      <c r="R549" s="56" t="n">
        <f aca="false">IF(AND(D549&gt;1,Q549=0,ISNUMBER(O549),ISNUMBER(P549)),IF(Q548=0,1,0),0)</f>
        <v>1</v>
      </c>
      <c r="S549" s="56" t="n">
        <f aca="false">R549*(B549&gt;=Train_Start)*(B549&lt;=Train_End)</f>
        <v>1</v>
      </c>
      <c r="T549" s="84" t="n">
        <f aca="false">IF(AND(ISNUMBER(O549),ISNUMBER(P549)),Coef_A+Coef_B1*O549+Coef_B2*P549,"")</f>
        <v>22.8024732303424</v>
      </c>
      <c r="U549" s="84" t="n">
        <f aca="false">IF(AND(R549=1,ISNUMBER(T549)),E549-T549,"")</f>
        <v>1.49752676965764</v>
      </c>
      <c r="V549" s="84" t="n">
        <f aca="false">IF(ISNUMBER(T549),T549,-99)</f>
        <v>22.8024732303424</v>
      </c>
      <c r="W549" s="84" t="n">
        <f aca="false">IF(ISNUMBER(U549),ABS(U549),"")</f>
        <v>1.49752676965764</v>
      </c>
    </row>
    <row r="550" customFormat="false" ht="15" hidden="false" customHeight="false" outlineLevel="0" collapsed="false">
      <c r="A550" s="57" t="n">
        <v>30161</v>
      </c>
      <c r="B550" s="56" t="n">
        <v>1982</v>
      </c>
      <c r="C550" s="56" t="n">
        <v>7</v>
      </c>
      <c r="D550" s="56" t="n">
        <v>90</v>
      </c>
      <c r="E550" s="56" t="n">
        <v>26.9</v>
      </c>
      <c r="F550" s="56" t="n">
        <v>0</v>
      </c>
      <c r="G550" s="56" t="n">
        <v>12</v>
      </c>
      <c r="H550" s="56" t="n">
        <v>0</v>
      </c>
      <c r="I550" s="56" t="n">
        <v>18.2</v>
      </c>
      <c r="J550" s="56" t="n">
        <v>0</v>
      </c>
      <c r="K550" s="56" t="n">
        <v>1020.9</v>
      </c>
      <c r="L550" s="56" t="n">
        <v>0</v>
      </c>
      <c r="M550" s="56" t="n">
        <v>69</v>
      </c>
      <c r="N550" s="56" t="n">
        <v>8</v>
      </c>
      <c r="O550" s="56" t="n">
        <f aca="false">IF(D550=1,"",E549)</f>
        <v>24.3</v>
      </c>
      <c r="P550" s="56" t="n">
        <f aca="false">IF(OR(D550=1,K549=""),"",K549)</f>
        <v>1022.5</v>
      </c>
      <c r="Q550" s="56" t="n">
        <f aca="false">IF(OR(F550&lt;&gt;0,AND(I550&lt;&gt;"",E550&lt;I550)),1,0)</f>
        <v>0</v>
      </c>
      <c r="R550" s="56" t="n">
        <f aca="false">IF(AND(D550&gt;1,Q550=0,ISNUMBER(O550),ISNUMBER(P550)),IF(Q549=0,1,0),0)</f>
        <v>1</v>
      </c>
      <c r="S550" s="56" t="n">
        <f aca="false">R550*(B550&gt;=Train_Start)*(B550&lt;=Train_End)</f>
        <v>1</v>
      </c>
      <c r="T550" s="84" t="n">
        <f aca="false">IF(AND(ISNUMBER(O550),ISNUMBER(P550)),Coef_A+Coef_B1*O550+Coef_B2*P550,"")</f>
        <v>24.0726350761864</v>
      </c>
      <c r="U550" s="84" t="n">
        <f aca="false">IF(AND(R550=1,ISNUMBER(T550)),E550-T550,"")</f>
        <v>2.82736492381357</v>
      </c>
      <c r="V550" s="84" t="n">
        <f aca="false">IF(ISNUMBER(T550),T550,-99)</f>
        <v>24.0726350761864</v>
      </c>
      <c r="W550" s="84" t="n">
        <f aca="false">IF(ISNUMBER(U550),ABS(U550),"")</f>
        <v>2.82736492381357</v>
      </c>
    </row>
    <row r="551" customFormat="false" ht="15" hidden="false" customHeight="false" outlineLevel="0" collapsed="false">
      <c r="A551" s="57" t="n">
        <v>30162</v>
      </c>
      <c r="B551" s="56" t="n">
        <v>1982</v>
      </c>
      <c r="C551" s="56" t="n">
        <v>7</v>
      </c>
      <c r="D551" s="56" t="n">
        <v>91</v>
      </c>
      <c r="E551" s="56" t="n">
        <v>25.9</v>
      </c>
      <c r="F551" s="56" t="n">
        <v>0</v>
      </c>
      <c r="G551" s="56" t="n">
        <v>14.3</v>
      </c>
      <c r="H551" s="56" t="n">
        <v>0</v>
      </c>
      <c r="I551" s="56" t="n">
        <v>20.6</v>
      </c>
      <c r="J551" s="56" t="n">
        <v>0</v>
      </c>
      <c r="K551" s="56" t="n">
        <v>1013.7</v>
      </c>
      <c r="L551" s="56" t="n">
        <v>0</v>
      </c>
      <c r="M551" s="56" t="n">
        <v>73</v>
      </c>
      <c r="N551" s="56" t="n">
        <v>3</v>
      </c>
      <c r="O551" s="56" t="n">
        <f aca="false">IF(D551=1,"",E550)</f>
        <v>26.9</v>
      </c>
      <c r="P551" s="56" t="n">
        <f aca="false">IF(OR(D551=1,K550=""),"",K550)</f>
        <v>1020.9</v>
      </c>
      <c r="Q551" s="56" t="n">
        <f aca="false">IF(OR(F551&lt;&gt;0,AND(I551&lt;&gt;"",E551&lt;I551)),1,0)</f>
        <v>0</v>
      </c>
      <c r="R551" s="56" t="n">
        <f aca="false">IF(AND(D551&gt;1,Q551=0,ISNUMBER(O551),ISNUMBER(P551)),IF(Q550=0,1,0),0)</f>
        <v>1</v>
      </c>
      <c r="S551" s="56" t="n">
        <f aca="false">R551*(B551&gt;=Train_Start)*(B551&lt;=Train_End)</f>
        <v>1</v>
      </c>
      <c r="T551" s="84" t="n">
        <f aca="false">IF(AND(ISNUMBER(O551),ISNUMBER(P551)),Coef_A+Coef_B1*O551+Coef_B2*P551,"")</f>
        <v>26.152725146683</v>
      </c>
      <c r="U551" s="84" t="n">
        <f aca="false">IF(AND(R551=1,ISNUMBER(T551)),E551-T551,"")</f>
        <v>-0.252725146682955</v>
      </c>
      <c r="V551" s="84" t="n">
        <f aca="false">IF(ISNUMBER(T551),T551,-99)</f>
        <v>26.152725146683</v>
      </c>
      <c r="W551" s="84" t="n">
        <f aca="false">IF(ISNUMBER(U551),ABS(U551),"")</f>
        <v>0.252725146682955</v>
      </c>
    </row>
    <row r="552" customFormat="false" ht="15" hidden="false" customHeight="false" outlineLevel="0" collapsed="false">
      <c r="A552" s="57" t="n">
        <v>30163</v>
      </c>
      <c r="B552" s="56" t="n">
        <v>1982</v>
      </c>
      <c r="C552" s="56" t="n">
        <v>7</v>
      </c>
      <c r="D552" s="56" t="n">
        <v>92</v>
      </c>
      <c r="E552" s="56" t="n">
        <v>26.5</v>
      </c>
      <c r="F552" s="56" t="n">
        <v>0</v>
      </c>
      <c r="G552" s="56" t="n">
        <v>16.4</v>
      </c>
      <c r="H552" s="56" t="n">
        <v>0</v>
      </c>
      <c r="I552" s="56" t="n">
        <v>21.2</v>
      </c>
      <c r="J552" s="56" t="n">
        <v>0</v>
      </c>
      <c r="K552" s="56" t="n">
        <v>1009.5</v>
      </c>
      <c r="L552" s="56" t="n">
        <v>0</v>
      </c>
      <c r="M552" s="56" t="n">
        <v>78</v>
      </c>
      <c r="N552" s="56" t="n">
        <v>5.3</v>
      </c>
      <c r="O552" s="56" t="n">
        <f aca="false">IF(D552=1,"",E551)</f>
        <v>25.9</v>
      </c>
      <c r="P552" s="56" t="n">
        <f aca="false">IF(OR(D552=1,K551=""),"",K551)</f>
        <v>1013.7</v>
      </c>
      <c r="Q552" s="56" t="n">
        <f aca="false">IF(OR(F552&lt;&gt;0,AND(I552&lt;&gt;"",E552&lt;I552)),1,0)</f>
        <v>0</v>
      </c>
      <c r="R552" s="56" t="n">
        <f aca="false">IF(AND(D552&gt;1,Q552=0,ISNUMBER(O552),ISNUMBER(P552)),IF(Q551=0,1,0),0)</f>
        <v>1</v>
      </c>
      <c r="S552" s="56" t="n">
        <f aca="false">R552*(B552&gt;=Train_Start)*(B552&lt;=Train_End)</f>
        <v>1</v>
      </c>
      <c r="T552" s="84" t="n">
        <f aca="false">IF(AND(ISNUMBER(O552),ISNUMBER(P552)),Coef_A+Coef_B1*O552+Coef_B2*P552,"")</f>
        <v>25.1075227122756</v>
      </c>
      <c r="U552" s="84" t="n">
        <f aca="false">IF(AND(R552=1,ISNUMBER(T552)),E552-T552,"")</f>
        <v>1.39247728772443</v>
      </c>
      <c r="V552" s="84" t="n">
        <f aca="false">IF(ISNUMBER(T552),T552,-99)</f>
        <v>25.1075227122756</v>
      </c>
      <c r="W552" s="84" t="n">
        <f aca="false">IF(ISNUMBER(U552),ABS(U552),"")</f>
        <v>1.39247728772443</v>
      </c>
    </row>
    <row r="553" customFormat="false" ht="15" hidden="false" customHeight="false" outlineLevel="0" collapsed="false">
      <c r="A553" s="57" t="n">
        <v>30164</v>
      </c>
      <c r="B553" s="56" t="n">
        <v>1982</v>
      </c>
      <c r="C553" s="56" t="n">
        <v>8</v>
      </c>
      <c r="D553" s="56" t="n">
        <v>93</v>
      </c>
      <c r="E553" s="56" t="n">
        <v>27.6</v>
      </c>
      <c r="F553" s="56" t="n">
        <v>0</v>
      </c>
      <c r="G553" s="56" t="n">
        <v>16.2</v>
      </c>
      <c r="H553" s="56" t="n">
        <v>0</v>
      </c>
      <c r="I553" s="56" t="n">
        <v>21.4</v>
      </c>
      <c r="J553" s="56" t="n">
        <v>0</v>
      </c>
      <c r="K553" s="56" t="n">
        <v>1012.4</v>
      </c>
      <c r="L553" s="56" t="n">
        <v>0</v>
      </c>
      <c r="M553" s="56" t="n">
        <v>73</v>
      </c>
      <c r="N553" s="56" t="n">
        <v>4.8</v>
      </c>
      <c r="O553" s="56" t="n">
        <f aca="false">IF(D553=1,"",E552)</f>
        <v>26.5</v>
      </c>
      <c r="P553" s="56" t="n">
        <f aca="false">IF(OR(D553=1,K552=""),"",K552)</f>
        <v>1009.5</v>
      </c>
      <c r="Q553" s="56" t="n">
        <f aca="false">IF(OR(F553&lt;&gt;0,AND(I553&lt;&gt;"",E553&lt;I553)),1,0)</f>
        <v>0</v>
      </c>
      <c r="R553" s="56" t="n">
        <f aca="false">IF(AND(D553&gt;1,Q553=0,ISNUMBER(O553),ISNUMBER(P553)),IF(Q552=0,1,0),0)</f>
        <v>1</v>
      </c>
      <c r="S553" s="56" t="n">
        <f aca="false">R553*(B553&gt;=Train_Start)*(B553&lt;=Train_End)</f>
        <v>1</v>
      </c>
      <c r="T553" s="84" t="n">
        <f aca="false">IF(AND(ISNUMBER(O553),ISNUMBER(P553)),Coef_A+Coef_B1*O553+Coef_B2*P553,"")</f>
        <v>25.4673726706384</v>
      </c>
      <c r="U553" s="84" t="n">
        <f aca="false">IF(AND(R553=1,ISNUMBER(T553)),E553-T553,"")</f>
        <v>2.13262732936159</v>
      </c>
      <c r="V553" s="84" t="n">
        <f aca="false">IF(ISNUMBER(T553),T553,-99)</f>
        <v>25.4673726706384</v>
      </c>
      <c r="W553" s="84" t="n">
        <f aca="false">IF(ISNUMBER(U553),ABS(U553),"")</f>
        <v>2.13262732936159</v>
      </c>
    </row>
    <row r="554" customFormat="false" ht="15" hidden="false" customHeight="false" outlineLevel="0" collapsed="false">
      <c r="A554" s="57" t="n">
        <v>30165</v>
      </c>
      <c r="B554" s="56" t="n">
        <v>1982</v>
      </c>
      <c r="C554" s="56" t="n">
        <v>8</v>
      </c>
      <c r="D554" s="56" t="n">
        <v>94</v>
      </c>
      <c r="E554" s="56" t="n">
        <v>27.3</v>
      </c>
      <c r="F554" s="56" t="n">
        <v>0</v>
      </c>
      <c r="G554" s="56" t="n">
        <v>15.9</v>
      </c>
      <c r="H554" s="56" t="n">
        <v>0</v>
      </c>
      <c r="I554" s="56" t="n">
        <v>21.8</v>
      </c>
      <c r="J554" s="56" t="n">
        <v>0</v>
      </c>
      <c r="K554" s="56" t="n">
        <v>1013.2</v>
      </c>
      <c r="L554" s="56" t="n">
        <v>0</v>
      </c>
      <c r="M554" s="56" t="n">
        <v>74</v>
      </c>
      <c r="N554" s="56" t="n">
        <v>4</v>
      </c>
      <c r="O554" s="56" t="n">
        <f aca="false">IF(D554=1,"",E553)</f>
        <v>27.6</v>
      </c>
      <c r="P554" s="56" t="n">
        <f aca="false">IF(OR(D554=1,K553=""),"",K553)</f>
        <v>1012.4</v>
      </c>
      <c r="Q554" s="56" t="n">
        <f aca="false">IF(OR(F554&lt;&gt;0,AND(I554&lt;&gt;"",E554&lt;I554)),1,0)</f>
        <v>0</v>
      </c>
      <c r="R554" s="56" t="n">
        <f aca="false">IF(AND(D554&gt;1,Q554=0,ISNUMBER(O554),ISNUMBER(P554)),IF(Q553=0,1,0),0)</f>
        <v>1</v>
      </c>
      <c r="S554" s="56" t="n">
        <f aca="false">R554*(B554&gt;=Train_Start)*(B554&lt;=Train_End)</f>
        <v>1</v>
      </c>
      <c r="T554" s="84" t="n">
        <f aca="false">IF(AND(ISNUMBER(O554),ISNUMBER(P554)),Coef_A+Coef_B1*O554+Coef_B2*P554,"")</f>
        <v>26.4596184774239</v>
      </c>
      <c r="U554" s="84" t="n">
        <f aca="false">IF(AND(R554=1,ISNUMBER(T554)),E554-T554,"")</f>
        <v>0.840381522576092</v>
      </c>
      <c r="V554" s="84" t="n">
        <f aca="false">IF(ISNUMBER(T554),T554,-99)</f>
        <v>26.4596184774239</v>
      </c>
      <c r="W554" s="84" t="n">
        <f aca="false">IF(ISNUMBER(U554),ABS(U554),"")</f>
        <v>0.840381522576092</v>
      </c>
    </row>
    <row r="555" customFormat="false" ht="15" hidden="false" customHeight="false" outlineLevel="0" collapsed="false">
      <c r="A555" s="57" t="n">
        <v>30166</v>
      </c>
      <c r="B555" s="56" t="n">
        <v>1982</v>
      </c>
      <c r="C555" s="56" t="n">
        <v>8</v>
      </c>
      <c r="D555" s="56" t="n">
        <v>95</v>
      </c>
      <c r="E555" s="56" t="n">
        <v>24.8</v>
      </c>
      <c r="F555" s="56" t="n">
        <v>0</v>
      </c>
      <c r="G555" s="56" t="n">
        <v>16.6</v>
      </c>
      <c r="H555" s="56" t="n">
        <v>0</v>
      </c>
      <c r="I555" s="56" t="n">
        <v>22</v>
      </c>
      <c r="J555" s="56" t="n">
        <v>0</v>
      </c>
      <c r="K555" s="56" t="n">
        <v>1012.9</v>
      </c>
      <c r="L555" s="56" t="n">
        <v>0</v>
      </c>
      <c r="M555" s="56" t="n">
        <v>77</v>
      </c>
      <c r="N555" s="56" t="n">
        <v>4.9</v>
      </c>
      <c r="O555" s="56" t="n">
        <f aca="false">IF(D555=1,"",E554)</f>
        <v>27.3</v>
      </c>
      <c r="P555" s="56" t="n">
        <f aca="false">IF(OR(D555=1,K554=""),"",K554)</f>
        <v>1013.2</v>
      </c>
      <c r="Q555" s="56" t="n">
        <f aca="false">IF(OR(F555&lt;&gt;0,AND(I555&lt;&gt;"",E555&lt;I555)),1,0)</f>
        <v>0</v>
      </c>
      <c r="R555" s="56" t="n">
        <f aca="false">IF(AND(D555&gt;1,Q555=0,ISNUMBER(O555),ISNUMBER(P555)),IF(Q554=0,1,0),0)</f>
        <v>1</v>
      </c>
      <c r="S555" s="56" t="n">
        <f aca="false">R555*(B555&gt;=Train_Start)*(B555&lt;=Train_End)</f>
        <v>1</v>
      </c>
      <c r="T555" s="84" t="n">
        <f aca="false">IF(AND(ISNUMBER(O555),ISNUMBER(P555)),Coef_A+Coef_B1*O555+Coef_B2*P555,"")</f>
        <v>26.2389126352183</v>
      </c>
      <c r="U555" s="84" t="n">
        <f aca="false">IF(AND(R555=1,ISNUMBER(T555)),E555-T555,"")</f>
        <v>-1.4389126352183</v>
      </c>
      <c r="V555" s="84" t="n">
        <f aca="false">IF(ISNUMBER(T555),T555,-99)</f>
        <v>26.2389126352183</v>
      </c>
      <c r="W555" s="84" t="n">
        <f aca="false">IF(ISNUMBER(U555),ABS(U555),"")</f>
        <v>1.4389126352183</v>
      </c>
    </row>
    <row r="556" customFormat="false" ht="15" hidden="false" customHeight="false" outlineLevel="0" collapsed="false">
      <c r="A556" s="57" t="n">
        <v>30167</v>
      </c>
      <c r="B556" s="56" t="n">
        <v>1982</v>
      </c>
      <c r="C556" s="56" t="n">
        <v>8</v>
      </c>
      <c r="D556" s="56" t="n">
        <v>96</v>
      </c>
      <c r="E556" s="56" t="n">
        <v>23.6</v>
      </c>
      <c r="F556" s="56" t="n">
        <v>0</v>
      </c>
      <c r="G556" s="56" t="n">
        <v>17.2</v>
      </c>
      <c r="H556" s="56" t="n">
        <v>0</v>
      </c>
      <c r="I556" s="56" t="n">
        <v>21</v>
      </c>
      <c r="J556" s="56" t="n">
        <v>0</v>
      </c>
      <c r="K556" s="56" t="n">
        <v>1012.8</v>
      </c>
      <c r="L556" s="56" t="n">
        <v>0</v>
      </c>
      <c r="M556" s="56" t="n">
        <v>76</v>
      </c>
      <c r="N556" s="56" t="n">
        <v>1.9</v>
      </c>
      <c r="O556" s="56" t="n">
        <f aca="false">IF(D556=1,"",E555)</f>
        <v>24.8</v>
      </c>
      <c r="P556" s="56" t="n">
        <f aca="false">IF(OR(D556=1,K555=""),"",K555)</f>
        <v>1012.9</v>
      </c>
      <c r="Q556" s="56" t="n">
        <f aca="false">IF(OR(F556&lt;&gt;0,AND(I556&lt;&gt;"",E556&lt;I556)),1,0)</f>
        <v>0</v>
      </c>
      <c r="R556" s="56" t="n">
        <f aca="false">IF(AND(D556&gt;1,Q556=0,ISNUMBER(O556),ISNUMBER(P556)),IF(Q555=0,1,0),0)</f>
        <v>1</v>
      </c>
      <c r="S556" s="56" t="n">
        <f aca="false">R556*(B556&gt;=Train_Start)*(B556&lt;=Train_End)</f>
        <v>1</v>
      </c>
      <c r="T556" s="84" t="n">
        <f aca="false">IF(AND(ISNUMBER(O556),ISNUMBER(P556)),Coef_A+Coef_B1*O556+Coef_B2*P556,"")</f>
        <v>24.1811536842215</v>
      </c>
      <c r="U556" s="84" t="n">
        <f aca="false">IF(AND(R556=1,ISNUMBER(T556)),E556-T556,"")</f>
        <v>-0.581153684221459</v>
      </c>
      <c r="V556" s="84" t="n">
        <f aca="false">IF(ISNUMBER(T556),T556,-99)</f>
        <v>24.1811536842215</v>
      </c>
      <c r="W556" s="84" t="n">
        <f aca="false">IF(ISNUMBER(U556),ABS(U556),"")</f>
        <v>0.581153684221459</v>
      </c>
    </row>
    <row r="557" customFormat="false" ht="15" hidden="false" customHeight="false" outlineLevel="0" collapsed="false">
      <c r="A557" s="57" t="n">
        <v>30168</v>
      </c>
      <c r="B557" s="56" t="n">
        <v>1982</v>
      </c>
      <c r="C557" s="56" t="n">
        <v>8</v>
      </c>
      <c r="D557" s="56" t="n">
        <v>97</v>
      </c>
      <c r="E557" s="56" t="n">
        <v>25.1</v>
      </c>
      <c r="F557" s="56" t="n">
        <v>0</v>
      </c>
      <c r="G557" s="56" t="n">
        <v>16</v>
      </c>
      <c r="H557" s="56" t="n">
        <v>0</v>
      </c>
      <c r="I557" s="56" t="n">
        <v>19.8</v>
      </c>
      <c r="J557" s="56" t="n">
        <v>0</v>
      </c>
      <c r="K557" s="56" t="n">
        <v>1011.7</v>
      </c>
      <c r="L557" s="56" t="n">
        <v>0</v>
      </c>
      <c r="M557" s="56" t="n">
        <v>74</v>
      </c>
      <c r="N557" s="56" t="n">
        <v>0.1</v>
      </c>
      <c r="O557" s="56" t="n">
        <f aca="false">IF(D557=1,"",E556)</f>
        <v>23.6</v>
      </c>
      <c r="P557" s="56" t="n">
        <f aca="false">IF(OR(D557=1,K556=""),"",K556)</f>
        <v>1012.8</v>
      </c>
      <c r="Q557" s="56" t="n">
        <f aca="false">IF(OR(F557&lt;&gt;0,AND(I557&lt;&gt;"",E557&lt;I557)),1,0)</f>
        <v>0</v>
      </c>
      <c r="R557" s="56" t="n">
        <f aca="false">IF(AND(D557&gt;1,Q557=0,ISNUMBER(O557),ISNUMBER(P557)),IF(Q556=0,1,0),0)</f>
        <v>1</v>
      </c>
      <c r="S557" s="56" t="n">
        <f aca="false">R557*(B557&gt;=Train_Start)*(B557&lt;=Train_End)</f>
        <v>1</v>
      </c>
      <c r="T557" s="84" t="n">
        <f aca="false">IF(AND(ISNUMBER(O557),ISNUMBER(P557)),Coef_A+Coef_B1*O557+Coef_B2*P557,"")</f>
        <v>23.1948096631069</v>
      </c>
      <c r="U557" s="84" t="n">
        <f aca="false">IF(AND(R557=1,ISNUMBER(T557)),E557-T557,"")</f>
        <v>1.90519033689313</v>
      </c>
      <c r="V557" s="84" t="n">
        <f aca="false">IF(ISNUMBER(T557),T557,-99)</f>
        <v>23.1948096631069</v>
      </c>
      <c r="W557" s="84" t="n">
        <f aca="false">IF(ISNUMBER(U557),ABS(U557),"")</f>
        <v>1.90519033689313</v>
      </c>
    </row>
    <row r="558" customFormat="false" ht="15" hidden="false" customHeight="false" outlineLevel="0" collapsed="false">
      <c r="A558" s="57" t="n">
        <v>30169</v>
      </c>
      <c r="B558" s="56" t="n">
        <v>1982</v>
      </c>
      <c r="C558" s="56" t="n">
        <v>8</v>
      </c>
      <c r="D558" s="56" t="n">
        <v>98</v>
      </c>
      <c r="E558" s="56" t="n">
        <v>20.4</v>
      </c>
      <c r="F558" s="56" t="n">
        <v>0</v>
      </c>
      <c r="G558" s="56" t="n">
        <v>14.4</v>
      </c>
      <c r="H558" s="56" t="n">
        <v>0</v>
      </c>
      <c r="I558" s="56" t="n">
        <v>19.8</v>
      </c>
      <c r="J558" s="56" t="n">
        <v>0</v>
      </c>
      <c r="K558" s="56" t="n">
        <v>1011.8</v>
      </c>
      <c r="L558" s="56" t="n">
        <v>0</v>
      </c>
      <c r="M558" s="56" t="n">
        <v>81</v>
      </c>
      <c r="N558" s="56" t="n">
        <v>3.2</v>
      </c>
      <c r="O558" s="56" t="n">
        <f aca="false">IF(D558=1,"",E557)</f>
        <v>25.1</v>
      </c>
      <c r="P558" s="56" t="n">
        <f aca="false">IF(OR(D558=1,K557=""),"",K557)</f>
        <v>1011.7</v>
      </c>
      <c r="Q558" s="56" t="n">
        <f aca="false">IF(OR(F558&lt;&gt;0,AND(I558&lt;&gt;"",E558&lt;I558)),1,0)</f>
        <v>0</v>
      </c>
      <c r="R558" s="56" t="n">
        <f aca="false">IF(AND(D558&gt;1,Q558=0,ISNUMBER(O558),ISNUMBER(P558)),IF(Q557=0,1,0),0)</f>
        <v>1</v>
      </c>
      <c r="S558" s="56" t="n">
        <f aca="false">R558*(B558&gt;=Train_Start)*(B558&lt;=Train_End)</f>
        <v>1</v>
      </c>
      <c r="T558" s="84" t="n">
        <f aca="false">IF(AND(ISNUMBER(O558),ISNUMBER(P558)),Coef_A+Coef_B1*O558+Coef_B2*P558,"")</f>
        <v>24.3893115685735</v>
      </c>
      <c r="U558" s="84" t="n">
        <f aca="false">IF(AND(R558=1,ISNUMBER(T558)),E558-T558,"")</f>
        <v>-3.98931156857347</v>
      </c>
      <c r="V558" s="84" t="n">
        <f aca="false">IF(ISNUMBER(T558),T558,-99)</f>
        <v>24.3893115685735</v>
      </c>
      <c r="W558" s="84" t="n">
        <f aca="false">IF(ISNUMBER(U558),ABS(U558),"")</f>
        <v>3.98931156857347</v>
      </c>
    </row>
    <row r="559" customFormat="false" ht="15" hidden="false" customHeight="false" outlineLevel="0" collapsed="false">
      <c r="A559" s="57" t="n">
        <v>30170</v>
      </c>
      <c r="B559" s="56" t="n">
        <v>1982</v>
      </c>
      <c r="C559" s="56" t="n">
        <v>8</v>
      </c>
      <c r="D559" s="56" t="n">
        <v>99</v>
      </c>
      <c r="E559" s="56" t="n">
        <v>26.1</v>
      </c>
      <c r="F559" s="56" t="n">
        <v>0</v>
      </c>
      <c r="G559" s="56" t="n">
        <v>16.7</v>
      </c>
      <c r="H559" s="56" t="n">
        <v>0</v>
      </c>
      <c r="I559" s="56" t="n">
        <v>18.6</v>
      </c>
      <c r="J559" s="56" t="n">
        <v>0</v>
      </c>
      <c r="K559" s="56" t="n">
        <v>1017.1</v>
      </c>
      <c r="L559" s="56" t="n">
        <v>0</v>
      </c>
      <c r="M559" s="56" t="n">
        <v>80</v>
      </c>
      <c r="N559" s="56" t="n">
        <v>0</v>
      </c>
      <c r="O559" s="56" t="n">
        <f aca="false">IF(D559=1,"",E558)</f>
        <v>20.4</v>
      </c>
      <c r="P559" s="56" t="n">
        <f aca="false">IF(OR(D559=1,K558=""),"",K558)</f>
        <v>1011.8</v>
      </c>
      <c r="Q559" s="56" t="n">
        <f aca="false">IF(OR(F559&lt;&gt;0,AND(I559&lt;&gt;"",E559&lt;I559)),1,0)</f>
        <v>0</v>
      </c>
      <c r="R559" s="56" t="n">
        <f aca="false">IF(AND(D559&gt;1,Q559=0,ISNUMBER(O559),ISNUMBER(P559)),IF(Q558=0,1,0),0)</f>
        <v>1</v>
      </c>
      <c r="S559" s="56" t="n">
        <f aca="false">R559*(B559&gt;=Train_Start)*(B559&lt;=Train_End)</f>
        <v>1</v>
      </c>
      <c r="T559" s="84" t="n">
        <f aca="false">IF(AND(ISNUMBER(O559),ISNUMBER(P559)),Coef_A+Coef_B1*O559+Coef_B2*P559,"")</f>
        <v>20.5415543507364</v>
      </c>
      <c r="U559" s="84" t="n">
        <f aca="false">IF(AND(R559=1,ISNUMBER(T559)),E559-T559,"")</f>
        <v>5.55844564926363</v>
      </c>
      <c r="V559" s="84" t="n">
        <f aca="false">IF(ISNUMBER(T559),T559,-99)</f>
        <v>20.5415543507364</v>
      </c>
      <c r="W559" s="84" t="n">
        <f aca="false">IF(ISNUMBER(U559),ABS(U559),"")</f>
        <v>5.55844564926363</v>
      </c>
    </row>
    <row r="560" customFormat="false" ht="15" hidden="false" customHeight="false" outlineLevel="0" collapsed="false">
      <c r="A560" s="57" t="n">
        <v>30171</v>
      </c>
      <c r="B560" s="56" t="n">
        <v>1982</v>
      </c>
      <c r="C560" s="56" t="n">
        <v>8</v>
      </c>
      <c r="D560" s="56" t="n">
        <v>100</v>
      </c>
      <c r="E560" s="56" t="n">
        <v>25.6</v>
      </c>
      <c r="F560" s="56" t="n">
        <v>0</v>
      </c>
      <c r="G560" s="56" t="n">
        <v>13</v>
      </c>
      <c r="H560" s="56" t="n">
        <v>0</v>
      </c>
      <c r="I560" s="56" t="n">
        <v>19.6</v>
      </c>
      <c r="J560" s="56" t="n">
        <v>0</v>
      </c>
      <c r="K560" s="56" t="n">
        <v>1019.7</v>
      </c>
      <c r="L560" s="56" t="n">
        <v>0</v>
      </c>
      <c r="M560" s="56" t="n">
        <v>73</v>
      </c>
      <c r="N560" s="56" t="n">
        <v>7.7</v>
      </c>
      <c r="O560" s="56" t="n">
        <f aca="false">IF(D560=1,"",E559)</f>
        <v>26.1</v>
      </c>
      <c r="P560" s="56" t="n">
        <f aca="false">IF(OR(D560=1,K559=""),"",K559)</f>
        <v>1017.1</v>
      </c>
      <c r="Q560" s="56" t="n">
        <f aca="false">IF(OR(F560&lt;&gt;0,AND(I560&lt;&gt;"",E560&lt;I560)),1,0)</f>
        <v>0</v>
      </c>
      <c r="R560" s="56" t="n">
        <f aca="false">IF(AND(D560&gt;1,Q560=0,ISNUMBER(O560),ISNUMBER(P560)),IF(Q559=0,1,0),0)</f>
        <v>1</v>
      </c>
      <c r="S560" s="56" t="n">
        <f aca="false">R560*(B560&gt;=Train_Start)*(B560&lt;=Train_End)</f>
        <v>1</v>
      </c>
      <c r="T560" s="84" t="n">
        <f aca="false">IF(AND(ISNUMBER(O560),ISNUMBER(P560)),Coef_A+Coef_B1*O560+Coef_B2*P560,"")</f>
        <v>25.3780481926397</v>
      </c>
      <c r="U560" s="84" t="n">
        <f aca="false">IF(AND(R560=1,ISNUMBER(T560)),E560-T560,"")</f>
        <v>0.221951807360327</v>
      </c>
      <c r="V560" s="84" t="n">
        <f aca="false">IF(ISNUMBER(T560),T560,-99)</f>
        <v>25.3780481926397</v>
      </c>
      <c r="W560" s="84" t="n">
        <f aca="false">IF(ISNUMBER(U560),ABS(U560),"")</f>
        <v>0.221951807360327</v>
      </c>
    </row>
    <row r="561" customFormat="false" ht="15" hidden="false" customHeight="false" outlineLevel="0" collapsed="false">
      <c r="A561" s="57" t="n">
        <v>30172</v>
      </c>
      <c r="B561" s="56" t="n">
        <v>1982</v>
      </c>
      <c r="C561" s="56" t="n">
        <v>8</v>
      </c>
      <c r="D561" s="56" t="n">
        <v>101</v>
      </c>
      <c r="E561" s="56" t="n">
        <v>25.9</v>
      </c>
      <c r="F561" s="56" t="n">
        <v>0</v>
      </c>
      <c r="G561" s="56" t="n">
        <v>16.1</v>
      </c>
      <c r="H561" s="56" t="n">
        <v>0</v>
      </c>
      <c r="I561" s="56" t="n">
        <v>20.8</v>
      </c>
      <c r="J561" s="56" t="n">
        <v>0</v>
      </c>
      <c r="K561" s="56" t="n">
        <v>1020.2</v>
      </c>
      <c r="L561" s="56" t="n">
        <v>0</v>
      </c>
      <c r="M561" s="56" t="n">
        <v>64</v>
      </c>
      <c r="N561" s="56" t="n">
        <v>8.9</v>
      </c>
      <c r="O561" s="56" t="n">
        <f aca="false">IF(D561=1,"",E560)</f>
        <v>25.6</v>
      </c>
      <c r="P561" s="56" t="n">
        <f aca="false">IF(OR(D561=1,K560=""),"",K560)</f>
        <v>1019.7</v>
      </c>
      <c r="Q561" s="56" t="n">
        <f aca="false">IF(OR(F561&lt;&gt;0,AND(I561&lt;&gt;"",E561&lt;I561)),1,0)</f>
        <v>0</v>
      </c>
      <c r="R561" s="56" t="n">
        <f aca="false">IF(AND(D561&gt;1,Q561=0,ISNUMBER(O561),ISNUMBER(P561)),IF(Q560=0,1,0),0)</f>
        <v>1</v>
      </c>
      <c r="S561" s="56" t="n">
        <f aca="false">R561*(B561&gt;=Train_Start)*(B561&lt;=Train_End)</f>
        <v>1</v>
      </c>
      <c r="T561" s="84" t="n">
        <f aca="false">IF(AND(ISNUMBER(O561),ISNUMBER(P561)),Coef_A+Coef_B1*O561+Coef_B2*P561,"")</f>
        <v>25.0499403221667</v>
      </c>
      <c r="U561" s="84" t="n">
        <f aca="false">IF(AND(R561=1,ISNUMBER(T561)),E561-T561,"")</f>
        <v>0.850059677833283</v>
      </c>
      <c r="V561" s="84" t="n">
        <f aca="false">IF(ISNUMBER(T561),T561,-99)</f>
        <v>25.0499403221667</v>
      </c>
      <c r="W561" s="84" t="n">
        <f aca="false">IF(ISNUMBER(U561),ABS(U561),"")</f>
        <v>0.850059677833283</v>
      </c>
    </row>
    <row r="562" customFormat="false" ht="15" hidden="false" customHeight="false" outlineLevel="0" collapsed="false">
      <c r="A562" s="57" t="n">
        <v>30173</v>
      </c>
      <c r="B562" s="56" t="n">
        <v>1982</v>
      </c>
      <c r="C562" s="56" t="n">
        <v>8</v>
      </c>
      <c r="D562" s="56" t="n">
        <v>102</v>
      </c>
      <c r="E562" s="56" t="n">
        <v>25.4</v>
      </c>
      <c r="F562" s="56" t="n">
        <v>0</v>
      </c>
      <c r="G562" s="56" t="n">
        <v>14.6</v>
      </c>
      <c r="H562" s="56" t="n">
        <v>0</v>
      </c>
      <c r="I562" s="56" t="n">
        <v>20.2</v>
      </c>
      <c r="J562" s="56" t="n">
        <v>0</v>
      </c>
      <c r="K562" s="56" t="n">
        <v>1021.4</v>
      </c>
      <c r="L562" s="56" t="n">
        <v>0</v>
      </c>
      <c r="M562" s="56" t="n">
        <v>65</v>
      </c>
      <c r="N562" s="56" t="n">
        <v>11.1</v>
      </c>
      <c r="O562" s="56" t="n">
        <f aca="false">IF(D562=1,"",E561)</f>
        <v>25.9</v>
      </c>
      <c r="P562" s="56" t="n">
        <f aca="false">IF(OR(D562=1,K561=""),"",K561)</f>
        <v>1020.2</v>
      </c>
      <c r="Q562" s="56" t="n">
        <f aca="false">IF(OR(F562&lt;&gt;0,AND(I562&lt;&gt;"",E562&lt;I562)),1,0)</f>
        <v>0</v>
      </c>
      <c r="R562" s="56" t="n">
        <f aca="false">IF(AND(D562&gt;1,Q562=0,ISNUMBER(O562),ISNUMBER(P562)),IF(Q561=0,1,0),0)</f>
        <v>1</v>
      </c>
      <c r="S562" s="56" t="n">
        <f aca="false">R562*(B562&gt;=Train_Start)*(B562&lt;=Train_End)</f>
        <v>1</v>
      </c>
      <c r="T562" s="84" t="n">
        <f aca="false">IF(AND(ISNUMBER(O562),ISNUMBER(P562)),Coef_A+Coef_B1*O562+Coef_B2*P562,"")</f>
        <v>25.3114270273965</v>
      </c>
      <c r="U562" s="84" t="n">
        <f aca="false">IF(AND(R562=1,ISNUMBER(T562)),E562-T562,"")</f>
        <v>0.0885729726034938</v>
      </c>
      <c r="V562" s="84" t="n">
        <f aca="false">IF(ISNUMBER(T562),T562,-99)</f>
        <v>25.3114270273965</v>
      </c>
      <c r="W562" s="84" t="n">
        <f aca="false">IF(ISNUMBER(U562),ABS(U562),"")</f>
        <v>0.0885729726034938</v>
      </c>
    </row>
    <row r="563" customFormat="false" ht="15" hidden="false" customHeight="false" outlineLevel="0" collapsed="false">
      <c r="A563" s="57" t="n">
        <v>30174</v>
      </c>
      <c r="B563" s="56" t="n">
        <v>1982</v>
      </c>
      <c r="C563" s="56" t="n">
        <v>8</v>
      </c>
      <c r="D563" s="56" t="n">
        <v>103</v>
      </c>
      <c r="E563" s="56" t="n">
        <v>23.7</v>
      </c>
      <c r="F563" s="56" t="n">
        <v>0</v>
      </c>
      <c r="G563" s="56" t="n">
        <v>15.2</v>
      </c>
      <c r="H563" s="56" t="n">
        <v>0</v>
      </c>
      <c r="I563" s="56" t="n">
        <v>20.3</v>
      </c>
      <c r="J563" s="56" t="n">
        <v>0</v>
      </c>
      <c r="K563" s="56" t="n">
        <v>1019.8</v>
      </c>
      <c r="L563" s="56" t="n">
        <v>0</v>
      </c>
      <c r="M563" s="56" t="n">
        <v>72</v>
      </c>
      <c r="N563" s="56" t="n">
        <v>7</v>
      </c>
      <c r="O563" s="56" t="n">
        <f aca="false">IF(D563=1,"",E562)</f>
        <v>25.4</v>
      </c>
      <c r="P563" s="56" t="n">
        <f aca="false">IF(OR(D563=1,K562=""),"",K562)</f>
        <v>1021.4</v>
      </c>
      <c r="Q563" s="56" t="n">
        <f aca="false">IF(OR(F563&lt;&gt;0,AND(I563&lt;&gt;"",E563&lt;I563)),1,0)</f>
        <v>0</v>
      </c>
      <c r="R563" s="56" t="n">
        <f aca="false">IF(AND(D563&gt;1,Q563=0,ISNUMBER(O563),ISNUMBER(P563)),IF(Q562=0,1,0),0)</f>
        <v>1</v>
      </c>
      <c r="S563" s="56" t="n">
        <f aca="false">R563*(B563&gt;=Train_Start)*(B563&lt;=Train_End)</f>
        <v>1</v>
      </c>
      <c r="T563" s="84" t="n">
        <f aca="false">IF(AND(ISNUMBER(O563),ISNUMBER(P563)),Coef_A+Coef_B1*O563+Coef_B2*P563,"")</f>
        <v>24.939401304436</v>
      </c>
      <c r="U563" s="84" t="n">
        <f aca="false">IF(AND(R563=1,ISNUMBER(T563)),E563-T563,"")</f>
        <v>-1.23940130443597</v>
      </c>
      <c r="V563" s="84" t="n">
        <f aca="false">IF(ISNUMBER(T563),T563,-99)</f>
        <v>24.939401304436</v>
      </c>
      <c r="W563" s="84" t="n">
        <f aca="false">IF(ISNUMBER(U563),ABS(U563),"")</f>
        <v>1.23940130443597</v>
      </c>
    </row>
    <row r="564" customFormat="false" ht="15" hidden="false" customHeight="false" outlineLevel="0" collapsed="false">
      <c r="A564" s="57" t="n">
        <v>30175</v>
      </c>
      <c r="B564" s="56" t="n">
        <v>1982</v>
      </c>
      <c r="C564" s="56" t="n">
        <v>8</v>
      </c>
      <c r="D564" s="56" t="n">
        <v>104</v>
      </c>
      <c r="E564" s="56" t="n">
        <v>20.6</v>
      </c>
      <c r="F564" s="56" t="n">
        <v>0</v>
      </c>
      <c r="G564" s="56" t="n">
        <v>14</v>
      </c>
      <c r="H564" s="56" t="n">
        <v>0</v>
      </c>
      <c r="I564" s="56" t="n">
        <v>18.8</v>
      </c>
      <c r="J564" s="56" t="n">
        <v>0</v>
      </c>
      <c r="K564" s="56" t="n">
        <v>1012.6</v>
      </c>
      <c r="L564" s="56" t="n">
        <v>0</v>
      </c>
      <c r="M564" s="56" t="n">
        <v>66</v>
      </c>
      <c r="N564" s="56" t="n">
        <v>6.3</v>
      </c>
      <c r="O564" s="56" t="n">
        <f aca="false">IF(D564=1,"",E563)</f>
        <v>23.7</v>
      </c>
      <c r="P564" s="56" t="n">
        <f aca="false">IF(OR(D564=1,K563=""),"",K563)</f>
        <v>1019.8</v>
      </c>
      <c r="Q564" s="56" t="n">
        <f aca="false">IF(OR(F564&lt;&gt;0,AND(I564&lt;&gt;"",E564&lt;I564)),1,0)</f>
        <v>0</v>
      </c>
      <c r="R564" s="56" t="n">
        <f aca="false">IF(AND(D564&gt;1,Q564=0,ISNUMBER(O564),ISNUMBER(P564)),IF(Q563=0,1,0),0)</f>
        <v>1</v>
      </c>
      <c r="S564" s="56" t="n">
        <f aca="false">R564*(B564&gt;=Train_Start)*(B564&lt;=Train_End)</f>
        <v>1</v>
      </c>
      <c r="T564" s="84" t="n">
        <f aca="false">IF(AND(ISNUMBER(O564),ISNUMBER(P564)),Coef_A+Coef_B1*O564+Coef_B2*P564,"")</f>
        <v>23.4963328448491</v>
      </c>
      <c r="U564" s="84" t="n">
        <f aca="false">IF(AND(R564=1,ISNUMBER(T564)),E564-T564,"")</f>
        <v>-2.89633284484906</v>
      </c>
      <c r="V564" s="84" t="n">
        <f aca="false">IF(ISNUMBER(T564),T564,-99)</f>
        <v>23.4963328448491</v>
      </c>
      <c r="W564" s="84" t="n">
        <f aca="false">IF(ISNUMBER(U564),ABS(U564),"")</f>
        <v>2.89633284484906</v>
      </c>
    </row>
    <row r="565" customFormat="false" ht="15" hidden="false" customHeight="false" outlineLevel="0" collapsed="false">
      <c r="A565" s="57" t="n">
        <v>30176</v>
      </c>
      <c r="B565" s="56" t="n">
        <v>1982</v>
      </c>
      <c r="C565" s="56" t="n">
        <v>8</v>
      </c>
      <c r="D565" s="56" t="n">
        <v>105</v>
      </c>
      <c r="E565" s="56" t="n">
        <v>21</v>
      </c>
      <c r="F565" s="56" t="n">
        <v>0</v>
      </c>
      <c r="G565" s="56" t="n">
        <v>14.4</v>
      </c>
      <c r="H565" s="56" t="n">
        <v>0</v>
      </c>
      <c r="I565" s="56" t="n">
        <v>17.5</v>
      </c>
      <c r="J565" s="56" t="n">
        <v>0</v>
      </c>
      <c r="K565" s="56" t="n">
        <v>1009.8</v>
      </c>
      <c r="L565" s="56" t="n">
        <v>0</v>
      </c>
      <c r="M565" s="56" t="n">
        <v>74</v>
      </c>
      <c r="N565" s="56" t="n">
        <v>1.6</v>
      </c>
      <c r="O565" s="56" t="n">
        <f aca="false">IF(D565=1,"",E564)</f>
        <v>20.6</v>
      </c>
      <c r="P565" s="56" t="n">
        <f aca="false">IF(OR(D565=1,K564=""),"",K564)</f>
        <v>1012.6</v>
      </c>
      <c r="Q565" s="56" t="n">
        <f aca="false">IF(OR(F565&lt;&gt;0,AND(I565&lt;&gt;"",E565&lt;I565)),1,0)</f>
        <v>0</v>
      </c>
      <c r="R565" s="56" t="n">
        <f aca="false">IF(AND(D565&gt;1,Q565=0,ISNUMBER(O565),ISNUMBER(P565)),IF(Q564=0,1,0),0)</f>
        <v>1</v>
      </c>
      <c r="S565" s="56" t="n">
        <f aca="false">R565*(B565&gt;=Train_Start)*(B565&lt;=Train_End)</f>
        <v>1</v>
      </c>
      <c r="T565" s="84" t="n">
        <f aca="false">IF(AND(ISNUMBER(O565),ISNUMBER(P565)),Coef_A+Coef_B1*O565+Coef_B2*P565,"")</f>
        <v>20.7305181050521</v>
      </c>
      <c r="U565" s="84" t="n">
        <f aca="false">IF(AND(R565=1,ISNUMBER(T565)),E565-T565,"")</f>
        <v>0.269481894947894</v>
      </c>
      <c r="V565" s="84" t="n">
        <f aca="false">IF(ISNUMBER(T565),T565,-99)</f>
        <v>20.7305181050521</v>
      </c>
      <c r="W565" s="84" t="n">
        <f aca="false">IF(ISNUMBER(U565),ABS(U565),"")</f>
        <v>0.269481894947894</v>
      </c>
    </row>
    <row r="566" customFormat="false" ht="15" hidden="false" customHeight="false" outlineLevel="0" collapsed="false">
      <c r="A566" s="57" t="n">
        <v>30177</v>
      </c>
      <c r="B566" s="56" t="n">
        <v>1982</v>
      </c>
      <c r="C566" s="56" t="n">
        <v>8</v>
      </c>
      <c r="D566" s="56" t="n">
        <v>106</v>
      </c>
      <c r="E566" s="56" t="n">
        <v>23.4</v>
      </c>
      <c r="F566" s="56" t="n">
        <v>0</v>
      </c>
      <c r="G566" s="56" t="n">
        <v>8.6</v>
      </c>
      <c r="H566" s="56" t="n">
        <v>0</v>
      </c>
      <c r="I566" s="56" t="n">
        <v>14.8</v>
      </c>
      <c r="J566" s="56" t="n">
        <v>0</v>
      </c>
      <c r="K566" s="56" t="n">
        <v>1014.6</v>
      </c>
      <c r="L566" s="56" t="n">
        <v>0</v>
      </c>
      <c r="M566" s="56" t="n">
        <v>69</v>
      </c>
      <c r="N566" s="56" t="n">
        <v>7.9</v>
      </c>
      <c r="O566" s="56" t="n">
        <f aca="false">IF(D566=1,"",E565)</f>
        <v>21</v>
      </c>
      <c r="P566" s="56" t="n">
        <f aca="false">IF(OR(D566=1,K565=""),"",K565)</f>
        <v>1009.8</v>
      </c>
      <c r="Q566" s="56" t="n">
        <f aca="false">IF(OR(F566&lt;&gt;0,AND(I566&lt;&gt;"",E566&lt;I566)),1,0)</f>
        <v>0</v>
      </c>
      <c r="R566" s="56" t="n">
        <f aca="false">IF(AND(D566&gt;1,Q566=0,ISNUMBER(O566),ISNUMBER(P566)),IF(Q565=0,1,0),0)</f>
        <v>1</v>
      </c>
      <c r="S566" s="56" t="n">
        <f aca="false">R566*(B566&gt;=Train_Start)*(B566&lt;=Train_End)</f>
        <v>1</v>
      </c>
      <c r="T566" s="84" t="n">
        <f aca="false">IF(AND(ISNUMBER(O566),ISNUMBER(P566)),Coef_A+Coef_B1*O566+Coef_B2*P566,"")</f>
        <v>20.970418077294</v>
      </c>
      <c r="U566" s="84" t="n">
        <f aca="false">IF(AND(R566=1,ISNUMBER(T566)),E566-T566,"")</f>
        <v>2.42958192270601</v>
      </c>
      <c r="V566" s="84" t="n">
        <f aca="false">IF(ISNUMBER(T566),T566,-99)</f>
        <v>20.970418077294</v>
      </c>
      <c r="W566" s="84" t="n">
        <f aca="false">IF(ISNUMBER(U566),ABS(U566),"")</f>
        <v>2.42958192270601</v>
      </c>
    </row>
    <row r="567" customFormat="false" ht="15" hidden="false" customHeight="false" outlineLevel="0" collapsed="false">
      <c r="A567" s="57" t="n">
        <v>30178</v>
      </c>
      <c r="B567" s="56" t="n">
        <v>1982</v>
      </c>
      <c r="C567" s="56" t="n">
        <v>8</v>
      </c>
      <c r="D567" s="56" t="n">
        <v>107</v>
      </c>
      <c r="E567" s="56" t="n">
        <v>21</v>
      </c>
      <c r="F567" s="56" t="n">
        <v>0</v>
      </c>
      <c r="G567" s="56" t="n">
        <v>12.1</v>
      </c>
      <c r="H567" s="56" t="n">
        <v>0</v>
      </c>
      <c r="I567" s="56" t="n">
        <v>17.8</v>
      </c>
      <c r="J567" s="56" t="n">
        <v>0</v>
      </c>
      <c r="K567" s="56" t="n">
        <v>1010.1</v>
      </c>
      <c r="L567" s="56" t="n">
        <v>0</v>
      </c>
      <c r="M567" s="56" t="n">
        <v>81</v>
      </c>
      <c r="N567" s="56" t="n">
        <v>7.2</v>
      </c>
      <c r="O567" s="56" t="n">
        <f aca="false">IF(D567=1,"",E566)</f>
        <v>23.4</v>
      </c>
      <c r="P567" s="56" t="n">
        <f aca="false">IF(OR(D567=1,K566=""),"",K566)</f>
        <v>1014.6</v>
      </c>
      <c r="Q567" s="56" t="n">
        <f aca="false">IF(OR(F567&lt;&gt;0,AND(I567&lt;&gt;"",E567&lt;I567)),1,0)</f>
        <v>0</v>
      </c>
      <c r="R567" s="56" t="n">
        <f aca="false">IF(AND(D567&gt;1,Q567=0,ISNUMBER(O567),ISNUMBER(P567)),IF(Q566=0,1,0),0)</f>
        <v>1</v>
      </c>
      <c r="S567" s="56" t="n">
        <f aca="false">R567*(B567&gt;=Train_Start)*(B567&lt;=Train_End)</f>
        <v>1</v>
      </c>
      <c r="T567" s="84" t="n">
        <f aca="false">IF(AND(ISNUMBER(O567),ISNUMBER(P567)),Coef_A+Coef_B1*O567+Coef_B2*P567,"")</f>
        <v>23.0874076348395</v>
      </c>
      <c r="U567" s="84" t="n">
        <f aca="false">IF(AND(R567=1,ISNUMBER(T567)),E567-T567,"")</f>
        <v>-2.08740763483952</v>
      </c>
      <c r="V567" s="84" t="n">
        <f aca="false">IF(ISNUMBER(T567),T567,-99)</f>
        <v>23.0874076348395</v>
      </c>
      <c r="W567" s="84" t="n">
        <f aca="false">IF(ISNUMBER(U567),ABS(U567),"")</f>
        <v>2.08740763483952</v>
      </c>
    </row>
    <row r="568" customFormat="false" ht="15" hidden="false" customHeight="false" outlineLevel="0" collapsed="false">
      <c r="A568" s="57" t="n">
        <v>30179</v>
      </c>
      <c r="B568" s="56" t="n">
        <v>1982</v>
      </c>
      <c r="C568" s="56" t="n">
        <v>8</v>
      </c>
      <c r="D568" s="56" t="n">
        <v>108</v>
      </c>
      <c r="E568" s="56" t="n">
        <v>21.1</v>
      </c>
      <c r="F568" s="56" t="n">
        <v>0</v>
      </c>
      <c r="G568" s="56" t="n">
        <v>15.7</v>
      </c>
      <c r="H568" s="56" t="n">
        <v>0</v>
      </c>
      <c r="I568" s="56" t="n">
        <v>18.4</v>
      </c>
      <c r="J568" s="56" t="n">
        <v>0</v>
      </c>
      <c r="K568" s="56" t="n">
        <v>1011.4</v>
      </c>
      <c r="L568" s="56" t="n">
        <v>0</v>
      </c>
      <c r="M568" s="56" t="n">
        <v>72</v>
      </c>
      <c r="N568" s="56" t="n">
        <v>0.7</v>
      </c>
      <c r="O568" s="56" t="n">
        <f aca="false">IF(D568=1,"",E567)</f>
        <v>21</v>
      </c>
      <c r="P568" s="56" t="n">
        <f aca="false">IF(OR(D568=1,K567=""),"",K567)</f>
        <v>1010.1</v>
      </c>
      <c r="Q568" s="56" t="n">
        <f aca="false">IF(OR(F568&lt;&gt;0,AND(I568&lt;&gt;"",E568&lt;I568)),1,0)</f>
        <v>0</v>
      </c>
      <c r="R568" s="56" t="n">
        <f aca="false">IF(AND(D568&gt;1,Q568=0,ISNUMBER(O568),ISNUMBER(P568)),IF(Q567=0,1,0),0)</f>
        <v>1</v>
      </c>
      <c r="S568" s="56" t="n">
        <f aca="false">R568*(B568&gt;=Train_Start)*(B568&lt;=Train_End)</f>
        <v>1</v>
      </c>
      <c r="T568" s="84" t="n">
        <f aca="false">IF(AND(ISNUMBER(O568),ISNUMBER(P568)),Coef_A+Coef_B1*O568+Coef_B2*P568,"")</f>
        <v>20.9798290456842</v>
      </c>
      <c r="U568" s="84" t="n">
        <f aca="false">IF(AND(R568=1,ISNUMBER(T568)),E568-T568,"")</f>
        <v>0.12017095431581</v>
      </c>
      <c r="V568" s="84" t="n">
        <f aca="false">IF(ISNUMBER(T568),T568,-99)</f>
        <v>20.9798290456842</v>
      </c>
      <c r="W568" s="84" t="n">
        <f aca="false">IF(ISNUMBER(U568),ABS(U568),"")</f>
        <v>0.12017095431581</v>
      </c>
    </row>
    <row r="569" customFormat="false" ht="15" hidden="false" customHeight="false" outlineLevel="0" collapsed="false">
      <c r="A569" s="57" t="n">
        <v>30180</v>
      </c>
      <c r="B569" s="56" t="n">
        <v>1982</v>
      </c>
      <c r="C569" s="56" t="n">
        <v>8</v>
      </c>
      <c r="D569" s="56" t="n">
        <v>109</v>
      </c>
      <c r="E569" s="56" t="n">
        <v>19.5</v>
      </c>
      <c r="F569" s="56" t="n">
        <v>0</v>
      </c>
      <c r="G569" s="56" t="n">
        <v>12</v>
      </c>
      <c r="H569" s="56" t="n">
        <v>0</v>
      </c>
      <c r="I569" s="56" t="n">
        <v>16.6</v>
      </c>
      <c r="J569" s="56" t="n">
        <v>0</v>
      </c>
      <c r="K569" s="56" t="n">
        <v>1011.5</v>
      </c>
      <c r="L569" s="56" t="n">
        <v>0</v>
      </c>
      <c r="M569" s="56" t="n">
        <v>68</v>
      </c>
      <c r="N569" s="56" t="n">
        <v>6.4</v>
      </c>
      <c r="O569" s="56" t="n">
        <f aca="false">IF(D569=1,"",E568)</f>
        <v>21.1</v>
      </c>
      <c r="P569" s="56" t="n">
        <f aca="false">IF(OR(D569=1,K568=""),"",K568)</f>
        <v>1011.4</v>
      </c>
      <c r="Q569" s="56" t="n">
        <f aca="false">IF(OR(F569&lt;&gt;0,AND(I569&lt;&gt;"",E569&lt;I569)),1,0)</f>
        <v>0</v>
      </c>
      <c r="R569" s="56" t="n">
        <f aca="false">IF(AND(D569&gt;1,Q569=0,ISNUMBER(O569),ISNUMBER(P569)),IF(Q568=0,1,0),0)</f>
        <v>1</v>
      </c>
      <c r="S569" s="56" t="n">
        <f aca="false">R569*(B569&gt;=Train_Start)*(B569&lt;=Train_End)</f>
        <v>1</v>
      </c>
      <c r="T569" s="84" t="n">
        <f aca="false">IF(AND(ISNUMBER(O569),ISNUMBER(P569)),Coef_A+Coef_B1*O569+Coef_B2*P569,"")</f>
        <v>21.1025438280126</v>
      </c>
      <c r="U569" s="84" t="n">
        <f aca="false">IF(AND(R569=1,ISNUMBER(T569)),E569-T569,"")</f>
        <v>-1.60254382801264</v>
      </c>
      <c r="V569" s="84" t="n">
        <f aca="false">IF(ISNUMBER(T569),T569,-99)</f>
        <v>21.1025438280126</v>
      </c>
      <c r="W569" s="84" t="n">
        <f aca="false">IF(ISNUMBER(U569),ABS(U569),"")</f>
        <v>1.60254382801264</v>
      </c>
    </row>
    <row r="570" customFormat="false" ht="15" hidden="false" customHeight="false" outlineLevel="0" collapsed="false">
      <c r="A570" s="57" t="n">
        <v>30181</v>
      </c>
      <c r="B570" s="56" t="n">
        <v>1982</v>
      </c>
      <c r="C570" s="56" t="n">
        <v>8</v>
      </c>
      <c r="D570" s="56" t="n">
        <v>110</v>
      </c>
      <c r="E570" s="56" t="n">
        <v>20.1</v>
      </c>
      <c r="F570" s="56" t="n">
        <v>0</v>
      </c>
      <c r="G570" s="56" t="n">
        <v>15.5</v>
      </c>
      <c r="H570" s="56" t="n">
        <v>0</v>
      </c>
      <c r="I570" s="56" t="n">
        <v>17.5</v>
      </c>
      <c r="J570" s="56" t="n">
        <v>0</v>
      </c>
      <c r="K570" s="56" t="n">
        <v>1006.9</v>
      </c>
      <c r="L570" s="56" t="n">
        <v>0</v>
      </c>
      <c r="M570" s="56" t="n">
        <v>84</v>
      </c>
      <c r="N570" s="56" t="n">
        <v>0.9</v>
      </c>
      <c r="O570" s="56" t="n">
        <f aca="false">IF(D570=1,"",E569)</f>
        <v>19.5</v>
      </c>
      <c r="P570" s="56" t="n">
        <f aca="false">IF(OR(D570=1,K569=""),"",K569)</f>
        <v>1011.5</v>
      </c>
      <c r="Q570" s="56" t="n">
        <f aca="false">IF(OR(F570&lt;&gt;0,AND(I570&lt;&gt;"",E570&lt;I570)),1,0)</f>
        <v>0</v>
      </c>
      <c r="R570" s="56" t="n">
        <f aca="false">IF(AND(D570&gt;1,Q570=0,ISNUMBER(O570),ISNUMBER(P570)),IF(Q569=0,1,0),0)</f>
        <v>1</v>
      </c>
      <c r="S570" s="56" t="n">
        <f aca="false">R570*(B570&gt;=Train_Start)*(B570&lt;=Train_End)</f>
        <v>1</v>
      </c>
      <c r="T570" s="84" t="n">
        <f aca="false">IF(AND(ISNUMBER(O570),ISNUMBER(P570)),Coef_A+Coef_B1*O570+Coef_B2*P570,"")</f>
        <v>19.7947381086078</v>
      </c>
      <c r="U570" s="84" t="n">
        <f aca="false">IF(AND(R570=1,ISNUMBER(T570)),E570-T570,"")</f>
        <v>0.305261891392213</v>
      </c>
      <c r="V570" s="84" t="n">
        <f aca="false">IF(ISNUMBER(T570),T570,-99)</f>
        <v>19.7947381086078</v>
      </c>
      <c r="W570" s="84" t="n">
        <f aca="false">IF(ISNUMBER(U570),ABS(U570),"")</f>
        <v>0.305261891392213</v>
      </c>
    </row>
    <row r="571" customFormat="false" ht="15" hidden="false" customHeight="false" outlineLevel="0" collapsed="false">
      <c r="A571" s="57" t="n">
        <v>30182</v>
      </c>
      <c r="B571" s="56" t="n">
        <v>1982</v>
      </c>
      <c r="C571" s="56" t="n">
        <v>8</v>
      </c>
      <c r="D571" s="56" t="n">
        <v>111</v>
      </c>
      <c r="E571" s="56" t="n">
        <v>19.4</v>
      </c>
      <c r="F571" s="56" t="n">
        <v>0</v>
      </c>
      <c r="G571" s="56" t="n">
        <v>8.6</v>
      </c>
      <c r="H571" s="56" t="n">
        <v>0</v>
      </c>
      <c r="I571" s="56" t="n">
        <v>14.4</v>
      </c>
      <c r="J571" s="56" t="n">
        <v>0</v>
      </c>
      <c r="K571" s="56" t="n">
        <v>1011.5</v>
      </c>
      <c r="L571" s="56" t="n">
        <v>0</v>
      </c>
      <c r="M571" s="56" t="n">
        <v>75</v>
      </c>
      <c r="N571" s="56" t="n">
        <v>9</v>
      </c>
      <c r="O571" s="56" t="n">
        <f aca="false">IF(D571=1,"",E570)</f>
        <v>20.1</v>
      </c>
      <c r="P571" s="56" t="n">
        <f aca="false">IF(OR(D571=1,K570=""),"",K570)</f>
        <v>1006.9</v>
      </c>
      <c r="Q571" s="56" t="n">
        <f aca="false">IF(OR(F571&lt;&gt;0,AND(I571&lt;&gt;"",E571&lt;I571)),1,0)</f>
        <v>0</v>
      </c>
      <c r="R571" s="56" t="n">
        <f aca="false">IF(AND(D571&gt;1,Q571=0,ISNUMBER(O571),ISNUMBER(P571)),IF(Q570=0,1,0),0)</f>
        <v>1</v>
      </c>
      <c r="S571" s="56" t="n">
        <f aca="false">R571*(B571&gt;=Train_Start)*(B571&lt;=Train_End)</f>
        <v>1</v>
      </c>
      <c r="T571" s="84" t="n">
        <f aca="false">IF(AND(ISNUMBER(O571),ISNUMBER(P571)),Coef_A+Coef_B1*O571+Coef_B2*P571,"")</f>
        <v>20.142040109117</v>
      </c>
      <c r="U571" s="84" t="n">
        <f aca="false">IF(AND(R571=1,ISNUMBER(T571)),E571-T571,"")</f>
        <v>-0.742040109117038</v>
      </c>
      <c r="V571" s="84" t="n">
        <f aca="false">IF(ISNUMBER(T571),T571,-99)</f>
        <v>20.142040109117</v>
      </c>
      <c r="W571" s="84" t="n">
        <f aca="false">IF(ISNUMBER(U571),ABS(U571),"")</f>
        <v>0.742040109117038</v>
      </c>
    </row>
    <row r="572" customFormat="false" ht="15" hidden="false" customHeight="false" outlineLevel="0" collapsed="false">
      <c r="A572" s="57" t="n">
        <v>30183</v>
      </c>
      <c r="B572" s="56" t="n">
        <v>1982</v>
      </c>
      <c r="C572" s="56" t="n">
        <v>8</v>
      </c>
      <c r="D572" s="56" t="n">
        <v>112</v>
      </c>
      <c r="E572" s="56" t="n">
        <v>20.5</v>
      </c>
      <c r="F572" s="56" t="n">
        <v>0</v>
      </c>
      <c r="G572" s="56" t="n">
        <v>8.6</v>
      </c>
      <c r="H572" s="56" t="n">
        <v>0</v>
      </c>
      <c r="I572" s="56" t="n">
        <v>14</v>
      </c>
      <c r="J572" s="56" t="n">
        <v>0</v>
      </c>
      <c r="K572" s="56" t="n">
        <v>1010.4</v>
      </c>
      <c r="L572" s="56" t="n">
        <v>0</v>
      </c>
      <c r="M572" s="56" t="n">
        <v>66</v>
      </c>
      <c r="N572" s="56" t="n">
        <v>10.6</v>
      </c>
      <c r="O572" s="56" t="n">
        <f aca="false">IF(D572=1,"",E571)</f>
        <v>19.4</v>
      </c>
      <c r="P572" s="56" t="n">
        <f aca="false">IF(OR(D572=1,K571=""),"",K571)</f>
        <v>1011.5</v>
      </c>
      <c r="Q572" s="56" t="n">
        <f aca="false">IF(OR(F572&lt;&gt;0,AND(I572&lt;&gt;"",E572&lt;I572)),1,0)</f>
        <v>0</v>
      </c>
      <c r="R572" s="56" t="n">
        <f aca="false">IF(AND(D572&gt;1,Q572=0,ISNUMBER(O572),ISNUMBER(P572)),IF(Q571=0,1,0),0)</f>
        <v>1</v>
      </c>
      <c r="S572" s="56" t="n">
        <f aca="false">R572*(B572&gt;=Train_Start)*(B572&lt;=Train_End)</f>
        <v>1</v>
      </c>
      <c r="T572" s="84" t="n">
        <f aca="false">IF(AND(ISNUMBER(O572),ISNUMBER(P572)),Coef_A+Coef_B1*O572+Coef_B2*P572,"")</f>
        <v>19.7128041893035</v>
      </c>
      <c r="U572" s="84" t="n">
        <f aca="false">IF(AND(R572=1,ISNUMBER(T572)),E572-T572,"")</f>
        <v>0.787195810696478</v>
      </c>
      <c r="V572" s="84" t="n">
        <f aca="false">IF(ISNUMBER(T572),T572,-99)</f>
        <v>19.7128041893035</v>
      </c>
      <c r="W572" s="84" t="n">
        <f aca="false">IF(ISNUMBER(U572),ABS(U572),"")</f>
        <v>0.787195810696478</v>
      </c>
    </row>
    <row r="573" customFormat="false" ht="15" hidden="false" customHeight="false" outlineLevel="0" collapsed="false">
      <c r="A573" s="57" t="n">
        <v>30184</v>
      </c>
      <c r="B573" s="56" t="n">
        <v>1982</v>
      </c>
      <c r="C573" s="56" t="n">
        <v>8</v>
      </c>
      <c r="D573" s="56" t="n">
        <v>113</v>
      </c>
      <c r="E573" s="56" t="n">
        <v>21.9</v>
      </c>
      <c r="F573" s="56" t="n">
        <v>0</v>
      </c>
      <c r="G573" s="56" t="n">
        <v>9.9</v>
      </c>
      <c r="H573" s="56" t="n">
        <v>0</v>
      </c>
      <c r="I573" s="56" t="n">
        <v>15.2</v>
      </c>
      <c r="J573" s="56" t="n">
        <v>0</v>
      </c>
      <c r="K573" s="56" t="n">
        <v>1016.7</v>
      </c>
      <c r="L573" s="56" t="n">
        <v>0</v>
      </c>
      <c r="M573" s="56" t="n">
        <v>65</v>
      </c>
      <c r="N573" s="56" t="n">
        <v>9</v>
      </c>
      <c r="O573" s="56" t="n">
        <f aca="false">IF(D573=1,"",E572)</f>
        <v>20.5</v>
      </c>
      <c r="P573" s="56" t="n">
        <f aca="false">IF(OR(D573=1,K572=""),"",K572)</f>
        <v>1010.4</v>
      </c>
      <c r="Q573" s="56" t="n">
        <f aca="false">IF(OR(F573&lt;&gt;0,AND(I573&lt;&gt;"",E573&lt;I573)),1,0)</f>
        <v>0</v>
      </c>
      <c r="R573" s="56" t="n">
        <f aca="false">IF(AND(D573&gt;1,Q573=0,ISNUMBER(O573),ISNUMBER(P573)),IF(Q572=0,1,0),0)</f>
        <v>1</v>
      </c>
      <c r="S573" s="56" t="n">
        <f aca="false">R573*(B573&gt;=Train_Start)*(B573&lt;=Train_End)</f>
        <v>1</v>
      </c>
      <c r="T573" s="84" t="n">
        <f aca="false">IF(AND(ISNUMBER(O573),ISNUMBER(P573)),Coef_A+Coef_B1*O573+Coef_B2*P573,"")</f>
        <v>20.5795704175531</v>
      </c>
      <c r="U573" s="84" t="n">
        <f aca="false">IF(AND(R573=1,ISNUMBER(T573)),E573-T573,"")</f>
        <v>1.32042958244694</v>
      </c>
      <c r="V573" s="84" t="n">
        <f aca="false">IF(ISNUMBER(T573),T573,-99)</f>
        <v>20.5795704175531</v>
      </c>
      <c r="W573" s="84" t="n">
        <f aca="false">IF(ISNUMBER(U573),ABS(U573),"")</f>
        <v>1.32042958244694</v>
      </c>
    </row>
    <row r="574" customFormat="false" ht="15" hidden="false" customHeight="false" outlineLevel="0" collapsed="false">
      <c r="A574" s="57" t="n">
        <v>30185</v>
      </c>
      <c r="B574" s="56" t="n">
        <v>1982</v>
      </c>
      <c r="C574" s="56" t="n">
        <v>8</v>
      </c>
      <c r="D574" s="56" t="n">
        <v>114</v>
      </c>
      <c r="E574" s="56" t="n">
        <v>19.9</v>
      </c>
      <c r="F574" s="56" t="n">
        <v>0</v>
      </c>
      <c r="G574" s="56" t="n">
        <v>14.5</v>
      </c>
      <c r="H574" s="56" t="n">
        <v>0</v>
      </c>
      <c r="I574" s="56" t="n">
        <v>18.2</v>
      </c>
      <c r="J574" s="56" t="n">
        <v>0</v>
      </c>
      <c r="K574" s="56" t="n">
        <v>1018</v>
      </c>
      <c r="L574" s="56" t="n">
        <v>0</v>
      </c>
      <c r="M574" s="56" t="n">
        <v>74</v>
      </c>
      <c r="N574" s="56" t="n">
        <v>1.4</v>
      </c>
      <c r="O574" s="56" t="n">
        <f aca="false">IF(D574=1,"",E573)</f>
        <v>21.9</v>
      </c>
      <c r="P574" s="56" t="n">
        <f aca="false">IF(OR(D574=1,K573=""),"",K573)</f>
        <v>1016.7</v>
      </c>
      <c r="Q574" s="56" t="n">
        <f aca="false">IF(OR(F574&lt;&gt;0,AND(I574&lt;&gt;"",E574&lt;I574)),1,0)</f>
        <v>0</v>
      </c>
      <c r="R574" s="56" t="n">
        <f aca="false">IF(AND(D574&gt;1,Q574=0,ISNUMBER(O574),ISNUMBER(P574)),IF(Q573=0,1,0),0)</f>
        <v>1</v>
      </c>
      <c r="S574" s="56" t="n">
        <f aca="false">R574*(B574&gt;=Train_Start)*(B574&lt;=Train_End)</f>
        <v>1</v>
      </c>
      <c r="T574" s="84" t="n">
        <f aca="false">IF(AND(ISNUMBER(O574),ISNUMBER(P574)),Coef_A+Coef_B1*O574+Coef_B2*P574,"")</f>
        <v>21.9242756240069</v>
      </c>
      <c r="U574" s="84" t="n">
        <f aca="false">IF(AND(R574=1,ISNUMBER(T574)),E574-T574,"")</f>
        <v>-2.02427562400692</v>
      </c>
      <c r="V574" s="84" t="n">
        <f aca="false">IF(ISNUMBER(T574),T574,-99)</f>
        <v>21.9242756240069</v>
      </c>
      <c r="W574" s="84" t="n">
        <f aca="false">IF(ISNUMBER(U574),ABS(U574),"")</f>
        <v>2.02427562400692</v>
      </c>
    </row>
    <row r="575" customFormat="false" ht="15" hidden="false" customHeight="false" outlineLevel="0" collapsed="false">
      <c r="A575" s="57" t="n">
        <v>30186</v>
      </c>
      <c r="B575" s="56" t="n">
        <v>1982</v>
      </c>
      <c r="C575" s="56" t="n">
        <v>8</v>
      </c>
      <c r="D575" s="56" t="n">
        <v>115</v>
      </c>
      <c r="E575" s="56" t="n">
        <v>18</v>
      </c>
      <c r="F575" s="56" t="n">
        <v>0</v>
      </c>
      <c r="G575" s="56" t="n">
        <v>10.7</v>
      </c>
      <c r="H575" s="56" t="n">
        <v>0</v>
      </c>
      <c r="I575" s="56" t="n">
        <v>15.3</v>
      </c>
      <c r="J575" s="56" t="n">
        <v>0</v>
      </c>
      <c r="K575" s="56" t="n">
        <v>1017.3</v>
      </c>
      <c r="L575" s="56" t="n">
        <v>0</v>
      </c>
      <c r="M575" s="56" t="n">
        <v>76</v>
      </c>
      <c r="N575" s="56" t="n">
        <v>4.8</v>
      </c>
      <c r="O575" s="56" t="n">
        <f aca="false">IF(D575=1,"",E574)</f>
        <v>19.9</v>
      </c>
      <c r="P575" s="56" t="n">
        <f aca="false">IF(OR(D575=1,K574=""),"",K574)</f>
        <v>1018</v>
      </c>
      <c r="Q575" s="56" t="n">
        <f aca="false">IF(OR(F575&lt;&gt;0,AND(I575&lt;&gt;"",E575&lt;I575)),1,0)</f>
        <v>0</v>
      </c>
      <c r="R575" s="56" t="n">
        <f aca="false">IF(AND(D575&gt;1,Q575=0,ISNUMBER(O575),ISNUMBER(P575)),IF(Q574=0,1,0),0)</f>
        <v>1</v>
      </c>
      <c r="S575" s="56" t="n">
        <f aca="false">R575*(B575&gt;=Train_Start)*(B575&lt;=Train_End)</f>
        <v>1</v>
      </c>
      <c r="T575" s="84" t="n">
        <f aca="false">IF(AND(ISNUMBER(O575),ISNUMBER(P575)),Coef_A+Coef_B1*O575+Coef_B2*P575,"")</f>
        <v>20.3263781009458</v>
      </c>
      <c r="U575" s="84" t="n">
        <f aca="false">IF(AND(R575=1,ISNUMBER(T575)),E575-T575,"")</f>
        <v>-2.32637810094579</v>
      </c>
      <c r="V575" s="84" t="n">
        <f aca="false">IF(ISNUMBER(T575),T575,-99)</f>
        <v>20.3263781009458</v>
      </c>
      <c r="W575" s="84" t="n">
        <f aca="false">IF(ISNUMBER(U575),ABS(U575),"")</f>
        <v>2.32637810094579</v>
      </c>
    </row>
    <row r="576" customFormat="false" ht="15" hidden="false" customHeight="false" outlineLevel="0" collapsed="false">
      <c r="A576" s="57" t="n">
        <v>30187</v>
      </c>
      <c r="B576" s="56" t="n">
        <v>1982</v>
      </c>
      <c r="C576" s="56" t="n">
        <v>8</v>
      </c>
      <c r="D576" s="56" t="n">
        <v>116</v>
      </c>
      <c r="E576" s="56" t="n">
        <v>19</v>
      </c>
      <c r="F576" s="56" t="n">
        <v>0</v>
      </c>
      <c r="G576" s="56" t="n">
        <v>9.9</v>
      </c>
      <c r="H576" s="56" t="n">
        <v>0</v>
      </c>
      <c r="I576" s="56" t="n">
        <v>14</v>
      </c>
      <c r="J576" s="56" t="n">
        <v>0</v>
      </c>
      <c r="K576" s="56" t="n">
        <v>1014</v>
      </c>
      <c r="L576" s="56" t="n">
        <v>0</v>
      </c>
      <c r="M576" s="56" t="n">
        <v>88</v>
      </c>
      <c r="N576" s="56" t="n">
        <v>0.1</v>
      </c>
      <c r="O576" s="56" t="n">
        <f aca="false">IF(D576=1,"",E575)</f>
        <v>18</v>
      </c>
      <c r="P576" s="56" t="n">
        <f aca="false">IF(OR(D576=1,K575=""),"",K575)</f>
        <v>1017.3</v>
      </c>
      <c r="Q576" s="56" t="n">
        <f aca="false">IF(OR(F576&lt;&gt;0,AND(I576&lt;&gt;"",E576&lt;I576)),1,0)</f>
        <v>0</v>
      </c>
      <c r="R576" s="56" t="n">
        <f aca="false">IF(AND(D576&gt;1,Q576=0,ISNUMBER(O576),ISNUMBER(P576)),IF(Q575=0,1,0),0)</f>
        <v>1</v>
      </c>
      <c r="S576" s="56" t="n">
        <f aca="false">R576*(B576&gt;=Train_Start)*(B576&lt;=Train_End)</f>
        <v>1</v>
      </c>
      <c r="T576" s="84" t="n">
        <f aca="false">IF(AND(ISNUMBER(O576),ISNUMBER(P576)),Coef_A+Coef_B1*O576+Coef_B2*P576,"")</f>
        <v>18.7476747079209</v>
      </c>
      <c r="U576" s="84" t="n">
        <f aca="false">IF(AND(R576=1,ISNUMBER(T576)),E576-T576,"")</f>
        <v>0.252325292079057</v>
      </c>
      <c r="V576" s="84" t="n">
        <f aca="false">IF(ISNUMBER(T576),T576,-99)</f>
        <v>18.7476747079209</v>
      </c>
      <c r="W576" s="84" t="n">
        <f aca="false">IF(ISNUMBER(U576),ABS(U576),"")</f>
        <v>0.252325292079057</v>
      </c>
    </row>
    <row r="577" customFormat="false" ht="15" hidden="false" customHeight="false" outlineLevel="0" collapsed="false">
      <c r="A577" s="57" t="n">
        <v>30188</v>
      </c>
      <c r="B577" s="56" t="n">
        <v>1982</v>
      </c>
      <c r="C577" s="56" t="n">
        <v>8</v>
      </c>
      <c r="D577" s="56" t="n">
        <v>117</v>
      </c>
      <c r="E577" s="56" t="n">
        <v>19</v>
      </c>
      <c r="F577" s="56" t="n">
        <v>0</v>
      </c>
      <c r="G577" s="56" t="n">
        <v>10</v>
      </c>
      <c r="H577" s="56" t="n">
        <v>0</v>
      </c>
      <c r="I577" s="56" t="n">
        <v>14.5</v>
      </c>
      <c r="J577" s="56" t="n">
        <v>0</v>
      </c>
      <c r="K577" s="56" t="n">
        <v>1010.8</v>
      </c>
      <c r="L577" s="56" t="n">
        <v>0</v>
      </c>
      <c r="M577" s="56" t="n">
        <v>73</v>
      </c>
      <c r="N577" s="56" t="n">
        <v>3.4</v>
      </c>
      <c r="O577" s="56" t="n">
        <f aca="false">IF(D577=1,"",E576)</f>
        <v>19</v>
      </c>
      <c r="P577" s="56" t="n">
        <f aca="false">IF(OR(D577=1,K576=""),"",K576)</f>
        <v>1014</v>
      </c>
      <c r="Q577" s="56" t="n">
        <f aca="false">IF(OR(F577&lt;&gt;0,AND(I577&lt;&gt;"",E577&lt;I577)),1,0)</f>
        <v>0</v>
      </c>
      <c r="R577" s="56" t="n">
        <f aca="false">IF(AND(D577&gt;1,Q577=0,ISNUMBER(O577),ISNUMBER(P577)),IF(Q576=0,1,0),0)</f>
        <v>1</v>
      </c>
      <c r="S577" s="56" t="n">
        <f aca="false">R577*(B577&gt;=Train_Start)*(B577&lt;=Train_End)</f>
        <v>1</v>
      </c>
      <c r="T577" s="84" t="n">
        <f aca="false">IF(AND(ISNUMBER(O577),ISNUMBER(P577)),Coef_A+Coef_B1*O577+Coef_B2*P577,"")</f>
        <v>19.4634932486714</v>
      </c>
      <c r="U577" s="84" t="n">
        <f aca="false">IF(AND(R577=1,ISNUMBER(T577)),E577-T577,"")</f>
        <v>-0.463493248671433</v>
      </c>
      <c r="V577" s="84" t="n">
        <f aca="false">IF(ISNUMBER(T577),T577,-99)</f>
        <v>19.4634932486714</v>
      </c>
      <c r="W577" s="84" t="n">
        <f aca="false">IF(ISNUMBER(U577),ABS(U577),"")</f>
        <v>0.463493248671433</v>
      </c>
    </row>
    <row r="578" customFormat="false" ht="15" hidden="false" customHeight="false" outlineLevel="0" collapsed="false">
      <c r="A578" s="57" t="n">
        <v>30189</v>
      </c>
      <c r="B578" s="56" t="n">
        <v>1982</v>
      </c>
      <c r="C578" s="56" t="n">
        <v>8</v>
      </c>
      <c r="D578" s="56" t="n">
        <v>118</v>
      </c>
      <c r="E578" s="56" t="n">
        <v>20.4</v>
      </c>
      <c r="F578" s="56" t="n">
        <v>0</v>
      </c>
      <c r="G578" s="56" t="n">
        <v>9.7</v>
      </c>
      <c r="H578" s="56" t="n">
        <v>0</v>
      </c>
      <c r="I578" s="56" t="n">
        <v>14.4</v>
      </c>
      <c r="J578" s="56" t="n">
        <v>0</v>
      </c>
      <c r="K578" s="56" t="n">
        <v>1005.5</v>
      </c>
      <c r="L578" s="56" t="n">
        <v>0</v>
      </c>
      <c r="M578" s="56" t="n">
        <v>83</v>
      </c>
      <c r="N578" s="56" t="n">
        <v>5.2</v>
      </c>
      <c r="O578" s="56" t="n">
        <f aca="false">IF(D578=1,"",E577)</f>
        <v>19</v>
      </c>
      <c r="P578" s="56" t="n">
        <f aca="false">IF(OR(D578=1,K577=""),"",K577)</f>
        <v>1010.8</v>
      </c>
      <c r="Q578" s="56" t="n">
        <f aca="false">IF(OR(F578&lt;&gt;0,AND(I578&lt;&gt;"",E578&lt;I578)),1,0)</f>
        <v>0</v>
      </c>
      <c r="R578" s="56" t="n">
        <f aca="false">IF(AND(D578&gt;1,Q578=0,ISNUMBER(O578),ISNUMBER(P578)),IF(Q577=0,1,0),0)</f>
        <v>1</v>
      </c>
      <c r="S578" s="56" t="n">
        <f aca="false">R578*(B578&gt;=Train_Start)*(B578&lt;=Train_End)</f>
        <v>1</v>
      </c>
      <c r="T578" s="84" t="n">
        <f aca="false">IF(AND(ISNUMBER(O578),ISNUMBER(P578)),Coef_A+Coef_B1*O578+Coef_B2*P578,"")</f>
        <v>19.3631095858427</v>
      </c>
      <c r="U578" s="84" t="n">
        <f aca="false">IF(AND(R578=1,ISNUMBER(T578)),E578-T578,"")</f>
        <v>1.03689041415733</v>
      </c>
      <c r="V578" s="84" t="n">
        <f aca="false">IF(ISNUMBER(T578),T578,-99)</f>
        <v>19.3631095858427</v>
      </c>
      <c r="W578" s="84" t="n">
        <f aca="false">IF(ISNUMBER(U578),ABS(U578),"")</f>
        <v>1.03689041415733</v>
      </c>
    </row>
    <row r="579" customFormat="false" ht="15" hidden="false" customHeight="false" outlineLevel="0" collapsed="false">
      <c r="A579" s="57" t="n">
        <v>30190</v>
      </c>
      <c r="B579" s="56" t="n">
        <v>1982</v>
      </c>
      <c r="C579" s="56" t="n">
        <v>8</v>
      </c>
      <c r="D579" s="56" t="n">
        <v>119</v>
      </c>
      <c r="E579" s="56" t="n">
        <v>20.6</v>
      </c>
      <c r="F579" s="56" t="n">
        <v>0</v>
      </c>
      <c r="G579" s="56" t="n">
        <v>9.6</v>
      </c>
      <c r="H579" s="56" t="n">
        <v>0</v>
      </c>
      <c r="I579" s="56" t="n">
        <v>15</v>
      </c>
      <c r="J579" s="56" t="n">
        <v>0</v>
      </c>
      <c r="K579" s="56" t="n">
        <v>1010.3</v>
      </c>
      <c r="L579" s="56" t="n">
        <v>0</v>
      </c>
      <c r="M579" s="56" t="n">
        <v>73</v>
      </c>
      <c r="N579" s="56" t="n">
        <v>9.5</v>
      </c>
      <c r="O579" s="56" t="n">
        <f aca="false">IF(D579=1,"",E578)</f>
        <v>20.4</v>
      </c>
      <c r="P579" s="56" t="n">
        <f aca="false">IF(OR(D579=1,K578=""),"",K578)</f>
        <v>1005.5</v>
      </c>
      <c r="Q579" s="56" t="n">
        <f aca="false">IF(OR(F579&lt;&gt;0,AND(I579&lt;&gt;"",E579&lt;I579)),1,0)</f>
        <v>0</v>
      </c>
      <c r="R579" s="56" t="n">
        <f aca="false">IF(AND(D579&gt;1,Q579=0,ISNUMBER(O579),ISNUMBER(P579)),IF(Q578=0,1,0),0)</f>
        <v>1</v>
      </c>
      <c r="S579" s="56" t="n">
        <f aca="false">R579*(B579&gt;=Train_Start)*(B579&lt;=Train_End)</f>
        <v>1</v>
      </c>
      <c r="T579" s="84" t="n">
        <f aca="false">IF(AND(ISNUMBER(O579),ISNUMBER(P579)),Coef_A+Coef_B1*O579+Coef_B2*P579,"")</f>
        <v>20.3439240145422</v>
      </c>
      <c r="U579" s="84" t="n">
        <f aca="false">IF(AND(R579=1,ISNUMBER(T579)),E579-T579,"")</f>
        <v>0.256075985457755</v>
      </c>
      <c r="V579" s="84" t="n">
        <f aca="false">IF(ISNUMBER(T579),T579,-99)</f>
        <v>20.3439240145422</v>
      </c>
      <c r="W579" s="84" t="n">
        <f aca="false">IF(ISNUMBER(U579),ABS(U579),"")</f>
        <v>0.256075985457755</v>
      </c>
    </row>
    <row r="580" customFormat="false" ht="15" hidden="false" customHeight="false" outlineLevel="0" collapsed="false">
      <c r="A580" s="57" t="n">
        <v>30191</v>
      </c>
      <c r="B580" s="56" t="n">
        <v>1982</v>
      </c>
      <c r="C580" s="56" t="n">
        <v>8</v>
      </c>
      <c r="D580" s="56" t="n">
        <v>120</v>
      </c>
      <c r="E580" s="56" t="n">
        <v>22.3</v>
      </c>
      <c r="F580" s="56" t="n">
        <v>0</v>
      </c>
      <c r="G580" s="56" t="n">
        <v>9.5</v>
      </c>
      <c r="H580" s="56" t="n">
        <v>0</v>
      </c>
      <c r="I580" s="56" t="n">
        <v>15</v>
      </c>
      <c r="J580" s="56" t="n">
        <v>0</v>
      </c>
      <c r="K580" s="56" t="n">
        <v>1020.7</v>
      </c>
      <c r="L580" s="56" t="n">
        <v>0</v>
      </c>
      <c r="M580" s="56" t="n">
        <v>70</v>
      </c>
      <c r="N580" s="56" t="n">
        <v>11.3</v>
      </c>
      <c r="O580" s="56" t="n">
        <f aca="false">IF(D580=1,"",E579)</f>
        <v>20.6</v>
      </c>
      <c r="P580" s="56" t="n">
        <f aca="false">IF(OR(D580=1,K579=""),"",K579)</f>
        <v>1010.3</v>
      </c>
      <c r="Q580" s="56" t="n">
        <f aca="false">IF(OR(F580&lt;&gt;0,AND(I580&lt;&gt;"",E580&lt;I580)),1,0)</f>
        <v>0</v>
      </c>
      <c r="R580" s="56" t="n">
        <f aca="false">IF(AND(D580&gt;1,Q580=0,ISNUMBER(O580),ISNUMBER(P580)),IF(Q579=0,1,0),0)</f>
        <v>1</v>
      </c>
      <c r="S580" s="56" t="n">
        <f aca="false">R580*(B580&gt;=Train_Start)*(B580&lt;=Train_End)</f>
        <v>1</v>
      </c>
      <c r="T580" s="84" t="n">
        <f aca="false">IF(AND(ISNUMBER(O580),ISNUMBER(P580)),Coef_A+Coef_B1*O580+Coef_B2*P580,"")</f>
        <v>20.6583673473939</v>
      </c>
      <c r="U580" s="84" t="n">
        <f aca="false">IF(AND(R580=1,ISNUMBER(T580)),E580-T580,"")</f>
        <v>1.64163265260607</v>
      </c>
      <c r="V580" s="84" t="n">
        <f aca="false">IF(ISNUMBER(T580),T580,-99)</f>
        <v>20.6583673473939</v>
      </c>
      <c r="W580" s="84" t="n">
        <f aca="false">IF(ISNUMBER(U580),ABS(U580),"")</f>
        <v>1.64163265260607</v>
      </c>
    </row>
    <row r="581" customFormat="false" ht="15" hidden="false" customHeight="false" outlineLevel="0" collapsed="false">
      <c r="A581" s="57" t="n">
        <v>30192</v>
      </c>
      <c r="B581" s="56" t="n">
        <v>1982</v>
      </c>
      <c r="C581" s="56" t="n">
        <v>8</v>
      </c>
      <c r="D581" s="56" t="n">
        <v>121</v>
      </c>
      <c r="E581" s="56" t="n">
        <v>20.6</v>
      </c>
      <c r="F581" s="56" t="n">
        <v>0</v>
      </c>
      <c r="G581" s="56" t="n">
        <v>9.2</v>
      </c>
      <c r="H581" s="56" t="n">
        <v>0</v>
      </c>
      <c r="I581" s="56" t="n">
        <v>15.8</v>
      </c>
      <c r="J581" s="56" t="n">
        <v>0</v>
      </c>
      <c r="K581" s="56" t="n">
        <v>1019.5</v>
      </c>
      <c r="L581" s="56" t="n">
        <v>0</v>
      </c>
      <c r="M581" s="56" t="n">
        <v>69</v>
      </c>
      <c r="N581" s="56" t="n">
        <v>11.4</v>
      </c>
      <c r="O581" s="56" t="n">
        <f aca="false">IF(D581=1,"",E580)</f>
        <v>22.3</v>
      </c>
      <c r="P581" s="56" t="n">
        <f aca="false">IF(OR(D581=1,K580=""),"",K580)</f>
        <v>1020.7</v>
      </c>
      <c r="Q581" s="56" t="n">
        <f aca="false">IF(OR(F581&lt;&gt;0,AND(I581&lt;&gt;"",E581&lt;I581)),1,0)</f>
        <v>0</v>
      </c>
      <c r="R581" s="56" t="n">
        <f aca="false">IF(AND(D581&gt;1,Q581=0,ISNUMBER(O581),ISNUMBER(P581)),IF(Q580=0,1,0),0)</f>
        <v>1</v>
      </c>
      <c r="S581" s="56" t="n">
        <f aca="false">R581*(B581&gt;=Train_Start)*(B581&lt;=Train_End)</f>
        <v>1</v>
      </c>
      <c r="T581" s="84" t="n">
        <f aca="false">IF(AND(ISNUMBER(O581),ISNUMBER(P581)),Coef_A+Coef_B1*O581+Coef_B2*P581,"")</f>
        <v>22.3774908797599</v>
      </c>
      <c r="U581" s="84" t="n">
        <f aca="false">IF(AND(R581=1,ISNUMBER(T581)),E581-T581,"")</f>
        <v>-1.77749087975994</v>
      </c>
      <c r="V581" s="84" t="n">
        <f aca="false">IF(ISNUMBER(T581),T581,-99)</f>
        <v>22.3774908797599</v>
      </c>
      <c r="W581" s="84" t="n">
        <f aca="false">IF(ISNUMBER(U581),ABS(U581),"")</f>
        <v>1.77749087975994</v>
      </c>
    </row>
    <row r="582" customFormat="false" ht="15" hidden="false" customHeight="false" outlineLevel="0" collapsed="false">
      <c r="A582" s="57" t="n">
        <v>30193</v>
      </c>
      <c r="B582" s="56" t="n">
        <v>1982</v>
      </c>
      <c r="C582" s="56" t="n">
        <v>8</v>
      </c>
      <c r="D582" s="56" t="n">
        <v>122</v>
      </c>
      <c r="E582" s="56" t="n">
        <v>16.7</v>
      </c>
      <c r="F582" s="56" t="n">
        <v>1</v>
      </c>
      <c r="G582" s="56" t="n">
        <v>13.9</v>
      </c>
      <c r="H582" s="56" t="n">
        <v>0</v>
      </c>
      <c r="I582" s="56" t="n">
        <v>17.2</v>
      </c>
      <c r="J582" s="56" t="n">
        <v>1</v>
      </c>
      <c r="K582" s="56" t="n">
        <v>1012.4</v>
      </c>
      <c r="L582" s="56" t="n">
        <v>0</v>
      </c>
      <c r="M582" s="56" t="n">
        <v>79</v>
      </c>
      <c r="N582" s="56" t="n">
        <v>4.1</v>
      </c>
      <c r="O582" s="56" t="n">
        <f aca="false">IF(D582=1,"",E581)</f>
        <v>20.6</v>
      </c>
      <c r="P582" s="56" t="n">
        <f aca="false">IF(OR(D582=1,K581=""),"",K581)</f>
        <v>1019.5</v>
      </c>
      <c r="Q582" s="56" t="n">
        <f aca="false">IF(OR(F582&lt;&gt;0,AND(I582&lt;&gt;"",E582&lt;I582)),1,0)</f>
        <v>1</v>
      </c>
      <c r="R582" s="56" t="n">
        <f aca="false">IF(AND(D582&gt;1,Q582=0,ISNUMBER(O582),ISNUMBER(P582)),IF(Q581=0,1,0),0)</f>
        <v>0</v>
      </c>
      <c r="S582" s="56" t="n">
        <f aca="false">R582*(B582&gt;=Train_Start)*(B582&lt;=Train_End)</f>
        <v>0</v>
      </c>
      <c r="T582" s="84" t="n">
        <f aca="false">IF(AND(ISNUMBER(O582),ISNUMBER(P582)),Coef_A+Coef_B1*O582+Coef_B2*P582,"")</f>
        <v>20.9469703780266</v>
      </c>
      <c r="U582" s="84" t="str">
        <f aca="false">IF(AND(R582=1,ISNUMBER(T582)),E582-T582,"")</f>
        <v/>
      </c>
      <c r="V582" s="84" t="n">
        <f aca="false">IF(ISNUMBER(T582),T582,-99)</f>
        <v>20.9469703780266</v>
      </c>
      <c r="W582" s="84" t="str">
        <f aca="false">IF(ISNUMBER(U582),ABS(U582),"")</f>
        <v/>
      </c>
    </row>
    <row r="583" customFormat="false" ht="15" hidden="false" customHeight="false" outlineLevel="0" collapsed="false">
      <c r="A583" s="57" t="n">
        <v>30194</v>
      </c>
      <c r="B583" s="56" t="n">
        <v>1982</v>
      </c>
      <c r="C583" s="56" t="n">
        <v>8</v>
      </c>
      <c r="D583" s="56" t="n">
        <v>123</v>
      </c>
      <c r="E583" s="56" t="n">
        <v>17.7</v>
      </c>
      <c r="F583" s="56" t="n">
        <v>0</v>
      </c>
      <c r="G583" s="56" t="n">
        <v>10.7</v>
      </c>
      <c r="H583" s="56" t="n">
        <v>0</v>
      </c>
      <c r="I583" s="56" t="n">
        <v>13.7</v>
      </c>
      <c r="J583" s="56" t="n">
        <v>0</v>
      </c>
      <c r="K583" s="56" t="n">
        <v>1019.9</v>
      </c>
      <c r="L583" s="56" t="n">
        <v>0</v>
      </c>
      <c r="M583" s="56" t="n">
        <v>70</v>
      </c>
      <c r="N583" s="56" t="n">
        <v>4.5</v>
      </c>
      <c r="O583" s="56" t="n">
        <f aca="false">IF(D583=1,"",E582)</f>
        <v>16.7</v>
      </c>
      <c r="P583" s="56" t="n">
        <f aca="false">IF(OR(D583=1,K582=""),"",K582)</f>
        <v>1012.4</v>
      </c>
      <c r="Q583" s="56" t="n">
        <f aca="false">IF(OR(F583&lt;&gt;0,AND(I583&lt;&gt;"",E583&lt;I583)),1,0)</f>
        <v>0</v>
      </c>
      <c r="R583" s="56" t="n">
        <f aca="false">IF(AND(D583&gt;1,Q583=0,ISNUMBER(O583),ISNUMBER(P583)),IF(Q582=0,1,0),0)</f>
        <v>0</v>
      </c>
      <c r="S583" s="56" t="n">
        <f aca="false">R583*(B583&gt;=Train_Start)*(B583&lt;=Train_End)</f>
        <v>0</v>
      </c>
      <c r="T583" s="84" t="n">
        <f aca="false">IF(AND(ISNUMBER(O583),ISNUMBER(P583)),Coef_A+Coef_B1*O583+Coef_B2*P583,"")</f>
        <v>17.5288212732589</v>
      </c>
      <c r="U583" s="84" t="str">
        <f aca="false">IF(AND(R583=1,ISNUMBER(T583)),E583-T583,"")</f>
        <v/>
      </c>
      <c r="V583" s="84" t="n">
        <f aca="false">IF(ISNUMBER(T583),T583,-99)</f>
        <v>17.5288212732589</v>
      </c>
      <c r="W583" s="84" t="str">
        <f aca="false">IF(ISNUMBER(U583),ABS(U583),"")</f>
        <v/>
      </c>
    </row>
    <row r="584" customFormat="false" ht="15" hidden="false" customHeight="false" outlineLevel="0" collapsed="false">
      <c r="A584" s="57" t="n">
        <v>30195</v>
      </c>
      <c r="B584" s="56" t="n">
        <v>1982</v>
      </c>
      <c r="C584" s="56" t="n">
        <v>9</v>
      </c>
      <c r="D584" s="56" t="n">
        <v>124</v>
      </c>
      <c r="E584" s="56" t="n">
        <v>21.3</v>
      </c>
      <c r="F584" s="56" t="n">
        <v>0</v>
      </c>
      <c r="G584" s="56" t="n">
        <v>8.8</v>
      </c>
      <c r="H584" s="56" t="n">
        <v>0</v>
      </c>
      <c r="I584" s="56" t="n">
        <v>13.2</v>
      </c>
      <c r="J584" s="56" t="n">
        <v>0</v>
      </c>
      <c r="K584" s="56" t="n">
        <v>1021.8</v>
      </c>
      <c r="L584" s="56" t="n">
        <v>0</v>
      </c>
      <c r="M584" s="56" t="n">
        <v>93</v>
      </c>
      <c r="N584" s="56" t="n">
        <v>0</v>
      </c>
      <c r="O584" s="56" t="n">
        <f aca="false">IF(D584=1,"",E583)</f>
        <v>17.7</v>
      </c>
      <c r="P584" s="56" t="n">
        <f aca="false">IF(OR(D584=1,K583=""),"",K583)</f>
        <v>1019.9</v>
      </c>
      <c r="Q584" s="56" t="n">
        <f aca="false">IF(OR(F584&lt;&gt;0,AND(I584&lt;&gt;"",E584&lt;I584)),1,0)</f>
        <v>0</v>
      </c>
      <c r="R584" s="56" t="n">
        <f aca="false">IF(AND(D584&gt;1,Q584=0,ISNUMBER(O584),ISNUMBER(P584)),IF(Q583=0,1,0),0)</f>
        <v>1</v>
      </c>
      <c r="S584" s="56" t="n">
        <f aca="false">R584*(B584&gt;=Train_Start)*(B584&lt;=Train_End)</f>
        <v>1</v>
      </c>
      <c r="T584" s="84" t="n">
        <f aca="false">IF(AND(ISNUMBER(O584),ISNUMBER(P584)),Coef_A+Coef_B1*O584+Coef_B2*P584,"")</f>
        <v>18.5834346760565</v>
      </c>
      <c r="U584" s="84" t="n">
        <f aca="false">IF(AND(R584=1,ISNUMBER(T584)),E584-T584,"")</f>
        <v>2.71656532394348</v>
      </c>
      <c r="V584" s="84" t="n">
        <f aca="false">IF(ISNUMBER(T584),T584,-99)</f>
        <v>18.5834346760565</v>
      </c>
      <c r="W584" s="84" t="n">
        <f aca="false">IF(ISNUMBER(U584),ABS(U584),"")</f>
        <v>2.71656532394348</v>
      </c>
    </row>
    <row r="585" customFormat="false" ht="15" hidden="false" customHeight="false" outlineLevel="0" collapsed="false">
      <c r="A585" s="57" t="n">
        <v>30196</v>
      </c>
      <c r="B585" s="56" t="n">
        <v>1982</v>
      </c>
      <c r="C585" s="56" t="n">
        <v>9</v>
      </c>
      <c r="D585" s="56" t="n">
        <v>125</v>
      </c>
      <c r="E585" s="56" t="n">
        <v>23.5</v>
      </c>
      <c r="F585" s="56" t="n">
        <v>0</v>
      </c>
      <c r="G585" s="56" t="n">
        <v>9.6</v>
      </c>
      <c r="H585" s="56" t="n">
        <v>0</v>
      </c>
      <c r="I585" s="56" t="n">
        <v>15.4</v>
      </c>
      <c r="J585" s="56" t="n">
        <v>0</v>
      </c>
      <c r="K585" s="56" t="n">
        <v>1027.3</v>
      </c>
      <c r="L585" s="56" t="n">
        <v>0</v>
      </c>
      <c r="M585" s="56" t="n">
        <v>69</v>
      </c>
      <c r="N585" s="56" t="n">
        <v>12.2</v>
      </c>
      <c r="O585" s="56" t="n">
        <f aca="false">IF(D585=1,"",E584)</f>
        <v>21.3</v>
      </c>
      <c r="P585" s="56" t="n">
        <f aca="false">IF(OR(D585=1,K584=""),"",K584)</f>
        <v>1021.8</v>
      </c>
      <c r="Q585" s="56" t="n">
        <f aca="false">IF(OR(F585&lt;&gt;0,AND(I585&lt;&gt;"",E585&lt;I585)),1,0)</f>
        <v>0</v>
      </c>
      <c r="R585" s="56" t="n">
        <f aca="false">IF(AND(D585&gt;1,Q585=0,ISNUMBER(O585),ISNUMBER(P585)),IF(Q584=0,1,0),0)</f>
        <v>1</v>
      </c>
      <c r="S585" s="56" t="n">
        <f aca="false">R585*(B585&gt;=Train_Start)*(B585&lt;=Train_End)</f>
        <v>1</v>
      </c>
      <c r="T585" s="84" t="n">
        <f aca="false">IF(AND(ISNUMBER(O585),ISNUMBER(P585)),Coef_A+Coef_B1*O585+Coef_B2*P585,"")</f>
        <v>21.5926585708147</v>
      </c>
      <c r="U585" s="84" t="n">
        <f aca="false">IF(AND(R585=1,ISNUMBER(T585)),E585-T585,"")</f>
        <v>1.90734142918534</v>
      </c>
      <c r="V585" s="84" t="n">
        <f aca="false">IF(ISNUMBER(T585),T585,-99)</f>
        <v>21.5926585708147</v>
      </c>
      <c r="W585" s="84" t="n">
        <f aca="false">IF(ISNUMBER(U585),ABS(U585),"")</f>
        <v>1.90734142918534</v>
      </c>
    </row>
    <row r="586" customFormat="false" ht="15" hidden="false" customHeight="false" outlineLevel="0" collapsed="false">
      <c r="A586" s="57" t="n">
        <v>30197</v>
      </c>
      <c r="B586" s="56" t="n">
        <v>1982</v>
      </c>
      <c r="C586" s="56" t="n">
        <v>9</v>
      </c>
      <c r="D586" s="56" t="n">
        <v>126</v>
      </c>
      <c r="E586" s="56" t="n">
        <v>23.9</v>
      </c>
      <c r="F586" s="56" t="n">
        <v>0</v>
      </c>
      <c r="G586" s="56" t="n">
        <v>8.3</v>
      </c>
      <c r="H586" s="56" t="n">
        <v>0</v>
      </c>
      <c r="I586" s="56" t="n">
        <v>15.9</v>
      </c>
      <c r="J586" s="56" t="n">
        <v>0</v>
      </c>
      <c r="K586" s="56" t="n">
        <v>1027.7</v>
      </c>
      <c r="L586" s="56" t="n">
        <v>0</v>
      </c>
      <c r="M586" s="56" t="n">
        <v>70</v>
      </c>
      <c r="N586" s="56" t="n">
        <v>9.9</v>
      </c>
      <c r="O586" s="56" t="n">
        <f aca="false">IF(D586=1,"",E585)</f>
        <v>23.5</v>
      </c>
      <c r="P586" s="56" t="n">
        <f aca="false">IF(OR(D586=1,K585=""),"",K585)</f>
        <v>1027.3</v>
      </c>
      <c r="Q586" s="56" t="n">
        <f aca="false">IF(OR(F586&lt;&gt;0,AND(I586&lt;&gt;"",E586&lt;I586)),1,0)</f>
        <v>0</v>
      </c>
      <c r="R586" s="56" t="n">
        <f aca="false">IF(AND(D586&gt;1,Q586=0,ISNUMBER(O586),ISNUMBER(P586)),IF(Q585=0,1,0),0)</f>
        <v>1</v>
      </c>
      <c r="S586" s="56" t="n">
        <f aca="false">R586*(B586&gt;=Train_Start)*(B586&lt;=Train_End)</f>
        <v>1</v>
      </c>
      <c r="T586" s="84" t="n">
        <f aca="false">IF(AND(ISNUMBER(O586),ISNUMBER(P586)),Coef_A+Coef_B1*O586+Coef_B2*P586,"")</f>
        <v>23.5677392159955</v>
      </c>
      <c r="U586" s="84" t="n">
        <f aca="false">IF(AND(R586=1,ISNUMBER(T586)),E586-T586,"")</f>
        <v>0.33226078400455</v>
      </c>
      <c r="V586" s="84" t="n">
        <f aca="false">IF(ISNUMBER(T586),T586,-99)</f>
        <v>23.5677392159955</v>
      </c>
      <c r="W586" s="84" t="n">
        <f aca="false">IF(ISNUMBER(U586),ABS(U586),"")</f>
        <v>0.33226078400455</v>
      </c>
    </row>
    <row r="587" customFormat="false" ht="15" hidden="false" customHeight="false" outlineLevel="0" collapsed="false">
      <c r="A587" s="57" t="n">
        <v>30198</v>
      </c>
      <c r="B587" s="56" t="n">
        <v>1982</v>
      </c>
      <c r="C587" s="56" t="n">
        <v>9</v>
      </c>
      <c r="D587" s="56" t="n">
        <v>127</v>
      </c>
      <c r="E587" s="56" t="n">
        <v>24.7</v>
      </c>
      <c r="F587" s="56" t="n">
        <v>0</v>
      </c>
      <c r="G587" s="56" t="n">
        <v>12.6</v>
      </c>
      <c r="H587" s="56" t="n">
        <v>0</v>
      </c>
      <c r="I587" s="56" t="n">
        <v>18.2</v>
      </c>
      <c r="J587" s="56" t="n">
        <v>0</v>
      </c>
      <c r="K587" s="56" t="n">
        <v>1021.3</v>
      </c>
      <c r="L587" s="56" t="n">
        <v>0</v>
      </c>
      <c r="M587" s="56" t="n">
        <v>76</v>
      </c>
      <c r="N587" s="56" t="n">
        <v>7.4</v>
      </c>
      <c r="O587" s="56" t="n">
        <f aca="false">IF(D587=1,"",E586)</f>
        <v>23.9</v>
      </c>
      <c r="P587" s="56" t="n">
        <f aca="false">IF(OR(D587=1,K586=""),"",K586)</f>
        <v>1027.7</v>
      </c>
      <c r="Q587" s="56" t="n">
        <f aca="false">IF(OR(F587&lt;&gt;0,AND(I587&lt;&gt;"",E587&lt;I587)),1,0)</f>
        <v>0</v>
      </c>
      <c r="R587" s="56" t="n">
        <f aca="false">IF(AND(D587&gt;1,Q587=0,ISNUMBER(O587),ISNUMBER(P587)),IF(Q586=0,1,0),0)</f>
        <v>1</v>
      </c>
      <c r="S587" s="56" t="n">
        <f aca="false">R587*(B587&gt;=Train_Start)*(B587&lt;=Train_End)</f>
        <v>1</v>
      </c>
      <c r="T587" s="84" t="n">
        <f aca="false">IF(AND(ISNUMBER(O587),ISNUMBER(P587)),Coef_A+Coef_B1*O587+Coef_B2*P587,"")</f>
        <v>23.9080228510661</v>
      </c>
      <c r="U587" s="84" t="n">
        <f aca="false">IF(AND(R587=1,ISNUMBER(T587)),E587-T587,"")</f>
        <v>0.791977148933889</v>
      </c>
      <c r="V587" s="84" t="n">
        <f aca="false">IF(ISNUMBER(T587),T587,-99)</f>
        <v>23.9080228510661</v>
      </c>
      <c r="W587" s="84" t="n">
        <f aca="false">IF(ISNUMBER(U587),ABS(U587),"")</f>
        <v>0.791977148933889</v>
      </c>
    </row>
    <row r="588" customFormat="false" ht="15" hidden="false" customHeight="false" outlineLevel="0" collapsed="false">
      <c r="A588" s="57" t="n">
        <v>30199</v>
      </c>
      <c r="B588" s="56" t="n">
        <v>1982</v>
      </c>
      <c r="C588" s="56" t="n">
        <v>9</v>
      </c>
      <c r="D588" s="56" t="n">
        <v>128</v>
      </c>
      <c r="E588" s="56" t="n">
        <v>17.3</v>
      </c>
      <c r="F588" s="56" t="n">
        <v>1</v>
      </c>
      <c r="G588" s="56" t="n">
        <v>12.1</v>
      </c>
      <c r="H588" s="56" t="n">
        <v>0</v>
      </c>
      <c r="I588" s="56" t="n">
        <v>18.4</v>
      </c>
      <c r="J588" s="56" t="n">
        <v>1</v>
      </c>
      <c r="K588" s="56" t="n">
        <v>1009.3</v>
      </c>
      <c r="L588" s="56" t="n">
        <v>0</v>
      </c>
      <c r="M588" s="56" t="n">
        <v>85</v>
      </c>
      <c r="N588" s="56" t="n">
        <v>2.7</v>
      </c>
      <c r="O588" s="56" t="n">
        <f aca="false">IF(D588=1,"",E587)</f>
        <v>24.7</v>
      </c>
      <c r="P588" s="56" t="n">
        <f aca="false">IF(OR(D588=1,K587=""),"",K587)</f>
        <v>1021.3</v>
      </c>
      <c r="Q588" s="56" t="n">
        <f aca="false">IF(OR(F588&lt;&gt;0,AND(I588&lt;&gt;"",E588&lt;I588)),1,0)</f>
        <v>1</v>
      </c>
      <c r="R588" s="56" t="n">
        <f aca="false">IF(AND(D588&gt;1,Q588=0,ISNUMBER(O588),ISNUMBER(P588)),IF(Q587=0,1,0),0)</f>
        <v>0</v>
      </c>
      <c r="S588" s="56" t="n">
        <f aca="false">R588*(B588&gt;=Train_Start)*(B588&lt;=Train_End)</f>
        <v>0</v>
      </c>
      <c r="T588" s="84" t="n">
        <f aca="false">IF(AND(ISNUMBER(O588),ISNUMBER(P588)),Coef_A+Coef_B1*O588+Coef_B2*P588,"")</f>
        <v>24.3627268798427</v>
      </c>
      <c r="U588" s="84" t="str">
        <f aca="false">IF(AND(R588=1,ISNUMBER(T588)),E588-T588,"")</f>
        <v/>
      </c>
      <c r="V588" s="84" t="n">
        <f aca="false">IF(ISNUMBER(T588),T588,-99)</f>
        <v>24.3627268798427</v>
      </c>
      <c r="W588" s="84" t="str">
        <f aca="false">IF(ISNUMBER(U588),ABS(U588),"")</f>
        <v/>
      </c>
    </row>
    <row r="589" customFormat="false" ht="15" hidden="false" customHeight="false" outlineLevel="0" collapsed="false">
      <c r="A589" s="57" t="n">
        <v>30200</v>
      </c>
      <c r="B589" s="56" t="n">
        <v>1982</v>
      </c>
      <c r="C589" s="56" t="n">
        <v>9</v>
      </c>
      <c r="D589" s="56" t="n">
        <v>129</v>
      </c>
      <c r="E589" s="56" t="n">
        <v>23.4</v>
      </c>
      <c r="F589" s="56" t="n">
        <v>0</v>
      </c>
      <c r="G589" s="56" t="n">
        <v>14.7</v>
      </c>
      <c r="H589" s="56" t="n">
        <v>0</v>
      </c>
      <c r="I589" s="56" t="n">
        <v>16</v>
      </c>
      <c r="J589" s="56" t="n">
        <v>0</v>
      </c>
      <c r="K589" s="56" t="n">
        <v>1011.6</v>
      </c>
      <c r="L589" s="56" t="n">
        <v>0</v>
      </c>
      <c r="M589" s="56" t="n">
        <v>88</v>
      </c>
      <c r="N589" s="56" t="n">
        <v>0.2</v>
      </c>
      <c r="O589" s="56" t="n">
        <f aca="false">IF(D589=1,"",E588)</f>
        <v>17.3</v>
      </c>
      <c r="P589" s="56" t="n">
        <f aca="false">IF(OR(D589=1,K588=""),"",K588)</f>
        <v>1009.3</v>
      </c>
      <c r="Q589" s="56" t="n">
        <f aca="false">IF(OR(F589&lt;&gt;0,AND(I589&lt;&gt;"",E589&lt;I589)),1,0)</f>
        <v>0</v>
      </c>
      <c r="R589" s="56" t="n">
        <f aca="false">IF(AND(D589&gt;1,Q589=0,ISNUMBER(O589),ISNUMBER(P589)),IF(Q588=0,1,0),0)</f>
        <v>0</v>
      </c>
      <c r="S589" s="56" t="n">
        <f aca="false">R589*(B589&gt;=Train_Start)*(B589&lt;=Train_End)</f>
        <v>0</v>
      </c>
      <c r="T589" s="84" t="n">
        <f aca="false">IF(AND(ISNUMBER(O589),ISNUMBER(P589)),Coef_A+Coef_B1*O589+Coef_B2*P589,"")</f>
        <v>17.9231781157192</v>
      </c>
      <c r="U589" s="84" t="str">
        <f aca="false">IF(AND(R589=1,ISNUMBER(T589)),E589-T589,"")</f>
        <v/>
      </c>
      <c r="V589" s="84" t="n">
        <f aca="false">IF(ISNUMBER(T589),T589,-99)</f>
        <v>17.9231781157192</v>
      </c>
      <c r="W589" s="84" t="str">
        <f aca="false">IF(ISNUMBER(U589),ABS(U589),"")</f>
        <v/>
      </c>
    </row>
    <row r="590" customFormat="false" ht="15" hidden="false" customHeight="false" outlineLevel="0" collapsed="false">
      <c r="A590" s="57" t="n">
        <v>30201</v>
      </c>
      <c r="B590" s="56" t="n">
        <v>1982</v>
      </c>
      <c r="C590" s="56" t="n">
        <v>9</v>
      </c>
      <c r="D590" s="56" t="n">
        <v>130</v>
      </c>
      <c r="E590" s="56" t="n">
        <v>20</v>
      </c>
      <c r="F590" s="56" t="n">
        <v>0</v>
      </c>
      <c r="G590" s="56" t="n">
        <v>12.5</v>
      </c>
      <c r="H590" s="56" t="n">
        <v>0</v>
      </c>
      <c r="I590" s="56" t="n">
        <v>18</v>
      </c>
      <c r="J590" s="56" t="n">
        <v>0</v>
      </c>
      <c r="K590" s="56" t="n">
        <v>1016.7</v>
      </c>
      <c r="L590" s="56" t="n">
        <v>0</v>
      </c>
      <c r="M590" s="56" t="n">
        <v>76</v>
      </c>
      <c r="N590" s="56" t="n">
        <v>4.3</v>
      </c>
      <c r="O590" s="56" t="n">
        <f aca="false">IF(D590=1,"",E589)</f>
        <v>23.4</v>
      </c>
      <c r="P590" s="56" t="n">
        <f aca="false">IF(OR(D590=1,K589=""),"",K589)</f>
        <v>1011.6</v>
      </c>
      <c r="Q590" s="56" t="n">
        <f aca="false">IF(OR(F590&lt;&gt;0,AND(I590&lt;&gt;"",E590&lt;I590)),1,0)</f>
        <v>0</v>
      </c>
      <c r="R590" s="56" t="n">
        <f aca="false">IF(AND(D590&gt;1,Q590=0,ISNUMBER(O590),ISNUMBER(P590)),IF(Q589=0,1,0),0)</f>
        <v>1</v>
      </c>
      <c r="S590" s="56" t="n">
        <f aca="false">R590*(B590&gt;=Train_Start)*(B590&lt;=Train_End)</f>
        <v>1</v>
      </c>
      <c r="T590" s="84" t="n">
        <f aca="false">IF(AND(ISNUMBER(O590),ISNUMBER(P590)),Coef_A+Coef_B1*O590+Coef_B2*P590,"")</f>
        <v>22.9932979509376</v>
      </c>
      <c r="U590" s="84" t="n">
        <f aca="false">IF(AND(R590=1,ISNUMBER(T590)),E590-T590,"")</f>
        <v>-2.99329795093755</v>
      </c>
      <c r="V590" s="84" t="n">
        <f aca="false">IF(ISNUMBER(T590),T590,-99)</f>
        <v>22.9932979509376</v>
      </c>
      <c r="W590" s="84" t="n">
        <f aca="false">IF(ISNUMBER(U590),ABS(U590),"")</f>
        <v>2.99329795093755</v>
      </c>
    </row>
    <row r="591" customFormat="false" ht="15" hidden="false" customHeight="false" outlineLevel="0" collapsed="false">
      <c r="A591" s="57" t="n">
        <v>30202</v>
      </c>
      <c r="B591" s="56" t="n">
        <v>1982</v>
      </c>
      <c r="C591" s="56" t="n">
        <v>9</v>
      </c>
      <c r="D591" s="56" t="n">
        <v>131</v>
      </c>
      <c r="E591" s="56" t="n">
        <v>22</v>
      </c>
      <c r="F591" s="56" t="n">
        <v>0</v>
      </c>
      <c r="G591" s="56" t="n">
        <v>9.9</v>
      </c>
      <c r="H591" s="56" t="n">
        <v>0</v>
      </c>
      <c r="I591" s="56" t="n">
        <v>15</v>
      </c>
      <c r="J591" s="56" t="n">
        <v>0</v>
      </c>
      <c r="K591" s="56" t="n">
        <v>1020.7</v>
      </c>
      <c r="L591" s="56" t="n">
        <v>0</v>
      </c>
      <c r="M591" s="56" t="n">
        <v>78</v>
      </c>
      <c r="N591" s="56" t="n">
        <v>2.2</v>
      </c>
      <c r="O591" s="56" t="n">
        <f aca="false">IF(D591=1,"",E590)</f>
        <v>20</v>
      </c>
      <c r="P591" s="56" t="n">
        <f aca="false">IF(OR(D591=1,K590=""),"",K590)</f>
        <v>1016.7</v>
      </c>
      <c r="Q591" s="56" t="n">
        <f aca="false">IF(OR(F591&lt;&gt;0,AND(I591&lt;&gt;"",E591&lt;I591)),1,0)</f>
        <v>0</v>
      </c>
      <c r="R591" s="56" t="n">
        <f aca="false">IF(AND(D591&gt;1,Q591=0,ISNUMBER(O591),ISNUMBER(P591)),IF(Q590=0,1,0),0)</f>
        <v>1</v>
      </c>
      <c r="S591" s="56" t="n">
        <f aca="false">R591*(B591&gt;=Train_Start)*(B591&lt;=Train_End)</f>
        <v>1</v>
      </c>
      <c r="T591" s="84" t="n">
        <f aca="false">IF(AND(ISNUMBER(O591),ISNUMBER(P591)),Coef_A+Coef_B1*O591+Coef_B2*P591,"")</f>
        <v>20.3675311572259</v>
      </c>
      <c r="U591" s="84" t="n">
        <f aca="false">IF(AND(R591=1,ISNUMBER(T591)),E591-T591,"")</f>
        <v>1.63246884277413</v>
      </c>
      <c r="V591" s="84" t="n">
        <f aca="false">IF(ISNUMBER(T591),T591,-99)</f>
        <v>20.3675311572259</v>
      </c>
      <c r="W591" s="84" t="n">
        <f aca="false">IF(ISNUMBER(U591),ABS(U591),"")</f>
        <v>1.63246884277413</v>
      </c>
    </row>
    <row r="592" customFormat="false" ht="15" hidden="false" customHeight="false" outlineLevel="0" collapsed="false">
      <c r="A592" s="57" t="n">
        <v>30203</v>
      </c>
      <c r="B592" s="56" t="n">
        <v>1982</v>
      </c>
      <c r="C592" s="56" t="n">
        <v>9</v>
      </c>
      <c r="D592" s="56" t="n">
        <v>132</v>
      </c>
      <c r="E592" s="56" t="n">
        <v>24.6</v>
      </c>
      <c r="F592" s="56" t="n">
        <v>0</v>
      </c>
      <c r="G592" s="56" t="n">
        <v>13.8</v>
      </c>
      <c r="H592" s="56" t="n">
        <v>0</v>
      </c>
      <c r="I592" s="56" t="n">
        <v>17.9</v>
      </c>
      <c r="J592" s="56" t="n">
        <v>0</v>
      </c>
      <c r="K592" s="56" t="n">
        <v>1022.5</v>
      </c>
      <c r="L592" s="56" t="n">
        <v>0</v>
      </c>
      <c r="M592" s="56" t="n">
        <v>78</v>
      </c>
      <c r="N592" s="56" t="n">
        <v>5.9</v>
      </c>
      <c r="O592" s="56" t="n">
        <f aca="false">IF(D592=1,"",E591)</f>
        <v>22</v>
      </c>
      <c r="P592" s="56" t="n">
        <f aca="false">IF(OR(D592=1,K591=""),"",K591)</f>
        <v>1020.7</v>
      </c>
      <c r="Q592" s="56" t="n">
        <f aca="false">IF(OR(F592&lt;&gt;0,AND(I592&lt;&gt;"",E592&lt;I592)),1,0)</f>
        <v>0</v>
      </c>
      <c r="R592" s="56" t="n">
        <f aca="false">IF(AND(D592&gt;1,Q592=0,ISNUMBER(O592),ISNUMBER(P592)),IF(Q591=0,1,0),0)</f>
        <v>1</v>
      </c>
      <c r="S592" s="56" t="n">
        <f aca="false">R592*(B592&gt;=Train_Start)*(B592&lt;=Train_End)</f>
        <v>1</v>
      </c>
      <c r="T592" s="84" t="n">
        <f aca="false">IF(AND(ISNUMBER(O592),ISNUMBER(P592)),Coef_A+Coef_B1*O592+Coef_B2*P592,"")</f>
        <v>22.1316891218471</v>
      </c>
      <c r="U592" s="84" t="n">
        <f aca="false">IF(AND(R592=1,ISNUMBER(T592)),E592-T592,"")</f>
        <v>2.46831087815286</v>
      </c>
      <c r="V592" s="84" t="n">
        <f aca="false">IF(ISNUMBER(T592),T592,-99)</f>
        <v>22.1316891218471</v>
      </c>
      <c r="W592" s="84" t="n">
        <f aca="false">IF(ISNUMBER(U592),ABS(U592),"")</f>
        <v>2.46831087815286</v>
      </c>
    </row>
    <row r="593" customFormat="false" ht="15" hidden="false" customHeight="false" outlineLevel="0" collapsed="false">
      <c r="A593" s="57" t="n">
        <v>30204</v>
      </c>
      <c r="B593" s="56" t="n">
        <v>1982</v>
      </c>
      <c r="C593" s="56" t="n">
        <v>9</v>
      </c>
      <c r="D593" s="56" t="n">
        <v>133</v>
      </c>
      <c r="E593" s="56" t="n">
        <v>20.6</v>
      </c>
      <c r="F593" s="56" t="n">
        <v>0</v>
      </c>
      <c r="G593" s="56" t="n">
        <v>10.8</v>
      </c>
      <c r="H593" s="56" t="n">
        <v>0</v>
      </c>
      <c r="I593" s="56" t="n">
        <v>17.7</v>
      </c>
      <c r="J593" s="56" t="n">
        <v>0</v>
      </c>
      <c r="K593" s="56" t="n">
        <v>1021</v>
      </c>
      <c r="L593" s="56" t="n">
        <v>0</v>
      </c>
      <c r="M593" s="56" t="n">
        <v>76</v>
      </c>
      <c r="N593" s="56" t="n">
        <v>9.2</v>
      </c>
      <c r="O593" s="56" t="n">
        <f aca="false">IF(D593=1,"",E592)</f>
        <v>24.6</v>
      </c>
      <c r="P593" s="56" t="n">
        <f aca="false">IF(OR(D593=1,K592=""),"",K592)</f>
        <v>1022.5</v>
      </c>
      <c r="Q593" s="56" t="n">
        <f aca="false">IF(OR(F593&lt;&gt;0,AND(I593&lt;&gt;"",E593&lt;I593)),1,0)</f>
        <v>0</v>
      </c>
      <c r="R593" s="56" t="n">
        <f aca="false">IF(AND(D593&gt;1,Q593=0,ISNUMBER(O593),ISNUMBER(P593)),IF(Q592=0,1,0),0)</f>
        <v>1</v>
      </c>
      <c r="S593" s="56" t="n">
        <f aca="false">R593*(B593&gt;=Train_Start)*(B593&lt;=Train_End)</f>
        <v>1</v>
      </c>
      <c r="T593" s="84" t="n">
        <f aca="false">IF(AND(ISNUMBER(O593),ISNUMBER(P593)),Coef_A+Coef_B1*O593+Coef_B2*P593,"")</f>
        <v>24.3184368340992</v>
      </c>
      <c r="U593" s="84" t="n">
        <f aca="false">IF(AND(R593=1,ISNUMBER(T593)),E593-T593,"")</f>
        <v>-3.71843683409923</v>
      </c>
      <c r="V593" s="84" t="n">
        <f aca="false">IF(ISNUMBER(T593),T593,-99)</f>
        <v>24.3184368340992</v>
      </c>
      <c r="W593" s="84" t="n">
        <f aca="false">IF(ISNUMBER(U593),ABS(U593),"")</f>
        <v>3.71843683409923</v>
      </c>
    </row>
    <row r="594" customFormat="false" ht="15" hidden="false" customHeight="false" outlineLevel="0" collapsed="false">
      <c r="A594" s="57" t="n">
        <v>30205</v>
      </c>
      <c r="B594" s="56" t="n">
        <v>1982</v>
      </c>
      <c r="C594" s="56" t="n">
        <v>9</v>
      </c>
      <c r="D594" s="56" t="n">
        <v>134</v>
      </c>
      <c r="E594" s="56" t="n">
        <v>23</v>
      </c>
      <c r="F594" s="56" t="n">
        <v>0</v>
      </c>
      <c r="G594" s="56" t="n">
        <v>12.7</v>
      </c>
      <c r="H594" s="56" t="n">
        <v>0</v>
      </c>
      <c r="I594" s="56" t="n">
        <v>16.6</v>
      </c>
      <c r="J594" s="56" t="n">
        <v>0</v>
      </c>
      <c r="K594" s="56" t="n">
        <v>1027.4</v>
      </c>
      <c r="L594" s="56" t="n">
        <v>0</v>
      </c>
      <c r="M594" s="56" t="n">
        <v>78</v>
      </c>
      <c r="N594" s="56" t="n">
        <v>0.6</v>
      </c>
      <c r="O594" s="56" t="n">
        <f aca="false">IF(D594=1,"",E593)</f>
        <v>20.6</v>
      </c>
      <c r="P594" s="56" t="n">
        <f aca="false">IF(OR(D594=1,K593=""),"",K593)</f>
        <v>1021</v>
      </c>
      <c r="Q594" s="56" t="n">
        <f aca="false">IF(OR(F594&lt;&gt;0,AND(I594&lt;&gt;"",E594&lt;I594)),1,0)</f>
        <v>0</v>
      </c>
      <c r="R594" s="56" t="n">
        <f aca="false">IF(AND(D594&gt;1,Q594=0,ISNUMBER(O594),ISNUMBER(P594)),IF(Q593=0,1,0),0)</f>
        <v>1</v>
      </c>
      <c r="S594" s="56" t="n">
        <f aca="false">R594*(B594&gt;=Train_Start)*(B594&lt;=Train_End)</f>
        <v>1</v>
      </c>
      <c r="T594" s="84" t="n">
        <f aca="false">IF(AND(ISNUMBER(O594),ISNUMBER(P594)),Coef_A+Coef_B1*O594+Coef_B2*P594,"")</f>
        <v>20.9940252199776</v>
      </c>
      <c r="U594" s="84" t="n">
        <f aca="false">IF(AND(R594=1,ISNUMBER(T594)),E594-T594,"")</f>
        <v>2.00597478002238</v>
      </c>
      <c r="V594" s="84" t="n">
        <f aca="false">IF(ISNUMBER(T594),T594,-99)</f>
        <v>20.9940252199776</v>
      </c>
      <c r="W594" s="84" t="n">
        <f aca="false">IF(ISNUMBER(U594),ABS(U594),"")</f>
        <v>2.00597478002238</v>
      </c>
    </row>
    <row r="595" customFormat="false" ht="15" hidden="false" customHeight="false" outlineLevel="0" collapsed="false">
      <c r="A595" s="57" t="n">
        <v>30206</v>
      </c>
      <c r="B595" s="56" t="n">
        <v>1982</v>
      </c>
      <c r="C595" s="56" t="n">
        <v>9</v>
      </c>
      <c r="D595" s="56" t="n">
        <v>135</v>
      </c>
      <c r="E595" s="56" t="n">
        <v>21.8</v>
      </c>
      <c r="F595" s="56" t="n">
        <v>0</v>
      </c>
      <c r="G595" s="56" t="n">
        <v>12.2</v>
      </c>
      <c r="H595" s="56" t="n">
        <v>0</v>
      </c>
      <c r="I595" s="56" t="n">
        <v>17.6</v>
      </c>
      <c r="J595" s="56" t="n">
        <v>0</v>
      </c>
      <c r="K595" s="56" t="n">
        <v>1025</v>
      </c>
      <c r="L595" s="56" t="n">
        <v>0</v>
      </c>
      <c r="M595" s="56" t="n">
        <v>81</v>
      </c>
      <c r="N595" s="56" t="n">
        <v>5</v>
      </c>
      <c r="O595" s="56" t="n">
        <f aca="false">IF(D595=1,"",E594)</f>
        <v>23</v>
      </c>
      <c r="P595" s="56" t="n">
        <f aca="false">IF(OR(D595=1,K594=""),"",K594)</f>
        <v>1027.4</v>
      </c>
      <c r="Q595" s="56" t="n">
        <f aca="false">IF(OR(F595&lt;&gt;0,AND(I595&lt;&gt;"",E595&lt;I595)),1,0)</f>
        <v>0</v>
      </c>
      <c r="R595" s="56" t="n">
        <f aca="false">IF(AND(D595&gt;1,Q595=0,ISNUMBER(O595),ISNUMBER(P595)),IF(Q594=0,1,0),0)</f>
        <v>1</v>
      </c>
      <c r="S595" s="56" t="n">
        <f aca="false">R595*(B595&gt;=Train_Start)*(B595&lt;=Train_End)</f>
        <v>1</v>
      </c>
      <c r="T595" s="84" t="n">
        <f aca="false">IF(AND(ISNUMBER(O595),ISNUMBER(P595)),Coef_A+Coef_B1*O595+Coef_B2*P595,"")</f>
        <v>23.1612066089375</v>
      </c>
      <c r="U595" s="84" t="n">
        <f aca="false">IF(AND(R595=1,ISNUMBER(T595)),E595-T595,"")</f>
        <v>-1.36120660893753</v>
      </c>
      <c r="V595" s="84" t="n">
        <f aca="false">IF(ISNUMBER(T595),T595,-99)</f>
        <v>23.1612066089375</v>
      </c>
      <c r="W595" s="84" t="n">
        <f aca="false">IF(ISNUMBER(U595),ABS(U595),"")</f>
        <v>1.36120660893753</v>
      </c>
    </row>
    <row r="596" customFormat="false" ht="15" hidden="false" customHeight="false" outlineLevel="0" collapsed="false">
      <c r="A596" s="57" t="n">
        <v>30207</v>
      </c>
      <c r="B596" s="56" t="n">
        <v>1982</v>
      </c>
      <c r="C596" s="56" t="n">
        <v>9</v>
      </c>
      <c r="D596" s="56" t="n">
        <v>136</v>
      </c>
      <c r="E596" s="56" t="n">
        <v>22.3</v>
      </c>
      <c r="F596" s="56" t="n">
        <v>0</v>
      </c>
      <c r="G596" s="56" t="n">
        <v>9.8</v>
      </c>
      <c r="H596" s="56" t="n">
        <v>0</v>
      </c>
      <c r="I596" s="56" t="n">
        <v>15.8</v>
      </c>
      <c r="J596" s="56" t="n">
        <v>0</v>
      </c>
      <c r="K596" s="56" t="n">
        <v>1024.9</v>
      </c>
      <c r="L596" s="56" t="n">
        <v>0</v>
      </c>
      <c r="M596" s="56" t="n">
        <v>74</v>
      </c>
      <c r="N596" s="56" t="n">
        <v>10.1</v>
      </c>
      <c r="O596" s="56" t="n">
        <f aca="false">IF(D596=1,"",E595)</f>
        <v>21.8</v>
      </c>
      <c r="P596" s="56" t="n">
        <f aca="false">IF(OR(D596=1,K595=""),"",K595)</f>
        <v>1025</v>
      </c>
      <c r="Q596" s="56" t="n">
        <f aca="false">IF(OR(F596&lt;&gt;0,AND(I596&lt;&gt;"",E596&lt;I596)),1,0)</f>
        <v>0</v>
      </c>
      <c r="R596" s="56" t="n">
        <f aca="false">IF(AND(D596&gt;1,Q596=0,ISNUMBER(O596),ISNUMBER(P596)),IF(Q595=0,1,0),0)</f>
        <v>1</v>
      </c>
      <c r="S596" s="56" t="n">
        <f aca="false">R596*(B596&gt;=Train_Start)*(B596&lt;=Train_End)</f>
        <v>1</v>
      </c>
      <c r="T596" s="84" t="n">
        <f aca="false">IF(AND(ISNUMBER(O596),ISNUMBER(P596)),Coef_A+Coef_B1*O596+Coef_B2*P596,"")</f>
        <v>22.1027118301648</v>
      </c>
      <c r="U596" s="84" t="n">
        <f aca="false">IF(AND(R596=1,ISNUMBER(T596)),E596-T596,"")</f>
        <v>0.19728816983524</v>
      </c>
      <c r="V596" s="84" t="n">
        <f aca="false">IF(ISNUMBER(T596),T596,-99)</f>
        <v>22.1027118301648</v>
      </c>
      <c r="W596" s="84" t="n">
        <f aca="false">IF(ISNUMBER(U596),ABS(U596),"")</f>
        <v>0.19728816983524</v>
      </c>
    </row>
    <row r="597" customFormat="false" ht="15" hidden="false" customHeight="false" outlineLevel="0" collapsed="false">
      <c r="A597" s="57" t="n">
        <v>30208</v>
      </c>
      <c r="B597" s="56" t="n">
        <v>1982</v>
      </c>
      <c r="C597" s="56" t="n">
        <v>9</v>
      </c>
      <c r="D597" s="56" t="n">
        <v>137</v>
      </c>
      <c r="E597" s="56" t="n">
        <v>26.1</v>
      </c>
      <c r="F597" s="56" t="n">
        <v>0</v>
      </c>
      <c r="G597" s="56" t="n">
        <v>10.2</v>
      </c>
      <c r="H597" s="56" t="n">
        <v>0</v>
      </c>
      <c r="I597" s="56" t="n">
        <v>16.2</v>
      </c>
      <c r="J597" s="56" t="n">
        <v>0</v>
      </c>
      <c r="K597" s="56" t="n">
        <v>1021.6</v>
      </c>
      <c r="L597" s="56" t="n">
        <v>0</v>
      </c>
      <c r="M597" s="56" t="n">
        <v>78</v>
      </c>
      <c r="N597" s="56" t="n">
        <v>7</v>
      </c>
      <c r="O597" s="56" t="n">
        <f aca="false">IF(D597=1,"",E596)</f>
        <v>22.3</v>
      </c>
      <c r="P597" s="56" t="n">
        <f aca="false">IF(OR(D597=1,K596=""),"",K596)</f>
        <v>1024.9</v>
      </c>
      <c r="Q597" s="56" t="n">
        <f aca="false">IF(OR(F597&lt;&gt;0,AND(I597&lt;&gt;"",E597&lt;I597)),1,0)</f>
        <v>0</v>
      </c>
      <c r="R597" s="56" t="n">
        <f aca="false">IF(AND(D597&gt;1,Q597=0,ISNUMBER(O597),ISNUMBER(P597)),IF(Q596=0,1,0),0)</f>
        <v>1</v>
      </c>
      <c r="S597" s="56" t="n">
        <f aca="false">R597*(B597&gt;=Train_Start)*(B597&lt;=Train_End)</f>
        <v>1</v>
      </c>
      <c r="T597" s="84" t="n">
        <f aca="false">IF(AND(ISNUMBER(O597),ISNUMBER(P597)),Coef_A+Coef_B1*O597+Coef_B2*P597,"")</f>
        <v>22.5092444372227</v>
      </c>
      <c r="U597" s="84" t="n">
        <f aca="false">IF(AND(R597=1,ISNUMBER(T597)),E597-T597,"")</f>
        <v>3.59075556277731</v>
      </c>
      <c r="V597" s="84" t="n">
        <f aca="false">IF(ISNUMBER(T597),T597,-99)</f>
        <v>22.5092444372227</v>
      </c>
      <c r="W597" s="84" t="n">
        <f aca="false">IF(ISNUMBER(U597),ABS(U597),"")</f>
        <v>3.59075556277731</v>
      </c>
    </row>
    <row r="598" customFormat="false" ht="15" hidden="false" customHeight="false" outlineLevel="0" collapsed="false">
      <c r="A598" s="57" t="n">
        <v>30209</v>
      </c>
      <c r="B598" s="56" t="n">
        <v>1982</v>
      </c>
      <c r="C598" s="56" t="n">
        <v>9</v>
      </c>
      <c r="D598" s="56" t="n">
        <v>138</v>
      </c>
      <c r="E598" s="56" t="n">
        <v>25.7</v>
      </c>
      <c r="F598" s="56" t="n">
        <v>0</v>
      </c>
      <c r="G598" s="56" t="n">
        <v>11.7</v>
      </c>
      <c r="H598" s="56" t="n">
        <v>0</v>
      </c>
      <c r="I598" s="56" t="n">
        <v>18.9</v>
      </c>
      <c r="J598" s="56" t="n">
        <v>0</v>
      </c>
      <c r="K598" s="56" t="n">
        <v>1019.6</v>
      </c>
      <c r="L598" s="56" t="n">
        <v>0</v>
      </c>
      <c r="M598" s="56" t="n">
        <v>77</v>
      </c>
      <c r="N598" s="56" t="n">
        <v>9.5</v>
      </c>
      <c r="O598" s="56" t="n">
        <f aca="false">IF(D598=1,"",E597)</f>
        <v>26.1</v>
      </c>
      <c r="P598" s="56" t="n">
        <f aca="false">IF(OR(D598=1,K597=""),"",K597)</f>
        <v>1021.6</v>
      </c>
      <c r="Q598" s="56" t="n">
        <f aca="false">IF(OR(F598&lt;&gt;0,AND(I598&lt;&gt;"",E598&lt;I598)),1,0)</f>
        <v>0</v>
      </c>
      <c r="R598" s="56" t="n">
        <f aca="false">IF(AND(D598&gt;1,Q598=0,ISNUMBER(O598),ISNUMBER(P598)),IF(Q597=0,1,0),0)</f>
        <v>1</v>
      </c>
      <c r="S598" s="56" t="n">
        <f aca="false">R598*(B598&gt;=Train_Start)*(B598&lt;=Train_End)</f>
        <v>1</v>
      </c>
      <c r="T598" s="84" t="n">
        <f aca="false">IF(AND(ISNUMBER(O598),ISNUMBER(P598)),Coef_A+Coef_B1*O598+Coef_B2*P598,"")</f>
        <v>25.5192127184926</v>
      </c>
      <c r="U598" s="84" t="n">
        <f aca="false">IF(AND(R598=1,ISNUMBER(T598)),E598-T598,"")</f>
        <v>0.180787281507371</v>
      </c>
      <c r="V598" s="84" t="n">
        <f aca="false">IF(ISNUMBER(T598),T598,-99)</f>
        <v>25.5192127184926</v>
      </c>
      <c r="W598" s="84" t="n">
        <f aca="false">IF(ISNUMBER(U598),ABS(U598),"")</f>
        <v>0.180787281507371</v>
      </c>
    </row>
    <row r="599" customFormat="false" ht="15" hidden="false" customHeight="false" outlineLevel="0" collapsed="false">
      <c r="A599" s="57" t="n">
        <v>30210</v>
      </c>
      <c r="B599" s="56" t="n">
        <v>1982</v>
      </c>
      <c r="C599" s="56" t="n">
        <v>9</v>
      </c>
      <c r="D599" s="56" t="n">
        <v>139</v>
      </c>
      <c r="E599" s="56" t="n">
        <v>26.1</v>
      </c>
      <c r="F599" s="56" t="n">
        <v>0</v>
      </c>
      <c r="G599" s="56" t="n">
        <v>13.2</v>
      </c>
      <c r="H599" s="56" t="n">
        <v>0</v>
      </c>
      <c r="I599" s="56" t="n">
        <v>19.4</v>
      </c>
      <c r="J599" s="56" t="n">
        <v>0</v>
      </c>
      <c r="K599" s="56" t="n">
        <v>1022.5</v>
      </c>
      <c r="L599" s="56" t="n">
        <v>0</v>
      </c>
      <c r="M599" s="56" t="n">
        <v>73</v>
      </c>
      <c r="N599" s="56" t="n">
        <v>9.6</v>
      </c>
      <c r="O599" s="56" t="n">
        <f aca="false">IF(D599=1,"",E598)</f>
        <v>25.7</v>
      </c>
      <c r="P599" s="56" t="n">
        <f aca="false">IF(OR(D599=1,K598=""),"",K598)</f>
        <v>1019.6</v>
      </c>
      <c r="Q599" s="56" t="n">
        <f aca="false">IF(OR(F599&lt;&gt;0,AND(I599&lt;&gt;"",E599&lt;I599)),1,0)</f>
        <v>0</v>
      </c>
      <c r="R599" s="56" t="n">
        <f aca="false">IF(AND(D599&gt;1,Q599=0,ISNUMBER(O599),ISNUMBER(P599)),IF(Q598=0,1,0),0)</f>
        <v>1</v>
      </c>
      <c r="S599" s="56" t="n">
        <f aca="false">R599*(B599&gt;=Train_Start)*(B599&lt;=Train_End)</f>
        <v>1</v>
      </c>
      <c r="T599" s="84" t="n">
        <f aca="false">IF(AND(ISNUMBER(O599),ISNUMBER(P599)),Coef_A+Coef_B1*O599+Coef_B2*P599,"")</f>
        <v>25.1287372520076</v>
      </c>
      <c r="U599" s="84" t="n">
        <f aca="false">IF(AND(R599=1,ISNUMBER(T599)),E599-T599,"")</f>
        <v>0.971262747992419</v>
      </c>
      <c r="V599" s="84" t="n">
        <f aca="false">IF(ISNUMBER(T599),T599,-99)</f>
        <v>25.1287372520076</v>
      </c>
      <c r="W599" s="84" t="n">
        <f aca="false">IF(ISNUMBER(U599),ABS(U599),"")</f>
        <v>0.971262747992419</v>
      </c>
    </row>
    <row r="600" customFormat="false" ht="15" hidden="false" customHeight="false" outlineLevel="0" collapsed="false">
      <c r="A600" s="57" t="n">
        <v>30211</v>
      </c>
      <c r="B600" s="56" t="n">
        <v>1982</v>
      </c>
      <c r="C600" s="56" t="n">
        <v>9</v>
      </c>
      <c r="D600" s="56" t="n">
        <v>140</v>
      </c>
      <c r="E600" s="56" t="n">
        <v>28.3</v>
      </c>
      <c r="F600" s="56" t="n">
        <v>0</v>
      </c>
      <c r="G600" s="56" t="n">
        <v>12.8</v>
      </c>
      <c r="H600" s="56" t="n">
        <v>0</v>
      </c>
      <c r="I600" s="56" t="n">
        <v>19.4</v>
      </c>
      <c r="J600" s="56" t="n">
        <v>0</v>
      </c>
      <c r="K600" s="56" t="n">
        <v>1020.1</v>
      </c>
      <c r="L600" s="56" t="n">
        <v>0</v>
      </c>
      <c r="M600" s="56" t="n">
        <v>83</v>
      </c>
      <c r="N600" s="56" t="n">
        <v>5.2</v>
      </c>
      <c r="O600" s="56" t="n">
        <f aca="false">IF(D600=1,"",E599)</f>
        <v>26.1</v>
      </c>
      <c r="P600" s="56" t="n">
        <f aca="false">IF(OR(D600=1,K599=""),"",K599)</f>
        <v>1022.5</v>
      </c>
      <c r="Q600" s="56" t="n">
        <f aca="false">IF(OR(F600&lt;&gt;0,AND(I600&lt;&gt;"",E600&lt;I600)),1,0)</f>
        <v>0</v>
      </c>
      <c r="R600" s="56" t="n">
        <f aca="false">IF(AND(D600&gt;1,Q600=0,ISNUMBER(O600),ISNUMBER(P600)),IF(Q599=0,1,0),0)</f>
        <v>1</v>
      </c>
      <c r="S600" s="56" t="n">
        <f aca="false">R600*(B600&gt;=Train_Start)*(B600&lt;=Train_End)</f>
        <v>1</v>
      </c>
      <c r="T600" s="84" t="n">
        <f aca="false">IF(AND(ISNUMBER(O600),ISNUMBER(P600)),Coef_A+Coef_B1*O600+Coef_B2*P600,"")</f>
        <v>25.5474456236632</v>
      </c>
      <c r="U600" s="84" t="n">
        <f aca="false">IF(AND(R600=1,ISNUMBER(T600)),E600-T600,"")</f>
        <v>2.75255437633678</v>
      </c>
      <c r="V600" s="84" t="n">
        <f aca="false">IF(ISNUMBER(T600),T600,-99)</f>
        <v>25.5474456236632</v>
      </c>
      <c r="W600" s="84" t="n">
        <f aca="false">IF(ISNUMBER(U600),ABS(U600),"")</f>
        <v>2.75255437633678</v>
      </c>
    </row>
    <row r="601" customFormat="false" ht="15" hidden="false" customHeight="false" outlineLevel="0" collapsed="false">
      <c r="A601" s="57" t="n">
        <v>30212</v>
      </c>
      <c r="B601" s="56" t="n">
        <v>1982</v>
      </c>
      <c r="C601" s="56" t="n">
        <v>9</v>
      </c>
      <c r="D601" s="56" t="n">
        <v>141</v>
      </c>
      <c r="E601" s="56" t="n">
        <v>19.7</v>
      </c>
      <c r="F601" s="56" t="n">
        <v>1</v>
      </c>
      <c r="G601" s="56" t="n">
        <v>14.1</v>
      </c>
      <c r="H601" s="56" t="n">
        <v>0</v>
      </c>
      <c r="I601" s="56" t="n">
        <v>21.2</v>
      </c>
      <c r="J601" s="56" t="n">
        <v>1</v>
      </c>
      <c r="K601" s="56" t="n">
        <v>1015.3</v>
      </c>
      <c r="L601" s="56" t="n">
        <v>0</v>
      </c>
      <c r="M601" s="56" t="n">
        <v>66</v>
      </c>
      <c r="N601" s="56" t="n">
        <v>9.7</v>
      </c>
      <c r="O601" s="56" t="n">
        <f aca="false">IF(D601=1,"",E600)</f>
        <v>28.3</v>
      </c>
      <c r="P601" s="56" t="n">
        <f aca="false">IF(OR(D601=1,K600=""),"",K600)</f>
        <v>1020.1</v>
      </c>
      <c r="Q601" s="56" t="n">
        <f aca="false">IF(OR(F601&lt;&gt;0,AND(I601&lt;&gt;"",E601&lt;I601)),1,0)</f>
        <v>1</v>
      </c>
      <c r="R601" s="56" t="n">
        <f aca="false">IF(AND(D601&gt;1,Q601=0,ISNUMBER(O601),ISNUMBER(P601)),IF(Q600=0,1,0),0)</f>
        <v>0</v>
      </c>
      <c r="S601" s="56" t="n">
        <f aca="false">R601*(B601&gt;=Train_Start)*(B601&lt;=Train_End)</f>
        <v>0</v>
      </c>
      <c r="T601" s="84" t="n">
        <f aca="false">IF(AND(ISNUMBER(O601),ISNUMBER(P601)),Coef_A+Coef_B1*O601+Coef_B2*P601,"")</f>
        <v>27.2747041012355</v>
      </c>
      <c r="U601" s="84" t="str">
        <f aca="false">IF(AND(R601=1,ISNUMBER(T601)),E601-T601,"")</f>
        <v/>
      </c>
      <c r="V601" s="84" t="n">
        <f aca="false">IF(ISNUMBER(T601),T601,-99)</f>
        <v>27.2747041012355</v>
      </c>
      <c r="W601" s="84" t="str">
        <f aca="false">IF(ISNUMBER(U601),ABS(U601),"")</f>
        <v/>
      </c>
    </row>
    <row r="602" customFormat="false" ht="15" hidden="false" customHeight="false" outlineLevel="0" collapsed="false">
      <c r="A602" s="57" t="n">
        <v>30213</v>
      </c>
      <c r="B602" s="56" t="n">
        <v>1982</v>
      </c>
      <c r="C602" s="56" t="n">
        <v>9</v>
      </c>
      <c r="D602" s="56" t="n">
        <v>142</v>
      </c>
      <c r="E602" s="56" t="n">
        <v>20.8</v>
      </c>
      <c r="F602" s="56" t="n">
        <v>0</v>
      </c>
      <c r="G602" s="56" t="n">
        <v>13.5</v>
      </c>
      <c r="H602" s="56" t="n">
        <v>0</v>
      </c>
      <c r="I602" s="56" t="n">
        <v>16.6</v>
      </c>
      <c r="J602" s="56" t="n">
        <v>0</v>
      </c>
      <c r="K602" s="56" t="n">
        <v>1012.5</v>
      </c>
      <c r="L602" s="56" t="n">
        <v>0</v>
      </c>
      <c r="M602" s="56" t="n">
        <v>92</v>
      </c>
      <c r="N602" s="56" t="n">
        <v>0</v>
      </c>
      <c r="O602" s="56" t="n">
        <f aca="false">IF(D602=1,"",E601)</f>
        <v>19.7</v>
      </c>
      <c r="P602" s="56" t="n">
        <f aca="false">IF(OR(D602=1,K601=""),"",K601)</f>
        <v>1015.3</v>
      </c>
      <c r="Q602" s="56" t="n">
        <f aca="false">IF(OR(F602&lt;&gt;0,AND(I602&lt;&gt;"",E602&lt;I602)),1,0)</f>
        <v>0</v>
      </c>
      <c r="R602" s="56" t="n">
        <f aca="false">IF(AND(D602&gt;1,Q602=0,ISNUMBER(O602),ISNUMBER(P602)),IF(Q601=0,1,0),0)</f>
        <v>0</v>
      </c>
      <c r="S602" s="56" t="n">
        <f aca="false">R602*(B602&gt;=Train_Start)*(B602&lt;=Train_End)</f>
        <v>0</v>
      </c>
      <c r="T602" s="84" t="n">
        <f aca="false">IF(AND(ISNUMBER(O602),ISNUMBER(P602)),Coef_A+Coef_B1*O602+Coef_B2*P602,"")</f>
        <v>20.0778115468255</v>
      </c>
      <c r="U602" s="84" t="str">
        <f aca="false">IF(AND(R602=1,ISNUMBER(T602)),E602-T602,"")</f>
        <v/>
      </c>
      <c r="V602" s="84" t="n">
        <f aca="false">IF(ISNUMBER(T602),T602,-99)</f>
        <v>20.0778115468255</v>
      </c>
      <c r="W602" s="84" t="str">
        <f aca="false">IF(ISNUMBER(U602),ABS(U602),"")</f>
        <v/>
      </c>
    </row>
    <row r="603" customFormat="false" ht="15" hidden="false" customHeight="false" outlineLevel="0" collapsed="false">
      <c r="A603" s="57" t="n">
        <v>30214</v>
      </c>
      <c r="B603" s="56" t="n">
        <v>1982</v>
      </c>
      <c r="C603" s="56" t="n">
        <v>9</v>
      </c>
      <c r="D603" s="56" t="n">
        <v>143</v>
      </c>
      <c r="E603" s="56" t="n">
        <v>17</v>
      </c>
      <c r="F603" s="56" t="n">
        <v>1</v>
      </c>
      <c r="G603" s="56" t="n">
        <v>15.4</v>
      </c>
      <c r="H603" s="56" t="n">
        <v>0</v>
      </c>
      <c r="I603" s="56" t="n">
        <v>18.1</v>
      </c>
      <c r="J603" s="56" t="n">
        <v>1</v>
      </c>
      <c r="K603" s="56" t="n">
        <v>1005.6</v>
      </c>
      <c r="L603" s="56" t="n">
        <v>0</v>
      </c>
      <c r="M603" s="56" t="n">
        <v>85</v>
      </c>
      <c r="N603" s="56" t="n">
        <v>1.2</v>
      </c>
      <c r="O603" s="56" t="n">
        <f aca="false">IF(D603=1,"",E602)</f>
        <v>20.8</v>
      </c>
      <c r="P603" s="56" t="n">
        <f aca="false">IF(OR(D603=1,K602=""),"",K602)</f>
        <v>1012.5</v>
      </c>
      <c r="Q603" s="56" t="n">
        <f aca="false">IF(OR(F603&lt;&gt;0,AND(I603&lt;&gt;"",E603&lt;I603)),1,0)</f>
        <v>1</v>
      </c>
      <c r="R603" s="56" t="n">
        <f aca="false">IF(AND(D603&gt;1,Q603=0,ISNUMBER(O603),ISNUMBER(P603)),IF(Q602=0,1,0),0)</f>
        <v>0</v>
      </c>
      <c r="S603" s="56" t="n">
        <f aca="false">R603*(B603&gt;=Train_Start)*(B603&lt;=Train_End)</f>
        <v>0</v>
      </c>
      <c r="T603" s="84" t="n">
        <f aca="false">IF(AND(ISNUMBER(O603),ISNUMBER(P603)),Coef_A+Coef_B1*O603+Coef_B2*P603,"")</f>
        <v>20.8912489541972</v>
      </c>
      <c r="U603" s="84" t="str">
        <f aca="false">IF(AND(R603=1,ISNUMBER(T603)),E603-T603,"")</f>
        <v/>
      </c>
      <c r="V603" s="84" t="n">
        <f aca="false">IF(ISNUMBER(T603),T603,-99)</f>
        <v>20.8912489541972</v>
      </c>
      <c r="W603" s="84" t="str">
        <f aca="false">IF(ISNUMBER(U603),ABS(U603),"")</f>
        <v/>
      </c>
    </row>
    <row r="604" customFormat="false" ht="15" hidden="false" customHeight="false" outlineLevel="0" collapsed="false">
      <c r="A604" s="57" t="n">
        <v>30215</v>
      </c>
      <c r="B604" s="56" t="n">
        <v>1982</v>
      </c>
      <c r="C604" s="56" t="n">
        <v>9</v>
      </c>
      <c r="D604" s="56" t="n">
        <v>144</v>
      </c>
      <c r="E604" s="56" t="n">
        <v>16.3</v>
      </c>
      <c r="F604" s="56" t="n">
        <v>0</v>
      </c>
      <c r="G604" s="56" t="n">
        <v>14.4</v>
      </c>
      <c r="H604" s="56" t="n">
        <v>0</v>
      </c>
      <c r="I604" s="56" t="n">
        <v>15.7</v>
      </c>
      <c r="J604" s="56" t="n">
        <v>0</v>
      </c>
      <c r="K604" s="56" t="n">
        <v>1002.9</v>
      </c>
      <c r="L604" s="56" t="n">
        <v>0</v>
      </c>
      <c r="M604" s="56" t="n">
        <v>80</v>
      </c>
      <c r="N604" s="56" t="n">
        <v>4.8</v>
      </c>
      <c r="O604" s="56" t="n">
        <f aca="false">IF(D604=1,"",E603)</f>
        <v>17</v>
      </c>
      <c r="P604" s="56" t="n">
        <f aca="false">IF(OR(D604=1,K603=""),"",K603)</f>
        <v>1005.6</v>
      </c>
      <c r="Q604" s="56" t="n">
        <f aca="false">IF(OR(F604&lt;&gt;0,AND(I604&lt;&gt;"",E604&lt;I604)),1,0)</f>
        <v>0</v>
      </c>
      <c r="R604" s="56" t="n">
        <f aca="false">IF(AND(D604&gt;1,Q604=0,ISNUMBER(O604),ISNUMBER(P604)),IF(Q603=0,1,0),0)</f>
        <v>0</v>
      </c>
      <c r="S604" s="56" t="n">
        <f aca="false">R604*(B604&gt;=Train_Start)*(B604&lt;=Train_End)</f>
        <v>0</v>
      </c>
      <c r="T604" s="84" t="n">
        <f aca="false">IF(AND(ISNUMBER(O604),ISNUMBER(P604)),Coef_A+Coef_B1*O604+Coef_B2*P604,"")</f>
        <v>17.5613077476606</v>
      </c>
      <c r="U604" s="84" t="str">
        <f aca="false">IF(AND(R604=1,ISNUMBER(T604)),E604-T604,"")</f>
        <v/>
      </c>
      <c r="V604" s="84" t="n">
        <f aca="false">IF(ISNUMBER(T604),T604,-99)</f>
        <v>17.5613077476606</v>
      </c>
      <c r="W604" s="84" t="str">
        <f aca="false">IF(ISNUMBER(U604),ABS(U604),"")</f>
        <v/>
      </c>
    </row>
    <row r="605" customFormat="false" ht="15" hidden="false" customHeight="false" outlineLevel="0" collapsed="false">
      <c r="A605" s="57" t="n">
        <v>30216</v>
      </c>
      <c r="B605" s="56" t="n">
        <v>1982</v>
      </c>
      <c r="C605" s="56" t="n">
        <v>9</v>
      </c>
      <c r="D605" s="56" t="n">
        <v>145</v>
      </c>
      <c r="E605" s="56" t="n">
        <v>17.3</v>
      </c>
      <c r="F605" s="56" t="n">
        <v>0</v>
      </c>
      <c r="G605" s="56" t="n">
        <v>5.3</v>
      </c>
      <c r="H605" s="56" t="n">
        <v>0</v>
      </c>
      <c r="I605" s="56" t="n">
        <v>10.8</v>
      </c>
      <c r="J605" s="56" t="n">
        <v>0</v>
      </c>
      <c r="K605" s="56" t="n">
        <v>1012.5</v>
      </c>
      <c r="L605" s="56" t="n">
        <v>0</v>
      </c>
      <c r="M605" s="56" t="n">
        <v>76</v>
      </c>
      <c r="N605" s="56" t="n">
        <v>5.1</v>
      </c>
      <c r="O605" s="56" t="n">
        <f aca="false">IF(D605=1,"",E604)</f>
        <v>16.3</v>
      </c>
      <c r="P605" s="56" t="n">
        <f aca="false">IF(OR(D605=1,K604=""),"",K604)</f>
        <v>1002.9</v>
      </c>
      <c r="Q605" s="56" t="n">
        <f aca="false">IF(OR(F605&lt;&gt;0,AND(I605&lt;&gt;"",E605&lt;I605)),1,0)</f>
        <v>0</v>
      </c>
      <c r="R605" s="56" t="n">
        <f aca="false">IF(AND(D605&gt;1,Q605=0,ISNUMBER(O605),ISNUMBER(P605)),IF(Q604=0,1,0),0)</f>
        <v>1</v>
      </c>
      <c r="S605" s="56" t="n">
        <f aca="false">R605*(B605&gt;=Train_Start)*(B605&lt;=Train_End)</f>
        <v>1</v>
      </c>
      <c r="T605" s="84" t="n">
        <f aca="false">IF(AND(ISNUMBER(O605),ISNUMBER(P605)),Coef_A+Coef_B1*O605+Coef_B2*P605,"")</f>
        <v>16.903071597019</v>
      </c>
      <c r="U605" s="84" t="n">
        <f aca="false">IF(AND(R605=1,ISNUMBER(T605)),E605-T605,"")</f>
        <v>0.396928402981022</v>
      </c>
      <c r="V605" s="84" t="n">
        <f aca="false">IF(ISNUMBER(T605),T605,-99)</f>
        <v>16.903071597019</v>
      </c>
      <c r="W605" s="84" t="n">
        <f aca="false">IF(ISNUMBER(U605),ABS(U605),"")</f>
        <v>0.396928402981022</v>
      </c>
    </row>
    <row r="606" customFormat="false" ht="15" hidden="false" customHeight="false" outlineLevel="0" collapsed="false">
      <c r="A606" s="57" t="n">
        <v>30217</v>
      </c>
      <c r="B606" s="56" t="n">
        <v>1982</v>
      </c>
      <c r="C606" s="56" t="n">
        <v>9</v>
      </c>
      <c r="D606" s="56" t="n">
        <v>146</v>
      </c>
      <c r="E606" s="56" t="n">
        <v>17.1</v>
      </c>
      <c r="F606" s="56" t="n">
        <v>0</v>
      </c>
      <c r="G606" s="56" t="n">
        <v>8.5</v>
      </c>
      <c r="H606" s="56" t="n">
        <v>0</v>
      </c>
      <c r="I606" s="56" t="n">
        <v>12.9</v>
      </c>
      <c r="J606" s="56" t="n">
        <v>0</v>
      </c>
      <c r="K606" s="56" t="n">
        <v>1006</v>
      </c>
      <c r="L606" s="56" t="n">
        <v>0</v>
      </c>
      <c r="M606" s="56" t="n">
        <v>88</v>
      </c>
      <c r="N606" s="56" t="n">
        <v>3</v>
      </c>
      <c r="O606" s="56" t="n">
        <f aca="false">IF(D606=1,"",E605)</f>
        <v>17.3</v>
      </c>
      <c r="P606" s="56" t="n">
        <f aca="false">IF(OR(D606=1,K605=""),"",K605)</f>
        <v>1012.5</v>
      </c>
      <c r="Q606" s="56" t="n">
        <f aca="false">IF(OR(F606&lt;&gt;0,AND(I606&lt;&gt;"",E606&lt;I606)),1,0)</f>
        <v>0</v>
      </c>
      <c r="R606" s="56" t="n">
        <f aca="false">IF(AND(D606&gt;1,Q606=0,ISNUMBER(O606),ISNUMBER(P606)),IF(Q605=0,1,0),0)</f>
        <v>1</v>
      </c>
      <c r="S606" s="56" t="n">
        <f aca="false">R606*(B606&gt;=Train_Start)*(B606&lt;=Train_End)</f>
        <v>1</v>
      </c>
      <c r="T606" s="84" t="n">
        <f aca="false">IF(AND(ISNUMBER(O606),ISNUMBER(P606)),Coef_A+Coef_B1*O606+Coef_B2*P606,"")</f>
        <v>18.0235617785479</v>
      </c>
      <c r="U606" s="84" t="n">
        <f aca="false">IF(AND(R606=1,ISNUMBER(T606)),E606-T606,"")</f>
        <v>-0.923561778547935</v>
      </c>
      <c r="V606" s="84" t="n">
        <f aca="false">IF(ISNUMBER(T606),T606,-99)</f>
        <v>18.0235617785479</v>
      </c>
      <c r="W606" s="84" t="n">
        <f aca="false">IF(ISNUMBER(U606),ABS(U606),"")</f>
        <v>0.923561778547935</v>
      </c>
    </row>
    <row r="607" customFormat="false" ht="15" hidden="false" customHeight="false" outlineLevel="0" collapsed="false">
      <c r="A607" s="57" t="n">
        <v>30218</v>
      </c>
      <c r="B607" s="56" t="n">
        <v>1982</v>
      </c>
      <c r="C607" s="56" t="n">
        <v>9</v>
      </c>
      <c r="D607" s="56" t="n">
        <v>147</v>
      </c>
      <c r="E607" s="56" t="n">
        <v>20</v>
      </c>
      <c r="F607" s="56" t="n">
        <v>0</v>
      </c>
      <c r="G607" s="56" t="n">
        <v>6.5</v>
      </c>
      <c r="H607" s="56" t="n">
        <v>0</v>
      </c>
      <c r="I607" s="56" t="n">
        <v>11.8</v>
      </c>
      <c r="J607" s="56" t="n">
        <v>0</v>
      </c>
      <c r="K607" s="56" t="n">
        <v>1000.7</v>
      </c>
      <c r="L607" s="56" t="n">
        <v>0</v>
      </c>
      <c r="M607" s="56" t="n">
        <v>89</v>
      </c>
      <c r="N607" s="56" t="n">
        <v>4</v>
      </c>
      <c r="O607" s="56" t="n">
        <f aca="false">IF(D607=1,"",E606)</f>
        <v>17.1</v>
      </c>
      <c r="P607" s="56" t="n">
        <f aca="false">IF(OR(D607=1,K606=""),"",K606)</f>
        <v>1006</v>
      </c>
      <c r="Q607" s="56" t="n">
        <f aca="false">IF(OR(F607&lt;&gt;0,AND(I607&lt;&gt;"",E607&lt;I607)),1,0)</f>
        <v>0</v>
      </c>
      <c r="R607" s="56" t="n">
        <f aca="false">IF(AND(D607&gt;1,Q607=0,ISNUMBER(O607),ISNUMBER(P607)),IF(Q606=0,1,0),0)</f>
        <v>1</v>
      </c>
      <c r="S607" s="56" t="n">
        <f aca="false">R607*(B607&gt;=Train_Start)*(B607&lt;=Train_End)</f>
        <v>1</v>
      </c>
      <c r="T607" s="84" t="n">
        <f aca="false">IF(AND(ISNUMBER(O607),ISNUMBER(P607)),Coef_A+Coef_B1*O607+Coef_B2*P607,"")</f>
        <v>17.6557896248185</v>
      </c>
      <c r="U607" s="84" t="n">
        <f aca="false">IF(AND(R607=1,ISNUMBER(T607)),E607-T607,"")</f>
        <v>2.34421037518153</v>
      </c>
      <c r="V607" s="84" t="n">
        <f aca="false">IF(ISNUMBER(T607),T607,-99)</f>
        <v>17.6557896248185</v>
      </c>
      <c r="W607" s="84" t="n">
        <f aca="false">IF(ISNUMBER(U607),ABS(U607),"")</f>
        <v>2.34421037518153</v>
      </c>
    </row>
    <row r="608" customFormat="false" ht="15" hidden="false" customHeight="false" outlineLevel="0" collapsed="false">
      <c r="A608" s="57" t="n">
        <v>30219</v>
      </c>
      <c r="B608" s="56" t="n">
        <v>1982</v>
      </c>
      <c r="C608" s="56" t="n">
        <v>9</v>
      </c>
      <c r="D608" s="56" t="n">
        <v>148</v>
      </c>
      <c r="E608" s="56" t="n">
        <v>18.1</v>
      </c>
      <c r="F608" s="56" t="n">
        <v>0</v>
      </c>
      <c r="G608" s="56" t="n">
        <v>10</v>
      </c>
      <c r="H608" s="56" t="n">
        <v>0</v>
      </c>
      <c r="I608" s="56" t="n">
        <v>15</v>
      </c>
      <c r="J608" s="56" t="n">
        <v>0</v>
      </c>
      <c r="K608" s="56" t="n">
        <v>999.4</v>
      </c>
      <c r="L608" s="56" t="n">
        <v>0</v>
      </c>
      <c r="M608" s="56" t="n">
        <v>81</v>
      </c>
      <c r="N608" s="56" t="n">
        <v>5.4</v>
      </c>
      <c r="O608" s="56" t="n">
        <f aca="false">IF(D608=1,"",E607)</f>
        <v>20</v>
      </c>
      <c r="P608" s="56" t="n">
        <f aca="false">IF(OR(D608=1,K607=""),"",K607)</f>
        <v>1000.7</v>
      </c>
      <c r="Q608" s="56" t="n">
        <f aca="false">IF(OR(F608&lt;&gt;0,AND(I608&lt;&gt;"",E608&lt;I608)),1,0)</f>
        <v>0</v>
      </c>
      <c r="R608" s="56" t="n">
        <f aca="false">IF(AND(D608&gt;1,Q608=0,ISNUMBER(O608),ISNUMBER(P608)),IF(Q607=0,1,0),0)</f>
        <v>1</v>
      </c>
      <c r="S608" s="56" t="n">
        <f aca="false">R608*(B608&gt;=Train_Start)*(B608&lt;=Train_End)</f>
        <v>1</v>
      </c>
      <c r="T608" s="84" t="n">
        <f aca="false">IF(AND(ISNUMBER(O608),ISNUMBER(P608)),Coef_A+Coef_B1*O608+Coef_B2*P608,"")</f>
        <v>19.865612843082</v>
      </c>
      <c r="U608" s="84" t="n">
        <f aca="false">IF(AND(R608=1,ISNUMBER(T608)),E608-T608,"")</f>
        <v>-1.76561284308203</v>
      </c>
      <c r="V608" s="84" t="n">
        <f aca="false">IF(ISNUMBER(T608),T608,-99)</f>
        <v>19.865612843082</v>
      </c>
      <c r="W608" s="84" t="n">
        <f aca="false">IF(ISNUMBER(U608),ABS(U608),"")</f>
        <v>1.76561284308203</v>
      </c>
    </row>
    <row r="609" customFormat="false" ht="15" hidden="false" customHeight="false" outlineLevel="0" collapsed="false">
      <c r="A609" s="57" t="n">
        <v>30220</v>
      </c>
      <c r="B609" s="56" t="n">
        <v>1982</v>
      </c>
      <c r="C609" s="56" t="n">
        <v>9</v>
      </c>
      <c r="D609" s="56" t="n">
        <v>149</v>
      </c>
      <c r="E609" s="56" t="n">
        <v>15.7</v>
      </c>
      <c r="F609" s="56" t="n">
        <v>0</v>
      </c>
      <c r="G609" s="56" t="n">
        <v>10.7</v>
      </c>
      <c r="H609" s="56" t="n">
        <v>0</v>
      </c>
      <c r="I609" s="56" t="n">
        <v>14.4</v>
      </c>
      <c r="J609" s="56" t="n">
        <v>0</v>
      </c>
      <c r="K609" s="56" t="n">
        <v>1000.7</v>
      </c>
      <c r="L609" s="56" t="n">
        <v>0</v>
      </c>
      <c r="M609" s="56" t="n">
        <v>78</v>
      </c>
      <c r="N609" s="56" t="n">
        <v>7.5</v>
      </c>
      <c r="O609" s="56" t="n">
        <f aca="false">IF(D609=1,"",E608)</f>
        <v>18.1</v>
      </c>
      <c r="P609" s="56" t="n">
        <f aca="false">IF(OR(D609=1,K608=""),"",K608)</f>
        <v>999.4</v>
      </c>
      <c r="Q609" s="56" t="n">
        <f aca="false">IF(OR(F609&lt;&gt;0,AND(I609&lt;&gt;"",E609&lt;I609)),1,0)</f>
        <v>0</v>
      </c>
      <c r="R609" s="56" t="n">
        <f aca="false">IF(AND(D609&gt;1,Q609=0,ISNUMBER(O609),ISNUMBER(P609)),IF(Q608=0,1,0),0)</f>
        <v>1</v>
      </c>
      <c r="S609" s="56" t="n">
        <f aca="false">R609*(B609&gt;=Train_Start)*(B609&lt;=Train_End)</f>
        <v>1</v>
      </c>
      <c r="T609" s="84" t="n">
        <f aca="false">IF(AND(ISNUMBER(O609),ISNUMBER(P609)),Coef_A+Coef_B1*O609+Coef_B2*P609,"")</f>
        <v>18.2680875132768</v>
      </c>
      <c r="U609" s="84" t="n">
        <f aca="false">IF(AND(R609=1,ISNUMBER(T609)),E609-T609,"")</f>
        <v>-2.5680875132768</v>
      </c>
      <c r="V609" s="84" t="n">
        <f aca="false">IF(ISNUMBER(T609),T609,-99)</f>
        <v>18.2680875132768</v>
      </c>
      <c r="W609" s="84" t="n">
        <f aca="false">IF(ISNUMBER(U609),ABS(U609),"")</f>
        <v>2.5680875132768</v>
      </c>
    </row>
    <row r="610" customFormat="false" ht="15" hidden="false" customHeight="false" outlineLevel="0" collapsed="false">
      <c r="A610" s="57" t="n">
        <v>30221</v>
      </c>
      <c r="B610" s="56" t="n">
        <v>1982</v>
      </c>
      <c r="C610" s="56" t="n">
        <v>9</v>
      </c>
      <c r="D610" s="56" t="n">
        <v>150</v>
      </c>
      <c r="E610" s="56" t="n">
        <v>18.4</v>
      </c>
      <c r="F610" s="56" t="n">
        <v>0</v>
      </c>
      <c r="G610" s="56" t="n">
        <v>11.5</v>
      </c>
      <c r="H610" s="56" t="n">
        <v>0</v>
      </c>
      <c r="I610" s="56" t="n">
        <v>13.6</v>
      </c>
      <c r="J610" s="56" t="n">
        <v>0</v>
      </c>
      <c r="K610" s="56" t="n">
        <v>1006.4</v>
      </c>
      <c r="L610" s="56" t="n">
        <v>0</v>
      </c>
      <c r="M610" s="56" t="n">
        <v>84</v>
      </c>
      <c r="N610" s="56" t="n">
        <v>0.3</v>
      </c>
      <c r="O610" s="56" t="n">
        <f aca="false">IF(D610=1,"",E609)</f>
        <v>15.7</v>
      </c>
      <c r="P610" s="56" t="n">
        <f aca="false">IF(OR(D610=1,K609=""),"",K609)</f>
        <v>1000.7</v>
      </c>
      <c r="Q610" s="56" t="n">
        <f aca="false">IF(OR(F610&lt;&gt;0,AND(I610&lt;&gt;"",E610&lt;I610)),1,0)</f>
        <v>0</v>
      </c>
      <c r="R610" s="56" t="n">
        <f aca="false">IF(AND(D610&gt;1,Q610=0,ISNUMBER(O610),ISNUMBER(P610)),IF(Q609=0,1,0),0)</f>
        <v>1</v>
      </c>
      <c r="S610" s="56" t="n">
        <f aca="false">R610*(B610&gt;=Train_Start)*(B610&lt;=Train_End)</f>
        <v>1</v>
      </c>
      <c r="T610" s="84" t="n">
        <f aca="false">IF(AND(ISNUMBER(O610),ISNUMBER(P610)),Coef_A+Coef_B1*O610+Coef_B2*P610,"")</f>
        <v>16.3424543129986</v>
      </c>
      <c r="U610" s="84" t="n">
        <f aca="false">IF(AND(R610=1,ISNUMBER(T610)),E610-T610,"")</f>
        <v>2.05754568700139</v>
      </c>
      <c r="V610" s="84" t="n">
        <f aca="false">IF(ISNUMBER(T610),T610,-99)</f>
        <v>16.3424543129986</v>
      </c>
      <c r="W610" s="84" t="n">
        <f aca="false">IF(ISNUMBER(U610),ABS(U610),"")</f>
        <v>2.05754568700139</v>
      </c>
    </row>
    <row r="611" customFormat="false" ht="15" hidden="false" customHeight="false" outlineLevel="0" collapsed="false">
      <c r="A611" s="57" t="n">
        <v>30222</v>
      </c>
      <c r="B611" s="56" t="n">
        <v>1982</v>
      </c>
      <c r="C611" s="56" t="n">
        <v>9</v>
      </c>
      <c r="D611" s="56" t="n">
        <v>151</v>
      </c>
      <c r="E611" s="56" t="n">
        <v>13.1</v>
      </c>
      <c r="F611" s="56" t="n">
        <v>1</v>
      </c>
      <c r="G611" s="56" t="n">
        <v>9.1</v>
      </c>
      <c r="H611" s="56" t="n">
        <v>0</v>
      </c>
      <c r="I611" s="56" t="n">
        <v>13.8</v>
      </c>
      <c r="J611" s="56" t="n">
        <v>1</v>
      </c>
      <c r="K611" s="56" t="n">
        <v>1012</v>
      </c>
      <c r="L611" s="56" t="n">
        <v>0</v>
      </c>
      <c r="M611" s="56" t="n">
        <v>77</v>
      </c>
      <c r="N611" s="56" t="n">
        <v>4.9</v>
      </c>
      <c r="O611" s="56" t="n">
        <f aca="false">IF(D611=1,"",E610)</f>
        <v>18.4</v>
      </c>
      <c r="P611" s="56" t="n">
        <f aca="false">IF(OR(D611=1,K610=""),"",K610)</f>
        <v>1006.4</v>
      </c>
      <c r="Q611" s="56" t="n">
        <f aca="false">IF(OR(F611&lt;&gt;0,AND(I611&lt;&gt;"",E611&lt;I611)),1,0)</f>
        <v>1</v>
      </c>
      <c r="R611" s="56" t="n">
        <f aca="false">IF(AND(D611&gt;1,Q611=0,ISNUMBER(O611),ISNUMBER(P611)),IF(Q610=0,1,0),0)</f>
        <v>0</v>
      </c>
      <c r="S611" s="56" t="n">
        <f aca="false">R611*(B611&gt;=Train_Start)*(B611&lt;=Train_End)</f>
        <v>0</v>
      </c>
      <c r="T611" s="84" t="n">
        <f aca="false">IF(AND(ISNUMBER(O611),ISNUMBER(P611)),Coef_A+Coef_B1*O611+Coef_B2*P611,"")</f>
        <v>18.7334785336275</v>
      </c>
      <c r="U611" s="84" t="str">
        <f aca="false">IF(AND(R611=1,ISNUMBER(T611)),E611-T611,"")</f>
        <v/>
      </c>
      <c r="V611" s="84" t="n">
        <f aca="false">IF(ISNUMBER(T611),T611,-99)</f>
        <v>18.7334785336275</v>
      </c>
      <c r="W611" s="84" t="str">
        <f aca="false">IF(ISNUMBER(U611),ABS(U611),"")</f>
        <v/>
      </c>
    </row>
    <row r="612" customFormat="false" ht="15" hidden="false" customHeight="false" outlineLevel="0" collapsed="false">
      <c r="A612" s="57" t="n">
        <v>30223</v>
      </c>
      <c r="B612" s="56" t="n">
        <v>1982</v>
      </c>
      <c r="C612" s="56" t="n">
        <v>9</v>
      </c>
      <c r="D612" s="56" t="n">
        <v>152</v>
      </c>
      <c r="E612" s="56" t="n">
        <v>17.5</v>
      </c>
      <c r="F612" s="56" t="n">
        <v>0</v>
      </c>
      <c r="G612" s="56" t="n">
        <v>11</v>
      </c>
      <c r="H612" s="56" t="n">
        <v>0</v>
      </c>
      <c r="I612" s="56" t="n">
        <v>12</v>
      </c>
      <c r="J612" s="56" t="n">
        <v>0</v>
      </c>
      <c r="K612" s="56" t="n">
        <v>1013.7</v>
      </c>
      <c r="L612" s="56" t="n">
        <v>0</v>
      </c>
      <c r="M612" s="56" t="n">
        <v>93</v>
      </c>
      <c r="N612" s="56" t="n">
        <v>0</v>
      </c>
      <c r="O612" s="56" t="n">
        <f aca="false">IF(D612=1,"",E611)</f>
        <v>13.1</v>
      </c>
      <c r="P612" s="56" t="n">
        <f aca="false">IF(OR(D612=1,K611=""),"",K611)</f>
        <v>1012</v>
      </c>
      <c r="Q612" s="56" t="n">
        <f aca="false">IF(OR(F612&lt;&gt;0,AND(I612&lt;&gt;"",E612&lt;I612)),1,0)</f>
        <v>0</v>
      </c>
      <c r="R612" s="56" t="n">
        <f aca="false">IF(AND(D612&gt;1,Q612=0,ISNUMBER(O612),ISNUMBER(P612)),IF(Q611=0,1,0),0)</f>
        <v>0</v>
      </c>
      <c r="S612" s="56" t="n">
        <f aca="false">R612*(B612&gt;=Train_Start)*(B612&lt;=Train_End)</f>
        <v>0</v>
      </c>
      <c r="T612" s="84" t="n">
        <f aca="false">IF(AND(ISNUMBER(O612),ISNUMBER(P612)),Coef_A+Coef_B1*O612+Coef_B2*P612,"")</f>
        <v>14.5666522204518</v>
      </c>
      <c r="U612" s="84" t="str">
        <f aca="false">IF(AND(R612=1,ISNUMBER(T612)),E612-T612,"")</f>
        <v/>
      </c>
      <c r="V612" s="84" t="n">
        <f aca="false">IF(ISNUMBER(T612),T612,-99)</f>
        <v>14.5666522204518</v>
      </c>
      <c r="W612" s="84" t="str">
        <f aca="false">IF(ISNUMBER(U612),ABS(U612),"")</f>
        <v/>
      </c>
    </row>
    <row r="613" customFormat="false" ht="15" hidden="false" customHeight="false" outlineLevel="0" collapsed="false">
      <c r="A613" s="57" t="n">
        <v>30224</v>
      </c>
      <c r="B613" s="56" t="n">
        <v>1982</v>
      </c>
      <c r="C613" s="56" t="n">
        <v>9</v>
      </c>
      <c r="D613" s="56" t="n">
        <v>153</v>
      </c>
      <c r="E613" s="56" t="n">
        <v>18.1</v>
      </c>
      <c r="F613" s="56" t="n">
        <v>0</v>
      </c>
      <c r="G613" s="56" t="n">
        <v>5.7</v>
      </c>
      <c r="H613" s="56" t="n">
        <v>0</v>
      </c>
      <c r="I613" s="56" t="n">
        <v>11.6</v>
      </c>
      <c r="J613" s="56" t="n">
        <v>0</v>
      </c>
      <c r="K613" s="56" t="n">
        <v>1016.9</v>
      </c>
      <c r="L613" s="56" t="n">
        <v>0</v>
      </c>
      <c r="M613" s="56" t="n">
        <v>79</v>
      </c>
      <c r="N613" s="56" t="n">
        <v>9.1</v>
      </c>
      <c r="O613" s="56" t="n">
        <f aca="false">IF(D613=1,"",E612)</f>
        <v>17.5</v>
      </c>
      <c r="P613" s="56" t="n">
        <f aca="false">IF(OR(D613=1,K612=""),"",K612)</f>
        <v>1013.7</v>
      </c>
      <c r="Q613" s="56" t="n">
        <f aca="false">IF(OR(F613&lt;&gt;0,AND(I613&lt;&gt;"",E613&lt;I613)),1,0)</f>
        <v>0</v>
      </c>
      <c r="R613" s="56" t="n">
        <f aca="false">IF(AND(D613&gt;1,Q613=0,ISNUMBER(O613),ISNUMBER(P613)),IF(Q612=0,1,0),0)</f>
        <v>1</v>
      </c>
      <c r="S613" s="56" t="n">
        <f aca="false">R613*(B613&gt;=Train_Start)*(B613&lt;=Train_End)</f>
        <v>1</v>
      </c>
      <c r="T613" s="84" t="n">
        <f aca="false">IF(AND(ISNUMBER(O613),ISNUMBER(P613)),Coef_A+Coef_B1*O613+Coef_B2*P613,"")</f>
        <v>18.2250734907173</v>
      </c>
      <c r="U613" s="84" t="n">
        <f aca="false">IF(AND(R613=1,ISNUMBER(T613)),E613-T613,"")</f>
        <v>-0.125073490717252</v>
      </c>
      <c r="V613" s="84" t="n">
        <f aca="false">IF(ISNUMBER(T613),T613,-99)</f>
        <v>18.2250734907173</v>
      </c>
      <c r="W613" s="84" t="n">
        <f aca="false">IF(ISNUMBER(U613),ABS(U613),"")</f>
        <v>0.125073490717252</v>
      </c>
    </row>
    <row r="614" customFormat="false" ht="15" hidden="false" customHeight="false" outlineLevel="0" collapsed="false">
      <c r="A614" s="57" t="n">
        <v>30437</v>
      </c>
      <c r="B614" s="56" t="n">
        <v>1983</v>
      </c>
      <c r="C614" s="56" t="n">
        <v>5</v>
      </c>
      <c r="D614" s="56" t="n">
        <v>1</v>
      </c>
      <c r="E614" s="56" t="n">
        <v>12</v>
      </c>
      <c r="F614" s="56" t="n">
        <v>0</v>
      </c>
      <c r="G614" s="56" t="n">
        <v>8.9</v>
      </c>
      <c r="H614" s="56" t="n">
        <v>0</v>
      </c>
      <c r="I614" s="56" t="n">
        <v>11.6</v>
      </c>
      <c r="J614" s="56" t="n">
        <v>0</v>
      </c>
      <c r="K614" s="56" t="n">
        <v>994.5</v>
      </c>
      <c r="L614" s="56" t="n">
        <v>0</v>
      </c>
      <c r="M614" s="56" t="n">
        <v>89</v>
      </c>
      <c r="N614" s="56" t="n">
        <v>0.3</v>
      </c>
      <c r="O614" s="56" t="str">
        <f aca="false">IF(D614=1,"",E613)</f>
        <v/>
      </c>
      <c r="P614" s="56" t="str">
        <f aca="false">IF(OR(D614=1,K613=""),"",K613)</f>
        <v/>
      </c>
      <c r="Q614" s="56" t="n">
        <f aca="false">IF(OR(F614&lt;&gt;0,AND(I614&lt;&gt;"",E614&lt;I614)),1,0)</f>
        <v>0</v>
      </c>
      <c r="R614" s="56" t="n">
        <f aca="false">IF(AND(D614&gt;1,Q614=0,ISNUMBER(O614),ISNUMBER(P614)),IF(Q613=0,1,0),0)</f>
        <v>0</v>
      </c>
      <c r="S614" s="56" t="n">
        <f aca="false">R614*(B614&gt;=Train_Start)*(B614&lt;=Train_End)</f>
        <v>0</v>
      </c>
      <c r="T614" s="84" t="str">
        <f aca="false">IF(AND(ISNUMBER(O614),ISNUMBER(P614)),Coef_A+Coef_B1*O614+Coef_B2*P614,"")</f>
        <v/>
      </c>
      <c r="U614" s="84" t="str">
        <f aca="false">IF(AND(R614=1,ISNUMBER(T614)),E614-T614,"")</f>
        <v/>
      </c>
      <c r="V614" s="84" t="n">
        <f aca="false">IF(ISNUMBER(T614),T614,-99)</f>
        <v>-99</v>
      </c>
      <c r="W614" s="84" t="str">
        <f aca="false">IF(ISNUMBER(U614),ABS(U614),"")</f>
        <v/>
      </c>
    </row>
    <row r="615" customFormat="false" ht="15" hidden="false" customHeight="false" outlineLevel="0" collapsed="false">
      <c r="A615" s="57" t="n">
        <v>30438</v>
      </c>
      <c r="B615" s="56" t="n">
        <v>1983</v>
      </c>
      <c r="C615" s="56" t="n">
        <v>5</v>
      </c>
      <c r="D615" s="56" t="n">
        <v>2</v>
      </c>
      <c r="E615" s="56" t="n">
        <v>14</v>
      </c>
      <c r="F615" s="56" t="n">
        <v>0</v>
      </c>
      <c r="G615" s="56" t="n">
        <v>6.3</v>
      </c>
      <c r="H615" s="56" t="n">
        <v>0</v>
      </c>
      <c r="I615" s="56" t="n">
        <v>9.2</v>
      </c>
      <c r="J615" s="56" t="n">
        <v>0</v>
      </c>
      <c r="K615" s="56" t="n">
        <v>998.4</v>
      </c>
      <c r="L615" s="56" t="n">
        <v>0</v>
      </c>
      <c r="M615" s="56" t="n">
        <v>78</v>
      </c>
      <c r="N615" s="56" t="n">
        <v>0.5</v>
      </c>
      <c r="O615" s="56" t="n">
        <f aca="false">IF(D615=1,"",E614)</f>
        <v>12</v>
      </c>
      <c r="P615" s="56" t="n">
        <f aca="false">IF(OR(D615=1,K614=""),"",K614)</f>
        <v>994.5</v>
      </c>
      <c r="Q615" s="56" t="n">
        <f aca="false">IF(OR(F615&lt;&gt;0,AND(I615&lt;&gt;"",E615&lt;I615)),1,0)</f>
        <v>0</v>
      </c>
      <c r="R615" s="56" t="n">
        <f aca="false">IF(AND(D615&gt;1,Q615=0,ISNUMBER(O615),ISNUMBER(P615)),IF(Q614=0,1,0),0)</f>
        <v>1</v>
      </c>
      <c r="S615" s="56" t="n">
        <f aca="false">R615*(B615&gt;=Train_Start)*(B615&lt;=Train_End)</f>
        <v>1</v>
      </c>
      <c r="T615" s="84" t="n">
        <f aca="false">IF(AND(ISNUMBER(O615),ISNUMBER(P615)),Coef_A+Coef_B1*O615+Coef_B2*P615,"")</f>
        <v>13.11640595201</v>
      </c>
      <c r="U615" s="84" t="n">
        <f aca="false">IF(AND(R615=1,ISNUMBER(T615)),E615-T615,"")</f>
        <v>0.883594047989959</v>
      </c>
      <c r="V615" s="84" t="n">
        <f aca="false">IF(ISNUMBER(T615),T615,-99)</f>
        <v>13.11640595201</v>
      </c>
      <c r="W615" s="84" t="n">
        <f aca="false">IF(ISNUMBER(U615),ABS(U615),"")</f>
        <v>0.883594047989959</v>
      </c>
    </row>
    <row r="616" customFormat="false" ht="15" hidden="false" customHeight="false" outlineLevel="0" collapsed="false">
      <c r="A616" s="57" t="n">
        <v>30439</v>
      </c>
      <c r="B616" s="56" t="n">
        <v>1983</v>
      </c>
      <c r="C616" s="56" t="n">
        <v>5</v>
      </c>
      <c r="D616" s="56" t="n">
        <v>3</v>
      </c>
      <c r="E616" s="56" t="n">
        <v>15.3</v>
      </c>
      <c r="F616" s="56" t="n">
        <v>0</v>
      </c>
      <c r="G616" s="56" t="n">
        <v>7.3</v>
      </c>
      <c r="H616" s="56" t="n">
        <v>0</v>
      </c>
      <c r="I616" s="56" t="n">
        <v>10.6</v>
      </c>
      <c r="J616" s="56" t="n">
        <v>0</v>
      </c>
      <c r="K616" s="56" t="n">
        <v>1007.5</v>
      </c>
      <c r="L616" s="56" t="n">
        <v>0</v>
      </c>
      <c r="M616" s="56" t="n">
        <v>74</v>
      </c>
      <c r="N616" s="56" t="n">
        <v>0.9</v>
      </c>
      <c r="O616" s="56" t="n">
        <f aca="false">IF(D616=1,"",E615)</f>
        <v>14</v>
      </c>
      <c r="P616" s="56" t="n">
        <f aca="false">IF(OR(D616=1,K615=""),"",K615)</f>
        <v>998.4</v>
      </c>
      <c r="Q616" s="56" t="n">
        <f aca="false">IF(OR(F616&lt;&gt;0,AND(I616&lt;&gt;"",E616&lt;I616)),1,0)</f>
        <v>0</v>
      </c>
      <c r="R616" s="56" t="n">
        <f aca="false">IF(AND(D616&gt;1,Q616=0,ISNUMBER(O616),ISNUMBER(P616)),IF(Q615=0,1,0),0)</f>
        <v>1</v>
      </c>
      <c r="S616" s="56" t="n">
        <f aca="false">R616*(B616&gt;=Train_Start)*(B616&lt;=Train_End)</f>
        <v>1</v>
      </c>
      <c r="T616" s="84" t="n">
        <f aca="false">IF(AND(ISNUMBER(O616),ISNUMBER(P616)),Coef_A+Coef_B1*O616+Coef_B2*P616,"")</f>
        <v>14.8774269271679</v>
      </c>
      <c r="U616" s="84" t="n">
        <f aca="false">IF(AND(R616=1,ISNUMBER(T616)),E616-T616,"")</f>
        <v>0.422573072832087</v>
      </c>
      <c r="V616" s="84" t="n">
        <f aca="false">IF(ISNUMBER(T616),T616,-99)</f>
        <v>14.8774269271679</v>
      </c>
      <c r="W616" s="84" t="n">
        <f aca="false">IF(ISNUMBER(U616),ABS(U616),"")</f>
        <v>0.422573072832087</v>
      </c>
    </row>
    <row r="617" customFormat="false" ht="15" hidden="false" customHeight="false" outlineLevel="0" collapsed="false">
      <c r="A617" s="57" t="n">
        <v>30440</v>
      </c>
      <c r="B617" s="56" t="n">
        <v>1983</v>
      </c>
      <c r="C617" s="56" t="n">
        <v>5</v>
      </c>
      <c r="D617" s="56" t="n">
        <v>4</v>
      </c>
      <c r="E617" s="56" t="n">
        <v>19.1</v>
      </c>
      <c r="F617" s="56" t="n">
        <v>0</v>
      </c>
      <c r="G617" s="56" t="n">
        <v>5.7</v>
      </c>
      <c r="H617" s="56" t="n">
        <v>0</v>
      </c>
      <c r="I617" s="56" t="n">
        <v>10.5</v>
      </c>
      <c r="J617" s="56" t="n">
        <v>0</v>
      </c>
      <c r="K617" s="56" t="n">
        <v>1013.1</v>
      </c>
      <c r="L617" s="56" t="n">
        <v>0</v>
      </c>
      <c r="M617" s="56" t="n">
        <v>80</v>
      </c>
      <c r="N617" s="56" t="n">
        <v>1.3</v>
      </c>
      <c r="O617" s="56" t="n">
        <f aca="false">IF(D617=1,"",E616)</f>
        <v>15.3</v>
      </c>
      <c r="P617" s="56" t="n">
        <f aca="false">IF(OR(D617=1,K616=""),"",K616)</f>
        <v>1007.5</v>
      </c>
      <c r="Q617" s="56" t="n">
        <f aca="false">IF(OR(F617&lt;&gt;0,AND(I617&lt;&gt;"",E617&lt;I617)),1,0)</f>
        <v>0</v>
      </c>
      <c r="R617" s="56" t="n">
        <f aca="false">IF(AND(D617&gt;1,Q617=0,ISNUMBER(O617),ISNUMBER(P617)),IF(Q616=0,1,0),0)</f>
        <v>1</v>
      </c>
      <c r="S617" s="56" t="n">
        <f aca="false">R617*(B617&gt;=Train_Start)*(B617&lt;=Train_End)</f>
        <v>1</v>
      </c>
      <c r="T617" s="84" t="n">
        <f aca="false">IF(AND(ISNUMBER(O617),ISNUMBER(P617)),Coef_A+Coef_B1*O617+Coef_B2*P617,"")</f>
        <v>16.2280339192927</v>
      </c>
      <c r="U617" s="84" t="n">
        <f aca="false">IF(AND(R617=1,ISNUMBER(T617)),E617-T617,"")</f>
        <v>2.87196608070733</v>
      </c>
      <c r="V617" s="84" t="n">
        <f aca="false">IF(ISNUMBER(T617),T617,-99)</f>
        <v>16.2280339192927</v>
      </c>
      <c r="W617" s="84" t="n">
        <f aca="false">IF(ISNUMBER(U617),ABS(U617),"")</f>
        <v>2.87196608070733</v>
      </c>
    </row>
    <row r="618" customFormat="false" ht="15" hidden="false" customHeight="false" outlineLevel="0" collapsed="false">
      <c r="A618" s="57" t="n">
        <v>30441</v>
      </c>
      <c r="B618" s="56" t="n">
        <v>1983</v>
      </c>
      <c r="C618" s="56" t="n">
        <v>5</v>
      </c>
      <c r="D618" s="56" t="n">
        <v>5</v>
      </c>
      <c r="E618" s="56" t="n">
        <v>18.2</v>
      </c>
      <c r="F618" s="56" t="n">
        <v>0</v>
      </c>
      <c r="G618" s="56" t="n">
        <v>7.3</v>
      </c>
      <c r="H618" s="56" t="n">
        <v>0</v>
      </c>
      <c r="I618" s="56" t="n">
        <v>13.2</v>
      </c>
      <c r="J618" s="56" t="n">
        <v>0</v>
      </c>
      <c r="K618" s="56" t="n">
        <v>1015.5</v>
      </c>
      <c r="L618" s="56" t="n">
        <v>0</v>
      </c>
      <c r="M618" s="56" t="n">
        <v>76</v>
      </c>
      <c r="N618" s="56" t="n">
        <v>3.5</v>
      </c>
      <c r="O618" s="56" t="n">
        <f aca="false">IF(D618=1,"",E617)</f>
        <v>19.1</v>
      </c>
      <c r="P618" s="56" t="n">
        <f aca="false">IF(OR(D618=1,K617=""),"",K617)</f>
        <v>1013.1</v>
      </c>
      <c r="Q618" s="56" t="n">
        <f aca="false">IF(OR(F618&lt;&gt;0,AND(I618&lt;&gt;"",E618&lt;I618)),1,0)</f>
        <v>0</v>
      </c>
      <c r="R618" s="56" t="n">
        <f aca="false">IF(AND(D618&gt;1,Q618=0,ISNUMBER(O618),ISNUMBER(P618)),IF(Q617=0,1,0),0)</f>
        <v>1</v>
      </c>
      <c r="S618" s="56" t="n">
        <f aca="false">R618*(B618&gt;=Train_Start)*(B618&lt;=Train_End)</f>
        <v>1</v>
      </c>
      <c r="T618" s="84" t="n">
        <f aca="false">IF(AND(ISNUMBER(O618),ISNUMBER(P618)),Coef_A+Coef_B1*O618+Coef_B2*P618,"")</f>
        <v>19.5171942628051</v>
      </c>
      <c r="U618" s="84" t="n">
        <f aca="false">IF(AND(R618=1,ISNUMBER(T618)),E618-T618,"")</f>
        <v>-1.31719426280511</v>
      </c>
      <c r="V618" s="84" t="n">
        <f aca="false">IF(ISNUMBER(T618),T618,-99)</f>
        <v>19.5171942628051</v>
      </c>
      <c r="W618" s="84" t="n">
        <f aca="false">IF(ISNUMBER(U618),ABS(U618),"")</f>
        <v>1.31719426280511</v>
      </c>
    </row>
    <row r="619" customFormat="false" ht="15" hidden="false" customHeight="false" outlineLevel="0" collapsed="false">
      <c r="A619" s="57" t="n">
        <v>30442</v>
      </c>
      <c r="B619" s="56" t="n">
        <v>1983</v>
      </c>
      <c r="C619" s="56" t="n">
        <v>5</v>
      </c>
      <c r="D619" s="56" t="n">
        <v>6</v>
      </c>
      <c r="E619" s="56" t="n">
        <v>15.4</v>
      </c>
      <c r="F619" s="56" t="n">
        <v>0</v>
      </c>
      <c r="G619" s="56" t="n">
        <v>12.2</v>
      </c>
      <c r="H619" s="56" t="n">
        <v>0</v>
      </c>
      <c r="I619" s="56" t="n">
        <v>15.2</v>
      </c>
      <c r="J619" s="56" t="n">
        <v>0</v>
      </c>
      <c r="K619" s="56" t="n">
        <v>1011.6</v>
      </c>
      <c r="L619" s="56" t="n">
        <v>0</v>
      </c>
      <c r="M619" s="56" t="n">
        <v>78</v>
      </c>
      <c r="N619" s="56" t="n">
        <v>7.8</v>
      </c>
      <c r="O619" s="56" t="n">
        <f aca="false">IF(D619=1,"",E618)</f>
        <v>18.2</v>
      </c>
      <c r="P619" s="56" t="n">
        <f aca="false">IF(OR(D619=1,K618=""),"",K618)</f>
        <v>1015.5</v>
      </c>
      <c r="Q619" s="56" t="n">
        <f aca="false">IF(OR(F619&lt;&gt;0,AND(I619&lt;&gt;"",E619&lt;I619)),1,0)</f>
        <v>0</v>
      </c>
      <c r="R619" s="56" t="n">
        <f aca="false">IF(AND(D619&gt;1,Q619=0,ISNUMBER(O619),ISNUMBER(P619)),IF(Q618=0,1,0),0)</f>
        <v>1</v>
      </c>
      <c r="S619" s="56" t="n">
        <f aca="false">R619*(B619&gt;=Train_Start)*(B619&lt;=Train_End)</f>
        <v>1</v>
      </c>
      <c r="T619" s="84" t="n">
        <f aca="false">IF(AND(ISNUMBER(O619),ISNUMBER(P619)),Coef_A+Coef_B1*O619+Coef_B2*P619,"")</f>
        <v>18.8550767361883</v>
      </c>
      <c r="U619" s="84" t="n">
        <f aca="false">IF(AND(R619=1,ISNUMBER(T619)),E619-T619,"")</f>
        <v>-3.45507673618829</v>
      </c>
      <c r="V619" s="84" t="n">
        <f aca="false">IF(ISNUMBER(T619),T619,-99)</f>
        <v>18.8550767361883</v>
      </c>
      <c r="W619" s="84" t="n">
        <f aca="false">IF(ISNUMBER(U619),ABS(U619),"")</f>
        <v>3.45507673618829</v>
      </c>
    </row>
    <row r="620" customFormat="false" ht="15" hidden="false" customHeight="false" outlineLevel="0" collapsed="false">
      <c r="A620" s="57" t="n">
        <v>30443</v>
      </c>
      <c r="B620" s="56" t="n">
        <v>1983</v>
      </c>
      <c r="C620" s="56" t="n">
        <v>5</v>
      </c>
      <c r="D620" s="56" t="n">
        <v>7</v>
      </c>
      <c r="E620" s="56" t="n">
        <v>17.5</v>
      </c>
      <c r="F620" s="56" t="n">
        <v>0</v>
      </c>
      <c r="G620" s="56" t="n">
        <v>9.5</v>
      </c>
      <c r="H620" s="56" t="n">
        <v>0</v>
      </c>
      <c r="I620" s="56" t="n">
        <v>12.4</v>
      </c>
      <c r="J620" s="56" t="n">
        <v>0</v>
      </c>
      <c r="K620" s="56" t="n">
        <v>1006.6</v>
      </c>
      <c r="L620" s="56" t="n">
        <v>0</v>
      </c>
      <c r="M620" s="56" t="n">
        <v>80</v>
      </c>
      <c r="N620" s="56" t="n">
        <v>2.5</v>
      </c>
      <c r="O620" s="56" t="n">
        <f aca="false">IF(D620=1,"",E619)</f>
        <v>15.4</v>
      </c>
      <c r="P620" s="56" t="n">
        <f aca="false">IF(OR(D620=1,K619=""),"",K619)</f>
        <v>1011.6</v>
      </c>
      <c r="Q620" s="56" t="n">
        <f aca="false">IF(OR(F620&lt;&gt;0,AND(I620&lt;&gt;"",E620&lt;I620)),1,0)</f>
        <v>0</v>
      </c>
      <c r="R620" s="56" t="n">
        <f aca="false">IF(AND(D620&gt;1,Q620=0,ISNUMBER(O620),ISNUMBER(P620)),IF(Q619=0,1,0),0)</f>
        <v>1</v>
      </c>
      <c r="S620" s="56" t="n">
        <f aca="false">R620*(B620&gt;=Train_Start)*(B620&lt;=Train_End)</f>
        <v>1</v>
      </c>
      <c r="T620" s="84" t="n">
        <f aca="false">IF(AND(ISNUMBER(O620),ISNUMBER(P620)),Coef_A+Coef_B1*O620+Coef_B2*P620,"")</f>
        <v>16.4385844065963</v>
      </c>
      <c r="U620" s="84" t="n">
        <f aca="false">IF(AND(R620=1,ISNUMBER(T620)),E620-T620,"")</f>
        <v>1.06141559340371</v>
      </c>
      <c r="V620" s="84" t="n">
        <f aca="false">IF(ISNUMBER(T620),T620,-99)</f>
        <v>16.4385844065963</v>
      </c>
      <c r="W620" s="84" t="n">
        <f aca="false">IF(ISNUMBER(U620),ABS(U620),"")</f>
        <v>1.06141559340371</v>
      </c>
    </row>
    <row r="621" customFormat="false" ht="15" hidden="false" customHeight="false" outlineLevel="0" collapsed="false">
      <c r="A621" s="57" t="n">
        <v>30444</v>
      </c>
      <c r="B621" s="56" t="n">
        <v>1983</v>
      </c>
      <c r="C621" s="56" t="n">
        <v>5</v>
      </c>
      <c r="D621" s="56" t="n">
        <v>8</v>
      </c>
      <c r="E621" s="56" t="n">
        <v>13.9</v>
      </c>
      <c r="F621" s="56" t="n">
        <v>0</v>
      </c>
      <c r="G621" s="56" t="n">
        <v>10</v>
      </c>
      <c r="H621" s="56" t="n">
        <v>0</v>
      </c>
      <c r="I621" s="56" t="n">
        <v>13.8</v>
      </c>
      <c r="J621" s="56" t="n">
        <v>0</v>
      </c>
      <c r="K621" s="56" t="n">
        <v>1004.3</v>
      </c>
      <c r="L621" s="56" t="n">
        <v>0</v>
      </c>
      <c r="M621" s="56" t="n">
        <v>79</v>
      </c>
      <c r="N621" s="56" t="n">
        <v>2.5</v>
      </c>
      <c r="O621" s="56" t="n">
        <f aca="false">IF(D621=1,"",E620)</f>
        <v>17.5</v>
      </c>
      <c r="P621" s="56" t="n">
        <f aca="false">IF(OR(D621=1,K620=""),"",K620)</f>
        <v>1006.6</v>
      </c>
      <c r="Q621" s="56" t="n">
        <f aca="false">IF(OR(F621&lt;&gt;0,AND(I621&lt;&gt;"",E621&lt;I621)),1,0)</f>
        <v>0</v>
      </c>
      <c r="R621" s="56" t="n">
        <f aca="false">IF(AND(D621&gt;1,Q621=0,ISNUMBER(O621),ISNUMBER(P621)),IF(Q620=0,1,0),0)</f>
        <v>1</v>
      </c>
      <c r="S621" s="56" t="n">
        <f aca="false">R621*(B621&gt;=Train_Start)*(B621&lt;=Train_End)</f>
        <v>1</v>
      </c>
      <c r="T621" s="84" t="n">
        <f aca="false">IF(AND(ISNUMBER(O621),ISNUMBER(P621)),Coef_A+Coef_B1*O621+Coef_B2*P621,"")</f>
        <v>18.0023472388159</v>
      </c>
      <c r="U621" s="84" t="n">
        <f aca="false">IF(AND(R621=1,ISNUMBER(T621)),E621-T621,"")</f>
        <v>-4.10234723881593</v>
      </c>
      <c r="V621" s="84" t="n">
        <f aca="false">IF(ISNUMBER(T621),T621,-99)</f>
        <v>18.0023472388159</v>
      </c>
      <c r="W621" s="84" t="n">
        <f aca="false">IF(ISNUMBER(U621),ABS(U621),"")</f>
        <v>4.10234723881593</v>
      </c>
    </row>
    <row r="622" customFormat="false" ht="15" hidden="false" customHeight="false" outlineLevel="0" collapsed="false">
      <c r="A622" s="57" t="n">
        <v>30445</v>
      </c>
      <c r="B622" s="56" t="n">
        <v>1983</v>
      </c>
      <c r="C622" s="56" t="n">
        <v>5</v>
      </c>
      <c r="D622" s="56" t="n">
        <v>9</v>
      </c>
      <c r="E622" s="56" t="n">
        <v>13.5</v>
      </c>
      <c r="F622" s="56" t="n">
        <v>0</v>
      </c>
      <c r="G622" s="56" t="n">
        <v>5.8</v>
      </c>
      <c r="H622" s="56" t="n">
        <v>0</v>
      </c>
      <c r="I622" s="56" t="n">
        <v>9.8</v>
      </c>
      <c r="J622" s="56" t="n">
        <v>0</v>
      </c>
      <c r="K622" s="56" t="n">
        <v>1001</v>
      </c>
      <c r="L622" s="56" t="n">
        <v>0</v>
      </c>
      <c r="M622" s="56" t="n">
        <v>77</v>
      </c>
      <c r="N622" s="56" t="n">
        <v>2.8</v>
      </c>
      <c r="O622" s="56" t="n">
        <f aca="false">IF(D622=1,"",E621)</f>
        <v>13.9</v>
      </c>
      <c r="P622" s="56" t="n">
        <f aca="false">IF(OR(D622=1,K621=""),"",K621)</f>
        <v>1004.3</v>
      </c>
      <c r="Q622" s="56" t="n">
        <f aca="false">IF(OR(F622&lt;&gt;0,AND(I622&lt;&gt;"",E622&lt;I622)),1,0)</f>
        <v>0</v>
      </c>
      <c r="R622" s="56" t="n">
        <f aca="false">IF(AND(D622&gt;1,Q622=0,ISNUMBER(O622),ISNUMBER(P622)),IF(Q621=0,1,0),0)</f>
        <v>1</v>
      </c>
      <c r="S622" s="56" t="n">
        <f aca="false">R622*(B622&gt;=Train_Start)*(B622&lt;=Train_End)</f>
        <v>1</v>
      </c>
      <c r="T622" s="84" t="n">
        <f aca="false">IF(AND(ISNUMBER(O622),ISNUMBER(P622)),Coef_A+Coef_B1*O622+Coef_B2*P622,"")</f>
        <v>14.9805753862042</v>
      </c>
      <c r="U622" s="84" t="n">
        <f aca="false">IF(AND(R622=1,ISNUMBER(T622)),E622-T622,"")</f>
        <v>-1.48057538620418</v>
      </c>
      <c r="V622" s="84" t="n">
        <f aca="false">IF(ISNUMBER(T622),T622,-99)</f>
        <v>14.9805753862042</v>
      </c>
      <c r="W622" s="84" t="n">
        <f aca="false">IF(ISNUMBER(U622),ABS(U622),"")</f>
        <v>1.48057538620418</v>
      </c>
    </row>
    <row r="623" customFormat="false" ht="15" hidden="false" customHeight="false" outlineLevel="0" collapsed="false">
      <c r="A623" s="57" t="n">
        <v>30446</v>
      </c>
      <c r="B623" s="56" t="n">
        <v>1983</v>
      </c>
      <c r="C623" s="56" t="n">
        <v>5</v>
      </c>
      <c r="D623" s="56" t="n">
        <v>10</v>
      </c>
      <c r="E623" s="56" t="n">
        <v>13</v>
      </c>
      <c r="F623" s="56" t="n">
        <v>0</v>
      </c>
      <c r="G623" s="56" t="n">
        <v>4.7</v>
      </c>
      <c r="H623" s="56" t="n">
        <v>0</v>
      </c>
      <c r="I623" s="56" t="n">
        <v>9.1</v>
      </c>
      <c r="J623" s="56" t="n">
        <v>0</v>
      </c>
      <c r="K623" s="56" t="n">
        <v>994.6</v>
      </c>
      <c r="L623" s="56" t="n">
        <v>0</v>
      </c>
      <c r="M623" s="56" t="n">
        <v>71</v>
      </c>
      <c r="N623" s="56" t="n">
        <v>7.9</v>
      </c>
      <c r="O623" s="56" t="n">
        <f aca="false">IF(D623=1,"",E622)</f>
        <v>13.5</v>
      </c>
      <c r="P623" s="56" t="n">
        <f aca="false">IF(OR(D623=1,K622=""),"",K622)</f>
        <v>1001</v>
      </c>
      <c r="Q623" s="56" t="n">
        <f aca="false">IF(OR(F623&lt;&gt;0,AND(I623&lt;&gt;"",E623&lt;I623)),1,0)</f>
        <v>0</v>
      </c>
      <c r="R623" s="56" t="n">
        <f aca="false">IF(AND(D623&gt;1,Q623=0,ISNUMBER(O623),ISNUMBER(P623)),IF(Q622=0,1,0),0)</f>
        <v>1</v>
      </c>
      <c r="S623" s="56" t="n">
        <f aca="false">R623*(B623&gt;=Train_Start)*(B623&lt;=Train_End)</f>
        <v>1</v>
      </c>
      <c r="T623" s="84" t="n">
        <f aca="false">IF(AND(ISNUMBER(O623),ISNUMBER(P623)),Coef_A+Coef_B1*O623+Coef_B2*P623,"")</f>
        <v>14.549319056695</v>
      </c>
      <c r="U623" s="84" t="n">
        <f aca="false">IF(AND(R623=1,ISNUMBER(T623)),E623-T623,"")</f>
        <v>-1.54931905669496</v>
      </c>
      <c r="V623" s="84" t="n">
        <f aca="false">IF(ISNUMBER(T623),T623,-99)</f>
        <v>14.549319056695</v>
      </c>
      <c r="W623" s="84" t="n">
        <f aca="false">IF(ISNUMBER(U623),ABS(U623),"")</f>
        <v>1.54931905669496</v>
      </c>
    </row>
    <row r="624" customFormat="false" ht="15" hidden="false" customHeight="false" outlineLevel="0" collapsed="false">
      <c r="A624" s="57" t="n">
        <v>30447</v>
      </c>
      <c r="B624" s="56" t="n">
        <v>1983</v>
      </c>
      <c r="C624" s="56" t="n">
        <v>5</v>
      </c>
      <c r="D624" s="56" t="n">
        <v>11</v>
      </c>
      <c r="E624" s="56" t="n">
        <v>14</v>
      </c>
      <c r="F624" s="56" t="n">
        <v>0</v>
      </c>
      <c r="G624" s="56" t="n">
        <v>3.4</v>
      </c>
      <c r="H624" s="56" t="n">
        <v>0</v>
      </c>
      <c r="I624" s="56" t="n">
        <v>8.2</v>
      </c>
      <c r="J624" s="56" t="n">
        <v>0</v>
      </c>
      <c r="K624" s="56" t="n">
        <v>989.2</v>
      </c>
      <c r="L624" s="56" t="n">
        <v>0</v>
      </c>
      <c r="M624" s="56" t="n">
        <v>80</v>
      </c>
      <c r="N624" s="56" t="n">
        <v>6.8</v>
      </c>
      <c r="O624" s="56" t="n">
        <f aca="false">IF(D624=1,"",E623)</f>
        <v>13</v>
      </c>
      <c r="P624" s="56" t="n">
        <f aca="false">IF(OR(D624=1,K623=""),"",K623)</f>
        <v>994.6</v>
      </c>
      <c r="Q624" s="56" t="n">
        <f aca="false">IF(OR(F624&lt;&gt;0,AND(I624&lt;&gt;"",E624&lt;I624)),1,0)</f>
        <v>0</v>
      </c>
      <c r="R624" s="56" t="n">
        <f aca="false">IF(AND(D624&gt;1,Q624=0,ISNUMBER(O624),ISNUMBER(P624)),IF(Q623=0,1,0),0)</f>
        <v>1</v>
      </c>
      <c r="S624" s="56" t="n">
        <f aca="false">R624*(B624&gt;=Train_Start)*(B624&lt;=Train_End)</f>
        <v>1</v>
      </c>
      <c r="T624" s="84" t="n">
        <f aca="false">IF(AND(ISNUMBER(O624),ISNUMBER(P624)),Coef_A+Coef_B1*O624+Coef_B2*P624,"")</f>
        <v>13.9388821345161</v>
      </c>
      <c r="U624" s="84" t="n">
        <f aca="false">IF(AND(R624=1,ISNUMBER(T624)),E624-T624,"")</f>
        <v>0.0611178654839009</v>
      </c>
      <c r="V624" s="84" t="n">
        <f aca="false">IF(ISNUMBER(T624),T624,-99)</f>
        <v>13.9388821345161</v>
      </c>
      <c r="W624" s="84" t="n">
        <f aca="false">IF(ISNUMBER(U624),ABS(U624),"")</f>
        <v>0.0611178654839009</v>
      </c>
    </row>
    <row r="625" customFormat="false" ht="15" hidden="false" customHeight="false" outlineLevel="0" collapsed="false">
      <c r="A625" s="57" t="n">
        <v>30448</v>
      </c>
      <c r="B625" s="56" t="n">
        <v>1983</v>
      </c>
      <c r="C625" s="56" t="n">
        <v>5</v>
      </c>
      <c r="D625" s="56" t="n">
        <v>12</v>
      </c>
      <c r="E625" s="56" t="n">
        <v>15.9</v>
      </c>
      <c r="F625" s="56" t="n">
        <v>0</v>
      </c>
      <c r="G625" s="56" t="n">
        <v>7</v>
      </c>
      <c r="H625" s="56" t="n">
        <v>0</v>
      </c>
      <c r="I625" s="56" t="n">
        <v>10.5</v>
      </c>
      <c r="J625" s="56" t="n">
        <v>0</v>
      </c>
      <c r="K625" s="56" t="n">
        <v>991.5</v>
      </c>
      <c r="L625" s="56" t="n">
        <v>0</v>
      </c>
      <c r="M625" s="56" t="n">
        <v>80</v>
      </c>
      <c r="N625" s="56" t="n">
        <v>5.9</v>
      </c>
      <c r="O625" s="56" t="n">
        <f aca="false">IF(D625=1,"",E624)</f>
        <v>14</v>
      </c>
      <c r="P625" s="56" t="n">
        <f aca="false">IF(OR(D625=1,K624=""),"",K624)</f>
        <v>989.2</v>
      </c>
      <c r="Q625" s="56" t="n">
        <f aca="false">IF(OR(F625&lt;&gt;0,AND(I625&lt;&gt;"",E625&lt;I625)),1,0)</f>
        <v>0</v>
      </c>
      <c r="R625" s="56" t="n">
        <f aca="false">IF(AND(D625&gt;1,Q625=0,ISNUMBER(O625),ISNUMBER(P625)),IF(Q624=0,1,0),0)</f>
        <v>1</v>
      </c>
      <c r="S625" s="56" t="n">
        <f aca="false">R625*(B625&gt;=Train_Start)*(B625&lt;=Train_End)</f>
        <v>1</v>
      </c>
      <c r="T625" s="84" t="n">
        <f aca="false">IF(AND(ISNUMBER(O625),ISNUMBER(P625)),Coef_A+Coef_B1*O625+Coef_B2*P625,"")</f>
        <v>14.5888238965352</v>
      </c>
      <c r="U625" s="84" t="n">
        <f aca="false">IF(AND(R625=1,ISNUMBER(T625)),E625-T625,"")</f>
        <v>1.31117610346479</v>
      </c>
      <c r="V625" s="84" t="n">
        <f aca="false">IF(ISNUMBER(T625),T625,-99)</f>
        <v>14.5888238965352</v>
      </c>
      <c r="W625" s="84" t="n">
        <f aca="false">IF(ISNUMBER(U625),ABS(U625),"")</f>
        <v>1.31117610346479</v>
      </c>
    </row>
    <row r="626" customFormat="false" ht="15" hidden="false" customHeight="false" outlineLevel="0" collapsed="false">
      <c r="A626" s="57" t="n">
        <v>30449</v>
      </c>
      <c r="B626" s="56" t="n">
        <v>1983</v>
      </c>
      <c r="C626" s="56" t="n">
        <v>5</v>
      </c>
      <c r="D626" s="56" t="n">
        <v>13</v>
      </c>
      <c r="E626" s="56" t="n">
        <v>16.3</v>
      </c>
      <c r="F626" s="56" t="n">
        <v>0</v>
      </c>
      <c r="G626" s="56" t="n">
        <v>8</v>
      </c>
      <c r="H626" s="56" t="n">
        <v>0</v>
      </c>
      <c r="I626" s="56" t="n">
        <v>12</v>
      </c>
      <c r="J626" s="56" t="n">
        <v>0</v>
      </c>
      <c r="K626" s="56" t="n">
        <v>1001.6</v>
      </c>
      <c r="L626" s="56" t="n">
        <v>0</v>
      </c>
      <c r="M626" s="56" t="n">
        <v>73</v>
      </c>
      <c r="N626" s="56" t="n">
        <v>8.9</v>
      </c>
      <c r="O626" s="56" t="n">
        <f aca="false">IF(D626=1,"",E625)</f>
        <v>15.9</v>
      </c>
      <c r="P626" s="56" t="n">
        <f aca="false">IF(OR(D626=1,K625=""),"",K625)</f>
        <v>991.5</v>
      </c>
      <c r="Q626" s="56" t="n">
        <f aca="false">IF(OR(F626&lt;&gt;0,AND(I626&lt;&gt;"",E626&lt;I626)),1,0)</f>
        <v>0</v>
      </c>
      <c r="R626" s="56" t="n">
        <f aca="false">IF(AND(D626&gt;1,Q626=0,ISNUMBER(O626),ISNUMBER(P626)),IF(Q625=0,1,0),0)</f>
        <v>1</v>
      </c>
      <c r="S626" s="56" t="n">
        <f aca="false">R626*(B626&gt;=Train_Start)*(B626&lt;=Train_End)</f>
        <v>1</v>
      </c>
      <c r="T626" s="84" t="n">
        <f aca="false">IF(AND(ISNUMBER(O626),ISNUMBER(P626)),Coef_A+Coef_B1*O626+Coef_B2*P626,"")</f>
        <v>16.2177191209744</v>
      </c>
      <c r="U626" s="84" t="n">
        <f aca="false">IF(AND(R626=1,ISNUMBER(T626)),E626-T626,"")</f>
        <v>0.0822808790255643</v>
      </c>
      <c r="V626" s="84" t="n">
        <f aca="false">IF(ISNUMBER(T626),T626,-99)</f>
        <v>16.2177191209744</v>
      </c>
      <c r="W626" s="84" t="n">
        <f aca="false">IF(ISNUMBER(U626),ABS(U626),"")</f>
        <v>0.0822808790255643</v>
      </c>
    </row>
    <row r="627" customFormat="false" ht="15" hidden="false" customHeight="false" outlineLevel="0" collapsed="false">
      <c r="A627" s="57" t="n">
        <v>30450</v>
      </c>
      <c r="B627" s="56" t="n">
        <v>1983</v>
      </c>
      <c r="C627" s="56" t="n">
        <v>5</v>
      </c>
      <c r="D627" s="56" t="n">
        <v>14</v>
      </c>
      <c r="E627" s="56" t="n">
        <v>16</v>
      </c>
      <c r="F627" s="56" t="n">
        <v>0</v>
      </c>
      <c r="G627" s="56" t="n">
        <v>7.2</v>
      </c>
      <c r="H627" s="56" t="n">
        <v>0</v>
      </c>
      <c r="I627" s="56" t="n">
        <v>11.8</v>
      </c>
      <c r="J627" s="56" t="n">
        <v>0</v>
      </c>
      <c r="K627" s="56" t="n">
        <v>1006.4</v>
      </c>
      <c r="L627" s="56" t="n">
        <v>0</v>
      </c>
      <c r="M627" s="56" t="n">
        <v>73</v>
      </c>
      <c r="N627" s="56" t="n">
        <v>11.5</v>
      </c>
      <c r="O627" s="56" t="n">
        <f aca="false">IF(D627=1,"",E626)</f>
        <v>16.3</v>
      </c>
      <c r="P627" s="56" t="n">
        <f aca="false">IF(OR(D627=1,K626=""),"",K626)</f>
        <v>1001.6</v>
      </c>
      <c r="Q627" s="56" t="n">
        <f aca="false">IF(OR(F627&lt;&gt;0,AND(I627&lt;&gt;"",E627&lt;I627)),1,0)</f>
        <v>0</v>
      </c>
      <c r="R627" s="56" t="n">
        <f aca="false">IF(AND(D627&gt;1,Q627=0,ISNUMBER(O627),ISNUMBER(P627)),IF(Q626=0,1,0),0)</f>
        <v>1</v>
      </c>
      <c r="S627" s="56" t="n">
        <f aca="false">R627*(B627&gt;=Train_Start)*(B627&lt;=Train_End)</f>
        <v>1</v>
      </c>
      <c r="T627" s="84" t="n">
        <f aca="false">IF(AND(ISNUMBER(O627),ISNUMBER(P627)),Coef_A+Coef_B1*O627+Coef_B2*P627,"")</f>
        <v>16.8622907339948</v>
      </c>
      <c r="U627" s="84" t="n">
        <f aca="false">IF(AND(R627=1,ISNUMBER(T627)),E627-T627,"")</f>
        <v>-0.86229073399479</v>
      </c>
      <c r="V627" s="84" t="n">
        <f aca="false">IF(ISNUMBER(T627),T627,-99)</f>
        <v>16.8622907339948</v>
      </c>
      <c r="W627" s="84" t="n">
        <f aca="false">IF(ISNUMBER(U627),ABS(U627),"")</f>
        <v>0.86229073399479</v>
      </c>
    </row>
    <row r="628" customFormat="false" ht="15" hidden="false" customHeight="false" outlineLevel="0" collapsed="false">
      <c r="A628" s="57" t="n">
        <v>30451</v>
      </c>
      <c r="B628" s="56" t="n">
        <v>1983</v>
      </c>
      <c r="C628" s="56" t="n">
        <v>5</v>
      </c>
      <c r="D628" s="56" t="n">
        <v>15</v>
      </c>
      <c r="E628" s="56" t="n">
        <v>18.5</v>
      </c>
      <c r="F628" s="56" t="n">
        <v>0</v>
      </c>
      <c r="G628" s="56" t="n">
        <v>6.1</v>
      </c>
      <c r="H628" s="56" t="n">
        <v>0</v>
      </c>
      <c r="I628" s="56" t="n">
        <v>11</v>
      </c>
      <c r="J628" s="56" t="n">
        <v>0</v>
      </c>
      <c r="K628" s="56" t="n">
        <v>1003.3</v>
      </c>
      <c r="L628" s="56" t="n">
        <v>0</v>
      </c>
      <c r="M628" s="56" t="n">
        <v>83</v>
      </c>
      <c r="N628" s="56" t="n">
        <v>4.2</v>
      </c>
      <c r="O628" s="56" t="n">
        <f aca="false">IF(D628=1,"",E627)</f>
        <v>16</v>
      </c>
      <c r="P628" s="56" t="n">
        <f aca="false">IF(OR(D628=1,K627=""),"",K627)</f>
        <v>1006.4</v>
      </c>
      <c r="Q628" s="56" t="n">
        <f aca="false">IF(OR(F628&lt;&gt;0,AND(I628&lt;&gt;"",E628&lt;I628)),1,0)</f>
        <v>0</v>
      </c>
      <c r="R628" s="56" t="n">
        <f aca="false">IF(AND(D628&gt;1,Q628=0,ISNUMBER(O628),ISNUMBER(P628)),IF(Q627=0,1,0),0)</f>
        <v>1</v>
      </c>
      <c r="S628" s="56" t="n">
        <f aca="false">R628*(B628&gt;=Train_Start)*(B628&lt;=Train_End)</f>
        <v>1</v>
      </c>
      <c r="T628" s="84" t="n">
        <f aca="false">IF(AND(ISNUMBER(O628),ISNUMBER(P628)),Coef_A+Coef_B1*O628+Coef_B2*P628,"")</f>
        <v>16.7670644703251</v>
      </c>
      <c r="U628" s="84" t="n">
        <f aca="false">IF(AND(R628=1,ISNUMBER(T628)),E628-T628,"")</f>
        <v>1.73293552967485</v>
      </c>
      <c r="V628" s="84" t="n">
        <f aca="false">IF(ISNUMBER(T628),T628,-99)</f>
        <v>16.7670644703251</v>
      </c>
      <c r="W628" s="84" t="n">
        <f aca="false">IF(ISNUMBER(U628),ABS(U628),"")</f>
        <v>1.73293552967485</v>
      </c>
    </row>
    <row r="629" customFormat="false" ht="15" hidden="false" customHeight="false" outlineLevel="0" collapsed="false">
      <c r="A629" s="57" t="n">
        <v>30452</v>
      </c>
      <c r="B629" s="56" t="n">
        <v>1983</v>
      </c>
      <c r="C629" s="56" t="n">
        <v>5</v>
      </c>
      <c r="D629" s="56" t="n">
        <v>16</v>
      </c>
      <c r="E629" s="56" t="n">
        <v>15.8</v>
      </c>
      <c r="F629" s="56" t="n">
        <v>0</v>
      </c>
      <c r="G629" s="56" t="n">
        <v>6.2</v>
      </c>
      <c r="H629" s="56" t="n">
        <v>0</v>
      </c>
      <c r="I629" s="56" t="n">
        <v>12.4</v>
      </c>
      <c r="J629" s="56" t="n">
        <v>0</v>
      </c>
      <c r="K629" s="56" t="n">
        <v>1001.5</v>
      </c>
      <c r="L629" s="56" t="n">
        <v>0</v>
      </c>
      <c r="M629" s="56" t="n">
        <v>77</v>
      </c>
      <c r="N629" s="56" t="n">
        <v>6.7</v>
      </c>
      <c r="O629" s="56" t="n">
        <f aca="false">IF(D629=1,"",E628)</f>
        <v>18.5</v>
      </c>
      <c r="P629" s="56" t="n">
        <f aca="false">IF(OR(D629=1,K628=""),"",K628)</f>
        <v>1003.3</v>
      </c>
      <c r="Q629" s="56" t="n">
        <f aca="false">IF(OR(F629&lt;&gt;0,AND(I629&lt;&gt;"",E629&lt;I629)),1,0)</f>
        <v>0</v>
      </c>
      <c r="R629" s="56" t="n">
        <f aca="false">IF(AND(D629&gt;1,Q629=0,ISNUMBER(O629),ISNUMBER(P629)),IF(Q628=0,1,0),0)</f>
        <v>1</v>
      </c>
      <c r="S629" s="56" t="n">
        <f aca="false">R629*(B629&gt;=Train_Start)*(B629&lt;=Train_End)</f>
        <v>1</v>
      </c>
      <c r="T629" s="84" t="n">
        <f aca="false">IF(AND(ISNUMBER(O629),ISNUMBER(P629)),Coef_A+Coef_B1*O629+Coef_B2*P629,"")</f>
        <v>18.7181657795664</v>
      </c>
      <c r="U629" s="84" t="n">
        <f aca="false">IF(AND(R629=1,ISNUMBER(T629)),E629-T629,"")</f>
        <v>-2.91816577956642</v>
      </c>
      <c r="V629" s="84" t="n">
        <f aca="false">IF(ISNUMBER(T629),T629,-99)</f>
        <v>18.7181657795664</v>
      </c>
      <c r="W629" s="84" t="n">
        <f aca="false">IF(ISNUMBER(U629),ABS(U629),"")</f>
        <v>2.91816577956642</v>
      </c>
    </row>
    <row r="630" customFormat="false" ht="15" hidden="false" customHeight="false" outlineLevel="0" collapsed="false">
      <c r="A630" s="57" t="n">
        <v>30453</v>
      </c>
      <c r="B630" s="56" t="n">
        <v>1983</v>
      </c>
      <c r="C630" s="56" t="n">
        <v>5</v>
      </c>
      <c r="D630" s="56" t="n">
        <v>17</v>
      </c>
      <c r="E630" s="56" t="n">
        <v>15.4</v>
      </c>
      <c r="F630" s="56" t="n">
        <v>0</v>
      </c>
      <c r="G630" s="56" t="n">
        <v>8.9</v>
      </c>
      <c r="H630" s="56" t="n">
        <v>0</v>
      </c>
      <c r="I630" s="56" t="n">
        <v>12.4</v>
      </c>
      <c r="J630" s="56" t="n">
        <v>0</v>
      </c>
      <c r="K630" s="56" t="n">
        <v>1006.3</v>
      </c>
      <c r="L630" s="56" t="n">
        <v>0</v>
      </c>
      <c r="M630" s="56" t="n">
        <v>74</v>
      </c>
      <c r="N630" s="56" t="n">
        <v>5.7</v>
      </c>
      <c r="O630" s="56" t="n">
        <f aca="false">IF(D630=1,"",E629)</f>
        <v>15.8</v>
      </c>
      <c r="P630" s="56" t="n">
        <f aca="false">IF(OR(D630=1,K629=""),"",K629)</f>
        <v>1001.5</v>
      </c>
      <c r="Q630" s="56" t="n">
        <f aca="false">IF(OR(F630&lt;&gt;0,AND(I630&lt;&gt;"",E630&lt;I630)),1,0)</f>
        <v>0</v>
      </c>
      <c r="R630" s="56" t="n">
        <f aca="false">IF(AND(D630&gt;1,Q630=0,ISNUMBER(O630),ISNUMBER(P630)),IF(Q629=0,1,0),0)</f>
        <v>1</v>
      </c>
      <c r="S630" s="56" t="n">
        <f aca="false">R630*(B630&gt;=Train_Start)*(B630&lt;=Train_End)</f>
        <v>1</v>
      </c>
      <c r="T630" s="84" t="n">
        <f aca="false">IF(AND(ISNUMBER(O630),ISNUMBER(P630)),Coef_A+Coef_B1*O630+Coef_B2*P630,"")</f>
        <v>16.4494841480101</v>
      </c>
      <c r="U630" s="84" t="n">
        <f aca="false">IF(AND(R630=1,ISNUMBER(T630)),E630-T630,"")</f>
        <v>-1.04948414801006</v>
      </c>
      <c r="V630" s="84" t="n">
        <f aca="false">IF(ISNUMBER(T630),T630,-99)</f>
        <v>16.4494841480101</v>
      </c>
      <c r="W630" s="84" t="n">
        <f aca="false">IF(ISNUMBER(U630),ABS(U630),"")</f>
        <v>1.04948414801006</v>
      </c>
    </row>
    <row r="631" customFormat="false" ht="15" hidden="false" customHeight="false" outlineLevel="0" collapsed="false">
      <c r="A631" s="57" t="n">
        <v>30454</v>
      </c>
      <c r="B631" s="56" t="n">
        <v>1983</v>
      </c>
      <c r="C631" s="56" t="n">
        <v>5</v>
      </c>
      <c r="D631" s="56" t="n">
        <v>18</v>
      </c>
      <c r="E631" s="56" t="n">
        <v>13.5</v>
      </c>
      <c r="F631" s="56" t="n">
        <v>0</v>
      </c>
      <c r="G631" s="56" t="n">
        <v>8.3</v>
      </c>
      <c r="H631" s="56" t="n">
        <v>0</v>
      </c>
      <c r="I631" s="56" t="n">
        <v>11.8</v>
      </c>
      <c r="J631" s="56" t="n">
        <v>0</v>
      </c>
      <c r="K631" s="56" t="n">
        <v>1006.8</v>
      </c>
      <c r="L631" s="56" t="n">
        <v>0</v>
      </c>
      <c r="M631" s="56" t="n">
        <v>80</v>
      </c>
      <c r="N631" s="56" t="n">
        <v>4.9</v>
      </c>
      <c r="O631" s="56" t="n">
        <f aca="false">IF(D631=1,"",E630)</f>
        <v>15.4</v>
      </c>
      <c r="P631" s="56" t="n">
        <f aca="false">IF(OR(D631=1,K630=""),"",K630)</f>
        <v>1006.3</v>
      </c>
      <c r="Q631" s="56" t="n">
        <f aca="false">IF(OR(F631&lt;&gt;0,AND(I631&lt;&gt;"",E631&lt;I631)),1,0)</f>
        <v>0</v>
      </c>
      <c r="R631" s="56" t="n">
        <f aca="false">IF(AND(D631&gt;1,Q631=0,ISNUMBER(O631),ISNUMBER(P631)),IF(Q630=0,1,0),0)</f>
        <v>1</v>
      </c>
      <c r="S631" s="56" t="n">
        <f aca="false">R631*(B631&gt;=Train_Start)*(B631&lt;=Train_End)</f>
        <v>1</v>
      </c>
      <c r="T631" s="84" t="n">
        <f aca="false">IF(AND(ISNUMBER(O631),ISNUMBER(P631)),Coef_A+Coef_B1*O631+Coef_B2*P631,"")</f>
        <v>16.2723239650362</v>
      </c>
      <c r="U631" s="84" t="n">
        <f aca="false">IF(AND(R631=1,ISNUMBER(T631)),E631-T631,"")</f>
        <v>-2.77232396503615</v>
      </c>
      <c r="V631" s="84" t="n">
        <f aca="false">IF(ISNUMBER(T631),T631,-99)</f>
        <v>16.2723239650362</v>
      </c>
      <c r="W631" s="84" t="n">
        <f aca="false">IF(ISNUMBER(U631),ABS(U631),"")</f>
        <v>2.77232396503615</v>
      </c>
    </row>
    <row r="632" customFormat="false" ht="15" hidden="false" customHeight="false" outlineLevel="0" collapsed="false">
      <c r="A632" s="57" t="n">
        <v>30455</v>
      </c>
      <c r="B632" s="56" t="n">
        <v>1983</v>
      </c>
      <c r="C632" s="56" t="n">
        <v>5</v>
      </c>
      <c r="D632" s="56" t="n">
        <v>19</v>
      </c>
      <c r="E632" s="56" t="n">
        <v>14.1</v>
      </c>
      <c r="F632" s="56" t="n">
        <v>0</v>
      </c>
      <c r="G632" s="56" t="n">
        <v>8.6</v>
      </c>
      <c r="H632" s="56" t="n">
        <v>0</v>
      </c>
      <c r="I632" s="56" t="n">
        <v>11</v>
      </c>
      <c r="J632" s="56" t="n">
        <v>0</v>
      </c>
      <c r="K632" s="56" t="n">
        <v>1008.2</v>
      </c>
      <c r="L632" s="56" t="n">
        <v>0</v>
      </c>
      <c r="M632" s="56" t="n">
        <v>81</v>
      </c>
      <c r="N632" s="56" t="n">
        <v>4.3</v>
      </c>
      <c r="O632" s="56" t="n">
        <f aca="false">IF(D632=1,"",E631)</f>
        <v>13.5</v>
      </c>
      <c r="P632" s="56" t="n">
        <f aca="false">IF(OR(D632=1,K631=""),"",K631)</f>
        <v>1006.8</v>
      </c>
      <c r="Q632" s="56" t="n">
        <f aca="false">IF(OR(F632&lt;&gt;0,AND(I632&lt;&gt;"",E632&lt;I632)),1,0)</f>
        <v>0</v>
      </c>
      <c r="R632" s="56" t="n">
        <f aca="false">IF(AND(D632&gt;1,Q632=0,ISNUMBER(O632),ISNUMBER(P632)),IF(Q631=0,1,0),0)</f>
        <v>1</v>
      </c>
      <c r="S632" s="56" t="n">
        <f aca="false">R632*(B632&gt;=Train_Start)*(B632&lt;=Train_End)</f>
        <v>1</v>
      </c>
      <c r="T632" s="84" t="n">
        <f aca="false">IF(AND(ISNUMBER(O632),ISNUMBER(P632)),Coef_A+Coef_B1*O632+Coef_B2*P632,"")</f>
        <v>14.7312644455721</v>
      </c>
      <c r="U632" s="84" t="n">
        <f aca="false">IF(AND(R632=1,ISNUMBER(T632)),E632-T632,"")</f>
        <v>-0.631264445572095</v>
      </c>
      <c r="V632" s="84" t="n">
        <f aca="false">IF(ISNUMBER(T632),T632,-99)</f>
        <v>14.7312644455721</v>
      </c>
      <c r="W632" s="84" t="n">
        <f aca="false">IF(ISNUMBER(U632),ABS(U632),"")</f>
        <v>0.631264445572095</v>
      </c>
    </row>
    <row r="633" customFormat="false" ht="15" hidden="false" customHeight="false" outlineLevel="0" collapsed="false">
      <c r="A633" s="57" t="n">
        <v>30456</v>
      </c>
      <c r="B633" s="56" t="n">
        <v>1983</v>
      </c>
      <c r="C633" s="56" t="n">
        <v>5</v>
      </c>
      <c r="D633" s="56" t="n">
        <v>20</v>
      </c>
      <c r="E633" s="56" t="n">
        <v>14</v>
      </c>
      <c r="F633" s="56" t="n">
        <v>0</v>
      </c>
      <c r="G633" s="56" t="n">
        <v>6.3</v>
      </c>
      <c r="H633" s="56" t="n">
        <v>0</v>
      </c>
      <c r="I633" s="56" t="n">
        <v>10.2</v>
      </c>
      <c r="J633" s="56" t="n">
        <v>0</v>
      </c>
      <c r="K633" s="56" t="n">
        <v>1007.5</v>
      </c>
      <c r="L633" s="56" t="n">
        <v>0</v>
      </c>
      <c r="M633" s="56" t="n">
        <v>82</v>
      </c>
      <c r="N633" s="56" t="n">
        <v>2.7</v>
      </c>
      <c r="O633" s="56" t="n">
        <f aca="false">IF(D633=1,"",E632)</f>
        <v>14.1</v>
      </c>
      <c r="P633" s="56" t="n">
        <f aca="false">IF(OR(D633=1,K632=""),"",K632)</f>
        <v>1008.2</v>
      </c>
      <c r="Q633" s="56" t="n">
        <f aca="false">IF(OR(F633&lt;&gt;0,AND(I633&lt;&gt;"",E633&lt;I633)),1,0)</f>
        <v>0</v>
      </c>
      <c r="R633" s="56" t="n">
        <f aca="false">IF(AND(D633&gt;1,Q633=0,ISNUMBER(O633),ISNUMBER(P633)),IF(Q632=0,1,0),0)</f>
        <v>1</v>
      </c>
      <c r="S633" s="56" t="n">
        <f aca="false">R633*(B633&gt;=Train_Start)*(B633&lt;=Train_End)</f>
        <v>1</v>
      </c>
      <c r="T633" s="84" t="n">
        <f aca="false">IF(AND(ISNUMBER(O633),ISNUMBER(P633)),Coef_A+Coef_B1*O633+Coef_B2*P633,"")</f>
        <v>15.2667858138853</v>
      </c>
      <c r="U633" s="84" t="n">
        <f aca="false">IF(AND(R633=1,ISNUMBER(T633)),E633-T633,"")</f>
        <v>-1.26678581388528</v>
      </c>
      <c r="V633" s="84" t="n">
        <f aca="false">IF(ISNUMBER(T633),T633,-99)</f>
        <v>15.2667858138853</v>
      </c>
      <c r="W633" s="84" t="n">
        <f aca="false">IF(ISNUMBER(U633),ABS(U633),"")</f>
        <v>1.26678581388528</v>
      </c>
    </row>
    <row r="634" customFormat="false" ht="15" hidden="false" customHeight="false" outlineLevel="0" collapsed="false">
      <c r="A634" s="57" t="n">
        <v>30457</v>
      </c>
      <c r="B634" s="56" t="n">
        <v>1983</v>
      </c>
      <c r="C634" s="56" t="n">
        <v>5</v>
      </c>
      <c r="D634" s="56" t="n">
        <v>21</v>
      </c>
      <c r="E634" s="56" t="n">
        <v>15.4</v>
      </c>
      <c r="F634" s="56" t="n">
        <v>0</v>
      </c>
      <c r="G634" s="56" t="n">
        <v>3.9</v>
      </c>
      <c r="H634" s="56" t="n">
        <v>0</v>
      </c>
      <c r="I634" s="56" t="n">
        <v>9</v>
      </c>
      <c r="J634" s="56" t="n">
        <v>0</v>
      </c>
      <c r="K634" s="56" t="n">
        <v>1006.3</v>
      </c>
      <c r="L634" s="56" t="n">
        <v>0</v>
      </c>
      <c r="M634" s="56" t="n">
        <v>85</v>
      </c>
      <c r="N634" s="56" t="n">
        <v>1.4</v>
      </c>
      <c r="O634" s="56" t="n">
        <f aca="false">IF(D634=1,"",E633)</f>
        <v>14</v>
      </c>
      <c r="P634" s="56" t="n">
        <f aca="false">IF(OR(D634=1,K633=""),"",K633)</f>
        <v>1007.5</v>
      </c>
      <c r="Q634" s="56" t="n">
        <f aca="false">IF(OR(F634&lt;&gt;0,AND(I634&lt;&gt;"",E634&lt;I634)),1,0)</f>
        <v>0</v>
      </c>
      <c r="R634" s="56" t="n">
        <f aca="false">IF(AND(D634&gt;1,Q634=0,ISNUMBER(O634),ISNUMBER(P634)),IF(Q633=0,1,0),0)</f>
        <v>1</v>
      </c>
      <c r="S634" s="56" t="n">
        <f aca="false">R634*(B634&gt;=Train_Start)*(B634&lt;=Train_End)</f>
        <v>1</v>
      </c>
      <c r="T634" s="84" t="n">
        <f aca="false">IF(AND(ISNUMBER(O634),ISNUMBER(P634)),Coef_A+Coef_B1*O634+Coef_B2*P634,"")</f>
        <v>15.1628929683372</v>
      </c>
      <c r="U634" s="84" t="n">
        <f aca="false">IF(AND(R634=1,ISNUMBER(T634)),E634-T634,"")</f>
        <v>0.237107031662783</v>
      </c>
      <c r="V634" s="84" t="n">
        <f aca="false">IF(ISNUMBER(T634),T634,-99)</f>
        <v>15.1628929683372</v>
      </c>
      <c r="W634" s="84" t="n">
        <f aca="false">IF(ISNUMBER(U634),ABS(U634),"")</f>
        <v>0.237107031662783</v>
      </c>
    </row>
    <row r="635" customFormat="false" ht="15" hidden="false" customHeight="false" outlineLevel="0" collapsed="false">
      <c r="A635" s="57" t="n">
        <v>30458</v>
      </c>
      <c r="B635" s="56" t="n">
        <v>1983</v>
      </c>
      <c r="C635" s="56" t="n">
        <v>5</v>
      </c>
      <c r="D635" s="56" t="n">
        <v>22</v>
      </c>
      <c r="E635" s="56" t="n">
        <v>16.2</v>
      </c>
      <c r="F635" s="56" t="n">
        <v>0</v>
      </c>
      <c r="G635" s="56" t="n">
        <v>5.8</v>
      </c>
      <c r="H635" s="56" t="n">
        <v>0</v>
      </c>
      <c r="I635" s="56" t="n">
        <v>10.6</v>
      </c>
      <c r="J635" s="56" t="n">
        <v>0</v>
      </c>
      <c r="K635" s="56" t="n">
        <v>1010.5</v>
      </c>
      <c r="L635" s="56" t="n">
        <v>0</v>
      </c>
      <c r="M635" s="56" t="n">
        <v>76</v>
      </c>
      <c r="N635" s="56" t="n">
        <v>6.4</v>
      </c>
      <c r="O635" s="56" t="n">
        <f aca="false">IF(D635=1,"",E634)</f>
        <v>15.4</v>
      </c>
      <c r="P635" s="56" t="n">
        <f aca="false">IF(OR(D635=1,K634=""),"",K634)</f>
        <v>1006.3</v>
      </c>
      <c r="Q635" s="56" t="n">
        <f aca="false">IF(OR(F635&lt;&gt;0,AND(I635&lt;&gt;"",E635&lt;I635)),1,0)</f>
        <v>0</v>
      </c>
      <c r="R635" s="56" t="n">
        <f aca="false">IF(AND(D635&gt;1,Q635=0,ISNUMBER(O635),ISNUMBER(P635)),IF(Q634=0,1,0),0)</f>
        <v>1</v>
      </c>
      <c r="S635" s="56" t="n">
        <f aca="false">R635*(B635&gt;=Train_Start)*(B635&lt;=Train_End)</f>
        <v>1</v>
      </c>
      <c r="T635" s="84" t="n">
        <f aca="false">IF(AND(ISNUMBER(O635),ISNUMBER(P635)),Coef_A+Coef_B1*O635+Coef_B2*P635,"")</f>
        <v>16.2723239650362</v>
      </c>
      <c r="U635" s="84" t="n">
        <f aca="false">IF(AND(R635=1,ISNUMBER(T635)),E635-T635,"")</f>
        <v>-0.0723239650361514</v>
      </c>
      <c r="V635" s="84" t="n">
        <f aca="false">IF(ISNUMBER(T635),T635,-99)</f>
        <v>16.2723239650362</v>
      </c>
      <c r="W635" s="84" t="n">
        <f aca="false">IF(ISNUMBER(U635),ABS(U635),"")</f>
        <v>0.0723239650361514</v>
      </c>
    </row>
    <row r="636" customFormat="false" ht="15" hidden="false" customHeight="false" outlineLevel="0" collapsed="false">
      <c r="A636" s="57" t="n">
        <v>30459</v>
      </c>
      <c r="B636" s="56" t="n">
        <v>1983</v>
      </c>
      <c r="C636" s="56" t="n">
        <v>5</v>
      </c>
      <c r="D636" s="56" t="n">
        <v>23</v>
      </c>
      <c r="E636" s="56" t="n">
        <v>17.2</v>
      </c>
      <c r="F636" s="56" t="n">
        <v>0</v>
      </c>
      <c r="G636" s="56" t="n">
        <v>6.6</v>
      </c>
      <c r="H636" s="56" t="n">
        <v>0</v>
      </c>
      <c r="I636" s="56" t="n">
        <v>11.4</v>
      </c>
      <c r="J636" s="56" t="n">
        <v>0</v>
      </c>
      <c r="K636" s="56" t="n">
        <v>1014.8</v>
      </c>
      <c r="L636" s="56" t="n">
        <v>0</v>
      </c>
      <c r="M636" s="56" t="n">
        <v>71</v>
      </c>
      <c r="N636" s="56" t="n">
        <v>4.1</v>
      </c>
      <c r="O636" s="56" t="n">
        <f aca="false">IF(D636=1,"",E635)</f>
        <v>16.2</v>
      </c>
      <c r="P636" s="56" t="n">
        <f aca="false">IF(OR(D636=1,K635=""),"",K635)</f>
        <v>1010.5</v>
      </c>
      <c r="Q636" s="56" t="n">
        <f aca="false">IF(OR(F636&lt;&gt;0,AND(I636&lt;&gt;"",E636&lt;I636)),1,0)</f>
        <v>0</v>
      </c>
      <c r="R636" s="56" t="n">
        <f aca="false">IF(AND(D636&gt;1,Q636=0,ISNUMBER(O636),ISNUMBER(P636)),IF(Q635=0,1,0),0)</f>
        <v>1</v>
      </c>
      <c r="S636" s="56" t="n">
        <f aca="false">R636*(B636&gt;=Train_Start)*(B636&lt;=Train_End)</f>
        <v>1</v>
      </c>
      <c r="T636" s="84" t="n">
        <f aca="false">IF(AND(ISNUMBER(O636),ISNUMBER(P636)),Coef_A+Coef_B1*O636+Coef_B2*P636,"")</f>
        <v>17.059548876933</v>
      </c>
      <c r="U636" s="84" t="n">
        <f aca="false">IF(AND(R636=1,ISNUMBER(T636)),E636-T636,"")</f>
        <v>0.140451123066971</v>
      </c>
      <c r="V636" s="84" t="n">
        <f aca="false">IF(ISNUMBER(T636),T636,-99)</f>
        <v>17.059548876933</v>
      </c>
      <c r="W636" s="84" t="n">
        <f aca="false">IF(ISNUMBER(U636),ABS(U636),"")</f>
        <v>0.140451123066971</v>
      </c>
    </row>
    <row r="637" customFormat="false" ht="15" hidden="false" customHeight="false" outlineLevel="0" collapsed="false">
      <c r="A637" s="57" t="n">
        <v>30460</v>
      </c>
      <c r="B637" s="56" t="n">
        <v>1983</v>
      </c>
      <c r="C637" s="56" t="n">
        <v>5</v>
      </c>
      <c r="D637" s="56" t="n">
        <v>24</v>
      </c>
      <c r="E637" s="56" t="n">
        <v>18.9</v>
      </c>
      <c r="F637" s="56" t="n">
        <v>0</v>
      </c>
      <c r="G637" s="56" t="n">
        <v>10.2</v>
      </c>
      <c r="H637" s="56" t="n">
        <v>0</v>
      </c>
      <c r="I637" s="56" t="n">
        <v>13.7</v>
      </c>
      <c r="J637" s="56" t="n">
        <v>0</v>
      </c>
      <c r="K637" s="56" t="n">
        <v>1018.1</v>
      </c>
      <c r="L637" s="56" t="n">
        <v>0</v>
      </c>
      <c r="M637" s="56" t="n">
        <v>66</v>
      </c>
      <c r="N637" s="56" t="n">
        <v>3.8</v>
      </c>
      <c r="O637" s="56" t="n">
        <f aca="false">IF(D637=1,"",E636)</f>
        <v>17.2</v>
      </c>
      <c r="P637" s="56" t="n">
        <f aca="false">IF(OR(D637=1,K636=""),"",K636)</f>
        <v>1014.8</v>
      </c>
      <c r="Q637" s="56" t="n">
        <f aca="false">IF(OR(F637&lt;&gt;0,AND(I637&lt;&gt;"",E637&lt;I637)),1,0)</f>
        <v>0</v>
      </c>
      <c r="R637" s="56" t="n">
        <f aca="false">IF(AND(D637&gt;1,Q637=0,ISNUMBER(O637),ISNUMBER(P637)),IF(Q636=0,1,0),0)</f>
        <v>1</v>
      </c>
      <c r="S637" s="56" t="n">
        <f aca="false">R637*(B637&gt;=Train_Start)*(B637&lt;=Train_End)</f>
        <v>1</v>
      </c>
      <c r="T637" s="84" t="n">
        <f aca="false">IF(AND(ISNUMBER(O637),ISNUMBER(P637)),Coef_A+Coef_B1*O637+Coef_B2*P637,"")</f>
        <v>18.0137786169018</v>
      </c>
      <c r="U637" s="84" t="n">
        <f aca="false">IF(AND(R637=1,ISNUMBER(T637)),E637-T637,"")</f>
        <v>0.886221383098157</v>
      </c>
      <c r="V637" s="84" t="n">
        <f aca="false">IF(ISNUMBER(T637),T637,-99)</f>
        <v>18.0137786169018</v>
      </c>
      <c r="W637" s="84" t="n">
        <f aca="false">IF(ISNUMBER(U637),ABS(U637),"")</f>
        <v>0.886221383098157</v>
      </c>
    </row>
    <row r="638" customFormat="false" ht="15" hidden="false" customHeight="false" outlineLevel="0" collapsed="false">
      <c r="A638" s="57" t="n">
        <v>30461</v>
      </c>
      <c r="B638" s="56" t="n">
        <v>1983</v>
      </c>
      <c r="C638" s="56" t="n">
        <v>5</v>
      </c>
      <c r="D638" s="56" t="n">
        <v>25</v>
      </c>
      <c r="E638" s="56" t="n">
        <v>14.1</v>
      </c>
      <c r="F638" s="56" t="n">
        <v>0</v>
      </c>
      <c r="G638" s="56" t="n">
        <v>6.5</v>
      </c>
      <c r="H638" s="56" t="n">
        <v>0</v>
      </c>
      <c r="I638" s="56" t="n">
        <v>12.7</v>
      </c>
      <c r="J638" s="56" t="n">
        <v>0</v>
      </c>
      <c r="K638" s="56" t="n">
        <v>1020.2</v>
      </c>
      <c r="L638" s="56" t="n">
        <v>0</v>
      </c>
      <c r="M638" s="56" t="n">
        <v>66</v>
      </c>
      <c r="N638" s="56" t="n">
        <v>10.8</v>
      </c>
      <c r="O638" s="56" t="n">
        <f aca="false">IF(D638=1,"",E637)</f>
        <v>18.9</v>
      </c>
      <c r="P638" s="56" t="n">
        <f aca="false">IF(OR(D638=1,K637=""),"",K637)</f>
        <v>1018.1</v>
      </c>
      <c r="Q638" s="56" t="n">
        <f aca="false">IF(OR(F638&lt;&gt;0,AND(I638&lt;&gt;"",E638&lt;I638)),1,0)</f>
        <v>0</v>
      </c>
      <c r="R638" s="56" t="n">
        <f aca="false">IF(AND(D638&gt;1,Q638=0,ISNUMBER(O638),ISNUMBER(P638)),IF(Q637=0,1,0),0)</f>
        <v>1</v>
      </c>
      <c r="S638" s="56" t="n">
        <f aca="false">R638*(B638&gt;=Train_Start)*(B638&lt;=Train_End)</f>
        <v>1</v>
      </c>
      <c r="T638" s="84" t="n">
        <f aca="false">IF(AND(ISNUMBER(O638),ISNUMBER(P638)),Coef_A+Coef_B1*O638+Coef_B2*P638,"")</f>
        <v>19.5101758973665</v>
      </c>
      <c r="U638" s="84" t="n">
        <f aca="false">IF(AND(R638=1,ISNUMBER(T638)),E638-T638,"")</f>
        <v>-5.41017589736653</v>
      </c>
      <c r="V638" s="84" t="n">
        <f aca="false">IF(ISNUMBER(T638),T638,-99)</f>
        <v>19.5101758973665</v>
      </c>
      <c r="W638" s="84" t="n">
        <f aca="false">IF(ISNUMBER(U638),ABS(U638),"")</f>
        <v>5.41017589736653</v>
      </c>
    </row>
    <row r="639" customFormat="false" ht="15" hidden="false" customHeight="false" outlineLevel="0" collapsed="false">
      <c r="A639" s="57" t="n">
        <v>30462</v>
      </c>
      <c r="B639" s="56" t="n">
        <v>1983</v>
      </c>
      <c r="C639" s="56" t="n">
        <v>5</v>
      </c>
      <c r="D639" s="56" t="n">
        <v>26</v>
      </c>
      <c r="E639" s="56" t="n">
        <v>15</v>
      </c>
      <c r="F639" s="56" t="n">
        <v>0</v>
      </c>
      <c r="G639" s="56" t="n">
        <v>8.3</v>
      </c>
      <c r="H639" s="56" t="n">
        <v>0</v>
      </c>
      <c r="I639" s="56" t="n">
        <v>11.2</v>
      </c>
      <c r="J639" s="56" t="n">
        <v>0</v>
      </c>
      <c r="K639" s="56" t="n">
        <v>1022.3</v>
      </c>
      <c r="L639" s="56" t="n">
        <v>0</v>
      </c>
      <c r="M639" s="56" t="n">
        <v>67</v>
      </c>
      <c r="N639" s="56" t="n">
        <v>5.6</v>
      </c>
      <c r="O639" s="56" t="n">
        <f aca="false">IF(D639=1,"",E638)</f>
        <v>14.1</v>
      </c>
      <c r="P639" s="56" t="n">
        <f aca="false">IF(OR(D639=1,K638=""),"",K638)</f>
        <v>1020.2</v>
      </c>
      <c r="Q639" s="56" t="n">
        <f aca="false">IF(OR(F639&lt;&gt;0,AND(I639&lt;&gt;"",E639&lt;I639)),1,0)</f>
        <v>0</v>
      </c>
      <c r="R639" s="56" t="n">
        <f aca="false">IF(AND(D639&gt;1,Q639=0,ISNUMBER(O639),ISNUMBER(P639)),IF(Q638=0,1,0),0)</f>
        <v>1</v>
      </c>
      <c r="S639" s="56" t="n">
        <f aca="false">R639*(B639&gt;=Train_Start)*(B639&lt;=Train_End)</f>
        <v>1</v>
      </c>
      <c r="T639" s="84" t="n">
        <f aca="false">IF(AND(ISNUMBER(O639),ISNUMBER(P639)),Coef_A+Coef_B1*O639+Coef_B2*P639,"")</f>
        <v>15.6432245494931</v>
      </c>
      <c r="U639" s="84" t="n">
        <f aca="false">IF(AND(R639=1,ISNUMBER(T639)),E639-T639,"")</f>
        <v>-0.643224549493148</v>
      </c>
      <c r="V639" s="84" t="n">
        <f aca="false">IF(ISNUMBER(T639),T639,-99)</f>
        <v>15.6432245494931</v>
      </c>
      <c r="W639" s="84" t="n">
        <f aca="false">IF(ISNUMBER(U639),ABS(U639),"")</f>
        <v>0.643224549493148</v>
      </c>
    </row>
    <row r="640" customFormat="false" ht="15" hidden="false" customHeight="false" outlineLevel="0" collapsed="false">
      <c r="A640" s="57" t="n">
        <v>30463</v>
      </c>
      <c r="B640" s="56" t="n">
        <v>1983</v>
      </c>
      <c r="C640" s="56" t="n">
        <v>5</v>
      </c>
      <c r="D640" s="56" t="n">
        <v>27</v>
      </c>
      <c r="E640" s="56" t="n">
        <v>12</v>
      </c>
      <c r="F640" s="56" t="n">
        <v>0</v>
      </c>
      <c r="G640" s="56" t="n">
        <v>7</v>
      </c>
      <c r="H640" s="56" t="n">
        <v>0</v>
      </c>
      <c r="I640" s="56" t="n">
        <v>11</v>
      </c>
      <c r="J640" s="56" t="n">
        <v>0</v>
      </c>
      <c r="K640" s="56" t="n">
        <v>1018.1</v>
      </c>
      <c r="L640" s="56" t="n">
        <v>0</v>
      </c>
      <c r="M640" s="56" t="n">
        <v>70</v>
      </c>
      <c r="N640" s="56" t="n">
        <v>2.2</v>
      </c>
      <c r="O640" s="56" t="n">
        <f aca="false">IF(D640=1,"",E639)</f>
        <v>15</v>
      </c>
      <c r="P640" s="56" t="n">
        <f aca="false">IF(OR(D640=1,K639=""),"",K639)</f>
        <v>1022.3</v>
      </c>
      <c r="Q640" s="56" t="n">
        <f aca="false">IF(OR(F640&lt;&gt;0,AND(I640&lt;&gt;"",E640&lt;I640)),1,0)</f>
        <v>0</v>
      </c>
      <c r="R640" s="56" t="n">
        <f aca="false">IF(AND(D640&gt;1,Q640=0,ISNUMBER(O640),ISNUMBER(P640)),IF(Q639=0,1,0),0)</f>
        <v>1</v>
      </c>
      <c r="S640" s="56" t="n">
        <f aca="false">R640*(B640&gt;=Train_Start)*(B640&lt;=Train_End)</f>
        <v>1</v>
      </c>
      <c r="T640" s="84" t="n">
        <f aca="false">IF(AND(ISNUMBER(O640),ISNUMBER(P640)),Coef_A+Coef_B1*O640+Coef_B2*P640,"")</f>
        <v>16.4465066019629</v>
      </c>
      <c r="U640" s="84" t="n">
        <f aca="false">IF(AND(R640=1,ISNUMBER(T640)),E640-T640,"")</f>
        <v>-4.44650660196292</v>
      </c>
      <c r="V640" s="84" t="n">
        <f aca="false">IF(ISNUMBER(T640),T640,-99)</f>
        <v>16.4465066019629</v>
      </c>
      <c r="W640" s="84" t="n">
        <f aca="false">IF(ISNUMBER(U640),ABS(U640),"")</f>
        <v>4.44650660196292</v>
      </c>
    </row>
    <row r="641" customFormat="false" ht="15" hidden="false" customHeight="false" outlineLevel="0" collapsed="false">
      <c r="A641" s="57" t="n">
        <v>30464</v>
      </c>
      <c r="B641" s="56" t="n">
        <v>1983</v>
      </c>
      <c r="C641" s="56" t="n">
        <v>5</v>
      </c>
      <c r="D641" s="56" t="n">
        <v>28</v>
      </c>
      <c r="E641" s="56" t="n">
        <v>14.2</v>
      </c>
      <c r="F641" s="56" t="n">
        <v>0</v>
      </c>
      <c r="G641" s="56" t="n">
        <v>7.5</v>
      </c>
      <c r="H641" s="56" t="n">
        <v>0</v>
      </c>
      <c r="I641" s="56" t="n">
        <v>9.8</v>
      </c>
      <c r="J641" s="56" t="n">
        <v>0</v>
      </c>
      <c r="K641" s="56" t="n">
        <v>1009.9</v>
      </c>
      <c r="L641" s="56" t="n">
        <v>0</v>
      </c>
      <c r="M641" s="56" t="n">
        <v>89</v>
      </c>
      <c r="N641" s="56" t="n">
        <v>0</v>
      </c>
      <c r="O641" s="56" t="n">
        <f aca="false">IF(D641=1,"",E640)</f>
        <v>12</v>
      </c>
      <c r="P641" s="56" t="n">
        <f aca="false">IF(OR(D641=1,K640=""),"",K640)</f>
        <v>1018.1</v>
      </c>
      <c r="Q641" s="56" t="n">
        <f aca="false">IF(OR(F641&lt;&gt;0,AND(I641&lt;&gt;"",E641&lt;I641)),1,0)</f>
        <v>0</v>
      </c>
      <c r="R641" s="56" t="n">
        <f aca="false">IF(AND(D641&gt;1,Q641=0,ISNUMBER(O641),ISNUMBER(P641)),IF(Q640=0,1,0),0)</f>
        <v>1</v>
      </c>
      <c r="S641" s="56" t="n">
        <f aca="false">R641*(B641&gt;=Train_Start)*(B641&lt;=Train_End)</f>
        <v>1</v>
      </c>
      <c r="T641" s="84" t="n">
        <f aca="false">IF(AND(ISNUMBER(O641),ISNUMBER(P641)),Coef_A+Coef_B1*O641+Coef_B2*P641,"")</f>
        <v>13.8567354653722</v>
      </c>
      <c r="U641" s="84" t="n">
        <f aca="false">IF(AND(R641=1,ISNUMBER(T641)),E641-T641,"")</f>
        <v>0.343264534627807</v>
      </c>
      <c r="V641" s="84" t="n">
        <f aca="false">IF(ISNUMBER(T641),T641,-99)</f>
        <v>13.8567354653722</v>
      </c>
      <c r="W641" s="84" t="n">
        <f aca="false">IF(ISNUMBER(U641),ABS(U641),"")</f>
        <v>0.343264534627807</v>
      </c>
    </row>
    <row r="642" customFormat="false" ht="15" hidden="false" customHeight="false" outlineLevel="0" collapsed="false">
      <c r="A642" s="57" t="n">
        <v>30465</v>
      </c>
      <c r="B642" s="56" t="n">
        <v>1983</v>
      </c>
      <c r="C642" s="56" t="n">
        <v>5</v>
      </c>
      <c r="D642" s="56" t="n">
        <v>29</v>
      </c>
      <c r="E642" s="56" t="n">
        <v>17.5</v>
      </c>
      <c r="F642" s="56" t="n">
        <v>0</v>
      </c>
      <c r="G642" s="56" t="n">
        <v>7.6</v>
      </c>
      <c r="H642" s="56" t="n">
        <v>0</v>
      </c>
      <c r="I642" s="56" t="n">
        <v>10.9</v>
      </c>
      <c r="J642" s="56" t="n">
        <v>0</v>
      </c>
      <c r="K642" s="56" t="n">
        <v>1009.3</v>
      </c>
      <c r="L642" s="56" t="n">
        <v>0</v>
      </c>
      <c r="M642" s="56" t="n">
        <v>79</v>
      </c>
      <c r="N642" s="56" t="n">
        <v>1</v>
      </c>
      <c r="O642" s="56" t="n">
        <f aca="false">IF(D642=1,"",E641)</f>
        <v>14.2</v>
      </c>
      <c r="P642" s="56" t="n">
        <f aca="false">IF(OR(D642=1,K641=""),"",K641)</f>
        <v>1009.9</v>
      </c>
      <c r="Q642" s="56" t="n">
        <f aca="false">IF(OR(F642&lt;&gt;0,AND(I642&lt;&gt;"",E642&lt;I642)),1,0)</f>
        <v>0</v>
      </c>
      <c r="R642" s="56" t="n">
        <f aca="false">IF(AND(D642&gt;1,Q642=0,ISNUMBER(O642),ISNUMBER(P642)),IF(Q641=0,1,0),0)</f>
        <v>1</v>
      </c>
      <c r="S642" s="56" t="n">
        <f aca="false">R642*(B642&gt;=Train_Start)*(B642&lt;=Train_End)</f>
        <v>1</v>
      </c>
      <c r="T642" s="84" t="n">
        <f aca="false">IF(AND(ISNUMBER(O642),ISNUMBER(P642)),Coef_A+Coef_B1*O642+Coef_B2*P642,"")</f>
        <v>15.4020485540673</v>
      </c>
      <c r="U642" s="84" t="n">
        <f aca="false">IF(AND(R642=1,ISNUMBER(T642)),E642-T642,"")</f>
        <v>2.09795144593268</v>
      </c>
      <c r="V642" s="84" t="n">
        <f aca="false">IF(ISNUMBER(T642),T642,-99)</f>
        <v>15.4020485540673</v>
      </c>
      <c r="W642" s="84" t="n">
        <f aca="false">IF(ISNUMBER(U642),ABS(U642),"")</f>
        <v>2.09795144593268</v>
      </c>
    </row>
    <row r="643" customFormat="false" ht="15" hidden="false" customHeight="false" outlineLevel="0" collapsed="false">
      <c r="A643" s="57" t="n">
        <v>30466</v>
      </c>
      <c r="B643" s="56" t="n">
        <v>1983</v>
      </c>
      <c r="C643" s="56" t="n">
        <v>5</v>
      </c>
      <c r="D643" s="56" t="n">
        <v>30</v>
      </c>
      <c r="E643" s="56" t="n">
        <v>22.6</v>
      </c>
      <c r="F643" s="56" t="n">
        <v>0</v>
      </c>
      <c r="G643" s="56" t="n">
        <v>9.6</v>
      </c>
      <c r="H643" s="56" t="n">
        <v>0</v>
      </c>
      <c r="I643" s="56" t="n">
        <v>13.6</v>
      </c>
      <c r="J643" s="56" t="n">
        <v>0</v>
      </c>
      <c r="K643" s="56" t="n">
        <v>1010.5</v>
      </c>
      <c r="L643" s="56" t="n">
        <v>0</v>
      </c>
      <c r="M643" s="56" t="n">
        <v>74</v>
      </c>
      <c r="N643" s="56" t="n">
        <v>3.4</v>
      </c>
      <c r="O643" s="56" t="n">
        <f aca="false">IF(D643=1,"",E642)</f>
        <v>17.5</v>
      </c>
      <c r="P643" s="56" t="n">
        <f aca="false">IF(OR(D643=1,K642=""),"",K642)</f>
        <v>1009.3</v>
      </c>
      <c r="Q643" s="56" t="n">
        <f aca="false">IF(OR(F643&lt;&gt;0,AND(I643&lt;&gt;"",E643&lt;I643)),1,0)</f>
        <v>0</v>
      </c>
      <c r="R643" s="56" t="n">
        <f aca="false">IF(AND(D643&gt;1,Q643=0,ISNUMBER(O643),ISNUMBER(P643)),IF(Q642=0,1,0),0)</f>
        <v>1</v>
      </c>
      <c r="S643" s="56" t="n">
        <f aca="false">R643*(B643&gt;=Train_Start)*(B643&lt;=Train_End)</f>
        <v>1</v>
      </c>
      <c r="T643" s="84" t="n">
        <f aca="false">IF(AND(ISNUMBER(O643),ISNUMBER(P643)),Coef_A+Coef_B1*O643+Coef_B2*P643,"")</f>
        <v>18.0870459543277</v>
      </c>
      <c r="U643" s="84" t="n">
        <f aca="false">IF(AND(R643=1,ISNUMBER(T643)),E643-T643,"")</f>
        <v>4.51295404567231</v>
      </c>
      <c r="V643" s="84" t="n">
        <f aca="false">IF(ISNUMBER(T643),T643,-99)</f>
        <v>18.0870459543277</v>
      </c>
      <c r="W643" s="84" t="n">
        <f aca="false">IF(ISNUMBER(U643),ABS(U643),"")</f>
        <v>4.51295404567231</v>
      </c>
    </row>
    <row r="644" customFormat="false" ht="15" hidden="false" customHeight="false" outlineLevel="0" collapsed="false">
      <c r="A644" s="57" t="n">
        <v>30467</v>
      </c>
      <c r="B644" s="56" t="n">
        <v>1983</v>
      </c>
      <c r="C644" s="56" t="n">
        <v>5</v>
      </c>
      <c r="D644" s="56" t="n">
        <v>31</v>
      </c>
      <c r="E644" s="56" t="n">
        <v>21</v>
      </c>
      <c r="F644" s="56" t="n">
        <v>0</v>
      </c>
      <c r="G644" s="56" t="n">
        <v>11.4</v>
      </c>
      <c r="H644" s="56" t="n">
        <v>0</v>
      </c>
      <c r="I644" s="56" t="n">
        <v>17</v>
      </c>
      <c r="J644" s="56" t="n">
        <v>0</v>
      </c>
      <c r="K644" s="56" t="n">
        <v>1011.1</v>
      </c>
      <c r="L644" s="56" t="n">
        <v>0</v>
      </c>
      <c r="M644" s="56" t="n">
        <v>71</v>
      </c>
      <c r="N644" s="56" t="n">
        <v>6.5</v>
      </c>
      <c r="O644" s="56" t="n">
        <f aca="false">IF(D644=1,"",E643)</f>
        <v>22.6</v>
      </c>
      <c r="P644" s="56" t="n">
        <f aca="false">IF(OR(D644=1,K643=""),"",K643)</f>
        <v>1010.5</v>
      </c>
      <c r="Q644" s="56" t="n">
        <f aca="false">IF(OR(F644&lt;&gt;0,AND(I644&lt;&gt;"",E644&lt;I644)),1,0)</f>
        <v>0</v>
      </c>
      <c r="R644" s="56" t="n">
        <f aca="false">IF(AND(D644&gt;1,Q644=0,ISNUMBER(O644),ISNUMBER(P644)),IF(Q643=0,1,0),0)</f>
        <v>1</v>
      </c>
      <c r="S644" s="56" t="n">
        <f aca="false">R644*(B644&gt;=Train_Start)*(B644&lt;=Train_End)</f>
        <v>1</v>
      </c>
      <c r="T644" s="84" t="n">
        <f aca="false">IF(AND(ISNUMBER(O644),ISNUMBER(P644)),Coef_A+Coef_B1*O644+Coef_B2*P644,"")</f>
        <v>22.303319712406</v>
      </c>
      <c r="U644" s="84" t="n">
        <f aca="false">IF(AND(R644=1,ISNUMBER(T644)),E644-T644,"")</f>
        <v>-1.30331971240604</v>
      </c>
      <c r="V644" s="84" t="n">
        <f aca="false">IF(ISNUMBER(T644),T644,-99)</f>
        <v>22.303319712406</v>
      </c>
      <c r="W644" s="84" t="n">
        <f aca="false">IF(ISNUMBER(U644),ABS(U644),"")</f>
        <v>1.30331971240604</v>
      </c>
    </row>
    <row r="645" customFormat="false" ht="15" hidden="false" customHeight="false" outlineLevel="0" collapsed="false">
      <c r="A645" s="57" t="n">
        <v>30468</v>
      </c>
      <c r="B645" s="56" t="n">
        <v>1983</v>
      </c>
      <c r="C645" s="56" t="n">
        <v>6</v>
      </c>
      <c r="D645" s="56" t="n">
        <v>32</v>
      </c>
      <c r="E645" s="56" t="n">
        <v>18.1</v>
      </c>
      <c r="F645" s="56" t="n">
        <v>0</v>
      </c>
      <c r="G645" s="56" t="n">
        <v>13.3</v>
      </c>
      <c r="H645" s="56" t="n">
        <v>0</v>
      </c>
      <c r="I645" s="56" t="n">
        <v>17.2</v>
      </c>
      <c r="J645" s="56" t="n">
        <v>0</v>
      </c>
      <c r="K645" s="56" t="n">
        <v>1007.7</v>
      </c>
      <c r="L645" s="56" t="n">
        <v>0</v>
      </c>
      <c r="M645" s="56" t="n">
        <v>77</v>
      </c>
      <c r="N645" s="56" t="n">
        <v>7.7</v>
      </c>
      <c r="O645" s="56" t="n">
        <f aca="false">IF(D645=1,"",E644)</f>
        <v>21</v>
      </c>
      <c r="P645" s="56" t="n">
        <f aca="false">IF(OR(D645=1,K644=""),"",K644)</f>
        <v>1011.1</v>
      </c>
      <c r="Q645" s="56" t="n">
        <f aca="false">IF(OR(F645&lt;&gt;0,AND(I645&lt;&gt;"",E645&lt;I645)),1,0)</f>
        <v>0</v>
      </c>
      <c r="R645" s="56" t="n">
        <f aca="false">IF(AND(D645&gt;1,Q645=0,ISNUMBER(O645),ISNUMBER(P645)),IF(Q644=0,1,0),0)</f>
        <v>1</v>
      </c>
      <c r="S645" s="56" t="n">
        <f aca="false">R645*(B645&gt;=Train_Start)*(B645&lt;=Train_End)</f>
        <v>1</v>
      </c>
      <c r="T645" s="84" t="n">
        <f aca="false">IF(AND(ISNUMBER(O645),ISNUMBER(P645)),Coef_A+Coef_B1*O645+Coef_B2*P645,"")</f>
        <v>21.0111989403182</v>
      </c>
      <c r="U645" s="84" t="n">
        <f aca="false">IF(AND(R645=1,ISNUMBER(T645)),E645-T645,"")</f>
        <v>-2.91119894031818</v>
      </c>
      <c r="V645" s="84" t="n">
        <f aca="false">IF(ISNUMBER(T645),T645,-99)</f>
        <v>21.0111989403182</v>
      </c>
      <c r="W645" s="84" t="n">
        <f aca="false">IF(ISNUMBER(U645),ABS(U645),"")</f>
        <v>2.91119894031818</v>
      </c>
    </row>
    <row r="646" customFormat="false" ht="15" hidden="false" customHeight="false" outlineLevel="0" collapsed="false">
      <c r="A646" s="57" t="n">
        <v>30469</v>
      </c>
      <c r="B646" s="56" t="n">
        <v>1983</v>
      </c>
      <c r="C646" s="56" t="n">
        <v>6</v>
      </c>
      <c r="D646" s="56" t="n">
        <v>33</v>
      </c>
      <c r="E646" s="56" t="n">
        <v>20.1</v>
      </c>
      <c r="F646" s="56" t="n">
        <v>0</v>
      </c>
      <c r="G646" s="56" t="n">
        <v>12.2</v>
      </c>
      <c r="H646" s="56" t="n">
        <v>0</v>
      </c>
      <c r="I646" s="56" t="n">
        <v>15.2</v>
      </c>
      <c r="J646" s="56" t="n">
        <v>0</v>
      </c>
      <c r="K646" s="56" t="n">
        <v>1014.7</v>
      </c>
      <c r="L646" s="56" t="n">
        <v>0</v>
      </c>
      <c r="M646" s="56" t="n">
        <v>81</v>
      </c>
      <c r="N646" s="56" t="n">
        <v>3.2</v>
      </c>
      <c r="O646" s="56" t="n">
        <f aca="false">IF(D646=1,"",E645)</f>
        <v>18.1</v>
      </c>
      <c r="P646" s="56" t="n">
        <f aca="false">IF(OR(D646=1,K645=""),"",K645)</f>
        <v>1007.7</v>
      </c>
      <c r="Q646" s="56" t="n">
        <f aca="false">IF(OR(F646&lt;&gt;0,AND(I646&lt;&gt;"",E646&lt;I646)),1,0)</f>
        <v>0</v>
      </c>
      <c r="R646" s="56" t="n">
        <f aca="false">IF(AND(D646&gt;1,Q646=0,ISNUMBER(O646),ISNUMBER(P646)),IF(Q645=0,1,0),0)</f>
        <v>1</v>
      </c>
      <c r="S646" s="56" t="n">
        <f aca="false">R646*(B646&gt;=Train_Start)*(B646&lt;=Train_End)</f>
        <v>1</v>
      </c>
      <c r="T646" s="84" t="n">
        <f aca="false">IF(AND(ISNUMBER(O646),ISNUMBER(P646)),Coef_A+Coef_B1*O646+Coef_B2*P646,"")</f>
        <v>18.5284576387389</v>
      </c>
      <c r="U646" s="84" t="n">
        <f aca="false">IF(AND(R646=1,ISNUMBER(T646)),E646-T646,"")</f>
        <v>1.57154236126109</v>
      </c>
      <c r="V646" s="84" t="n">
        <f aca="false">IF(ISNUMBER(T646),T646,-99)</f>
        <v>18.5284576387389</v>
      </c>
      <c r="W646" s="84" t="n">
        <f aca="false">IF(ISNUMBER(U646),ABS(U646),"")</f>
        <v>1.57154236126109</v>
      </c>
    </row>
    <row r="647" customFormat="false" ht="15" hidden="false" customHeight="false" outlineLevel="0" collapsed="false">
      <c r="A647" s="57" t="n">
        <v>30470</v>
      </c>
      <c r="B647" s="56" t="n">
        <v>1983</v>
      </c>
      <c r="C647" s="56" t="n">
        <v>6</v>
      </c>
      <c r="D647" s="56" t="n">
        <v>34</v>
      </c>
      <c r="E647" s="56" t="n">
        <v>21.8</v>
      </c>
      <c r="F647" s="56" t="n">
        <v>0</v>
      </c>
      <c r="G647" s="56" t="n">
        <v>10.2</v>
      </c>
      <c r="H647" s="56" t="n">
        <v>0</v>
      </c>
      <c r="I647" s="56" t="n">
        <v>15.2</v>
      </c>
      <c r="J647" s="56" t="n">
        <v>0</v>
      </c>
      <c r="K647" s="56" t="n">
        <v>1020.2</v>
      </c>
      <c r="L647" s="56" t="n">
        <v>0</v>
      </c>
      <c r="M647" s="56" t="n">
        <v>75</v>
      </c>
      <c r="N647" s="56" t="n">
        <v>1.4</v>
      </c>
      <c r="O647" s="56" t="n">
        <f aca="false">IF(D647=1,"",E646)</f>
        <v>20.1</v>
      </c>
      <c r="P647" s="56" t="n">
        <f aca="false">IF(OR(D647=1,K646=""),"",K646)</f>
        <v>1014.7</v>
      </c>
      <c r="Q647" s="56" t="n">
        <f aca="false">IF(OR(F647&lt;&gt;0,AND(I647&lt;&gt;"",E647&lt;I647)),1,0)</f>
        <v>0</v>
      </c>
      <c r="R647" s="56" t="n">
        <f aca="false">IF(AND(D647&gt;1,Q647=0,ISNUMBER(O647),ISNUMBER(P647)),IF(Q646=0,1,0),0)</f>
        <v>1</v>
      </c>
      <c r="S647" s="56" t="n">
        <f aca="false">R647*(B647&gt;=Train_Start)*(B647&lt;=Train_End)</f>
        <v>1</v>
      </c>
      <c r="T647" s="84" t="n">
        <f aca="false">IF(AND(ISNUMBER(O647),ISNUMBER(P647)),Coef_A+Coef_B1*O647+Coef_B2*P647,"")</f>
        <v>20.3867252872622</v>
      </c>
      <c r="U647" s="84" t="n">
        <f aca="false">IF(AND(R647=1,ISNUMBER(T647)),E647-T647,"")</f>
        <v>1.41327471273785</v>
      </c>
      <c r="V647" s="84" t="n">
        <f aca="false">IF(ISNUMBER(T647),T647,-99)</f>
        <v>20.3867252872622</v>
      </c>
      <c r="W647" s="84" t="n">
        <f aca="false">IF(ISNUMBER(U647),ABS(U647),"")</f>
        <v>1.41327471273785</v>
      </c>
    </row>
    <row r="648" customFormat="false" ht="15" hidden="false" customHeight="false" outlineLevel="0" collapsed="false">
      <c r="A648" s="57" t="n">
        <v>30471</v>
      </c>
      <c r="B648" s="56" t="n">
        <v>1983</v>
      </c>
      <c r="C648" s="56" t="n">
        <v>6</v>
      </c>
      <c r="D648" s="56" t="n">
        <v>35</v>
      </c>
      <c r="E648" s="56" t="n">
        <v>21.4</v>
      </c>
      <c r="F648" s="56" t="n">
        <v>0</v>
      </c>
      <c r="G648" s="56" t="n">
        <v>13.4</v>
      </c>
      <c r="H648" s="56" t="n">
        <v>0</v>
      </c>
      <c r="I648" s="56" t="n">
        <v>17.6</v>
      </c>
      <c r="J648" s="56" t="n">
        <v>0</v>
      </c>
      <c r="K648" s="56" t="n">
        <v>1021.2</v>
      </c>
      <c r="L648" s="56" t="n">
        <v>0</v>
      </c>
      <c r="M648" s="56" t="n">
        <v>73</v>
      </c>
      <c r="N648" s="56" t="n">
        <v>8.7</v>
      </c>
      <c r="O648" s="56" t="n">
        <f aca="false">IF(D648=1,"",E647)</f>
        <v>21.8</v>
      </c>
      <c r="P648" s="56" t="n">
        <f aca="false">IF(OR(D648=1,K647=""),"",K647)</f>
        <v>1020.2</v>
      </c>
      <c r="Q648" s="56" t="n">
        <f aca="false">IF(OR(F648&lt;&gt;0,AND(I648&lt;&gt;"",E648&lt;I648)),1,0)</f>
        <v>0</v>
      </c>
      <c r="R648" s="56" t="n">
        <f aca="false">IF(AND(D648&gt;1,Q648=0,ISNUMBER(O648),ISNUMBER(P648)),IF(Q647=0,1,0),0)</f>
        <v>1</v>
      </c>
      <c r="S648" s="56" t="n">
        <f aca="false">R648*(B648&gt;=Train_Start)*(B648&lt;=Train_End)</f>
        <v>1</v>
      </c>
      <c r="T648" s="84" t="n">
        <f aca="false">IF(AND(ISNUMBER(O648),ISNUMBER(P648)),Coef_A+Coef_B1*O648+Coef_B2*P648,"")</f>
        <v>21.9521363359216</v>
      </c>
      <c r="U648" s="84" t="n">
        <f aca="false">IF(AND(R648=1,ISNUMBER(T648)),E648-T648,"")</f>
        <v>-0.552136335921613</v>
      </c>
      <c r="V648" s="84" t="n">
        <f aca="false">IF(ISNUMBER(T648),T648,-99)</f>
        <v>21.9521363359216</v>
      </c>
      <c r="W648" s="84" t="n">
        <f aca="false">IF(ISNUMBER(U648),ABS(U648),"")</f>
        <v>0.552136335921613</v>
      </c>
    </row>
    <row r="649" customFormat="false" ht="15" hidden="false" customHeight="false" outlineLevel="0" collapsed="false">
      <c r="A649" s="57" t="n">
        <v>30472</v>
      </c>
      <c r="B649" s="56" t="n">
        <v>1983</v>
      </c>
      <c r="C649" s="56" t="n">
        <v>6</v>
      </c>
      <c r="D649" s="56" t="n">
        <v>36</v>
      </c>
      <c r="E649" s="56" t="n">
        <v>20</v>
      </c>
      <c r="F649" s="56" t="n">
        <v>0</v>
      </c>
      <c r="G649" s="56" t="n">
        <v>14.1</v>
      </c>
      <c r="H649" s="56" t="n">
        <v>0</v>
      </c>
      <c r="I649" s="56" t="n">
        <v>17.8</v>
      </c>
      <c r="J649" s="56" t="n">
        <v>0</v>
      </c>
      <c r="K649" s="56" t="n">
        <v>1023</v>
      </c>
      <c r="L649" s="56" t="n">
        <v>0</v>
      </c>
      <c r="M649" s="56" t="n">
        <v>73</v>
      </c>
      <c r="N649" s="56" t="n">
        <v>4.1</v>
      </c>
      <c r="O649" s="56" t="n">
        <f aca="false">IF(D649=1,"",E648)</f>
        <v>21.4</v>
      </c>
      <c r="P649" s="56" t="n">
        <f aca="false">IF(OR(D649=1,K648=""),"",K648)</f>
        <v>1021.2</v>
      </c>
      <c r="Q649" s="56" t="n">
        <f aca="false">IF(OR(F649&lt;&gt;0,AND(I649&lt;&gt;"",E649&lt;I649)),1,0)</f>
        <v>0</v>
      </c>
      <c r="R649" s="56" t="n">
        <f aca="false">IF(AND(D649&gt;1,Q649=0,ISNUMBER(O649),ISNUMBER(P649)),IF(Q648=0,1,0),0)</f>
        <v>1</v>
      </c>
      <c r="S649" s="56" t="n">
        <f aca="false">R649*(B649&gt;=Train_Start)*(B649&lt;=Train_End)</f>
        <v>1</v>
      </c>
      <c r="T649" s="84" t="n">
        <f aca="false">IF(AND(ISNUMBER(O649),ISNUMBER(P649)),Coef_A+Coef_B1*O649+Coef_B2*P649,"")</f>
        <v>21.6557705533385</v>
      </c>
      <c r="U649" s="84" t="n">
        <f aca="false">IF(AND(R649=1,ISNUMBER(T649)),E649-T649,"")</f>
        <v>-1.65577055333854</v>
      </c>
      <c r="V649" s="84" t="n">
        <f aca="false">IF(ISNUMBER(T649),T649,-99)</f>
        <v>21.6557705533385</v>
      </c>
      <c r="W649" s="84" t="n">
        <f aca="false">IF(ISNUMBER(U649),ABS(U649),"")</f>
        <v>1.65577055333854</v>
      </c>
    </row>
    <row r="650" customFormat="false" ht="15" hidden="false" customHeight="false" outlineLevel="0" collapsed="false">
      <c r="A650" s="57" t="n">
        <v>30473</v>
      </c>
      <c r="B650" s="56" t="n">
        <v>1983</v>
      </c>
      <c r="C650" s="56" t="n">
        <v>6</v>
      </c>
      <c r="D650" s="56" t="n">
        <v>37</v>
      </c>
      <c r="E650" s="56" t="n">
        <v>24.8</v>
      </c>
      <c r="F650" s="56" t="n">
        <v>0</v>
      </c>
      <c r="G650" s="56" t="n">
        <v>8.8</v>
      </c>
      <c r="H650" s="56" t="n">
        <v>0</v>
      </c>
      <c r="I650" s="56" t="n">
        <v>14.4</v>
      </c>
      <c r="J650" s="56" t="n">
        <v>0</v>
      </c>
      <c r="K650" s="56" t="n">
        <v>1023.6</v>
      </c>
      <c r="L650" s="56" t="n">
        <v>0</v>
      </c>
      <c r="M650" s="56" t="n">
        <v>65</v>
      </c>
      <c r="N650" s="56" t="n">
        <v>12.3</v>
      </c>
      <c r="O650" s="56" t="n">
        <f aca="false">IF(D650=1,"",E649)</f>
        <v>20</v>
      </c>
      <c r="P650" s="56" t="n">
        <f aca="false">IF(OR(D650=1,K649=""),"",K649)</f>
        <v>1023</v>
      </c>
      <c r="Q650" s="56" t="n">
        <f aca="false">IF(OR(F650&lt;&gt;0,AND(I650&lt;&gt;"",E650&lt;I650)),1,0)</f>
        <v>0</v>
      </c>
      <c r="R650" s="56" t="n">
        <f aca="false">IF(AND(D650&gt;1,Q650=0,ISNUMBER(O650),ISNUMBER(P650)),IF(Q649=0,1,0),0)</f>
        <v>1</v>
      </c>
      <c r="S650" s="56" t="n">
        <f aca="false">R650*(B650&gt;=Train_Start)*(B650&lt;=Train_End)</f>
        <v>1</v>
      </c>
      <c r="T650" s="84" t="n">
        <f aca="false">IF(AND(ISNUMBER(O650),ISNUMBER(P650)),Coef_A+Coef_B1*O650+Coef_B2*P650,"")</f>
        <v>20.56516149342</v>
      </c>
      <c r="U650" s="84" t="n">
        <f aca="false">IF(AND(R650=1,ISNUMBER(T650)),E650-T650,"")</f>
        <v>4.23483850658</v>
      </c>
      <c r="V650" s="84" t="n">
        <f aca="false">IF(ISNUMBER(T650),T650,-99)</f>
        <v>20.56516149342</v>
      </c>
      <c r="W650" s="84" t="n">
        <f aca="false">IF(ISNUMBER(U650),ABS(U650),"")</f>
        <v>4.23483850658</v>
      </c>
    </row>
    <row r="651" customFormat="false" ht="15" hidden="false" customHeight="false" outlineLevel="0" collapsed="false">
      <c r="A651" s="57" t="n">
        <v>30474</v>
      </c>
      <c r="B651" s="56" t="n">
        <v>1983</v>
      </c>
      <c r="C651" s="56" t="n">
        <v>6</v>
      </c>
      <c r="D651" s="56" t="n">
        <v>38</v>
      </c>
      <c r="E651" s="56" t="n">
        <v>24.4</v>
      </c>
      <c r="F651" s="56" t="n">
        <v>0</v>
      </c>
      <c r="G651" s="56" t="n">
        <v>13.4</v>
      </c>
      <c r="H651" s="56" t="n">
        <v>0</v>
      </c>
      <c r="I651" s="56" t="n">
        <v>19.1</v>
      </c>
      <c r="J651" s="56" t="n">
        <v>0</v>
      </c>
      <c r="K651" s="56" t="n">
        <v>1016.7</v>
      </c>
      <c r="L651" s="56" t="n">
        <v>0</v>
      </c>
      <c r="M651" s="56" t="n">
        <v>71</v>
      </c>
      <c r="N651" s="56" t="n">
        <v>8</v>
      </c>
      <c r="O651" s="56" t="n">
        <f aca="false">IF(D651=1,"",E650)</f>
        <v>24.8</v>
      </c>
      <c r="P651" s="56" t="n">
        <f aca="false">IF(OR(D651=1,K650=""),"",K650)</f>
        <v>1023.6</v>
      </c>
      <c r="Q651" s="56" t="n">
        <f aca="false">IF(OR(F651&lt;&gt;0,AND(I651&lt;&gt;"",E651&lt;I651)),1,0)</f>
        <v>0</v>
      </c>
      <c r="R651" s="56" t="n">
        <f aca="false">IF(AND(D651&gt;1,Q651=0,ISNUMBER(O651),ISNUMBER(P651)),IF(Q650=0,1,0),0)</f>
        <v>1</v>
      </c>
      <c r="S651" s="56" t="n">
        <f aca="false">R651*(B651&gt;=Train_Start)*(B651&lt;=Train_End)</f>
        <v>1</v>
      </c>
      <c r="T651" s="84" t="n">
        <f aca="false">IF(AND(ISNUMBER(O651),ISNUMBER(P651)),Coef_A+Coef_B1*O651+Coef_B2*P651,"")</f>
        <v>24.5168115568052</v>
      </c>
      <c r="U651" s="84" t="n">
        <f aca="false">IF(AND(R651=1,ISNUMBER(T651)),E651-T651,"")</f>
        <v>-0.116811556805153</v>
      </c>
      <c r="V651" s="84" t="n">
        <f aca="false">IF(ISNUMBER(T651),T651,-99)</f>
        <v>24.5168115568052</v>
      </c>
      <c r="W651" s="84" t="n">
        <f aca="false">IF(ISNUMBER(U651),ABS(U651),"")</f>
        <v>0.116811556805153</v>
      </c>
    </row>
    <row r="652" customFormat="false" ht="15" hidden="false" customHeight="false" outlineLevel="0" collapsed="false">
      <c r="A652" s="57" t="n">
        <v>30475</v>
      </c>
      <c r="B652" s="56" t="n">
        <v>1983</v>
      </c>
      <c r="C652" s="56" t="n">
        <v>6</v>
      </c>
      <c r="D652" s="56" t="n">
        <v>39</v>
      </c>
      <c r="E652" s="56" t="n">
        <v>20.3</v>
      </c>
      <c r="F652" s="56" t="n">
        <v>1</v>
      </c>
      <c r="G652" s="56" t="n">
        <v>16.9</v>
      </c>
      <c r="H652" s="56" t="n">
        <v>0</v>
      </c>
      <c r="I652" s="56" t="n">
        <v>20.6</v>
      </c>
      <c r="J652" s="56" t="n">
        <v>1</v>
      </c>
      <c r="K652" s="56" t="n">
        <v>1017.2</v>
      </c>
      <c r="L652" s="56" t="n">
        <v>0</v>
      </c>
      <c r="M652" s="56" t="n">
        <v>70</v>
      </c>
      <c r="N652" s="56" t="n">
        <v>8.9</v>
      </c>
      <c r="O652" s="56" t="n">
        <f aca="false">IF(D652=1,"",E651)</f>
        <v>24.4</v>
      </c>
      <c r="P652" s="56" t="n">
        <f aca="false">IF(OR(D652=1,K651=""),"",K651)</f>
        <v>1016.7</v>
      </c>
      <c r="Q652" s="56" t="n">
        <f aca="false">IF(OR(F652&lt;&gt;0,AND(I652&lt;&gt;"",E652&lt;I652)),1,0)</f>
        <v>1</v>
      </c>
      <c r="R652" s="56" t="n">
        <f aca="false">IF(AND(D652&gt;1,Q652=0,ISNUMBER(O652),ISNUMBER(P652)),IF(Q651=0,1,0),0)</f>
        <v>0</v>
      </c>
      <c r="S652" s="56" t="n">
        <f aca="false">R652*(B652&gt;=Train_Start)*(B652&lt;=Train_End)</f>
        <v>0</v>
      </c>
      <c r="T652" s="84" t="n">
        <f aca="false">IF(AND(ISNUMBER(O652),ISNUMBER(P652)),Coef_A+Coef_B1*O652+Coef_B2*P652,"")</f>
        <v>23.9726236066136</v>
      </c>
      <c r="U652" s="84" t="str">
        <f aca="false">IF(AND(R652=1,ISNUMBER(T652)),E652-T652,"")</f>
        <v/>
      </c>
      <c r="V652" s="84" t="n">
        <f aca="false">IF(ISNUMBER(T652),T652,-99)</f>
        <v>23.9726236066136</v>
      </c>
      <c r="W652" s="84" t="str">
        <f aca="false">IF(ISNUMBER(U652),ABS(U652),"")</f>
        <v/>
      </c>
    </row>
    <row r="653" customFormat="false" ht="15" hidden="false" customHeight="false" outlineLevel="0" collapsed="false">
      <c r="A653" s="57" t="n">
        <v>30476</v>
      </c>
      <c r="B653" s="56" t="n">
        <v>1983</v>
      </c>
      <c r="C653" s="56" t="n">
        <v>6</v>
      </c>
      <c r="D653" s="56" t="n">
        <v>40</v>
      </c>
      <c r="E653" s="56" t="n">
        <v>20</v>
      </c>
      <c r="F653" s="56" t="n">
        <v>0</v>
      </c>
      <c r="G653" s="56" t="n">
        <v>12.9</v>
      </c>
      <c r="H653" s="56" t="n">
        <v>0</v>
      </c>
      <c r="I653" s="56" t="n">
        <v>16.6</v>
      </c>
      <c r="J653" s="56" t="n">
        <v>0</v>
      </c>
      <c r="K653" s="56" t="n">
        <v>1022.3</v>
      </c>
      <c r="L653" s="56" t="n">
        <v>0</v>
      </c>
      <c r="M653" s="56" t="n">
        <v>78</v>
      </c>
      <c r="N653" s="56" t="n">
        <v>3</v>
      </c>
      <c r="O653" s="56" t="n">
        <f aca="false">IF(D653=1,"",E652)</f>
        <v>20.3</v>
      </c>
      <c r="P653" s="56" t="n">
        <f aca="false">IF(OR(D653=1,K652=""),"",K652)</f>
        <v>1017.2</v>
      </c>
      <c r="Q653" s="56" t="n">
        <f aca="false">IF(OR(F653&lt;&gt;0,AND(I653&lt;&gt;"",E653&lt;I653)),1,0)</f>
        <v>0</v>
      </c>
      <c r="R653" s="56" t="n">
        <f aca="false">IF(AND(D653&gt;1,Q653=0,ISNUMBER(O653),ISNUMBER(P653)),IF(Q652=0,1,0),0)</f>
        <v>0</v>
      </c>
      <c r="S653" s="56" t="n">
        <f aca="false">R653*(B653&gt;=Train_Start)*(B653&lt;=Train_End)</f>
        <v>0</v>
      </c>
      <c r="T653" s="84" t="n">
        <f aca="false">IF(AND(ISNUMBER(O653),ISNUMBER(P653)),Coef_A+Coef_B1*O653+Coef_B2*P653,"")</f>
        <v>20.6290178624557</v>
      </c>
      <c r="U653" s="84" t="str">
        <f aca="false">IF(AND(R653=1,ISNUMBER(T653)),E653-T653,"")</f>
        <v/>
      </c>
      <c r="V653" s="84" t="n">
        <f aca="false">IF(ISNUMBER(T653),T653,-99)</f>
        <v>20.6290178624557</v>
      </c>
      <c r="W653" s="84" t="str">
        <f aca="false">IF(ISNUMBER(U653),ABS(U653),"")</f>
        <v/>
      </c>
    </row>
    <row r="654" customFormat="false" ht="15" hidden="false" customHeight="false" outlineLevel="0" collapsed="false">
      <c r="A654" s="57" t="n">
        <v>30477</v>
      </c>
      <c r="B654" s="56" t="n">
        <v>1983</v>
      </c>
      <c r="C654" s="56" t="n">
        <v>6</v>
      </c>
      <c r="D654" s="56" t="n">
        <v>41</v>
      </c>
      <c r="E654" s="56" t="n">
        <v>20</v>
      </c>
      <c r="F654" s="56" t="n">
        <v>0</v>
      </c>
      <c r="G654" s="56" t="n">
        <v>9.1</v>
      </c>
      <c r="H654" s="56" t="n">
        <v>0</v>
      </c>
      <c r="I654" s="56" t="n">
        <v>14.6</v>
      </c>
      <c r="J654" s="56" t="n">
        <v>0</v>
      </c>
      <c r="K654" s="56" t="n">
        <v>1020.6</v>
      </c>
      <c r="L654" s="56" t="n">
        <v>0</v>
      </c>
      <c r="M654" s="56" t="n">
        <v>70</v>
      </c>
      <c r="N654" s="56" t="n">
        <v>7.8</v>
      </c>
      <c r="O654" s="56" t="n">
        <f aca="false">IF(D654=1,"",E653)</f>
        <v>20</v>
      </c>
      <c r="P654" s="56" t="n">
        <f aca="false">IF(OR(D654=1,K653=""),"",K653)</f>
        <v>1022.3</v>
      </c>
      <c r="Q654" s="56" t="n">
        <f aca="false">IF(OR(F654&lt;&gt;0,AND(I654&lt;&gt;"",E654&lt;I654)),1,0)</f>
        <v>0</v>
      </c>
      <c r="R654" s="56" t="n">
        <f aca="false">IF(AND(D654&gt;1,Q654=0,ISNUMBER(O654),ISNUMBER(P654)),IF(Q653=0,1,0),0)</f>
        <v>1</v>
      </c>
      <c r="S654" s="56" t="n">
        <f aca="false">R654*(B654&gt;=Train_Start)*(B654&lt;=Train_End)</f>
        <v>1</v>
      </c>
      <c r="T654" s="84" t="n">
        <f aca="false">IF(AND(ISNUMBER(O654),ISNUMBER(P654)),Coef_A+Coef_B1*O654+Coef_B2*P654,"")</f>
        <v>20.5432025671762</v>
      </c>
      <c r="U654" s="84" t="n">
        <f aca="false">IF(AND(R654=1,ISNUMBER(T654)),E654-T654,"")</f>
        <v>-0.543202567176206</v>
      </c>
      <c r="V654" s="84" t="n">
        <f aca="false">IF(ISNUMBER(T654),T654,-99)</f>
        <v>20.5432025671762</v>
      </c>
      <c r="W654" s="84" t="n">
        <f aca="false">IF(ISNUMBER(U654),ABS(U654),"")</f>
        <v>0.543202567176206</v>
      </c>
    </row>
    <row r="655" customFormat="false" ht="15" hidden="false" customHeight="false" outlineLevel="0" collapsed="false">
      <c r="A655" s="57" t="n">
        <v>30478</v>
      </c>
      <c r="B655" s="56" t="n">
        <v>1983</v>
      </c>
      <c r="C655" s="56" t="n">
        <v>6</v>
      </c>
      <c r="D655" s="56" t="n">
        <v>42</v>
      </c>
      <c r="E655" s="56" t="n">
        <v>20.4</v>
      </c>
      <c r="F655" s="56" t="n">
        <v>0</v>
      </c>
      <c r="G655" s="56" t="n">
        <v>12.3</v>
      </c>
      <c r="H655" s="56" t="n">
        <v>0</v>
      </c>
      <c r="I655" s="56" t="n">
        <v>16.2</v>
      </c>
      <c r="J655" s="56" t="n">
        <v>0</v>
      </c>
      <c r="K655" s="56" t="n">
        <v>1013.5</v>
      </c>
      <c r="L655" s="56" t="n">
        <v>0</v>
      </c>
      <c r="M655" s="56" t="n">
        <v>71</v>
      </c>
      <c r="N655" s="56" t="n">
        <v>4.1</v>
      </c>
      <c r="O655" s="56" t="n">
        <f aca="false">IF(D655=1,"",E654)</f>
        <v>20</v>
      </c>
      <c r="P655" s="56" t="n">
        <f aca="false">IF(OR(D655=1,K654=""),"",K654)</f>
        <v>1020.6</v>
      </c>
      <c r="Q655" s="56" t="n">
        <f aca="false">IF(OR(F655&lt;&gt;0,AND(I655&lt;&gt;"",E655&lt;I655)),1,0)</f>
        <v>0</v>
      </c>
      <c r="R655" s="56" t="n">
        <f aca="false">IF(AND(D655&gt;1,Q655=0,ISNUMBER(O655),ISNUMBER(P655)),IF(Q654=0,1,0),0)</f>
        <v>1</v>
      </c>
      <c r="S655" s="56" t="n">
        <f aca="false">R655*(B655&gt;=Train_Start)*(B655&lt;=Train_End)</f>
        <v>1</v>
      </c>
      <c r="T655" s="84" t="n">
        <f aca="false">IF(AND(ISNUMBER(O655),ISNUMBER(P655)),Coef_A+Coef_B1*O655+Coef_B2*P655,"")</f>
        <v>20.4898737462984</v>
      </c>
      <c r="U655" s="84" t="n">
        <f aca="false">IF(AND(R655=1,ISNUMBER(T655)),E655-T655,"")</f>
        <v>-0.0898737462984265</v>
      </c>
      <c r="V655" s="84" t="n">
        <f aca="false">IF(ISNUMBER(T655),T655,-99)</f>
        <v>20.4898737462984</v>
      </c>
      <c r="W655" s="84" t="n">
        <f aca="false">IF(ISNUMBER(U655),ABS(U655),"")</f>
        <v>0.0898737462984265</v>
      </c>
    </row>
    <row r="656" customFormat="false" ht="15" hidden="false" customHeight="false" outlineLevel="0" collapsed="false">
      <c r="A656" s="57" t="n">
        <v>30479</v>
      </c>
      <c r="B656" s="56" t="n">
        <v>1983</v>
      </c>
      <c r="C656" s="56" t="n">
        <v>6</v>
      </c>
      <c r="D656" s="56" t="n">
        <v>43</v>
      </c>
      <c r="E656" s="56" t="n">
        <v>18.2</v>
      </c>
      <c r="F656" s="56" t="n">
        <v>0</v>
      </c>
      <c r="G656" s="56" t="n">
        <v>11.9</v>
      </c>
      <c r="H656" s="56" t="n">
        <v>0</v>
      </c>
      <c r="I656" s="56" t="n">
        <v>16.2</v>
      </c>
      <c r="J656" s="56" t="n">
        <v>0</v>
      </c>
      <c r="K656" s="56" t="n">
        <v>1015.5</v>
      </c>
      <c r="L656" s="56" t="n">
        <v>0</v>
      </c>
      <c r="M656" s="56" t="n">
        <v>66</v>
      </c>
      <c r="N656" s="56" t="n">
        <v>6.3</v>
      </c>
      <c r="O656" s="56" t="n">
        <f aca="false">IF(D656=1,"",E655)</f>
        <v>20.4</v>
      </c>
      <c r="P656" s="56" t="n">
        <f aca="false">IF(OR(D656=1,K655=""),"",K655)</f>
        <v>1013.5</v>
      </c>
      <c r="Q656" s="56" t="n">
        <f aca="false">IF(OR(F656&lt;&gt;0,AND(I656&lt;&gt;"",E656&lt;I656)),1,0)</f>
        <v>0</v>
      </c>
      <c r="R656" s="56" t="n">
        <f aca="false">IF(AND(D656&gt;1,Q656=0,ISNUMBER(O656),ISNUMBER(P656)),IF(Q655=0,1,0),0)</f>
        <v>1</v>
      </c>
      <c r="S656" s="56" t="n">
        <f aca="false">R656*(B656&gt;=Train_Start)*(B656&lt;=Train_End)</f>
        <v>1</v>
      </c>
      <c r="T656" s="84" t="n">
        <f aca="false">IF(AND(ISNUMBER(O656),ISNUMBER(P656)),Coef_A+Coef_B1*O656+Coef_B2*P656,"")</f>
        <v>20.5948831716142</v>
      </c>
      <c r="U656" s="84" t="n">
        <f aca="false">IF(AND(R656=1,ISNUMBER(T656)),E656-T656,"")</f>
        <v>-2.39488317161416</v>
      </c>
      <c r="V656" s="84" t="n">
        <f aca="false">IF(ISNUMBER(T656),T656,-99)</f>
        <v>20.5948831716142</v>
      </c>
      <c r="W656" s="84" t="n">
        <f aca="false">IF(ISNUMBER(U656),ABS(U656),"")</f>
        <v>2.39488317161416</v>
      </c>
    </row>
    <row r="657" customFormat="false" ht="15" hidden="false" customHeight="false" outlineLevel="0" collapsed="false">
      <c r="A657" s="57" t="n">
        <v>30480</v>
      </c>
      <c r="B657" s="56" t="n">
        <v>1983</v>
      </c>
      <c r="C657" s="56" t="n">
        <v>6</v>
      </c>
      <c r="D657" s="56" t="n">
        <v>44</v>
      </c>
      <c r="E657" s="56" t="n">
        <v>18.9</v>
      </c>
      <c r="F657" s="56" t="n">
        <v>0</v>
      </c>
      <c r="G657" s="56" t="n">
        <v>7.3</v>
      </c>
      <c r="H657" s="56" t="n">
        <v>0</v>
      </c>
      <c r="I657" s="56" t="n">
        <v>12.8</v>
      </c>
      <c r="J657" s="56" t="n">
        <v>0</v>
      </c>
      <c r="K657" s="56" t="n">
        <v>1021</v>
      </c>
      <c r="L657" s="56" t="n">
        <v>0</v>
      </c>
      <c r="M657" s="56" t="n">
        <v>64</v>
      </c>
      <c r="N657" s="56" t="n">
        <v>10</v>
      </c>
      <c r="O657" s="56" t="n">
        <f aca="false">IF(D657=1,"",E656)</f>
        <v>18.2</v>
      </c>
      <c r="P657" s="56" t="n">
        <f aca="false">IF(OR(D657=1,K656=""),"",K656)</f>
        <v>1015.5</v>
      </c>
      <c r="Q657" s="56" t="n">
        <f aca="false">IF(OR(F657&lt;&gt;0,AND(I657&lt;&gt;"",E657&lt;I657)),1,0)</f>
        <v>0</v>
      </c>
      <c r="R657" s="56" t="n">
        <f aca="false">IF(AND(D657&gt;1,Q657=0,ISNUMBER(O657),ISNUMBER(P657)),IF(Q656=0,1,0),0)</f>
        <v>1</v>
      </c>
      <c r="S657" s="56" t="n">
        <f aca="false">R657*(B657&gt;=Train_Start)*(B657&lt;=Train_End)</f>
        <v>1</v>
      </c>
      <c r="T657" s="84" t="n">
        <f aca="false">IF(AND(ISNUMBER(O657),ISNUMBER(P657)),Coef_A+Coef_B1*O657+Coef_B2*P657,"")</f>
        <v>18.8550767361883</v>
      </c>
      <c r="U657" s="84" t="n">
        <f aca="false">IF(AND(R657=1,ISNUMBER(T657)),E657-T657,"")</f>
        <v>0.0449232638117039</v>
      </c>
      <c r="V657" s="84" t="n">
        <f aca="false">IF(ISNUMBER(T657),T657,-99)</f>
        <v>18.8550767361883</v>
      </c>
      <c r="W657" s="84" t="n">
        <f aca="false">IF(ISNUMBER(U657),ABS(U657),"")</f>
        <v>0.0449232638117039</v>
      </c>
    </row>
    <row r="658" customFormat="false" ht="15" hidden="false" customHeight="false" outlineLevel="0" collapsed="false">
      <c r="A658" s="57" t="n">
        <v>30481</v>
      </c>
      <c r="B658" s="56" t="n">
        <v>1983</v>
      </c>
      <c r="C658" s="56" t="n">
        <v>6</v>
      </c>
      <c r="D658" s="56" t="n">
        <v>45</v>
      </c>
      <c r="E658" s="56" t="n">
        <v>17.3</v>
      </c>
      <c r="F658" s="56" t="n">
        <v>0</v>
      </c>
      <c r="G658" s="56" t="n">
        <v>12.7</v>
      </c>
      <c r="H658" s="56" t="n">
        <v>0</v>
      </c>
      <c r="I658" s="56" t="n">
        <v>15.8</v>
      </c>
      <c r="J658" s="56" t="n">
        <v>0</v>
      </c>
      <c r="K658" s="56" t="n">
        <v>1022.3</v>
      </c>
      <c r="L658" s="56" t="n">
        <v>0</v>
      </c>
      <c r="M658" s="56" t="n">
        <v>60</v>
      </c>
      <c r="N658" s="56" t="n">
        <v>12.8</v>
      </c>
      <c r="O658" s="56" t="n">
        <f aca="false">IF(D658=1,"",E657)</f>
        <v>18.9</v>
      </c>
      <c r="P658" s="56" t="n">
        <f aca="false">IF(OR(D658=1,K657=""),"",K657)</f>
        <v>1021</v>
      </c>
      <c r="Q658" s="56" t="n">
        <f aca="false">IF(OR(F658&lt;&gt;0,AND(I658&lt;&gt;"",E658&lt;I658)),1,0)</f>
        <v>0</v>
      </c>
      <c r="R658" s="56" t="n">
        <f aca="false">IF(AND(D658&gt;1,Q658=0,ISNUMBER(O658),ISNUMBER(P658)),IF(Q657=0,1,0),0)</f>
        <v>1</v>
      </c>
      <c r="S658" s="56" t="n">
        <f aca="false">R658*(B658&gt;=Train_Start)*(B658&lt;=Train_End)</f>
        <v>1</v>
      </c>
      <c r="T658" s="84" t="n">
        <f aca="false">IF(AND(ISNUMBER(O658),ISNUMBER(P658)),Coef_A+Coef_B1*O658+Coef_B2*P658,"")</f>
        <v>19.6011485918051</v>
      </c>
      <c r="U658" s="84" t="n">
        <f aca="false">IF(AND(R658=1,ISNUMBER(T658)),E658-T658,"")</f>
        <v>-2.30114859180509</v>
      </c>
      <c r="V658" s="84" t="n">
        <f aca="false">IF(ISNUMBER(T658),T658,-99)</f>
        <v>19.6011485918051</v>
      </c>
      <c r="W658" s="84" t="n">
        <f aca="false">IF(ISNUMBER(U658),ABS(U658),"")</f>
        <v>2.30114859180509</v>
      </c>
    </row>
    <row r="659" customFormat="false" ht="15" hidden="false" customHeight="false" outlineLevel="0" collapsed="false">
      <c r="A659" s="57" t="n">
        <v>30482</v>
      </c>
      <c r="B659" s="56" t="n">
        <v>1983</v>
      </c>
      <c r="C659" s="56" t="n">
        <v>6</v>
      </c>
      <c r="D659" s="56" t="n">
        <v>46</v>
      </c>
      <c r="E659" s="56" t="n">
        <v>17.9</v>
      </c>
      <c r="F659" s="56" t="n">
        <v>0</v>
      </c>
      <c r="G659" s="56" t="n">
        <v>7.2</v>
      </c>
      <c r="H659" s="56" t="n">
        <v>0</v>
      </c>
      <c r="I659" s="56" t="n">
        <v>12.2</v>
      </c>
      <c r="J659" s="56" t="n">
        <v>0</v>
      </c>
      <c r="K659" s="56" t="n">
        <v>1030.4</v>
      </c>
      <c r="L659" s="56" t="n">
        <v>0</v>
      </c>
      <c r="M659" s="56" t="n">
        <v>60</v>
      </c>
      <c r="N659" s="56" t="n">
        <v>10.8</v>
      </c>
      <c r="O659" s="56" t="n">
        <f aca="false">IF(D659=1,"",E658)</f>
        <v>17.3</v>
      </c>
      <c r="P659" s="56" t="n">
        <f aca="false">IF(OR(D659=1,K658=""),"",K658)</f>
        <v>1022.3</v>
      </c>
      <c r="Q659" s="56" t="n">
        <f aca="false">IF(OR(F659&lt;&gt;0,AND(I659&lt;&gt;"",E659&lt;I659)),1,0)</f>
        <v>0</v>
      </c>
      <c r="R659" s="56" t="n">
        <f aca="false">IF(AND(D659&gt;1,Q659=0,ISNUMBER(O659),ISNUMBER(P659)),IF(Q658=0,1,0),0)</f>
        <v>1</v>
      </c>
      <c r="S659" s="56" t="n">
        <f aca="false">R659*(B659&gt;=Train_Start)*(B659&lt;=Train_End)</f>
        <v>1</v>
      </c>
      <c r="T659" s="84" t="n">
        <f aca="false">IF(AND(ISNUMBER(O659),ISNUMBER(P659)),Coef_A+Coef_B1*O659+Coef_B2*P659,"")</f>
        <v>18.330986745961</v>
      </c>
      <c r="U659" s="84" t="n">
        <f aca="false">IF(AND(R659=1,ISNUMBER(T659)),E659-T659,"")</f>
        <v>-0.430986745961036</v>
      </c>
      <c r="V659" s="84" t="n">
        <f aca="false">IF(ISNUMBER(T659),T659,-99)</f>
        <v>18.330986745961</v>
      </c>
      <c r="W659" s="84" t="n">
        <f aca="false">IF(ISNUMBER(U659),ABS(U659),"")</f>
        <v>0.430986745961036</v>
      </c>
    </row>
    <row r="660" customFormat="false" ht="15" hidden="false" customHeight="false" outlineLevel="0" collapsed="false">
      <c r="A660" s="57" t="n">
        <v>30483</v>
      </c>
      <c r="B660" s="56" t="n">
        <v>1983</v>
      </c>
      <c r="C660" s="56" t="n">
        <v>6</v>
      </c>
      <c r="D660" s="56" t="n">
        <v>47</v>
      </c>
      <c r="E660" s="56" t="n">
        <v>17.7</v>
      </c>
      <c r="F660" s="56" t="n">
        <v>0</v>
      </c>
      <c r="G660" s="56" t="n">
        <v>8</v>
      </c>
      <c r="H660" s="56" t="n">
        <v>0</v>
      </c>
      <c r="I660" s="56" t="n">
        <v>13</v>
      </c>
      <c r="J660" s="56" t="n">
        <v>0</v>
      </c>
      <c r="K660" s="56" t="n">
        <v>1030.9</v>
      </c>
      <c r="L660" s="56" t="n">
        <v>0</v>
      </c>
      <c r="M660" s="56" t="n">
        <v>64</v>
      </c>
      <c r="N660" s="56" t="n">
        <v>1</v>
      </c>
      <c r="O660" s="56" t="n">
        <f aca="false">IF(D660=1,"",E659)</f>
        <v>17.9</v>
      </c>
      <c r="P660" s="56" t="n">
        <f aca="false">IF(OR(D660=1,K659=""),"",K659)</f>
        <v>1030.4</v>
      </c>
      <c r="Q660" s="56" t="n">
        <f aca="false">IF(OR(F660&lt;&gt;0,AND(I660&lt;&gt;"",E660&lt;I660)),1,0)</f>
        <v>0</v>
      </c>
      <c r="R660" s="56" t="n">
        <f aca="false">IF(AND(D660&gt;1,Q660=0,ISNUMBER(O660),ISNUMBER(P660)),IF(Q659=0,1,0),0)</f>
        <v>1</v>
      </c>
      <c r="S660" s="56" t="n">
        <f aca="false">R660*(B660&gt;=Train_Start)*(B660&lt;=Train_End)</f>
        <v>1</v>
      </c>
      <c r="T660" s="84" t="n">
        <f aca="false">IF(AND(ISNUMBER(O660),ISNUMBER(P660)),Coef_A+Coef_B1*O660+Coef_B2*P660,"")</f>
        <v>19.0766864083219</v>
      </c>
      <c r="U660" s="84" t="n">
        <f aca="false">IF(AND(R660=1,ISNUMBER(T660)),E660-T660,"")</f>
        <v>-1.37668640832194</v>
      </c>
      <c r="V660" s="84" t="n">
        <f aca="false">IF(ISNUMBER(T660),T660,-99)</f>
        <v>19.0766864083219</v>
      </c>
      <c r="W660" s="84" t="n">
        <f aca="false">IF(ISNUMBER(U660),ABS(U660),"")</f>
        <v>1.37668640832194</v>
      </c>
    </row>
    <row r="661" customFormat="false" ht="15" hidden="false" customHeight="false" outlineLevel="0" collapsed="false">
      <c r="A661" s="57" t="n">
        <v>30484</v>
      </c>
      <c r="B661" s="56" t="n">
        <v>1983</v>
      </c>
      <c r="C661" s="56" t="n">
        <v>6</v>
      </c>
      <c r="D661" s="56" t="n">
        <v>48</v>
      </c>
      <c r="E661" s="56" t="n">
        <v>21</v>
      </c>
      <c r="F661" s="56" t="n">
        <v>0</v>
      </c>
      <c r="G661" s="56" t="n">
        <v>10.9</v>
      </c>
      <c r="H661" s="56" t="n">
        <v>0</v>
      </c>
      <c r="I661" s="56" t="n">
        <v>14.3</v>
      </c>
      <c r="J661" s="56" t="n">
        <v>0</v>
      </c>
      <c r="K661" s="56" t="n">
        <v>1030.1</v>
      </c>
      <c r="L661" s="56" t="n">
        <v>0</v>
      </c>
      <c r="M661" s="56" t="n">
        <v>69</v>
      </c>
      <c r="N661" s="56" t="n">
        <v>0.2</v>
      </c>
      <c r="O661" s="56" t="n">
        <f aca="false">IF(D661=1,"",E660)</f>
        <v>17.7</v>
      </c>
      <c r="P661" s="56" t="n">
        <f aca="false">IF(OR(D661=1,K660=""),"",K660)</f>
        <v>1030.9</v>
      </c>
      <c r="Q661" s="56" t="n">
        <f aca="false">IF(OR(F661&lt;&gt;0,AND(I661&lt;&gt;"",E661&lt;I661)),1,0)</f>
        <v>0</v>
      </c>
      <c r="R661" s="56" t="n">
        <f aca="false">IF(AND(D661&gt;1,Q661=0,ISNUMBER(O661),ISNUMBER(P661)),IF(Q660=0,1,0),0)</f>
        <v>1</v>
      </c>
      <c r="S661" s="56" t="n">
        <f aca="false">R661*(B661&gt;=Train_Start)*(B661&lt;=Train_End)</f>
        <v>1</v>
      </c>
      <c r="T661" s="84" t="n">
        <f aca="false">IF(AND(ISNUMBER(O661),ISNUMBER(P661)),Coef_A+Coef_B1*O661+Coef_B2*P661,"")</f>
        <v>18.9285035170304</v>
      </c>
      <c r="U661" s="84" t="n">
        <f aca="false">IF(AND(R661=1,ISNUMBER(T661)),E661-T661,"")</f>
        <v>2.0714964829696</v>
      </c>
      <c r="V661" s="84" t="n">
        <f aca="false">IF(ISNUMBER(T661),T661,-99)</f>
        <v>18.9285035170304</v>
      </c>
      <c r="W661" s="84" t="n">
        <f aca="false">IF(ISNUMBER(U661),ABS(U661),"")</f>
        <v>2.0714964829696</v>
      </c>
    </row>
    <row r="662" customFormat="false" ht="15" hidden="false" customHeight="false" outlineLevel="0" collapsed="false">
      <c r="A662" s="57" t="n">
        <v>30485</v>
      </c>
      <c r="B662" s="56" t="n">
        <v>1983</v>
      </c>
      <c r="C662" s="56" t="n">
        <v>6</v>
      </c>
      <c r="D662" s="56" t="n">
        <v>49</v>
      </c>
      <c r="E662" s="56" t="n">
        <v>23.3</v>
      </c>
      <c r="F662" s="56" t="n">
        <v>0</v>
      </c>
      <c r="G662" s="56" t="n">
        <v>10.9</v>
      </c>
      <c r="H662" s="56" t="n">
        <v>0</v>
      </c>
      <c r="I662" s="56" t="n">
        <v>16</v>
      </c>
      <c r="J662" s="56" t="n">
        <v>0</v>
      </c>
      <c r="K662" s="56" t="n">
        <v>1031.8</v>
      </c>
      <c r="L662" s="56" t="n">
        <v>0</v>
      </c>
      <c r="M662" s="56" t="n">
        <v>60</v>
      </c>
      <c r="N662" s="56" t="n">
        <v>13.8</v>
      </c>
      <c r="O662" s="56" t="n">
        <f aca="false">IF(D662=1,"",E661)</f>
        <v>21</v>
      </c>
      <c r="P662" s="56" t="n">
        <f aca="false">IF(OR(D662=1,K661=""),"",K661)</f>
        <v>1030.1</v>
      </c>
      <c r="Q662" s="56" t="n">
        <f aca="false">IF(OR(F662&lt;&gt;0,AND(I662&lt;&gt;"",E662&lt;I662)),1,0)</f>
        <v>0</v>
      </c>
      <c r="R662" s="56" t="n">
        <f aca="false">IF(AND(D662&gt;1,Q662=0,ISNUMBER(O662),ISNUMBER(P662)),IF(Q661=0,1,0),0)</f>
        <v>1</v>
      </c>
      <c r="S662" s="56" t="n">
        <f aca="false">R662*(B662&gt;=Train_Start)*(B662&lt;=Train_End)</f>
        <v>1</v>
      </c>
      <c r="T662" s="84" t="n">
        <f aca="false">IF(AND(ISNUMBER(O662),ISNUMBER(P662)),Coef_A+Coef_B1*O662+Coef_B2*P662,"")</f>
        <v>21.607226938364</v>
      </c>
      <c r="U662" s="84" t="n">
        <f aca="false">IF(AND(R662=1,ISNUMBER(T662)),E662-T662,"")</f>
        <v>1.69277306163603</v>
      </c>
      <c r="V662" s="84" t="n">
        <f aca="false">IF(ISNUMBER(T662),T662,-99)</f>
        <v>21.607226938364</v>
      </c>
      <c r="W662" s="84" t="n">
        <f aca="false">IF(ISNUMBER(U662),ABS(U662),"")</f>
        <v>1.69277306163603</v>
      </c>
    </row>
    <row r="663" customFormat="false" ht="15" hidden="false" customHeight="false" outlineLevel="0" collapsed="false">
      <c r="A663" s="57" t="n">
        <v>30486</v>
      </c>
      <c r="B663" s="56" t="n">
        <v>1983</v>
      </c>
      <c r="C663" s="56" t="n">
        <v>6</v>
      </c>
      <c r="D663" s="56" t="n">
        <v>50</v>
      </c>
      <c r="E663" s="56" t="n">
        <v>24.5</v>
      </c>
      <c r="F663" s="56" t="n">
        <v>0</v>
      </c>
      <c r="G663" s="56" t="n">
        <v>9.1</v>
      </c>
      <c r="H663" s="56" t="n">
        <v>0</v>
      </c>
      <c r="I663" s="56" t="n">
        <v>16.2</v>
      </c>
      <c r="J663" s="56" t="n">
        <v>0</v>
      </c>
      <c r="K663" s="56" t="n">
        <v>1028.9</v>
      </c>
      <c r="L663" s="56" t="n">
        <v>0</v>
      </c>
      <c r="M663" s="56" t="n">
        <v>50</v>
      </c>
      <c r="N663" s="56" t="n">
        <v>14.7</v>
      </c>
      <c r="O663" s="56" t="n">
        <f aca="false">IF(D663=1,"",E662)</f>
        <v>23.3</v>
      </c>
      <c r="P663" s="56" t="n">
        <f aca="false">IF(OR(D663=1,K662=""),"",K662)</f>
        <v>1031.8</v>
      </c>
      <c r="Q663" s="56" t="n">
        <f aca="false">IF(OR(F663&lt;&gt;0,AND(I663&lt;&gt;"",E663&lt;I663)),1,0)</f>
        <v>0</v>
      </c>
      <c r="R663" s="56" t="n">
        <f aca="false">IF(AND(D663&gt;1,Q663=0,ISNUMBER(O663),ISNUMBER(P663)),IF(Q662=0,1,0),0)</f>
        <v>1</v>
      </c>
      <c r="S663" s="56" t="n">
        <f aca="false">R663*(B663&gt;=Train_Start)*(B663&lt;=Train_End)</f>
        <v>1</v>
      </c>
      <c r="T663" s="84" t="n">
        <f aca="false">IF(AND(ISNUMBER(O663),ISNUMBER(P663)),Coef_A+Coef_B1*O663+Coef_B2*P663,"")</f>
        <v>23.5450359032399</v>
      </c>
      <c r="U663" s="84" t="n">
        <f aca="false">IF(AND(R663=1,ISNUMBER(T663)),E663-T663,"")</f>
        <v>0.954964096760122</v>
      </c>
      <c r="V663" s="84" t="n">
        <f aca="false">IF(ISNUMBER(T663),T663,-99)</f>
        <v>23.5450359032399</v>
      </c>
      <c r="W663" s="84" t="n">
        <f aca="false">IF(ISNUMBER(U663),ABS(U663),"")</f>
        <v>0.954964096760122</v>
      </c>
    </row>
    <row r="664" customFormat="false" ht="15" hidden="false" customHeight="false" outlineLevel="0" collapsed="false">
      <c r="A664" s="57" t="n">
        <v>30487</v>
      </c>
      <c r="B664" s="56" t="n">
        <v>1983</v>
      </c>
      <c r="C664" s="56" t="n">
        <v>6</v>
      </c>
      <c r="D664" s="56" t="n">
        <v>51</v>
      </c>
      <c r="E664" s="56" t="n">
        <v>24.2</v>
      </c>
      <c r="F664" s="56" t="n">
        <v>0</v>
      </c>
      <c r="G664" s="56" t="n">
        <v>10.7</v>
      </c>
      <c r="H664" s="56" t="n">
        <v>0</v>
      </c>
      <c r="I664" s="56" t="n">
        <v>17.6</v>
      </c>
      <c r="J664" s="56" t="n">
        <v>0</v>
      </c>
      <c r="K664" s="56" t="n">
        <v>1023.5</v>
      </c>
      <c r="L664" s="56" t="n">
        <v>0</v>
      </c>
      <c r="M664" s="56" t="n">
        <v>64</v>
      </c>
      <c r="N664" s="56" t="n">
        <v>9.2</v>
      </c>
      <c r="O664" s="56" t="n">
        <f aca="false">IF(D664=1,"",E663)</f>
        <v>24.5</v>
      </c>
      <c r="P664" s="56" t="n">
        <f aca="false">IF(OR(D664=1,K663=""),"",K663)</f>
        <v>1028.9</v>
      </c>
      <c r="Q664" s="56" t="n">
        <f aca="false">IF(OR(F664&lt;&gt;0,AND(I664&lt;&gt;"",E664&lt;I664)),1,0)</f>
        <v>0</v>
      </c>
      <c r="R664" s="56" t="n">
        <f aca="false">IF(AND(D664&gt;1,Q664=0,ISNUMBER(O664),ISNUMBER(P664)),IF(Q663=0,1,0),0)</f>
        <v>1</v>
      </c>
      <c r="S664" s="56" t="n">
        <f aca="false">R664*(B664&gt;=Train_Start)*(B664&lt;=Train_End)</f>
        <v>1</v>
      </c>
      <c r="T664" s="84" t="n">
        <f aca="false">IF(AND(ISNUMBER(O664),ISNUMBER(P664)),Coef_A+Coef_B1*O664+Coef_B2*P664,"")</f>
        <v>24.4372702404525</v>
      </c>
      <c r="U664" s="84" t="n">
        <f aca="false">IF(AND(R664=1,ISNUMBER(T664)),E664-T664,"")</f>
        <v>-0.237270240452496</v>
      </c>
      <c r="V664" s="84" t="n">
        <f aca="false">IF(ISNUMBER(T664),T664,-99)</f>
        <v>24.4372702404525</v>
      </c>
      <c r="W664" s="84" t="n">
        <f aca="false">IF(ISNUMBER(U664),ABS(U664),"")</f>
        <v>0.237270240452496</v>
      </c>
    </row>
    <row r="665" customFormat="false" ht="15" hidden="false" customHeight="false" outlineLevel="0" collapsed="false">
      <c r="A665" s="57" t="n">
        <v>30488</v>
      </c>
      <c r="B665" s="56" t="n">
        <v>1983</v>
      </c>
      <c r="C665" s="56" t="n">
        <v>6</v>
      </c>
      <c r="D665" s="56" t="n">
        <v>52</v>
      </c>
      <c r="E665" s="56" t="n">
        <v>23.8</v>
      </c>
      <c r="F665" s="56" t="n">
        <v>0</v>
      </c>
      <c r="G665" s="56" t="n">
        <v>11.2</v>
      </c>
      <c r="H665" s="56" t="n">
        <v>0</v>
      </c>
      <c r="I665" s="56" t="n">
        <v>17.7</v>
      </c>
      <c r="J665" s="56" t="n">
        <v>0</v>
      </c>
      <c r="K665" s="56" t="n">
        <v>1021.2</v>
      </c>
      <c r="L665" s="56" t="n">
        <v>0</v>
      </c>
      <c r="M665" s="56" t="n">
        <v>74</v>
      </c>
      <c r="N665" s="56" t="n">
        <v>6</v>
      </c>
      <c r="O665" s="56" t="n">
        <f aca="false">IF(D665=1,"",E664)</f>
        <v>24.2</v>
      </c>
      <c r="P665" s="56" t="n">
        <f aca="false">IF(OR(D665=1,K664=""),"",K664)</f>
        <v>1023.5</v>
      </c>
      <c r="Q665" s="56" t="n">
        <f aca="false">IF(OR(F665&lt;&gt;0,AND(I665&lt;&gt;"",E665&lt;I665)),1,0)</f>
        <v>0</v>
      </c>
      <c r="R665" s="56" t="n">
        <f aca="false">IF(AND(D665&gt;1,Q665=0,ISNUMBER(O665),ISNUMBER(P665)),IF(Q664=0,1,0),0)</f>
        <v>1</v>
      </c>
      <c r="S665" s="56" t="n">
        <f aca="false">R665*(B665&gt;=Train_Start)*(B665&lt;=Train_End)</f>
        <v>1</v>
      </c>
      <c r="T665" s="84" t="n">
        <f aca="false">IF(AND(ISNUMBER(O665),ISNUMBER(P665)),Coef_A+Coef_B1*O665+Coef_B2*P665,"")</f>
        <v>24.0220710515162</v>
      </c>
      <c r="U665" s="84" t="n">
        <f aca="false">IF(AND(R665=1,ISNUMBER(T665)),E665-T665,"")</f>
        <v>-0.222071051516156</v>
      </c>
      <c r="V665" s="84" t="n">
        <f aca="false">IF(ISNUMBER(T665),T665,-99)</f>
        <v>24.0220710515162</v>
      </c>
      <c r="W665" s="84" t="n">
        <f aca="false">IF(ISNUMBER(U665),ABS(U665),"")</f>
        <v>0.222071051516156</v>
      </c>
    </row>
    <row r="666" customFormat="false" ht="15" hidden="false" customHeight="false" outlineLevel="0" collapsed="false">
      <c r="A666" s="57" t="n">
        <v>30489</v>
      </c>
      <c r="B666" s="56" t="n">
        <v>1983</v>
      </c>
      <c r="C666" s="56" t="n">
        <v>6</v>
      </c>
      <c r="D666" s="56" t="n">
        <v>53</v>
      </c>
      <c r="E666" s="56" t="n">
        <v>23</v>
      </c>
      <c r="F666" s="56" t="n">
        <v>0</v>
      </c>
      <c r="G666" s="56" t="n">
        <v>10.3</v>
      </c>
      <c r="H666" s="56" t="n">
        <v>0</v>
      </c>
      <c r="I666" s="56" t="n">
        <v>17</v>
      </c>
      <c r="J666" s="56" t="n">
        <v>0</v>
      </c>
      <c r="K666" s="56" t="n">
        <v>1018.3</v>
      </c>
      <c r="L666" s="56" t="n">
        <v>0</v>
      </c>
      <c r="M666" s="56" t="n">
        <v>78</v>
      </c>
      <c r="N666" s="56" t="n">
        <v>4.7</v>
      </c>
      <c r="O666" s="56" t="n">
        <f aca="false">IF(D666=1,"",E665)</f>
        <v>23.8</v>
      </c>
      <c r="P666" s="56" t="n">
        <f aca="false">IF(OR(D666=1,K665=""),"",K665)</f>
        <v>1021.2</v>
      </c>
      <c r="Q666" s="56" t="n">
        <f aca="false">IF(OR(F666&lt;&gt;0,AND(I666&lt;&gt;"",E666&lt;I666)),1,0)</f>
        <v>0</v>
      </c>
      <c r="R666" s="56" t="n">
        <f aca="false">IF(AND(D666&gt;1,Q666=0,ISNUMBER(O666),ISNUMBER(P666)),IF(Q665=0,1,0),0)</f>
        <v>1</v>
      </c>
      <c r="S666" s="56" t="n">
        <f aca="false">R666*(B666&gt;=Train_Start)*(B666&lt;=Train_End)</f>
        <v>1</v>
      </c>
      <c r="T666" s="84" t="n">
        <f aca="false">IF(AND(ISNUMBER(O666),ISNUMBER(P666)),Coef_A+Coef_B1*O666+Coef_B2*P666,"")</f>
        <v>23.6221846166409</v>
      </c>
      <c r="U666" s="84" t="n">
        <f aca="false">IF(AND(R666=1,ISNUMBER(T666)),E666-T666,"")</f>
        <v>-0.622184616640915</v>
      </c>
      <c r="V666" s="84" t="n">
        <f aca="false">IF(ISNUMBER(T666),T666,-99)</f>
        <v>23.6221846166409</v>
      </c>
      <c r="W666" s="84" t="n">
        <f aca="false">IF(ISNUMBER(U666),ABS(U666),"")</f>
        <v>0.622184616640915</v>
      </c>
    </row>
    <row r="667" customFormat="false" ht="15" hidden="false" customHeight="false" outlineLevel="0" collapsed="false">
      <c r="A667" s="57" t="n">
        <v>30490</v>
      </c>
      <c r="B667" s="56" t="n">
        <v>1983</v>
      </c>
      <c r="C667" s="56" t="n">
        <v>6</v>
      </c>
      <c r="D667" s="56" t="n">
        <v>54</v>
      </c>
      <c r="E667" s="56" t="n">
        <v>16.4</v>
      </c>
      <c r="F667" s="56" t="n">
        <v>1</v>
      </c>
      <c r="G667" s="56" t="n">
        <v>12.6</v>
      </c>
      <c r="H667" s="56" t="n">
        <v>0</v>
      </c>
      <c r="I667" s="56" t="n">
        <v>17.8</v>
      </c>
      <c r="J667" s="56" t="n">
        <v>1</v>
      </c>
      <c r="K667" s="56" t="n">
        <v>1016.1</v>
      </c>
      <c r="L667" s="56" t="n">
        <v>0</v>
      </c>
      <c r="M667" s="56" t="n">
        <v>80</v>
      </c>
      <c r="N667" s="56" t="n">
        <v>2.3</v>
      </c>
      <c r="O667" s="56" t="n">
        <f aca="false">IF(D667=1,"",E666)</f>
        <v>23</v>
      </c>
      <c r="P667" s="56" t="n">
        <f aca="false">IF(OR(D667=1,K666=""),"",K666)</f>
        <v>1018.3</v>
      </c>
      <c r="Q667" s="56" t="n">
        <f aca="false">IF(OR(F667&lt;&gt;0,AND(I667&lt;&gt;"",E667&lt;I667)),1,0)</f>
        <v>1</v>
      </c>
      <c r="R667" s="56" t="n">
        <f aca="false">IF(AND(D667&gt;1,Q667=0,ISNUMBER(O667),ISNUMBER(P667)),IF(Q666=0,1,0),0)</f>
        <v>0</v>
      </c>
      <c r="S667" s="56" t="n">
        <f aca="false">R667*(B667&gt;=Train_Start)*(B667&lt;=Train_End)</f>
        <v>0</v>
      </c>
      <c r="T667" s="84" t="n">
        <f aca="false">IF(AND(ISNUMBER(O667),ISNUMBER(P667)),Coef_A+Coef_B1*O667+Coef_B2*P667,"")</f>
        <v>22.8757405677682</v>
      </c>
      <c r="U667" s="84" t="str">
        <f aca="false">IF(AND(R667=1,ISNUMBER(T667)),E667-T667,"")</f>
        <v/>
      </c>
      <c r="V667" s="84" t="n">
        <f aca="false">IF(ISNUMBER(T667),T667,-99)</f>
        <v>22.8757405677682</v>
      </c>
      <c r="W667" s="84" t="str">
        <f aca="false">IF(ISNUMBER(U667),ABS(U667),"")</f>
        <v/>
      </c>
    </row>
    <row r="668" customFormat="false" ht="15" hidden="false" customHeight="false" outlineLevel="0" collapsed="false">
      <c r="A668" s="57" t="n">
        <v>30491</v>
      </c>
      <c r="B668" s="56" t="n">
        <v>1983</v>
      </c>
      <c r="C668" s="56" t="n">
        <v>6</v>
      </c>
      <c r="D668" s="56" t="n">
        <v>55</v>
      </c>
      <c r="E668" s="56" t="n">
        <v>22.6</v>
      </c>
      <c r="F668" s="56" t="n">
        <v>0</v>
      </c>
      <c r="G668" s="56" t="n">
        <v>12.5</v>
      </c>
      <c r="H668" s="56" t="n">
        <v>0</v>
      </c>
      <c r="I668" s="56" t="n">
        <v>14.4</v>
      </c>
      <c r="J668" s="56" t="n">
        <v>0</v>
      </c>
      <c r="K668" s="56" t="n">
        <v>1018.6</v>
      </c>
      <c r="L668" s="56" t="n">
        <v>0</v>
      </c>
      <c r="M668" s="56" t="n">
        <v>87</v>
      </c>
      <c r="N668" s="56" t="n">
        <v>0</v>
      </c>
      <c r="O668" s="56" t="n">
        <f aca="false">IF(D668=1,"",E667)</f>
        <v>16.4</v>
      </c>
      <c r="P668" s="56" t="n">
        <f aca="false">IF(OR(D668=1,K667=""),"",K667)</f>
        <v>1016.1</v>
      </c>
      <c r="Q668" s="56" t="n">
        <f aca="false">IF(OR(F668&lt;&gt;0,AND(I668&lt;&gt;"",E668&lt;I668)),1,0)</f>
        <v>0</v>
      </c>
      <c r="R668" s="56" t="n">
        <f aca="false">IF(AND(D668&gt;1,Q668=0,ISNUMBER(O668),ISNUMBER(P668)),IF(Q667=0,1,0),0)</f>
        <v>0</v>
      </c>
      <c r="S668" s="56" t="n">
        <f aca="false">R668*(B668&gt;=Train_Start)*(B668&lt;=Train_End)</f>
        <v>0</v>
      </c>
      <c r="T668" s="84" t="n">
        <f aca="false">IF(AND(ISNUMBER(O668),ISNUMBER(P668)),Coef_A+Coef_B1*O668+Coef_B2*P668,"")</f>
        <v>17.3990881254919</v>
      </c>
      <c r="U668" s="84" t="str">
        <f aca="false">IF(AND(R668=1,ISNUMBER(T668)),E668-T668,"")</f>
        <v/>
      </c>
      <c r="V668" s="84" t="n">
        <f aca="false">IF(ISNUMBER(T668),T668,-99)</f>
        <v>17.3990881254919</v>
      </c>
      <c r="W668" s="84" t="str">
        <f aca="false">IF(ISNUMBER(U668),ABS(U668),"")</f>
        <v/>
      </c>
    </row>
    <row r="669" customFormat="false" ht="15" hidden="false" customHeight="false" outlineLevel="0" collapsed="false">
      <c r="A669" s="57" t="n">
        <v>30492</v>
      </c>
      <c r="B669" s="56" t="n">
        <v>1983</v>
      </c>
      <c r="C669" s="56" t="n">
        <v>6</v>
      </c>
      <c r="D669" s="56" t="n">
        <v>56</v>
      </c>
      <c r="E669" s="56" t="n">
        <v>25.4</v>
      </c>
      <c r="F669" s="56" t="n">
        <v>0</v>
      </c>
      <c r="G669" s="56" t="n">
        <v>12.4</v>
      </c>
      <c r="H669" s="56" t="n">
        <v>0</v>
      </c>
      <c r="I669" s="56" t="n">
        <v>17.5</v>
      </c>
      <c r="J669" s="56" t="n">
        <v>0</v>
      </c>
      <c r="K669" s="56" t="n">
        <v>1020</v>
      </c>
      <c r="L669" s="56" t="n">
        <v>0</v>
      </c>
      <c r="M669" s="56" t="n">
        <v>66</v>
      </c>
      <c r="N669" s="56" t="n">
        <v>5.2</v>
      </c>
      <c r="O669" s="56" t="n">
        <f aca="false">IF(D669=1,"",E668)</f>
        <v>22.6</v>
      </c>
      <c r="P669" s="56" t="n">
        <f aca="false">IF(OR(D669=1,K668=""),"",K668)</f>
        <v>1018.6</v>
      </c>
      <c r="Q669" s="56" t="n">
        <f aca="false">IF(OR(F669&lt;&gt;0,AND(I669&lt;&gt;"",E669&lt;I669)),1,0)</f>
        <v>0</v>
      </c>
      <c r="R669" s="56" t="n">
        <f aca="false">IF(AND(D669&gt;1,Q669=0,ISNUMBER(O669),ISNUMBER(P669)),IF(Q668=0,1,0),0)</f>
        <v>1</v>
      </c>
      <c r="S669" s="56" t="n">
        <f aca="false">R669*(B669&gt;=Train_Start)*(B669&lt;=Train_End)</f>
        <v>1</v>
      </c>
      <c r="T669" s="84" t="n">
        <f aca="false">IF(AND(ISNUMBER(O669),ISNUMBER(P669)),Coef_A+Coef_B1*O669+Coef_B2*P669,"")</f>
        <v>22.5574158589414</v>
      </c>
      <c r="U669" s="84" t="n">
        <f aca="false">IF(AND(R669=1,ISNUMBER(T669)),E669-T669,"")</f>
        <v>2.84258414105864</v>
      </c>
      <c r="V669" s="84" t="n">
        <f aca="false">IF(ISNUMBER(T669),T669,-99)</f>
        <v>22.5574158589414</v>
      </c>
      <c r="W669" s="84" t="n">
        <f aca="false">IF(ISNUMBER(U669),ABS(U669),"")</f>
        <v>2.84258414105864</v>
      </c>
    </row>
    <row r="670" customFormat="false" ht="15" hidden="false" customHeight="false" outlineLevel="0" collapsed="false">
      <c r="A670" s="57" t="n">
        <v>30493</v>
      </c>
      <c r="B670" s="56" t="n">
        <v>1983</v>
      </c>
      <c r="C670" s="56" t="n">
        <v>6</v>
      </c>
      <c r="D670" s="56" t="n">
        <v>57</v>
      </c>
      <c r="E670" s="56" t="n">
        <v>15.8</v>
      </c>
      <c r="F670" s="56" t="n">
        <v>1</v>
      </c>
      <c r="G670" s="56" t="n">
        <v>11.2</v>
      </c>
      <c r="H670" s="56" t="n">
        <v>0</v>
      </c>
      <c r="I670" s="56" t="n">
        <v>18.3</v>
      </c>
      <c r="J670" s="56" t="n">
        <v>1</v>
      </c>
      <c r="K670" s="56" t="n">
        <v>1017.6</v>
      </c>
      <c r="L670" s="56" t="n">
        <v>0</v>
      </c>
      <c r="M670" s="56" t="n">
        <v>66</v>
      </c>
      <c r="N670" s="56" t="n">
        <v>8.5</v>
      </c>
      <c r="O670" s="56" t="n">
        <f aca="false">IF(D670=1,"",E669)</f>
        <v>25.4</v>
      </c>
      <c r="P670" s="56" t="n">
        <f aca="false">IF(OR(D670=1,K669=""),"",K669)</f>
        <v>1020</v>
      </c>
      <c r="Q670" s="56" t="n">
        <f aca="false">IF(OR(F670&lt;&gt;0,AND(I670&lt;&gt;"",E670&lt;I670)),1,0)</f>
        <v>1</v>
      </c>
      <c r="R670" s="56" t="n">
        <f aca="false">IF(AND(D670&gt;1,Q670=0,ISNUMBER(O670),ISNUMBER(P670)),IF(Q669=0,1,0),0)</f>
        <v>0</v>
      </c>
      <c r="S670" s="56" t="n">
        <f aca="false">R670*(B670&gt;=Train_Start)*(B670&lt;=Train_End)</f>
        <v>0</v>
      </c>
      <c r="T670" s="84" t="n">
        <f aca="false">IF(AND(ISNUMBER(O670),ISNUMBER(P670)),Coef_A+Coef_B1*O670+Coef_B2*P670,"")</f>
        <v>24.8954834519484</v>
      </c>
      <c r="U670" s="84" t="str">
        <f aca="false">IF(AND(R670=1,ISNUMBER(T670)),E670-T670,"")</f>
        <v/>
      </c>
      <c r="V670" s="84" t="n">
        <f aca="false">IF(ISNUMBER(T670),T670,-99)</f>
        <v>24.8954834519484</v>
      </c>
      <c r="W670" s="84" t="str">
        <f aca="false">IF(ISNUMBER(U670),ABS(U670),"")</f>
        <v/>
      </c>
    </row>
    <row r="671" customFormat="false" ht="15" hidden="false" customHeight="false" outlineLevel="0" collapsed="false">
      <c r="A671" s="57" t="n">
        <v>30494</v>
      </c>
      <c r="B671" s="56" t="n">
        <v>1983</v>
      </c>
      <c r="C671" s="56" t="n">
        <v>6</v>
      </c>
      <c r="D671" s="56" t="n">
        <v>58</v>
      </c>
      <c r="E671" s="56" t="n">
        <v>20.7</v>
      </c>
      <c r="F671" s="56" t="n">
        <v>0</v>
      </c>
      <c r="G671" s="56" t="n">
        <v>12.7</v>
      </c>
      <c r="H671" s="56" t="n">
        <v>0</v>
      </c>
      <c r="I671" s="56" t="n">
        <v>14.2</v>
      </c>
      <c r="J671" s="56" t="n">
        <v>0</v>
      </c>
      <c r="K671" s="56" t="n">
        <v>1016.4</v>
      </c>
      <c r="L671" s="56" t="n">
        <v>0</v>
      </c>
      <c r="M671" s="56" t="n">
        <v>70</v>
      </c>
      <c r="N671" s="56" t="n">
        <v>0.7</v>
      </c>
      <c r="O671" s="56" t="n">
        <f aca="false">IF(D671=1,"",E670)</f>
        <v>15.8</v>
      </c>
      <c r="P671" s="56" t="n">
        <f aca="false">IF(OR(D671=1,K670=""),"",K670)</f>
        <v>1017.6</v>
      </c>
      <c r="Q671" s="56" t="n">
        <f aca="false">IF(OR(F671&lt;&gt;0,AND(I671&lt;&gt;"",E671&lt;I671)),1,0)</f>
        <v>0</v>
      </c>
      <c r="R671" s="56" t="n">
        <f aca="false">IF(AND(D671&gt;1,Q671=0,ISNUMBER(O671),ISNUMBER(P671)),IF(Q670=0,1,0),0)</f>
        <v>0</v>
      </c>
      <c r="S671" s="56" t="n">
        <f aca="false">R671*(B671&gt;=Train_Start)*(B671&lt;=Train_End)</f>
        <v>0</v>
      </c>
      <c r="T671" s="84" t="n">
        <f aca="false">IF(AND(ISNUMBER(O671),ISNUMBER(P671)),Coef_A+Coef_B1*O671+Coef_B2*P671,"")</f>
        <v>16.9545394516173</v>
      </c>
      <c r="U671" s="84" t="str">
        <f aca="false">IF(AND(R671=1,ISNUMBER(T671)),E671-T671,"")</f>
        <v/>
      </c>
      <c r="V671" s="84" t="n">
        <f aca="false">IF(ISNUMBER(T671),T671,-99)</f>
        <v>16.9545394516173</v>
      </c>
      <c r="W671" s="84" t="str">
        <f aca="false">IF(ISNUMBER(U671),ABS(U671),"")</f>
        <v/>
      </c>
    </row>
    <row r="672" customFormat="false" ht="15" hidden="false" customHeight="false" outlineLevel="0" collapsed="false">
      <c r="A672" s="57" t="n">
        <v>30495</v>
      </c>
      <c r="B672" s="56" t="n">
        <v>1983</v>
      </c>
      <c r="C672" s="56" t="n">
        <v>6</v>
      </c>
      <c r="D672" s="56" t="n">
        <v>59</v>
      </c>
      <c r="E672" s="56" t="n">
        <v>21.7</v>
      </c>
      <c r="F672" s="56" t="n">
        <v>0</v>
      </c>
      <c r="G672" s="56" t="n">
        <v>7</v>
      </c>
      <c r="H672" s="56" t="n">
        <v>0</v>
      </c>
      <c r="I672" s="56" t="n">
        <v>13.8</v>
      </c>
      <c r="J672" s="56" t="n">
        <v>0</v>
      </c>
      <c r="K672" s="56" t="n">
        <v>1018.6</v>
      </c>
      <c r="L672" s="56" t="n">
        <v>0</v>
      </c>
      <c r="M672" s="56" t="n">
        <v>68</v>
      </c>
      <c r="N672" s="56" t="n">
        <v>10.9</v>
      </c>
      <c r="O672" s="56" t="n">
        <f aca="false">IF(D672=1,"",E671)</f>
        <v>20.7</v>
      </c>
      <c r="P672" s="56" t="n">
        <f aca="false">IF(OR(D672=1,K671=""),"",K671)</f>
        <v>1016.4</v>
      </c>
      <c r="Q672" s="56" t="n">
        <f aca="false">IF(OR(F672&lt;&gt;0,AND(I672&lt;&gt;"",E672&lt;I672)),1,0)</f>
        <v>0</v>
      </c>
      <c r="R672" s="56" t="n">
        <f aca="false">IF(AND(D672&gt;1,Q672=0,ISNUMBER(O672),ISNUMBER(P672)),IF(Q671=0,1,0),0)</f>
        <v>1</v>
      </c>
      <c r="S672" s="56" t="n">
        <f aca="false">R672*(B672&gt;=Train_Start)*(B672&lt;=Train_End)</f>
        <v>1</v>
      </c>
      <c r="T672" s="84" t="n">
        <f aca="false">IF(AND(ISNUMBER(O672),ISNUMBER(P672)),Coef_A+Coef_B1*O672+Coef_B2*P672,"")</f>
        <v>20.9316576239655</v>
      </c>
      <c r="U672" s="84" t="n">
        <f aca="false">IF(AND(R672=1,ISNUMBER(T672)),E672-T672,"")</f>
        <v>0.768342376034472</v>
      </c>
      <c r="V672" s="84" t="n">
        <f aca="false">IF(ISNUMBER(T672),T672,-99)</f>
        <v>20.9316576239655</v>
      </c>
      <c r="W672" s="84" t="n">
        <f aca="false">IF(ISNUMBER(U672),ABS(U672),"")</f>
        <v>0.768342376034472</v>
      </c>
    </row>
    <row r="673" customFormat="false" ht="15" hidden="false" customHeight="false" outlineLevel="0" collapsed="false">
      <c r="A673" s="57" t="n">
        <v>30496</v>
      </c>
      <c r="B673" s="56" t="n">
        <v>1983</v>
      </c>
      <c r="C673" s="56" t="n">
        <v>6</v>
      </c>
      <c r="D673" s="56" t="n">
        <v>60</v>
      </c>
      <c r="E673" s="56" t="n">
        <v>18.7</v>
      </c>
      <c r="F673" s="56" t="n">
        <v>0</v>
      </c>
      <c r="G673" s="56" t="n">
        <v>13.5</v>
      </c>
      <c r="H673" s="56" t="n">
        <v>0</v>
      </c>
      <c r="I673" s="56" t="n">
        <v>17.6</v>
      </c>
      <c r="J673" s="56" t="n">
        <v>0</v>
      </c>
      <c r="K673" s="56" t="n">
        <v>1013.2</v>
      </c>
      <c r="L673" s="56" t="n">
        <v>0</v>
      </c>
      <c r="M673" s="56" t="n">
        <v>80</v>
      </c>
      <c r="N673" s="56" t="n">
        <v>0.3</v>
      </c>
      <c r="O673" s="56" t="n">
        <f aca="false">IF(D673=1,"",E672)</f>
        <v>21.7</v>
      </c>
      <c r="P673" s="56" t="n">
        <f aca="false">IF(OR(D673=1,K672=""),"",K672)</f>
        <v>1018.6</v>
      </c>
      <c r="Q673" s="56" t="n">
        <f aca="false">IF(OR(F673&lt;&gt;0,AND(I673&lt;&gt;"",E673&lt;I673)),1,0)</f>
        <v>0</v>
      </c>
      <c r="R673" s="56" t="n">
        <f aca="false">IF(AND(D673&gt;1,Q673=0,ISNUMBER(O673),ISNUMBER(P673)),IF(Q672=0,1,0),0)</f>
        <v>1</v>
      </c>
      <c r="S673" s="56" t="n">
        <f aca="false">R673*(B673&gt;=Train_Start)*(B673&lt;=Train_End)</f>
        <v>1</v>
      </c>
      <c r="T673" s="84" t="n">
        <f aca="false">IF(AND(ISNUMBER(O673),ISNUMBER(P673)),Coef_A+Coef_B1*O673+Coef_B2*P673,"")</f>
        <v>21.820010585203</v>
      </c>
      <c r="U673" s="84" t="n">
        <f aca="false">IF(AND(R673=1,ISNUMBER(T673)),E673-T673,"")</f>
        <v>-3.12001058520297</v>
      </c>
      <c r="V673" s="84" t="n">
        <f aca="false">IF(ISNUMBER(T673),T673,-99)</f>
        <v>21.820010585203</v>
      </c>
      <c r="W673" s="84" t="n">
        <f aca="false">IF(ISNUMBER(U673),ABS(U673),"")</f>
        <v>3.12001058520297</v>
      </c>
    </row>
    <row r="674" customFormat="false" ht="15" hidden="false" customHeight="false" outlineLevel="0" collapsed="false">
      <c r="A674" s="57" t="n">
        <v>30497</v>
      </c>
      <c r="B674" s="56" t="n">
        <v>1983</v>
      </c>
      <c r="C674" s="56" t="n">
        <v>6</v>
      </c>
      <c r="D674" s="56" t="n">
        <v>61</v>
      </c>
      <c r="E674" s="56" t="n">
        <v>22.3</v>
      </c>
      <c r="F674" s="56" t="n">
        <v>0</v>
      </c>
      <c r="G674" s="56" t="n">
        <v>12.4</v>
      </c>
      <c r="H674" s="56" t="n">
        <v>0</v>
      </c>
      <c r="I674" s="56" t="n">
        <v>15.6</v>
      </c>
      <c r="J674" s="56" t="n">
        <v>0</v>
      </c>
      <c r="K674" s="56" t="n">
        <v>1011.3</v>
      </c>
      <c r="L674" s="56" t="n">
        <v>0</v>
      </c>
      <c r="M674" s="56" t="n">
        <v>74</v>
      </c>
      <c r="N674" s="56" t="n">
        <v>2.2</v>
      </c>
      <c r="O674" s="56" t="n">
        <f aca="false">IF(D674=1,"",E673)</f>
        <v>18.7</v>
      </c>
      <c r="P674" s="56" t="n">
        <f aca="false">IF(OR(D674=1,K673=""),"",K673)</f>
        <v>1013.2</v>
      </c>
      <c r="Q674" s="56" t="n">
        <f aca="false">IF(OR(F674&lt;&gt;0,AND(I674&lt;&gt;"",E674&lt;I674)),1,0)</f>
        <v>0</v>
      </c>
      <c r="R674" s="56" t="n">
        <f aca="false">IF(AND(D674&gt;1,Q674=0,ISNUMBER(O674),ISNUMBER(P674)),IF(Q673=0,1,0),0)</f>
        <v>1</v>
      </c>
      <c r="S674" s="56" t="n">
        <f aca="false">R674*(B674&gt;=Train_Start)*(B674&lt;=Train_End)</f>
        <v>1</v>
      </c>
      <c r="T674" s="84" t="n">
        <f aca="false">IF(AND(ISNUMBER(O674),ISNUMBER(P674)),Coef_A+Coef_B1*O674+Coef_B2*P674,"")</f>
        <v>19.1925955750515</v>
      </c>
      <c r="U674" s="84" t="n">
        <f aca="false">IF(AND(R674=1,ISNUMBER(T674)),E674-T674,"")</f>
        <v>3.10740442494855</v>
      </c>
      <c r="V674" s="84" t="n">
        <f aca="false">IF(ISNUMBER(T674),T674,-99)</f>
        <v>19.1925955750515</v>
      </c>
      <c r="W674" s="84" t="n">
        <f aca="false">IF(ISNUMBER(U674),ABS(U674),"")</f>
        <v>3.10740442494855</v>
      </c>
    </row>
    <row r="675" customFormat="false" ht="15" hidden="false" customHeight="false" outlineLevel="0" collapsed="false">
      <c r="A675" s="57" t="n">
        <v>30498</v>
      </c>
      <c r="B675" s="56" t="n">
        <v>1983</v>
      </c>
      <c r="C675" s="56" t="n">
        <v>7</v>
      </c>
      <c r="D675" s="56" t="n">
        <v>62</v>
      </c>
      <c r="E675" s="56" t="n">
        <v>25.3</v>
      </c>
      <c r="F675" s="56" t="n">
        <v>0</v>
      </c>
      <c r="G675" s="56" t="n">
        <v>8.6</v>
      </c>
      <c r="H675" s="56" t="n">
        <v>0</v>
      </c>
      <c r="I675" s="56" t="n">
        <v>15.4</v>
      </c>
      <c r="J675" s="56" t="n">
        <v>0</v>
      </c>
      <c r="K675" s="56" t="n">
        <v>1020</v>
      </c>
      <c r="L675" s="56" t="n">
        <v>0</v>
      </c>
      <c r="M675" s="56" t="n">
        <v>69</v>
      </c>
      <c r="N675" s="56" t="n">
        <v>8.8</v>
      </c>
      <c r="O675" s="56" t="n">
        <f aca="false">IF(D675=1,"",E674)</f>
        <v>22.3</v>
      </c>
      <c r="P675" s="56" t="n">
        <f aca="false">IF(OR(D675=1,K674=""),"",K674)</f>
        <v>1011.3</v>
      </c>
      <c r="Q675" s="56" t="n">
        <f aca="false">IF(OR(F675&lt;&gt;0,AND(I675&lt;&gt;"",E675&lt;I675)),1,0)</f>
        <v>0</v>
      </c>
      <c r="R675" s="56" t="n">
        <f aca="false">IF(AND(D675&gt;1,Q675=0,ISNUMBER(O675),ISNUMBER(P675)),IF(Q674=0,1,0),0)</f>
        <v>1</v>
      </c>
      <c r="S675" s="56" t="n">
        <f aca="false">R675*(B675&gt;=Train_Start)*(B675&lt;=Train_End)</f>
        <v>1</v>
      </c>
      <c r="T675" s="84" t="n">
        <f aca="false">IF(AND(ISNUMBER(O675),ISNUMBER(P675)),Coef_A+Coef_B1*O675+Coef_B2*P675,"")</f>
        <v>22.0826138702004</v>
      </c>
      <c r="U675" s="84" t="n">
        <f aca="false">IF(AND(R675=1,ISNUMBER(T675)),E675-T675,"")</f>
        <v>3.21738612979957</v>
      </c>
      <c r="V675" s="84" t="n">
        <f aca="false">IF(ISNUMBER(T675),T675,-99)</f>
        <v>22.0826138702004</v>
      </c>
      <c r="W675" s="84" t="n">
        <f aca="false">IF(ISNUMBER(U675),ABS(U675),"")</f>
        <v>3.21738612979957</v>
      </c>
    </row>
    <row r="676" customFormat="false" ht="15" hidden="false" customHeight="false" outlineLevel="0" collapsed="false">
      <c r="A676" s="57" t="n">
        <v>30499</v>
      </c>
      <c r="B676" s="56" t="n">
        <v>1983</v>
      </c>
      <c r="C676" s="56" t="n">
        <v>7</v>
      </c>
      <c r="D676" s="56" t="n">
        <v>63</v>
      </c>
      <c r="E676" s="56" t="n">
        <v>26.2</v>
      </c>
      <c r="F676" s="56" t="n">
        <v>0</v>
      </c>
      <c r="G676" s="56" t="n">
        <v>13.8</v>
      </c>
      <c r="H676" s="56" t="n">
        <v>0</v>
      </c>
      <c r="I676" s="56" t="n">
        <v>19.6</v>
      </c>
      <c r="J676" s="56" t="n">
        <v>0</v>
      </c>
      <c r="K676" s="56" t="n">
        <v>1020.6</v>
      </c>
      <c r="L676" s="56" t="n">
        <v>0</v>
      </c>
      <c r="M676" s="56" t="n">
        <v>70</v>
      </c>
      <c r="N676" s="56" t="n">
        <v>6.2</v>
      </c>
      <c r="O676" s="56" t="n">
        <f aca="false">IF(D676=1,"",E675)</f>
        <v>25.3</v>
      </c>
      <c r="P676" s="56" t="n">
        <f aca="false">IF(OR(D676=1,K675=""),"",K675)</f>
        <v>1020</v>
      </c>
      <c r="Q676" s="56" t="n">
        <f aca="false">IF(OR(F676&lt;&gt;0,AND(I676&lt;&gt;"",E676&lt;I676)),1,0)</f>
        <v>0</v>
      </c>
      <c r="R676" s="56" t="n">
        <f aca="false">IF(AND(D676&gt;1,Q676=0,ISNUMBER(O676),ISNUMBER(P676)),IF(Q675=0,1,0),0)</f>
        <v>1</v>
      </c>
      <c r="S676" s="56" t="n">
        <f aca="false">R676*(B676&gt;=Train_Start)*(B676&lt;=Train_End)</f>
        <v>1</v>
      </c>
      <c r="T676" s="84" t="n">
        <f aca="false">IF(AND(ISNUMBER(O676),ISNUMBER(P676)),Coef_A+Coef_B1*O676+Coef_B2*P676,"")</f>
        <v>24.8135495326441</v>
      </c>
      <c r="U676" s="84" t="n">
        <f aca="false">IF(AND(R676=1,ISNUMBER(T676)),E676-T676,"")</f>
        <v>1.38645046735589</v>
      </c>
      <c r="V676" s="84" t="n">
        <f aca="false">IF(ISNUMBER(T676),T676,-99)</f>
        <v>24.8135495326441</v>
      </c>
      <c r="W676" s="84" t="n">
        <f aca="false">IF(ISNUMBER(U676),ABS(U676),"")</f>
        <v>1.38645046735589</v>
      </c>
    </row>
    <row r="677" customFormat="false" ht="15" hidden="false" customHeight="false" outlineLevel="0" collapsed="false">
      <c r="A677" s="57" t="n">
        <v>30500</v>
      </c>
      <c r="B677" s="56" t="n">
        <v>1983</v>
      </c>
      <c r="C677" s="56" t="n">
        <v>7</v>
      </c>
      <c r="D677" s="56" t="n">
        <v>64</v>
      </c>
      <c r="E677" s="56" t="n">
        <v>28.4</v>
      </c>
      <c r="F677" s="56" t="n">
        <v>0</v>
      </c>
      <c r="G677" s="56" t="n">
        <v>11</v>
      </c>
      <c r="H677" s="56" t="n">
        <v>0</v>
      </c>
      <c r="I677" s="56" t="n">
        <v>18.6</v>
      </c>
      <c r="J677" s="56" t="n">
        <v>0</v>
      </c>
      <c r="K677" s="56" t="n">
        <v>1022.8</v>
      </c>
      <c r="L677" s="56" t="n">
        <v>0</v>
      </c>
      <c r="M677" s="56" t="n">
        <v>58</v>
      </c>
      <c r="N677" s="56" t="n">
        <v>14.5</v>
      </c>
      <c r="O677" s="56" t="n">
        <f aca="false">IF(D677=1,"",E676)</f>
        <v>26.2</v>
      </c>
      <c r="P677" s="56" t="n">
        <f aca="false">IF(OR(D677=1,K676=""),"",K676)</f>
        <v>1020.6</v>
      </c>
      <c r="Q677" s="56" t="n">
        <f aca="false">IF(OR(F677&lt;&gt;0,AND(I677&lt;&gt;"",E677&lt;I677)),1,0)</f>
        <v>0</v>
      </c>
      <c r="R677" s="56" t="n">
        <f aca="false">IF(AND(D677&gt;1,Q677=0,ISNUMBER(O677),ISNUMBER(P677)),IF(Q676=0,1,0),0)</f>
        <v>1</v>
      </c>
      <c r="S677" s="56" t="n">
        <f aca="false">R677*(B677&gt;=Train_Start)*(B677&lt;=Train_End)</f>
        <v>1</v>
      </c>
      <c r="T677" s="84" t="n">
        <f aca="false">IF(AND(ISNUMBER(O677),ISNUMBER(P677)),Coef_A+Coef_B1*O677+Coef_B2*P677,"")</f>
        <v>25.5697767431629</v>
      </c>
      <c r="U677" s="84" t="n">
        <f aca="false">IF(AND(R677=1,ISNUMBER(T677)),E677-T677,"")</f>
        <v>2.8302232568371</v>
      </c>
      <c r="V677" s="84" t="n">
        <f aca="false">IF(ISNUMBER(T677),T677,-99)</f>
        <v>25.5697767431629</v>
      </c>
      <c r="W677" s="84" t="n">
        <f aca="false">IF(ISNUMBER(U677),ABS(U677),"")</f>
        <v>2.8302232568371</v>
      </c>
    </row>
    <row r="678" customFormat="false" ht="15" hidden="false" customHeight="false" outlineLevel="0" collapsed="false">
      <c r="A678" s="57" t="n">
        <v>30501</v>
      </c>
      <c r="B678" s="56" t="n">
        <v>1983</v>
      </c>
      <c r="C678" s="56" t="n">
        <v>7</v>
      </c>
      <c r="D678" s="56" t="n">
        <v>65</v>
      </c>
      <c r="E678" s="56" t="n">
        <v>28.8</v>
      </c>
      <c r="F678" s="56" t="n">
        <v>0</v>
      </c>
      <c r="G678" s="56" t="n">
        <v>14.9</v>
      </c>
      <c r="H678" s="56" t="n">
        <v>0</v>
      </c>
      <c r="I678" s="56" t="n">
        <v>21.6</v>
      </c>
      <c r="J678" s="56" t="n">
        <v>0</v>
      </c>
      <c r="K678" s="56" t="n">
        <v>1021.6</v>
      </c>
      <c r="L678" s="56" t="n">
        <v>0</v>
      </c>
      <c r="M678" s="56" t="n">
        <v>57</v>
      </c>
      <c r="N678" s="56" t="n">
        <v>11.4</v>
      </c>
      <c r="O678" s="56" t="n">
        <f aca="false">IF(D678=1,"",E677)</f>
        <v>28.4</v>
      </c>
      <c r="P678" s="56" t="n">
        <f aca="false">IF(OR(D678=1,K677=""),"",K677)</f>
        <v>1022.8</v>
      </c>
      <c r="Q678" s="56" t="n">
        <f aca="false">IF(OR(F678&lt;&gt;0,AND(I678&lt;&gt;"",E678&lt;I678)),1,0)</f>
        <v>0</v>
      </c>
      <c r="R678" s="56" t="n">
        <f aca="false">IF(AND(D678&gt;1,Q678=0,ISNUMBER(O678),ISNUMBER(P678)),IF(Q677=0,1,0),0)</f>
        <v>1</v>
      </c>
      <c r="S678" s="56" t="n">
        <f aca="false">R678*(B678&gt;=Train_Start)*(B678&lt;=Train_End)</f>
        <v>1</v>
      </c>
      <c r="T678" s="84" t="n">
        <f aca="false">IF(AND(ISNUMBER(O678),ISNUMBER(P678)),Coef_A+Coef_B1*O678+Coef_B2*P678,"")</f>
        <v>27.4413367360515</v>
      </c>
      <c r="U678" s="84" t="n">
        <f aca="false">IF(AND(R678=1,ISNUMBER(T678)),E678-T678,"")</f>
        <v>1.35866326394848</v>
      </c>
      <c r="V678" s="84" t="n">
        <f aca="false">IF(ISNUMBER(T678),T678,-99)</f>
        <v>27.4413367360515</v>
      </c>
      <c r="W678" s="84" t="n">
        <f aca="false">IF(ISNUMBER(U678),ABS(U678),"")</f>
        <v>1.35866326394848</v>
      </c>
    </row>
    <row r="679" customFormat="false" ht="15" hidden="false" customHeight="false" outlineLevel="0" collapsed="false">
      <c r="A679" s="57" t="n">
        <v>30502</v>
      </c>
      <c r="B679" s="56" t="n">
        <v>1983</v>
      </c>
      <c r="C679" s="56" t="n">
        <v>7</v>
      </c>
      <c r="D679" s="56" t="n">
        <v>66</v>
      </c>
      <c r="E679" s="56" t="n">
        <v>26.6</v>
      </c>
      <c r="F679" s="56" t="n">
        <v>0</v>
      </c>
      <c r="G679" s="56" t="n">
        <v>15.4</v>
      </c>
      <c r="H679" s="56" t="n">
        <v>0</v>
      </c>
      <c r="I679" s="56" t="n">
        <v>22.1</v>
      </c>
      <c r="J679" s="56" t="n">
        <v>0</v>
      </c>
      <c r="K679" s="56" t="n">
        <v>1020</v>
      </c>
      <c r="L679" s="56" t="n">
        <v>0</v>
      </c>
      <c r="M679" s="56" t="n">
        <v>54</v>
      </c>
      <c r="N679" s="56" t="n">
        <v>13.8</v>
      </c>
      <c r="O679" s="56" t="n">
        <f aca="false">IF(D679=1,"",E678)</f>
        <v>28.8</v>
      </c>
      <c r="P679" s="56" t="n">
        <f aca="false">IF(OR(D679=1,K678=""),"",K678)</f>
        <v>1021.6</v>
      </c>
      <c r="Q679" s="56" t="n">
        <f aca="false">IF(OR(F679&lt;&gt;0,AND(I679&lt;&gt;"",E679&lt;I679)),1,0)</f>
        <v>0</v>
      </c>
      <c r="R679" s="56" t="n">
        <f aca="false">IF(AND(D679&gt;1,Q679=0,ISNUMBER(O679),ISNUMBER(P679)),IF(Q678=0,1,0),0)</f>
        <v>1</v>
      </c>
      <c r="S679" s="56" t="n">
        <f aca="false">R679*(B679&gt;=Train_Start)*(B679&lt;=Train_End)</f>
        <v>1</v>
      </c>
      <c r="T679" s="84" t="n">
        <f aca="false">IF(AND(ISNUMBER(O679),ISNUMBER(P679)),Coef_A+Coef_B1*O679+Coef_B2*P679,"")</f>
        <v>27.7314285397078</v>
      </c>
      <c r="U679" s="84" t="n">
        <f aca="false">IF(AND(R679=1,ISNUMBER(T679)),E679-T679,"")</f>
        <v>-1.1314285397078</v>
      </c>
      <c r="V679" s="84" t="n">
        <f aca="false">IF(ISNUMBER(T679),T679,-99)</f>
        <v>27.7314285397078</v>
      </c>
      <c r="W679" s="84" t="n">
        <f aca="false">IF(ISNUMBER(U679),ABS(U679),"")</f>
        <v>1.1314285397078</v>
      </c>
    </row>
    <row r="680" customFormat="false" ht="15" hidden="false" customHeight="false" outlineLevel="0" collapsed="false">
      <c r="A680" s="57" t="n">
        <v>30503</v>
      </c>
      <c r="B680" s="56" t="n">
        <v>1983</v>
      </c>
      <c r="C680" s="56" t="n">
        <v>7</v>
      </c>
      <c r="D680" s="56" t="n">
        <v>67</v>
      </c>
      <c r="E680" s="56" t="n">
        <v>26.1</v>
      </c>
      <c r="F680" s="56" t="n">
        <v>0</v>
      </c>
      <c r="G680" s="56" t="n">
        <v>17</v>
      </c>
      <c r="H680" s="56" t="n">
        <v>0</v>
      </c>
      <c r="I680" s="56" t="n">
        <v>21.8</v>
      </c>
      <c r="J680" s="56" t="n">
        <v>0</v>
      </c>
      <c r="K680" s="56" t="n">
        <v>1015.1</v>
      </c>
      <c r="L680" s="56" t="n">
        <v>0</v>
      </c>
      <c r="M680" s="56" t="n">
        <v>79</v>
      </c>
      <c r="N680" s="56" t="n">
        <v>2</v>
      </c>
      <c r="O680" s="56" t="n">
        <f aca="false">IF(D680=1,"",E679)</f>
        <v>26.6</v>
      </c>
      <c r="P680" s="56" t="n">
        <f aca="false">IF(OR(D680=1,K679=""),"",K679)</f>
        <v>1020</v>
      </c>
      <c r="Q680" s="56" t="n">
        <f aca="false">IF(OR(F680&lt;&gt;0,AND(I680&lt;&gt;"",E680&lt;I680)),1,0)</f>
        <v>0</v>
      </c>
      <c r="R680" s="56" t="n">
        <f aca="false">IF(AND(D680&gt;1,Q680=0,ISNUMBER(O680),ISNUMBER(P680)),IF(Q679=0,1,0),0)</f>
        <v>1</v>
      </c>
      <c r="S680" s="56" t="n">
        <f aca="false">R680*(B680&gt;=Train_Start)*(B680&lt;=Train_End)</f>
        <v>1</v>
      </c>
      <c r="T680" s="84" t="n">
        <f aca="false">IF(AND(ISNUMBER(O680),ISNUMBER(P680)),Coef_A+Coef_B1*O680+Coef_B2*P680,"")</f>
        <v>25.8786904835996</v>
      </c>
      <c r="U680" s="84" t="n">
        <f aca="false">IF(AND(R680=1,ISNUMBER(T680)),E680-T680,"")</f>
        <v>0.221309516400432</v>
      </c>
      <c r="V680" s="84" t="n">
        <f aca="false">IF(ISNUMBER(T680),T680,-99)</f>
        <v>25.8786904835996</v>
      </c>
      <c r="W680" s="84" t="n">
        <f aca="false">IF(ISNUMBER(U680),ABS(U680),"")</f>
        <v>0.221309516400432</v>
      </c>
    </row>
    <row r="681" customFormat="false" ht="15" hidden="false" customHeight="false" outlineLevel="0" collapsed="false">
      <c r="A681" s="57" t="n">
        <v>30504</v>
      </c>
      <c r="B681" s="56" t="n">
        <v>1983</v>
      </c>
      <c r="C681" s="56" t="n">
        <v>7</v>
      </c>
      <c r="D681" s="56" t="n">
        <v>68</v>
      </c>
      <c r="E681" s="56" t="n">
        <v>28.2</v>
      </c>
      <c r="F681" s="56" t="n">
        <v>0</v>
      </c>
      <c r="G681" s="56" t="n">
        <v>15.4</v>
      </c>
      <c r="H681" s="56" t="n">
        <v>0</v>
      </c>
      <c r="I681" s="56" t="n">
        <v>20.8</v>
      </c>
      <c r="J681" s="56" t="n">
        <v>0</v>
      </c>
      <c r="K681" s="56" t="n">
        <v>1014.5</v>
      </c>
      <c r="L681" s="56" t="n">
        <v>0</v>
      </c>
      <c r="M681" s="56" t="n">
        <v>80</v>
      </c>
      <c r="N681" s="56" t="n">
        <v>5.5</v>
      </c>
      <c r="O681" s="56" t="n">
        <f aca="false">IF(D681=1,"",E680)</f>
        <v>26.1</v>
      </c>
      <c r="P681" s="56" t="n">
        <f aca="false">IF(OR(D681=1,K680=""),"",K680)</f>
        <v>1015.1</v>
      </c>
      <c r="Q681" s="56" t="n">
        <f aca="false">IF(OR(F681&lt;&gt;0,AND(I681&lt;&gt;"",E681&lt;I681)),1,0)</f>
        <v>0</v>
      </c>
      <c r="R681" s="56" t="n">
        <f aca="false">IF(AND(D681&gt;1,Q681=0,ISNUMBER(O681),ISNUMBER(P681)),IF(Q680=0,1,0),0)</f>
        <v>1</v>
      </c>
      <c r="S681" s="56" t="n">
        <f aca="false">R681*(B681&gt;=Train_Start)*(B681&lt;=Train_End)</f>
        <v>1</v>
      </c>
      <c r="T681" s="84" t="n">
        <f aca="false">IF(AND(ISNUMBER(O681),ISNUMBER(P681)),Coef_A+Coef_B1*O681+Coef_B2*P681,"")</f>
        <v>25.3153084033717</v>
      </c>
      <c r="U681" s="84" t="n">
        <f aca="false">IF(AND(R681=1,ISNUMBER(T681)),E681-T681,"")</f>
        <v>2.8846915966283</v>
      </c>
      <c r="V681" s="84" t="n">
        <f aca="false">IF(ISNUMBER(T681),T681,-99)</f>
        <v>25.3153084033717</v>
      </c>
      <c r="W681" s="84" t="n">
        <f aca="false">IF(ISNUMBER(U681),ABS(U681),"")</f>
        <v>2.8846915966283</v>
      </c>
    </row>
    <row r="682" customFormat="false" ht="15" hidden="false" customHeight="false" outlineLevel="0" collapsed="false">
      <c r="A682" s="57" t="n">
        <v>30505</v>
      </c>
      <c r="B682" s="56" t="n">
        <v>1983</v>
      </c>
      <c r="C682" s="56" t="n">
        <v>7</v>
      </c>
      <c r="D682" s="56" t="n">
        <v>69</v>
      </c>
      <c r="E682" s="56" t="n">
        <v>27.2</v>
      </c>
      <c r="F682" s="56" t="n">
        <v>0</v>
      </c>
      <c r="G682" s="56" t="n">
        <v>16.4</v>
      </c>
      <c r="H682" s="56" t="n">
        <v>0</v>
      </c>
      <c r="I682" s="56" t="n">
        <v>22.3</v>
      </c>
      <c r="J682" s="56" t="n">
        <v>0</v>
      </c>
      <c r="K682" s="56" t="n">
        <v>1017</v>
      </c>
      <c r="L682" s="56" t="n">
        <v>0</v>
      </c>
      <c r="M682" s="56" t="n">
        <v>74</v>
      </c>
      <c r="N682" s="56" t="n">
        <v>3.9</v>
      </c>
      <c r="O682" s="56" t="n">
        <f aca="false">IF(D682=1,"",E681)</f>
        <v>28.2</v>
      </c>
      <c r="P682" s="56" t="n">
        <f aca="false">IF(OR(D682=1,K681=""),"",K681)</f>
        <v>1014.5</v>
      </c>
      <c r="Q682" s="56" t="n">
        <f aca="false">IF(OR(F682&lt;&gt;0,AND(I682&lt;&gt;"",E682&lt;I682)),1,0)</f>
        <v>0</v>
      </c>
      <c r="R682" s="56" t="n">
        <f aca="false">IF(AND(D682&gt;1,Q682=0,ISNUMBER(O682),ISNUMBER(P682)),IF(Q681=0,1,0),0)</f>
        <v>1</v>
      </c>
      <c r="S682" s="56" t="n">
        <f aca="false">R682*(B682&gt;=Train_Start)*(B682&lt;=Train_End)</f>
        <v>1</v>
      </c>
      <c r="T682" s="84" t="n">
        <f aca="false">IF(AND(ISNUMBER(O682),ISNUMBER(P682)),Coef_A+Coef_B1*O682+Coef_B2*P682,"")</f>
        <v>27.0170987719809</v>
      </c>
      <c r="U682" s="84" t="n">
        <f aca="false">IF(AND(R682=1,ISNUMBER(T682)),E682-T682,"")</f>
        <v>0.182901228019119</v>
      </c>
      <c r="V682" s="84" t="n">
        <f aca="false">IF(ISNUMBER(T682),T682,-99)</f>
        <v>27.0170987719809</v>
      </c>
      <c r="W682" s="84" t="n">
        <f aca="false">IF(ISNUMBER(U682),ABS(U682),"")</f>
        <v>0.182901228019119</v>
      </c>
    </row>
    <row r="683" customFormat="false" ht="15" hidden="false" customHeight="false" outlineLevel="0" collapsed="false">
      <c r="A683" s="57" t="n">
        <v>30506</v>
      </c>
      <c r="B683" s="56" t="n">
        <v>1983</v>
      </c>
      <c r="C683" s="56" t="n">
        <v>7</v>
      </c>
      <c r="D683" s="56" t="n">
        <v>70</v>
      </c>
      <c r="E683" s="56" t="n">
        <v>27.5</v>
      </c>
      <c r="F683" s="56" t="n">
        <v>0</v>
      </c>
      <c r="G683" s="56" t="n">
        <v>16.9</v>
      </c>
      <c r="H683" s="56" t="n">
        <v>0</v>
      </c>
      <c r="I683" s="56" t="n">
        <v>22</v>
      </c>
      <c r="J683" s="56" t="n">
        <v>0</v>
      </c>
      <c r="K683" s="56" t="n">
        <v>1020.5</v>
      </c>
      <c r="L683" s="56" t="n">
        <v>0</v>
      </c>
      <c r="M683" s="56" t="n">
        <v>68</v>
      </c>
      <c r="N683" s="56" t="n">
        <v>8.4</v>
      </c>
      <c r="O683" s="56" t="n">
        <f aca="false">IF(D683=1,"",E682)</f>
        <v>27.2</v>
      </c>
      <c r="P683" s="56" t="n">
        <f aca="false">IF(OR(D683=1,K682=""),"",K682)</f>
        <v>1017</v>
      </c>
      <c r="Q683" s="56" t="n">
        <f aca="false">IF(OR(F683&lt;&gt;0,AND(I683&lt;&gt;"",E683&lt;I683)),1,0)</f>
        <v>0</v>
      </c>
      <c r="R683" s="56" t="n">
        <f aca="false">IF(AND(D683&gt;1,Q683=0,ISNUMBER(O683),ISNUMBER(P683)),IF(Q682=0,1,0),0)</f>
        <v>1</v>
      </c>
      <c r="S683" s="56" t="n">
        <f aca="false">R683*(B683&gt;=Train_Start)*(B683&lt;=Train_End)</f>
        <v>1</v>
      </c>
      <c r="T683" s="84" t="n">
        <f aca="false">IF(AND(ISNUMBER(O683),ISNUMBER(P683)),Coef_A+Coef_B1*O683+Coef_B2*P683,"")</f>
        <v>26.2761843155232</v>
      </c>
      <c r="U683" s="84" t="n">
        <f aca="false">IF(AND(R683=1,ISNUMBER(T683)),E683-T683,"")</f>
        <v>1.2238156844768</v>
      </c>
      <c r="V683" s="84" t="n">
        <f aca="false">IF(ISNUMBER(T683),T683,-99)</f>
        <v>26.2761843155232</v>
      </c>
      <c r="W683" s="84" t="n">
        <f aca="false">IF(ISNUMBER(U683),ABS(U683),"")</f>
        <v>1.2238156844768</v>
      </c>
    </row>
    <row r="684" customFormat="false" ht="15" hidden="false" customHeight="false" outlineLevel="0" collapsed="false">
      <c r="A684" s="57" t="n">
        <v>30507</v>
      </c>
      <c r="B684" s="56" t="n">
        <v>1983</v>
      </c>
      <c r="C684" s="56" t="n">
        <v>7</v>
      </c>
      <c r="D684" s="56" t="n">
        <v>71</v>
      </c>
      <c r="E684" s="56" t="n">
        <v>30.6</v>
      </c>
      <c r="F684" s="56" t="n">
        <v>0</v>
      </c>
      <c r="G684" s="56" t="n">
        <v>15.9</v>
      </c>
      <c r="H684" s="56" t="n">
        <v>0</v>
      </c>
      <c r="I684" s="56" t="n">
        <v>21.7</v>
      </c>
      <c r="J684" s="56" t="n">
        <v>0</v>
      </c>
      <c r="K684" s="56" t="n">
        <v>1020.8</v>
      </c>
      <c r="L684" s="56" t="n">
        <v>0</v>
      </c>
      <c r="M684" s="56" t="n">
        <v>75</v>
      </c>
      <c r="N684" s="56" t="n">
        <v>8.4</v>
      </c>
      <c r="O684" s="56" t="n">
        <f aca="false">IF(D684=1,"",E683)</f>
        <v>27.5</v>
      </c>
      <c r="P684" s="56" t="n">
        <f aca="false">IF(OR(D684=1,K683=""),"",K683)</f>
        <v>1020.5</v>
      </c>
      <c r="Q684" s="56" t="n">
        <f aca="false">IF(OR(F684&lt;&gt;0,AND(I684&lt;&gt;"",E684&lt;I684)),1,0)</f>
        <v>0</v>
      </c>
      <c r="R684" s="56" t="n">
        <f aca="false">IF(AND(D684&gt;1,Q684=0,ISNUMBER(O684),ISNUMBER(P684)),IF(Q683=0,1,0),0)</f>
        <v>1</v>
      </c>
      <c r="S684" s="56" t="n">
        <f aca="false">R684*(B684&gt;=Train_Start)*(B684&lt;=Train_End)</f>
        <v>1</v>
      </c>
      <c r="T684" s="84" t="n">
        <f aca="false">IF(AND(ISNUMBER(O684),ISNUMBER(P684)),Coef_A+Coef_B1*O684+Coef_B2*P684,"")</f>
        <v>26.631780704655</v>
      </c>
      <c r="U684" s="84" t="n">
        <f aca="false">IF(AND(R684=1,ISNUMBER(T684)),E684-T684,"")</f>
        <v>3.96821929534504</v>
      </c>
      <c r="V684" s="84" t="n">
        <f aca="false">IF(ISNUMBER(T684),T684,-99)</f>
        <v>26.631780704655</v>
      </c>
      <c r="W684" s="84" t="n">
        <f aca="false">IF(ISNUMBER(U684),ABS(U684),"")</f>
        <v>3.96821929534504</v>
      </c>
    </row>
    <row r="685" customFormat="false" ht="15" hidden="false" customHeight="false" outlineLevel="0" collapsed="false">
      <c r="A685" s="57" t="n">
        <v>30508</v>
      </c>
      <c r="B685" s="56" t="n">
        <v>1983</v>
      </c>
      <c r="C685" s="56" t="n">
        <v>7</v>
      </c>
      <c r="D685" s="56" t="n">
        <v>72</v>
      </c>
      <c r="E685" s="56" t="n">
        <v>30.6</v>
      </c>
      <c r="F685" s="56" t="n">
        <v>0</v>
      </c>
      <c r="G685" s="56" t="n">
        <v>16.3</v>
      </c>
      <c r="H685" s="56" t="n">
        <v>0</v>
      </c>
      <c r="I685" s="56" t="n">
        <v>23.4</v>
      </c>
      <c r="J685" s="56" t="n">
        <v>0</v>
      </c>
      <c r="K685" s="56" t="n">
        <v>1022</v>
      </c>
      <c r="L685" s="56" t="n">
        <v>0</v>
      </c>
      <c r="M685" s="56" t="n">
        <v>60</v>
      </c>
      <c r="N685" s="56" t="n">
        <v>12.6</v>
      </c>
      <c r="O685" s="56" t="n">
        <f aca="false">IF(D685=1,"",E684)</f>
        <v>30.6</v>
      </c>
      <c r="P685" s="56" t="n">
        <f aca="false">IF(OR(D685=1,K684=""),"",K684)</f>
        <v>1020.8</v>
      </c>
      <c r="Q685" s="56" t="n">
        <f aca="false">IF(OR(F685&lt;&gt;0,AND(I685&lt;&gt;"",E685&lt;I685)),1,0)</f>
        <v>0</v>
      </c>
      <c r="R685" s="56" t="n">
        <f aca="false">IF(AND(D685&gt;1,Q685=0,ISNUMBER(O685),ISNUMBER(P685)),IF(Q684=0,1,0),0)</f>
        <v>1</v>
      </c>
      <c r="S685" s="56" t="n">
        <f aca="false">R685*(B685&gt;=Train_Start)*(B685&lt;=Train_End)</f>
        <v>1</v>
      </c>
      <c r="T685" s="84" t="n">
        <f aca="false">IF(AND(ISNUMBER(O685),ISNUMBER(P685)),Coef_A+Coef_B1*O685+Coef_B2*P685,"")</f>
        <v>29.1811431714774</v>
      </c>
      <c r="U685" s="84" t="n">
        <f aca="false">IF(AND(R685=1,ISNUMBER(T685)),E685-T685,"")</f>
        <v>1.41885682852261</v>
      </c>
      <c r="V685" s="84" t="n">
        <f aca="false">IF(ISNUMBER(T685),T685,-99)</f>
        <v>29.1811431714774</v>
      </c>
      <c r="W685" s="84" t="n">
        <f aca="false">IF(ISNUMBER(U685),ABS(U685),"")</f>
        <v>1.41885682852261</v>
      </c>
    </row>
    <row r="686" customFormat="false" ht="15" hidden="false" customHeight="false" outlineLevel="0" collapsed="false">
      <c r="A686" s="57" t="n">
        <v>30509</v>
      </c>
      <c r="B686" s="56" t="n">
        <v>1983</v>
      </c>
      <c r="C686" s="56" t="n">
        <v>7</v>
      </c>
      <c r="D686" s="56" t="n">
        <v>73</v>
      </c>
      <c r="E686" s="56" t="n">
        <v>31.6</v>
      </c>
      <c r="F686" s="56" t="n">
        <v>0</v>
      </c>
      <c r="G686" s="56" t="n">
        <v>17.7</v>
      </c>
      <c r="H686" s="56" t="n">
        <v>0</v>
      </c>
      <c r="I686" s="56" t="n">
        <v>24.2</v>
      </c>
      <c r="J686" s="56" t="n">
        <v>0</v>
      </c>
      <c r="K686" s="56" t="n">
        <v>1024.1</v>
      </c>
      <c r="L686" s="56" t="n">
        <v>0</v>
      </c>
      <c r="M686" s="56" t="n">
        <v>55</v>
      </c>
      <c r="N686" s="56" t="n">
        <v>13.6</v>
      </c>
      <c r="O686" s="56" t="n">
        <f aca="false">IF(D686=1,"",E685)</f>
        <v>30.6</v>
      </c>
      <c r="P686" s="56" t="n">
        <f aca="false">IF(OR(D686=1,K685=""),"",K685)</f>
        <v>1022</v>
      </c>
      <c r="Q686" s="56" t="n">
        <f aca="false">IF(OR(F686&lt;&gt;0,AND(I686&lt;&gt;"",E686&lt;I686)),1,0)</f>
        <v>0</v>
      </c>
      <c r="R686" s="56" t="n">
        <f aca="false">IF(AND(D686&gt;1,Q686=0,ISNUMBER(O686),ISNUMBER(P686)),IF(Q685=0,1,0),0)</f>
        <v>1</v>
      </c>
      <c r="S686" s="56" t="n">
        <f aca="false">R686*(B686&gt;=Train_Start)*(B686&lt;=Train_End)</f>
        <v>1</v>
      </c>
      <c r="T686" s="84" t="n">
        <f aca="false">IF(AND(ISNUMBER(O686),ISNUMBER(P686)),Coef_A+Coef_B1*O686+Coef_B2*P686,"")</f>
        <v>29.2187870450382</v>
      </c>
      <c r="U686" s="84" t="n">
        <f aca="false">IF(AND(R686=1,ISNUMBER(T686)),E686-T686,"")</f>
        <v>2.38121295496182</v>
      </c>
      <c r="V686" s="84" t="n">
        <f aca="false">IF(ISNUMBER(T686),T686,-99)</f>
        <v>29.2187870450382</v>
      </c>
      <c r="W686" s="84" t="n">
        <f aca="false">IF(ISNUMBER(U686),ABS(U686),"")</f>
        <v>2.38121295496182</v>
      </c>
    </row>
    <row r="687" customFormat="false" ht="15" hidden="false" customHeight="false" outlineLevel="0" collapsed="false">
      <c r="A687" s="57" t="n">
        <v>30510</v>
      </c>
      <c r="B687" s="56" t="n">
        <v>1983</v>
      </c>
      <c r="C687" s="56" t="n">
        <v>7</v>
      </c>
      <c r="D687" s="56" t="n">
        <v>74</v>
      </c>
      <c r="E687" s="56" t="n">
        <v>31.4</v>
      </c>
      <c r="F687" s="56" t="n">
        <v>0</v>
      </c>
      <c r="G687" s="56" t="n">
        <v>17.6</v>
      </c>
      <c r="H687" s="56" t="n">
        <v>0</v>
      </c>
      <c r="I687" s="56" t="n">
        <v>24.6</v>
      </c>
      <c r="J687" s="56" t="n">
        <v>0</v>
      </c>
      <c r="K687" s="56" t="n">
        <v>1023</v>
      </c>
      <c r="L687" s="56" t="n">
        <v>0</v>
      </c>
      <c r="M687" s="56" t="n">
        <v>60</v>
      </c>
      <c r="N687" s="56" t="n">
        <v>11.6</v>
      </c>
      <c r="O687" s="56" t="n">
        <f aca="false">IF(D687=1,"",E686)</f>
        <v>31.6</v>
      </c>
      <c r="P687" s="56" t="n">
        <f aca="false">IF(OR(D687=1,K686=""),"",K686)</f>
        <v>1024.1</v>
      </c>
      <c r="Q687" s="56" t="n">
        <f aca="false">IF(OR(F687&lt;&gt;0,AND(I687&lt;&gt;"",E687&lt;I687)),1,0)</f>
        <v>0</v>
      </c>
      <c r="R687" s="56" t="n">
        <f aca="false">IF(AND(D687&gt;1,Q687=0,ISNUMBER(O687),ISNUMBER(P687)),IF(Q686=0,1,0),0)</f>
        <v>1</v>
      </c>
      <c r="S687" s="56" t="n">
        <f aca="false">R687*(B687&gt;=Train_Start)*(B687&lt;=Train_End)</f>
        <v>1</v>
      </c>
      <c r="T687" s="84" t="n">
        <f aca="false">IF(AND(ISNUMBER(O687),ISNUMBER(P687)),Coef_A+Coef_B1*O687+Coef_B2*P687,"")</f>
        <v>30.1040030168122</v>
      </c>
      <c r="U687" s="84" t="n">
        <f aca="false">IF(AND(R687=1,ISNUMBER(T687)),E687-T687,"")</f>
        <v>1.29599698318779</v>
      </c>
      <c r="V687" s="84" t="n">
        <f aca="false">IF(ISNUMBER(T687),T687,-99)</f>
        <v>30.1040030168122</v>
      </c>
      <c r="W687" s="84" t="n">
        <f aca="false">IF(ISNUMBER(U687),ABS(U687),"")</f>
        <v>1.29599698318779</v>
      </c>
    </row>
    <row r="688" customFormat="false" ht="15" hidden="false" customHeight="false" outlineLevel="0" collapsed="false">
      <c r="A688" s="57" t="n">
        <v>30511</v>
      </c>
      <c r="B688" s="56" t="n">
        <v>1983</v>
      </c>
      <c r="C688" s="56" t="n">
        <v>7</v>
      </c>
      <c r="D688" s="56" t="n">
        <v>75</v>
      </c>
      <c r="E688" s="56" t="n">
        <v>32.6</v>
      </c>
      <c r="F688" s="56" t="n">
        <v>0</v>
      </c>
      <c r="G688" s="56" t="n">
        <v>15.4</v>
      </c>
      <c r="H688" s="56" t="n">
        <v>0</v>
      </c>
      <c r="I688" s="56" t="n">
        <v>23.4</v>
      </c>
      <c r="J688" s="56" t="n">
        <v>0</v>
      </c>
      <c r="K688" s="56" t="n">
        <v>1021.1</v>
      </c>
      <c r="L688" s="56" t="n">
        <v>0</v>
      </c>
      <c r="M688" s="56" t="n">
        <v>68</v>
      </c>
      <c r="N688" s="56" t="n">
        <v>8.3</v>
      </c>
      <c r="O688" s="56" t="n">
        <f aca="false">IF(D688=1,"",E687)</f>
        <v>31.4</v>
      </c>
      <c r="P688" s="56" t="n">
        <f aca="false">IF(OR(D688=1,K687=""),"",K687)</f>
        <v>1023</v>
      </c>
      <c r="Q688" s="56" t="n">
        <f aca="false">IF(OR(F688&lt;&gt;0,AND(I688&lt;&gt;"",E688&lt;I688)),1,0)</f>
        <v>0</v>
      </c>
      <c r="R688" s="56" t="n">
        <f aca="false">IF(AND(D688&gt;1,Q688=0,ISNUMBER(O688),ISNUMBER(P688)),IF(Q687=0,1,0),0)</f>
        <v>1</v>
      </c>
      <c r="S688" s="56" t="n">
        <f aca="false">R688*(B688&gt;=Train_Start)*(B688&lt;=Train_End)</f>
        <v>1</v>
      </c>
      <c r="T688" s="84" t="n">
        <f aca="false">IF(AND(ISNUMBER(O688),ISNUMBER(P688)),Coef_A+Coef_B1*O688+Coef_B2*P688,"")</f>
        <v>29.9056282941063</v>
      </c>
      <c r="U688" s="84" t="n">
        <f aca="false">IF(AND(R688=1,ISNUMBER(T688)),E688-T688,"")</f>
        <v>2.69437170589371</v>
      </c>
      <c r="V688" s="84" t="n">
        <f aca="false">IF(ISNUMBER(T688),T688,-99)</f>
        <v>29.9056282941063</v>
      </c>
      <c r="W688" s="84" t="n">
        <f aca="false">IF(ISNUMBER(U688),ABS(U688),"")</f>
        <v>2.69437170589371</v>
      </c>
    </row>
    <row r="689" customFormat="false" ht="15" hidden="false" customHeight="false" outlineLevel="0" collapsed="false">
      <c r="A689" s="57" t="n">
        <v>30512</v>
      </c>
      <c r="B689" s="56" t="n">
        <v>1983</v>
      </c>
      <c r="C689" s="56" t="n">
        <v>7</v>
      </c>
      <c r="D689" s="56" t="n">
        <v>76</v>
      </c>
      <c r="E689" s="56" t="n">
        <v>32.8</v>
      </c>
      <c r="F689" s="56" t="n">
        <v>0</v>
      </c>
      <c r="G689" s="56" t="n">
        <v>17.9</v>
      </c>
      <c r="H689" s="56" t="n">
        <v>0</v>
      </c>
      <c r="I689" s="56" t="n">
        <v>25.2</v>
      </c>
      <c r="J689" s="56" t="n">
        <v>0</v>
      </c>
      <c r="K689" s="56" t="n">
        <v>1016</v>
      </c>
      <c r="L689" s="56" t="n">
        <v>0</v>
      </c>
      <c r="M689" s="56" t="n">
        <v>60</v>
      </c>
      <c r="N689" s="56" t="n">
        <v>11.7</v>
      </c>
      <c r="O689" s="56" t="n">
        <f aca="false">IF(D689=1,"",E688)</f>
        <v>32.6</v>
      </c>
      <c r="P689" s="56" t="n">
        <f aca="false">IF(OR(D689=1,K688=""),"",K688)</f>
        <v>1021.1</v>
      </c>
      <c r="Q689" s="56" t="n">
        <f aca="false">IF(OR(F689&lt;&gt;0,AND(I689&lt;&gt;"",E689&lt;I689)),1,0)</f>
        <v>0</v>
      </c>
      <c r="R689" s="56" t="n">
        <f aca="false">IF(AND(D689&gt;1,Q689=0,ISNUMBER(O689),ISNUMBER(P689)),IF(Q688=0,1,0),0)</f>
        <v>1</v>
      </c>
      <c r="S689" s="56" t="n">
        <f aca="false">R689*(B689&gt;=Train_Start)*(B689&lt;=Train_End)</f>
        <v>1</v>
      </c>
      <c r="T689" s="84" t="n">
        <f aca="false">IF(AND(ISNUMBER(O689),ISNUMBER(P689)),Coef_A+Coef_B1*O689+Coef_B2*P689,"")</f>
        <v>30.8292325259529</v>
      </c>
      <c r="U689" s="84" t="n">
        <f aca="false">IF(AND(R689=1,ISNUMBER(T689)),E689-T689,"")</f>
        <v>1.97076747404709</v>
      </c>
      <c r="V689" s="84" t="n">
        <f aca="false">IF(ISNUMBER(T689),T689,-99)</f>
        <v>30.8292325259529</v>
      </c>
      <c r="W689" s="84" t="n">
        <f aca="false">IF(ISNUMBER(U689),ABS(U689),"")</f>
        <v>1.97076747404709</v>
      </c>
    </row>
    <row r="690" customFormat="false" ht="15" hidden="false" customHeight="false" outlineLevel="0" collapsed="false">
      <c r="A690" s="57" t="n">
        <v>30513</v>
      </c>
      <c r="B690" s="56" t="n">
        <v>1983</v>
      </c>
      <c r="C690" s="56" t="n">
        <v>7</v>
      </c>
      <c r="D690" s="56" t="n">
        <v>77</v>
      </c>
      <c r="E690" s="56" t="n">
        <v>28.5</v>
      </c>
      <c r="F690" s="56" t="n">
        <v>0</v>
      </c>
      <c r="G690" s="56" t="n">
        <v>19.1</v>
      </c>
      <c r="H690" s="56" t="n">
        <v>0</v>
      </c>
      <c r="I690" s="56" t="n">
        <v>26</v>
      </c>
      <c r="J690" s="56" t="n">
        <v>0</v>
      </c>
      <c r="K690" s="56" t="n">
        <v>1013.6</v>
      </c>
      <c r="L690" s="56" t="n">
        <v>0</v>
      </c>
      <c r="M690" s="56" t="n">
        <v>57</v>
      </c>
      <c r="N690" s="56" t="n">
        <v>11.7</v>
      </c>
      <c r="O690" s="56" t="n">
        <f aca="false">IF(D690=1,"",E689)</f>
        <v>32.8</v>
      </c>
      <c r="P690" s="56" t="n">
        <f aca="false">IF(OR(D690=1,K689=""),"",K689)</f>
        <v>1016</v>
      </c>
      <c r="Q690" s="56" t="n">
        <f aca="false">IF(OR(F690&lt;&gt;0,AND(I690&lt;&gt;"",E690&lt;I690)),1,0)</f>
        <v>0</v>
      </c>
      <c r="R690" s="56" t="n">
        <f aca="false">IF(AND(D690&gt;1,Q690=0,ISNUMBER(O690),ISNUMBER(P690)),IF(Q689=0,1,0),0)</f>
        <v>1</v>
      </c>
      <c r="S690" s="56" t="n">
        <f aca="false">R690*(B690&gt;=Train_Start)*(B690&lt;=Train_End)</f>
        <v>1</v>
      </c>
      <c r="T690" s="84" t="n">
        <f aca="false">IF(AND(ISNUMBER(O690),ISNUMBER(P690)),Coef_A+Coef_B1*O690+Coef_B2*P690,"")</f>
        <v>30.8331139019281</v>
      </c>
      <c r="U690" s="84" t="n">
        <f aca="false">IF(AND(R690=1,ISNUMBER(T690)),E690-T690,"")</f>
        <v>-2.33311390192809</v>
      </c>
      <c r="V690" s="84" t="n">
        <f aca="false">IF(ISNUMBER(T690),T690,-99)</f>
        <v>30.8331139019281</v>
      </c>
      <c r="W690" s="84" t="n">
        <f aca="false">IF(ISNUMBER(U690),ABS(U690),"")</f>
        <v>2.33311390192809</v>
      </c>
    </row>
    <row r="691" customFormat="false" ht="15" hidden="false" customHeight="false" outlineLevel="0" collapsed="false">
      <c r="A691" s="57" t="n">
        <v>30514</v>
      </c>
      <c r="B691" s="56" t="n">
        <v>1983</v>
      </c>
      <c r="C691" s="56" t="n">
        <v>7</v>
      </c>
      <c r="D691" s="56" t="n">
        <v>78</v>
      </c>
      <c r="E691" s="56" t="n">
        <v>28.5</v>
      </c>
      <c r="F691" s="56" t="n">
        <v>0</v>
      </c>
      <c r="G691" s="56" t="n">
        <v>18.6</v>
      </c>
      <c r="H691" s="56" t="n">
        <v>0</v>
      </c>
      <c r="I691" s="56" t="n">
        <v>23.6</v>
      </c>
      <c r="J691" s="56" t="n">
        <v>0</v>
      </c>
      <c r="K691" s="56" t="n">
        <v>1010.7</v>
      </c>
      <c r="L691" s="56" t="n">
        <v>0</v>
      </c>
      <c r="M691" s="56" t="n">
        <v>69</v>
      </c>
      <c r="N691" s="56" t="n">
        <v>8.8</v>
      </c>
      <c r="O691" s="56" t="n">
        <f aca="false">IF(D691=1,"",E690)</f>
        <v>28.5</v>
      </c>
      <c r="P691" s="56" t="n">
        <f aca="false">IF(OR(D691=1,K690=""),"",K690)</f>
        <v>1013.6</v>
      </c>
      <c r="Q691" s="56" t="n">
        <f aca="false">IF(OR(F691&lt;&gt;0,AND(I691&lt;&gt;"",E691&lt;I691)),1,0)</f>
        <v>0</v>
      </c>
      <c r="R691" s="56" t="n">
        <f aca="false">IF(AND(D691&gt;1,Q691=0,ISNUMBER(O691),ISNUMBER(P691)),IF(Q690=0,1,0),0)</f>
        <v>1</v>
      </c>
      <c r="S691" s="56" t="n">
        <f aca="false">R691*(B691&gt;=Train_Start)*(B691&lt;=Train_End)</f>
        <v>1</v>
      </c>
      <c r="T691" s="84" t="n">
        <f aca="false">IF(AND(ISNUMBER(O691),ISNUMBER(P691)),Coef_A+Coef_B1*O691+Coef_B2*P691,"")</f>
        <v>27.2346676247231</v>
      </c>
      <c r="U691" s="84" t="n">
        <f aca="false">IF(AND(R691=1,ISNUMBER(T691)),E691-T691,"")</f>
        <v>1.26533237527691</v>
      </c>
      <c r="V691" s="84" t="n">
        <f aca="false">IF(ISNUMBER(T691),T691,-99)</f>
        <v>27.2346676247231</v>
      </c>
      <c r="W691" s="84" t="n">
        <f aca="false">IF(ISNUMBER(U691),ABS(U691),"")</f>
        <v>1.26533237527691</v>
      </c>
    </row>
    <row r="692" customFormat="false" ht="15" hidden="false" customHeight="false" outlineLevel="0" collapsed="false">
      <c r="A692" s="57" t="n">
        <v>30515</v>
      </c>
      <c r="B692" s="56" t="n">
        <v>1983</v>
      </c>
      <c r="C692" s="56" t="n">
        <v>7</v>
      </c>
      <c r="D692" s="56" t="n">
        <v>79</v>
      </c>
      <c r="E692" s="56" t="n">
        <v>25.6</v>
      </c>
      <c r="F692" s="56" t="n">
        <v>0</v>
      </c>
      <c r="G692" s="56" t="n">
        <v>17.7</v>
      </c>
      <c r="H692" s="56" t="n">
        <v>0</v>
      </c>
      <c r="I692" s="56" t="n">
        <v>23.1</v>
      </c>
      <c r="J692" s="56" t="n">
        <v>0</v>
      </c>
      <c r="K692" s="56" t="n">
        <v>1014.7</v>
      </c>
      <c r="L692" s="56" t="n">
        <v>0</v>
      </c>
      <c r="M692" s="56" t="n">
        <v>70</v>
      </c>
      <c r="N692" s="56" t="n">
        <v>7.5</v>
      </c>
      <c r="O692" s="56" t="n">
        <f aca="false">IF(D692=1,"",E691)</f>
        <v>28.5</v>
      </c>
      <c r="P692" s="56" t="n">
        <f aca="false">IF(OR(D692=1,K691=""),"",K691)</f>
        <v>1010.7</v>
      </c>
      <c r="Q692" s="56" t="n">
        <f aca="false">IF(OR(F692&lt;&gt;0,AND(I692&lt;&gt;"",E692&lt;I692)),1,0)</f>
        <v>0</v>
      </c>
      <c r="R692" s="56" t="n">
        <f aca="false">IF(AND(D692&gt;1,Q692=0,ISNUMBER(O692),ISNUMBER(P692)),IF(Q691=0,1,0),0)</f>
        <v>1</v>
      </c>
      <c r="S692" s="56" t="n">
        <f aca="false">R692*(B692&gt;=Train_Start)*(B692&lt;=Train_End)</f>
        <v>1</v>
      </c>
      <c r="T692" s="84" t="n">
        <f aca="false">IF(AND(ISNUMBER(O692),ISNUMBER(P692)),Coef_A+Coef_B1*O692+Coef_B2*P692,"")</f>
        <v>27.1436949302845</v>
      </c>
      <c r="U692" s="84" t="n">
        <f aca="false">IF(AND(R692=1,ISNUMBER(T692)),E692-T692,"")</f>
        <v>-1.54369493028452</v>
      </c>
      <c r="V692" s="84" t="n">
        <f aca="false">IF(ISNUMBER(T692),T692,-99)</f>
        <v>27.1436949302845</v>
      </c>
      <c r="W692" s="84" t="n">
        <f aca="false">IF(ISNUMBER(U692),ABS(U692),"")</f>
        <v>1.54369493028452</v>
      </c>
    </row>
    <row r="693" customFormat="false" ht="15" hidden="false" customHeight="false" outlineLevel="0" collapsed="false">
      <c r="A693" s="57" t="n">
        <v>30516</v>
      </c>
      <c r="B693" s="56" t="n">
        <v>1983</v>
      </c>
      <c r="C693" s="56" t="n">
        <v>7</v>
      </c>
      <c r="D693" s="56" t="n">
        <v>80</v>
      </c>
      <c r="E693" s="56" t="n">
        <v>21.2</v>
      </c>
      <c r="F693" s="56" t="n">
        <v>0</v>
      </c>
      <c r="G693" s="56" t="n">
        <v>16.7</v>
      </c>
      <c r="H693" s="56" t="n">
        <v>0</v>
      </c>
      <c r="I693" s="56" t="n">
        <v>21.2</v>
      </c>
      <c r="J693" s="56" t="n">
        <v>0</v>
      </c>
      <c r="K693" s="56" t="n">
        <v>1020.8</v>
      </c>
      <c r="L693" s="56" t="n">
        <v>0</v>
      </c>
      <c r="M693" s="56" t="n">
        <v>73</v>
      </c>
      <c r="N693" s="56" t="n">
        <v>4.3</v>
      </c>
      <c r="O693" s="56" t="n">
        <f aca="false">IF(D693=1,"",E692)</f>
        <v>25.6</v>
      </c>
      <c r="P693" s="56" t="n">
        <f aca="false">IF(OR(D693=1,K692=""),"",K692)</f>
        <v>1014.7</v>
      </c>
      <c r="Q693" s="56" t="n">
        <f aca="false">IF(OR(F693&lt;&gt;0,AND(I693&lt;&gt;"",E693&lt;I693)),1,0)</f>
        <v>0</v>
      </c>
      <c r="R693" s="56" t="n">
        <f aca="false">IF(AND(D693&gt;1,Q693=0,ISNUMBER(O693),ISNUMBER(P693)),IF(Q692=0,1,0),0)</f>
        <v>1</v>
      </c>
      <c r="S693" s="56" t="n">
        <f aca="false">R693*(B693&gt;=Train_Start)*(B693&lt;=Train_End)</f>
        <v>1</v>
      </c>
      <c r="T693" s="84" t="n">
        <f aca="false">IF(AND(ISNUMBER(O693),ISNUMBER(P693)),Coef_A+Coef_B1*O693+Coef_B2*P693,"")</f>
        <v>24.8930908489968</v>
      </c>
      <c r="U693" s="84" t="n">
        <f aca="false">IF(AND(R693=1,ISNUMBER(T693)),E693-T693,"")</f>
        <v>-3.69309084899677</v>
      </c>
      <c r="V693" s="84" t="n">
        <f aca="false">IF(ISNUMBER(T693),T693,-99)</f>
        <v>24.8930908489968</v>
      </c>
      <c r="W693" s="84" t="n">
        <f aca="false">IF(ISNUMBER(U693),ABS(U693),"")</f>
        <v>3.69309084899677</v>
      </c>
    </row>
    <row r="694" customFormat="false" ht="15" hidden="false" customHeight="false" outlineLevel="0" collapsed="false">
      <c r="A694" s="57" t="n">
        <v>30517</v>
      </c>
      <c r="B694" s="56" t="n">
        <v>1983</v>
      </c>
      <c r="C694" s="56" t="n">
        <v>7</v>
      </c>
      <c r="D694" s="56" t="n">
        <v>81</v>
      </c>
      <c r="E694" s="56" t="n">
        <v>23.8</v>
      </c>
      <c r="F694" s="56" t="n">
        <v>0</v>
      </c>
      <c r="G694" s="56" t="n">
        <v>15.9</v>
      </c>
      <c r="H694" s="56" t="n">
        <v>0</v>
      </c>
      <c r="I694" s="56" t="n">
        <v>18.6</v>
      </c>
      <c r="J694" s="56" t="n">
        <v>0</v>
      </c>
      <c r="K694" s="56" t="n">
        <v>1026.6</v>
      </c>
      <c r="L694" s="56" t="n">
        <v>0</v>
      </c>
      <c r="M694" s="56" t="n">
        <v>68</v>
      </c>
      <c r="N694" s="56" t="n">
        <v>0.6</v>
      </c>
      <c r="O694" s="56" t="n">
        <f aca="false">IF(D694=1,"",E693)</f>
        <v>21.2</v>
      </c>
      <c r="P694" s="56" t="n">
        <f aca="false">IF(OR(D694=1,K693=""),"",K693)</f>
        <v>1020.8</v>
      </c>
      <c r="Q694" s="56" t="n">
        <f aca="false">IF(OR(F694&lt;&gt;0,AND(I694&lt;&gt;"",E694&lt;I694)),1,0)</f>
        <v>0</v>
      </c>
      <c r="R694" s="56" t="n">
        <f aca="false">IF(AND(D694&gt;1,Q694=0,ISNUMBER(O694),ISNUMBER(P694)),IF(Q693=0,1,0),0)</f>
        <v>1</v>
      </c>
      <c r="S694" s="56" t="n">
        <f aca="false">R694*(B694&gt;=Train_Start)*(B694&lt;=Train_End)</f>
        <v>1</v>
      </c>
      <c r="T694" s="84" t="n">
        <f aca="false">IF(AND(ISNUMBER(O694),ISNUMBER(P694)),Coef_A+Coef_B1*O694+Coef_B2*P694,"")</f>
        <v>21.4793547568764</v>
      </c>
      <c r="U694" s="84" t="n">
        <f aca="false">IF(AND(R694=1,ISNUMBER(T694)),E694-T694,"")</f>
        <v>2.32064524312359</v>
      </c>
      <c r="V694" s="84" t="n">
        <f aca="false">IF(ISNUMBER(T694),T694,-99)</f>
        <v>21.4793547568764</v>
      </c>
      <c r="W694" s="84" t="n">
        <f aca="false">IF(ISNUMBER(U694),ABS(U694),"")</f>
        <v>2.32064524312359</v>
      </c>
    </row>
    <row r="695" customFormat="false" ht="15" hidden="false" customHeight="false" outlineLevel="0" collapsed="false">
      <c r="A695" s="57" t="n">
        <v>30518</v>
      </c>
      <c r="B695" s="56" t="n">
        <v>1983</v>
      </c>
      <c r="C695" s="56" t="n">
        <v>7</v>
      </c>
      <c r="D695" s="56" t="n">
        <v>82</v>
      </c>
      <c r="E695" s="56" t="n">
        <v>27.3</v>
      </c>
      <c r="F695" s="56" t="n">
        <v>0</v>
      </c>
      <c r="G695" s="56" t="n">
        <v>11.6</v>
      </c>
      <c r="H695" s="56" t="n">
        <v>0</v>
      </c>
      <c r="I695" s="56" t="n">
        <v>17.7</v>
      </c>
      <c r="J695" s="56" t="n">
        <v>0</v>
      </c>
      <c r="K695" s="56" t="n">
        <v>1024.8</v>
      </c>
      <c r="L695" s="56" t="n">
        <v>0</v>
      </c>
      <c r="M695" s="56" t="n">
        <v>58</v>
      </c>
      <c r="N695" s="56" t="n">
        <v>14</v>
      </c>
      <c r="O695" s="56" t="n">
        <f aca="false">IF(D695=1,"",E694)</f>
        <v>23.8</v>
      </c>
      <c r="P695" s="56" t="n">
        <f aca="false">IF(OR(D695=1,K694=""),"",K694)</f>
        <v>1026.6</v>
      </c>
      <c r="Q695" s="56" t="n">
        <f aca="false">IF(OR(F695&lt;&gt;0,AND(I695&lt;&gt;"",E695&lt;I695)),1,0)</f>
        <v>0</v>
      </c>
      <c r="R695" s="56" t="n">
        <f aca="false">IF(AND(D695&gt;1,Q695=0,ISNUMBER(O695),ISNUMBER(P695)),IF(Q694=0,1,0),0)</f>
        <v>1</v>
      </c>
      <c r="S695" s="56" t="n">
        <f aca="false">R695*(B695&gt;=Train_Start)*(B695&lt;=Train_End)</f>
        <v>1</v>
      </c>
      <c r="T695" s="84" t="n">
        <f aca="false">IF(AND(ISNUMBER(O695),ISNUMBER(P695)),Coef_A+Coef_B1*O695+Coef_B2*P695,"")</f>
        <v>23.7915820476645</v>
      </c>
      <c r="U695" s="84" t="n">
        <f aca="false">IF(AND(R695=1,ISNUMBER(T695)),E695-T695,"")</f>
        <v>3.50841795233555</v>
      </c>
      <c r="V695" s="84" t="n">
        <f aca="false">IF(ISNUMBER(T695),T695,-99)</f>
        <v>23.7915820476645</v>
      </c>
      <c r="W695" s="84" t="n">
        <f aca="false">IF(ISNUMBER(U695),ABS(U695),"")</f>
        <v>3.50841795233555</v>
      </c>
    </row>
    <row r="696" customFormat="false" ht="15" hidden="false" customHeight="false" outlineLevel="0" collapsed="false">
      <c r="A696" s="57" t="n">
        <v>30519</v>
      </c>
      <c r="B696" s="56" t="n">
        <v>1983</v>
      </c>
      <c r="C696" s="56" t="n">
        <v>7</v>
      </c>
      <c r="D696" s="56" t="n">
        <v>83</v>
      </c>
      <c r="E696" s="56" t="n">
        <v>24.6</v>
      </c>
      <c r="F696" s="56" t="n">
        <v>0</v>
      </c>
      <c r="G696" s="56" t="n">
        <v>14.3</v>
      </c>
      <c r="H696" s="56" t="n">
        <v>0</v>
      </c>
      <c r="I696" s="56" t="n">
        <v>20.8</v>
      </c>
      <c r="J696" s="56" t="n">
        <v>0</v>
      </c>
      <c r="K696" s="56" t="n">
        <v>1015.1</v>
      </c>
      <c r="L696" s="56" t="n">
        <v>0</v>
      </c>
      <c r="M696" s="56" t="n">
        <v>61</v>
      </c>
      <c r="N696" s="56" t="n">
        <v>5.6</v>
      </c>
      <c r="O696" s="56" t="n">
        <f aca="false">IF(D696=1,"",E695)</f>
        <v>27.3</v>
      </c>
      <c r="P696" s="56" t="n">
        <f aca="false">IF(OR(D696=1,K695=""),"",K695)</f>
        <v>1024.8</v>
      </c>
      <c r="Q696" s="56" t="n">
        <f aca="false">IF(OR(F696&lt;&gt;0,AND(I696&lt;&gt;"",E696&lt;I696)),1,0)</f>
        <v>0</v>
      </c>
      <c r="R696" s="56" t="n">
        <f aca="false">IF(AND(D696&gt;1,Q696=0,ISNUMBER(O696),ISNUMBER(P696)),IF(Q695=0,1,0),0)</f>
        <v>1</v>
      </c>
      <c r="S696" s="56" t="n">
        <f aca="false">R696*(B696&gt;=Train_Start)*(B696&lt;=Train_End)</f>
        <v>1</v>
      </c>
      <c r="T696" s="84" t="n">
        <f aca="false">IF(AND(ISNUMBER(O696),ISNUMBER(P696)),Coef_A+Coef_B1*O696+Coef_B2*P696,"")</f>
        <v>26.6028034129726</v>
      </c>
      <c r="U696" s="84" t="n">
        <f aca="false">IF(AND(R696=1,ISNUMBER(T696)),E696-T696,"")</f>
        <v>-2.00280341297258</v>
      </c>
      <c r="V696" s="84" t="n">
        <f aca="false">IF(ISNUMBER(T696),T696,-99)</f>
        <v>26.6028034129726</v>
      </c>
      <c r="W696" s="84" t="n">
        <f aca="false">IF(ISNUMBER(U696),ABS(U696),"")</f>
        <v>2.00280341297258</v>
      </c>
    </row>
    <row r="697" customFormat="false" ht="15" hidden="false" customHeight="false" outlineLevel="0" collapsed="false">
      <c r="A697" s="57" t="n">
        <v>30520</v>
      </c>
      <c r="B697" s="56" t="n">
        <v>1983</v>
      </c>
      <c r="C697" s="56" t="n">
        <v>7</v>
      </c>
      <c r="D697" s="56" t="n">
        <v>84</v>
      </c>
      <c r="E697" s="56" t="n">
        <v>22.7</v>
      </c>
      <c r="F697" s="56" t="n">
        <v>0</v>
      </c>
      <c r="G697" s="56" t="n">
        <v>16.7</v>
      </c>
      <c r="H697" s="56" t="n">
        <v>0</v>
      </c>
      <c r="I697" s="56" t="n">
        <v>20.6</v>
      </c>
      <c r="J697" s="56" t="n">
        <v>0</v>
      </c>
      <c r="K697" s="56" t="n">
        <v>1011.5</v>
      </c>
      <c r="L697" s="56" t="n">
        <v>0</v>
      </c>
      <c r="M697" s="56" t="n">
        <v>78</v>
      </c>
      <c r="N697" s="56" t="n">
        <v>4.2</v>
      </c>
      <c r="O697" s="56" t="n">
        <f aca="false">IF(D697=1,"",E696)</f>
        <v>24.6</v>
      </c>
      <c r="P697" s="56" t="n">
        <f aca="false">IF(OR(D697=1,K696=""),"",K696)</f>
        <v>1015.1</v>
      </c>
      <c r="Q697" s="56" t="n">
        <f aca="false">IF(OR(F697&lt;&gt;0,AND(I697&lt;&gt;"",E697&lt;I697)),1,0)</f>
        <v>0</v>
      </c>
      <c r="R697" s="56" t="n">
        <f aca="false">IF(AND(D697&gt;1,Q697=0,ISNUMBER(O697),ISNUMBER(P697)),IF(Q696=0,1,0),0)</f>
        <v>1</v>
      </c>
      <c r="S697" s="56" t="n">
        <f aca="false">R697*(B697&gt;=Train_Start)*(B697&lt;=Train_End)</f>
        <v>1</v>
      </c>
      <c r="T697" s="84" t="n">
        <f aca="false">IF(AND(ISNUMBER(O697),ISNUMBER(P697)),Coef_A+Coef_B1*O697+Coef_B2*P697,"")</f>
        <v>24.0862996138077</v>
      </c>
      <c r="U697" s="84" t="n">
        <f aca="false">IF(AND(R697=1,ISNUMBER(T697)),E697-T697,"")</f>
        <v>-1.38629961380771</v>
      </c>
      <c r="V697" s="84" t="n">
        <f aca="false">IF(ISNUMBER(T697),T697,-99)</f>
        <v>24.0862996138077</v>
      </c>
      <c r="W697" s="84" t="n">
        <f aca="false">IF(ISNUMBER(U697),ABS(U697),"")</f>
        <v>1.38629961380771</v>
      </c>
    </row>
    <row r="698" customFormat="false" ht="15" hidden="false" customHeight="false" outlineLevel="0" collapsed="false">
      <c r="A698" s="57" t="n">
        <v>30521</v>
      </c>
      <c r="B698" s="56" t="n">
        <v>1983</v>
      </c>
      <c r="C698" s="56" t="n">
        <v>7</v>
      </c>
      <c r="D698" s="56" t="n">
        <v>85</v>
      </c>
      <c r="E698" s="56" t="n">
        <v>25.3</v>
      </c>
      <c r="F698" s="56" t="n">
        <v>0</v>
      </c>
      <c r="G698" s="56" t="n">
        <v>15.9</v>
      </c>
      <c r="H698" s="56" t="n">
        <v>0</v>
      </c>
      <c r="I698" s="56" t="n">
        <v>19.3</v>
      </c>
      <c r="J698" s="56" t="n">
        <v>0</v>
      </c>
      <c r="K698" s="56" t="n">
        <v>1010.2</v>
      </c>
      <c r="L698" s="56" t="n">
        <v>0</v>
      </c>
      <c r="M698" s="56" t="n">
        <v>80</v>
      </c>
      <c r="N698" s="56" t="n">
        <v>3.5</v>
      </c>
      <c r="O698" s="56" t="n">
        <f aca="false">IF(D698=1,"",E697)</f>
        <v>22.7</v>
      </c>
      <c r="P698" s="56" t="n">
        <f aca="false">IF(OR(D698=1,K697=""),"",K697)</f>
        <v>1011.5</v>
      </c>
      <c r="Q698" s="56" t="n">
        <f aca="false">IF(OR(F698&lt;&gt;0,AND(I698&lt;&gt;"",E698&lt;I698)),1,0)</f>
        <v>0</v>
      </c>
      <c r="R698" s="56" t="n">
        <f aca="false">IF(AND(D698&gt;1,Q698=0,ISNUMBER(O698),ISNUMBER(P698)),IF(Q697=0,1,0),0)</f>
        <v>1</v>
      </c>
      <c r="S698" s="56" t="n">
        <f aca="false">R698*(B698&gt;=Train_Start)*(B698&lt;=Train_End)</f>
        <v>1</v>
      </c>
      <c r="T698" s="84" t="n">
        <f aca="false">IF(AND(ISNUMBER(O698),ISNUMBER(P698)),Coef_A+Coef_B1*O698+Coef_B2*P698,"")</f>
        <v>22.4166235263443</v>
      </c>
      <c r="U698" s="84" t="n">
        <f aca="false">IF(AND(R698=1,ISNUMBER(T698)),E698-T698,"")</f>
        <v>2.88337647365571</v>
      </c>
      <c r="V698" s="84" t="n">
        <f aca="false">IF(ISNUMBER(T698),T698,-99)</f>
        <v>22.4166235263443</v>
      </c>
      <c r="W698" s="84" t="n">
        <f aca="false">IF(ISNUMBER(U698),ABS(U698),"")</f>
        <v>2.88337647365571</v>
      </c>
    </row>
    <row r="699" customFormat="false" ht="15" hidden="false" customHeight="false" outlineLevel="0" collapsed="false">
      <c r="A699" s="57" t="n">
        <v>30522</v>
      </c>
      <c r="B699" s="56" t="n">
        <v>1983</v>
      </c>
      <c r="C699" s="56" t="n">
        <v>7</v>
      </c>
      <c r="D699" s="56" t="n">
        <v>86</v>
      </c>
      <c r="E699" s="56" t="n">
        <v>28.2</v>
      </c>
      <c r="F699" s="56" t="n">
        <v>0</v>
      </c>
      <c r="G699" s="56" t="n">
        <v>16.8</v>
      </c>
      <c r="H699" s="56" t="n">
        <v>0</v>
      </c>
      <c r="I699" s="56" t="n">
        <v>21</v>
      </c>
      <c r="J699" s="56" t="n">
        <v>0</v>
      </c>
      <c r="K699" s="56" t="n">
        <v>1014.2</v>
      </c>
      <c r="L699" s="56" t="n">
        <v>0</v>
      </c>
      <c r="M699" s="56" t="n">
        <v>71</v>
      </c>
      <c r="N699" s="56" t="n">
        <v>2.5</v>
      </c>
      <c r="O699" s="56" t="n">
        <f aca="false">IF(D699=1,"",E698)</f>
        <v>25.3</v>
      </c>
      <c r="P699" s="56" t="n">
        <f aca="false">IF(OR(D699=1,K698=""),"",K698)</f>
        <v>1010.2</v>
      </c>
      <c r="Q699" s="56" t="n">
        <f aca="false">IF(OR(F699&lt;&gt;0,AND(I699&lt;&gt;"",E699&lt;I699)),1,0)</f>
        <v>0</v>
      </c>
      <c r="R699" s="56" t="n">
        <f aca="false">IF(AND(D699&gt;1,Q699=0,ISNUMBER(O699),ISNUMBER(P699)),IF(Q698=0,1,0),0)</f>
        <v>1</v>
      </c>
      <c r="S699" s="56" t="n">
        <f aca="false">R699*(B699&gt;=Train_Start)*(B699&lt;=Train_End)</f>
        <v>1</v>
      </c>
      <c r="T699" s="84" t="n">
        <f aca="false">IF(AND(ISNUMBER(O699),ISNUMBER(P699)),Coef_A+Coef_B1*O699+Coef_B2*P699,"")</f>
        <v>24.506124565231</v>
      </c>
      <c r="U699" s="84" t="n">
        <f aca="false">IF(AND(R699=1,ISNUMBER(T699)),E699-T699,"")</f>
        <v>3.69387543476898</v>
      </c>
      <c r="V699" s="84" t="n">
        <f aca="false">IF(ISNUMBER(T699),T699,-99)</f>
        <v>24.506124565231</v>
      </c>
      <c r="W699" s="84" t="n">
        <f aca="false">IF(ISNUMBER(U699),ABS(U699),"")</f>
        <v>3.69387543476898</v>
      </c>
    </row>
    <row r="700" customFormat="false" ht="15" hidden="false" customHeight="false" outlineLevel="0" collapsed="false">
      <c r="A700" s="57" t="n">
        <v>30523</v>
      </c>
      <c r="B700" s="56" t="n">
        <v>1983</v>
      </c>
      <c r="C700" s="56" t="n">
        <v>7</v>
      </c>
      <c r="D700" s="56" t="n">
        <v>87</v>
      </c>
      <c r="E700" s="56" t="n">
        <v>27</v>
      </c>
      <c r="F700" s="56" t="n">
        <v>0</v>
      </c>
      <c r="G700" s="56" t="n">
        <v>16.7</v>
      </c>
      <c r="H700" s="56" t="n">
        <v>0</v>
      </c>
      <c r="I700" s="56" t="n">
        <v>22.4</v>
      </c>
      <c r="J700" s="56" t="n">
        <v>0</v>
      </c>
      <c r="K700" s="56" t="n">
        <v>1013.8</v>
      </c>
      <c r="L700" s="56" t="n">
        <v>0</v>
      </c>
      <c r="M700" s="56" t="n">
        <v>67</v>
      </c>
      <c r="N700" s="56" t="n">
        <v>5.3</v>
      </c>
      <c r="O700" s="56" t="n">
        <f aca="false">IF(D700=1,"",E699)</f>
        <v>28.2</v>
      </c>
      <c r="P700" s="56" t="n">
        <f aca="false">IF(OR(D700=1,K699=""),"",K699)</f>
        <v>1014.2</v>
      </c>
      <c r="Q700" s="56" t="n">
        <f aca="false">IF(OR(F700&lt;&gt;0,AND(I700&lt;&gt;"",E700&lt;I700)),1,0)</f>
        <v>0</v>
      </c>
      <c r="R700" s="56" t="n">
        <f aca="false">IF(AND(D700&gt;1,Q700=0,ISNUMBER(O700),ISNUMBER(P700)),IF(Q699=0,1,0),0)</f>
        <v>1</v>
      </c>
      <c r="S700" s="56" t="n">
        <f aca="false">R700*(B700&gt;=Train_Start)*(B700&lt;=Train_End)</f>
        <v>1</v>
      </c>
      <c r="T700" s="84" t="n">
        <f aca="false">IF(AND(ISNUMBER(O700),ISNUMBER(P700)),Coef_A+Coef_B1*O700+Coef_B2*P700,"")</f>
        <v>27.0076878035907</v>
      </c>
      <c r="U700" s="84" t="n">
        <f aca="false">IF(AND(R700=1,ISNUMBER(T700)),E700-T700,"")</f>
        <v>-0.00768780359068444</v>
      </c>
      <c r="V700" s="84" t="n">
        <f aca="false">IF(ISNUMBER(T700),T700,-99)</f>
        <v>27.0076878035907</v>
      </c>
      <c r="W700" s="84" t="n">
        <f aca="false">IF(ISNUMBER(U700),ABS(U700),"")</f>
        <v>0.00768780359068444</v>
      </c>
    </row>
    <row r="701" customFormat="false" ht="15" hidden="false" customHeight="false" outlineLevel="0" collapsed="false">
      <c r="A701" s="57" t="n">
        <v>30524</v>
      </c>
      <c r="B701" s="56" t="n">
        <v>1983</v>
      </c>
      <c r="C701" s="56" t="n">
        <v>7</v>
      </c>
      <c r="D701" s="56" t="n">
        <v>88</v>
      </c>
      <c r="E701" s="56" t="n">
        <v>26.8</v>
      </c>
      <c r="F701" s="56" t="n">
        <v>0</v>
      </c>
      <c r="G701" s="56" t="n">
        <v>18</v>
      </c>
      <c r="H701" s="56" t="n">
        <v>0</v>
      </c>
      <c r="I701" s="56" t="n">
        <v>22.5</v>
      </c>
      <c r="J701" s="56" t="n">
        <v>0</v>
      </c>
      <c r="K701" s="56" t="n">
        <v>1019.1</v>
      </c>
      <c r="L701" s="56" t="n">
        <v>0</v>
      </c>
      <c r="M701" s="56" t="n">
        <v>70</v>
      </c>
      <c r="N701" s="56" t="n">
        <v>6.4</v>
      </c>
      <c r="O701" s="56" t="n">
        <f aca="false">IF(D701=1,"",E700)</f>
        <v>27</v>
      </c>
      <c r="P701" s="56" t="n">
        <f aca="false">IF(OR(D701=1,K700=""),"",K700)</f>
        <v>1013.8</v>
      </c>
      <c r="Q701" s="56" t="n">
        <f aca="false">IF(OR(F701&lt;&gt;0,AND(I701&lt;&gt;"",E701&lt;I701)),1,0)</f>
        <v>0</v>
      </c>
      <c r="R701" s="56" t="n">
        <f aca="false">IF(AND(D701&gt;1,Q701=0,ISNUMBER(O701),ISNUMBER(P701)),IF(Q700=0,1,0),0)</f>
        <v>1</v>
      </c>
      <c r="S701" s="56" t="n">
        <f aca="false">R701*(B701&gt;=Train_Start)*(B701&lt;=Train_End)</f>
        <v>1</v>
      </c>
      <c r="T701" s="84" t="n">
        <f aca="false">IF(AND(ISNUMBER(O701),ISNUMBER(P701)),Coef_A+Coef_B1*O701+Coef_B2*P701,"")</f>
        <v>26.0119328140859</v>
      </c>
      <c r="U701" s="84" t="n">
        <f aca="false">IF(AND(R701=1,ISNUMBER(T701)),E701-T701,"")</f>
        <v>0.788067185914105</v>
      </c>
      <c r="V701" s="84" t="n">
        <f aca="false">IF(ISNUMBER(T701),T701,-99)</f>
        <v>26.0119328140859</v>
      </c>
      <c r="W701" s="84" t="n">
        <f aca="false">IF(ISNUMBER(U701),ABS(U701),"")</f>
        <v>0.788067185914105</v>
      </c>
    </row>
    <row r="702" customFormat="false" ht="15" hidden="false" customHeight="false" outlineLevel="0" collapsed="false">
      <c r="A702" s="57" t="n">
        <v>30525</v>
      </c>
      <c r="B702" s="56" t="n">
        <v>1983</v>
      </c>
      <c r="C702" s="56" t="n">
        <v>7</v>
      </c>
      <c r="D702" s="56" t="n">
        <v>89</v>
      </c>
      <c r="E702" s="56" t="n">
        <v>31.4</v>
      </c>
      <c r="F702" s="56" t="n">
        <v>0</v>
      </c>
      <c r="G702" s="56" t="n">
        <v>16.1</v>
      </c>
      <c r="H702" s="56" t="n">
        <v>0</v>
      </c>
      <c r="I702" s="56" t="n">
        <v>21.4</v>
      </c>
      <c r="J702" s="56" t="n">
        <v>0</v>
      </c>
      <c r="K702" s="56" t="n">
        <v>1025</v>
      </c>
      <c r="L702" s="56" t="n">
        <v>0</v>
      </c>
      <c r="M702" s="56" t="n">
        <v>59</v>
      </c>
      <c r="N702" s="56" t="n">
        <v>9.6</v>
      </c>
      <c r="O702" s="56" t="n">
        <f aca="false">IF(D702=1,"",E701)</f>
        <v>26.8</v>
      </c>
      <c r="P702" s="56" t="n">
        <f aca="false">IF(OR(D702=1,K701=""),"",K701)</f>
        <v>1019.1</v>
      </c>
      <c r="Q702" s="56" t="n">
        <f aca="false">IF(OR(F702&lt;&gt;0,AND(I702&lt;&gt;"",E702&lt;I702)),1,0)</f>
        <v>0</v>
      </c>
      <c r="R702" s="56" t="n">
        <f aca="false">IF(AND(D702&gt;1,Q702=0,ISNUMBER(O702),ISNUMBER(P702)),IF(Q701=0,1,0),0)</f>
        <v>1</v>
      </c>
      <c r="S702" s="56" t="n">
        <f aca="false">R702*(B702&gt;=Train_Start)*(B702&lt;=Train_End)</f>
        <v>1</v>
      </c>
      <c r="T702" s="84" t="n">
        <f aca="false">IF(AND(ISNUMBER(O702),ISNUMBER(P702)),Coef_A+Coef_B1*O702+Coef_B2*P702,"")</f>
        <v>26.0143254170375</v>
      </c>
      <c r="U702" s="84" t="n">
        <f aca="false">IF(AND(R702=1,ISNUMBER(T702)),E702-T702,"")</f>
        <v>5.38567458296249</v>
      </c>
      <c r="V702" s="84" t="n">
        <f aca="false">IF(ISNUMBER(T702),T702,-99)</f>
        <v>26.0143254170375</v>
      </c>
      <c r="W702" s="84" t="n">
        <f aca="false">IF(ISNUMBER(U702),ABS(U702),"")</f>
        <v>5.38567458296249</v>
      </c>
    </row>
    <row r="703" customFormat="false" ht="15" hidden="false" customHeight="false" outlineLevel="0" collapsed="false">
      <c r="A703" s="57" t="n">
        <v>30526</v>
      </c>
      <c r="B703" s="56" t="n">
        <v>1983</v>
      </c>
      <c r="C703" s="56" t="n">
        <v>7</v>
      </c>
      <c r="D703" s="56" t="n">
        <v>90</v>
      </c>
      <c r="E703" s="56" t="n">
        <v>30</v>
      </c>
      <c r="F703" s="56" t="n">
        <v>0</v>
      </c>
      <c r="G703" s="56" t="n">
        <v>15.1</v>
      </c>
      <c r="H703" s="56" t="n">
        <v>0</v>
      </c>
      <c r="I703" s="56" t="n">
        <v>23.2</v>
      </c>
      <c r="J703" s="56" t="n">
        <v>0</v>
      </c>
      <c r="K703" s="56" t="n">
        <v>1024.3</v>
      </c>
      <c r="L703" s="56" t="n">
        <v>0</v>
      </c>
      <c r="M703" s="56" t="n">
        <v>60</v>
      </c>
      <c r="N703" s="56" t="n">
        <v>13.4</v>
      </c>
      <c r="O703" s="56" t="n">
        <f aca="false">IF(D703=1,"",E702)</f>
        <v>31.4</v>
      </c>
      <c r="P703" s="56" t="n">
        <f aca="false">IF(OR(D703=1,K702=""),"",K702)</f>
        <v>1025</v>
      </c>
      <c r="Q703" s="56" t="n">
        <f aca="false">IF(OR(F703&lt;&gt;0,AND(I703&lt;&gt;"",E703&lt;I703)),1,0)</f>
        <v>0</v>
      </c>
      <c r="R703" s="56" t="n">
        <f aca="false">IF(AND(D703&gt;1,Q703=0,ISNUMBER(O703),ISNUMBER(P703)),IF(Q702=0,1,0),0)</f>
        <v>1</v>
      </c>
      <c r="S703" s="56" t="n">
        <f aca="false">R703*(B703&gt;=Train_Start)*(B703&lt;=Train_End)</f>
        <v>1</v>
      </c>
      <c r="T703" s="84" t="n">
        <f aca="false">IF(AND(ISNUMBER(O703),ISNUMBER(P703)),Coef_A+Coef_B1*O703+Coef_B2*P703,"")</f>
        <v>29.9683680833743</v>
      </c>
      <c r="U703" s="84" t="n">
        <f aca="false">IF(AND(R703=1,ISNUMBER(T703)),E703-T703,"")</f>
        <v>0.0316319166257273</v>
      </c>
      <c r="V703" s="84" t="n">
        <f aca="false">IF(ISNUMBER(T703),T703,-99)</f>
        <v>29.9683680833743</v>
      </c>
      <c r="W703" s="84" t="n">
        <f aca="false">IF(ISNUMBER(U703),ABS(U703),"")</f>
        <v>0.0316319166257273</v>
      </c>
    </row>
    <row r="704" customFormat="false" ht="15" hidden="false" customHeight="false" outlineLevel="0" collapsed="false">
      <c r="A704" s="57" t="n">
        <v>30527</v>
      </c>
      <c r="B704" s="56" t="n">
        <v>1983</v>
      </c>
      <c r="C704" s="56" t="n">
        <v>7</v>
      </c>
      <c r="D704" s="56" t="n">
        <v>91</v>
      </c>
      <c r="E704" s="56" t="n">
        <v>28.9</v>
      </c>
      <c r="F704" s="56" t="n">
        <v>0</v>
      </c>
      <c r="G704" s="56" t="n">
        <v>17.6</v>
      </c>
      <c r="H704" s="56" t="n">
        <v>0</v>
      </c>
      <c r="I704" s="56" t="n">
        <v>23.8</v>
      </c>
      <c r="J704" s="56" t="n">
        <v>0</v>
      </c>
      <c r="K704" s="56" t="n">
        <v>1019.7</v>
      </c>
      <c r="L704" s="56" t="n">
        <v>0</v>
      </c>
      <c r="M704" s="56" t="n">
        <v>62</v>
      </c>
      <c r="N704" s="56" t="n">
        <v>8.9</v>
      </c>
      <c r="O704" s="56" t="n">
        <f aca="false">IF(D704=1,"",E703)</f>
        <v>30</v>
      </c>
      <c r="P704" s="56" t="n">
        <f aca="false">IF(OR(D704=1,K703=""),"",K703)</f>
        <v>1024.3</v>
      </c>
      <c r="Q704" s="56" t="n">
        <f aca="false">IF(OR(F704&lt;&gt;0,AND(I704&lt;&gt;"",E704&lt;I704)),1,0)</f>
        <v>0</v>
      </c>
      <c r="R704" s="56" t="n">
        <f aca="false">IF(AND(D704&gt;1,Q704=0,ISNUMBER(O704),ISNUMBER(P704)),IF(Q703=0,1,0),0)</f>
        <v>1</v>
      </c>
      <c r="S704" s="56" t="n">
        <f aca="false">R704*(B704&gt;=Train_Start)*(B704&lt;=Train_End)</f>
        <v>1</v>
      </c>
      <c r="T704" s="84" t="n">
        <f aca="false">IF(AND(ISNUMBER(O704),ISNUMBER(P704)),Coef_A+Coef_B1*O704+Coef_B2*P704,"")</f>
        <v>28.7993342868708</v>
      </c>
      <c r="U704" s="84" t="n">
        <f aca="false">IF(AND(R704=1,ISNUMBER(T704)),E704-T704,"")</f>
        <v>0.100665713129242</v>
      </c>
      <c r="V704" s="84" t="n">
        <f aca="false">IF(ISNUMBER(T704),T704,-99)</f>
        <v>28.7993342868708</v>
      </c>
      <c r="W704" s="84" t="n">
        <f aca="false">IF(ISNUMBER(U704),ABS(U704),"")</f>
        <v>0.100665713129242</v>
      </c>
    </row>
    <row r="705" customFormat="false" ht="15" hidden="false" customHeight="false" outlineLevel="0" collapsed="false">
      <c r="A705" s="57" t="n">
        <v>30528</v>
      </c>
      <c r="B705" s="56" t="n">
        <v>1983</v>
      </c>
      <c r="C705" s="56" t="n">
        <v>7</v>
      </c>
      <c r="D705" s="56" t="n">
        <v>92</v>
      </c>
      <c r="E705" s="56" t="n">
        <v>20</v>
      </c>
      <c r="F705" s="56" t="n">
        <v>1</v>
      </c>
      <c r="G705" s="56" t="n">
        <v>17.9</v>
      </c>
      <c r="H705" s="56" t="n">
        <v>0</v>
      </c>
      <c r="I705" s="56" t="n">
        <v>23.4</v>
      </c>
      <c r="J705" s="56" t="n">
        <v>1</v>
      </c>
      <c r="K705" s="56" t="n">
        <v>1009.4</v>
      </c>
      <c r="L705" s="56" t="n">
        <v>0</v>
      </c>
      <c r="M705" s="56" t="n">
        <v>72</v>
      </c>
      <c r="N705" s="56" t="n">
        <v>0.8</v>
      </c>
      <c r="O705" s="56" t="n">
        <f aca="false">IF(D705=1,"",E704)</f>
        <v>28.9</v>
      </c>
      <c r="P705" s="56" t="n">
        <f aca="false">IF(OR(D705=1,K704=""),"",K704)</f>
        <v>1019.7</v>
      </c>
      <c r="Q705" s="56" t="n">
        <f aca="false">IF(OR(F705&lt;&gt;0,AND(I705&lt;&gt;"",E705&lt;I705)),1,0)</f>
        <v>1</v>
      </c>
      <c r="R705" s="56" t="n">
        <f aca="false">IF(AND(D705&gt;1,Q705=0,ISNUMBER(O705),ISNUMBER(P705)),IF(Q704=0,1,0),0)</f>
        <v>0</v>
      </c>
      <c r="S705" s="56" t="n">
        <f aca="false">R705*(B705&gt;=Train_Start)*(B705&lt;=Train_End)</f>
        <v>0</v>
      </c>
      <c r="T705" s="84" t="n">
        <f aca="false">IF(AND(ISNUMBER(O705),ISNUMBER(P705)),Coef_A+Coef_B1*O705+Coef_B2*P705,"")</f>
        <v>27.7537596592075</v>
      </c>
      <c r="U705" s="84" t="str">
        <f aca="false">IF(AND(R705=1,ISNUMBER(T705)),E705-T705,"")</f>
        <v/>
      </c>
      <c r="V705" s="84" t="n">
        <f aca="false">IF(ISNUMBER(T705),T705,-99)</f>
        <v>27.7537596592075</v>
      </c>
      <c r="W705" s="84" t="str">
        <f aca="false">IF(ISNUMBER(U705),ABS(U705),"")</f>
        <v/>
      </c>
    </row>
    <row r="706" customFormat="false" ht="15" hidden="false" customHeight="false" outlineLevel="0" collapsed="false">
      <c r="A706" s="57" t="n">
        <v>30529</v>
      </c>
      <c r="B706" s="56" t="n">
        <v>1983</v>
      </c>
      <c r="C706" s="56" t="n">
        <v>8</v>
      </c>
      <c r="D706" s="56" t="n">
        <v>93</v>
      </c>
      <c r="E706" s="56" t="n">
        <v>19.4</v>
      </c>
      <c r="F706" s="56" t="n">
        <v>0</v>
      </c>
      <c r="G706" s="56" t="n">
        <v>14.2</v>
      </c>
      <c r="H706" s="56" t="n">
        <v>0</v>
      </c>
      <c r="I706" s="56" t="n">
        <v>17.1</v>
      </c>
      <c r="J706" s="56" t="n">
        <v>0</v>
      </c>
      <c r="K706" s="56" t="n">
        <v>1007.8</v>
      </c>
      <c r="L706" s="56" t="n">
        <v>0</v>
      </c>
      <c r="M706" s="56" t="n">
        <v>71</v>
      </c>
      <c r="N706" s="56" t="n">
        <v>3.1</v>
      </c>
      <c r="O706" s="56" t="n">
        <f aca="false">IF(D706=1,"",E705)</f>
        <v>20</v>
      </c>
      <c r="P706" s="56" t="n">
        <f aca="false">IF(OR(D706=1,K705=""),"",K705)</f>
        <v>1009.4</v>
      </c>
      <c r="Q706" s="56" t="n">
        <f aca="false">IF(OR(F706&lt;&gt;0,AND(I706&lt;&gt;"",E706&lt;I706)),1,0)</f>
        <v>0</v>
      </c>
      <c r="R706" s="56" t="n">
        <f aca="false">IF(AND(D706&gt;1,Q706=0,ISNUMBER(O706),ISNUMBER(P706)),IF(Q705=0,1,0),0)</f>
        <v>0</v>
      </c>
      <c r="S706" s="56" t="n">
        <f aca="false">R706*(B706&gt;=Train_Start)*(B706&lt;=Train_End)</f>
        <v>0</v>
      </c>
      <c r="T706" s="84" t="n">
        <f aca="false">IF(AND(ISNUMBER(O706),ISNUMBER(P706)),Coef_A+Coef_B1*O706+Coef_B2*P706,"")</f>
        <v>20.1385309263977</v>
      </c>
      <c r="U706" s="84" t="str">
        <f aca="false">IF(AND(R706=1,ISNUMBER(T706)),E706-T706,"")</f>
        <v/>
      </c>
      <c r="V706" s="84" t="n">
        <f aca="false">IF(ISNUMBER(T706),T706,-99)</f>
        <v>20.1385309263977</v>
      </c>
      <c r="W706" s="84" t="str">
        <f aca="false">IF(ISNUMBER(U706),ABS(U706),"")</f>
        <v/>
      </c>
    </row>
    <row r="707" customFormat="false" ht="15" hidden="false" customHeight="false" outlineLevel="0" collapsed="false">
      <c r="A707" s="57" t="n">
        <v>30530</v>
      </c>
      <c r="B707" s="56" t="n">
        <v>1983</v>
      </c>
      <c r="C707" s="56" t="n">
        <v>8</v>
      </c>
      <c r="D707" s="56" t="n">
        <v>94</v>
      </c>
      <c r="E707" s="56" t="n">
        <v>22.5</v>
      </c>
      <c r="F707" s="56" t="n">
        <v>0</v>
      </c>
      <c r="G707" s="56" t="n">
        <v>9.2</v>
      </c>
      <c r="H707" s="56" t="n">
        <v>0</v>
      </c>
      <c r="I707" s="56" t="n">
        <v>14.3</v>
      </c>
      <c r="J707" s="56" t="n">
        <v>0</v>
      </c>
      <c r="K707" s="56" t="n">
        <v>1014.9</v>
      </c>
      <c r="L707" s="56" t="n">
        <v>0</v>
      </c>
      <c r="M707" s="56" t="n">
        <v>68</v>
      </c>
      <c r="N707" s="56" t="n">
        <v>6.3</v>
      </c>
      <c r="O707" s="56" t="n">
        <f aca="false">IF(D707=1,"",E706)</f>
        <v>19.4</v>
      </c>
      <c r="P707" s="56" t="n">
        <f aca="false">IF(OR(D707=1,K706=""),"",K706)</f>
        <v>1007.8</v>
      </c>
      <c r="Q707" s="56" t="n">
        <f aca="false">IF(OR(F707&lt;&gt;0,AND(I707&lt;&gt;"",E707&lt;I707)),1,0)</f>
        <v>0</v>
      </c>
      <c r="R707" s="56" t="n">
        <f aca="false">IF(AND(D707&gt;1,Q707=0,ISNUMBER(O707),ISNUMBER(P707)),IF(Q706=0,1,0),0)</f>
        <v>1</v>
      </c>
      <c r="S707" s="56" t="n">
        <f aca="false">R707*(B707&gt;=Train_Start)*(B707&lt;=Train_End)</f>
        <v>1</v>
      </c>
      <c r="T707" s="84" t="n">
        <f aca="false">IF(AND(ISNUMBER(O707),ISNUMBER(P707)),Coef_A+Coef_B1*O707+Coef_B2*P707,"")</f>
        <v>19.5967355791578</v>
      </c>
      <c r="U707" s="84" t="n">
        <f aca="false">IF(AND(R707=1,ISNUMBER(T707)),E707-T707,"")</f>
        <v>2.90326442084224</v>
      </c>
      <c r="V707" s="84" t="n">
        <f aca="false">IF(ISNUMBER(T707),T707,-99)</f>
        <v>19.5967355791578</v>
      </c>
      <c r="W707" s="84" t="n">
        <f aca="false">IF(ISNUMBER(U707),ABS(U707),"")</f>
        <v>2.90326442084224</v>
      </c>
    </row>
    <row r="708" customFormat="false" ht="15" hidden="false" customHeight="false" outlineLevel="0" collapsed="false">
      <c r="A708" s="57" t="n">
        <v>30531</v>
      </c>
      <c r="B708" s="56" t="n">
        <v>1983</v>
      </c>
      <c r="C708" s="56" t="n">
        <v>8</v>
      </c>
      <c r="D708" s="56" t="n">
        <v>95</v>
      </c>
      <c r="E708" s="56" t="n">
        <v>23.9</v>
      </c>
      <c r="F708" s="56" t="n">
        <v>0</v>
      </c>
      <c r="G708" s="56" t="n">
        <v>7.1</v>
      </c>
      <c r="H708" s="56" t="n">
        <v>0</v>
      </c>
      <c r="I708" s="56" t="n">
        <v>14.8</v>
      </c>
      <c r="J708" s="56" t="n">
        <v>0</v>
      </c>
      <c r="K708" s="56" t="n">
        <v>1025.9</v>
      </c>
      <c r="L708" s="56" t="n">
        <v>0</v>
      </c>
      <c r="M708" s="56" t="n">
        <v>61</v>
      </c>
      <c r="N708" s="56" t="n">
        <v>13.6</v>
      </c>
      <c r="O708" s="56" t="n">
        <f aca="false">IF(D708=1,"",E707)</f>
        <v>22.5</v>
      </c>
      <c r="P708" s="56" t="n">
        <f aca="false">IF(OR(D708=1,K707=""),"",K707)</f>
        <v>1014.9</v>
      </c>
      <c r="Q708" s="56" t="n">
        <f aca="false">IF(OR(F708&lt;&gt;0,AND(I708&lt;&gt;"",E708&lt;I708)),1,0)</f>
        <v>0</v>
      </c>
      <c r="R708" s="56" t="n">
        <f aca="false">IF(AND(D708&gt;1,Q708=0,ISNUMBER(O708),ISNUMBER(P708)),IF(Q707=0,1,0),0)</f>
        <v>1</v>
      </c>
      <c r="S708" s="56" t="n">
        <f aca="false">R708*(B708&gt;=Train_Start)*(B708&lt;=Train_End)</f>
        <v>1</v>
      </c>
      <c r="T708" s="84" t="n">
        <f aca="false">IF(AND(ISNUMBER(O708),ISNUMBER(P708)),Coef_A+Coef_B1*O708+Coef_B2*P708,"")</f>
        <v>22.3594133294913</v>
      </c>
      <c r="U708" s="84" t="n">
        <f aca="false">IF(AND(R708=1,ISNUMBER(T708)),E708-T708,"")</f>
        <v>1.54058667050867</v>
      </c>
      <c r="V708" s="84" t="n">
        <f aca="false">IF(ISNUMBER(T708),T708,-99)</f>
        <v>22.3594133294913</v>
      </c>
      <c r="W708" s="84" t="n">
        <f aca="false">IF(ISNUMBER(U708),ABS(U708),"")</f>
        <v>1.54058667050867</v>
      </c>
    </row>
    <row r="709" customFormat="false" ht="15" hidden="false" customHeight="false" outlineLevel="0" collapsed="false">
      <c r="A709" s="57" t="n">
        <v>30532</v>
      </c>
      <c r="B709" s="56" t="n">
        <v>1983</v>
      </c>
      <c r="C709" s="56" t="n">
        <v>8</v>
      </c>
      <c r="D709" s="56" t="n">
        <v>96</v>
      </c>
      <c r="E709" s="56" t="n">
        <v>24.6</v>
      </c>
      <c r="F709" s="56" t="n">
        <v>0</v>
      </c>
      <c r="G709" s="56" t="n">
        <v>10.3</v>
      </c>
      <c r="H709" s="56" t="n">
        <v>0</v>
      </c>
      <c r="I709" s="56" t="n">
        <v>17.1</v>
      </c>
      <c r="J709" s="56" t="n">
        <v>0</v>
      </c>
      <c r="K709" s="56" t="n">
        <v>1025.4</v>
      </c>
      <c r="L709" s="56" t="n">
        <v>0</v>
      </c>
      <c r="M709" s="56" t="n">
        <v>69</v>
      </c>
      <c r="N709" s="56" t="n">
        <v>2.4</v>
      </c>
      <c r="O709" s="56" t="n">
        <f aca="false">IF(D709=1,"",E708)</f>
        <v>23.9</v>
      </c>
      <c r="P709" s="56" t="n">
        <f aca="false">IF(OR(D709=1,K708=""),"",K708)</f>
        <v>1025.9</v>
      </c>
      <c r="Q709" s="56" t="n">
        <f aca="false">IF(OR(F709&lt;&gt;0,AND(I709&lt;&gt;"",E709&lt;I709)),1,0)</f>
        <v>0</v>
      </c>
      <c r="R709" s="56" t="n">
        <f aca="false">IF(AND(D709&gt;1,Q709=0,ISNUMBER(O709),ISNUMBER(P709)),IF(Q708=0,1,0),0)</f>
        <v>1</v>
      </c>
      <c r="S709" s="56" t="n">
        <f aca="false">R709*(B709&gt;=Train_Start)*(B709&lt;=Train_End)</f>
        <v>1</v>
      </c>
      <c r="T709" s="84" t="n">
        <f aca="false">IF(AND(ISNUMBER(O709),ISNUMBER(P709)),Coef_A+Coef_B1*O709+Coef_B2*P709,"")</f>
        <v>23.8515570407249</v>
      </c>
      <c r="U709" s="84" t="n">
        <f aca="false">IF(AND(R709=1,ISNUMBER(T709)),E709-T709,"")</f>
        <v>0.748442959275071</v>
      </c>
      <c r="V709" s="84" t="n">
        <f aca="false">IF(ISNUMBER(T709),T709,-99)</f>
        <v>23.8515570407249</v>
      </c>
      <c r="W709" s="84" t="n">
        <f aca="false">IF(ISNUMBER(U709),ABS(U709),"")</f>
        <v>0.748442959275071</v>
      </c>
    </row>
    <row r="710" customFormat="false" ht="15" hidden="false" customHeight="false" outlineLevel="0" collapsed="false">
      <c r="A710" s="57" t="n">
        <v>30533</v>
      </c>
      <c r="B710" s="56" t="n">
        <v>1983</v>
      </c>
      <c r="C710" s="56" t="n">
        <v>8</v>
      </c>
      <c r="D710" s="56" t="n">
        <v>97</v>
      </c>
      <c r="E710" s="56" t="n">
        <v>21.2</v>
      </c>
      <c r="F710" s="56" t="n">
        <v>0</v>
      </c>
      <c r="G710" s="56" t="n">
        <v>12.3</v>
      </c>
      <c r="H710" s="56" t="n">
        <v>0</v>
      </c>
      <c r="I710" s="56" t="n">
        <v>18.4</v>
      </c>
      <c r="J710" s="56" t="n">
        <v>0</v>
      </c>
      <c r="K710" s="56" t="n">
        <v>1025.1</v>
      </c>
      <c r="L710" s="56" t="n">
        <v>0</v>
      </c>
      <c r="M710" s="56" t="n">
        <v>63</v>
      </c>
      <c r="N710" s="56" t="n">
        <v>12</v>
      </c>
      <c r="O710" s="56" t="n">
        <f aca="false">IF(D710=1,"",E709)</f>
        <v>24.6</v>
      </c>
      <c r="P710" s="56" t="n">
        <f aca="false">IF(OR(D710=1,K709=""),"",K709)</f>
        <v>1025.4</v>
      </c>
      <c r="Q710" s="56" t="n">
        <f aca="false">IF(OR(F710&lt;&gt;0,AND(I710&lt;&gt;"",E710&lt;I710)),1,0)</f>
        <v>0</v>
      </c>
      <c r="R710" s="56" t="n">
        <f aca="false">IF(AND(D710&gt;1,Q710=0,ISNUMBER(O710),ISNUMBER(P710)),IF(Q709=0,1,0),0)</f>
        <v>1</v>
      </c>
      <c r="S710" s="56" t="n">
        <f aca="false">R710*(B710&gt;=Train_Start)*(B710&lt;=Train_End)</f>
        <v>1</v>
      </c>
      <c r="T710" s="84" t="n">
        <f aca="false">IF(AND(ISNUMBER(O710),ISNUMBER(P710)),Coef_A+Coef_B1*O710+Coef_B2*P710,"")</f>
        <v>24.4094095285378</v>
      </c>
      <c r="U710" s="84" t="n">
        <f aca="false">IF(AND(R710=1,ISNUMBER(T710)),E710-T710,"")</f>
        <v>-3.2094095285378</v>
      </c>
      <c r="V710" s="84" t="n">
        <f aca="false">IF(ISNUMBER(T710),T710,-99)</f>
        <v>24.4094095285378</v>
      </c>
      <c r="W710" s="84" t="n">
        <f aca="false">IF(ISNUMBER(U710),ABS(U710),"")</f>
        <v>3.2094095285378</v>
      </c>
    </row>
    <row r="711" customFormat="false" ht="15" hidden="false" customHeight="false" outlineLevel="0" collapsed="false">
      <c r="A711" s="57" t="n">
        <v>30534</v>
      </c>
      <c r="B711" s="56" t="n">
        <v>1983</v>
      </c>
      <c r="C711" s="56" t="n">
        <v>8</v>
      </c>
      <c r="D711" s="56" t="n">
        <v>98</v>
      </c>
      <c r="E711" s="56" t="n">
        <v>22.7</v>
      </c>
      <c r="F711" s="56" t="n">
        <v>0</v>
      </c>
      <c r="G711" s="56" t="n">
        <v>13.7</v>
      </c>
      <c r="H711" s="56" t="n">
        <v>0</v>
      </c>
      <c r="I711" s="56" t="n">
        <v>17.4</v>
      </c>
      <c r="J711" s="56" t="n">
        <v>0</v>
      </c>
      <c r="K711" s="56" t="n">
        <v>1025.9</v>
      </c>
      <c r="L711" s="56" t="n">
        <v>0</v>
      </c>
      <c r="M711" s="56" t="n">
        <v>65</v>
      </c>
      <c r="N711" s="56" t="n">
        <v>4.9</v>
      </c>
      <c r="O711" s="56" t="n">
        <f aca="false">IF(D711=1,"",E710)</f>
        <v>21.2</v>
      </c>
      <c r="P711" s="56" t="n">
        <f aca="false">IF(OR(D711=1,K710=""),"",K710)</f>
        <v>1025.1</v>
      </c>
      <c r="Q711" s="56" t="n">
        <f aca="false">IF(OR(F711&lt;&gt;0,AND(I711&lt;&gt;"",E711&lt;I711)),1,0)</f>
        <v>0</v>
      </c>
      <c r="R711" s="56" t="n">
        <f aca="false">IF(AND(D711&gt;1,Q711=0,ISNUMBER(O711),ISNUMBER(P711)),IF(Q710=0,1,0),0)</f>
        <v>1</v>
      </c>
      <c r="S711" s="56" t="n">
        <f aca="false">R711*(B711&gt;=Train_Start)*(B711&lt;=Train_End)</f>
        <v>1</v>
      </c>
      <c r="T711" s="84" t="n">
        <f aca="false">IF(AND(ISNUMBER(O711),ISNUMBER(P711)),Coef_A+Coef_B1*O711+Coef_B2*P711,"")</f>
        <v>21.6142453038026</v>
      </c>
      <c r="U711" s="84" t="n">
        <f aca="false">IF(AND(R711=1,ISNUMBER(T711)),E711-T711,"")</f>
        <v>1.08575469619744</v>
      </c>
      <c r="V711" s="84" t="n">
        <f aca="false">IF(ISNUMBER(T711),T711,-99)</f>
        <v>21.6142453038026</v>
      </c>
      <c r="W711" s="84" t="n">
        <f aca="false">IF(ISNUMBER(U711),ABS(U711),"")</f>
        <v>1.08575469619744</v>
      </c>
    </row>
    <row r="712" customFormat="false" ht="15" hidden="false" customHeight="false" outlineLevel="0" collapsed="false">
      <c r="A712" s="57" t="n">
        <v>30535</v>
      </c>
      <c r="B712" s="56" t="n">
        <v>1983</v>
      </c>
      <c r="C712" s="56" t="n">
        <v>8</v>
      </c>
      <c r="D712" s="56" t="n">
        <v>99</v>
      </c>
      <c r="E712" s="56" t="n">
        <v>26.4</v>
      </c>
      <c r="F712" s="56" t="n">
        <v>0</v>
      </c>
      <c r="G712" s="56" t="n">
        <v>12.9</v>
      </c>
      <c r="H712" s="56" t="n">
        <v>0</v>
      </c>
      <c r="I712" s="56" t="n">
        <v>17.8</v>
      </c>
      <c r="J712" s="56" t="n">
        <v>0</v>
      </c>
      <c r="K712" s="56" t="n">
        <v>1024.6</v>
      </c>
      <c r="L712" s="56" t="n">
        <v>0</v>
      </c>
      <c r="M712" s="56" t="n">
        <v>68</v>
      </c>
      <c r="N712" s="56" t="n">
        <v>4.9</v>
      </c>
      <c r="O712" s="56" t="n">
        <f aca="false">IF(D712=1,"",E711)</f>
        <v>22.7</v>
      </c>
      <c r="P712" s="56" t="n">
        <f aca="false">IF(OR(D712=1,K711=""),"",K711)</f>
        <v>1025.9</v>
      </c>
      <c r="Q712" s="56" t="n">
        <f aca="false">IF(OR(F712&lt;&gt;0,AND(I712&lt;&gt;"",E712&lt;I712)),1,0)</f>
        <v>0</v>
      </c>
      <c r="R712" s="56" t="n">
        <f aca="false">IF(AND(D712&gt;1,Q712=0,ISNUMBER(O712),ISNUMBER(P712)),IF(Q711=0,1,0),0)</f>
        <v>1</v>
      </c>
      <c r="S712" s="56" t="n">
        <f aca="false">R712*(B712&gt;=Train_Start)*(B712&lt;=Train_End)</f>
        <v>1</v>
      </c>
      <c r="T712" s="84" t="n">
        <f aca="false">IF(AND(ISNUMBER(O712),ISNUMBER(P712)),Coef_A+Coef_B1*O712+Coef_B2*P712,"")</f>
        <v>22.8683500090737</v>
      </c>
      <c r="U712" s="84" t="n">
        <f aca="false">IF(AND(R712=1,ISNUMBER(T712)),E712-T712,"")</f>
        <v>3.53164999092626</v>
      </c>
      <c r="V712" s="84" t="n">
        <f aca="false">IF(ISNUMBER(T712),T712,-99)</f>
        <v>22.8683500090737</v>
      </c>
      <c r="W712" s="84" t="n">
        <f aca="false">IF(ISNUMBER(U712),ABS(U712),"")</f>
        <v>3.53164999092626</v>
      </c>
    </row>
    <row r="713" customFormat="false" ht="15" hidden="false" customHeight="false" outlineLevel="0" collapsed="false">
      <c r="A713" s="57" t="n">
        <v>30536</v>
      </c>
      <c r="B713" s="56" t="n">
        <v>1983</v>
      </c>
      <c r="C713" s="56" t="n">
        <v>8</v>
      </c>
      <c r="D713" s="56" t="n">
        <v>100</v>
      </c>
      <c r="E713" s="56" t="n">
        <v>28</v>
      </c>
      <c r="F713" s="56" t="n">
        <v>0</v>
      </c>
      <c r="G713" s="56" t="n">
        <v>14.7</v>
      </c>
      <c r="H713" s="56" t="n">
        <v>0</v>
      </c>
      <c r="I713" s="56" t="n">
        <v>20.6</v>
      </c>
      <c r="J713" s="56" t="n">
        <v>0</v>
      </c>
      <c r="K713" s="56" t="n">
        <v>1025.1</v>
      </c>
      <c r="L713" s="56" t="n">
        <v>0</v>
      </c>
      <c r="M713" s="56" t="n">
        <v>66</v>
      </c>
      <c r="N713" s="56" t="n">
        <v>9.7</v>
      </c>
      <c r="O713" s="56" t="n">
        <f aca="false">IF(D713=1,"",E712)</f>
        <v>26.4</v>
      </c>
      <c r="P713" s="56" t="n">
        <f aca="false">IF(OR(D713=1,K712=""),"",K712)</f>
        <v>1024.6</v>
      </c>
      <c r="Q713" s="56" t="n">
        <f aca="false">IF(OR(F713&lt;&gt;0,AND(I713&lt;&gt;"",E713&lt;I713)),1,0)</f>
        <v>0</v>
      </c>
      <c r="R713" s="56" t="n">
        <f aca="false">IF(AND(D713&gt;1,Q713=0,ISNUMBER(O713),ISNUMBER(P713)),IF(Q712=0,1,0),0)</f>
        <v>1</v>
      </c>
      <c r="S713" s="56" t="n">
        <f aca="false">R713*(B713&gt;=Train_Start)*(B713&lt;=Train_End)</f>
        <v>1</v>
      </c>
      <c r="T713" s="84" t="n">
        <f aca="false">IF(AND(ISNUMBER(O713),ISNUMBER(P713)),Coef_A+Coef_B1*O713+Coef_B2*P713,"")</f>
        <v>25.8591241603074</v>
      </c>
      <c r="U713" s="84" t="n">
        <f aca="false">IF(AND(R713=1,ISNUMBER(T713)),E713-T713,"")</f>
        <v>2.14087583969262</v>
      </c>
      <c r="V713" s="84" t="n">
        <f aca="false">IF(ISNUMBER(T713),T713,-99)</f>
        <v>25.8591241603074</v>
      </c>
      <c r="W713" s="84" t="n">
        <f aca="false">IF(ISNUMBER(U713),ABS(U713),"")</f>
        <v>2.14087583969262</v>
      </c>
    </row>
    <row r="714" customFormat="false" ht="15" hidden="false" customHeight="false" outlineLevel="0" collapsed="false">
      <c r="A714" s="57" t="n">
        <v>30537</v>
      </c>
      <c r="B714" s="56" t="n">
        <v>1983</v>
      </c>
      <c r="C714" s="56" t="n">
        <v>8</v>
      </c>
      <c r="D714" s="56" t="n">
        <v>101</v>
      </c>
      <c r="E714" s="56" t="n">
        <v>25.3</v>
      </c>
      <c r="F714" s="56" t="n">
        <v>0</v>
      </c>
      <c r="G714" s="56" t="n">
        <v>15.2</v>
      </c>
      <c r="H714" s="56" t="n">
        <v>0</v>
      </c>
      <c r="I714" s="56" t="n">
        <v>21.6</v>
      </c>
      <c r="J714" s="56" t="n">
        <v>0</v>
      </c>
      <c r="K714" s="56" t="n">
        <v>1023.9</v>
      </c>
      <c r="L714" s="56" t="n">
        <v>0</v>
      </c>
      <c r="M714" s="56" t="n">
        <v>68</v>
      </c>
      <c r="N714" s="56" t="n">
        <v>7.6</v>
      </c>
      <c r="O714" s="56" t="n">
        <f aca="false">IF(D714=1,"",E713)</f>
        <v>28</v>
      </c>
      <c r="P714" s="56" t="n">
        <f aca="false">IF(OR(D714=1,K713=""),"",K713)</f>
        <v>1025.1</v>
      </c>
      <c r="Q714" s="56" t="n">
        <f aca="false">IF(OR(F714&lt;&gt;0,AND(I714&lt;&gt;"",E714&lt;I714)),1,0)</f>
        <v>0</v>
      </c>
      <c r="R714" s="56" t="n">
        <f aca="false">IF(AND(D714&gt;1,Q714=0,ISNUMBER(O714),ISNUMBER(P714)),IF(Q713=0,1,0),0)</f>
        <v>1</v>
      </c>
      <c r="S714" s="56" t="n">
        <f aca="false">R714*(B714&gt;=Train_Start)*(B714&lt;=Train_End)</f>
        <v>1</v>
      </c>
      <c r="T714" s="84" t="n">
        <f aca="false">IF(AND(ISNUMBER(O714),ISNUMBER(P714)),Coef_A+Coef_B1*O714+Coef_B2*P714,"")</f>
        <v>27.1857518164926</v>
      </c>
      <c r="U714" s="84" t="n">
        <f aca="false">IF(AND(R714=1,ISNUMBER(T714)),E714-T714,"")</f>
        <v>-1.88575181649263</v>
      </c>
      <c r="V714" s="84" t="n">
        <f aca="false">IF(ISNUMBER(T714),T714,-99)</f>
        <v>27.1857518164926</v>
      </c>
      <c r="W714" s="84" t="n">
        <f aca="false">IF(ISNUMBER(U714),ABS(U714),"")</f>
        <v>1.88575181649263</v>
      </c>
    </row>
    <row r="715" customFormat="false" ht="15" hidden="false" customHeight="false" outlineLevel="0" collapsed="false">
      <c r="A715" s="57" t="n">
        <v>30538</v>
      </c>
      <c r="B715" s="56" t="n">
        <v>1983</v>
      </c>
      <c r="C715" s="56" t="n">
        <v>8</v>
      </c>
      <c r="D715" s="56" t="n">
        <v>102</v>
      </c>
      <c r="E715" s="56" t="n">
        <v>21.5</v>
      </c>
      <c r="F715" s="56" t="n">
        <v>0</v>
      </c>
      <c r="G715" s="56" t="n">
        <v>15.7</v>
      </c>
      <c r="H715" s="56" t="n">
        <v>0</v>
      </c>
      <c r="I715" s="56" t="n">
        <v>20.5</v>
      </c>
      <c r="J715" s="56" t="n">
        <v>0</v>
      </c>
      <c r="K715" s="56" t="n">
        <v>1021.3</v>
      </c>
      <c r="L715" s="56" t="n">
        <v>0</v>
      </c>
      <c r="M715" s="56" t="n">
        <v>68</v>
      </c>
      <c r="N715" s="56" t="n">
        <v>9.7</v>
      </c>
      <c r="O715" s="56" t="n">
        <f aca="false">IF(D715=1,"",E714)</f>
        <v>25.3</v>
      </c>
      <c r="P715" s="56" t="n">
        <f aca="false">IF(OR(D715=1,K714=""),"",K714)</f>
        <v>1023.9</v>
      </c>
      <c r="Q715" s="56" t="n">
        <f aca="false">IF(OR(F715&lt;&gt;0,AND(I715&lt;&gt;"",E715&lt;I715)),1,0)</f>
        <v>0</v>
      </c>
      <c r="R715" s="56" t="n">
        <f aca="false">IF(AND(D715&gt;1,Q715=0,ISNUMBER(O715),ISNUMBER(P715)),IF(Q714=0,1,0),0)</f>
        <v>1</v>
      </c>
      <c r="S715" s="56" t="n">
        <f aca="false">R715*(B715&gt;=Train_Start)*(B715&lt;=Train_End)</f>
        <v>1</v>
      </c>
      <c r="T715" s="84" t="n">
        <f aca="false">IF(AND(ISNUMBER(O715),ISNUMBER(P715)),Coef_A+Coef_B1*O715+Coef_B2*P715,"")</f>
        <v>24.9358921217167</v>
      </c>
      <c r="U715" s="84" t="n">
        <f aca="false">IF(AND(R715=1,ISNUMBER(T715)),E715-T715,"")</f>
        <v>-3.43589212171667</v>
      </c>
      <c r="V715" s="84" t="n">
        <f aca="false">IF(ISNUMBER(T715),T715,-99)</f>
        <v>24.9358921217167</v>
      </c>
      <c r="W715" s="84" t="n">
        <f aca="false">IF(ISNUMBER(U715),ABS(U715),"")</f>
        <v>3.43589212171667</v>
      </c>
    </row>
    <row r="716" customFormat="false" ht="15" hidden="false" customHeight="false" outlineLevel="0" collapsed="false">
      <c r="A716" s="57" t="n">
        <v>30539</v>
      </c>
      <c r="B716" s="56" t="n">
        <v>1983</v>
      </c>
      <c r="C716" s="56" t="n">
        <v>8</v>
      </c>
      <c r="D716" s="56" t="n">
        <v>103</v>
      </c>
      <c r="E716" s="56" t="n">
        <v>25.3</v>
      </c>
      <c r="F716" s="56" t="n">
        <v>0</v>
      </c>
      <c r="G716" s="56" t="n">
        <v>15.7</v>
      </c>
      <c r="H716" s="56" t="n">
        <v>0</v>
      </c>
      <c r="I716" s="56" t="n">
        <v>18.6</v>
      </c>
      <c r="J716" s="56" t="n">
        <v>0</v>
      </c>
      <c r="K716" s="56" t="n">
        <v>1018.3</v>
      </c>
      <c r="L716" s="56" t="n">
        <v>0</v>
      </c>
      <c r="M716" s="56" t="n">
        <v>70</v>
      </c>
      <c r="N716" s="56" t="n">
        <v>4.1</v>
      </c>
      <c r="O716" s="56" t="n">
        <f aca="false">IF(D716=1,"",E715)</f>
        <v>21.5</v>
      </c>
      <c r="P716" s="56" t="n">
        <f aca="false">IF(OR(D716=1,K715=""),"",K715)</f>
        <v>1021.3</v>
      </c>
      <c r="Q716" s="56" t="n">
        <f aca="false">IF(OR(F716&lt;&gt;0,AND(I716&lt;&gt;"",E716&lt;I716)),1,0)</f>
        <v>0</v>
      </c>
      <c r="R716" s="56" t="n">
        <f aca="false">IF(AND(D716&gt;1,Q716=0,ISNUMBER(O716),ISNUMBER(P716)),IF(Q715=0,1,0),0)</f>
        <v>1</v>
      </c>
      <c r="S716" s="56" t="n">
        <f aca="false">R716*(B716&gt;=Train_Start)*(B716&lt;=Train_End)</f>
        <v>1</v>
      </c>
      <c r="T716" s="84" t="n">
        <f aca="false">IF(AND(ISNUMBER(O716),ISNUMBER(P716)),Coef_A+Coef_B1*O716+Coef_B2*P716,"")</f>
        <v>21.7408414621062</v>
      </c>
      <c r="U716" s="84" t="n">
        <f aca="false">IF(AND(R716=1,ISNUMBER(T716)),E716-T716,"")</f>
        <v>3.5591585378938</v>
      </c>
      <c r="V716" s="84" t="n">
        <f aca="false">IF(ISNUMBER(T716),T716,-99)</f>
        <v>21.7408414621062</v>
      </c>
      <c r="W716" s="84" t="n">
        <f aca="false">IF(ISNUMBER(U716),ABS(U716),"")</f>
        <v>3.5591585378938</v>
      </c>
    </row>
    <row r="717" customFormat="false" ht="15" hidden="false" customHeight="false" outlineLevel="0" collapsed="false">
      <c r="A717" s="57" t="n">
        <v>30540</v>
      </c>
      <c r="B717" s="56" t="n">
        <v>1983</v>
      </c>
      <c r="C717" s="56" t="n">
        <v>8</v>
      </c>
      <c r="D717" s="56" t="n">
        <v>104</v>
      </c>
      <c r="E717" s="56" t="n">
        <v>23.7</v>
      </c>
      <c r="F717" s="56" t="n">
        <v>0</v>
      </c>
      <c r="G717" s="56" t="n">
        <v>11.8</v>
      </c>
      <c r="H717" s="56" t="n">
        <v>0</v>
      </c>
      <c r="I717" s="56" t="n">
        <v>18.6</v>
      </c>
      <c r="J717" s="56" t="n">
        <v>0</v>
      </c>
      <c r="K717" s="56" t="n">
        <v>1015.6</v>
      </c>
      <c r="L717" s="56" t="n">
        <v>0</v>
      </c>
      <c r="M717" s="56" t="n">
        <v>66</v>
      </c>
      <c r="N717" s="56" t="n">
        <v>9.8</v>
      </c>
      <c r="O717" s="56" t="n">
        <f aca="false">IF(D717=1,"",E716)</f>
        <v>25.3</v>
      </c>
      <c r="P717" s="56" t="n">
        <f aca="false">IF(OR(D717=1,K716=""),"",K716)</f>
        <v>1018.3</v>
      </c>
      <c r="Q717" s="56" t="n">
        <f aca="false">IF(OR(F717&lt;&gt;0,AND(I717&lt;&gt;"",E717&lt;I717)),1,0)</f>
        <v>0</v>
      </c>
      <c r="R717" s="56" t="n">
        <f aca="false">IF(AND(D717&gt;1,Q717=0,ISNUMBER(O717),ISNUMBER(P717)),IF(Q716=0,1,0),0)</f>
        <v>1</v>
      </c>
      <c r="S717" s="56" t="n">
        <f aca="false">R717*(B717&gt;=Train_Start)*(B717&lt;=Train_End)</f>
        <v>1</v>
      </c>
      <c r="T717" s="84" t="n">
        <f aca="false">IF(AND(ISNUMBER(O717),ISNUMBER(P717)),Coef_A+Coef_B1*O717+Coef_B2*P717,"")</f>
        <v>24.7602207117663</v>
      </c>
      <c r="U717" s="84" t="n">
        <f aca="false">IF(AND(R717=1,ISNUMBER(T717)),E717-T717,"")</f>
        <v>-1.06022071176633</v>
      </c>
      <c r="V717" s="84" t="n">
        <f aca="false">IF(ISNUMBER(T717),T717,-99)</f>
        <v>24.7602207117663</v>
      </c>
      <c r="W717" s="84" t="n">
        <f aca="false">IF(ISNUMBER(U717),ABS(U717),"")</f>
        <v>1.06022071176633</v>
      </c>
    </row>
    <row r="718" customFormat="false" ht="15" hidden="false" customHeight="false" outlineLevel="0" collapsed="false">
      <c r="A718" s="57" t="n">
        <v>30541</v>
      </c>
      <c r="B718" s="56" t="n">
        <v>1983</v>
      </c>
      <c r="C718" s="56" t="n">
        <v>8</v>
      </c>
      <c r="D718" s="56" t="n">
        <v>105</v>
      </c>
      <c r="E718" s="56" t="n">
        <v>28.8</v>
      </c>
      <c r="F718" s="56" t="n">
        <v>0</v>
      </c>
      <c r="G718" s="56" t="n">
        <v>12.3</v>
      </c>
      <c r="H718" s="56" t="n">
        <v>0</v>
      </c>
      <c r="I718" s="56" t="n">
        <v>18</v>
      </c>
      <c r="J718" s="56" t="n">
        <v>0</v>
      </c>
      <c r="K718" s="56" t="n">
        <v>1020.6</v>
      </c>
      <c r="L718" s="56" t="n">
        <v>0</v>
      </c>
      <c r="M718" s="56" t="n">
        <v>61</v>
      </c>
      <c r="N718" s="56" t="n">
        <v>12.9</v>
      </c>
      <c r="O718" s="56" t="n">
        <f aca="false">IF(D718=1,"",E717)</f>
        <v>23.7</v>
      </c>
      <c r="P718" s="56" t="n">
        <f aca="false">IF(OR(D718=1,K717=""),"",K717)</f>
        <v>1015.6</v>
      </c>
      <c r="Q718" s="56" t="n">
        <f aca="false">IF(OR(F718&lt;&gt;0,AND(I718&lt;&gt;"",E718&lt;I718)),1,0)</f>
        <v>0</v>
      </c>
      <c r="R718" s="56" t="n">
        <f aca="false">IF(AND(D718&gt;1,Q718=0,ISNUMBER(O718),ISNUMBER(P718)),IF(Q717=0,1,0),0)</f>
        <v>1</v>
      </c>
      <c r="S718" s="56" t="n">
        <f aca="false">R718*(B718&gt;=Train_Start)*(B718&lt;=Train_End)</f>
        <v>1</v>
      </c>
      <c r="T718" s="84" t="n">
        <f aca="false">IF(AND(ISNUMBER(O718),ISNUMBER(P718)),Coef_A+Coef_B1*O718+Coef_B2*P718,"")</f>
        <v>23.3645792873863</v>
      </c>
      <c r="U718" s="84" t="n">
        <f aca="false">IF(AND(R718=1,ISNUMBER(T718)),E718-T718,"")</f>
        <v>5.43542071261369</v>
      </c>
      <c r="V718" s="84" t="n">
        <f aca="false">IF(ISNUMBER(T718),T718,-99)</f>
        <v>23.3645792873863</v>
      </c>
      <c r="W718" s="84" t="n">
        <f aca="false">IF(ISNUMBER(U718),ABS(U718),"")</f>
        <v>5.43542071261369</v>
      </c>
    </row>
    <row r="719" customFormat="false" ht="15" hidden="false" customHeight="false" outlineLevel="0" collapsed="false">
      <c r="A719" s="57" t="n">
        <v>30542</v>
      </c>
      <c r="B719" s="56" t="n">
        <v>1983</v>
      </c>
      <c r="C719" s="56" t="n">
        <v>8</v>
      </c>
      <c r="D719" s="56" t="n">
        <v>106</v>
      </c>
      <c r="E719" s="56" t="n">
        <v>27.2</v>
      </c>
      <c r="F719" s="56" t="n">
        <v>0</v>
      </c>
      <c r="G719" s="56" t="n">
        <v>13.6</v>
      </c>
      <c r="H719" s="56" t="n">
        <v>0</v>
      </c>
      <c r="I719" s="56" t="n">
        <v>21.2</v>
      </c>
      <c r="J719" s="56" t="n">
        <v>0</v>
      </c>
      <c r="K719" s="56" t="n">
        <v>1020.7</v>
      </c>
      <c r="L719" s="56" t="n">
        <v>0</v>
      </c>
      <c r="M719" s="56" t="n">
        <v>65</v>
      </c>
      <c r="N719" s="56" t="n">
        <v>8.1</v>
      </c>
      <c r="O719" s="56" t="n">
        <f aca="false">IF(D719=1,"",E718)</f>
        <v>28.8</v>
      </c>
      <c r="P719" s="56" t="n">
        <f aca="false">IF(OR(D719=1,K718=""),"",K718)</f>
        <v>1020.6</v>
      </c>
      <c r="Q719" s="56" t="n">
        <f aca="false">IF(OR(F719&lt;&gt;0,AND(I719&lt;&gt;"",E719&lt;I719)),1,0)</f>
        <v>0</v>
      </c>
      <c r="R719" s="56" t="n">
        <f aca="false">IF(AND(D719&gt;1,Q719=0,ISNUMBER(O719),ISNUMBER(P719)),IF(Q718=0,1,0),0)</f>
        <v>1</v>
      </c>
      <c r="S719" s="56" t="n">
        <f aca="false">R719*(B719&gt;=Train_Start)*(B719&lt;=Train_End)</f>
        <v>1</v>
      </c>
      <c r="T719" s="84" t="n">
        <f aca="false">IF(AND(ISNUMBER(O719),ISNUMBER(P719)),Coef_A+Coef_B1*O719+Coef_B2*P719,"")</f>
        <v>27.7000586450738</v>
      </c>
      <c r="U719" s="84" t="n">
        <f aca="false">IF(AND(R719=1,ISNUMBER(T719)),E719-T719,"")</f>
        <v>-0.500058645073814</v>
      </c>
      <c r="V719" s="84" t="n">
        <f aca="false">IF(ISNUMBER(T719),T719,-99)</f>
        <v>27.7000586450738</v>
      </c>
      <c r="W719" s="84" t="n">
        <f aca="false">IF(ISNUMBER(U719),ABS(U719),"")</f>
        <v>0.500058645073814</v>
      </c>
    </row>
    <row r="720" customFormat="false" ht="15" hidden="false" customHeight="false" outlineLevel="0" collapsed="false">
      <c r="A720" s="57" t="n">
        <v>30543</v>
      </c>
      <c r="B720" s="56" t="n">
        <v>1983</v>
      </c>
      <c r="C720" s="56" t="n">
        <v>8</v>
      </c>
      <c r="D720" s="56" t="n">
        <v>107</v>
      </c>
      <c r="E720" s="56" t="n">
        <v>25.6</v>
      </c>
      <c r="F720" s="56" t="n">
        <v>0</v>
      </c>
      <c r="G720" s="56" t="n">
        <v>16.3</v>
      </c>
      <c r="H720" s="56" t="n">
        <v>0</v>
      </c>
      <c r="I720" s="56" t="n">
        <v>21.8</v>
      </c>
      <c r="J720" s="56" t="n">
        <v>0</v>
      </c>
      <c r="K720" s="56" t="n">
        <v>1016</v>
      </c>
      <c r="L720" s="56" t="n">
        <v>0</v>
      </c>
      <c r="M720" s="56" t="n">
        <v>64</v>
      </c>
      <c r="N720" s="56" t="n">
        <v>10.2</v>
      </c>
      <c r="O720" s="56" t="n">
        <f aca="false">IF(D720=1,"",E719)</f>
        <v>27.2</v>
      </c>
      <c r="P720" s="56" t="n">
        <f aca="false">IF(OR(D720=1,K719=""),"",K719)</f>
        <v>1020.7</v>
      </c>
      <c r="Q720" s="56" t="n">
        <f aca="false">IF(OR(F720&lt;&gt;0,AND(I720&lt;&gt;"",E720&lt;I720)),1,0)</f>
        <v>0</v>
      </c>
      <c r="R720" s="56" t="n">
        <f aca="false">IF(AND(D720&gt;1,Q720=0,ISNUMBER(O720),ISNUMBER(P720)),IF(Q719=0,1,0),0)</f>
        <v>1</v>
      </c>
      <c r="S720" s="56" t="n">
        <f aca="false">R720*(B720&gt;=Train_Start)*(B720&lt;=Train_End)</f>
        <v>1</v>
      </c>
      <c r="T720" s="84" t="n">
        <f aca="false">IF(AND(ISNUMBER(O720),ISNUMBER(P720)),Coef_A+Coef_B1*O720+Coef_B2*P720,"")</f>
        <v>26.392252925669</v>
      </c>
      <c r="U720" s="84" t="n">
        <f aca="false">IF(AND(R720=1,ISNUMBER(T720)),E720-T720,"")</f>
        <v>-0.792252925668958</v>
      </c>
      <c r="V720" s="84" t="n">
        <f aca="false">IF(ISNUMBER(T720),T720,-99)</f>
        <v>26.392252925669</v>
      </c>
      <c r="W720" s="84" t="n">
        <f aca="false">IF(ISNUMBER(U720),ABS(U720),"")</f>
        <v>0.792252925668958</v>
      </c>
    </row>
    <row r="721" customFormat="false" ht="15" hidden="false" customHeight="false" outlineLevel="0" collapsed="false">
      <c r="A721" s="57" t="n">
        <v>30544</v>
      </c>
      <c r="B721" s="56" t="n">
        <v>1983</v>
      </c>
      <c r="C721" s="56" t="n">
        <v>8</v>
      </c>
      <c r="D721" s="56" t="n">
        <v>108</v>
      </c>
      <c r="E721" s="56" t="n">
        <v>25.9</v>
      </c>
      <c r="F721" s="56" t="n">
        <v>0</v>
      </c>
      <c r="G721" s="56" t="n">
        <v>14.1</v>
      </c>
      <c r="H721" s="56" t="n">
        <v>0</v>
      </c>
      <c r="I721" s="56" t="n">
        <v>19.8</v>
      </c>
      <c r="J721" s="56" t="n">
        <v>0</v>
      </c>
      <c r="K721" s="56" t="n">
        <v>1012.8</v>
      </c>
      <c r="L721" s="56" t="n">
        <v>0</v>
      </c>
      <c r="M721" s="56" t="n">
        <v>68</v>
      </c>
      <c r="N721" s="56" t="n">
        <v>6.6</v>
      </c>
      <c r="O721" s="56" t="n">
        <f aca="false">IF(D721=1,"",E720)</f>
        <v>25.6</v>
      </c>
      <c r="P721" s="56" t="n">
        <f aca="false">IF(OR(D721=1,K720=""),"",K720)</f>
        <v>1016</v>
      </c>
      <c r="Q721" s="56" t="n">
        <f aca="false">IF(OR(F721&lt;&gt;0,AND(I721&lt;&gt;"",E721&lt;I721)),1,0)</f>
        <v>0</v>
      </c>
      <c r="R721" s="56" t="n">
        <f aca="false">IF(AND(D721&gt;1,Q721=0,ISNUMBER(O721),ISNUMBER(P721)),IF(Q720=0,1,0),0)</f>
        <v>1</v>
      </c>
      <c r="S721" s="56" t="n">
        <f aca="false">R721*(B721&gt;=Train_Start)*(B721&lt;=Train_End)</f>
        <v>1</v>
      </c>
      <c r="T721" s="84" t="n">
        <f aca="false">IF(AND(ISNUMBER(O721),ISNUMBER(P721)),Coef_A+Coef_B1*O721+Coef_B2*P721,"")</f>
        <v>24.933871712021</v>
      </c>
      <c r="U721" s="84" t="n">
        <f aca="false">IF(AND(R721=1,ISNUMBER(T721)),E721-T721,"")</f>
        <v>0.966128287979043</v>
      </c>
      <c r="V721" s="84" t="n">
        <f aca="false">IF(ISNUMBER(T721),T721,-99)</f>
        <v>24.933871712021</v>
      </c>
      <c r="W721" s="84" t="n">
        <f aca="false">IF(ISNUMBER(U721),ABS(U721),"")</f>
        <v>0.966128287979043</v>
      </c>
    </row>
    <row r="722" customFormat="false" ht="15" hidden="false" customHeight="false" outlineLevel="0" collapsed="false">
      <c r="A722" s="57" t="n">
        <v>30545</v>
      </c>
      <c r="B722" s="56" t="n">
        <v>1983</v>
      </c>
      <c r="C722" s="56" t="n">
        <v>8</v>
      </c>
      <c r="D722" s="56" t="n">
        <v>109</v>
      </c>
      <c r="E722" s="56" t="n">
        <v>26.7</v>
      </c>
      <c r="F722" s="56" t="n">
        <v>0</v>
      </c>
      <c r="G722" s="56" t="n">
        <v>17.9</v>
      </c>
      <c r="H722" s="56" t="n">
        <v>0</v>
      </c>
      <c r="I722" s="56" t="n">
        <v>21.9</v>
      </c>
      <c r="J722" s="56" t="n">
        <v>0</v>
      </c>
      <c r="K722" s="56" t="n">
        <v>1015.6</v>
      </c>
      <c r="L722" s="56" t="n">
        <v>0</v>
      </c>
      <c r="M722" s="56" t="n">
        <v>71</v>
      </c>
      <c r="N722" s="56" t="n">
        <v>1.7</v>
      </c>
      <c r="O722" s="56" t="n">
        <f aca="false">IF(D722=1,"",E721)</f>
        <v>25.9</v>
      </c>
      <c r="P722" s="56" t="n">
        <f aca="false">IF(OR(D722=1,K721=""),"",K721)</f>
        <v>1012.8</v>
      </c>
      <c r="Q722" s="56" t="n">
        <f aca="false">IF(OR(F722&lt;&gt;0,AND(I722&lt;&gt;"",E722&lt;I722)),1,0)</f>
        <v>0</v>
      </c>
      <c r="R722" s="56" t="n">
        <f aca="false">IF(AND(D722&gt;1,Q722=0,ISNUMBER(O722),ISNUMBER(P722)),IF(Q721=0,1,0),0)</f>
        <v>1</v>
      </c>
      <c r="S722" s="56" t="n">
        <f aca="false">R722*(B722&gt;=Train_Start)*(B722&lt;=Train_End)</f>
        <v>1</v>
      </c>
      <c r="T722" s="84" t="n">
        <f aca="false">IF(AND(ISNUMBER(O722),ISNUMBER(P722)),Coef_A+Coef_B1*O722+Coef_B2*P722,"")</f>
        <v>25.079289807105</v>
      </c>
      <c r="U722" s="84" t="n">
        <f aca="false">IF(AND(R722=1,ISNUMBER(T722)),E722-T722,"")</f>
        <v>1.62071019289502</v>
      </c>
      <c r="V722" s="84" t="n">
        <f aca="false">IF(ISNUMBER(T722),T722,-99)</f>
        <v>25.079289807105</v>
      </c>
      <c r="W722" s="84" t="n">
        <f aca="false">IF(ISNUMBER(U722),ABS(U722),"")</f>
        <v>1.62071019289502</v>
      </c>
    </row>
    <row r="723" customFormat="false" ht="15" hidden="false" customHeight="false" outlineLevel="0" collapsed="false">
      <c r="A723" s="57" t="n">
        <v>30546</v>
      </c>
      <c r="B723" s="56" t="n">
        <v>1983</v>
      </c>
      <c r="C723" s="56" t="n">
        <v>8</v>
      </c>
      <c r="D723" s="56" t="n">
        <v>110</v>
      </c>
      <c r="E723" s="56" t="n">
        <v>30.2</v>
      </c>
      <c r="F723" s="56" t="n">
        <v>0</v>
      </c>
      <c r="G723" s="56" t="n">
        <v>13.1</v>
      </c>
      <c r="H723" s="56" t="n">
        <v>0</v>
      </c>
      <c r="I723" s="56" t="n">
        <v>19.9</v>
      </c>
      <c r="J723" s="56" t="n">
        <v>0</v>
      </c>
      <c r="K723" s="56" t="n">
        <v>1018</v>
      </c>
      <c r="L723" s="56" t="n">
        <v>0</v>
      </c>
      <c r="M723" s="56" t="n">
        <v>62</v>
      </c>
      <c r="N723" s="56" t="n">
        <v>12.1</v>
      </c>
      <c r="O723" s="56" t="n">
        <f aca="false">IF(D723=1,"",E722)</f>
        <v>26.7</v>
      </c>
      <c r="P723" s="56" t="n">
        <f aca="false">IF(OR(D723=1,K722=""),"",K722)</f>
        <v>1015.6</v>
      </c>
      <c r="Q723" s="56" t="n">
        <f aca="false">IF(OR(F723&lt;&gt;0,AND(I723&lt;&gt;"",E723&lt;I723)),1,0)</f>
        <v>0</v>
      </c>
      <c r="R723" s="56" t="n">
        <f aca="false">IF(AND(D723&gt;1,Q723=0,ISNUMBER(O723),ISNUMBER(P723)),IF(Q722=0,1,0),0)</f>
        <v>1</v>
      </c>
      <c r="S723" s="56" t="n">
        <f aca="false">R723*(B723&gt;=Train_Start)*(B723&lt;=Train_End)</f>
        <v>1</v>
      </c>
      <c r="T723" s="84" t="n">
        <f aca="false">IF(AND(ISNUMBER(O723),ISNUMBER(P723)),Coef_A+Coef_B1*O723+Coef_B2*P723,"")</f>
        <v>25.8225968665143</v>
      </c>
      <c r="U723" s="84" t="n">
        <f aca="false">IF(AND(R723=1,ISNUMBER(T723)),E723-T723,"")</f>
        <v>4.37740313348572</v>
      </c>
      <c r="V723" s="84" t="n">
        <f aca="false">IF(ISNUMBER(T723),T723,-99)</f>
        <v>25.8225968665143</v>
      </c>
      <c r="W723" s="84" t="n">
        <f aca="false">IF(ISNUMBER(U723),ABS(U723),"")</f>
        <v>4.37740313348572</v>
      </c>
    </row>
    <row r="724" customFormat="false" ht="15" hidden="false" customHeight="false" outlineLevel="0" collapsed="false">
      <c r="A724" s="57" t="n">
        <v>30547</v>
      </c>
      <c r="B724" s="56" t="n">
        <v>1983</v>
      </c>
      <c r="C724" s="56" t="n">
        <v>8</v>
      </c>
      <c r="D724" s="56" t="n">
        <v>111</v>
      </c>
      <c r="E724" s="56" t="n">
        <v>24.2</v>
      </c>
      <c r="F724" s="56" t="n">
        <v>0</v>
      </c>
      <c r="G724" s="56" t="n">
        <v>17.5</v>
      </c>
      <c r="H724" s="56" t="n">
        <v>0</v>
      </c>
      <c r="I724" s="56" t="n">
        <v>23.8</v>
      </c>
      <c r="J724" s="56" t="n">
        <v>0</v>
      </c>
      <c r="K724" s="56" t="n">
        <v>1014.5</v>
      </c>
      <c r="L724" s="56" t="n">
        <v>0</v>
      </c>
      <c r="M724" s="56" t="n">
        <v>65</v>
      </c>
      <c r="N724" s="56" t="n">
        <v>11</v>
      </c>
      <c r="O724" s="56" t="n">
        <f aca="false">IF(D724=1,"",E723)</f>
        <v>30.2</v>
      </c>
      <c r="P724" s="56" t="n">
        <f aca="false">IF(OR(D724=1,K723=""),"",K723)</f>
        <v>1018</v>
      </c>
      <c r="Q724" s="56" t="n">
        <f aca="false">IF(OR(F724&lt;&gt;0,AND(I724&lt;&gt;"",E724&lt;I724)),1,0)</f>
        <v>0</v>
      </c>
      <c r="R724" s="56" t="n">
        <f aca="false">IF(AND(D724&gt;1,Q724=0,ISNUMBER(O724),ISNUMBER(P724)),IF(Q723=0,1,0),0)</f>
        <v>1</v>
      </c>
      <c r="S724" s="56" t="n">
        <f aca="false">R724*(B724&gt;=Train_Start)*(B724&lt;=Train_End)</f>
        <v>1</v>
      </c>
      <c r="T724" s="84" t="n">
        <f aca="false">IF(AND(ISNUMBER(O724),ISNUMBER(P724)),Coef_A+Coef_B1*O724+Coef_B2*P724,"")</f>
        <v>28.7655717892852</v>
      </c>
      <c r="U724" s="84" t="n">
        <f aca="false">IF(AND(R724=1,ISNUMBER(T724)),E724-T724,"")</f>
        <v>-4.56557178928516</v>
      </c>
      <c r="V724" s="84" t="n">
        <f aca="false">IF(ISNUMBER(T724),T724,-99)</f>
        <v>28.7655717892852</v>
      </c>
      <c r="W724" s="84" t="n">
        <f aca="false">IF(ISNUMBER(U724),ABS(U724),"")</f>
        <v>4.56557178928516</v>
      </c>
    </row>
    <row r="725" customFormat="false" ht="15" hidden="false" customHeight="false" outlineLevel="0" collapsed="false">
      <c r="A725" s="57" t="n">
        <v>30548</v>
      </c>
      <c r="B725" s="56" t="n">
        <v>1983</v>
      </c>
      <c r="C725" s="56" t="n">
        <v>8</v>
      </c>
      <c r="D725" s="56" t="n">
        <v>112</v>
      </c>
      <c r="E725" s="56" t="n">
        <v>24.2</v>
      </c>
      <c r="F725" s="56" t="n">
        <v>0</v>
      </c>
      <c r="G725" s="56" t="n">
        <v>17.9</v>
      </c>
      <c r="H725" s="56" t="n">
        <v>0</v>
      </c>
      <c r="I725" s="56" t="n">
        <v>21</v>
      </c>
      <c r="J725" s="56" t="n">
        <v>0</v>
      </c>
      <c r="K725" s="56" t="n">
        <v>1014.4</v>
      </c>
      <c r="L725" s="56" t="n">
        <v>0</v>
      </c>
      <c r="M725" s="56" t="n">
        <v>72</v>
      </c>
      <c r="N725" s="56" t="n">
        <v>3.5</v>
      </c>
      <c r="O725" s="56" t="n">
        <f aca="false">IF(D725=1,"",E724)</f>
        <v>24.2</v>
      </c>
      <c r="P725" s="56" t="n">
        <f aca="false">IF(OR(D725=1,K724=""),"",K724)</f>
        <v>1014.5</v>
      </c>
      <c r="Q725" s="56" t="n">
        <f aca="false">IF(OR(F725&lt;&gt;0,AND(I725&lt;&gt;"",E725&lt;I725)),1,0)</f>
        <v>0</v>
      </c>
      <c r="R725" s="56" t="n">
        <f aca="false">IF(AND(D725&gt;1,Q725=0,ISNUMBER(O725),ISNUMBER(P725)),IF(Q724=0,1,0),0)</f>
        <v>1</v>
      </c>
      <c r="S725" s="56" t="n">
        <f aca="false">R725*(B725&gt;=Train_Start)*(B725&lt;=Train_End)</f>
        <v>1</v>
      </c>
      <c r="T725" s="84" t="n">
        <f aca="false">IF(AND(ISNUMBER(O725),ISNUMBER(P725)),Coef_A+Coef_B1*O725+Coef_B2*P725,"")</f>
        <v>23.7397419998103</v>
      </c>
      <c r="U725" s="84" t="n">
        <f aca="false">IF(AND(R725=1,ISNUMBER(T725)),E725-T725,"")</f>
        <v>0.46025800018975</v>
      </c>
      <c r="V725" s="84" t="n">
        <f aca="false">IF(ISNUMBER(T725),T725,-99)</f>
        <v>23.7397419998103</v>
      </c>
      <c r="W725" s="84" t="n">
        <f aca="false">IF(ISNUMBER(U725),ABS(U725),"")</f>
        <v>0.46025800018975</v>
      </c>
    </row>
    <row r="726" customFormat="false" ht="15" hidden="false" customHeight="false" outlineLevel="0" collapsed="false">
      <c r="A726" s="57" t="n">
        <v>30549</v>
      </c>
      <c r="B726" s="56" t="n">
        <v>1983</v>
      </c>
      <c r="C726" s="56" t="n">
        <v>8</v>
      </c>
      <c r="D726" s="56" t="n">
        <v>113</v>
      </c>
      <c r="E726" s="56" t="n">
        <v>26.3</v>
      </c>
      <c r="F726" s="56" t="n">
        <v>0</v>
      </c>
      <c r="G726" s="56" t="n">
        <v>14.9</v>
      </c>
      <c r="H726" s="56" t="n">
        <v>0</v>
      </c>
      <c r="I726" s="56" t="n">
        <v>19.6</v>
      </c>
      <c r="J726" s="56" t="n">
        <v>0</v>
      </c>
      <c r="K726" s="56" t="n">
        <v>1015.6</v>
      </c>
      <c r="L726" s="56" t="n">
        <v>0</v>
      </c>
      <c r="M726" s="56" t="n">
        <v>78</v>
      </c>
      <c r="N726" s="56" t="n">
        <v>6.1</v>
      </c>
      <c r="O726" s="56" t="n">
        <f aca="false">IF(D726=1,"",E725)</f>
        <v>24.2</v>
      </c>
      <c r="P726" s="56" t="n">
        <f aca="false">IF(OR(D726=1,K725=""),"",K725)</f>
        <v>1014.4</v>
      </c>
      <c r="Q726" s="56" t="n">
        <f aca="false">IF(OR(F726&lt;&gt;0,AND(I726&lt;&gt;"",E726&lt;I726)),1,0)</f>
        <v>0</v>
      </c>
      <c r="R726" s="56" t="n">
        <f aca="false">IF(AND(D726&gt;1,Q726=0,ISNUMBER(O726),ISNUMBER(P726)),IF(Q725=0,1,0),0)</f>
        <v>1</v>
      </c>
      <c r="S726" s="56" t="n">
        <f aca="false">R726*(B726&gt;=Train_Start)*(B726&lt;=Train_End)</f>
        <v>1</v>
      </c>
      <c r="T726" s="84" t="n">
        <f aca="false">IF(AND(ISNUMBER(O726),ISNUMBER(P726)),Coef_A+Coef_B1*O726+Coef_B2*P726,"")</f>
        <v>23.7366050103469</v>
      </c>
      <c r="U726" s="84" t="n">
        <f aca="false">IF(AND(R726=1,ISNUMBER(T726)),E726-T726,"")</f>
        <v>2.56339498965315</v>
      </c>
      <c r="V726" s="84" t="n">
        <f aca="false">IF(ISNUMBER(T726),T726,-99)</f>
        <v>23.7366050103469</v>
      </c>
      <c r="W726" s="84" t="n">
        <f aca="false">IF(ISNUMBER(U726),ABS(U726),"")</f>
        <v>2.56339498965315</v>
      </c>
    </row>
    <row r="727" customFormat="false" ht="15" hidden="false" customHeight="false" outlineLevel="0" collapsed="false">
      <c r="A727" s="57" t="n">
        <v>30550</v>
      </c>
      <c r="B727" s="56" t="n">
        <v>1983</v>
      </c>
      <c r="C727" s="56" t="n">
        <v>8</v>
      </c>
      <c r="D727" s="56" t="n">
        <v>114</v>
      </c>
      <c r="E727" s="56" t="n">
        <v>26.1</v>
      </c>
      <c r="F727" s="56" t="n">
        <v>0</v>
      </c>
      <c r="G727" s="56" t="n">
        <v>16.8</v>
      </c>
      <c r="H727" s="56" t="n">
        <v>0</v>
      </c>
      <c r="I727" s="56" t="n">
        <v>21.6</v>
      </c>
      <c r="J727" s="56" t="n">
        <v>0</v>
      </c>
      <c r="K727" s="56" t="n">
        <v>1018.6</v>
      </c>
      <c r="L727" s="56" t="n">
        <v>0</v>
      </c>
      <c r="M727" s="56" t="n">
        <v>83</v>
      </c>
      <c r="N727" s="56" t="n">
        <v>3</v>
      </c>
      <c r="O727" s="56" t="n">
        <f aca="false">IF(D727=1,"",E726)</f>
        <v>26.3</v>
      </c>
      <c r="P727" s="56" t="n">
        <f aca="false">IF(OR(D727=1,K726=""),"",K726)</f>
        <v>1015.6</v>
      </c>
      <c r="Q727" s="56" t="n">
        <f aca="false">IF(OR(F727&lt;&gt;0,AND(I727&lt;&gt;"",E727&lt;I727)),1,0)</f>
        <v>0</v>
      </c>
      <c r="R727" s="56" t="n">
        <f aca="false">IF(AND(D727&gt;1,Q727=0,ISNUMBER(O727),ISNUMBER(P727)),IF(Q726=0,1,0),0)</f>
        <v>1</v>
      </c>
      <c r="S727" s="56" t="n">
        <f aca="false">R727*(B727&gt;=Train_Start)*(B727&lt;=Train_End)</f>
        <v>1</v>
      </c>
      <c r="T727" s="84" t="n">
        <f aca="false">IF(AND(ISNUMBER(O727),ISNUMBER(P727)),Coef_A+Coef_B1*O727+Coef_B2*P727,"")</f>
        <v>25.4948611892972</v>
      </c>
      <c r="U727" s="84" t="n">
        <f aca="false">IF(AND(R727=1,ISNUMBER(T727)),E727-T727,"")</f>
        <v>0.60513881070278</v>
      </c>
      <c r="V727" s="84" t="n">
        <f aca="false">IF(ISNUMBER(T727),T727,-99)</f>
        <v>25.4948611892972</v>
      </c>
      <c r="W727" s="84" t="n">
        <f aca="false">IF(ISNUMBER(U727),ABS(U727),"")</f>
        <v>0.60513881070278</v>
      </c>
    </row>
    <row r="728" customFormat="false" ht="15" hidden="false" customHeight="false" outlineLevel="0" collapsed="false">
      <c r="A728" s="57" t="n">
        <v>30551</v>
      </c>
      <c r="B728" s="56" t="n">
        <v>1983</v>
      </c>
      <c r="C728" s="56" t="n">
        <v>8</v>
      </c>
      <c r="D728" s="56" t="n">
        <v>115</v>
      </c>
      <c r="E728" s="56" t="n">
        <v>22.4</v>
      </c>
      <c r="F728" s="56" t="n">
        <v>0</v>
      </c>
      <c r="G728" s="56" t="n">
        <v>14.9</v>
      </c>
      <c r="H728" s="56" t="n">
        <v>0</v>
      </c>
      <c r="I728" s="56" t="n">
        <v>20.5</v>
      </c>
      <c r="J728" s="56" t="n">
        <v>0</v>
      </c>
      <c r="K728" s="56" t="n">
        <v>1019.6</v>
      </c>
      <c r="L728" s="56" t="n">
        <v>0</v>
      </c>
      <c r="M728" s="56" t="n">
        <v>82</v>
      </c>
      <c r="N728" s="56" t="n">
        <v>4</v>
      </c>
      <c r="O728" s="56" t="n">
        <f aca="false">IF(D728=1,"",E727)</f>
        <v>26.1</v>
      </c>
      <c r="P728" s="56" t="n">
        <f aca="false">IF(OR(D728=1,K727=""),"",K727)</f>
        <v>1018.6</v>
      </c>
      <c r="Q728" s="56" t="n">
        <f aca="false">IF(OR(F728&lt;&gt;0,AND(I728&lt;&gt;"",E728&lt;I728)),1,0)</f>
        <v>0</v>
      </c>
      <c r="R728" s="56" t="n">
        <f aca="false">IF(AND(D728&gt;1,Q728=0,ISNUMBER(O728),ISNUMBER(P728)),IF(Q727=0,1,0),0)</f>
        <v>1</v>
      </c>
      <c r="S728" s="56" t="n">
        <f aca="false">R728*(B728&gt;=Train_Start)*(B728&lt;=Train_End)</f>
        <v>1</v>
      </c>
      <c r="T728" s="84" t="n">
        <f aca="false">IF(AND(ISNUMBER(O728),ISNUMBER(P728)),Coef_A+Coef_B1*O728+Coef_B2*P728,"")</f>
        <v>25.4251030345907</v>
      </c>
      <c r="U728" s="84" t="n">
        <f aca="false">IF(AND(R728=1,ISNUMBER(T728)),E728-T728,"")</f>
        <v>-3.02510303459066</v>
      </c>
      <c r="V728" s="84" t="n">
        <f aca="false">IF(ISNUMBER(T728),T728,-99)</f>
        <v>25.4251030345907</v>
      </c>
      <c r="W728" s="84" t="n">
        <f aca="false">IF(ISNUMBER(U728),ABS(U728),"")</f>
        <v>3.02510303459066</v>
      </c>
    </row>
    <row r="729" customFormat="false" ht="15" hidden="false" customHeight="false" outlineLevel="0" collapsed="false">
      <c r="A729" s="57" t="n">
        <v>30552</v>
      </c>
      <c r="B729" s="56" t="n">
        <v>1983</v>
      </c>
      <c r="C729" s="56" t="n">
        <v>8</v>
      </c>
      <c r="D729" s="56" t="n">
        <v>116</v>
      </c>
      <c r="E729" s="56" t="n">
        <v>26.1</v>
      </c>
      <c r="F729" s="56" t="n">
        <v>0</v>
      </c>
      <c r="G729" s="56" t="n">
        <v>16</v>
      </c>
      <c r="H729" s="56" t="n">
        <v>0</v>
      </c>
      <c r="I729" s="56" t="n">
        <v>19.2</v>
      </c>
      <c r="J729" s="56" t="n">
        <v>0</v>
      </c>
      <c r="K729" s="56" t="n">
        <v>1021.7</v>
      </c>
      <c r="L729" s="56" t="n">
        <v>0</v>
      </c>
      <c r="M729" s="56" t="n">
        <v>81</v>
      </c>
      <c r="N729" s="56" t="n">
        <v>0.4</v>
      </c>
      <c r="O729" s="56" t="n">
        <f aca="false">IF(D729=1,"",E728)</f>
        <v>22.4</v>
      </c>
      <c r="P729" s="56" t="n">
        <f aca="false">IF(OR(D729=1,K728=""),"",K728)</f>
        <v>1019.6</v>
      </c>
      <c r="Q729" s="56" t="n">
        <f aca="false">IF(OR(F729&lt;&gt;0,AND(I729&lt;&gt;"",E729&lt;I729)),1,0)</f>
        <v>0</v>
      </c>
      <c r="R729" s="56" t="n">
        <f aca="false">IF(AND(D729&gt;1,Q729=0,ISNUMBER(O729),ISNUMBER(P729)),IF(Q728=0,1,0),0)</f>
        <v>1</v>
      </c>
      <c r="S729" s="56" t="n">
        <f aca="false">R729*(B729&gt;=Train_Start)*(B729&lt;=Train_End)</f>
        <v>1</v>
      </c>
      <c r="T729" s="84" t="n">
        <f aca="false">IF(AND(ISNUMBER(O729),ISNUMBER(P729)),Coef_A+Coef_B1*O729+Coef_B2*P729,"")</f>
        <v>22.4249179149668</v>
      </c>
      <c r="U729" s="84" t="n">
        <f aca="false">IF(AND(R729=1,ISNUMBER(T729)),E729-T729,"")</f>
        <v>3.67508208503319</v>
      </c>
      <c r="V729" s="84" t="n">
        <f aca="false">IF(ISNUMBER(T729),T729,-99)</f>
        <v>22.4249179149668</v>
      </c>
      <c r="W729" s="84" t="n">
        <f aca="false">IF(ISNUMBER(U729),ABS(U729),"")</f>
        <v>3.67508208503319</v>
      </c>
    </row>
    <row r="730" customFormat="false" ht="15" hidden="false" customHeight="false" outlineLevel="0" collapsed="false">
      <c r="A730" s="57" t="n">
        <v>30553</v>
      </c>
      <c r="B730" s="56" t="n">
        <v>1983</v>
      </c>
      <c r="C730" s="56" t="n">
        <v>8</v>
      </c>
      <c r="D730" s="56" t="n">
        <v>117</v>
      </c>
      <c r="E730" s="56" t="n">
        <v>26.7</v>
      </c>
      <c r="F730" s="56" t="n">
        <v>0</v>
      </c>
      <c r="G730" s="56" t="n">
        <v>13.6</v>
      </c>
      <c r="H730" s="56" t="n">
        <v>0</v>
      </c>
      <c r="I730" s="56" t="n">
        <v>19.8</v>
      </c>
      <c r="J730" s="56" t="n">
        <v>0</v>
      </c>
      <c r="K730" s="56" t="n">
        <v>1023.5</v>
      </c>
      <c r="L730" s="56" t="n">
        <v>0</v>
      </c>
      <c r="M730" s="56" t="n">
        <v>65</v>
      </c>
      <c r="N730" s="56" t="n">
        <v>11.6</v>
      </c>
      <c r="O730" s="56" t="n">
        <f aca="false">IF(D730=1,"",E729)</f>
        <v>26.1</v>
      </c>
      <c r="P730" s="56" t="n">
        <f aca="false">IF(OR(D730=1,K729=""),"",K729)</f>
        <v>1021.7</v>
      </c>
      <c r="Q730" s="56" t="n">
        <f aca="false">IF(OR(F730&lt;&gt;0,AND(I730&lt;&gt;"",E730&lt;I730)),1,0)</f>
        <v>0</v>
      </c>
      <c r="R730" s="56" t="n">
        <f aca="false">IF(AND(D730&gt;1,Q730=0,ISNUMBER(O730),ISNUMBER(P730)),IF(Q729=0,1,0),0)</f>
        <v>1</v>
      </c>
      <c r="S730" s="56" t="n">
        <f aca="false">R730*(B730&gt;=Train_Start)*(B730&lt;=Train_End)</f>
        <v>1</v>
      </c>
      <c r="T730" s="84" t="n">
        <f aca="false">IF(AND(ISNUMBER(O730),ISNUMBER(P730)),Coef_A+Coef_B1*O730+Coef_B2*P730,"")</f>
        <v>25.522349707956</v>
      </c>
      <c r="U730" s="84" t="n">
        <f aca="false">IF(AND(R730=1,ISNUMBER(T730)),E730-T730,"")</f>
        <v>1.17765029204397</v>
      </c>
      <c r="V730" s="84" t="n">
        <f aca="false">IF(ISNUMBER(T730),T730,-99)</f>
        <v>25.522349707956</v>
      </c>
      <c r="W730" s="84" t="n">
        <f aca="false">IF(ISNUMBER(U730),ABS(U730),"")</f>
        <v>1.17765029204397</v>
      </c>
    </row>
    <row r="731" customFormat="false" ht="15" hidden="false" customHeight="false" outlineLevel="0" collapsed="false">
      <c r="A731" s="57" t="n">
        <v>30554</v>
      </c>
      <c r="B731" s="56" t="n">
        <v>1983</v>
      </c>
      <c r="C731" s="56" t="n">
        <v>8</v>
      </c>
      <c r="D731" s="56" t="n">
        <v>118</v>
      </c>
      <c r="E731" s="56" t="n">
        <v>25.9</v>
      </c>
      <c r="F731" s="56" t="n">
        <v>0</v>
      </c>
      <c r="G731" s="56" t="n">
        <v>15.3</v>
      </c>
      <c r="H731" s="56" t="n">
        <v>0</v>
      </c>
      <c r="I731" s="56" t="n">
        <v>21</v>
      </c>
      <c r="J731" s="56" t="n">
        <v>0</v>
      </c>
      <c r="K731" s="56" t="n">
        <v>1023.6</v>
      </c>
      <c r="L731" s="56" t="n">
        <v>0</v>
      </c>
      <c r="M731" s="56" t="n">
        <v>68</v>
      </c>
      <c r="N731" s="56" t="n">
        <v>9.6</v>
      </c>
      <c r="O731" s="56" t="n">
        <f aca="false">IF(D731=1,"",E730)</f>
        <v>26.7</v>
      </c>
      <c r="P731" s="56" t="n">
        <f aca="false">IF(OR(D731=1,K730=""),"",K730)</f>
        <v>1023.5</v>
      </c>
      <c r="Q731" s="56" t="n">
        <f aca="false">IF(OR(F731&lt;&gt;0,AND(I731&lt;&gt;"",E731&lt;I731)),1,0)</f>
        <v>0</v>
      </c>
      <c r="R731" s="56" t="n">
        <f aca="false">IF(AND(D731&gt;1,Q731=0,ISNUMBER(O731),ISNUMBER(P731)),IF(Q730=0,1,0),0)</f>
        <v>1</v>
      </c>
      <c r="S731" s="56" t="n">
        <f aca="false">R731*(B731&gt;=Train_Start)*(B731&lt;=Train_End)</f>
        <v>1</v>
      </c>
      <c r="T731" s="84" t="n">
        <f aca="false">IF(AND(ISNUMBER(O731),ISNUMBER(P731)),Coef_A+Coef_B1*O731+Coef_B2*P731,"")</f>
        <v>26.0704190341228</v>
      </c>
      <c r="U731" s="84" t="n">
        <f aca="false">IF(AND(R731=1,ISNUMBER(T731)),E731-T731,"")</f>
        <v>-0.170419034122801</v>
      </c>
      <c r="V731" s="84" t="n">
        <f aca="false">IF(ISNUMBER(T731),T731,-99)</f>
        <v>26.0704190341228</v>
      </c>
      <c r="W731" s="84" t="n">
        <f aca="false">IF(ISNUMBER(U731),ABS(U731),"")</f>
        <v>0.170419034122801</v>
      </c>
    </row>
    <row r="732" customFormat="false" ht="15" hidden="false" customHeight="false" outlineLevel="0" collapsed="false">
      <c r="A732" s="57" t="n">
        <v>30555</v>
      </c>
      <c r="B732" s="56" t="n">
        <v>1983</v>
      </c>
      <c r="C732" s="56" t="n">
        <v>8</v>
      </c>
      <c r="D732" s="56" t="n">
        <v>119</v>
      </c>
      <c r="E732" s="56" t="n">
        <v>21</v>
      </c>
      <c r="F732" s="56" t="n">
        <v>0</v>
      </c>
      <c r="G732" s="56" t="n">
        <v>13.2</v>
      </c>
      <c r="H732" s="56" t="n">
        <v>0</v>
      </c>
      <c r="I732" s="56" t="n">
        <v>19.6</v>
      </c>
      <c r="J732" s="56" t="n">
        <v>0</v>
      </c>
      <c r="K732" s="56" t="n">
        <v>1023.8</v>
      </c>
      <c r="L732" s="56" t="n">
        <v>0</v>
      </c>
      <c r="M732" s="56" t="n">
        <v>68</v>
      </c>
      <c r="N732" s="56" t="n">
        <v>10</v>
      </c>
      <c r="O732" s="56" t="n">
        <f aca="false">IF(D732=1,"",E731)</f>
        <v>25.9</v>
      </c>
      <c r="P732" s="56" t="n">
        <f aca="false">IF(OR(D732=1,K731=""),"",K731)</f>
        <v>1023.6</v>
      </c>
      <c r="Q732" s="56" t="n">
        <f aca="false">IF(OR(F732&lt;&gt;0,AND(I732&lt;&gt;"",E732&lt;I732)),1,0)</f>
        <v>0</v>
      </c>
      <c r="R732" s="56" t="n">
        <f aca="false">IF(AND(D732&gt;1,Q732=0,ISNUMBER(O732),ISNUMBER(P732)),IF(Q731=0,1,0),0)</f>
        <v>1</v>
      </c>
      <c r="S732" s="56" t="n">
        <f aca="false">R732*(B732&gt;=Train_Start)*(B732&lt;=Train_End)</f>
        <v>1</v>
      </c>
      <c r="T732" s="84" t="n">
        <f aca="false">IF(AND(ISNUMBER(O732),ISNUMBER(P732)),Coef_A+Coef_B1*O732+Coef_B2*P732,"")</f>
        <v>25.4180846691521</v>
      </c>
      <c r="U732" s="84" t="n">
        <f aca="false">IF(AND(R732=1,ISNUMBER(T732)),E732-T732,"")</f>
        <v>-4.41808466915207</v>
      </c>
      <c r="V732" s="84" t="n">
        <f aca="false">IF(ISNUMBER(T732),T732,-99)</f>
        <v>25.4180846691521</v>
      </c>
      <c r="W732" s="84" t="n">
        <f aca="false">IF(ISNUMBER(U732),ABS(U732),"")</f>
        <v>4.41808466915207</v>
      </c>
    </row>
    <row r="733" customFormat="false" ht="15" hidden="false" customHeight="false" outlineLevel="0" collapsed="false">
      <c r="A733" s="57" t="n">
        <v>30556</v>
      </c>
      <c r="B733" s="56" t="n">
        <v>1983</v>
      </c>
      <c r="C733" s="56" t="n">
        <v>8</v>
      </c>
      <c r="D733" s="56" t="n">
        <v>120</v>
      </c>
      <c r="E733" s="56" t="n">
        <v>19.4</v>
      </c>
      <c r="F733" s="56" t="n">
        <v>0</v>
      </c>
      <c r="G733" s="56" t="n">
        <v>14.2</v>
      </c>
      <c r="H733" s="56" t="n">
        <v>0</v>
      </c>
      <c r="I733" s="56" t="n">
        <v>17.6</v>
      </c>
      <c r="J733" s="56" t="n">
        <v>0</v>
      </c>
      <c r="K733" s="56" t="n">
        <v>1025.8</v>
      </c>
      <c r="L733" s="56" t="n">
        <v>0</v>
      </c>
      <c r="M733" s="56" t="n">
        <v>68</v>
      </c>
      <c r="N733" s="56" t="n">
        <v>4.4</v>
      </c>
      <c r="O733" s="56" t="n">
        <f aca="false">IF(D733=1,"",E732)</f>
        <v>21</v>
      </c>
      <c r="P733" s="56" t="n">
        <f aca="false">IF(OR(D733=1,K732=""),"",K732)</f>
        <v>1023.8</v>
      </c>
      <c r="Q733" s="56" t="n">
        <f aca="false">IF(OR(F733&lt;&gt;0,AND(I733&lt;&gt;"",E733&lt;I733)),1,0)</f>
        <v>0</v>
      </c>
      <c r="R733" s="56" t="n">
        <f aca="false">IF(AND(D733&gt;1,Q733=0,ISNUMBER(O733),ISNUMBER(P733)),IF(Q732=0,1,0),0)</f>
        <v>1</v>
      </c>
      <c r="S733" s="56" t="n">
        <f aca="false">R733*(B733&gt;=Train_Start)*(B733&lt;=Train_End)</f>
        <v>1</v>
      </c>
      <c r="T733" s="84" t="n">
        <f aca="false">IF(AND(ISNUMBER(O733),ISNUMBER(P733)),Coef_A+Coef_B1*O733+Coef_B2*P733,"")</f>
        <v>21.4095966021698</v>
      </c>
      <c r="U733" s="84" t="n">
        <f aca="false">IF(AND(R733=1,ISNUMBER(T733)),E733-T733,"")</f>
        <v>-2.00959660216985</v>
      </c>
      <c r="V733" s="84" t="n">
        <f aca="false">IF(ISNUMBER(T733),T733,-99)</f>
        <v>21.4095966021698</v>
      </c>
      <c r="W733" s="84" t="n">
        <f aca="false">IF(ISNUMBER(U733),ABS(U733),"")</f>
        <v>2.00959660216985</v>
      </c>
    </row>
    <row r="734" customFormat="false" ht="15" hidden="false" customHeight="false" outlineLevel="0" collapsed="false">
      <c r="A734" s="57" t="n">
        <v>30557</v>
      </c>
      <c r="B734" s="56" t="n">
        <v>1983</v>
      </c>
      <c r="C734" s="56" t="n">
        <v>8</v>
      </c>
      <c r="D734" s="56" t="n">
        <v>121</v>
      </c>
      <c r="E734" s="56" t="n">
        <v>21.7</v>
      </c>
      <c r="F734" s="56" t="n">
        <v>0</v>
      </c>
      <c r="G734" s="56" t="n">
        <v>13.7</v>
      </c>
      <c r="H734" s="56" t="n">
        <v>0</v>
      </c>
      <c r="I734" s="56" t="n">
        <v>16.6</v>
      </c>
      <c r="J734" s="56" t="n">
        <v>0</v>
      </c>
      <c r="K734" s="56" t="n">
        <v>1024.8</v>
      </c>
      <c r="L734" s="56" t="n">
        <v>0</v>
      </c>
      <c r="M734" s="56" t="n">
        <v>58</v>
      </c>
      <c r="N734" s="56" t="n">
        <v>4.9</v>
      </c>
      <c r="O734" s="56" t="n">
        <f aca="false">IF(D734=1,"",E733)</f>
        <v>19.4</v>
      </c>
      <c r="P734" s="56" t="n">
        <f aca="false">IF(OR(D734=1,K733=""),"",K733)</f>
        <v>1025.8</v>
      </c>
      <c r="Q734" s="56" t="n">
        <f aca="false">IF(OR(F734&lt;&gt;0,AND(I734&lt;&gt;"",E734&lt;I734)),1,0)</f>
        <v>0</v>
      </c>
      <c r="R734" s="56" t="n">
        <f aca="false">IF(AND(D734&gt;1,Q734=0,ISNUMBER(O734),ISNUMBER(P734)),IF(Q733=0,1,0),0)</f>
        <v>1</v>
      </c>
      <c r="S734" s="56" t="n">
        <f aca="false">R734*(B734&gt;=Train_Start)*(B734&lt;=Train_End)</f>
        <v>1</v>
      </c>
      <c r="T734" s="84" t="n">
        <f aca="false">IF(AND(ISNUMBER(O734),ISNUMBER(P734)),Coef_A+Coef_B1*O734+Coef_B2*P734,"")</f>
        <v>20.1613936825696</v>
      </c>
      <c r="U734" s="84" t="n">
        <f aca="false">IF(AND(R734=1,ISNUMBER(T734)),E734-T734,"")</f>
        <v>1.53860631743043</v>
      </c>
      <c r="V734" s="84" t="n">
        <f aca="false">IF(ISNUMBER(T734),T734,-99)</f>
        <v>20.1613936825696</v>
      </c>
      <c r="W734" s="84" t="n">
        <f aca="false">IF(ISNUMBER(U734),ABS(U734),"")</f>
        <v>1.53860631743043</v>
      </c>
    </row>
    <row r="735" customFormat="false" ht="15" hidden="false" customHeight="false" outlineLevel="0" collapsed="false">
      <c r="A735" s="57" t="n">
        <v>30558</v>
      </c>
      <c r="B735" s="56" t="n">
        <v>1983</v>
      </c>
      <c r="C735" s="56" t="n">
        <v>8</v>
      </c>
      <c r="D735" s="56" t="n">
        <v>122</v>
      </c>
      <c r="E735" s="56" t="n">
        <v>26.9</v>
      </c>
      <c r="F735" s="56" t="n">
        <v>0</v>
      </c>
      <c r="G735" s="56" t="n">
        <v>7.9</v>
      </c>
      <c r="H735" s="56" t="n">
        <v>0</v>
      </c>
      <c r="I735" s="56" t="n">
        <v>14.8</v>
      </c>
      <c r="J735" s="56" t="n">
        <v>0</v>
      </c>
      <c r="K735" s="56" t="n">
        <v>1021.1</v>
      </c>
      <c r="L735" s="56" t="n">
        <v>0</v>
      </c>
      <c r="M735" s="56" t="n">
        <v>71</v>
      </c>
      <c r="N735" s="56" t="n">
        <v>5.4</v>
      </c>
      <c r="O735" s="56" t="n">
        <f aca="false">IF(D735=1,"",E734)</f>
        <v>21.7</v>
      </c>
      <c r="P735" s="56" t="n">
        <f aca="false">IF(OR(D735=1,K734=""),"",K734)</f>
        <v>1024.8</v>
      </c>
      <c r="Q735" s="56" t="n">
        <f aca="false">IF(OR(F735&lt;&gt;0,AND(I735&lt;&gt;"",E735&lt;I735)),1,0)</f>
        <v>0</v>
      </c>
      <c r="R735" s="56" t="n">
        <f aca="false">IF(AND(D735&gt;1,Q735=0,ISNUMBER(O735),ISNUMBER(P735)),IF(Q734=0,1,0),0)</f>
        <v>1</v>
      </c>
      <c r="S735" s="56" t="n">
        <f aca="false">R735*(B735&gt;=Train_Start)*(B735&lt;=Train_End)</f>
        <v>1</v>
      </c>
      <c r="T735" s="84" t="n">
        <f aca="false">IF(AND(ISNUMBER(O735),ISNUMBER(P735)),Coef_A+Coef_B1*O735+Coef_B2*P735,"")</f>
        <v>22.0145039319337</v>
      </c>
      <c r="U735" s="84" t="n">
        <f aca="false">IF(AND(R735=1,ISNUMBER(T735)),E735-T735,"")</f>
        <v>4.8854960680663</v>
      </c>
      <c r="V735" s="84" t="n">
        <f aca="false">IF(ISNUMBER(T735),T735,-99)</f>
        <v>22.0145039319337</v>
      </c>
      <c r="W735" s="84" t="n">
        <f aca="false">IF(ISNUMBER(U735),ABS(U735),"")</f>
        <v>4.8854960680663</v>
      </c>
    </row>
    <row r="736" customFormat="false" ht="15" hidden="false" customHeight="false" outlineLevel="0" collapsed="false">
      <c r="A736" s="57" t="n">
        <v>30559</v>
      </c>
      <c r="B736" s="56" t="n">
        <v>1983</v>
      </c>
      <c r="C736" s="56" t="n">
        <v>8</v>
      </c>
      <c r="D736" s="56" t="n">
        <v>123</v>
      </c>
      <c r="E736" s="56" t="n">
        <v>22.4</v>
      </c>
      <c r="F736" s="56" t="n">
        <v>0</v>
      </c>
      <c r="G736" s="56" t="n">
        <v>13</v>
      </c>
      <c r="H736" s="56" t="n">
        <v>0</v>
      </c>
      <c r="I736" s="56" t="n">
        <v>20</v>
      </c>
      <c r="J736" s="56" t="n">
        <v>0</v>
      </c>
      <c r="K736" s="56" t="n">
        <v>1013</v>
      </c>
      <c r="L736" s="56" t="n">
        <v>0</v>
      </c>
      <c r="M736" s="56" t="n">
        <v>76</v>
      </c>
      <c r="N736" s="56" t="n">
        <v>5.5</v>
      </c>
      <c r="O736" s="56" t="n">
        <f aca="false">IF(D736=1,"",E735)</f>
        <v>26.9</v>
      </c>
      <c r="P736" s="56" t="n">
        <f aca="false">IF(OR(D736=1,K735=""),"",K735)</f>
        <v>1021.1</v>
      </c>
      <c r="Q736" s="56" t="n">
        <f aca="false">IF(OR(F736&lt;&gt;0,AND(I736&lt;&gt;"",E736&lt;I736)),1,0)</f>
        <v>0</v>
      </c>
      <c r="R736" s="56" t="n">
        <f aca="false">IF(AND(D736&gt;1,Q736=0,ISNUMBER(O736),ISNUMBER(P736)),IF(Q735=0,1,0),0)</f>
        <v>1</v>
      </c>
      <c r="S736" s="56" t="n">
        <f aca="false">R736*(B736&gt;=Train_Start)*(B736&lt;=Train_End)</f>
        <v>1</v>
      </c>
      <c r="T736" s="84" t="n">
        <f aca="false">IF(AND(ISNUMBER(O736),ISNUMBER(P736)),Coef_A+Coef_B1*O736+Coef_B2*P736,"")</f>
        <v>26.1589991256098</v>
      </c>
      <c r="U736" s="84" t="n">
        <f aca="false">IF(AND(R736=1,ISNUMBER(T736)),E736-T736,"")</f>
        <v>-3.75899912560976</v>
      </c>
      <c r="V736" s="84" t="n">
        <f aca="false">IF(ISNUMBER(T736),T736,-99)</f>
        <v>26.1589991256098</v>
      </c>
      <c r="W736" s="84" t="n">
        <f aca="false">IF(ISNUMBER(U736),ABS(U736),"")</f>
        <v>3.75899912560976</v>
      </c>
    </row>
    <row r="737" customFormat="false" ht="15" hidden="false" customHeight="false" outlineLevel="0" collapsed="false">
      <c r="A737" s="57" t="n">
        <v>30560</v>
      </c>
      <c r="B737" s="56" t="n">
        <v>1983</v>
      </c>
      <c r="C737" s="56" t="n">
        <v>9</v>
      </c>
      <c r="D737" s="56" t="n">
        <v>124</v>
      </c>
      <c r="E737" s="56" t="n">
        <v>20.6</v>
      </c>
      <c r="F737" s="56" t="n">
        <v>0</v>
      </c>
      <c r="G737" s="56" t="n">
        <v>15.2</v>
      </c>
      <c r="H737" s="56" t="n">
        <v>0</v>
      </c>
      <c r="I737" s="56" t="n">
        <v>18.8</v>
      </c>
      <c r="J737" s="56" t="n">
        <v>0</v>
      </c>
      <c r="K737" s="56" t="n">
        <v>1006.4</v>
      </c>
      <c r="L737" s="56" t="n">
        <v>0</v>
      </c>
      <c r="M737" s="56" t="n">
        <v>79</v>
      </c>
      <c r="N737" s="56" t="n">
        <v>0.4</v>
      </c>
      <c r="O737" s="56" t="n">
        <f aca="false">IF(D737=1,"",E736)</f>
        <v>22.4</v>
      </c>
      <c r="P737" s="56" t="n">
        <f aca="false">IF(OR(D737=1,K736=""),"",K736)</f>
        <v>1013</v>
      </c>
      <c r="Q737" s="56" t="n">
        <f aca="false">IF(OR(F737&lt;&gt;0,AND(I737&lt;&gt;"",E737&lt;I737)),1,0)</f>
        <v>0</v>
      </c>
      <c r="R737" s="56" t="n">
        <f aca="false">IF(AND(D737&gt;1,Q737=0,ISNUMBER(O737),ISNUMBER(P737)),IF(Q736=0,1,0),0)</f>
        <v>1</v>
      </c>
      <c r="S737" s="56" t="n">
        <f aca="false">R737*(B737&gt;=Train_Start)*(B737&lt;=Train_End)</f>
        <v>1</v>
      </c>
      <c r="T737" s="84" t="n">
        <f aca="false">IF(AND(ISNUMBER(O737),ISNUMBER(P737)),Coef_A+Coef_B1*O737+Coef_B2*P737,"")</f>
        <v>22.2178766103825</v>
      </c>
      <c r="U737" s="84" t="n">
        <f aca="false">IF(AND(R737=1,ISNUMBER(T737)),E737-T737,"")</f>
        <v>-1.61787661038248</v>
      </c>
      <c r="V737" s="84" t="n">
        <f aca="false">IF(ISNUMBER(T737),T737,-99)</f>
        <v>22.2178766103825</v>
      </c>
      <c r="W737" s="84" t="n">
        <f aca="false">IF(ISNUMBER(U737),ABS(U737),"")</f>
        <v>1.61787661038248</v>
      </c>
    </row>
    <row r="738" customFormat="false" ht="15" hidden="false" customHeight="false" outlineLevel="0" collapsed="false">
      <c r="A738" s="57" t="n">
        <v>30561</v>
      </c>
      <c r="B738" s="56" t="n">
        <v>1983</v>
      </c>
      <c r="C738" s="56" t="n">
        <v>9</v>
      </c>
      <c r="D738" s="56" t="n">
        <v>125</v>
      </c>
      <c r="E738" s="56" t="n">
        <v>19.3</v>
      </c>
      <c r="F738" s="56" t="n">
        <v>0</v>
      </c>
      <c r="G738" s="56" t="n">
        <v>11.4</v>
      </c>
      <c r="H738" s="56" t="n">
        <v>0</v>
      </c>
      <c r="I738" s="56" t="n">
        <v>16</v>
      </c>
      <c r="J738" s="56" t="n">
        <v>0</v>
      </c>
      <c r="K738" s="56" t="n">
        <v>1000.6</v>
      </c>
      <c r="L738" s="56" t="n">
        <v>0</v>
      </c>
      <c r="M738" s="56" t="n">
        <v>81</v>
      </c>
      <c r="N738" s="56" t="n">
        <v>4.9</v>
      </c>
      <c r="O738" s="56" t="n">
        <f aca="false">IF(D738=1,"",E737)</f>
        <v>20.6</v>
      </c>
      <c r="P738" s="56" t="n">
        <f aca="false">IF(OR(D738=1,K737=""),"",K737)</f>
        <v>1006.4</v>
      </c>
      <c r="Q738" s="56" t="n">
        <f aca="false">IF(OR(F738&lt;&gt;0,AND(I738&lt;&gt;"",E738&lt;I738)),1,0)</f>
        <v>0</v>
      </c>
      <c r="R738" s="56" t="n">
        <f aca="false">IF(AND(D738&gt;1,Q738=0,ISNUMBER(O738),ISNUMBER(P738)),IF(Q737=0,1,0),0)</f>
        <v>1</v>
      </c>
      <c r="S738" s="56" t="n">
        <f aca="false">R738*(B738&gt;=Train_Start)*(B738&lt;=Train_End)</f>
        <v>1</v>
      </c>
      <c r="T738" s="84" t="n">
        <f aca="false">IF(AND(ISNUMBER(O738),ISNUMBER(P738)),Coef_A+Coef_B1*O738+Coef_B2*P738,"")</f>
        <v>20.5360247583214</v>
      </c>
      <c r="U738" s="84" t="n">
        <f aca="false">IF(AND(R738=1,ISNUMBER(T738)),E738-T738,"")</f>
        <v>-1.23602475832137</v>
      </c>
      <c r="V738" s="84" t="n">
        <f aca="false">IF(ISNUMBER(T738),T738,-99)</f>
        <v>20.5360247583214</v>
      </c>
      <c r="W738" s="84" t="n">
        <f aca="false">IF(ISNUMBER(U738),ABS(U738),"")</f>
        <v>1.23602475832137</v>
      </c>
    </row>
    <row r="739" customFormat="false" ht="15" hidden="false" customHeight="false" outlineLevel="0" collapsed="false">
      <c r="A739" s="57" t="n">
        <v>30562</v>
      </c>
      <c r="B739" s="56" t="n">
        <v>1983</v>
      </c>
      <c r="C739" s="56" t="n">
        <v>9</v>
      </c>
      <c r="D739" s="56" t="n">
        <v>126</v>
      </c>
      <c r="E739" s="56" t="n">
        <v>23.4</v>
      </c>
      <c r="F739" s="56" t="n">
        <v>0</v>
      </c>
      <c r="G739" s="56" t="n">
        <v>13.3</v>
      </c>
      <c r="H739" s="56" t="n">
        <v>0</v>
      </c>
      <c r="I739" s="56" t="n">
        <v>16.3</v>
      </c>
      <c r="J739" s="56" t="n">
        <v>0</v>
      </c>
      <c r="K739" s="56" t="n">
        <v>1004</v>
      </c>
      <c r="L739" s="56" t="n">
        <v>0</v>
      </c>
      <c r="M739" s="56" t="n">
        <v>69</v>
      </c>
      <c r="N739" s="56" t="n">
        <v>1.4</v>
      </c>
      <c r="O739" s="56" t="n">
        <f aca="false">IF(D739=1,"",E738)</f>
        <v>19.3</v>
      </c>
      <c r="P739" s="56" t="n">
        <f aca="false">IF(OR(D739=1,K738=""),"",K738)</f>
        <v>1000.6</v>
      </c>
      <c r="Q739" s="56" t="n">
        <f aca="false">IF(OR(F739&lt;&gt;0,AND(I739&lt;&gt;"",E739&lt;I739)),1,0)</f>
        <v>0</v>
      </c>
      <c r="R739" s="56" t="n">
        <f aca="false">IF(AND(D739&gt;1,Q739=0,ISNUMBER(O739),ISNUMBER(P739)),IF(Q738=0,1,0),0)</f>
        <v>1</v>
      </c>
      <c r="S739" s="56" t="n">
        <f aca="false">R739*(B739&gt;=Train_Start)*(B739&lt;=Train_End)</f>
        <v>1</v>
      </c>
      <c r="T739" s="84" t="n">
        <f aca="false">IF(AND(ISNUMBER(O739),ISNUMBER(P739)),Coef_A+Coef_B1*O739+Coef_B2*P739,"")</f>
        <v>19.2889384184888</v>
      </c>
      <c r="U739" s="84" t="n">
        <f aca="false">IF(AND(R739=1,ISNUMBER(T739)),E739-T739,"")</f>
        <v>4.11106158151122</v>
      </c>
      <c r="V739" s="84" t="n">
        <f aca="false">IF(ISNUMBER(T739),T739,-99)</f>
        <v>19.2889384184888</v>
      </c>
      <c r="W739" s="84" t="n">
        <f aca="false">IF(ISNUMBER(U739),ABS(U739),"")</f>
        <v>4.11106158151122</v>
      </c>
    </row>
    <row r="740" customFormat="false" ht="15" hidden="false" customHeight="false" outlineLevel="0" collapsed="false">
      <c r="A740" s="57" t="n">
        <v>30563</v>
      </c>
      <c r="B740" s="56" t="n">
        <v>1983</v>
      </c>
      <c r="C740" s="56" t="n">
        <v>9</v>
      </c>
      <c r="D740" s="56" t="n">
        <v>127</v>
      </c>
      <c r="E740" s="56" t="n">
        <v>21.6</v>
      </c>
      <c r="F740" s="56" t="n">
        <v>0</v>
      </c>
      <c r="G740" s="56" t="n">
        <v>12.5</v>
      </c>
      <c r="H740" s="56" t="n">
        <v>0</v>
      </c>
      <c r="I740" s="56" t="n">
        <v>18</v>
      </c>
      <c r="J740" s="56" t="n">
        <v>0</v>
      </c>
      <c r="K740" s="56" t="n">
        <v>1012.6</v>
      </c>
      <c r="L740" s="56" t="n">
        <v>0</v>
      </c>
      <c r="M740" s="56" t="n">
        <v>71</v>
      </c>
      <c r="N740" s="56" t="n">
        <v>3.8</v>
      </c>
      <c r="O740" s="56" t="n">
        <f aca="false">IF(D740=1,"",E739)</f>
        <v>23.4</v>
      </c>
      <c r="P740" s="56" t="n">
        <f aca="false">IF(OR(D740=1,K739=""),"",K739)</f>
        <v>1004</v>
      </c>
      <c r="Q740" s="56" t="n">
        <f aca="false">IF(OR(F740&lt;&gt;0,AND(I740&lt;&gt;"",E740&lt;I740)),1,0)</f>
        <v>0</v>
      </c>
      <c r="R740" s="56" t="n">
        <f aca="false">IF(AND(D740&gt;1,Q740=0,ISNUMBER(O740),ISNUMBER(P740)),IF(Q739=0,1,0),0)</f>
        <v>1</v>
      </c>
      <c r="S740" s="56" t="n">
        <f aca="false">R740*(B740&gt;=Train_Start)*(B740&lt;=Train_End)</f>
        <v>1</v>
      </c>
      <c r="T740" s="84" t="n">
        <f aca="false">IF(AND(ISNUMBER(O740),ISNUMBER(P740)),Coef_A+Coef_B1*O740+Coef_B2*P740,"")</f>
        <v>22.7548867517192</v>
      </c>
      <c r="U740" s="84" t="n">
        <f aca="false">IF(AND(R740=1,ISNUMBER(T740)),E740-T740,"")</f>
        <v>-1.15488675171923</v>
      </c>
      <c r="V740" s="84" t="n">
        <f aca="false">IF(ISNUMBER(T740),T740,-99)</f>
        <v>22.7548867517192</v>
      </c>
      <c r="W740" s="84" t="n">
        <f aca="false">IF(ISNUMBER(U740),ABS(U740),"")</f>
        <v>1.15488675171923</v>
      </c>
    </row>
    <row r="741" customFormat="false" ht="15" hidden="false" customHeight="false" outlineLevel="0" collapsed="false">
      <c r="A741" s="57" t="n">
        <v>30564</v>
      </c>
      <c r="B741" s="56" t="n">
        <v>1983</v>
      </c>
      <c r="C741" s="56" t="n">
        <v>9</v>
      </c>
      <c r="D741" s="56" t="n">
        <v>128</v>
      </c>
      <c r="E741" s="56" t="n">
        <v>21</v>
      </c>
      <c r="F741" s="56" t="n">
        <v>0</v>
      </c>
      <c r="G741" s="56" t="n">
        <v>12.6</v>
      </c>
      <c r="H741" s="56" t="n">
        <v>0</v>
      </c>
      <c r="I741" s="56" t="n">
        <v>17.1</v>
      </c>
      <c r="J741" s="56" t="n">
        <v>0</v>
      </c>
      <c r="K741" s="56" t="n">
        <v>1021.1</v>
      </c>
      <c r="L741" s="56" t="n">
        <v>0</v>
      </c>
      <c r="M741" s="56" t="n">
        <v>57</v>
      </c>
      <c r="N741" s="56" t="n">
        <v>10.3</v>
      </c>
      <c r="O741" s="56" t="n">
        <f aca="false">IF(D741=1,"",E740)</f>
        <v>21.6</v>
      </c>
      <c r="P741" s="56" t="n">
        <f aca="false">IF(OR(D741=1,K740=""),"",K740)</f>
        <v>1012.6</v>
      </c>
      <c r="Q741" s="56" t="n">
        <f aca="false">IF(OR(F741&lt;&gt;0,AND(I741&lt;&gt;"",E741&lt;I741)),1,0)</f>
        <v>0</v>
      </c>
      <c r="R741" s="56" t="n">
        <f aca="false">IF(AND(D741&gt;1,Q741=0,ISNUMBER(O741),ISNUMBER(P741)),IF(Q740=0,1,0),0)</f>
        <v>1</v>
      </c>
      <c r="S741" s="56" t="n">
        <f aca="false">R741*(B741&gt;=Train_Start)*(B741&lt;=Train_End)</f>
        <v>1</v>
      </c>
      <c r="T741" s="84" t="n">
        <f aca="false">IF(AND(ISNUMBER(O741),ISNUMBER(P741)),Coef_A+Coef_B1*O741+Coef_B2*P741,"")</f>
        <v>21.5498572980948</v>
      </c>
      <c r="U741" s="84" t="n">
        <f aca="false">IF(AND(R741=1,ISNUMBER(T741)),E741-T741,"")</f>
        <v>-0.549857298094761</v>
      </c>
      <c r="V741" s="84" t="n">
        <f aca="false">IF(ISNUMBER(T741),T741,-99)</f>
        <v>21.5498572980948</v>
      </c>
      <c r="W741" s="84" t="n">
        <f aca="false">IF(ISNUMBER(U741),ABS(U741),"")</f>
        <v>0.549857298094761</v>
      </c>
    </row>
    <row r="742" customFormat="false" ht="15" hidden="false" customHeight="false" outlineLevel="0" collapsed="false">
      <c r="A742" s="57" t="n">
        <v>30565</v>
      </c>
      <c r="B742" s="56" t="n">
        <v>1983</v>
      </c>
      <c r="C742" s="56" t="n">
        <v>9</v>
      </c>
      <c r="D742" s="56" t="n">
        <v>129</v>
      </c>
      <c r="E742" s="56" t="n">
        <v>21.2</v>
      </c>
      <c r="F742" s="56" t="n">
        <v>0</v>
      </c>
      <c r="G742" s="56" t="n">
        <v>8</v>
      </c>
      <c r="H742" s="56" t="n">
        <v>0</v>
      </c>
      <c r="I742" s="56" t="n">
        <v>14.5</v>
      </c>
      <c r="J742" s="56" t="n">
        <v>0</v>
      </c>
      <c r="K742" s="56" t="n">
        <v>1025.1</v>
      </c>
      <c r="L742" s="56" t="n">
        <v>0</v>
      </c>
      <c r="M742" s="56" t="n">
        <v>63</v>
      </c>
      <c r="N742" s="56" t="n">
        <v>6.8</v>
      </c>
      <c r="O742" s="56" t="n">
        <f aca="false">IF(D742=1,"",E741)</f>
        <v>21</v>
      </c>
      <c r="P742" s="56" t="n">
        <f aca="false">IF(OR(D742=1,K741=""),"",K741)</f>
        <v>1021.1</v>
      </c>
      <c r="Q742" s="56" t="n">
        <f aca="false">IF(OR(F742&lt;&gt;0,AND(I742&lt;&gt;"",E742&lt;I742)),1,0)</f>
        <v>0</v>
      </c>
      <c r="R742" s="56" t="n">
        <f aca="false">IF(AND(D742&gt;1,Q742=0,ISNUMBER(O742),ISNUMBER(P742)),IF(Q741=0,1,0),0)</f>
        <v>1</v>
      </c>
      <c r="S742" s="56" t="n">
        <f aca="false">R742*(B742&gt;=Train_Start)*(B742&lt;=Train_End)</f>
        <v>1</v>
      </c>
      <c r="T742" s="84" t="n">
        <f aca="false">IF(AND(ISNUMBER(O742),ISNUMBER(P742)),Coef_A+Coef_B1*O742+Coef_B2*P742,"")</f>
        <v>21.3248978866581</v>
      </c>
      <c r="U742" s="84" t="n">
        <f aca="false">IF(AND(R742=1,ISNUMBER(T742)),E742-T742,"")</f>
        <v>-0.124897886658076</v>
      </c>
      <c r="V742" s="84" t="n">
        <f aca="false">IF(ISNUMBER(T742),T742,-99)</f>
        <v>21.3248978866581</v>
      </c>
      <c r="W742" s="84" t="n">
        <f aca="false">IF(ISNUMBER(U742),ABS(U742),"")</f>
        <v>0.124897886658076</v>
      </c>
    </row>
    <row r="743" customFormat="false" ht="15" hidden="false" customHeight="false" outlineLevel="0" collapsed="false">
      <c r="A743" s="57" t="n">
        <v>30566</v>
      </c>
      <c r="B743" s="56" t="n">
        <v>1983</v>
      </c>
      <c r="C743" s="56" t="n">
        <v>9</v>
      </c>
      <c r="D743" s="56" t="n">
        <v>130</v>
      </c>
      <c r="E743" s="56" t="n">
        <v>19.5</v>
      </c>
      <c r="F743" s="56" t="n">
        <v>0</v>
      </c>
      <c r="G743" s="56" t="n">
        <v>7</v>
      </c>
      <c r="H743" s="56" t="n">
        <v>0</v>
      </c>
      <c r="I743" s="56" t="n">
        <v>14.1</v>
      </c>
      <c r="J743" s="56" t="n">
        <v>0</v>
      </c>
      <c r="K743" s="56" t="n">
        <v>1022.1</v>
      </c>
      <c r="L743" s="56" t="n">
        <v>0</v>
      </c>
      <c r="M743" s="56" t="n">
        <v>62</v>
      </c>
      <c r="N743" s="56" t="n">
        <v>7.8</v>
      </c>
      <c r="O743" s="56" t="n">
        <f aca="false">IF(D743=1,"",E742)</f>
        <v>21.2</v>
      </c>
      <c r="P743" s="56" t="n">
        <f aca="false">IF(OR(D743=1,K742=""),"",K742)</f>
        <v>1025.1</v>
      </c>
      <c r="Q743" s="56" t="n">
        <f aca="false">IF(OR(F743&lt;&gt;0,AND(I743&lt;&gt;"",E743&lt;I743)),1,0)</f>
        <v>0</v>
      </c>
      <c r="R743" s="56" t="n">
        <f aca="false">IF(AND(D743&gt;1,Q743=0,ISNUMBER(O743),ISNUMBER(P743)),IF(Q742=0,1,0),0)</f>
        <v>1</v>
      </c>
      <c r="S743" s="56" t="n">
        <f aca="false">R743*(B743&gt;=Train_Start)*(B743&lt;=Train_End)</f>
        <v>1</v>
      </c>
      <c r="T743" s="84" t="n">
        <f aca="false">IF(AND(ISNUMBER(O743),ISNUMBER(P743)),Coef_A+Coef_B1*O743+Coef_B2*P743,"")</f>
        <v>21.6142453038026</v>
      </c>
      <c r="U743" s="84" t="n">
        <f aca="false">IF(AND(R743=1,ISNUMBER(T743)),E743-T743,"")</f>
        <v>-2.11424530380256</v>
      </c>
      <c r="V743" s="84" t="n">
        <f aca="false">IF(ISNUMBER(T743),T743,-99)</f>
        <v>21.6142453038026</v>
      </c>
      <c r="W743" s="84" t="n">
        <f aca="false">IF(ISNUMBER(U743),ABS(U743),"")</f>
        <v>2.11424530380256</v>
      </c>
    </row>
    <row r="744" customFormat="false" ht="15" hidden="false" customHeight="false" outlineLevel="0" collapsed="false">
      <c r="A744" s="57" t="n">
        <v>30567</v>
      </c>
      <c r="B744" s="56" t="n">
        <v>1983</v>
      </c>
      <c r="C744" s="56" t="n">
        <v>9</v>
      </c>
      <c r="D744" s="56" t="n">
        <v>131</v>
      </c>
      <c r="E744" s="56" t="n">
        <v>18.7</v>
      </c>
      <c r="F744" s="56" t="n">
        <v>0</v>
      </c>
      <c r="G744" s="56" t="n">
        <v>12</v>
      </c>
      <c r="H744" s="56" t="n">
        <v>0</v>
      </c>
      <c r="I744" s="56" t="n">
        <v>15.8</v>
      </c>
      <c r="J744" s="56" t="n">
        <v>0</v>
      </c>
      <c r="K744" s="56" t="n">
        <v>1006</v>
      </c>
      <c r="L744" s="56" t="n">
        <v>0</v>
      </c>
      <c r="M744" s="56" t="n">
        <v>77</v>
      </c>
      <c r="N744" s="56" t="n">
        <v>0.1</v>
      </c>
      <c r="O744" s="56" t="n">
        <f aca="false">IF(D744=1,"",E743)</f>
        <v>19.5</v>
      </c>
      <c r="P744" s="56" t="n">
        <f aca="false">IF(OR(D744=1,K743=""),"",K743)</f>
        <v>1022.1</v>
      </c>
      <c r="Q744" s="56" t="n">
        <f aca="false">IF(OR(F744&lt;&gt;0,AND(I744&lt;&gt;"",E744&lt;I744)),1,0)</f>
        <v>0</v>
      </c>
      <c r="R744" s="56" t="n">
        <f aca="false">IF(AND(D744&gt;1,Q744=0,ISNUMBER(O744),ISNUMBER(P744)),IF(Q743=0,1,0),0)</f>
        <v>1</v>
      </c>
      <c r="S744" s="56" t="n">
        <f aca="false">R744*(B744&gt;=Train_Start)*(B744&lt;=Train_End)</f>
        <v>1</v>
      </c>
      <c r="T744" s="84" t="n">
        <f aca="false">IF(AND(ISNUMBER(O744),ISNUMBER(P744)),Coef_A+Coef_B1*O744+Coef_B2*P744,"")</f>
        <v>20.1272589917281</v>
      </c>
      <c r="U744" s="84" t="n">
        <f aca="false">IF(AND(R744=1,ISNUMBER(T744)),E744-T744,"")</f>
        <v>-1.42725899172808</v>
      </c>
      <c r="V744" s="84" t="n">
        <f aca="false">IF(ISNUMBER(T744),T744,-99)</f>
        <v>20.1272589917281</v>
      </c>
      <c r="W744" s="84" t="n">
        <f aca="false">IF(ISNUMBER(U744),ABS(U744),"")</f>
        <v>1.42725899172808</v>
      </c>
    </row>
    <row r="745" customFormat="false" ht="15" hidden="false" customHeight="false" outlineLevel="0" collapsed="false">
      <c r="A745" s="57" t="n">
        <v>30568</v>
      </c>
      <c r="B745" s="56" t="n">
        <v>1983</v>
      </c>
      <c r="C745" s="56" t="n">
        <v>9</v>
      </c>
      <c r="D745" s="56" t="n">
        <v>132</v>
      </c>
      <c r="E745" s="56" t="n">
        <v>18.1</v>
      </c>
      <c r="F745" s="56" t="n">
        <v>0</v>
      </c>
      <c r="G745" s="56" t="n">
        <v>13</v>
      </c>
      <c r="H745" s="56" t="n">
        <v>0</v>
      </c>
      <c r="I745" s="56" t="n">
        <v>15.8</v>
      </c>
      <c r="J745" s="56" t="n">
        <v>0</v>
      </c>
      <c r="K745" s="56" t="n">
        <v>997.8</v>
      </c>
      <c r="L745" s="56" t="n">
        <v>0</v>
      </c>
      <c r="M745" s="56" t="n">
        <v>80</v>
      </c>
      <c r="N745" s="56" t="n">
        <v>0.2</v>
      </c>
      <c r="O745" s="56" t="n">
        <f aca="false">IF(D745=1,"",E744)</f>
        <v>18.7</v>
      </c>
      <c r="P745" s="56" t="n">
        <f aca="false">IF(OR(D745=1,K744=""),"",K744)</f>
        <v>1006</v>
      </c>
      <c r="Q745" s="56" t="n">
        <f aca="false">IF(OR(F745&lt;&gt;0,AND(I745&lt;&gt;"",E745&lt;I745)),1,0)</f>
        <v>0</v>
      </c>
      <c r="R745" s="56" t="n">
        <f aca="false">IF(AND(D745&gt;1,Q745=0,ISNUMBER(O745),ISNUMBER(P745)),IF(Q744=0,1,0),0)</f>
        <v>1</v>
      </c>
      <c r="S745" s="56" t="n">
        <f aca="false">R745*(B745&gt;=Train_Start)*(B745&lt;=Train_End)</f>
        <v>1</v>
      </c>
      <c r="T745" s="84" t="n">
        <f aca="false">IF(AND(ISNUMBER(O745),ISNUMBER(P745)),Coef_A+Coef_B1*O745+Coef_B2*P745,"")</f>
        <v>18.9667323336867</v>
      </c>
      <c r="U745" s="84" t="n">
        <f aca="false">IF(AND(R745=1,ISNUMBER(T745)),E745-T745,"")</f>
        <v>-0.86673233368672</v>
      </c>
      <c r="V745" s="84" t="n">
        <f aca="false">IF(ISNUMBER(T745),T745,-99)</f>
        <v>18.9667323336867</v>
      </c>
      <c r="W745" s="84" t="n">
        <f aca="false">IF(ISNUMBER(U745),ABS(U745),"")</f>
        <v>0.86673233368672</v>
      </c>
    </row>
    <row r="746" customFormat="false" ht="15" hidden="false" customHeight="false" outlineLevel="0" collapsed="false">
      <c r="A746" s="57" t="n">
        <v>30569</v>
      </c>
      <c r="B746" s="56" t="n">
        <v>1983</v>
      </c>
      <c r="C746" s="56" t="n">
        <v>9</v>
      </c>
      <c r="D746" s="56" t="n">
        <v>133</v>
      </c>
      <c r="E746" s="56" t="n">
        <v>14.1</v>
      </c>
      <c r="F746" s="56" t="n">
        <v>1</v>
      </c>
      <c r="G746" s="56" t="n">
        <v>11.4</v>
      </c>
      <c r="H746" s="56" t="n">
        <v>0</v>
      </c>
      <c r="I746" s="56" t="n">
        <v>14.8</v>
      </c>
      <c r="J746" s="56" t="n">
        <v>1</v>
      </c>
      <c r="K746" s="56" t="n">
        <v>993.5</v>
      </c>
      <c r="L746" s="56" t="n">
        <v>0</v>
      </c>
      <c r="M746" s="56" t="n">
        <v>80</v>
      </c>
      <c r="N746" s="56" t="n">
        <v>4.6</v>
      </c>
      <c r="O746" s="56" t="n">
        <f aca="false">IF(D746=1,"",E745)</f>
        <v>18.1</v>
      </c>
      <c r="P746" s="56" t="n">
        <f aca="false">IF(OR(D746=1,K745=""),"",K745)</f>
        <v>997.8</v>
      </c>
      <c r="Q746" s="56" t="n">
        <f aca="false">IF(OR(F746&lt;&gt;0,AND(I746&lt;&gt;"",E746&lt;I746)),1,0)</f>
        <v>1</v>
      </c>
      <c r="R746" s="56" t="n">
        <f aca="false">IF(AND(D746&gt;1,Q746=0,ISNUMBER(O746),ISNUMBER(P746)),IF(Q745=0,1,0),0)</f>
        <v>0</v>
      </c>
      <c r="S746" s="56" t="n">
        <f aca="false">R746*(B746&gt;=Train_Start)*(B746&lt;=Train_End)</f>
        <v>0</v>
      </c>
      <c r="T746" s="84" t="n">
        <f aca="false">IF(AND(ISNUMBER(O746),ISNUMBER(P746)),Coef_A+Coef_B1*O746+Coef_B2*P746,"")</f>
        <v>18.2178956818624</v>
      </c>
      <c r="U746" s="84" t="str">
        <f aca="false">IF(AND(R746=1,ISNUMBER(T746)),E746-T746,"")</f>
        <v/>
      </c>
      <c r="V746" s="84" t="n">
        <f aca="false">IF(ISNUMBER(T746),T746,-99)</f>
        <v>18.2178956818624</v>
      </c>
      <c r="W746" s="84" t="str">
        <f aca="false">IF(ISNUMBER(U746),ABS(U746),"")</f>
        <v/>
      </c>
    </row>
    <row r="747" customFormat="false" ht="15" hidden="false" customHeight="false" outlineLevel="0" collapsed="false">
      <c r="A747" s="57" t="n">
        <v>30570</v>
      </c>
      <c r="B747" s="56" t="n">
        <v>1983</v>
      </c>
      <c r="C747" s="56" t="n">
        <v>9</v>
      </c>
      <c r="D747" s="56" t="n">
        <v>134</v>
      </c>
      <c r="E747" s="56" t="n">
        <v>15.9</v>
      </c>
      <c r="F747" s="56" t="n">
        <v>0</v>
      </c>
      <c r="G747" s="56" t="n">
        <v>9.2</v>
      </c>
      <c r="H747" s="56" t="n">
        <v>0</v>
      </c>
      <c r="I747" s="56" t="n">
        <v>11.6</v>
      </c>
      <c r="J747" s="56" t="n">
        <v>0</v>
      </c>
      <c r="K747" s="56" t="n">
        <v>1002.9</v>
      </c>
      <c r="L747" s="56" t="n">
        <v>0</v>
      </c>
      <c r="M747" s="56" t="n">
        <v>82</v>
      </c>
      <c r="N747" s="56" t="n">
        <v>0</v>
      </c>
      <c r="O747" s="56" t="n">
        <f aca="false">IF(D747=1,"",E746)</f>
        <v>14.1</v>
      </c>
      <c r="P747" s="56" t="n">
        <f aca="false">IF(OR(D747=1,K746=""),"",K746)</f>
        <v>993.5</v>
      </c>
      <c r="Q747" s="56" t="n">
        <f aca="false">IF(OR(F747&lt;&gt;0,AND(I747&lt;&gt;"",E747&lt;I747)),1,0)</f>
        <v>0</v>
      </c>
      <c r="R747" s="56" t="n">
        <f aca="false">IF(AND(D747&gt;1,Q747=0,ISNUMBER(O747),ISNUMBER(P747)),IF(Q746=0,1,0),0)</f>
        <v>0</v>
      </c>
      <c r="S747" s="56" t="n">
        <f aca="false">R747*(B747&gt;=Train_Start)*(B747&lt;=Train_End)</f>
        <v>0</v>
      </c>
      <c r="T747" s="84" t="n">
        <f aca="false">IF(AND(ISNUMBER(O747),ISNUMBER(P747)),Coef_A+Coef_B1*O747+Coef_B2*P747,"")</f>
        <v>14.8056483627656</v>
      </c>
      <c r="U747" s="84" t="str">
        <f aca="false">IF(AND(R747=1,ISNUMBER(T747)),E747-T747,"")</f>
        <v/>
      </c>
      <c r="V747" s="84" t="n">
        <f aca="false">IF(ISNUMBER(T747),T747,-99)</f>
        <v>14.8056483627656</v>
      </c>
      <c r="W747" s="84" t="str">
        <f aca="false">IF(ISNUMBER(U747),ABS(U747),"")</f>
        <v/>
      </c>
    </row>
    <row r="748" customFormat="false" ht="15" hidden="false" customHeight="false" outlineLevel="0" collapsed="false">
      <c r="A748" s="57" t="n">
        <v>30571</v>
      </c>
      <c r="B748" s="56" t="n">
        <v>1983</v>
      </c>
      <c r="C748" s="56" t="n">
        <v>9</v>
      </c>
      <c r="D748" s="56" t="n">
        <v>135</v>
      </c>
      <c r="E748" s="56" t="n">
        <v>16</v>
      </c>
      <c r="F748" s="56" t="n">
        <v>0</v>
      </c>
      <c r="G748" s="56" t="n">
        <v>8.9</v>
      </c>
      <c r="H748" s="56" t="n">
        <v>0</v>
      </c>
      <c r="I748" s="56" t="n">
        <v>12.4</v>
      </c>
      <c r="J748" s="56" t="n">
        <v>0</v>
      </c>
      <c r="K748" s="56" t="n">
        <v>1013.1</v>
      </c>
      <c r="L748" s="56" t="n">
        <v>0</v>
      </c>
      <c r="M748" s="56" t="n">
        <v>65</v>
      </c>
      <c r="N748" s="56" t="n">
        <v>4.7</v>
      </c>
      <c r="O748" s="56" t="n">
        <f aca="false">IF(D748=1,"",E747)</f>
        <v>15.9</v>
      </c>
      <c r="P748" s="56" t="n">
        <f aca="false">IF(OR(D748=1,K747=""),"",K747)</f>
        <v>1002.9</v>
      </c>
      <c r="Q748" s="56" t="n">
        <f aca="false">IF(OR(F748&lt;&gt;0,AND(I748&lt;&gt;"",E748&lt;I748)),1,0)</f>
        <v>0</v>
      </c>
      <c r="R748" s="56" t="n">
        <f aca="false">IF(AND(D748&gt;1,Q748=0,ISNUMBER(O748),ISNUMBER(P748)),IF(Q747=0,1,0),0)</f>
        <v>1</v>
      </c>
      <c r="S748" s="56" t="n">
        <f aca="false">R748*(B748&gt;=Train_Start)*(B748&lt;=Train_End)</f>
        <v>1</v>
      </c>
      <c r="T748" s="84" t="n">
        <f aca="false">IF(AND(ISNUMBER(O748),ISNUMBER(P748)),Coef_A+Coef_B1*O748+Coef_B2*P748,"")</f>
        <v>16.5753359198019</v>
      </c>
      <c r="U748" s="84" t="n">
        <f aca="false">IF(AND(R748=1,ISNUMBER(T748)),E748-T748,"")</f>
        <v>-0.575335919801916</v>
      </c>
      <c r="V748" s="84" t="n">
        <f aca="false">IF(ISNUMBER(T748),T748,-99)</f>
        <v>16.5753359198019</v>
      </c>
      <c r="W748" s="84" t="n">
        <f aca="false">IF(ISNUMBER(U748),ABS(U748),"")</f>
        <v>0.575335919801916</v>
      </c>
    </row>
    <row r="749" customFormat="false" ht="15" hidden="false" customHeight="false" outlineLevel="0" collapsed="false">
      <c r="A749" s="57" t="n">
        <v>30572</v>
      </c>
      <c r="B749" s="56" t="n">
        <v>1983</v>
      </c>
      <c r="C749" s="56" t="n">
        <v>9</v>
      </c>
      <c r="D749" s="56" t="n">
        <v>136</v>
      </c>
      <c r="E749" s="56" t="n">
        <v>19</v>
      </c>
      <c r="F749" s="56" t="n">
        <v>0</v>
      </c>
      <c r="G749" s="56" t="n">
        <v>9.5</v>
      </c>
      <c r="H749" s="56" t="n">
        <v>0</v>
      </c>
      <c r="I749" s="56" t="n">
        <v>12.8</v>
      </c>
      <c r="J749" s="56" t="n">
        <v>0</v>
      </c>
      <c r="K749" s="56" t="n">
        <v>1012.6</v>
      </c>
      <c r="L749" s="56" t="n">
        <v>0</v>
      </c>
      <c r="M749" s="56" t="n">
        <v>82</v>
      </c>
      <c r="N749" s="56" t="n">
        <v>0</v>
      </c>
      <c r="O749" s="56" t="n">
        <f aca="false">IF(D749=1,"",E748)</f>
        <v>16</v>
      </c>
      <c r="P749" s="56" t="n">
        <f aca="false">IF(OR(D749=1,K748=""),"",K748)</f>
        <v>1013.1</v>
      </c>
      <c r="Q749" s="56" t="n">
        <f aca="false">IF(OR(F749&lt;&gt;0,AND(I749&lt;&gt;"",E749&lt;I749)),1,0)</f>
        <v>0</v>
      </c>
      <c r="R749" s="56" t="n">
        <f aca="false">IF(AND(D749&gt;1,Q749=0,ISNUMBER(O749),ISNUMBER(P749)),IF(Q748=0,1,0),0)</f>
        <v>1</v>
      </c>
      <c r="S749" s="56" t="n">
        <f aca="false">R749*(B749&gt;=Train_Start)*(B749&lt;=Train_End)</f>
        <v>1</v>
      </c>
      <c r="T749" s="84" t="n">
        <f aca="false">IF(AND(ISNUMBER(O749),ISNUMBER(P749)),Coef_A+Coef_B1*O749+Coef_B2*P749,"")</f>
        <v>16.9772427643729</v>
      </c>
      <c r="U749" s="84" t="n">
        <f aca="false">IF(AND(R749=1,ISNUMBER(T749)),E749-T749,"")</f>
        <v>2.02275723562713</v>
      </c>
      <c r="V749" s="84" t="n">
        <f aca="false">IF(ISNUMBER(T749),T749,-99)</f>
        <v>16.9772427643729</v>
      </c>
      <c r="W749" s="84" t="n">
        <f aca="false">IF(ISNUMBER(U749),ABS(U749),"")</f>
        <v>2.02275723562713</v>
      </c>
    </row>
    <row r="750" customFormat="false" ht="15" hidden="false" customHeight="false" outlineLevel="0" collapsed="false">
      <c r="A750" s="57" t="n">
        <v>30573</v>
      </c>
      <c r="B750" s="56" t="n">
        <v>1983</v>
      </c>
      <c r="C750" s="56" t="n">
        <v>9</v>
      </c>
      <c r="D750" s="56" t="n">
        <v>137</v>
      </c>
      <c r="E750" s="56" t="n">
        <v>18.2</v>
      </c>
      <c r="F750" s="56" t="n">
        <v>0</v>
      </c>
      <c r="G750" s="56" t="n">
        <v>10.8</v>
      </c>
      <c r="H750" s="56" t="n">
        <v>0</v>
      </c>
      <c r="I750" s="56" t="n">
        <v>14.9</v>
      </c>
      <c r="J750" s="56" t="n">
        <v>0</v>
      </c>
      <c r="K750" s="56" t="n">
        <v>1007.5</v>
      </c>
      <c r="L750" s="56" t="n">
        <v>0</v>
      </c>
      <c r="M750" s="56" t="n">
        <v>87</v>
      </c>
      <c r="N750" s="56" t="n">
        <v>0.9</v>
      </c>
      <c r="O750" s="56" t="n">
        <f aca="false">IF(D750=1,"",E749)</f>
        <v>19</v>
      </c>
      <c r="P750" s="56" t="n">
        <f aca="false">IF(OR(D750=1,K749=""),"",K749)</f>
        <v>1012.6</v>
      </c>
      <c r="Q750" s="56" t="n">
        <f aca="false">IF(OR(F750&lt;&gt;0,AND(I750&lt;&gt;"",E750&lt;I750)),1,0)</f>
        <v>0</v>
      </c>
      <c r="R750" s="56" t="n">
        <f aca="false">IF(AND(D750&gt;1,Q750=0,ISNUMBER(O750),ISNUMBER(P750)),IF(Q749=0,1,0),0)</f>
        <v>1</v>
      </c>
      <c r="S750" s="56" t="n">
        <f aca="false">R750*(B750&gt;=Train_Start)*(B750&lt;=Train_End)</f>
        <v>1</v>
      </c>
      <c r="T750" s="84" t="n">
        <f aca="false">IF(AND(ISNUMBER(O750),ISNUMBER(P750)),Coef_A+Coef_B1*O750+Coef_B2*P750,"")</f>
        <v>19.4195753961839</v>
      </c>
      <c r="U750" s="84" t="n">
        <f aca="false">IF(AND(R750=1,ISNUMBER(T750)),E750-T750,"")</f>
        <v>-1.21957539618385</v>
      </c>
      <c r="V750" s="84" t="n">
        <f aca="false">IF(ISNUMBER(T750),T750,-99)</f>
        <v>19.4195753961839</v>
      </c>
      <c r="W750" s="84" t="n">
        <f aca="false">IF(ISNUMBER(U750),ABS(U750),"")</f>
        <v>1.21957539618385</v>
      </c>
    </row>
    <row r="751" customFormat="false" ht="15" hidden="false" customHeight="false" outlineLevel="0" collapsed="false">
      <c r="A751" s="57" t="n">
        <v>30574</v>
      </c>
      <c r="B751" s="56" t="n">
        <v>1983</v>
      </c>
      <c r="C751" s="56" t="n">
        <v>9</v>
      </c>
      <c r="D751" s="56" t="n">
        <v>138</v>
      </c>
      <c r="E751" s="56" t="n">
        <v>17.8</v>
      </c>
      <c r="F751" s="56" t="n">
        <v>0</v>
      </c>
      <c r="G751" s="56" t="n">
        <v>13.5</v>
      </c>
      <c r="H751" s="56" t="n">
        <v>0</v>
      </c>
      <c r="I751" s="56" t="n">
        <v>15.8</v>
      </c>
      <c r="J751" s="56" t="n">
        <v>0</v>
      </c>
      <c r="K751" s="56" t="n">
        <v>995.6</v>
      </c>
      <c r="L751" s="56" t="n">
        <v>0</v>
      </c>
      <c r="M751" s="56" t="n">
        <v>84</v>
      </c>
      <c r="N751" s="56" t="n">
        <v>5.8</v>
      </c>
      <c r="O751" s="56" t="n">
        <f aca="false">IF(D751=1,"",E750)</f>
        <v>18.2</v>
      </c>
      <c r="P751" s="56" t="n">
        <f aca="false">IF(OR(D751=1,K750=""),"",K750)</f>
        <v>1007.5</v>
      </c>
      <c r="Q751" s="56" t="n">
        <f aca="false">IF(OR(F751&lt;&gt;0,AND(I751&lt;&gt;"",E751&lt;I751)),1,0)</f>
        <v>0</v>
      </c>
      <c r="R751" s="56" t="n">
        <f aca="false">IF(AND(D751&gt;1,Q751=0,ISNUMBER(O751),ISNUMBER(P751)),IF(Q750=0,1,0),0)</f>
        <v>1</v>
      </c>
      <c r="S751" s="56" t="n">
        <f aca="false">R751*(B751&gt;=Train_Start)*(B751&lt;=Train_End)</f>
        <v>1</v>
      </c>
      <c r="T751" s="84" t="n">
        <f aca="false">IF(AND(ISNUMBER(O751),ISNUMBER(P751)),Coef_A+Coef_B1*O751+Coef_B2*P751,"")</f>
        <v>18.6041175791164</v>
      </c>
      <c r="U751" s="84" t="n">
        <f aca="false">IF(AND(R751=1,ISNUMBER(T751)),E751-T751,"")</f>
        <v>-0.804117579116376</v>
      </c>
      <c r="V751" s="84" t="n">
        <f aca="false">IF(ISNUMBER(T751),T751,-99)</f>
        <v>18.6041175791164</v>
      </c>
      <c r="W751" s="84" t="n">
        <f aca="false">IF(ISNUMBER(U751),ABS(U751),"")</f>
        <v>0.804117579116376</v>
      </c>
    </row>
    <row r="752" customFormat="false" ht="15" hidden="false" customHeight="false" outlineLevel="0" collapsed="false">
      <c r="A752" s="57" t="n">
        <v>30575</v>
      </c>
      <c r="B752" s="56" t="n">
        <v>1983</v>
      </c>
      <c r="C752" s="56" t="n">
        <v>9</v>
      </c>
      <c r="D752" s="56" t="n">
        <v>139</v>
      </c>
      <c r="E752" s="56" t="n">
        <v>19</v>
      </c>
      <c r="F752" s="56" t="n">
        <v>0</v>
      </c>
      <c r="G752" s="56" t="n">
        <v>11.5</v>
      </c>
      <c r="H752" s="56" t="n">
        <v>0</v>
      </c>
      <c r="I752" s="56" t="n">
        <v>14.6</v>
      </c>
      <c r="J752" s="56" t="n">
        <v>0</v>
      </c>
      <c r="K752" s="56" t="n">
        <v>993.1</v>
      </c>
      <c r="L752" s="56" t="n">
        <v>0</v>
      </c>
      <c r="M752" s="56" t="n">
        <v>78</v>
      </c>
      <c r="N752" s="56" t="n">
        <v>4.1</v>
      </c>
      <c r="O752" s="56" t="n">
        <f aca="false">IF(D752=1,"",E751)</f>
        <v>17.8</v>
      </c>
      <c r="P752" s="56" t="n">
        <f aca="false">IF(OR(D752=1,K751=""),"",K751)</f>
        <v>995.6</v>
      </c>
      <c r="Q752" s="56" t="n">
        <f aca="false">IF(OR(F752&lt;&gt;0,AND(I752&lt;&gt;"",E752&lt;I752)),1,0)</f>
        <v>0</v>
      </c>
      <c r="R752" s="56" t="n">
        <f aca="false">IF(AND(D752&gt;1,Q752=0,ISNUMBER(O752),ISNUMBER(P752)),IF(Q751=0,1,0),0)</f>
        <v>1</v>
      </c>
      <c r="S752" s="56" t="n">
        <f aca="false">R752*(B752&gt;=Train_Start)*(B752&lt;=Train_End)</f>
        <v>1</v>
      </c>
      <c r="T752" s="84" t="n">
        <f aca="false">IF(AND(ISNUMBER(O752),ISNUMBER(P752)),Coef_A+Coef_B1*O752+Coef_B2*P752,"")</f>
        <v>17.9030801557548</v>
      </c>
      <c r="U752" s="84" t="n">
        <f aca="false">IF(AND(R752=1,ISNUMBER(T752)),E752-T752,"")</f>
        <v>1.09691984424516</v>
      </c>
      <c r="V752" s="84" t="n">
        <f aca="false">IF(ISNUMBER(T752),T752,-99)</f>
        <v>17.9030801557548</v>
      </c>
      <c r="W752" s="84" t="n">
        <f aca="false">IF(ISNUMBER(U752),ABS(U752),"")</f>
        <v>1.09691984424516</v>
      </c>
    </row>
    <row r="753" customFormat="false" ht="15" hidden="false" customHeight="false" outlineLevel="0" collapsed="false">
      <c r="A753" s="57" t="n">
        <v>30576</v>
      </c>
      <c r="B753" s="56" t="n">
        <v>1983</v>
      </c>
      <c r="C753" s="56" t="n">
        <v>9</v>
      </c>
      <c r="D753" s="56" t="n">
        <v>140</v>
      </c>
      <c r="E753" s="56" t="n">
        <v>17.6</v>
      </c>
      <c r="F753" s="56" t="n">
        <v>0</v>
      </c>
      <c r="G753" s="56" t="n">
        <v>11</v>
      </c>
      <c r="H753" s="56" t="n">
        <v>0</v>
      </c>
      <c r="I753" s="56" t="n">
        <v>15</v>
      </c>
      <c r="J753" s="56" t="n">
        <v>0</v>
      </c>
      <c r="K753" s="56" t="n">
        <v>1004.2</v>
      </c>
      <c r="L753" s="56" t="n">
        <v>0</v>
      </c>
      <c r="M753" s="56" t="n">
        <v>68</v>
      </c>
      <c r="N753" s="56" t="n">
        <v>4.8</v>
      </c>
      <c r="O753" s="56" t="n">
        <f aca="false">IF(D753=1,"",E752)</f>
        <v>19</v>
      </c>
      <c r="P753" s="56" t="n">
        <f aca="false">IF(OR(D753=1,K752=""),"",K752)</f>
        <v>993.1</v>
      </c>
      <c r="Q753" s="56" t="n">
        <f aca="false">IF(OR(F753&lt;&gt;0,AND(I753&lt;&gt;"",E753&lt;I753)),1,0)</f>
        <v>0</v>
      </c>
      <c r="R753" s="56" t="n">
        <f aca="false">IF(AND(D753&gt;1,Q753=0,ISNUMBER(O753),ISNUMBER(P753)),IF(Q752=0,1,0),0)</f>
        <v>1</v>
      </c>
      <c r="S753" s="56" t="n">
        <f aca="false">R753*(B753&gt;=Train_Start)*(B753&lt;=Train_End)</f>
        <v>1</v>
      </c>
      <c r="T753" s="84" t="n">
        <f aca="false">IF(AND(ISNUMBER(O753),ISNUMBER(P753)),Coef_A+Coef_B1*O753+Coef_B2*P753,"")</f>
        <v>18.8078624508211</v>
      </c>
      <c r="U753" s="84" t="n">
        <f aca="false">IF(AND(R753=1,ISNUMBER(T753)),E753-T753,"")</f>
        <v>-1.20786245082105</v>
      </c>
      <c r="V753" s="84" t="n">
        <f aca="false">IF(ISNUMBER(T753),T753,-99)</f>
        <v>18.8078624508211</v>
      </c>
      <c r="W753" s="84" t="n">
        <f aca="false">IF(ISNUMBER(U753),ABS(U753),"")</f>
        <v>1.20786245082105</v>
      </c>
    </row>
    <row r="754" customFormat="false" ht="15" hidden="false" customHeight="false" outlineLevel="0" collapsed="false">
      <c r="A754" s="57" t="n">
        <v>30577</v>
      </c>
      <c r="B754" s="56" t="n">
        <v>1983</v>
      </c>
      <c r="C754" s="56" t="n">
        <v>9</v>
      </c>
      <c r="D754" s="56" t="n">
        <v>141</v>
      </c>
      <c r="E754" s="56" t="n">
        <v>19.1</v>
      </c>
      <c r="F754" s="56" t="n">
        <v>0</v>
      </c>
      <c r="G754" s="56" t="n">
        <v>12.1</v>
      </c>
      <c r="H754" s="56" t="n">
        <v>0</v>
      </c>
      <c r="I754" s="56" t="n">
        <v>14.8</v>
      </c>
      <c r="J754" s="56" t="n">
        <v>0</v>
      </c>
      <c r="K754" s="56" t="n">
        <v>1005.7</v>
      </c>
      <c r="L754" s="56" t="n">
        <v>0</v>
      </c>
      <c r="M754" s="56" t="n">
        <v>82</v>
      </c>
      <c r="N754" s="56" t="n">
        <v>1.2</v>
      </c>
      <c r="O754" s="56" t="n">
        <f aca="false">IF(D754=1,"",E753)</f>
        <v>17.6</v>
      </c>
      <c r="P754" s="56" t="n">
        <f aca="false">IF(OR(D754=1,K753=""),"",K753)</f>
        <v>1004.2</v>
      </c>
      <c r="Q754" s="56" t="n">
        <f aca="false">IF(OR(F754&lt;&gt;0,AND(I754&lt;&gt;"",E754&lt;I754)),1,0)</f>
        <v>0</v>
      </c>
      <c r="R754" s="56" t="n">
        <f aca="false">IF(AND(D754&gt;1,Q754=0,ISNUMBER(O754),ISNUMBER(P754)),IF(Q753=0,1,0),0)</f>
        <v>1</v>
      </c>
      <c r="S754" s="56" t="n">
        <f aca="false">R754*(B754&gt;=Train_Start)*(B754&lt;=Train_End)</f>
        <v>1</v>
      </c>
      <c r="T754" s="84" t="n">
        <f aca="false">IF(AND(ISNUMBER(O754),ISNUMBER(P754)),Coef_A+Coef_B1*O754+Coef_B2*P754,"")</f>
        <v>18.0089934109986</v>
      </c>
      <c r="U754" s="84" t="n">
        <f aca="false">IF(AND(R754=1,ISNUMBER(T754)),E754-T754,"")</f>
        <v>1.09100658900138</v>
      </c>
      <c r="V754" s="84" t="n">
        <f aca="false">IF(ISNUMBER(T754),T754,-99)</f>
        <v>18.0089934109986</v>
      </c>
      <c r="W754" s="84" t="n">
        <f aca="false">IF(ISNUMBER(U754),ABS(U754),"")</f>
        <v>1.09100658900138</v>
      </c>
    </row>
    <row r="755" customFormat="false" ht="15" hidden="false" customHeight="false" outlineLevel="0" collapsed="false">
      <c r="A755" s="57" t="n">
        <v>30578</v>
      </c>
      <c r="B755" s="56" t="n">
        <v>1983</v>
      </c>
      <c r="C755" s="56" t="n">
        <v>9</v>
      </c>
      <c r="D755" s="56" t="n">
        <v>142</v>
      </c>
      <c r="E755" s="56" t="n">
        <v>17</v>
      </c>
      <c r="F755" s="56" t="n">
        <v>0</v>
      </c>
      <c r="G755" s="56" t="n">
        <v>11</v>
      </c>
      <c r="H755" s="56" t="n">
        <v>0</v>
      </c>
      <c r="I755" s="56" t="n">
        <v>15</v>
      </c>
      <c r="J755" s="56" t="n">
        <v>0</v>
      </c>
      <c r="K755" s="56" t="n">
        <v>1012.4</v>
      </c>
      <c r="L755" s="56" t="n">
        <v>0</v>
      </c>
      <c r="M755" s="56" t="n">
        <v>74</v>
      </c>
      <c r="N755" s="56" t="n">
        <v>7.8</v>
      </c>
      <c r="O755" s="56" t="n">
        <f aca="false">IF(D755=1,"",E754)</f>
        <v>19.1</v>
      </c>
      <c r="P755" s="56" t="n">
        <f aca="false">IF(OR(D755=1,K754=""),"",K754)</f>
        <v>1005.7</v>
      </c>
      <c r="Q755" s="56" t="n">
        <f aca="false">IF(OR(F755&lt;&gt;0,AND(I755&lt;&gt;"",E755&lt;I755)),1,0)</f>
        <v>0</v>
      </c>
      <c r="R755" s="56" t="n">
        <f aca="false">IF(AND(D755&gt;1,Q755=0,ISNUMBER(O755),ISNUMBER(P755)),IF(Q754=0,1,0),0)</f>
        <v>1</v>
      </c>
      <c r="S755" s="56" t="n">
        <f aca="false">R755*(B755&gt;=Train_Start)*(B755&lt;=Train_End)</f>
        <v>1</v>
      </c>
      <c r="T755" s="84" t="n">
        <f aca="false">IF(AND(ISNUMBER(O755),ISNUMBER(P755)),Coef_A+Coef_B1*O755+Coef_B2*P755,"")</f>
        <v>19.2850570425136</v>
      </c>
      <c r="U755" s="84" t="n">
        <f aca="false">IF(AND(R755=1,ISNUMBER(T755)),E755-T755,"")</f>
        <v>-2.28505704251359</v>
      </c>
      <c r="V755" s="84" t="n">
        <f aca="false">IF(ISNUMBER(T755),T755,-99)</f>
        <v>19.2850570425136</v>
      </c>
      <c r="W755" s="84" t="n">
        <f aca="false">IF(ISNUMBER(U755),ABS(U755),"")</f>
        <v>2.28505704251359</v>
      </c>
    </row>
    <row r="756" customFormat="false" ht="15" hidden="false" customHeight="false" outlineLevel="0" collapsed="false">
      <c r="A756" s="57" t="n">
        <v>30579</v>
      </c>
      <c r="B756" s="56" t="n">
        <v>1983</v>
      </c>
      <c r="C756" s="56" t="n">
        <v>9</v>
      </c>
      <c r="D756" s="56" t="n">
        <v>143</v>
      </c>
      <c r="E756" s="56" t="n">
        <v>14.9</v>
      </c>
      <c r="F756" s="56" t="n">
        <v>0</v>
      </c>
      <c r="G756" s="56" t="n">
        <v>8.5</v>
      </c>
      <c r="H756" s="56" t="n">
        <v>0</v>
      </c>
      <c r="I756" s="56" t="n">
        <v>12.8</v>
      </c>
      <c r="J756" s="56" t="n">
        <v>0</v>
      </c>
      <c r="K756" s="56" t="n">
        <v>1020.6</v>
      </c>
      <c r="L756" s="56" t="n">
        <v>0</v>
      </c>
      <c r="M756" s="56" t="n">
        <v>74</v>
      </c>
      <c r="N756" s="56" t="n">
        <v>3</v>
      </c>
      <c r="O756" s="56" t="n">
        <f aca="false">IF(D756=1,"",E755)</f>
        <v>17</v>
      </c>
      <c r="P756" s="56" t="n">
        <f aca="false">IF(OR(D756=1,K755=""),"",K755)</f>
        <v>1012.4</v>
      </c>
      <c r="Q756" s="56" t="n">
        <f aca="false">IF(OR(F756&lt;&gt;0,AND(I756&lt;&gt;"",E756&lt;I756)),1,0)</f>
        <v>0</v>
      </c>
      <c r="R756" s="56" t="n">
        <f aca="false">IF(AND(D756&gt;1,Q756=0,ISNUMBER(O756),ISNUMBER(P756)),IF(Q755=0,1,0),0)</f>
        <v>1</v>
      </c>
      <c r="S756" s="56" t="n">
        <f aca="false">R756*(B756&gt;=Train_Start)*(B756&lt;=Train_End)</f>
        <v>1</v>
      </c>
      <c r="T756" s="84" t="n">
        <f aca="false">IF(AND(ISNUMBER(O756),ISNUMBER(P756)),Coef_A+Coef_B1*O756+Coef_B2*P756,"")</f>
        <v>17.7746230311717</v>
      </c>
      <c r="U756" s="84" t="n">
        <f aca="false">IF(AND(R756=1,ISNUMBER(T756)),E756-T756,"")</f>
        <v>-2.87462303117174</v>
      </c>
      <c r="V756" s="84" t="n">
        <f aca="false">IF(ISNUMBER(T756),T756,-99)</f>
        <v>17.7746230311717</v>
      </c>
      <c r="W756" s="84" t="n">
        <f aca="false">IF(ISNUMBER(U756),ABS(U756),"")</f>
        <v>2.87462303117174</v>
      </c>
    </row>
    <row r="757" customFormat="false" ht="15" hidden="false" customHeight="false" outlineLevel="0" collapsed="false">
      <c r="A757" s="57" t="n">
        <v>30580</v>
      </c>
      <c r="B757" s="56" t="n">
        <v>1983</v>
      </c>
      <c r="C757" s="56" t="n">
        <v>9</v>
      </c>
      <c r="D757" s="56" t="n">
        <v>144</v>
      </c>
      <c r="E757" s="56" t="n">
        <v>17.6</v>
      </c>
      <c r="F757" s="56" t="n">
        <v>0</v>
      </c>
      <c r="G757" s="56" t="n">
        <v>10.8</v>
      </c>
      <c r="H757" s="56" t="n">
        <v>0</v>
      </c>
      <c r="I757" s="56" t="n">
        <v>12.8</v>
      </c>
      <c r="J757" s="56" t="n">
        <v>0</v>
      </c>
      <c r="K757" s="56" t="n">
        <v>1009.6</v>
      </c>
      <c r="L757" s="56" t="n">
        <v>0</v>
      </c>
      <c r="M757" s="56" t="n">
        <v>91</v>
      </c>
      <c r="N757" s="56" t="n">
        <v>0</v>
      </c>
      <c r="O757" s="56" t="n">
        <f aca="false">IF(D757=1,"",E756)</f>
        <v>14.9</v>
      </c>
      <c r="P757" s="56" t="n">
        <f aca="false">IF(OR(D757=1,K756=""),"",K756)</f>
        <v>1020.6</v>
      </c>
      <c r="Q757" s="56" t="n">
        <f aca="false">IF(OR(F757&lt;&gt;0,AND(I757&lt;&gt;"",E757&lt;I757)),1,0)</f>
        <v>0</v>
      </c>
      <c r="R757" s="56" t="n">
        <f aca="false">IF(AND(D757&gt;1,Q757=0,ISNUMBER(O757),ISNUMBER(P757)),IF(Q756=0,1,0),0)</f>
        <v>1</v>
      </c>
      <c r="S757" s="56" t="n">
        <f aca="false">R757*(B757&gt;=Train_Start)*(B757&lt;=Train_End)</f>
        <v>1</v>
      </c>
      <c r="T757" s="84" t="n">
        <f aca="false">IF(AND(ISNUMBER(O757),ISNUMBER(P757)),Coef_A+Coef_B1*O757+Coef_B2*P757,"")</f>
        <v>16.3112438617809</v>
      </c>
      <c r="U757" s="84" t="n">
        <f aca="false">IF(AND(R757=1,ISNUMBER(T757)),E757-T757,"")</f>
        <v>1.28875613821913</v>
      </c>
      <c r="V757" s="84" t="n">
        <f aca="false">IF(ISNUMBER(T757),T757,-99)</f>
        <v>16.3112438617809</v>
      </c>
      <c r="W757" s="84" t="n">
        <f aca="false">IF(ISNUMBER(U757),ABS(U757),"")</f>
        <v>1.28875613821913</v>
      </c>
    </row>
    <row r="758" customFormat="false" ht="15" hidden="false" customHeight="false" outlineLevel="0" collapsed="false">
      <c r="A758" s="57" t="n">
        <v>30581</v>
      </c>
      <c r="B758" s="56" t="n">
        <v>1983</v>
      </c>
      <c r="C758" s="56" t="n">
        <v>9</v>
      </c>
      <c r="D758" s="56" t="n">
        <v>145</v>
      </c>
      <c r="E758" s="56" t="n">
        <v>23</v>
      </c>
      <c r="F758" s="56" t="n">
        <v>0</v>
      </c>
      <c r="G758" s="56" t="n">
        <v>5.6</v>
      </c>
      <c r="H758" s="56" t="n">
        <v>0</v>
      </c>
      <c r="I758" s="56" t="n">
        <v>11.6</v>
      </c>
      <c r="J758" s="56" t="n">
        <v>0</v>
      </c>
      <c r="K758" s="56" t="n">
        <v>1023.1</v>
      </c>
      <c r="L758" s="56" t="n">
        <v>0</v>
      </c>
      <c r="M758" s="56" t="n">
        <v>76</v>
      </c>
      <c r="N758" s="56" t="n">
        <v>6.7</v>
      </c>
      <c r="O758" s="56" t="n">
        <f aca="false">IF(D758=1,"",E757)</f>
        <v>17.6</v>
      </c>
      <c r="P758" s="56" t="n">
        <f aca="false">IF(OR(D758=1,K757=""),"",K757)</f>
        <v>1009.6</v>
      </c>
      <c r="Q758" s="56" t="n">
        <f aca="false">IF(OR(F758&lt;&gt;0,AND(I758&lt;&gt;"",E758&lt;I758)),1,0)</f>
        <v>0</v>
      </c>
      <c r="R758" s="56" t="n">
        <f aca="false">IF(AND(D758&gt;1,Q758=0,ISNUMBER(O758),ISNUMBER(P758)),IF(Q757=0,1,0),0)</f>
        <v>1</v>
      </c>
      <c r="S758" s="56" t="n">
        <f aca="false">R758*(B758&gt;=Train_Start)*(B758&lt;=Train_End)</f>
        <v>1</v>
      </c>
      <c r="T758" s="84" t="n">
        <f aca="false">IF(AND(ISNUMBER(O758),ISNUMBER(P758)),Coef_A+Coef_B1*O758+Coef_B2*P758,"")</f>
        <v>18.1783908420222</v>
      </c>
      <c r="U758" s="84" t="n">
        <f aca="false">IF(AND(R758=1,ISNUMBER(T758)),E758-T758,"")</f>
        <v>4.82160915797784</v>
      </c>
      <c r="V758" s="84" t="n">
        <f aca="false">IF(ISNUMBER(T758),T758,-99)</f>
        <v>18.1783908420222</v>
      </c>
      <c r="W758" s="84" t="n">
        <f aca="false">IF(ISNUMBER(U758),ABS(U758),"")</f>
        <v>4.82160915797784</v>
      </c>
    </row>
    <row r="759" customFormat="false" ht="15" hidden="false" customHeight="false" outlineLevel="0" collapsed="false">
      <c r="A759" s="57" t="n">
        <v>30582</v>
      </c>
      <c r="B759" s="56" t="n">
        <v>1983</v>
      </c>
      <c r="C759" s="56" t="n">
        <v>9</v>
      </c>
      <c r="D759" s="56" t="n">
        <v>146</v>
      </c>
      <c r="E759" s="56" t="n">
        <v>22.4</v>
      </c>
      <c r="F759" s="56" t="n">
        <v>0</v>
      </c>
      <c r="G759" s="56" t="n">
        <v>9.6</v>
      </c>
      <c r="H759" s="56" t="n">
        <v>0</v>
      </c>
      <c r="I759" s="56" t="n">
        <v>16.3</v>
      </c>
      <c r="J759" s="56" t="n">
        <v>0</v>
      </c>
      <c r="K759" s="56" t="n">
        <v>1022.3</v>
      </c>
      <c r="L759" s="56" t="n">
        <v>0</v>
      </c>
      <c r="M759" s="56" t="n">
        <v>72</v>
      </c>
      <c r="N759" s="56" t="n">
        <v>8.9</v>
      </c>
      <c r="O759" s="56" t="n">
        <f aca="false">IF(D759=1,"",E758)</f>
        <v>23</v>
      </c>
      <c r="P759" s="56" t="n">
        <f aca="false">IF(OR(D759=1,K758=""),"",K758)</f>
        <v>1023.1</v>
      </c>
      <c r="Q759" s="56" t="n">
        <f aca="false">IF(OR(F759&lt;&gt;0,AND(I759&lt;&gt;"",E759&lt;I759)),1,0)</f>
        <v>0</v>
      </c>
      <c r="R759" s="56" t="n">
        <f aca="false">IF(AND(D759&gt;1,Q759=0,ISNUMBER(O759),ISNUMBER(P759)),IF(Q758=0,1,0),0)</f>
        <v>1</v>
      </c>
      <c r="S759" s="56" t="n">
        <f aca="false">R759*(B759&gt;=Train_Start)*(B759&lt;=Train_End)</f>
        <v>1</v>
      </c>
      <c r="T759" s="84" t="n">
        <f aca="false">IF(AND(ISNUMBER(O759),ISNUMBER(P759)),Coef_A+Coef_B1*O759+Coef_B2*P759,"")</f>
        <v>23.0263160620114</v>
      </c>
      <c r="U759" s="84" t="n">
        <f aca="false">IF(AND(R759=1,ISNUMBER(T759)),E759-T759,"")</f>
        <v>-0.626316062011373</v>
      </c>
      <c r="V759" s="84" t="n">
        <f aca="false">IF(ISNUMBER(T759),T759,-99)</f>
        <v>23.0263160620114</v>
      </c>
      <c r="W759" s="84" t="n">
        <f aca="false">IF(ISNUMBER(U759),ABS(U759),"")</f>
        <v>0.626316062011373</v>
      </c>
    </row>
    <row r="760" customFormat="false" ht="15" hidden="false" customHeight="false" outlineLevel="0" collapsed="false">
      <c r="A760" s="57" t="n">
        <v>30583</v>
      </c>
      <c r="B760" s="56" t="n">
        <v>1983</v>
      </c>
      <c r="C760" s="56" t="n">
        <v>9</v>
      </c>
      <c r="D760" s="56" t="n">
        <v>147</v>
      </c>
      <c r="E760" s="56" t="n">
        <v>20.4</v>
      </c>
      <c r="F760" s="56" t="n">
        <v>0</v>
      </c>
      <c r="G760" s="56" t="n">
        <v>12.9</v>
      </c>
      <c r="H760" s="56" t="n">
        <v>0</v>
      </c>
      <c r="I760" s="56" t="n">
        <v>17.6</v>
      </c>
      <c r="J760" s="56" t="n">
        <v>0</v>
      </c>
      <c r="K760" s="56" t="n">
        <v>1023.7</v>
      </c>
      <c r="L760" s="56" t="n">
        <v>0</v>
      </c>
      <c r="M760" s="56" t="n">
        <v>83</v>
      </c>
      <c r="N760" s="56" t="n">
        <v>2.8</v>
      </c>
      <c r="O760" s="56" t="n">
        <f aca="false">IF(D760=1,"",E759)</f>
        <v>22.4</v>
      </c>
      <c r="P760" s="56" t="n">
        <f aca="false">IF(OR(D760=1,K759=""),"",K759)</f>
        <v>1022.3</v>
      </c>
      <c r="Q760" s="56" t="n">
        <f aca="false">IF(OR(F760&lt;&gt;0,AND(I760&lt;&gt;"",E760&lt;I760)),1,0)</f>
        <v>0</v>
      </c>
      <c r="R760" s="56" t="n">
        <f aca="false">IF(AND(D760&gt;1,Q760=0,ISNUMBER(O760),ISNUMBER(P760)),IF(Q759=0,1,0),0)</f>
        <v>1</v>
      </c>
      <c r="S760" s="56" t="n">
        <f aca="false">R760*(B760&gt;=Train_Start)*(B760&lt;=Train_End)</f>
        <v>1</v>
      </c>
      <c r="T760" s="84" t="n">
        <f aca="false">IF(AND(ISNUMBER(O760),ISNUMBER(P760)),Coef_A+Coef_B1*O760+Coef_B2*P760,"")</f>
        <v>22.5096166304786</v>
      </c>
      <c r="U760" s="84" t="n">
        <f aca="false">IF(AND(R760=1,ISNUMBER(T760)),E760-T760,"")</f>
        <v>-2.10961663047858</v>
      </c>
      <c r="V760" s="84" t="n">
        <f aca="false">IF(ISNUMBER(T760),T760,-99)</f>
        <v>22.5096166304786</v>
      </c>
      <c r="W760" s="84" t="n">
        <f aca="false">IF(ISNUMBER(U760),ABS(U760),"")</f>
        <v>2.10961663047858</v>
      </c>
    </row>
    <row r="761" customFormat="false" ht="15" hidden="false" customHeight="false" outlineLevel="0" collapsed="false">
      <c r="A761" s="57" t="n">
        <v>30584</v>
      </c>
      <c r="B761" s="56" t="n">
        <v>1983</v>
      </c>
      <c r="C761" s="56" t="n">
        <v>9</v>
      </c>
      <c r="D761" s="56" t="n">
        <v>148</v>
      </c>
      <c r="E761" s="56" t="n">
        <v>24.4</v>
      </c>
      <c r="F761" s="56" t="n">
        <v>0</v>
      </c>
      <c r="G761" s="56" t="n">
        <v>10.3</v>
      </c>
      <c r="H761" s="56" t="n">
        <v>0</v>
      </c>
      <c r="I761" s="56" t="n">
        <v>15.4</v>
      </c>
      <c r="J761" s="56" t="n">
        <v>0</v>
      </c>
      <c r="K761" s="56" t="n">
        <v>1033.1</v>
      </c>
      <c r="L761" s="56" t="n">
        <v>0</v>
      </c>
      <c r="M761" s="56" t="n">
        <v>75</v>
      </c>
      <c r="N761" s="56" t="n">
        <v>10.2</v>
      </c>
      <c r="O761" s="56" t="n">
        <f aca="false">IF(D761=1,"",E760)</f>
        <v>20.4</v>
      </c>
      <c r="P761" s="56" t="n">
        <f aca="false">IF(OR(D761=1,K760=""),"",K760)</f>
        <v>1023.7</v>
      </c>
      <c r="Q761" s="56" t="n">
        <f aca="false">IF(OR(F761&lt;&gt;0,AND(I761&lt;&gt;"",E761&lt;I761)),1,0)</f>
        <v>0</v>
      </c>
      <c r="R761" s="56" t="n">
        <f aca="false">IF(AND(D761&gt;1,Q761=0,ISNUMBER(O761),ISNUMBER(P761)),IF(Q760=0,1,0),0)</f>
        <v>1</v>
      </c>
      <c r="S761" s="56" t="n">
        <f aca="false">R761*(B761&gt;=Train_Start)*(B761&lt;=Train_End)</f>
        <v>1</v>
      </c>
      <c r="T761" s="84" t="n">
        <f aca="false">IF(AND(ISNUMBER(O761),ISNUMBER(P761)),Coef_A+Coef_B1*O761+Coef_B2*P761,"")</f>
        <v>20.9148560968809</v>
      </c>
      <c r="U761" s="84" t="n">
        <f aca="false">IF(AND(R761=1,ISNUMBER(T761)),E761-T761,"")</f>
        <v>3.48514390311914</v>
      </c>
      <c r="V761" s="84" t="n">
        <f aca="false">IF(ISNUMBER(T761),T761,-99)</f>
        <v>20.9148560968809</v>
      </c>
      <c r="W761" s="84" t="n">
        <f aca="false">IF(ISNUMBER(U761),ABS(U761),"")</f>
        <v>3.48514390311914</v>
      </c>
    </row>
    <row r="762" customFormat="false" ht="15" hidden="false" customHeight="false" outlineLevel="0" collapsed="false">
      <c r="A762" s="57" t="n">
        <v>30585</v>
      </c>
      <c r="B762" s="56" t="n">
        <v>1983</v>
      </c>
      <c r="C762" s="56" t="n">
        <v>9</v>
      </c>
      <c r="D762" s="56" t="n">
        <v>149</v>
      </c>
      <c r="E762" s="56" t="n">
        <v>19.3</v>
      </c>
      <c r="F762" s="56" t="n">
        <v>0</v>
      </c>
      <c r="G762" s="56" t="n">
        <v>10.3</v>
      </c>
      <c r="H762" s="56" t="n">
        <v>0</v>
      </c>
      <c r="I762" s="56" t="n">
        <v>17.4</v>
      </c>
      <c r="J762" s="56" t="n">
        <v>0</v>
      </c>
      <c r="K762" s="56" t="n">
        <v>1029.5</v>
      </c>
      <c r="L762" s="56" t="n">
        <v>0</v>
      </c>
      <c r="M762" s="56" t="n">
        <v>83</v>
      </c>
      <c r="N762" s="56" t="n">
        <v>9.6</v>
      </c>
      <c r="O762" s="56" t="n">
        <f aca="false">IF(D762=1,"",E761)</f>
        <v>24.4</v>
      </c>
      <c r="P762" s="56" t="n">
        <f aca="false">IF(OR(D762=1,K761=""),"",K761)</f>
        <v>1033.1</v>
      </c>
      <c r="Q762" s="56" t="n">
        <f aca="false">IF(OR(F762&lt;&gt;0,AND(I762&lt;&gt;"",E762&lt;I762)),1,0)</f>
        <v>0</v>
      </c>
      <c r="R762" s="56" t="n">
        <f aca="false">IF(AND(D762&gt;1,Q762=0,ISNUMBER(O762),ISNUMBER(P762)),IF(Q761=0,1,0),0)</f>
        <v>1</v>
      </c>
      <c r="S762" s="56" t="n">
        <f aca="false">R762*(B762&gt;=Train_Start)*(B762&lt;=Train_End)</f>
        <v>1</v>
      </c>
      <c r="T762" s="84" t="n">
        <f aca="false">IF(AND(ISNUMBER(O762),ISNUMBER(P762)),Coef_A+Coef_B1*O762+Coef_B2*P762,"")</f>
        <v>24.487089878611</v>
      </c>
      <c r="U762" s="84" t="n">
        <f aca="false">IF(AND(R762=1,ISNUMBER(T762)),E762-T762,"")</f>
        <v>-5.18708987861098</v>
      </c>
      <c r="V762" s="84" t="n">
        <f aca="false">IF(ISNUMBER(T762),T762,-99)</f>
        <v>24.487089878611</v>
      </c>
      <c r="W762" s="84" t="n">
        <f aca="false">IF(ISNUMBER(U762),ABS(U762),"")</f>
        <v>5.18708987861098</v>
      </c>
    </row>
    <row r="763" customFormat="false" ht="15" hidden="false" customHeight="false" outlineLevel="0" collapsed="false">
      <c r="A763" s="57" t="n">
        <v>30586</v>
      </c>
      <c r="B763" s="56" t="n">
        <v>1983</v>
      </c>
      <c r="C763" s="56" t="n">
        <v>9</v>
      </c>
      <c r="D763" s="56" t="n">
        <v>150</v>
      </c>
      <c r="E763" s="56" t="n">
        <v>19.6</v>
      </c>
      <c r="F763" s="56" t="n">
        <v>0</v>
      </c>
      <c r="G763" s="56" t="n">
        <v>15.2</v>
      </c>
      <c r="H763" s="56" t="n">
        <v>0</v>
      </c>
      <c r="I763" s="56" t="n">
        <v>17.2</v>
      </c>
      <c r="J763" s="56" t="n">
        <v>0</v>
      </c>
      <c r="K763" s="56" t="n">
        <v>1025.8</v>
      </c>
      <c r="L763" s="56" t="n">
        <v>0</v>
      </c>
      <c r="M763" s="56" t="n">
        <v>91</v>
      </c>
      <c r="N763" s="56" t="n">
        <v>0.1</v>
      </c>
      <c r="O763" s="56" t="n">
        <f aca="false">IF(D763=1,"",E762)</f>
        <v>19.3</v>
      </c>
      <c r="P763" s="56" t="n">
        <f aca="false">IF(OR(D763=1,K762=""),"",K762)</f>
        <v>1029.5</v>
      </c>
      <c r="Q763" s="56" t="n">
        <f aca="false">IF(OR(F763&lt;&gt;0,AND(I763&lt;&gt;"",E763&lt;I763)),1,0)</f>
        <v>0</v>
      </c>
      <c r="R763" s="56" t="n">
        <f aca="false">IF(AND(D763&gt;1,Q763=0,ISNUMBER(O763),ISNUMBER(P763)),IF(Q762=0,1,0),0)</f>
        <v>1</v>
      </c>
      <c r="S763" s="56" t="n">
        <f aca="false">R763*(B763&gt;=Train_Start)*(B763&lt;=Train_End)</f>
        <v>1</v>
      </c>
      <c r="T763" s="84" t="n">
        <f aca="false">IF(AND(ISNUMBER(O763),ISNUMBER(P763)),Coef_A+Coef_B1*O763+Coef_B2*P763,"")</f>
        <v>20.1955283734111</v>
      </c>
      <c r="U763" s="84" t="n">
        <f aca="false">IF(AND(R763=1,ISNUMBER(T763)),E763-T763,"")</f>
        <v>-0.595528373411064</v>
      </c>
      <c r="V763" s="84" t="n">
        <f aca="false">IF(ISNUMBER(T763),T763,-99)</f>
        <v>20.1955283734111</v>
      </c>
      <c r="W763" s="84" t="n">
        <f aca="false">IF(ISNUMBER(U763),ABS(U763),"")</f>
        <v>0.595528373411064</v>
      </c>
    </row>
    <row r="764" customFormat="false" ht="15" hidden="false" customHeight="false" outlineLevel="0" collapsed="false">
      <c r="A764" s="57" t="n">
        <v>30587</v>
      </c>
      <c r="B764" s="56" t="n">
        <v>1983</v>
      </c>
      <c r="C764" s="56" t="n">
        <v>9</v>
      </c>
      <c r="D764" s="56" t="n">
        <v>151</v>
      </c>
      <c r="E764" s="56" t="n">
        <v>19.7</v>
      </c>
      <c r="F764" s="56" t="n">
        <v>0</v>
      </c>
      <c r="G764" s="56" t="n">
        <v>14.7</v>
      </c>
      <c r="H764" s="56" t="n">
        <v>0</v>
      </c>
      <c r="I764" s="56" t="n">
        <v>17.2</v>
      </c>
      <c r="J764" s="56" t="n">
        <v>0</v>
      </c>
      <c r="K764" s="56" t="n">
        <v>1019.4</v>
      </c>
      <c r="L764" s="56" t="n">
        <v>0</v>
      </c>
      <c r="M764" s="56" t="n">
        <v>86</v>
      </c>
      <c r="N764" s="56" t="n">
        <v>2.7</v>
      </c>
      <c r="O764" s="56" t="n">
        <f aca="false">IF(D764=1,"",E763)</f>
        <v>19.6</v>
      </c>
      <c r="P764" s="56" t="n">
        <f aca="false">IF(OR(D764=1,K763=""),"",K763)</f>
        <v>1025.8</v>
      </c>
      <c r="Q764" s="56" t="n">
        <f aca="false">IF(OR(F764&lt;&gt;0,AND(I764&lt;&gt;"",E764&lt;I764)),1,0)</f>
        <v>0</v>
      </c>
      <c r="R764" s="56" t="n">
        <f aca="false">IF(AND(D764&gt;1,Q764=0,ISNUMBER(O764),ISNUMBER(P764)),IF(Q763=0,1,0),0)</f>
        <v>1</v>
      </c>
      <c r="S764" s="56" t="n">
        <f aca="false">R764*(B764&gt;=Train_Start)*(B764&lt;=Train_End)</f>
        <v>1</v>
      </c>
      <c r="T764" s="84" t="n">
        <f aca="false">IF(AND(ISNUMBER(O764),ISNUMBER(P764)),Coef_A+Coef_B1*O764+Coef_B2*P764,"")</f>
        <v>20.3252615211781</v>
      </c>
      <c r="U764" s="84" t="n">
        <f aca="false">IF(AND(R764=1,ISNUMBER(T764)),E764-T764,"")</f>
        <v>-0.625261521178107</v>
      </c>
      <c r="V764" s="84" t="n">
        <f aca="false">IF(ISNUMBER(T764),T764,-99)</f>
        <v>20.3252615211781</v>
      </c>
      <c r="W764" s="84" t="n">
        <f aca="false">IF(ISNUMBER(U764),ABS(U764),"")</f>
        <v>0.625261521178107</v>
      </c>
    </row>
    <row r="765" customFormat="false" ht="15" hidden="false" customHeight="false" outlineLevel="0" collapsed="false">
      <c r="A765" s="57" t="n">
        <v>30588</v>
      </c>
      <c r="B765" s="56" t="n">
        <v>1983</v>
      </c>
      <c r="C765" s="56" t="n">
        <v>9</v>
      </c>
      <c r="D765" s="56" t="n">
        <v>152</v>
      </c>
      <c r="E765" s="56" t="n">
        <v>18.6</v>
      </c>
      <c r="F765" s="56" t="n">
        <v>0</v>
      </c>
      <c r="G765" s="56" t="n">
        <v>12.9</v>
      </c>
      <c r="H765" s="56" t="n">
        <v>0</v>
      </c>
      <c r="I765" s="56" t="n">
        <v>16.3</v>
      </c>
      <c r="J765" s="56" t="n">
        <v>0</v>
      </c>
      <c r="K765" s="56" t="n">
        <v>1015.6</v>
      </c>
      <c r="L765" s="56" t="n">
        <v>0</v>
      </c>
      <c r="M765" s="56" t="n">
        <v>83</v>
      </c>
      <c r="N765" s="56" t="n">
        <v>0.1</v>
      </c>
      <c r="O765" s="56" t="n">
        <f aca="false">IF(D765=1,"",E764)</f>
        <v>19.7</v>
      </c>
      <c r="P765" s="56" t="n">
        <f aca="false">IF(OR(D765=1,K764=""),"",K764)</f>
        <v>1019.4</v>
      </c>
      <c r="Q765" s="56" t="n">
        <f aca="false">IF(OR(F765&lt;&gt;0,AND(I765&lt;&gt;"",E765&lt;I765)),1,0)</f>
        <v>0</v>
      </c>
      <c r="R765" s="56" t="n">
        <f aca="false">IF(AND(D765&gt;1,Q765=0,ISNUMBER(O765),ISNUMBER(P765)),IF(Q764=0,1,0),0)</f>
        <v>1</v>
      </c>
      <c r="S765" s="56" t="n">
        <f aca="false">R765*(B765&gt;=Train_Start)*(B765&lt;=Train_End)</f>
        <v>1</v>
      </c>
      <c r="T765" s="84" t="n">
        <f aca="false">IF(AND(ISNUMBER(O765),ISNUMBER(P765)),Coef_A+Coef_B1*O765+Coef_B2*P765,"")</f>
        <v>20.2064281148248</v>
      </c>
      <c r="U765" s="84" t="n">
        <f aca="false">IF(AND(R765=1,ISNUMBER(T765)),E765-T765,"")</f>
        <v>-1.60642811482483</v>
      </c>
      <c r="V765" s="84" t="n">
        <f aca="false">IF(ISNUMBER(T765),T765,-99)</f>
        <v>20.2064281148248</v>
      </c>
      <c r="W765" s="84" t="n">
        <f aca="false">IF(ISNUMBER(U765),ABS(U765),"")</f>
        <v>1.60642811482483</v>
      </c>
    </row>
    <row r="766" customFormat="false" ht="15" hidden="false" customHeight="false" outlineLevel="0" collapsed="false">
      <c r="A766" s="57" t="n">
        <v>30589</v>
      </c>
      <c r="B766" s="56" t="n">
        <v>1983</v>
      </c>
      <c r="C766" s="56" t="n">
        <v>9</v>
      </c>
      <c r="D766" s="56" t="n">
        <v>153</v>
      </c>
      <c r="E766" s="56" t="n">
        <v>16.7</v>
      </c>
      <c r="F766" s="56" t="n">
        <v>0</v>
      </c>
      <c r="G766" s="56" t="n">
        <v>13.6</v>
      </c>
      <c r="H766" s="56" t="n">
        <v>0</v>
      </c>
      <c r="I766" s="56" t="n">
        <v>16.1</v>
      </c>
      <c r="J766" s="56" t="n">
        <v>0</v>
      </c>
      <c r="K766" s="56" t="n">
        <v>1018.2</v>
      </c>
      <c r="L766" s="56" t="n">
        <v>0</v>
      </c>
      <c r="M766" s="56" t="n">
        <v>82</v>
      </c>
      <c r="N766" s="56" t="n">
        <v>0</v>
      </c>
      <c r="O766" s="56" t="n">
        <f aca="false">IF(D766=1,"",E765)</f>
        <v>18.6</v>
      </c>
      <c r="P766" s="56" t="n">
        <f aca="false">IF(OR(D766=1,K765=""),"",K765)</f>
        <v>1015.6</v>
      </c>
      <c r="Q766" s="56" t="n">
        <f aca="false">IF(OR(F766&lt;&gt;0,AND(I766&lt;&gt;"",E766&lt;I766)),1,0)</f>
        <v>0</v>
      </c>
      <c r="R766" s="56" t="n">
        <f aca="false">IF(AND(D766&gt;1,Q766=0,ISNUMBER(O766),ISNUMBER(P766)),IF(Q765=0,1,0),0)</f>
        <v>1</v>
      </c>
      <c r="S766" s="56" t="n">
        <f aca="false">R766*(B766&gt;=Train_Start)*(B766&lt;=Train_End)</f>
        <v>1</v>
      </c>
      <c r="T766" s="84" t="n">
        <f aca="false">IF(AND(ISNUMBER(O766),ISNUMBER(P766)),Coef_A+Coef_B1*O766+Coef_B2*P766,"")</f>
        <v>19.1859494028688</v>
      </c>
      <c r="U766" s="84" t="n">
        <f aca="false">IF(AND(R766=1,ISNUMBER(T766)),E766-T766,"")</f>
        <v>-2.48594940286876</v>
      </c>
      <c r="V766" s="84" t="n">
        <f aca="false">IF(ISNUMBER(T766),T766,-99)</f>
        <v>19.1859494028688</v>
      </c>
      <c r="W766" s="84" t="n">
        <f aca="false">IF(ISNUMBER(U766),ABS(U766),"")</f>
        <v>2.48594940286876</v>
      </c>
    </row>
    <row r="767" customFormat="false" ht="15" hidden="false" customHeight="false" outlineLevel="0" collapsed="false">
      <c r="A767" s="57" t="n">
        <v>30803</v>
      </c>
      <c r="B767" s="56" t="n">
        <v>1984</v>
      </c>
      <c r="C767" s="56" t="n">
        <v>5</v>
      </c>
      <c r="D767" s="56" t="n">
        <v>1</v>
      </c>
      <c r="E767" s="56" t="n">
        <v>17.1</v>
      </c>
      <c r="F767" s="56" t="n">
        <v>0</v>
      </c>
      <c r="G767" s="56" t="n">
        <v>6.5</v>
      </c>
      <c r="H767" s="56" t="n">
        <v>0</v>
      </c>
      <c r="I767" s="56" t="n">
        <v>12.5</v>
      </c>
      <c r="J767" s="56" t="n">
        <v>0</v>
      </c>
      <c r="K767" s="56" t="n">
        <v>1006.5</v>
      </c>
      <c r="L767" s="56" t="n">
        <v>0</v>
      </c>
      <c r="M767" s="56" t="n">
        <v>68</v>
      </c>
      <c r="N767" s="56" t="n">
        <v>9.4</v>
      </c>
      <c r="O767" s="56" t="str">
        <f aca="false">IF(D767=1,"",E766)</f>
        <v/>
      </c>
      <c r="P767" s="56" t="str">
        <f aca="false">IF(OR(D767=1,K766=""),"",K766)</f>
        <v/>
      </c>
      <c r="Q767" s="56" t="n">
        <f aca="false">IF(OR(F767&lt;&gt;0,AND(I767&lt;&gt;"",E767&lt;I767)),1,0)</f>
        <v>0</v>
      </c>
      <c r="R767" s="56" t="n">
        <f aca="false">IF(AND(D767&gt;1,Q767=0,ISNUMBER(O767),ISNUMBER(P767)),IF(Q766=0,1,0),0)</f>
        <v>0</v>
      </c>
      <c r="S767" s="56" t="n">
        <f aca="false">R767*(B767&gt;=Train_Start)*(B767&lt;=Train_End)</f>
        <v>0</v>
      </c>
      <c r="T767" s="84" t="str">
        <f aca="false">IF(AND(ISNUMBER(O767),ISNUMBER(P767)),Coef_A+Coef_B1*O767+Coef_B2*P767,"")</f>
        <v/>
      </c>
      <c r="U767" s="84" t="str">
        <f aca="false">IF(AND(R767=1,ISNUMBER(T767)),E767-T767,"")</f>
        <v/>
      </c>
      <c r="V767" s="84" t="n">
        <f aca="false">IF(ISNUMBER(T767),T767,-99)</f>
        <v>-99</v>
      </c>
      <c r="W767" s="84" t="str">
        <f aca="false">IF(ISNUMBER(U767),ABS(U767),"")</f>
        <v/>
      </c>
    </row>
    <row r="768" customFormat="false" ht="15" hidden="false" customHeight="false" outlineLevel="0" collapsed="false">
      <c r="A768" s="57" t="n">
        <v>30804</v>
      </c>
      <c r="B768" s="56" t="n">
        <v>1984</v>
      </c>
      <c r="C768" s="56" t="n">
        <v>5</v>
      </c>
      <c r="D768" s="56" t="n">
        <v>2</v>
      </c>
      <c r="E768" s="56" t="n">
        <v>13.5</v>
      </c>
      <c r="F768" s="56" t="n">
        <v>0</v>
      </c>
      <c r="G768" s="56" t="n">
        <v>6</v>
      </c>
      <c r="H768" s="56" t="n">
        <v>0</v>
      </c>
      <c r="I768" s="56" t="n">
        <v>11.6</v>
      </c>
      <c r="J768" s="56" t="n">
        <v>0</v>
      </c>
      <c r="K768" s="56" t="n">
        <v>1006.3</v>
      </c>
      <c r="L768" s="56" t="n">
        <v>0</v>
      </c>
      <c r="M768" s="56" t="n">
        <v>80</v>
      </c>
      <c r="N768" s="56" t="n">
        <v>4.4</v>
      </c>
      <c r="O768" s="56" t="n">
        <f aca="false">IF(D768=1,"",E767)</f>
        <v>17.1</v>
      </c>
      <c r="P768" s="56" t="n">
        <f aca="false">IF(OR(D768=1,K767=""),"",K767)</f>
        <v>1006.5</v>
      </c>
      <c r="Q768" s="56" t="n">
        <f aca="false">IF(OR(F768&lt;&gt;0,AND(I768&lt;&gt;"",E768&lt;I768)),1,0)</f>
        <v>0</v>
      </c>
      <c r="R768" s="56" t="n">
        <f aca="false">IF(AND(D768&gt;1,Q768=0,ISNUMBER(O768),ISNUMBER(P768)),IF(Q767=0,1,0),0)</f>
        <v>1</v>
      </c>
      <c r="S768" s="56" t="n">
        <f aca="false">R768*(B768&gt;=Train_Start)*(B768&lt;=Train_End)</f>
        <v>1</v>
      </c>
      <c r="T768" s="84" t="n">
        <f aca="false">IF(AND(ISNUMBER(O768),ISNUMBER(P768)),Coef_A+Coef_B1*O768+Coef_B2*P768,"")</f>
        <v>17.6714745721355</v>
      </c>
      <c r="U768" s="84" t="n">
        <f aca="false">IF(AND(R768=1,ISNUMBER(T768)),E768-T768,"")</f>
        <v>-4.17147457213547</v>
      </c>
      <c r="V768" s="84" t="n">
        <f aca="false">IF(ISNUMBER(T768),T768,-99)</f>
        <v>17.6714745721355</v>
      </c>
      <c r="W768" s="84" t="n">
        <f aca="false">IF(ISNUMBER(U768),ABS(U768),"")</f>
        <v>4.17147457213547</v>
      </c>
    </row>
    <row r="769" customFormat="false" ht="15" hidden="false" customHeight="false" outlineLevel="0" collapsed="false">
      <c r="A769" s="57" t="n">
        <v>30805</v>
      </c>
      <c r="B769" s="56" t="n">
        <v>1984</v>
      </c>
      <c r="C769" s="56" t="n">
        <v>5</v>
      </c>
      <c r="D769" s="56" t="n">
        <v>3</v>
      </c>
      <c r="E769" s="56" t="n">
        <v>17.1</v>
      </c>
      <c r="F769" s="56" t="n">
        <v>0</v>
      </c>
      <c r="G769" s="56" t="n">
        <v>7.1</v>
      </c>
      <c r="H769" s="56" t="n">
        <v>0</v>
      </c>
      <c r="I769" s="56" t="n">
        <v>10.3</v>
      </c>
      <c r="J769" s="56" t="n">
        <v>0</v>
      </c>
      <c r="K769" s="56" t="n">
        <v>1008.3</v>
      </c>
      <c r="L769" s="56" t="n">
        <v>0</v>
      </c>
      <c r="M769" s="56" t="n">
        <v>80</v>
      </c>
      <c r="N769" s="56" t="n">
        <v>0.2</v>
      </c>
      <c r="O769" s="56" t="n">
        <f aca="false">IF(D769=1,"",E768)</f>
        <v>13.5</v>
      </c>
      <c r="P769" s="56" t="n">
        <f aca="false">IF(OR(D769=1,K768=""),"",K768)</f>
        <v>1006.3</v>
      </c>
      <c r="Q769" s="56" t="n">
        <f aca="false">IF(OR(F769&lt;&gt;0,AND(I769&lt;&gt;"",E769&lt;I769)),1,0)</f>
        <v>0</v>
      </c>
      <c r="R769" s="56" t="n">
        <f aca="false">IF(AND(D769&gt;1,Q769=0,ISNUMBER(O769),ISNUMBER(P769)),IF(Q768=0,1,0),0)</f>
        <v>1</v>
      </c>
      <c r="S769" s="56" t="n">
        <f aca="false">R769*(B769&gt;=Train_Start)*(B769&lt;=Train_End)</f>
        <v>1</v>
      </c>
      <c r="T769" s="84" t="n">
        <f aca="false">IF(AND(ISNUMBER(O769),ISNUMBER(P769)),Coef_A+Coef_B1*O769+Coef_B2*P769,"")</f>
        <v>14.7155794982551</v>
      </c>
      <c r="U769" s="84" t="n">
        <f aca="false">IF(AND(R769=1,ISNUMBER(T769)),E769-T769,"")</f>
        <v>2.3844205017449</v>
      </c>
      <c r="V769" s="84" t="n">
        <f aca="false">IF(ISNUMBER(T769),T769,-99)</f>
        <v>14.7155794982551</v>
      </c>
      <c r="W769" s="84" t="n">
        <f aca="false">IF(ISNUMBER(U769),ABS(U769),"")</f>
        <v>2.3844205017449</v>
      </c>
    </row>
    <row r="770" customFormat="false" ht="15" hidden="false" customHeight="false" outlineLevel="0" collapsed="false">
      <c r="A770" s="57" t="n">
        <v>30806</v>
      </c>
      <c r="B770" s="56" t="n">
        <v>1984</v>
      </c>
      <c r="C770" s="56" t="n">
        <v>5</v>
      </c>
      <c r="D770" s="56" t="n">
        <v>4</v>
      </c>
      <c r="E770" s="56" t="n">
        <v>14.8</v>
      </c>
      <c r="F770" s="56" t="n">
        <v>0</v>
      </c>
      <c r="G770" s="56" t="n">
        <v>7</v>
      </c>
      <c r="H770" s="56" t="n">
        <v>0</v>
      </c>
      <c r="I770" s="56" t="n">
        <v>12</v>
      </c>
      <c r="J770" s="56" t="n">
        <v>0</v>
      </c>
      <c r="K770" s="56" t="n">
        <v>1010.5</v>
      </c>
      <c r="L770" s="56" t="n">
        <v>0</v>
      </c>
      <c r="M770" s="56" t="n">
        <v>77</v>
      </c>
      <c r="N770" s="56" t="n">
        <v>6</v>
      </c>
      <c r="O770" s="56" t="n">
        <f aca="false">IF(D770=1,"",E769)</f>
        <v>17.1</v>
      </c>
      <c r="P770" s="56" t="n">
        <f aca="false">IF(OR(D770=1,K769=""),"",K769)</f>
        <v>1008.3</v>
      </c>
      <c r="Q770" s="56" t="n">
        <f aca="false">IF(OR(F770&lt;&gt;0,AND(I770&lt;&gt;"",E770&lt;I770)),1,0)</f>
        <v>0</v>
      </c>
      <c r="R770" s="56" t="n">
        <f aca="false">IF(AND(D770&gt;1,Q770=0,ISNUMBER(O770),ISNUMBER(P770)),IF(Q769=0,1,0),0)</f>
        <v>1</v>
      </c>
      <c r="S770" s="56" t="n">
        <f aca="false">R770*(B770&gt;=Train_Start)*(B770&lt;=Train_End)</f>
        <v>1</v>
      </c>
      <c r="T770" s="84" t="n">
        <f aca="false">IF(AND(ISNUMBER(O770),ISNUMBER(P770)),Coef_A+Coef_B1*O770+Coef_B2*P770,"")</f>
        <v>17.7279403824766</v>
      </c>
      <c r="U770" s="84" t="n">
        <f aca="false">IF(AND(R770=1,ISNUMBER(T770)),E770-T770,"")</f>
        <v>-2.92794038247665</v>
      </c>
      <c r="V770" s="84" t="n">
        <f aca="false">IF(ISNUMBER(T770),T770,-99)</f>
        <v>17.7279403824766</v>
      </c>
      <c r="W770" s="84" t="n">
        <f aca="false">IF(ISNUMBER(U770),ABS(U770),"")</f>
        <v>2.92794038247665</v>
      </c>
    </row>
    <row r="771" customFormat="false" ht="15" hidden="false" customHeight="false" outlineLevel="0" collapsed="false">
      <c r="A771" s="57" t="n">
        <v>30807</v>
      </c>
      <c r="B771" s="56" t="n">
        <v>1984</v>
      </c>
      <c r="C771" s="56" t="n">
        <v>5</v>
      </c>
      <c r="D771" s="56" t="n">
        <v>5</v>
      </c>
      <c r="E771" s="56" t="n">
        <v>12.6</v>
      </c>
      <c r="F771" s="56" t="n">
        <v>0</v>
      </c>
      <c r="G771" s="56" t="n">
        <v>7.7</v>
      </c>
      <c r="H771" s="56" t="n">
        <v>0</v>
      </c>
      <c r="I771" s="56" t="n">
        <v>11.2</v>
      </c>
      <c r="J771" s="56" t="n">
        <v>0</v>
      </c>
      <c r="K771" s="56" t="n">
        <v>1015.2</v>
      </c>
      <c r="L771" s="56" t="n">
        <v>0</v>
      </c>
      <c r="M771" s="56" t="n">
        <v>77</v>
      </c>
      <c r="N771" s="56" t="n">
        <v>4.8</v>
      </c>
      <c r="O771" s="56" t="n">
        <f aca="false">IF(D771=1,"",E770)</f>
        <v>14.8</v>
      </c>
      <c r="P771" s="56" t="n">
        <f aca="false">IF(OR(D771=1,K770=""),"",K770)</f>
        <v>1010.5</v>
      </c>
      <c r="Q771" s="56" t="n">
        <f aca="false">IF(OR(F771&lt;&gt;0,AND(I771&lt;&gt;"",E771&lt;I771)),1,0)</f>
        <v>0</v>
      </c>
      <c r="R771" s="56" t="n">
        <f aca="false">IF(AND(D771&gt;1,Q771=0,ISNUMBER(O771),ISNUMBER(P771)),IF(Q770=0,1,0),0)</f>
        <v>1</v>
      </c>
      <c r="S771" s="56" t="n">
        <f aca="false">R771*(B771&gt;=Train_Start)*(B771&lt;=Train_End)</f>
        <v>1</v>
      </c>
      <c r="T771" s="84" t="n">
        <f aca="false">IF(AND(ISNUMBER(O771),ISNUMBER(P771)),Coef_A+Coef_B1*O771+Coef_B2*P771,"")</f>
        <v>15.9124740066733</v>
      </c>
      <c r="U771" s="84" t="n">
        <f aca="false">IF(AND(R771=1,ISNUMBER(T771)),E771-T771,"")</f>
        <v>-3.31247400667331</v>
      </c>
      <c r="V771" s="84" t="n">
        <f aca="false">IF(ISNUMBER(T771),T771,-99)</f>
        <v>15.9124740066733</v>
      </c>
      <c r="W771" s="84" t="n">
        <f aca="false">IF(ISNUMBER(U771),ABS(U771),"")</f>
        <v>3.31247400667331</v>
      </c>
    </row>
    <row r="772" customFormat="false" ht="15" hidden="false" customHeight="false" outlineLevel="0" collapsed="false">
      <c r="A772" s="57" t="n">
        <v>30808</v>
      </c>
      <c r="B772" s="56" t="n">
        <v>1984</v>
      </c>
      <c r="C772" s="56" t="n">
        <v>5</v>
      </c>
      <c r="D772" s="56" t="n">
        <v>6</v>
      </c>
      <c r="E772" s="56" t="n">
        <v>12.7</v>
      </c>
      <c r="F772" s="56" t="n">
        <v>0</v>
      </c>
      <c r="G772" s="56" t="n">
        <v>7.5</v>
      </c>
      <c r="H772" s="56" t="n">
        <v>0</v>
      </c>
      <c r="I772" s="56" t="n">
        <v>10</v>
      </c>
      <c r="J772" s="56" t="n">
        <v>0</v>
      </c>
      <c r="K772" s="56" t="n">
        <v>1019.4</v>
      </c>
      <c r="L772" s="56" t="n">
        <v>0</v>
      </c>
      <c r="M772" s="56" t="n">
        <v>74</v>
      </c>
      <c r="N772" s="56" t="n">
        <v>0.1</v>
      </c>
      <c r="O772" s="56" t="n">
        <f aca="false">IF(D772=1,"",E771)</f>
        <v>12.6</v>
      </c>
      <c r="P772" s="56" t="n">
        <f aca="false">IF(OR(D772=1,K771=""),"",K771)</f>
        <v>1015.2</v>
      </c>
      <c r="Q772" s="56" t="n">
        <f aca="false">IF(OR(F772&lt;&gt;0,AND(I772&lt;&gt;"",E772&lt;I772)),1,0)</f>
        <v>0</v>
      </c>
      <c r="R772" s="56" t="n">
        <f aca="false">IF(AND(D772&gt;1,Q772=0,ISNUMBER(O772),ISNUMBER(P772)),IF(Q771=0,1,0),0)</f>
        <v>1</v>
      </c>
      <c r="S772" s="56" t="n">
        <f aca="false">R772*(B772&gt;=Train_Start)*(B772&lt;=Train_End)</f>
        <v>1</v>
      </c>
      <c r="T772" s="84" t="n">
        <f aca="false">IF(AND(ISNUMBER(O772),ISNUMBER(P772)),Coef_A+Coef_B1*O772+Coef_B2*P772,"")</f>
        <v>14.2573662867592</v>
      </c>
      <c r="U772" s="84" t="n">
        <f aca="false">IF(AND(R772=1,ISNUMBER(T772)),E772-T772,"")</f>
        <v>-1.55736628675922</v>
      </c>
      <c r="V772" s="84" t="n">
        <f aca="false">IF(ISNUMBER(T772),T772,-99)</f>
        <v>14.2573662867592</v>
      </c>
      <c r="W772" s="84" t="n">
        <f aca="false">IF(ISNUMBER(U772),ABS(U772),"")</f>
        <v>1.55736628675922</v>
      </c>
    </row>
    <row r="773" customFormat="false" ht="15" hidden="false" customHeight="false" outlineLevel="0" collapsed="false">
      <c r="A773" s="57" t="n">
        <v>30809</v>
      </c>
      <c r="B773" s="56" t="n">
        <v>1984</v>
      </c>
      <c r="C773" s="56" t="n">
        <v>5</v>
      </c>
      <c r="D773" s="56" t="n">
        <v>7</v>
      </c>
      <c r="E773" s="56" t="n">
        <v>11.1</v>
      </c>
      <c r="F773" s="56" t="n">
        <v>0</v>
      </c>
      <c r="G773" s="56" t="n">
        <v>3.9</v>
      </c>
      <c r="H773" s="56" t="n">
        <v>0</v>
      </c>
      <c r="I773" s="56" t="n">
        <v>8.3</v>
      </c>
      <c r="J773" s="56" t="n">
        <v>0</v>
      </c>
      <c r="K773" s="56" t="n">
        <v>1025.3</v>
      </c>
      <c r="L773" s="56" t="n">
        <v>0</v>
      </c>
      <c r="M773" s="56" t="n">
        <v>63</v>
      </c>
      <c r="N773" s="56" t="n">
        <v>7.2</v>
      </c>
      <c r="O773" s="56" t="n">
        <f aca="false">IF(D773=1,"",E772)</f>
        <v>12.7</v>
      </c>
      <c r="P773" s="56" t="n">
        <f aca="false">IF(OR(D773=1,K772=""),"",K772)</f>
        <v>1019.4</v>
      </c>
      <c r="Q773" s="56" t="n">
        <f aca="false">IF(OR(F773&lt;&gt;0,AND(I773&lt;&gt;"",E773&lt;I773)),1,0)</f>
        <v>0</v>
      </c>
      <c r="R773" s="56" t="n">
        <f aca="false">IF(AND(D773&gt;1,Q773=0,ISNUMBER(O773),ISNUMBER(P773)),IF(Q772=0,1,0),0)</f>
        <v>1</v>
      </c>
      <c r="S773" s="56" t="n">
        <f aca="false">R773*(B773&gt;=Train_Start)*(B773&lt;=Train_End)</f>
        <v>1</v>
      </c>
      <c r="T773" s="84" t="n">
        <f aca="false">IF(AND(ISNUMBER(O773),ISNUMBER(P773)),Coef_A+Coef_B1*O773+Coef_B2*P773,"")</f>
        <v>14.4710537635262</v>
      </c>
      <c r="U773" s="84" t="n">
        <f aca="false">IF(AND(R773=1,ISNUMBER(T773)),E773-T773,"")</f>
        <v>-3.37105376352623</v>
      </c>
      <c r="V773" s="84" t="n">
        <f aca="false">IF(ISNUMBER(T773),T773,-99)</f>
        <v>14.4710537635262</v>
      </c>
      <c r="W773" s="84" t="n">
        <f aca="false">IF(ISNUMBER(U773),ABS(U773),"")</f>
        <v>3.37105376352623</v>
      </c>
    </row>
    <row r="774" customFormat="false" ht="15" hidden="false" customHeight="false" outlineLevel="0" collapsed="false">
      <c r="A774" s="57" t="n">
        <v>30810</v>
      </c>
      <c r="B774" s="56" t="n">
        <v>1984</v>
      </c>
      <c r="C774" s="56" t="n">
        <v>5</v>
      </c>
      <c r="D774" s="56" t="n">
        <v>8</v>
      </c>
      <c r="E774" s="56" t="n">
        <v>16.2</v>
      </c>
      <c r="F774" s="56" t="n">
        <v>0</v>
      </c>
      <c r="G774" s="56" t="n">
        <v>3.9</v>
      </c>
      <c r="H774" s="56" t="n">
        <v>0</v>
      </c>
      <c r="I774" s="56" t="n">
        <v>7.5</v>
      </c>
      <c r="J774" s="56" t="n">
        <v>0</v>
      </c>
      <c r="K774" s="56" t="n">
        <v>1028.1</v>
      </c>
      <c r="L774" s="56" t="n">
        <v>0</v>
      </c>
      <c r="M774" s="56" t="n">
        <v>65</v>
      </c>
      <c r="N774" s="56" t="n">
        <v>4.7</v>
      </c>
      <c r="O774" s="56" t="n">
        <f aca="false">IF(D774=1,"",E773)</f>
        <v>11.1</v>
      </c>
      <c r="P774" s="56" t="n">
        <f aca="false">IF(OR(D774=1,K773=""),"",K773)</f>
        <v>1025.3</v>
      </c>
      <c r="Q774" s="56" t="n">
        <f aca="false">IF(OR(F774&lt;&gt;0,AND(I774&lt;&gt;"",E774&lt;I774)),1,0)</f>
        <v>0</v>
      </c>
      <c r="R774" s="56" t="n">
        <f aca="false">IF(AND(D774&gt;1,Q774=0,ISNUMBER(O774),ISNUMBER(P774)),IF(Q773=0,1,0),0)</f>
        <v>1</v>
      </c>
      <c r="S774" s="56" t="n">
        <f aca="false">R774*(B774&gt;=Train_Start)*(B774&lt;=Train_End)</f>
        <v>1</v>
      </c>
      <c r="T774" s="84" t="n">
        <f aca="false">IF(AND(ISNUMBER(O774),ISNUMBER(P774)),Coef_A+Coef_B1*O774+Coef_B2*P774,"")</f>
        <v>13.3451934329985</v>
      </c>
      <c r="U774" s="84" t="n">
        <f aca="false">IF(AND(R774=1,ISNUMBER(T774)),E774-T774,"")</f>
        <v>2.85480656700148</v>
      </c>
      <c r="V774" s="84" t="n">
        <f aca="false">IF(ISNUMBER(T774),T774,-99)</f>
        <v>13.3451934329985</v>
      </c>
      <c r="W774" s="84" t="n">
        <f aca="false">IF(ISNUMBER(U774),ABS(U774),"")</f>
        <v>2.85480656700148</v>
      </c>
    </row>
    <row r="775" customFormat="false" ht="15" hidden="false" customHeight="false" outlineLevel="0" collapsed="false">
      <c r="A775" s="57" t="n">
        <v>30811</v>
      </c>
      <c r="B775" s="56" t="n">
        <v>1984</v>
      </c>
      <c r="C775" s="56" t="n">
        <v>5</v>
      </c>
      <c r="D775" s="56" t="n">
        <v>9</v>
      </c>
      <c r="E775" s="56" t="n">
        <v>12.5</v>
      </c>
      <c r="F775" s="56" t="n">
        <v>0</v>
      </c>
      <c r="G775" s="56" t="n">
        <v>1.6</v>
      </c>
      <c r="H775" s="56" t="n">
        <v>0</v>
      </c>
      <c r="I775" s="56" t="n">
        <v>8.9</v>
      </c>
      <c r="J775" s="56" t="n">
        <v>0</v>
      </c>
      <c r="K775" s="56" t="n">
        <v>1024.9</v>
      </c>
      <c r="L775" s="56" t="n">
        <v>0</v>
      </c>
      <c r="M775" s="56" t="n">
        <v>64</v>
      </c>
      <c r="N775" s="56" t="n">
        <v>9.2</v>
      </c>
      <c r="O775" s="56" t="n">
        <f aca="false">IF(D775=1,"",E774)</f>
        <v>16.2</v>
      </c>
      <c r="P775" s="56" t="n">
        <f aca="false">IF(OR(D775=1,K774=""),"",K774)</f>
        <v>1028.1</v>
      </c>
      <c r="Q775" s="56" t="n">
        <f aca="false">IF(OR(F775&lt;&gt;0,AND(I775&lt;&gt;"",E775&lt;I775)),1,0)</f>
        <v>0</v>
      </c>
      <c r="R775" s="56" t="n">
        <f aca="false">IF(AND(D775&gt;1,Q775=0,ISNUMBER(O775),ISNUMBER(P775)),IF(Q774=0,1,0),0)</f>
        <v>1</v>
      </c>
      <c r="S775" s="56" t="n">
        <f aca="false">R775*(B775&gt;=Train_Start)*(B775&lt;=Train_End)</f>
        <v>1</v>
      </c>
      <c r="T775" s="84" t="n">
        <f aca="false">IF(AND(ISNUMBER(O775),ISNUMBER(P775)),Coef_A+Coef_B1*O775+Coef_B2*P775,"")</f>
        <v>17.6116590224912</v>
      </c>
      <c r="U775" s="84" t="n">
        <f aca="false">IF(AND(R775=1,ISNUMBER(T775)),E775-T775,"")</f>
        <v>-5.11165902249124</v>
      </c>
      <c r="V775" s="84" t="n">
        <f aca="false">IF(ISNUMBER(T775),T775,-99)</f>
        <v>17.6116590224912</v>
      </c>
      <c r="W775" s="84" t="n">
        <f aca="false">IF(ISNUMBER(U775),ABS(U775),"")</f>
        <v>5.11165902249124</v>
      </c>
    </row>
    <row r="776" customFormat="false" ht="15" hidden="false" customHeight="false" outlineLevel="0" collapsed="false">
      <c r="A776" s="57" t="n">
        <v>30812</v>
      </c>
      <c r="B776" s="56" t="n">
        <v>1984</v>
      </c>
      <c r="C776" s="56" t="n">
        <v>5</v>
      </c>
      <c r="D776" s="56" t="n">
        <v>10</v>
      </c>
      <c r="E776" s="56" t="n">
        <v>13.9</v>
      </c>
      <c r="F776" s="56" t="n">
        <v>0</v>
      </c>
      <c r="G776" s="56" t="n">
        <v>8</v>
      </c>
      <c r="H776" s="56" t="n">
        <v>0</v>
      </c>
      <c r="I776" s="56" t="n">
        <v>10.2</v>
      </c>
      <c r="J776" s="56" t="n">
        <v>0</v>
      </c>
      <c r="K776" s="56" t="n">
        <v>1020.1</v>
      </c>
      <c r="L776" s="56" t="n">
        <v>0</v>
      </c>
      <c r="M776" s="56" t="n">
        <v>80</v>
      </c>
      <c r="N776" s="56" t="n">
        <v>2.6</v>
      </c>
      <c r="O776" s="56" t="n">
        <f aca="false">IF(D776=1,"",E775)</f>
        <v>12.5</v>
      </c>
      <c r="P776" s="56" t="n">
        <f aca="false">IF(OR(D776=1,K775=""),"",K775)</f>
        <v>1024.9</v>
      </c>
      <c r="Q776" s="56" t="n">
        <f aca="false">IF(OR(F776&lt;&gt;0,AND(I776&lt;&gt;"",E776&lt;I776)),1,0)</f>
        <v>0</v>
      </c>
      <c r="R776" s="56" t="n">
        <f aca="false">IF(AND(D776&gt;1,Q776=0,ISNUMBER(O776),ISNUMBER(P776)),IF(Q775=0,1,0),0)</f>
        <v>1</v>
      </c>
      <c r="S776" s="56" t="n">
        <f aca="false">R776*(B776&gt;=Train_Start)*(B776&lt;=Train_End)</f>
        <v>1</v>
      </c>
      <c r="T776" s="84" t="n">
        <f aca="false">IF(AND(ISNUMBER(O776),ISNUMBER(P776)),Coef_A+Coef_B1*O776+Coef_B2*P776,"")</f>
        <v>14.4797203454046</v>
      </c>
      <c r="U776" s="84" t="n">
        <f aca="false">IF(AND(R776=1,ISNUMBER(T776)),E776-T776,"")</f>
        <v>-0.579720345404644</v>
      </c>
      <c r="V776" s="84" t="n">
        <f aca="false">IF(ISNUMBER(T776),T776,-99)</f>
        <v>14.4797203454046</v>
      </c>
      <c r="W776" s="84" t="n">
        <f aca="false">IF(ISNUMBER(U776),ABS(U776),"")</f>
        <v>0.579720345404644</v>
      </c>
    </row>
    <row r="777" customFormat="false" ht="15" hidden="false" customHeight="false" outlineLevel="0" collapsed="false">
      <c r="A777" s="57" t="n">
        <v>30813</v>
      </c>
      <c r="B777" s="56" t="n">
        <v>1984</v>
      </c>
      <c r="C777" s="56" t="n">
        <v>5</v>
      </c>
      <c r="D777" s="56" t="n">
        <v>11</v>
      </c>
      <c r="E777" s="56" t="n">
        <v>14.4</v>
      </c>
      <c r="F777" s="56" t="n">
        <v>0</v>
      </c>
      <c r="G777" s="56" t="n">
        <v>3.8</v>
      </c>
      <c r="H777" s="56" t="n">
        <v>0</v>
      </c>
      <c r="I777" s="56" t="n">
        <v>8.8</v>
      </c>
      <c r="J777" s="56" t="n">
        <v>0</v>
      </c>
      <c r="K777" s="56" t="n">
        <v>1024.5</v>
      </c>
      <c r="L777" s="56" t="n">
        <v>0</v>
      </c>
      <c r="M777" s="56" t="n">
        <v>67</v>
      </c>
      <c r="N777" s="56" t="n">
        <v>9.3</v>
      </c>
      <c r="O777" s="56" t="n">
        <f aca="false">IF(D777=1,"",E776)</f>
        <v>13.9</v>
      </c>
      <c r="P777" s="56" t="n">
        <f aca="false">IF(OR(D777=1,K776=""),"",K776)</f>
        <v>1020.1</v>
      </c>
      <c r="Q777" s="56" t="n">
        <f aca="false">IF(OR(F777&lt;&gt;0,AND(I777&lt;&gt;"",E777&lt;I777)),1,0)</f>
        <v>0</v>
      </c>
      <c r="R777" s="56" t="n">
        <f aca="false">IF(AND(D777&gt;1,Q777=0,ISNUMBER(O777),ISNUMBER(P777)),IF(Q776=0,1,0),0)</f>
        <v>1</v>
      </c>
      <c r="S777" s="56" t="n">
        <f aca="false">R777*(B777&gt;=Train_Start)*(B777&lt;=Train_End)</f>
        <v>1</v>
      </c>
      <c r="T777" s="84" t="n">
        <f aca="false">IF(AND(ISNUMBER(O777),ISNUMBER(P777)),Coef_A+Coef_B1*O777+Coef_B2*P777,"")</f>
        <v>15.4762197214212</v>
      </c>
      <c r="U777" s="84" t="n">
        <f aca="false">IF(AND(R777=1,ISNUMBER(T777)),E777-T777,"")</f>
        <v>-1.07621972142122</v>
      </c>
      <c r="V777" s="84" t="n">
        <f aca="false">IF(ISNUMBER(T777),T777,-99)</f>
        <v>15.4762197214212</v>
      </c>
      <c r="W777" s="84" t="n">
        <f aca="false">IF(ISNUMBER(U777),ABS(U777),"")</f>
        <v>1.07621972142122</v>
      </c>
    </row>
    <row r="778" customFormat="false" ht="15" hidden="false" customHeight="false" outlineLevel="0" collapsed="false">
      <c r="A778" s="57" t="n">
        <v>30814</v>
      </c>
      <c r="B778" s="56" t="n">
        <v>1984</v>
      </c>
      <c r="C778" s="56" t="n">
        <v>5</v>
      </c>
      <c r="D778" s="56" t="n">
        <v>12</v>
      </c>
      <c r="E778" s="56" t="n">
        <v>16.6</v>
      </c>
      <c r="F778" s="56" t="n">
        <v>0</v>
      </c>
      <c r="G778" s="56" t="n">
        <v>5.5</v>
      </c>
      <c r="H778" s="56" t="n">
        <v>0</v>
      </c>
      <c r="I778" s="56" t="n">
        <v>10</v>
      </c>
      <c r="J778" s="56" t="n">
        <v>0</v>
      </c>
      <c r="K778" s="56" t="n">
        <v>1027.2</v>
      </c>
      <c r="L778" s="56" t="n">
        <v>0</v>
      </c>
      <c r="M778" s="56" t="n">
        <v>59</v>
      </c>
      <c r="N778" s="56" t="n">
        <v>12.5</v>
      </c>
      <c r="O778" s="56" t="n">
        <f aca="false">IF(D778=1,"",E777)</f>
        <v>14.4</v>
      </c>
      <c r="P778" s="56" t="n">
        <f aca="false">IF(OR(D778=1,K777=""),"",K777)</f>
        <v>1024.5</v>
      </c>
      <c r="Q778" s="56" t="n">
        <f aca="false">IF(OR(F778&lt;&gt;0,AND(I778&lt;&gt;"",E778&lt;I778)),1,0)</f>
        <v>0</v>
      </c>
      <c r="R778" s="56" t="n">
        <f aca="false">IF(AND(D778&gt;1,Q778=0,ISNUMBER(O778),ISNUMBER(P778)),IF(Q777=0,1,0),0)</f>
        <v>1</v>
      </c>
      <c r="S778" s="56" t="n">
        <f aca="false">R778*(B778&gt;=Train_Start)*(B778&lt;=Train_End)</f>
        <v>1</v>
      </c>
      <c r="T778" s="84" t="n">
        <f aca="false">IF(AND(ISNUMBER(O778),ISNUMBER(P778)),Coef_A+Coef_B1*O778+Coef_B2*P778,"")</f>
        <v>16.0239168543321</v>
      </c>
      <c r="U778" s="84" t="n">
        <f aca="false">IF(AND(R778=1,ISNUMBER(T778)),E778-T778,"")</f>
        <v>0.576083145667905</v>
      </c>
      <c r="V778" s="84" t="n">
        <f aca="false">IF(ISNUMBER(T778),T778,-99)</f>
        <v>16.0239168543321</v>
      </c>
      <c r="W778" s="84" t="n">
        <f aca="false">IF(ISNUMBER(U778),ABS(U778),"")</f>
        <v>0.576083145667905</v>
      </c>
    </row>
    <row r="779" customFormat="false" ht="15" hidden="false" customHeight="false" outlineLevel="0" collapsed="false">
      <c r="A779" s="57" t="n">
        <v>30815</v>
      </c>
      <c r="B779" s="56" t="n">
        <v>1984</v>
      </c>
      <c r="C779" s="56" t="n">
        <v>5</v>
      </c>
      <c r="D779" s="56" t="n">
        <v>13</v>
      </c>
      <c r="E779" s="56" t="n">
        <v>16.5</v>
      </c>
      <c r="F779" s="56" t="n">
        <v>0</v>
      </c>
      <c r="G779" s="56" t="n">
        <v>4.2</v>
      </c>
      <c r="H779" s="56" t="n">
        <v>0</v>
      </c>
      <c r="I779" s="56" t="n">
        <v>10.4</v>
      </c>
      <c r="J779" s="56" t="n">
        <v>0</v>
      </c>
      <c r="K779" s="56" t="n">
        <v>1025.2</v>
      </c>
      <c r="L779" s="56" t="n">
        <v>0</v>
      </c>
      <c r="M779" s="56" t="n">
        <v>55</v>
      </c>
      <c r="N779" s="56" t="n">
        <v>10.2</v>
      </c>
      <c r="O779" s="56" t="n">
        <f aca="false">IF(D779=1,"",E778)</f>
        <v>16.6</v>
      </c>
      <c r="P779" s="56" t="n">
        <f aca="false">IF(OR(D779=1,K778=""),"",K778)</f>
        <v>1027.2</v>
      </c>
      <c r="Q779" s="56" t="n">
        <f aca="false">IF(OR(F779&lt;&gt;0,AND(I779&lt;&gt;"",E779&lt;I779)),1,0)</f>
        <v>0</v>
      </c>
      <c r="R779" s="56" t="n">
        <f aca="false">IF(AND(D779&gt;1,Q779=0,ISNUMBER(O779),ISNUMBER(P779)),IF(Q778=0,1,0),0)</f>
        <v>1</v>
      </c>
      <c r="S779" s="56" t="n">
        <f aca="false">R779*(B779&gt;=Train_Start)*(B779&lt;=Train_End)</f>
        <v>1</v>
      </c>
      <c r="T779" s="84" t="n">
        <f aca="false">IF(AND(ISNUMBER(O779),ISNUMBER(P779)),Coef_A+Coef_B1*O779+Coef_B2*P779,"")</f>
        <v>17.9111617945377</v>
      </c>
      <c r="U779" s="84" t="n">
        <f aca="false">IF(AND(R779=1,ISNUMBER(T779)),E779-T779,"")</f>
        <v>-1.41116179453772</v>
      </c>
      <c r="V779" s="84" t="n">
        <f aca="false">IF(ISNUMBER(T779),T779,-99)</f>
        <v>17.9111617945377</v>
      </c>
      <c r="W779" s="84" t="n">
        <f aca="false">IF(ISNUMBER(U779),ABS(U779),"")</f>
        <v>1.41116179453772</v>
      </c>
    </row>
    <row r="780" customFormat="false" ht="15" hidden="false" customHeight="false" outlineLevel="0" collapsed="false">
      <c r="A780" s="57" t="n">
        <v>30816</v>
      </c>
      <c r="B780" s="56" t="n">
        <v>1984</v>
      </c>
      <c r="C780" s="56" t="n">
        <v>5</v>
      </c>
      <c r="D780" s="56" t="n">
        <v>14</v>
      </c>
      <c r="E780" s="56" t="n">
        <v>13.1</v>
      </c>
      <c r="F780" s="56" t="n">
        <v>0</v>
      </c>
      <c r="G780" s="56" t="n">
        <v>6.1</v>
      </c>
      <c r="H780" s="56" t="n">
        <v>0</v>
      </c>
      <c r="I780" s="56" t="n">
        <v>11.3</v>
      </c>
      <c r="J780" s="56" t="n">
        <v>0</v>
      </c>
      <c r="K780" s="56" t="n">
        <v>1015.2</v>
      </c>
      <c r="L780" s="56" t="n">
        <v>0</v>
      </c>
      <c r="M780" s="56" t="n">
        <v>65</v>
      </c>
      <c r="N780" s="56" t="n">
        <v>0.1</v>
      </c>
      <c r="O780" s="56" t="n">
        <f aca="false">IF(D780=1,"",E779)</f>
        <v>16.5</v>
      </c>
      <c r="P780" s="56" t="n">
        <f aca="false">IF(OR(D780=1,K779=""),"",K779)</f>
        <v>1025.2</v>
      </c>
      <c r="Q780" s="56" t="n">
        <f aca="false">IF(OR(F780&lt;&gt;0,AND(I780&lt;&gt;"",E780&lt;I780)),1,0)</f>
        <v>0</v>
      </c>
      <c r="R780" s="56" t="n">
        <f aca="false">IF(AND(D780&gt;1,Q780=0,ISNUMBER(O780),ISNUMBER(P780)),IF(Q779=0,1,0),0)</f>
        <v>1</v>
      </c>
      <c r="S780" s="56" t="n">
        <f aca="false">R780*(B780&gt;=Train_Start)*(B780&lt;=Train_End)</f>
        <v>1</v>
      </c>
      <c r="T780" s="84" t="n">
        <f aca="false">IF(AND(ISNUMBER(O780),ISNUMBER(P780)),Coef_A+Coef_B1*O780+Coef_B2*P780,"")</f>
        <v>17.7664880859655</v>
      </c>
      <c r="U780" s="84" t="n">
        <f aca="false">IF(AND(R780=1,ISNUMBER(T780)),E780-T780,"")</f>
        <v>-4.66648808596548</v>
      </c>
      <c r="V780" s="84" t="n">
        <f aca="false">IF(ISNUMBER(T780),T780,-99)</f>
        <v>17.7664880859655</v>
      </c>
      <c r="W780" s="84" t="n">
        <f aca="false">IF(ISNUMBER(U780),ABS(U780),"")</f>
        <v>4.66648808596548</v>
      </c>
    </row>
    <row r="781" customFormat="false" ht="15" hidden="false" customHeight="false" outlineLevel="0" collapsed="false">
      <c r="A781" s="57" t="n">
        <v>30817</v>
      </c>
      <c r="B781" s="56" t="n">
        <v>1984</v>
      </c>
      <c r="C781" s="56" t="n">
        <v>5</v>
      </c>
      <c r="D781" s="56" t="n">
        <v>15</v>
      </c>
      <c r="E781" s="56" t="n">
        <v>17</v>
      </c>
      <c r="F781" s="56" t="n">
        <v>0</v>
      </c>
      <c r="G781" s="56" t="n">
        <v>6.8</v>
      </c>
      <c r="H781" s="56" t="n">
        <v>0</v>
      </c>
      <c r="I781" s="56" t="n">
        <v>10</v>
      </c>
      <c r="J781" s="56" t="n">
        <v>0</v>
      </c>
      <c r="K781" s="56" t="n">
        <v>1004.7</v>
      </c>
      <c r="L781" s="56" t="n">
        <v>0</v>
      </c>
      <c r="M781" s="56" t="n">
        <v>76</v>
      </c>
      <c r="N781" s="56" t="n">
        <v>0</v>
      </c>
      <c r="O781" s="56" t="n">
        <f aca="false">IF(D781=1,"",E780)</f>
        <v>13.1</v>
      </c>
      <c r="P781" s="56" t="n">
        <f aca="false">IF(OR(D781=1,K780=""),"",K780)</f>
        <v>1015.2</v>
      </c>
      <c r="Q781" s="56" t="n">
        <f aca="false">IF(OR(F781&lt;&gt;0,AND(I781&lt;&gt;"",E781&lt;I781)),1,0)</f>
        <v>0</v>
      </c>
      <c r="R781" s="56" t="n">
        <f aca="false">IF(AND(D781&gt;1,Q781=0,ISNUMBER(O781),ISNUMBER(P781)),IF(Q780=0,1,0),0)</f>
        <v>1</v>
      </c>
      <c r="S781" s="56" t="n">
        <f aca="false">R781*(B781&gt;=Train_Start)*(B781&lt;=Train_End)</f>
        <v>1</v>
      </c>
      <c r="T781" s="84" t="n">
        <f aca="false">IF(AND(ISNUMBER(O781),ISNUMBER(P781)),Coef_A+Coef_B1*O781+Coef_B2*P781,"")</f>
        <v>14.6670358832805</v>
      </c>
      <c r="U781" s="84" t="n">
        <f aca="false">IF(AND(R781=1,ISNUMBER(T781)),E781-T781,"")</f>
        <v>2.33296411671946</v>
      </c>
      <c r="V781" s="84" t="n">
        <f aca="false">IF(ISNUMBER(T781),T781,-99)</f>
        <v>14.6670358832805</v>
      </c>
      <c r="W781" s="84" t="n">
        <f aca="false">IF(ISNUMBER(U781),ABS(U781),"")</f>
        <v>2.33296411671946</v>
      </c>
    </row>
    <row r="782" customFormat="false" ht="15" hidden="false" customHeight="false" outlineLevel="0" collapsed="false">
      <c r="A782" s="57" t="n">
        <v>30818</v>
      </c>
      <c r="B782" s="56" t="n">
        <v>1984</v>
      </c>
      <c r="C782" s="56" t="n">
        <v>5</v>
      </c>
      <c r="D782" s="56" t="n">
        <v>16</v>
      </c>
      <c r="E782" s="56" t="n">
        <v>12.9</v>
      </c>
      <c r="F782" s="56" t="n">
        <v>0</v>
      </c>
      <c r="G782" s="56" t="n">
        <v>8.5</v>
      </c>
      <c r="H782" s="56" t="n">
        <v>0</v>
      </c>
      <c r="I782" s="56" t="n">
        <v>12.8</v>
      </c>
      <c r="J782" s="56" t="n">
        <v>0</v>
      </c>
      <c r="K782" s="56" t="n">
        <v>999.9</v>
      </c>
      <c r="L782" s="56" t="n">
        <v>0</v>
      </c>
      <c r="M782" s="56" t="n">
        <v>75</v>
      </c>
      <c r="N782" s="56" t="n">
        <v>0.2</v>
      </c>
      <c r="O782" s="56" t="n">
        <f aca="false">IF(D782=1,"",E781)</f>
        <v>17</v>
      </c>
      <c r="P782" s="56" t="n">
        <f aca="false">IF(OR(D782=1,K781=""),"",K781)</f>
        <v>1004.7</v>
      </c>
      <c r="Q782" s="56" t="n">
        <f aca="false">IF(OR(F782&lt;&gt;0,AND(I782&lt;&gt;"",E782&lt;I782)),1,0)</f>
        <v>0</v>
      </c>
      <c r="R782" s="56" t="n">
        <f aca="false">IF(AND(D782&gt;1,Q782=0,ISNUMBER(O782),ISNUMBER(P782)),IF(Q781=0,1,0),0)</f>
        <v>1</v>
      </c>
      <c r="S782" s="56" t="n">
        <f aca="false">R782*(B782&gt;=Train_Start)*(B782&lt;=Train_End)</f>
        <v>1</v>
      </c>
      <c r="T782" s="84" t="n">
        <f aca="false">IF(AND(ISNUMBER(O782),ISNUMBER(P782)),Coef_A+Coef_B1*O782+Coef_B2*P782,"")</f>
        <v>17.53307484249</v>
      </c>
      <c r="U782" s="84" t="n">
        <f aca="false">IF(AND(R782=1,ISNUMBER(T782)),E782-T782,"")</f>
        <v>-4.63307484249002</v>
      </c>
      <c r="V782" s="84" t="n">
        <f aca="false">IF(ISNUMBER(T782),T782,-99)</f>
        <v>17.53307484249</v>
      </c>
      <c r="W782" s="84" t="n">
        <f aca="false">IF(ISNUMBER(U782),ABS(U782),"")</f>
        <v>4.63307484249002</v>
      </c>
    </row>
    <row r="783" customFormat="false" ht="15" hidden="false" customHeight="false" outlineLevel="0" collapsed="false">
      <c r="A783" s="57" t="n">
        <v>30819</v>
      </c>
      <c r="B783" s="56" t="n">
        <v>1984</v>
      </c>
      <c r="C783" s="56" t="n">
        <v>5</v>
      </c>
      <c r="D783" s="56" t="n">
        <v>17</v>
      </c>
      <c r="E783" s="56" t="n">
        <v>14.4</v>
      </c>
      <c r="F783" s="56" t="n">
        <v>0</v>
      </c>
      <c r="G783" s="56" t="n">
        <v>9.1</v>
      </c>
      <c r="H783" s="56" t="n">
        <v>0</v>
      </c>
      <c r="I783" s="56" t="n">
        <v>11</v>
      </c>
      <c r="J783" s="56" t="n">
        <v>0</v>
      </c>
      <c r="K783" s="56" t="n">
        <v>1003</v>
      </c>
      <c r="L783" s="56" t="n">
        <v>0</v>
      </c>
      <c r="M783" s="56" t="n">
        <v>90</v>
      </c>
      <c r="N783" s="56" t="n">
        <v>0.1</v>
      </c>
      <c r="O783" s="56" t="n">
        <f aca="false">IF(D783=1,"",E782)</f>
        <v>12.9</v>
      </c>
      <c r="P783" s="56" t="n">
        <f aca="false">IF(OR(D783=1,K782=""),"",K782)</f>
        <v>999.9</v>
      </c>
      <c r="Q783" s="56" t="n">
        <f aca="false">IF(OR(F783&lt;&gt;0,AND(I783&lt;&gt;"",E783&lt;I783)),1,0)</f>
        <v>0</v>
      </c>
      <c r="R783" s="56" t="n">
        <f aca="false">IF(AND(D783&gt;1,Q783=0,ISNUMBER(O783),ISNUMBER(P783)),IF(Q782=0,1,0),0)</f>
        <v>1</v>
      </c>
      <c r="S783" s="56" t="n">
        <f aca="false">R783*(B783&gt;=Train_Start)*(B783&lt;=Train_End)</f>
        <v>1</v>
      </c>
      <c r="T783" s="84" t="n">
        <f aca="false">IF(AND(ISNUMBER(O783),ISNUMBER(P783)),Coef_A+Coef_B1*O783+Coef_B2*P783,"")</f>
        <v>14.023208656772</v>
      </c>
      <c r="U783" s="84" t="n">
        <f aca="false">IF(AND(R783=1,ISNUMBER(T783)),E783-T783,"")</f>
        <v>0.37679134322803</v>
      </c>
      <c r="V783" s="84" t="n">
        <f aca="false">IF(ISNUMBER(T783),T783,-99)</f>
        <v>14.023208656772</v>
      </c>
      <c r="W783" s="84" t="n">
        <f aca="false">IF(ISNUMBER(U783),ABS(U783),"")</f>
        <v>0.37679134322803</v>
      </c>
    </row>
    <row r="784" customFormat="false" ht="15" hidden="false" customHeight="false" outlineLevel="0" collapsed="false">
      <c r="A784" s="57" t="n">
        <v>30820</v>
      </c>
      <c r="B784" s="56" t="n">
        <v>1984</v>
      </c>
      <c r="C784" s="56" t="n">
        <v>5</v>
      </c>
      <c r="D784" s="56" t="n">
        <v>18</v>
      </c>
      <c r="E784" s="56" t="n">
        <v>16</v>
      </c>
      <c r="F784" s="56" t="n">
        <v>0</v>
      </c>
      <c r="G784" s="56" t="n">
        <v>8.9</v>
      </c>
      <c r="H784" s="56" t="n">
        <v>0</v>
      </c>
      <c r="I784" s="56" t="n">
        <v>11.6</v>
      </c>
      <c r="J784" s="56" t="n">
        <v>0</v>
      </c>
      <c r="K784" s="56" t="n">
        <v>1010.7</v>
      </c>
      <c r="L784" s="56" t="n">
        <v>0</v>
      </c>
      <c r="M784" s="56" t="n">
        <v>75</v>
      </c>
      <c r="N784" s="56" t="n">
        <v>1.1</v>
      </c>
      <c r="O784" s="56" t="n">
        <f aca="false">IF(D784=1,"",E783)</f>
        <v>14.4</v>
      </c>
      <c r="P784" s="56" t="n">
        <f aca="false">IF(OR(D784=1,K783=""),"",K783)</f>
        <v>1003</v>
      </c>
      <c r="Q784" s="56" t="n">
        <f aca="false">IF(OR(F784&lt;&gt;0,AND(I784&lt;&gt;"",E784&lt;I784)),1,0)</f>
        <v>0</v>
      </c>
      <c r="R784" s="56" t="n">
        <f aca="false">IF(AND(D784&gt;1,Q784=0,ISNUMBER(O784),ISNUMBER(P784)),IF(Q783=0,1,0),0)</f>
        <v>1</v>
      </c>
      <c r="S784" s="56" t="n">
        <f aca="false">R784*(B784&gt;=Train_Start)*(B784&lt;=Train_End)</f>
        <v>1</v>
      </c>
      <c r="T784" s="84" t="n">
        <f aca="false">IF(AND(ISNUMBER(O784),ISNUMBER(P784)),Coef_A+Coef_B1*O784+Coef_B2*P784,"")</f>
        <v>15.3494641197013</v>
      </c>
      <c r="U784" s="84" t="n">
        <f aca="false">IF(AND(R784=1,ISNUMBER(T784)),E784-T784,"")</f>
        <v>0.650535880298673</v>
      </c>
      <c r="V784" s="84" t="n">
        <f aca="false">IF(ISNUMBER(T784),T784,-99)</f>
        <v>15.3494641197013</v>
      </c>
      <c r="W784" s="84" t="n">
        <f aca="false">IF(ISNUMBER(U784),ABS(U784),"")</f>
        <v>0.650535880298673</v>
      </c>
    </row>
    <row r="785" customFormat="false" ht="15" hidden="false" customHeight="false" outlineLevel="0" collapsed="false">
      <c r="A785" s="57" t="n">
        <v>30821</v>
      </c>
      <c r="B785" s="56" t="n">
        <v>1984</v>
      </c>
      <c r="C785" s="56" t="n">
        <v>5</v>
      </c>
      <c r="D785" s="56" t="n">
        <v>19</v>
      </c>
      <c r="E785" s="56" t="n">
        <v>11.9</v>
      </c>
      <c r="F785" s="56" t="n">
        <v>0</v>
      </c>
      <c r="G785" s="56" t="n">
        <v>5.2</v>
      </c>
      <c r="H785" s="56" t="n">
        <v>0</v>
      </c>
      <c r="I785" s="56" t="n">
        <v>10.6</v>
      </c>
      <c r="J785" s="56" t="n">
        <v>0</v>
      </c>
      <c r="K785" s="56" t="n">
        <v>1007.1</v>
      </c>
      <c r="L785" s="56" t="n">
        <v>0</v>
      </c>
      <c r="M785" s="56" t="n">
        <v>71</v>
      </c>
      <c r="N785" s="56" t="n">
        <v>6</v>
      </c>
      <c r="O785" s="56" t="n">
        <f aca="false">IF(D785=1,"",E784)</f>
        <v>16</v>
      </c>
      <c r="P785" s="56" t="n">
        <f aca="false">IF(OR(D785=1,K784=""),"",K784)</f>
        <v>1010.7</v>
      </c>
      <c r="Q785" s="56" t="n">
        <f aca="false">IF(OR(F785&lt;&gt;0,AND(I785&lt;&gt;"",E785&lt;I785)),1,0)</f>
        <v>0</v>
      </c>
      <c r="R785" s="56" t="n">
        <f aca="false">IF(AND(D785&gt;1,Q785=0,ISNUMBER(O785),ISNUMBER(P785)),IF(Q784=0,1,0),0)</f>
        <v>1</v>
      </c>
      <c r="S785" s="56" t="n">
        <f aca="false">R785*(B785&gt;=Train_Start)*(B785&lt;=Train_End)</f>
        <v>1</v>
      </c>
      <c r="T785" s="84" t="n">
        <f aca="false">IF(AND(ISNUMBER(O785),ISNUMBER(P785)),Coef_A+Coef_B1*O785+Coef_B2*P785,"")</f>
        <v>16.9019550172513</v>
      </c>
      <c r="U785" s="84" t="n">
        <f aca="false">IF(AND(R785=1,ISNUMBER(T785)),E785-T785,"")</f>
        <v>-5.0019550172513</v>
      </c>
      <c r="V785" s="84" t="n">
        <f aca="false">IF(ISNUMBER(T785),T785,-99)</f>
        <v>16.9019550172513</v>
      </c>
      <c r="W785" s="84" t="n">
        <f aca="false">IF(ISNUMBER(U785),ABS(U785),"")</f>
        <v>5.0019550172513</v>
      </c>
    </row>
    <row r="786" customFormat="false" ht="15" hidden="false" customHeight="false" outlineLevel="0" collapsed="false">
      <c r="A786" s="57" t="n">
        <v>30822</v>
      </c>
      <c r="B786" s="56" t="n">
        <v>1984</v>
      </c>
      <c r="C786" s="56" t="n">
        <v>5</v>
      </c>
      <c r="D786" s="56" t="n">
        <v>20</v>
      </c>
      <c r="E786" s="56" t="n">
        <v>13.7</v>
      </c>
      <c r="F786" s="56" t="n">
        <v>0</v>
      </c>
      <c r="G786" s="56" t="n">
        <v>7.2</v>
      </c>
      <c r="H786" s="56" t="n">
        <v>0</v>
      </c>
      <c r="I786" s="56" t="n">
        <v>9.6</v>
      </c>
      <c r="J786" s="56" t="n">
        <v>0</v>
      </c>
      <c r="K786" s="56" t="n">
        <v>1001.6</v>
      </c>
      <c r="L786" s="56" t="n">
        <v>0</v>
      </c>
      <c r="M786" s="56" t="n">
        <v>82</v>
      </c>
      <c r="N786" s="56" t="n">
        <v>0</v>
      </c>
      <c r="O786" s="56" t="n">
        <f aca="false">IF(D786=1,"",E785)</f>
        <v>11.9</v>
      </c>
      <c r="P786" s="56" t="n">
        <f aca="false">IF(OR(D786=1,K785=""),"",K785)</f>
        <v>1007.1</v>
      </c>
      <c r="Q786" s="56" t="n">
        <f aca="false">IF(OR(F786&lt;&gt;0,AND(I786&lt;&gt;"",E786&lt;I786)),1,0)</f>
        <v>0</v>
      </c>
      <c r="R786" s="56" t="n">
        <f aca="false">IF(AND(D786&gt;1,Q786=0,ISNUMBER(O786),ISNUMBER(P786)),IF(Q785=0,1,0),0)</f>
        <v>1</v>
      </c>
      <c r="S786" s="56" t="n">
        <f aca="false">R786*(B786&gt;=Train_Start)*(B786&lt;=Train_End)</f>
        <v>1</v>
      </c>
      <c r="T786" s="84" t="n">
        <f aca="false">IF(AND(ISNUMBER(O786),ISNUMBER(P786)),Coef_A+Coef_B1*O786+Coef_B2*P786,"")</f>
        <v>13.429732705094</v>
      </c>
      <c r="U786" s="84" t="n">
        <f aca="false">IF(AND(R786=1,ISNUMBER(T786)),E786-T786,"")</f>
        <v>0.27026729490596</v>
      </c>
      <c r="V786" s="84" t="n">
        <f aca="false">IF(ISNUMBER(T786),T786,-99)</f>
        <v>13.429732705094</v>
      </c>
      <c r="W786" s="84" t="n">
        <f aca="false">IF(ISNUMBER(U786),ABS(U786),"")</f>
        <v>0.27026729490596</v>
      </c>
    </row>
    <row r="787" customFormat="false" ht="15" hidden="false" customHeight="false" outlineLevel="0" collapsed="false">
      <c r="A787" s="57" t="n">
        <v>30823</v>
      </c>
      <c r="B787" s="56" t="n">
        <v>1984</v>
      </c>
      <c r="C787" s="56" t="n">
        <v>5</v>
      </c>
      <c r="D787" s="56" t="n">
        <v>21</v>
      </c>
      <c r="E787" s="56" t="n">
        <v>13.2</v>
      </c>
      <c r="F787" s="56" t="n">
        <v>0</v>
      </c>
      <c r="G787" s="56" t="n">
        <v>6.5</v>
      </c>
      <c r="H787" s="56" t="n">
        <v>0</v>
      </c>
      <c r="I787" s="56" t="n">
        <v>10.1</v>
      </c>
      <c r="J787" s="56" t="n">
        <v>0</v>
      </c>
      <c r="K787" s="56" t="n">
        <v>1001.5</v>
      </c>
      <c r="L787" s="56" t="n">
        <v>0</v>
      </c>
      <c r="M787" s="56" t="n">
        <v>78</v>
      </c>
      <c r="N787" s="56" t="n">
        <v>0.5</v>
      </c>
      <c r="O787" s="56" t="n">
        <f aca="false">IF(D787=1,"",E786)</f>
        <v>13.7</v>
      </c>
      <c r="P787" s="56" t="n">
        <f aca="false">IF(OR(D787=1,K786=""),"",K786)</f>
        <v>1001.6</v>
      </c>
      <c r="Q787" s="56" t="n">
        <f aca="false">IF(OR(F787&lt;&gt;0,AND(I787&lt;&gt;"",E787&lt;I787)),1,0)</f>
        <v>0</v>
      </c>
      <c r="R787" s="56" t="n">
        <f aca="false">IF(AND(D787&gt;1,Q787=0,ISNUMBER(O787),ISNUMBER(P787)),IF(Q786=0,1,0),0)</f>
        <v>1</v>
      </c>
      <c r="S787" s="56" t="n">
        <f aca="false">R787*(B787&gt;=Train_Start)*(B787&lt;=Train_End)</f>
        <v>1</v>
      </c>
      <c r="T787" s="84" t="n">
        <f aca="false">IF(AND(ISNUMBER(O787),ISNUMBER(P787)),Coef_A+Coef_B1*O787+Coef_B2*P787,"")</f>
        <v>14.7320088320839</v>
      </c>
      <c r="U787" s="84" t="n">
        <f aca="false">IF(AND(R787=1,ISNUMBER(T787)),E787-T787,"")</f>
        <v>-1.53200883208388</v>
      </c>
      <c r="V787" s="84" t="n">
        <f aca="false">IF(ISNUMBER(T787),T787,-99)</f>
        <v>14.7320088320839</v>
      </c>
      <c r="W787" s="84" t="n">
        <f aca="false">IF(ISNUMBER(U787),ABS(U787),"")</f>
        <v>1.53200883208388</v>
      </c>
    </row>
    <row r="788" customFormat="false" ht="15" hidden="false" customHeight="false" outlineLevel="0" collapsed="false">
      <c r="A788" s="57" t="n">
        <v>30824</v>
      </c>
      <c r="B788" s="56" t="n">
        <v>1984</v>
      </c>
      <c r="C788" s="56" t="n">
        <v>5</v>
      </c>
      <c r="D788" s="56" t="n">
        <v>22</v>
      </c>
      <c r="E788" s="56" t="n">
        <v>18.3</v>
      </c>
      <c r="F788" s="56" t="n">
        <v>0</v>
      </c>
      <c r="G788" s="56" t="n">
        <v>9.2</v>
      </c>
      <c r="H788" s="56" t="n">
        <v>0</v>
      </c>
      <c r="I788" s="56" t="n">
        <v>11.2</v>
      </c>
      <c r="J788" s="56" t="n">
        <v>0</v>
      </c>
      <c r="K788" s="56" t="n">
        <v>994.7</v>
      </c>
      <c r="L788" s="56" t="n">
        <v>0</v>
      </c>
      <c r="M788" s="56" t="n">
        <v>94</v>
      </c>
      <c r="N788" s="56" t="n">
        <v>0</v>
      </c>
      <c r="O788" s="56" t="n">
        <f aca="false">IF(D788=1,"",E787)</f>
        <v>13.2</v>
      </c>
      <c r="P788" s="56" t="n">
        <f aca="false">IF(OR(D788=1,K787=""),"",K787)</f>
        <v>1001.5</v>
      </c>
      <c r="Q788" s="56" t="n">
        <f aca="false">IF(OR(F788&lt;&gt;0,AND(I788&lt;&gt;"",E788&lt;I788)),1,0)</f>
        <v>0</v>
      </c>
      <c r="R788" s="56" t="n">
        <f aca="false">IF(AND(D788&gt;1,Q788=0,ISNUMBER(O788),ISNUMBER(P788)),IF(Q787=0,1,0),0)</f>
        <v>1</v>
      </c>
      <c r="S788" s="56" t="n">
        <f aca="false">R788*(B788&gt;=Train_Start)*(B788&lt;=Train_End)</f>
        <v>1</v>
      </c>
      <c r="T788" s="84" t="n">
        <f aca="false">IF(AND(ISNUMBER(O788),ISNUMBER(P788)),Coef_A+Coef_B1*O788+Coef_B2*P788,"")</f>
        <v>14.3192022460992</v>
      </c>
      <c r="U788" s="84" t="n">
        <f aca="false">IF(AND(R788=1,ISNUMBER(T788)),E788-T788,"")</f>
        <v>3.98079775390085</v>
      </c>
      <c r="V788" s="84" t="n">
        <f aca="false">IF(ISNUMBER(T788),T788,-99)</f>
        <v>14.3192022460992</v>
      </c>
      <c r="W788" s="84" t="n">
        <f aca="false">IF(ISNUMBER(U788),ABS(U788),"")</f>
        <v>3.98079775390085</v>
      </c>
    </row>
    <row r="789" customFormat="false" ht="15" hidden="false" customHeight="false" outlineLevel="0" collapsed="false">
      <c r="A789" s="57" t="n">
        <v>30825</v>
      </c>
      <c r="B789" s="56" t="n">
        <v>1984</v>
      </c>
      <c r="C789" s="56" t="n">
        <v>5</v>
      </c>
      <c r="D789" s="56" t="n">
        <v>23</v>
      </c>
      <c r="E789" s="56" t="n">
        <v>23</v>
      </c>
      <c r="F789" s="56" t="n">
        <v>0</v>
      </c>
      <c r="G789" s="56" t="n">
        <v>7.5</v>
      </c>
      <c r="H789" s="56" t="n">
        <v>0</v>
      </c>
      <c r="I789" s="56" t="n">
        <v>12.9</v>
      </c>
      <c r="J789" s="56" t="n">
        <v>0</v>
      </c>
      <c r="K789" s="56" t="n">
        <v>1006.2</v>
      </c>
      <c r="L789" s="56" t="n">
        <v>0</v>
      </c>
      <c r="M789" s="56" t="n">
        <v>67</v>
      </c>
      <c r="N789" s="56" t="n">
        <v>9.6</v>
      </c>
      <c r="O789" s="56" t="n">
        <f aca="false">IF(D789=1,"",E788)</f>
        <v>18.3</v>
      </c>
      <c r="P789" s="56" t="n">
        <f aca="false">IF(OR(D789=1,K788=""),"",K788)</f>
        <v>994.7</v>
      </c>
      <c r="Q789" s="56" t="n">
        <f aca="false">IF(OR(F789&lt;&gt;0,AND(I789&lt;&gt;"",E789&lt;I789)),1,0)</f>
        <v>0</v>
      </c>
      <c r="R789" s="56" t="n">
        <f aca="false">IF(AND(D789&gt;1,Q789=0,ISNUMBER(O789),ISNUMBER(P789)),IF(Q788=0,1,0),0)</f>
        <v>1</v>
      </c>
      <c r="S789" s="56" t="n">
        <f aca="false">R789*(B789&gt;=Train_Start)*(B789&lt;=Train_End)</f>
        <v>1</v>
      </c>
      <c r="T789" s="84" t="n">
        <f aca="false">IF(AND(ISNUMBER(O789),ISNUMBER(P789)),Coef_A+Coef_B1*O789+Coef_B2*P789,"")</f>
        <v>18.2845168471056</v>
      </c>
      <c r="U789" s="84" t="n">
        <f aca="false">IF(AND(R789=1,ISNUMBER(T789)),E789-T789,"")</f>
        <v>4.71548315289442</v>
      </c>
      <c r="V789" s="84" t="n">
        <f aca="false">IF(ISNUMBER(T789),T789,-99)</f>
        <v>18.2845168471056</v>
      </c>
      <c r="W789" s="84" t="n">
        <f aca="false">IF(ISNUMBER(U789),ABS(U789),"")</f>
        <v>4.71548315289442</v>
      </c>
    </row>
    <row r="790" customFormat="false" ht="15" hidden="false" customHeight="false" outlineLevel="0" collapsed="false">
      <c r="A790" s="57" t="n">
        <v>30826</v>
      </c>
      <c r="B790" s="56" t="n">
        <v>1984</v>
      </c>
      <c r="C790" s="56" t="n">
        <v>5</v>
      </c>
      <c r="D790" s="56" t="n">
        <v>24</v>
      </c>
      <c r="E790" s="56" t="n">
        <v>12.5</v>
      </c>
      <c r="F790" s="56" t="n">
        <v>1</v>
      </c>
      <c r="G790" s="56" t="n">
        <v>10.2</v>
      </c>
      <c r="H790" s="56" t="n">
        <v>0</v>
      </c>
      <c r="I790" s="56" t="n">
        <v>16.6</v>
      </c>
      <c r="J790" s="56" t="n">
        <v>1</v>
      </c>
      <c r="K790" s="56" t="n">
        <v>1007.8</v>
      </c>
      <c r="L790" s="56" t="n">
        <v>0</v>
      </c>
      <c r="M790" s="56" t="n">
        <v>65</v>
      </c>
      <c r="N790" s="56" t="n">
        <v>12.7</v>
      </c>
      <c r="O790" s="56" t="n">
        <f aca="false">IF(D790=1,"",E789)</f>
        <v>23</v>
      </c>
      <c r="P790" s="56" t="n">
        <f aca="false">IF(OR(D790=1,K789=""),"",K789)</f>
        <v>1006.2</v>
      </c>
      <c r="Q790" s="56" t="n">
        <f aca="false">IF(OR(F790&lt;&gt;0,AND(I790&lt;&gt;"",E790&lt;I790)),1,0)</f>
        <v>1</v>
      </c>
      <c r="R790" s="56" t="n">
        <f aca="false">IF(AND(D790&gt;1,Q790=0,ISNUMBER(O790),ISNUMBER(P790)),IF(Q789=0,1,0),0)</f>
        <v>0</v>
      </c>
      <c r="S790" s="56" t="n">
        <f aca="false">R790*(B790&gt;=Train_Start)*(B790&lt;=Train_End)</f>
        <v>0</v>
      </c>
      <c r="T790" s="84" t="n">
        <f aca="false">IF(AND(ISNUMBER(O790),ISNUMBER(P790)),Coef_A+Coef_B1*O790+Coef_B2*P790,"")</f>
        <v>22.496164842697</v>
      </c>
      <c r="U790" s="84" t="str">
        <f aca="false">IF(AND(R790=1,ISNUMBER(T790)),E790-T790,"")</f>
        <v/>
      </c>
      <c r="V790" s="84" t="n">
        <f aca="false">IF(ISNUMBER(T790),T790,-99)</f>
        <v>22.496164842697</v>
      </c>
      <c r="W790" s="84" t="str">
        <f aca="false">IF(ISNUMBER(U790),ABS(U790),"")</f>
        <v/>
      </c>
    </row>
    <row r="791" customFormat="false" ht="15" hidden="false" customHeight="false" outlineLevel="0" collapsed="false">
      <c r="A791" s="57" t="n">
        <v>30827</v>
      </c>
      <c r="B791" s="56" t="n">
        <v>1984</v>
      </c>
      <c r="C791" s="56" t="n">
        <v>5</v>
      </c>
      <c r="D791" s="56" t="n">
        <v>25</v>
      </c>
      <c r="E791" s="56" t="n">
        <v>10.9</v>
      </c>
      <c r="F791" s="56" t="n">
        <v>0</v>
      </c>
      <c r="G791" s="56" t="n">
        <v>8.8</v>
      </c>
      <c r="H791" s="56" t="n">
        <v>0</v>
      </c>
      <c r="I791" s="56" t="n">
        <v>10.6</v>
      </c>
      <c r="J791" s="56" t="n">
        <v>0</v>
      </c>
      <c r="K791" s="56" t="n">
        <v>1005.8</v>
      </c>
      <c r="L791" s="56" t="n">
        <v>0</v>
      </c>
      <c r="M791" s="56" t="n">
        <v>85</v>
      </c>
      <c r="N791" s="56" t="n">
        <v>0</v>
      </c>
      <c r="O791" s="56" t="n">
        <f aca="false">IF(D791=1,"",E790)</f>
        <v>12.5</v>
      </c>
      <c r="P791" s="56" t="n">
        <f aca="false">IF(OR(D791=1,K790=""),"",K790)</f>
        <v>1007.8</v>
      </c>
      <c r="Q791" s="56" t="n">
        <f aca="false">IF(OR(F791&lt;&gt;0,AND(I791&lt;&gt;"",E791&lt;I791)),1,0)</f>
        <v>0</v>
      </c>
      <c r="R791" s="56" t="n">
        <f aca="false">IF(AND(D791&gt;1,Q791=0,ISNUMBER(O791),ISNUMBER(P791)),IF(Q790=0,1,0),0)</f>
        <v>0</v>
      </c>
      <c r="S791" s="56" t="n">
        <f aca="false">R791*(B791&gt;=Train_Start)*(B791&lt;=Train_End)</f>
        <v>0</v>
      </c>
      <c r="T791" s="84" t="n">
        <f aca="false">IF(AND(ISNUMBER(O791),ISNUMBER(P791)),Coef_A+Coef_B1*O791+Coef_B2*P791,"")</f>
        <v>13.9432951471634</v>
      </c>
      <c r="U791" s="84" t="str">
        <f aca="false">IF(AND(R791=1,ISNUMBER(T791)),E791-T791,"")</f>
        <v/>
      </c>
      <c r="V791" s="84" t="n">
        <f aca="false">IF(ISNUMBER(T791),T791,-99)</f>
        <v>13.9432951471634</v>
      </c>
      <c r="W791" s="84" t="str">
        <f aca="false">IF(ISNUMBER(U791),ABS(U791),"")</f>
        <v/>
      </c>
    </row>
    <row r="792" customFormat="false" ht="15" hidden="false" customHeight="false" outlineLevel="0" collapsed="false">
      <c r="A792" s="57" t="n">
        <v>30828</v>
      </c>
      <c r="B792" s="56" t="n">
        <v>1984</v>
      </c>
      <c r="C792" s="56" t="n">
        <v>5</v>
      </c>
      <c r="D792" s="56" t="n">
        <v>26</v>
      </c>
      <c r="E792" s="56" t="n">
        <v>10.4</v>
      </c>
      <c r="F792" s="56" t="n">
        <v>0</v>
      </c>
      <c r="G792" s="56" t="n">
        <v>8.8</v>
      </c>
      <c r="H792" s="56" t="n">
        <v>0</v>
      </c>
      <c r="I792" s="56" t="n">
        <v>9.8</v>
      </c>
      <c r="J792" s="56" t="n">
        <v>0</v>
      </c>
      <c r="K792" s="56" t="n">
        <v>1005.4</v>
      </c>
      <c r="L792" s="56" t="n">
        <v>0</v>
      </c>
      <c r="M792" s="56" t="n">
        <v>93</v>
      </c>
      <c r="N792" s="56" t="n">
        <v>0</v>
      </c>
      <c r="O792" s="56" t="n">
        <f aca="false">IF(D792=1,"",E791)</f>
        <v>10.9</v>
      </c>
      <c r="P792" s="56" t="n">
        <f aca="false">IF(OR(D792=1,K791=""),"",K791)</f>
        <v>1005.8</v>
      </c>
      <c r="Q792" s="56" t="n">
        <f aca="false">IF(OR(F792&lt;&gt;0,AND(I792&lt;&gt;"",E792&lt;I792)),1,0)</f>
        <v>0</v>
      </c>
      <c r="R792" s="56" t="n">
        <f aca="false">IF(AND(D792&gt;1,Q792=0,ISNUMBER(O792),ISNUMBER(P792)),IF(Q791=0,1,0),0)</f>
        <v>1</v>
      </c>
      <c r="S792" s="56" t="n">
        <f aca="false">R792*(B792&gt;=Train_Start)*(B792&lt;=Train_End)</f>
        <v>1</v>
      </c>
      <c r="T792" s="84" t="n">
        <f aca="false">IF(AND(ISNUMBER(O792),ISNUMBER(P792)),Coef_A+Coef_B1*O792+Coef_B2*P792,"")</f>
        <v>12.5696126490272</v>
      </c>
      <c r="U792" s="84" t="n">
        <f aca="false">IF(AND(R792=1,ISNUMBER(T792)),E792-T792,"")</f>
        <v>-2.1696126490272</v>
      </c>
      <c r="V792" s="84" t="n">
        <f aca="false">IF(ISNUMBER(T792),T792,-99)</f>
        <v>12.5696126490272</v>
      </c>
      <c r="W792" s="84" t="n">
        <f aca="false">IF(ISNUMBER(U792),ABS(U792),"")</f>
        <v>2.1696126490272</v>
      </c>
    </row>
    <row r="793" customFormat="false" ht="15" hidden="false" customHeight="false" outlineLevel="0" collapsed="false">
      <c r="A793" s="57" t="n">
        <v>30829</v>
      </c>
      <c r="B793" s="56" t="n">
        <v>1984</v>
      </c>
      <c r="C793" s="56" t="n">
        <v>5</v>
      </c>
      <c r="D793" s="56" t="n">
        <v>27</v>
      </c>
      <c r="E793" s="56" t="n">
        <v>10.9</v>
      </c>
      <c r="F793" s="56" t="n">
        <v>0</v>
      </c>
      <c r="G793" s="56" t="n">
        <v>5</v>
      </c>
      <c r="H793" s="56" t="n">
        <v>0</v>
      </c>
      <c r="I793" s="56" t="n">
        <v>7.7</v>
      </c>
      <c r="J793" s="56" t="n">
        <v>0</v>
      </c>
      <c r="K793" s="56" t="n">
        <v>1007.3</v>
      </c>
      <c r="L793" s="56" t="n">
        <v>0</v>
      </c>
      <c r="M793" s="56" t="n">
        <v>90</v>
      </c>
      <c r="N793" s="56" t="n">
        <v>0</v>
      </c>
      <c r="O793" s="56" t="n">
        <f aca="false">IF(D793=1,"",E792)</f>
        <v>10.4</v>
      </c>
      <c r="P793" s="56" t="n">
        <f aca="false">IF(OR(D793=1,K792=""),"",K792)</f>
        <v>1005.4</v>
      </c>
      <c r="Q793" s="56" t="n">
        <f aca="false">IF(OR(F793&lt;&gt;0,AND(I793&lt;&gt;"",E793&lt;I793)),1,0)</f>
        <v>0</v>
      </c>
      <c r="R793" s="56" t="n">
        <f aca="false">IF(AND(D793&gt;1,Q793=0,ISNUMBER(O793),ISNUMBER(P793)),IF(Q792=0,1,0),0)</f>
        <v>1</v>
      </c>
      <c r="S793" s="56" t="n">
        <f aca="false">R793*(B793&gt;=Train_Start)*(B793&lt;=Train_End)</f>
        <v>1</v>
      </c>
      <c r="T793" s="84" t="n">
        <f aca="false">IF(AND(ISNUMBER(O793),ISNUMBER(P793)),Coef_A+Coef_B1*O793+Coef_B2*P793,"")</f>
        <v>12.1473950946523</v>
      </c>
      <c r="U793" s="84" t="n">
        <f aca="false">IF(AND(R793=1,ISNUMBER(T793)),E793-T793,"")</f>
        <v>-1.24739509465227</v>
      </c>
      <c r="V793" s="84" t="n">
        <f aca="false">IF(ISNUMBER(T793),T793,-99)</f>
        <v>12.1473950946523</v>
      </c>
      <c r="W793" s="84" t="n">
        <f aca="false">IF(ISNUMBER(U793),ABS(U793),"")</f>
        <v>1.24739509465227</v>
      </c>
    </row>
    <row r="794" customFormat="false" ht="15" hidden="false" customHeight="false" outlineLevel="0" collapsed="false">
      <c r="A794" s="57" t="n">
        <v>30830</v>
      </c>
      <c r="B794" s="56" t="n">
        <v>1984</v>
      </c>
      <c r="C794" s="56" t="n">
        <v>5</v>
      </c>
      <c r="D794" s="56" t="n">
        <v>28</v>
      </c>
      <c r="E794" s="56" t="n">
        <v>17.2</v>
      </c>
      <c r="F794" s="56" t="n">
        <v>0</v>
      </c>
      <c r="G794" s="56" t="n">
        <v>6</v>
      </c>
      <c r="H794" s="56" t="n">
        <v>0</v>
      </c>
      <c r="I794" s="56" t="n">
        <v>8.4</v>
      </c>
      <c r="J794" s="56" t="n">
        <v>0</v>
      </c>
      <c r="K794" s="56" t="n">
        <v>1012.6</v>
      </c>
      <c r="L794" s="56" t="n">
        <v>0</v>
      </c>
      <c r="M794" s="56" t="n">
        <v>91</v>
      </c>
      <c r="N794" s="56" t="n">
        <v>0</v>
      </c>
      <c r="O794" s="56" t="n">
        <f aca="false">IF(D794=1,"",E793)</f>
        <v>10.9</v>
      </c>
      <c r="P794" s="56" t="n">
        <f aca="false">IF(OR(D794=1,K793=""),"",K793)</f>
        <v>1007.3</v>
      </c>
      <c r="Q794" s="56" t="n">
        <f aca="false">IF(OR(F794&lt;&gt;0,AND(I794&lt;&gt;"",E794&lt;I794)),1,0)</f>
        <v>0</v>
      </c>
      <c r="R794" s="56" t="n">
        <f aca="false">IF(AND(D794&gt;1,Q794=0,ISNUMBER(O794),ISNUMBER(P794)),IF(Q793=0,1,0),0)</f>
        <v>1</v>
      </c>
      <c r="S794" s="56" t="n">
        <f aca="false">R794*(B794&gt;=Train_Start)*(B794&lt;=Train_End)</f>
        <v>1</v>
      </c>
      <c r="T794" s="84" t="n">
        <f aca="false">IF(AND(ISNUMBER(O794),ISNUMBER(P794)),Coef_A+Coef_B1*O794+Coef_B2*P794,"")</f>
        <v>12.6166674909782</v>
      </c>
      <c r="U794" s="84" t="n">
        <f aca="false">IF(AND(R794=1,ISNUMBER(T794)),E794-T794,"")</f>
        <v>4.58333250902182</v>
      </c>
      <c r="V794" s="84" t="n">
        <f aca="false">IF(ISNUMBER(T794),T794,-99)</f>
        <v>12.6166674909782</v>
      </c>
      <c r="W794" s="84" t="n">
        <f aca="false">IF(ISNUMBER(U794),ABS(U794),"")</f>
        <v>4.58333250902182</v>
      </c>
    </row>
    <row r="795" customFormat="false" ht="15" hidden="false" customHeight="false" outlineLevel="0" collapsed="false">
      <c r="A795" s="57" t="n">
        <v>30831</v>
      </c>
      <c r="B795" s="56" t="n">
        <v>1984</v>
      </c>
      <c r="C795" s="56" t="n">
        <v>5</v>
      </c>
      <c r="D795" s="56" t="n">
        <v>29</v>
      </c>
      <c r="E795" s="56" t="n">
        <v>20.3</v>
      </c>
      <c r="F795" s="56" t="n">
        <v>0</v>
      </c>
      <c r="G795" s="56" t="n">
        <v>7.9</v>
      </c>
      <c r="H795" s="56" t="n">
        <v>0</v>
      </c>
      <c r="I795" s="56" t="n">
        <v>12.6</v>
      </c>
      <c r="J795" s="56" t="n">
        <v>0</v>
      </c>
      <c r="K795" s="56" t="n">
        <v>1014</v>
      </c>
      <c r="L795" s="56" t="n">
        <v>0</v>
      </c>
      <c r="M795" s="56" t="n">
        <v>72</v>
      </c>
      <c r="N795" s="56" t="n">
        <v>8.9</v>
      </c>
      <c r="O795" s="56" t="n">
        <f aca="false">IF(D795=1,"",E794)</f>
        <v>17.2</v>
      </c>
      <c r="P795" s="56" t="n">
        <f aca="false">IF(OR(D795=1,K794=""),"",K794)</f>
        <v>1012.6</v>
      </c>
      <c r="Q795" s="56" t="n">
        <f aca="false">IF(OR(F795&lt;&gt;0,AND(I795&lt;&gt;"",E795&lt;I795)),1,0)</f>
        <v>0</v>
      </c>
      <c r="R795" s="56" t="n">
        <f aca="false">IF(AND(D795&gt;1,Q795=0,ISNUMBER(O795),ISNUMBER(P795)),IF(Q794=0,1,0),0)</f>
        <v>1</v>
      </c>
      <c r="S795" s="56" t="n">
        <f aca="false">R795*(B795&gt;=Train_Start)*(B795&lt;=Train_End)</f>
        <v>1</v>
      </c>
      <c r="T795" s="84" t="n">
        <f aca="false">IF(AND(ISNUMBER(O795),ISNUMBER(P795)),Coef_A+Coef_B1*O795+Coef_B2*P795,"")</f>
        <v>17.9447648487071</v>
      </c>
      <c r="U795" s="84" t="n">
        <f aca="false">IF(AND(R795=1,ISNUMBER(T795)),E795-T795,"")</f>
        <v>2.35523515129293</v>
      </c>
      <c r="V795" s="84" t="n">
        <f aca="false">IF(ISNUMBER(T795),T795,-99)</f>
        <v>17.9447648487071</v>
      </c>
      <c r="W795" s="84" t="n">
        <f aca="false">IF(ISNUMBER(U795),ABS(U795),"")</f>
        <v>2.35523515129293</v>
      </c>
    </row>
    <row r="796" customFormat="false" ht="15" hidden="false" customHeight="false" outlineLevel="0" collapsed="false">
      <c r="A796" s="57" t="n">
        <v>30832</v>
      </c>
      <c r="B796" s="56" t="n">
        <v>1984</v>
      </c>
      <c r="C796" s="56" t="n">
        <v>5</v>
      </c>
      <c r="D796" s="56" t="n">
        <v>30</v>
      </c>
      <c r="E796" s="56" t="n">
        <v>19.4</v>
      </c>
      <c r="F796" s="56" t="n">
        <v>0</v>
      </c>
      <c r="G796" s="56" t="n">
        <v>7.9</v>
      </c>
      <c r="H796" s="56" t="n">
        <v>0</v>
      </c>
      <c r="I796" s="56" t="n">
        <v>14.1</v>
      </c>
      <c r="J796" s="56" t="n">
        <v>0</v>
      </c>
      <c r="K796" s="56" t="n">
        <v>1013.7</v>
      </c>
      <c r="L796" s="56" t="n">
        <v>0</v>
      </c>
      <c r="M796" s="56" t="n">
        <v>67</v>
      </c>
      <c r="N796" s="56" t="n">
        <v>11.8</v>
      </c>
      <c r="O796" s="56" t="n">
        <f aca="false">IF(D796=1,"",E795)</f>
        <v>20.3</v>
      </c>
      <c r="P796" s="56" t="n">
        <f aca="false">IF(OR(D796=1,K795=""),"",K795)</f>
        <v>1014</v>
      </c>
      <c r="Q796" s="56" t="n">
        <f aca="false">IF(OR(F796&lt;&gt;0,AND(I796&lt;&gt;"",E796&lt;I796)),1,0)</f>
        <v>0</v>
      </c>
      <c r="R796" s="56" t="n">
        <f aca="false">IF(AND(D796&gt;1,Q796=0,ISNUMBER(O796),ISNUMBER(P796)),IF(Q795=0,1,0),0)</f>
        <v>1</v>
      </c>
      <c r="S796" s="56" t="n">
        <f aca="false">R796*(B796&gt;=Train_Start)*(B796&lt;=Train_End)</f>
        <v>1</v>
      </c>
      <c r="T796" s="84" t="n">
        <f aca="false">IF(AND(ISNUMBER(O796),ISNUMBER(P796)),Coef_A+Coef_B1*O796+Coef_B2*P796,"")</f>
        <v>20.5286341996269</v>
      </c>
      <c r="U796" s="84" t="n">
        <f aca="false">IF(AND(R796=1,ISNUMBER(T796)),E796-T796,"")</f>
        <v>-1.12863419962689</v>
      </c>
      <c r="V796" s="84" t="n">
        <f aca="false">IF(ISNUMBER(T796),T796,-99)</f>
        <v>20.5286341996269</v>
      </c>
      <c r="W796" s="84" t="n">
        <f aca="false">IF(ISNUMBER(U796),ABS(U796),"")</f>
        <v>1.12863419962689</v>
      </c>
    </row>
    <row r="797" customFormat="false" ht="15" hidden="false" customHeight="false" outlineLevel="0" collapsed="false">
      <c r="A797" s="57" t="n">
        <v>30833</v>
      </c>
      <c r="B797" s="56" t="n">
        <v>1984</v>
      </c>
      <c r="C797" s="56" t="n">
        <v>5</v>
      </c>
      <c r="D797" s="56" t="n">
        <v>31</v>
      </c>
      <c r="E797" s="56" t="n">
        <v>15</v>
      </c>
      <c r="F797" s="56" t="n">
        <v>0</v>
      </c>
      <c r="G797" s="56" t="n">
        <v>9.3</v>
      </c>
      <c r="H797" s="56" t="n">
        <v>0</v>
      </c>
      <c r="I797" s="56" t="n">
        <v>14.4</v>
      </c>
      <c r="J797" s="56" t="n">
        <v>0</v>
      </c>
      <c r="K797" s="56" t="n">
        <v>1010.2</v>
      </c>
      <c r="L797" s="56" t="n">
        <v>0</v>
      </c>
      <c r="M797" s="56" t="n">
        <v>71</v>
      </c>
      <c r="N797" s="56" t="n">
        <v>13.1</v>
      </c>
      <c r="O797" s="56" t="n">
        <f aca="false">IF(D797=1,"",E796)</f>
        <v>19.4</v>
      </c>
      <c r="P797" s="56" t="n">
        <f aca="false">IF(OR(D797=1,K796=""),"",K796)</f>
        <v>1013.7</v>
      </c>
      <c r="Q797" s="56" t="n">
        <f aca="false">IF(OR(F797&lt;&gt;0,AND(I797&lt;&gt;"",E797&lt;I797)),1,0)</f>
        <v>0</v>
      </c>
      <c r="R797" s="56" t="n">
        <f aca="false">IF(AND(D797&gt;1,Q797=0,ISNUMBER(O797),ISNUMBER(P797)),IF(Q796=0,1,0),0)</f>
        <v>1</v>
      </c>
      <c r="S797" s="56" t="n">
        <f aca="false">R797*(B797&gt;=Train_Start)*(B797&lt;=Train_End)</f>
        <v>1</v>
      </c>
      <c r="T797" s="84" t="n">
        <f aca="false">IF(AND(ISNUMBER(O797),ISNUMBER(P797)),Coef_A+Coef_B1*O797+Coef_B2*P797,"")</f>
        <v>19.7818179574983</v>
      </c>
      <c r="U797" s="84" t="n">
        <f aca="false">IF(AND(R797=1,ISNUMBER(T797)),E797-T797,"")</f>
        <v>-4.7818179574983</v>
      </c>
      <c r="V797" s="84" t="n">
        <f aca="false">IF(ISNUMBER(T797),T797,-99)</f>
        <v>19.7818179574983</v>
      </c>
      <c r="W797" s="84" t="n">
        <f aca="false">IF(ISNUMBER(U797),ABS(U797),"")</f>
        <v>4.7818179574983</v>
      </c>
    </row>
    <row r="798" customFormat="false" ht="15" hidden="false" customHeight="false" outlineLevel="0" collapsed="false">
      <c r="A798" s="57" t="n">
        <v>30834</v>
      </c>
      <c r="B798" s="56" t="n">
        <v>1984</v>
      </c>
      <c r="C798" s="56" t="n">
        <v>6</v>
      </c>
      <c r="D798" s="56" t="n">
        <v>32</v>
      </c>
      <c r="E798" s="56" t="n">
        <v>16.7</v>
      </c>
      <c r="F798" s="56" t="n">
        <v>0</v>
      </c>
      <c r="G798" s="56" t="n">
        <v>9.4</v>
      </c>
      <c r="H798" s="56" t="n">
        <v>0</v>
      </c>
      <c r="I798" s="56" t="n">
        <v>12.2</v>
      </c>
      <c r="J798" s="56" t="n">
        <v>0</v>
      </c>
      <c r="K798" s="56" t="n">
        <v>1005.5</v>
      </c>
      <c r="L798" s="56" t="n">
        <v>0</v>
      </c>
      <c r="M798" s="56" t="n">
        <v>82</v>
      </c>
      <c r="N798" s="56" t="n">
        <v>3.1</v>
      </c>
      <c r="O798" s="56" t="n">
        <f aca="false">IF(D798=1,"",E797)</f>
        <v>15</v>
      </c>
      <c r="P798" s="56" t="n">
        <f aca="false">IF(OR(D798=1,K797=""),"",K797)</f>
        <v>1010.2</v>
      </c>
      <c r="Q798" s="56" t="n">
        <f aca="false">IF(OR(F798&lt;&gt;0,AND(I798&lt;&gt;"",E798&lt;I798)),1,0)</f>
        <v>0</v>
      </c>
      <c r="R798" s="56" t="n">
        <f aca="false">IF(AND(D798&gt;1,Q798=0,ISNUMBER(O798),ISNUMBER(P798)),IF(Q797=0,1,0),0)</f>
        <v>1</v>
      </c>
      <c r="S798" s="56" t="n">
        <f aca="false">R798*(B798&gt;=Train_Start)*(B798&lt;=Train_End)</f>
        <v>1</v>
      </c>
      <c r="T798" s="84" t="n">
        <f aca="false">IF(AND(ISNUMBER(O798),ISNUMBER(P798)),Coef_A+Coef_B1*O798+Coef_B2*P798,"")</f>
        <v>16.0669308768916</v>
      </c>
      <c r="U798" s="84" t="n">
        <f aca="false">IF(AND(R798=1,ISNUMBER(T798)),E798-T798,"")</f>
        <v>0.633069123108353</v>
      </c>
      <c r="V798" s="84" t="n">
        <f aca="false">IF(ISNUMBER(T798),T798,-99)</f>
        <v>16.0669308768916</v>
      </c>
      <c r="W798" s="84" t="n">
        <f aca="false">IF(ISNUMBER(U798),ABS(U798),"")</f>
        <v>0.633069123108353</v>
      </c>
    </row>
    <row r="799" customFormat="false" ht="15" hidden="false" customHeight="false" outlineLevel="0" collapsed="false">
      <c r="A799" s="57" t="n">
        <v>30835</v>
      </c>
      <c r="B799" s="56" t="n">
        <v>1984</v>
      </c>
      <c r="C799" s="56" t="n">
        <v>6</v>
      </c>
      <c r="D799" s="56" t="n">
        <v>33</v>
      </c>
      <c r="E799" s="56" t="n">
        <v>16.5</v>
      </c>
      <c r="F799" s="56" t="n">
        <v>0</v>
      </c>
      <c r="G799" s="56" t="n">
        <v>8.8</v>
      </c>
      <c r="H799" s="56" t="n">
        <v>0</v>
      </c>
      <c r="I799" s="56" t="n">
        <v>12.8</v>
      </c>
      <c r="J799" s="56" t="n">
        <v>0</v>
      </c>
      <c r="K799" s="56" t="n">
        <v>1007.3</v>
      </c>
      <c r="L799" s="56" t="n">
        <v>0</v>
      </c>
      <c r="M799" s="56" t="n">
        <v>67</v>
      </c>
      <c r="N799" s="56" t="n">
        <v>8.9</v>
      </c>
      <c r="O799" s="56" t="n">
        <f aca="false">IF(D799=1,"",E798)</f>
        <v>16.7</v>
      </c>
      <c r="P799" s="56" t="n">
        <f aca="false">IF(OR(D799=1,K798=""),"",K798)</f>
        <v>1005.5</v>
      </c>
      <c r="Q799" s="56" t="n">
        <f aca="false">IF(OR(F799&lt;&gt;0,AND(I799&lt;&gt;"",E799&lt;I799)),1,0)</f>
        <v>0</v>
      </c>
      <c r="R799" s="56" t="n">
        <f aca="false">IF(AND(D799&gt;1,Q799=0,ISNUMBER(O799),ISNUMBER(P799)),IF(Q798=0,1,0),0)</f>
        <v>1</v>
      </c>
      <c r="S799" s="56" t="n">
        <f aca="false">R799*(B799&gt;=Train_Start)*(B799&lt;=Train_End)</f>
        <v>1</v>
      </c>
      <c r="T799" s="84" t="n">
        <f aca="false">IF(AND(ISNUMBER(O799),ISNUMBER(P799)),Coef_A+Coef_B1*O799+Coef_B2*P799,"")</f>
        <v>17.3123690002844</v>
      </c>
      <c r="U799" s="84" t="n">
        <f aca="false">IF(AND(R799=1,ISNUMBER(T799)),E799-T799,"")</f>
        <v>-0.812369000284413</v>
      </c>
      <c r="V799" s="84" t="n">
        <f aca="false">IF(ISNUMBER(T799),T799,-99)</f>
        <v>17.3123690002844</v>
      </c>
      <c r="W799" s="84" t="n">
        <f aca="false">IF(ISNUMBER(U799),ABS(U799),"")</f>
        <v>0.812369000284413</v>
      </c>
    </row>
    <row r="800" customFormat="false" ht="15" hidden="false" customHeight="false" outlineLevel="0" collapsed="false">
      <c r="A800" s="57" t="n">
        <v>30836</v>
      </c>
      <c r="B800" s="56" t="n">
        <v>1984</v>
      </c>
      <c r="C800" s="56" t="n">
        <v>6</v>
      </c>
      <c r="D800" s="56" t="n">
        <v>34</v>
      </c>
      <c r="E800" s="56" t="n">
        <v>18</v>
      </c>
      <c r="F800" s="56" t="n">
        <v>0</v>
      </c>
      <c r="G800" s="56" t="n">
        <v>10.9</v>
      </c>
      <c r="H800" s="56" t="n">
        <v>0</v>
      </c>
      <c r="I800" s="56" t="n">
        <v>13.7</v>
      </c>
      <c r="J800" s="56" t="n">
        <v>0</v>
      </c>
      <c r="K800" s="56" t="n">
        <v>1002.4</v>
      </c>
      <c r="L800" s="56" t="n">
        <v>0</v>
      </c>
      <c r="M800" s="56" t="n">
        <v>75</v>
      </c>
      <c r="N800" s="56" t="n">
        <v>6.6</v>
      </c>
      <c r="O800" s="56" t="n">
        <f aca="false">IF(D800=1,"",E799)</f>
        <v>16.5</v>
      </c>
      <c r="P800" s="56" t="n">
        <f aca="false">IF(OR(D800=1,K799=""),"",K799)</f>
        <v>1007.3</v>
      </c>
      <c r="Q800" s="56" t="n">
        <f aca="false">IF(OR(F800&lt;&gt;0,AND(I800&lt;&gt;"",E800&lt;I800)),1,0)</f>
        <v>0</v>
      </c>
      <c r="R800" s="56" t="n">
        <f aca="false">IF(AND(D800&gt;1,Q800=0,ISNUMBER(O800),ISNUMBER(P800)),IF(Q799=0,1,0),0)</f>
        <v>1</v>
      </c>
      <c r="S800" s="56" t="n">
        <f aca="false">R800*(B800&gt;=Train_Start)*(B800&lt;=Train_End)</f>
        <v>1</v>
      </c>
      <c r="T800" s="84" t="n">
        <f aca="false">IF(AND(ISNUMBER(O800),ISNUMBER(P800)),Coef_A+Coef_B1*O800+Coef_B2*P800,"")</f>
        <v>17.2049669720171</v>
      </c>
      <c r="U800" s="84" t="n">
        <f aca="false">IF(AND(R800=1,ISNUMBER(T800)),E800-T800,"")</f>
        <v>0.795033027982939</v>
      </c>
      <c r="V800" s="84" t="n">
        <f aca="false">IF(ISNUMBER(T800),T800,-99)</f>
        <v>17.2049669720171</v>
      </c>
      <c r="W800" s="84" t="n">
        <f aca="false">IF(ISNUMBER(U800),ABS(U800),"")</f>
        <v>0.795033027982939</v>
      </c>
    </row>
    <row r="801" customFormat="false" ht="15" hidden="false" customHeight="false" outlineLevel="0" collapsed="false">
      <c r="A801" s="57" t="n">
        <v>30837</v>
      </c>
      <c r="B801" s="56" t="n">
        <v>1984</v>
      </c>
      <c r="C801" s="56" t="n">
        <v>6</v>
      </c>
      <c r="D801" s="56" t="n">
        <v>35</v>
      </c>
      <c r="E801" s="56" t="n">
        <v>16.1</v>
      </c>
      <c r="F801" s="56" t="n">
        <v>0</v>
      </c>
      <c r="G801" s="56" t="n">
        <v>6.6</v>
      </c>
      <c r="H801" s="56" t="n">
        <v>0</v>
      </c>
      <c r="I801" s="56" t="n">
        <v>12.3</v>
      </c>
      <c r="J801" s="56" t="n">
        <v>0</v>
      </c>
      <c r="K801" s="56" t="n">
        <v>1006</v>
      </c>
      <c r="L801" s="56" t="n">
        <v>0</v>
      </c>
      <c r="M801" s="56" t="n">
        <v>69</v>
      </c>
      <c r="N801" s="56" t="n">
        <v>4.2</v>
      </c>
      <c r="O801" s="56" t="n">
        <f aca="false">IF(D801=1,"",E800)</f>
        <v>18</v>
      </c>
      <c r="P801" s="56" t="n">
        <f aca="false">IF(OR(D801=1,K800=""),"",K800)</f>
        <v>1002.4</v>
      </c>
      <c r="Q801" s="56" t="n">
        <f aca="false">IF(OR(F801&lt;&gt;0,AND(I801&lt;&gt;"",E801&lt;I801)),1,0)</f>
        <v>0</v>
      </c>
      <c r="R801" s="56" t="n">
        <f aca="false">IF(AND(D801&gt;1,Q801=0,ISNUMBER(O801),ISNUMBER(P801)),IF(Q800=0,1,0),0)</f>
        <v>1</v>
      </c>
      <c r="S801" s="56" t="n">
        <f aca="false">R801*(B801&gt;=Train_Start)*(B801&lt;=Train_End)</f>
        <v>1</v>
      </c>
      <c r="T801" s="84" t="n">
        <f aca="false">IF(AND(ISNUMBER(O801),ISNUMBER(P801)),Coef_A+Coef_B1*O801+Coef_B2*P801,"")</f>
        <v>18.2802632778745</v>
      </c>
      <c r="U801" s="84" t="n">
        <f aca="false">IF(AND(R801=1,ISNUMBER(T801)),E801-T801,"")</f>
        <v>-2.1802632778745</v>
      </c>
      <c r="V801" s="84" t="n">
        <f aca="false">IF(ISNUMBER(T801),T801,-99)</f>
        <v>18.2802632778745</v>
      </c>
      <c r="W801" s="84" t="n">
        <f aca="false">IF(ISNUMBER(U801),ABS(U801),"")</f>
        <v>2.1802632778745</v>
      </c>
    </row>
    <row r="802" customFormat="false" ht="15" hidden="false" customHeight="false" outlineLevel="0" collapsed="false">
      <c r="A802" s="57" t="n">
        <v>30838</v>
      </c>
      <c r="B802" s="56" t="n">
        <v>1984</v>
      </c>
      <c r="C802" s="56" t="n">
        <v>6</v>
      </c>
      <c r="D802" s="56" t="n">
        <v>36</v>
      </c>
      <c r="E802" s="56" t="n">
        <v>18.1</v>
      </c>
      <c r="F802" s="56" t="n">
        <v>0</v>
      </c>
      <c r="G802" s="56" t="n">
        <v>8.9</v>
      </c>
      <c r="H802" s="56" t="n">
        <v>0</v>
      </c>
      <c r="I802" s="56" t="n">
        <v>12.5</v>
      </c>
      <c r="J802" s="56" t="n">
        <v>0</v>
      </c>
      <c r="K802" s="56" t="n">
        <v>1006.7</v>
      </c>
      <c r="L802" s="56" t="n">
        <v>0</v>
      </c>
      <c r="M802" s="56" t="n">
        <v>78</v>
      </c>
      <c r="N802" s="56" t="n">
        <v>1.5</v>
      </c>
      <c r="O802" s="56" t="n">
        <f aca="false">IF(D802=1,"",E801)</f>
        <v>16.1</v>
      </c>
      <c r="P802" s="56" t="n">
        <f aca="false">IF(OR(D802=1,K801=""),"",K801)</f>
        <v>1006</v>
      </c>
      <c r="Q802" s="56" t="n">
        <f aca="false">IF(OR(F802&lt;&gt;0,AND(I802&lt;&gt;"",E802&lt;I802)),1,0)</f>
        <v>0</v>
      </c>
      <c r="R802" s="56" t="n">
        <f aca="false">IF(AND(D802&gt;1,Q802=0,ISNUMBER(O802),ISNUMBER(P802)),IF(Q801=0,1,0),0)</f>
        <v>1</v>
      </c>
      <c r="S802" s="56" t="n">
        <f aca="false">R802*(B802&gt;=Train_Start)*(B802&lt;=Train_End)</f>
        <v>1</v>
      </c>
      <c r="T802" s="84" t="n">
        <f aca="false">IF(AND(ISNUMBER(O802),ISNUMBER(P802)),Coef_A+Coef_B1*O802+Coef_B2*P802,"")</f>
        <v>16.8364504317758</v>
      </c>
      <c r="U802" s="84" t="n">
        <f aca="false">IF(AND(R802=1,ISNUMBER(T802)),E802-T802,"")</f>
        <v>1.26354956822419</v>
      </c>
      <c r="V802" s="84" t="n">
        <f aca="false">IF(ISNUMBER(T802),T802,-99)</f>
        <v>16.8364504317758</v>
      </c>
      <c r="W802" s="84" t="n">
        <f aca="false">IF(ISNUMBER(U802),ABS(U802),"")</f>
        <v>1.26354956822419</v>
      </c>
    </row>
    <row r="803" customFormat="false" ht="15" hidden="false" customHeight="false" outlineLevel="0" collapsed="false">
      <c r="A803" s="57" t="n">
        <v>30839</v>
      </c>
      <c r="B803" s="56" t="n">
        <v>1984</v>
      </c>
      <c r="C803" s="56" t="n">
        <v>6</v>
      </c>
      <c r="D803" s="56" t="n">
        <v>37</v>
      </c>
      <c r="E803" s="56" t="n">
        <v>21.8</v>
      </c>
      <c r="F803" s="56" t="n">
        <v>0</v>
      </c>
      <c r="G803" s="56" t="n">
        <v>9.8</v>
      </c>
      <c r="H803" s="56" t="n">
        <v>0</v>
      </c>
      <c r="I803" s="56" t="n">
        <v>14</v>
      </c>
      <c r="J803" s="56" t="n">
        <v>0</v>
      </c>
      <c r="K803" s="56" t="n">
        <v>1011.2</v>
      </c>
      <c r="L803" s="56" t="n">
        <v>0</v>
      </c>
      <c r="M803" s="56" t="n">
        <v>74</v>
      </c>
      <c r="N803" s="56" t="n">
        <v>6</v>
      </c>
      <c r="O803" s="56" t="n">
        <f aca="false">IF(D803=1,"",E802)</f>
        <v>18.1</v>
      </c>
      <c r="P803" s="56" t="n">
        <f aca="false">IF(OR(D803=1,K802=""),"",K802)</f>
        <v>1006.7</v>
      </c>
      <c r="Q803" s="56" t="n">
        <f aca="false">IF(OR(F803&lt;&gt;0,AND(I803&lt;&gt;"",E803&lt;I803)),1,0)</f>
        <v>0</v>
      </c>
      <c r="R803" s="56" t="n">
        <f aca="false">IF(AND(D803&gt;1,Q803=0,ISNUMBER(O803),ISNUMBER(P803)),IF(Q802=0,1,0),0)</f>
        <v>1</v>
      </c>
      <c r="S803" s="56" t="n">
        <f aca="false">R803*(B803&gt;=Train_Start)*(B803&lt;=Train_End)</f>
        <v>1</v>
      </c>
      <c r="T803" s="84" t="n">
        <f aca="false">IF(AND(ISNUMBER(O803),ISNUMBER(P803)),Coef_A+Coef_B1*O803+Coef_B2*P803,"")</f>
        <v>18.4970877441049</v>
      </c>
      <c r="U803" s="84" t="n">
        <f aca="false">IF(AND(R803=1,ISNUMBER(T803)),E803-T803,"")</f>
        <v>3.30291225589508</v>
      </c>
      <c r="V803" s="84" t="n">
        <f aca="false">IF(ISNUMBER(T803),T803,-99)</f>
        <v>18.4970877441049</v>
      </c>
      <c r="W803" s="84" t="n">
        <f aca="false">IF(ISNUMBER(U803),ABS(U803),"")</f>
        <v>3.30291225589508</v>
      </c>
    </row>
    <row r="804" customFormat="false" ht="15" hidden="false" customHeight="false" outlineLevel="0" collapsed="false">
      <c r="A804" s="57" t="n">
        <v>30840</v>
      </c>
      <c r="B804" s="56" t="n">
        <v>1984</v>
      </c>
      <c r="C804" s="56" t="n">
        <v>6</v>
      </c>
      <c r="D804" s="56" t="n">
        <v>38</v>
      </c>
      <c r="E804" s="56" t="n">
        <v>21.9</v>
      </c>
      <c r="F804" s="56" t="n">
        <v>0</v>
      </c>
      <c r="G804" s="56" t="n">
        <v>12</v>
      </c>
      <c r="H804" s="56" t="n">
        <v>0</v>
      </c>
      <c r="I804" s="56" t="n">
        <v>16.9</v>
      </c>
      <c r="J804" s="56" t="n">
        <v>0</v>
      </c>
      <c r="K804" s="56" t="n">
        <v>1010.5</v>
      </c>
      <c r="L804" s="56" t="n">
        <v>0</v>
      </c>
      <c r="M804" s="56" t="n">
        <v>78</v>
      </c>
      <c r="N804" s="56" t="n">
        <v>4.6</v>
      </c>
      <c r="O804" s="56" t="n">
        <f aca="false">IF(D804=1,"",E803)</f>
        <v>21.8</v>
      </c>
      <c r="P804" s="56" t="n">
        <f aca="false">IF(OR(D804=1,K803=""),"",K803)</f>
        <v>1011.2</v>
      </c>
      <c r="Q804" s="56" t="n">
        <f aca="false">IF(OR(F804&lt;&gt;0,AND(I804&lt;&gt;"",E804&lt;I804)),1,0)</f>
        <v>0</v>
      </c>
      <c r="R804" s="56" t="n">
        <f aca="false">IF(AND(D804&gt;1,Q804=0,ISNUMBER(O804),ISNUMBER(P804)),IF(Q803=0,1,0),0)</f>
        <v>1</v>
      </c>
      <c r="S804" s="56" t="n">
        <f aca="false">R804*(B804&gt;=Train_Start)*(B804&lt;=Train_End)</f>
        <v>1</v>
      </c>
      <c r="T804" s="84" t="n">
        <f aca="false">IF(AND(ISNUMBER(O804),ISNUMBER(P804)),Coef_A+Coef_B1*O804+Coef_B2*P804,"")</f>
        <v>21.6698072842157</v>
      </c>
      <c r="U804" s="84" t="n">
        <f aca="false">IF(AND(R804=1,ISNUMBER(T804)),E804-T804,"")</f>
        <v>0.230192715784291</v>
      </c>
      <c r="V804" s="84" t="n">
        <f aca="false">IF(ISNUMBER(T804),T804,-99)</f>
        <v>21.6698072842157</v>
      </c>
      <c r="W804" s="84" t="n">
        <f aca="false">IF(ISNUMBER(U804),ABS(U804),"")</f>
        <v>0.230192715784291</v>
      </c>
    </row>
    <row r="805" customFormat="false" ht="15" hidden="false" customHeight="false" outlineLevel="0" collapsed="false">
      <c r="A805" s="57" t="n">
        <v>30841</v>
      </c>
      <c r="B805" s="56" t="n">
        <v>1984</v>
      </c>
      <c r="C805" s="56" t="n">
        <v>6</v>
      </c>
      <c r="D805" s="56" t="n">
        <v>39</v>
      </c>
      <c r="E805" s="56" t="n">
        <v>23.3</v>
      </c>
      <c r="F805" s="56" t="n">
        <v>0</v>
      </c>
      <c r="G805" s="56" t="n">
        <v>10</v>
      </c>
      <c r="H805" s="56" t="n">
        <v>0</v>
      </c>
      <c r="I805" s="56" t="n">
        <v>16</v>
      </c>
      <c r="J805" s="56" t="n">
        <v>0</v>
      </c>
      <c r="K805" s="56" t="n">
        <v>1015.5</v>
      </c>
      <c r="L805" s="56" t="n">
        <v>0</v>
      </c>
      <c r="M805" s="56" t="n">
        <v>71</v>
      </c>
      <c r="N805" s="56" t="n">
        <v>11</v>
      </c>
      <c r="O805" s="56" t="n">
        <f aca="false">IF(D805=1,"",E804)</f>
        <v>21.9</v>
      </c>
      <c r="P805" s="56" t="n">
        <f aca="false">IF(OR(D805=1,K804=""),"",K804)</f>
        <v>1010.5</v>
      </c>
      <c r="Q805" s="56" t="n">
        <f aca="false">IF(OR(F805&lt;&gt;0,AND(I805&lt;&gt;"",E805&lt;I805)),1,0)</f>
        <v>0</v>
      </c>
      <c r="R805" s="56" t="n">
        <f aca="false">IF(AND(D805&gt;1,Q805=0,ISNUMBER(O805),ISNUMBER(P805)),IF(Q804=0,1,0),0)</f>
        <v>1</v>
      </c>
      <c r="S805" s="56" t="n">
        <f aca="false">R805*(B805&gt;=Train_Start)*(B805&lt;=Train_End)</f>
        <v>1</v>
      </c>
      <c r="T805" s="84" t="n">
        <f aca="false">IF(AND(ISNUMBER(O805),ISNUMBER(P805)),Coef_A+Coef_B1*O805+Coef_B2*P805,"")</f>
        <v>21.7297822772762</v>
      </c>
      <c r="U805" s="84" t="n">
        <f aca="false">IF(AND(R805=1,ISNUMBER(T805)),E805-T805,"")</f>
        <v>1.57021772272382</v>
      </c>
      <c r="V805" s="84" t="n">
        <f aca="false">IF(ISNUMBER(T805),T805,-99)</f>
        <v>21.7297822772762</v>
      </c>
      <c r="W805" s="84" t="n">
        <f aca="false">IF(ISNUMBER(U805),ABS(U805),"")</f>
        <v>1.57021772272382</v>
      </c>
    </row>
    <row r="806" customFormat="false" ht="15" hidden="false" customHeight="false" outlineLevel="0" collapsed="false">
      <c r="A806" s="57" t="n">
        <v>30842</v>
      </c>
      <c r="B806" s="56" t="n">
        <v>1984</v>
      </c>
      <c r="C806" s="56" t="n">
        <v>6</v>
      </c>
      <c r="D806" s="56" t="n">
        <v>40</v>
      </c>
      <c r="E806" s="56" t="n">
        <v>24.6</v>
      </c>
      <c r="F806" s="56" t="n">
        <v>0</v>
      </c>
      <c r="G806" s="56" t="n">
        <v>8</v>
      </c>
      <c r="H806" s="56" t="n">
        <v>0</v>
      </c>
      <c r="I806" s="56" t="n">
        <v>15.6</v>
      </c>
      <c r="J806" s="56" t="n">
        <v>0</v>
      </c>
      <c r="K806" s="56" t="n">
        <v>1020</v>
      </c>
      <c r="L806" s="56" t="n">
        <v>0</v>
      </c>
      <c r="M806" s="56" t="n">
        <v>68</v>
      </c>
      <c r="N806" s="56" t="n">
        <v>12</v>
      </c>
      <c r="O806" s="56" t="n">
        <f aca="false">IF(D806=1,"",E805)</f>
        <v>23.3</v>
      </c>
      <c r="P806" s="56" t="n">
        <f aca="false">IF(OR(D806=1,K805=""),"",K805)</f>
        <v>1015.5</v>
      </c>
      <c r="Q806" s="56" t="n">
        <f aca="false">IF(OR(F806&lt;&gt;0,AND(I806&lt;&gt;"",E806&lt;I806)),1,0)</f>
        <v>0</v>
      </c>
      <c r="R806" s="56" t="n">
        <f aca="false">IF(AND(D806&gt;1,Q806=0,ISNUMBER(O806),ISNUMBER(P806)),IF(Q805=0,1,0),0)</f>
        <v>1</v>
      </c>
      <c r="S806" s="56" t="n">
        <f aca="false">R806*(B806&gt;=Train_Start)*(B806&lt;=Train_End)</f>
        <v>1</v>
      </c>
      <c r="T806" s="84" t="n">
        <f aca="false">IF(AND(ISNUMBER(O806),ISNUMBER(P806)),Coef_A+Coef_B1*O806+Coef_B2*P806,"")</f>
        <v>23.0337066207059</v>
      </c>
      <c r="U806" s="84" t="n">
        <f aca="false">IF(AND(R806=1,ISNUMBER(T806)),E806-T806,"")</f>
        <v>1.56629337929415</v>
      </c>
      <c r="V806" s="84" t="n">
        <f aca="false">IF(ISNUMBER(T806),T806,-99)</f>
        <v>23.0337066207059</v>
      </c>
      <c r="W806" s="84" t="n">
        <f aca="false">IF(ISNUMBER(U806),ABS(U806),"")</f>
        <v>1.56629337929415</v>
      </c>
    </row>
    <row r="807" customFormat="false" ht="15" hidden="false" customHeight="false" outlineLevel="0" collapsed="false">
      <c r="A807" s="57" t="n">
        <v>30843</v>
      </c>
      <c r="B807" s="56" t="n">
        <v>1984</v>
      </c>
      <c r="C807" s="56" t="n">
        <v>6</v>
      </c>
      <c r="D807" s="56" t="n">
        <v>41</v>
      </c>
      <c r="E807" s="56" t="n">
        <v>18.7</v>
      </c>
      <c r="F807" s="56" t="n">
        <v>0</v>
      </c>
      <c r="G807" s="56" t="n">
        <v>11.5</v>
      </c>
      <c r="H807" s="56" t="n">
        <v>0</v>
      </c>
      <c r="I807" s="56" t="n">
        <v>18</v>
      </c>
      <c r="J807" s="56" t="n">
        <v>0</v>
      </c>
      <c r="K807" s="56" t="n">
        <v>1022.2</v>
      </c>
      <c r="L807" s="56" t="n">
        <v>0</v>
      </c>
      <c r="M807" s="56" t="n">
        <v>69</v>
      </c>
      <c r="N807" s="56" t="n">
        <v>11.4</v>
      </c>
      <c r="O807" s="56" t="n">
        <f aca="false">IF(D807=1,"",E806)</f>
        <v>24.6</v>
      </c>
      <c r="P807" s="56" t="n">
        <f aca="false">IF(OR(D807=1,K806=""),"",K806)</f>
        <v>1020</v>
      </c>
      <c r="Q807" s="56" t="n">
        <f aca="false">IF(OR(F807&lt;&gt;0,AND(I807&lt;&gt;"",E807&lt;I807)),1,0)</f>
        <v>0</v>
      </c>
      <c r="R807" s="56" t="n">
        <f aca="false">IF(AND(D807&gt;1,Q807=0,ISNUMBER(O807),ISNUMBER(P807)),IF(Q806=0,1,0),0)</f>
        <v>1</v>
      </c>
      <c r="S807" s="56" t="n">
        <f aca="false">R807*(B807&gt;=Train_Start)*(B807&lt;=Train_End)</f>
        <v>1</v>
      </c>
      <c r="T807" s="84" t="n">
        <f aca="false">IF(AND(ISNUMBER(O807),ISNUMBER(P807)),Coef_A+Coef_B1*O807+Coef_B2*P807,"")</f>
        <v>24.2400120975143</v>
      </c>
      <c r="U807" s="84" t="n">
        <f aca="false">IF(AND(R807=1,ISNUMBER(T807)),E807-T807,"")</f>
        <v>-5.54001209751425</v>
      </c>
      <c r="V807" s="84" t="n">
        <f aca="false">IF(ISNUMBER(T807),T807,-99)</f>
        <v>24.2400120975143</v>
      </c>
      <c r="W807" s="84" t="n">
        <f aca="false">IF(ISNUMBER(U807),ABS(U807),"")</f>
        <v>5.54001209751425</v>
      </c>
    </row>
    <row r="808" customFormat="false" ht="15" hidden="false" customHeight="false" outlineLevel="0" collapsed="false">
      <c r="A808" s="57" t="n">
        <v>30844</v>
      </c>
      <c r="B808" s="56" t="n">
        <v>1984</v>
      </c>
      <c r="C808" s="56" t="n">
        <v>6</v>
      </c>
      <c r="D808" s="56" t="n">
        <v>42</v>
      </c>
      <c r="E808" s="56" t="n">
        <v>18.8</v>
      </c>
      <c r="F808" s="56" t="n">
        <v>0</v>
      </c>
      <c r="G808" s="56" t="n">
        <v>11.9</v>
      </c>
      <c r="H808" s="56" t="n">
        <v>0</v>
      </c>
      <c r="I808" s="56" t="n">
        <v>15.3</v>
      </c>
      <c r="J808" s="56" t="n">
        <v>0</v>
      </c>
      <c r="K808" s="56" t="n">
        <v>1027.6</v>
      </c>
      <c r="L808" s="56" t="n">
        <v>0</v>
      </c>
      <c r="M808" s="56" t="n">
        <v>81</v>
      </c>
      <c r="N808" s="56" t="n">
        <v>2.6</v>
      </c>
      <c r="O808" s="56" t="n">
        <f aca="false">IF(D808=1,"",E807)</f>
        <v>18.7</v>
      </c>
      <c r="P808" s="56" t="n">
        <f aca="false">IF(OR(D808=1,K807=""),"",K807)</f>
        <v>1022.2</v>
      </c>
      <c r="Q808" s="56" t="n">
        <f aca="false">IF(OR(F808&lt;&gt;0,AND(I808&lt;&gt;"",E808&lt;I808)),1,0)</f>
        <v>0</v>
      </c>
      <c r="R808" s="56" t="n">
        <f aca="false">IF(AND(D808&gt;1,Q808=0,ISNUMBER(O808),ISNUMBER(P808)),IF(Q807=0,1,0),0)</f>
        <v>1</v>
      </c>
      <c r="S808" s="56" t="n">
        <f aca="false">R808*(B808&gt;=Train_Start)*(B808&lt;=Train_End)</f>
        <v>1</v>
      </c>
      <c r="T808" s="84" t="n">
        <f aca="false">IF(AND(ISNUMBER(O808),ISNUMBER(P808)),Coef_A+Coef_B1*O808+Coef_B2*P808,"")</f>
        <v>19.4749246267574</v>
      </c>
      <c r="U808" s="84" t="n">
        <f aca="false">IF(AND(R808=1,ISNUMBER(T808)),E808-T808,"")</f>
        <v>-0.674924626757349</v>
      </c>
      <c r="V808" s="84" t="n">
        <f aca="false">IF(ISNUMBER(T808),T808,-99)</f>
        <v>19.4749246267574</v>
      </c>
      <c r="W808" s="84" t="n">
        <f aca="false">IF(ISNUMBER(U808),ABS(U808),"")</f>
        <v>0.674924626757349</v>
      </c>
    </row>
    <row r="809" customFormat="false" ht="15" hidden="false" customHeight="false" outlineLevel="0" collapsed="false">
      <c r="A809" s="57" t="n">
        <v>30845</v>
      </c>
      <c r="B809" s="56" t="n">
        <v>1984</v>
      </c>
      <c r="C809" s="56" t="n">
        <v>6</v>
      </c>
      <c r="D809" s="56" t="n">
        <v>43</v>
      </c>
      <c r="E809" s="56" t="n">
        <v>21.5</v>
      </c>
      <c r="F809" s="56" t="n">
        <v>0</v>
      </c>
      <c r="G809" s="56" t="n">
        <v>12.3</v>
      </c>
      <c r="H809" s="56" t="n">
        <v>0</v>
      </c>
      <c r="I809" s="56" t="n">
        <v>15.6</v>
      </c>
      <c r="J809" s="56" t="n">
        <v>0</v>
      </c>
      <c r="K809" s="56" t="n">
        <v>1026</v>
      </c>
      <c r="L809" s="56" t="n">
        <v>0</v>
      </c>
      <c r="M809" s="56" t="n">
        <v>77</v>
      </c>
      <c r="N809" s="56" t="n">
        <v>2.1</v>
      </c>
      <c r="O809" s="56" t="n">
        <f aca="false">IF(D809=1,"",E808)</f>
        <v>18.8</v>
      </c>
      <c r="P809" s="56" t="n">
        <f aca="false">IF(OR(D809=1,K808=""),"",K808)</f>
        <v>1027.6</v>
      </c>
      <c r="Q809" s="56" t="n">
        <f aca="false">IF(OR(F809&lt;&gt;0,AND(I809&lt;&gt;"",E809&lt;I809)),1,0)</f>
        <v>0</v>
      </c>
      <c r="R809" s="56" t="n">
        <f aca="false">IF(AND(D809&gt;1,Q809=0,ISNUMBER(O809),ISNUMBER(P809)),IF(Q808=0,1,0),0)</f>
        <v>1</v>
      </c>
      <c r="S809" s="56" t="n">
        <f aca="false">R809*(B809&gt;=Train_Start)*(B809&lt;=Train_End)</f>
        <v>1</v>
      </c>
      <c r="T809" s="84" t="n">
        <f aca="false">IF(AND(ISNUMBER(O809),ISNUMBER(P809)),Coef_A+Coef_B1*O809+Coef_B2*P809,"")</f>
        <v>19.7262559770852</v>
      </c>
      <c r="U809" s="84" t="n">
        <f aca="false">IF(AND(R809=1,ISNUMBER(T809)),E809-T809,"")</f>
        <v>1.77374402291484</v>
      </c>
      <c r="V809" s="84" t="n">
        <f aca="false">IF(ISNUMBER(T809),T809,-99)</f>
        <v>19.7262559770852</v>
      </c>
      <c r="W809" s="84" t="n">
        <f aca="false">IF(ISNUMBER(U809),ABS(U809),"")</f>
        <v>1.77374402291484</v>
      </c>
    </row>
    <row r="810" customFormat="false" ht="15" hidden="false" customHeight="false" outlineLevel="0" collapsed="false">
      <c r="A810" s="57" t="n">
        <v>30846</v>
      </c>
      <c r="B810" s="56" t="n">
        <v>1984</v>
      </c>
      <c r="C810" s="56" t="n">
        <v>6</v>
      </c>
      <c r="D810" s="56" t="n">
        <v>44</v>
      </c>
      <c r="E810" s="56" t="n">
        <v>23.7</v>
      </c>
      <c r="F810" s="56" t="n">
        <v>0</v>
      </c>
      <c r="G810" s="56" t="n">
        <v>14.5</v>
      </c>
      <c r="H810" s="56" t="n">
        <v>0</v>
      </c>
      <c r="I810" s="56" t="n">
        <v>18</v>
      </c>
      <c r="J810" s="56" t="n">
        <v>0</v>
      </c>
      <c r="K810" s="56" t="n">
        <v>1022.7</v>
      </c>
      <c r="L810" s="56" t="n">
        <v>0</v>
      </c>
      <c r="M810" s="56" t="n">
        <v>75</v>
      </c>
      <c r="N810" s="56" t="n">
        <v>6.7</v>
      </c>
      <c r="O810" s="56" t="n">
        <f aca="false">IF(D810=1,"",E809)</f>
        <v>21.5</v>
      </c>
      <c r="P810" s="56" t="n">
        <f aca="false">IF(OR(D810=1,K809=""),"",K809)</f>
        <v>1026</v>
      </c>
      <c r="Q810" s="56" t="n">
        <f aca="false">IF(OR(F810&lt;&gt;0,AND(I810&lt;&gt;"",E810&lt;I810)),1,0)</f>
        <v>0</v>
      </c>
      <c r="R810" s="56" t="n">
        <f aca="false">IF(AND(D810&gt;1,Q810=0,ISNUMBER(O810),ISNUMBER(P810)),IF(Q809=0,1,0),0)</f>
        <v>1</v>
      </c>
      <c r="S810" s="56" t="n">
        <f aca="false">R810*(B810&gt;=Train_Start)*(B810&lt;=Train_End)</f>
        <v>1</v>
      </c>
      <c r="T810" s="84" t="n">
        <f aca="false">IF(AND(ISNUMBER(O810),ISNUMBER(P810)),Coef_A+Coef_B1*O810+Coef_B2*P810,"")</f>
        <v>21.888279966886</v>
      </c>
      <c r="U810" s="84" t="n">
        <f aca="false">IF(AND(R810=1,ISNUMBER(T810)),E810-T810,"")</f>
        <v>1.81172003311405</v>
      </c>
      <c r="V810" s="84" t="n">
        <f aca="false">IF(ISNUMBER(T810),T810,-99)</f>
        <v>21.888279966886</v>
      </c>
      <c r="W810" s="84" t="n">
        <f aca="false">IF(ISNUMBER(U810),ABS(U810),"")</f>
        <v>1.81172003311405</v>
      </c>
    </row>
    <row r="811" customFormat="false" ht="15" hidden="false" customHeight="false" outlineLevel="0" collapsed="false">
      <c r="A811" s="57" t="n">
        <v>30847</v>
      </c>
      <c r="B811" s="56" t="n">
        <v>1984</v>
      </c>
      <c r="C811" s="56" t="n">
        <v>6</v>
      </c>
      <c r="D811" s="56" t="n">
        <v>45</v>
      </c>
      <c r="E811" s="56" t="n">
        <v>23.7</v>
      </c>
      <c r="F811" s="56" t="n">
        <v>0</v>
      </c>
      <c r="G811" s="56" t="n">
        <v>14.9</v>
      </c>
      <c r="H811" s="56" t="n">
        <v>0</v>
      </c>
      <c r="I811" s="56" t="n">
        <v>19.3</v>
      </c>
      <c r="J811" s="56" t="n">
        <v>0</v>
      </c>
      <c r="K811" s="56" t="n">
        <v>1022.3</v>
      </c>
      <c r="L811" s="56" t="n">
        <v>0</v>
      </c>
      <c r="M811" s="56" t="n">
        <v>70</v>
      </c>
      <c r="N811" s="56" t="n">
        <v>7.9</v>
      </c>
      <c r="O811" s="56" t="n">
        <f aca="false">IF(D811=1,"",E810)</f>
        <v>23.7</v>
      </c>
      <c r="P811" s="56" t="n">
        <f aca="false">IF(OR(D811=1,K810=""),"",K810)</f>
        <v>1022.7</v>
      </c>
      <c r="Q811" s="56" t="n">
        <f aca="false">IF(OR(F811&lt;&gt;0,AND(I811&lt;&gt;"",E811&lt;I811)),1,0)</f>
        <v>0</v>
      </c>
      <c r="R811" s="56" t="n">
        <f aca="false">IF(AND(D811&gt;1,Q811=0,ISNUMBER(O811),ISNUMBER(P811)),IF(Q810=0,1,0),0)</f>
        <v>1</v>
      </c>
      <c r="S811" s="56" t="n">
        <f aca="false">R811*(B811&gt;=Train_Start)*(B811&lt;=Train_End)</f>
        <v>1</v>
      </c>
      <c r="T811" s="84" t="n">
        <f aca="false">IF(AND(ISNUMBER(O811),ISNUMBER(P811)),Coef_A+Coef_B1*O811+Coef_B2*P811,"")</f>
        <v>23.5873055392876</v>
      </c>
      <c r="U811" s="84" t="n">
        <f aca="false">IF(AND(R811=1,ISNUMBER(T811)),E811-T811,"")</f>
        <v>0.112694460712362</v>
      </c>
      <c r="V811" s="84" t="n">
        <f aca="false">IF(ISNUMBER(T811),T811,-99)</f>
        <v>23.5873055392876</v>
      </c>
      <c r="W811" s="84" t="n">
        <f aca="false">IF(ISNUMBER(U811),ABS(U811),"")</f>
        <v>0.112694460712362</v>
      </c>
    </row>
    <row r="812" customFormat="false" ht="15" hidden="false" customHeight="false" outlineLevel="0" collapsed="false">
      <c r="A812" s="57" t="n">
        <v>30848</v>
      </c>
      <c r="B812" s="56" t="n">
        <v>1984</v>
      </c>
      <c r="C812" s="56" t="n">
        <v>6</v>
      </c>
      <c r="D812" s="56" t="n">
        <v>46</v>
      </c>
      <c r="E812" s="56" t="n">
        <v>23.2</v>
      </c>
      <c r="F812" s="56" t="n">
        <v>0</v>
      </c>
      <c r="G812" s="56" t="n">
        <v>10.5</v>
      </c>
      <c r="H812" s="56" t="n">
        <v>0</v>
      </c>
      <c r="I812" s="56" t="n">
        <v>17.1</v>
      </c>
      <c r="J812" s="56" t="n">
        <v>0</v>
      </c>
      <c r="K812" s="56" t="n">
        <v>1025.6</v>
      </c>
      <c r="L812" s="56" t="n">
        <v>0</v>
      </c>
      <c r="M812" s="56" t="n">
        <v>65</v>
      </c>
      <c r="N812" s="56" t="n">
        <v>14.4</v>
      </c>
      <c r="O812" s="56" t="n">
        <f aca="false">IF(D812=1,"",E811)</f>
        <v>23.7</v>
      </c>
      <c r="P812" s="56" t="n">
        <f aca="false">IF(OR(D812=1,K811=""),"",K811)</f>
        <v>1022.3</v>
      </c>
      <c r="Q812" s="56" t="n">
        <f aca="false">IF(OR(F812&lt;&gt;0,AND(I812&lt;&gt;"",E812&lt;I812)),1,0)</f>
        <v>0</v>
      </c>
      <c r="R812" s="56" t="n">
        <f aca="false">IF(AND(D812&gt;1,Q812=0,ISNUMBER(O812),ISNUMBER(P812)),IF(Q811=0,1,0),0)</f>
        <v>1</v>
      </c>
      <c r="S812" s="56" t="n">
        <f aca="false">R812*(B812&gt;=Train_Start)*(B812&lt;=Train_End)</f>
        <v>1</v>
      </c>
      <c r="T812" s="84" t="n">
        <f aca="false">IF(AND(ISNUMBER(O812),ISNUMBER(P812)),Coef_A+Coef_B1*O812+Coef_B2*P812,"")</f>
        <v>23.574757581434</v>
      </c>
      <c r="U812" s="84" t="n">
        <f aca="false">IF(AND(R812=1,ISNUMBER(T812)),E812-T812,"")</f>
        <v>-0.374757581434039</v>
      </c>
      <c r="V812" s="84" t="n">
        <f aca="false">IF(ISNUMBER(T812),T812,-99)</f>
        <v>23.574757581434</v>
      </c>
      <c r="W812" s="84" t="n">
        <f aca="false">IF(ISNUMBER(U812),ABS(U812),"")</f>
        <v>0.374757581434039</v>
      </c>
    </row>
    <row r="813" customFormat="false" ht="15" hidden="false" customHeight="false" outlineLevel="0" collapsed="false">
      <c r="A813" s="57" t="n">
        <v>30849</v>
      </c>
      <c r="B813" s="56" t="n">
        <v>1984</v>
      </c>
      <c r="C813" s="56" t="n">
        <v>6</v>
      </c>
      <c r="D813" s="56" t="n">
        <v>47</v>
      </c>
      <c r="E813" s="56" t="n">
        <v>25.3</v>
      </c>
      <c r="F813" s="56" t="n">
        <v>0</v>
      </c>
      <c r="G813" s="56" t="n">
        <v>11.7</v>
      </c>
      <c r="H813" s="56" t="n">
        <v>0</v>
      </c>
      <c r="I813" s="56" t="n">
        <v>17.4</v>
      </c>
      <c r="J813" s="56" t="n">
        <v>0</v>
      </c>
      <c r="K813" s="56" t="n">
        <v>1023.8</v>
      </c>
      <c r="L813" s="56" t="n">
        <v>0</v>
      </c>
      <c r="M813" s="56" t="n">
        <v>71</v>
      </c>
      <c r="N813" s="56" t="n">
        <v>5.8</v>
      </c>
      <c r="O813" s="56" t="n">
        <f aca="false">IF(D813=1,"",E812)</f>
        <v>23.2</v>
      </c>
      <c r="P813" s="56" t="n">
        <f aca="false">IF(OR(D813=1,K812=""),"",K812)</f>
        <v>1025.6</v>
      </c>
      <c r="Q813" s="56" t="n">
        <f aca="false">IF(OR(F813&lt;&gt;0,AND(I813&lt;&gt;"",E813&lt;I813)),1,0)</f>
        <v>0</v>
      </c>
      <c r="R813" s="56" t="n">
        <f aca="false">IF(AND(D813&gt;1,Q813=0,ISNUMBER(O813),ISNUMBER(P813)),IF(Q812=0,1,0),0)</f>
        <v>1</v>
      </c>
      <c r="S813" s="56" t="n">
        <f aca="false">R813*(B813&gt;=Train_Start)*(B813&lt;=Train_End)</f>
        <v>1</v>
      </c>
      <c r="T813" s="84" t="n">
        <f aca="false">IF(AND(ISNUMBER(O813),ISNUMBER(P813)),Coef_A+Coef_B1*O813+Coef_B2*P813,"")</f>
        <v>23.2686086372049</v>
      </c>
      <c r="U813" s="84" t="n">
        <f aca="false">IF(AND(R813=1,ISNUMBER(T813)),E813-T813,"")</f>
        <v>2.03139136279513</v>
      </c>
      <c r="V813" s="84" t="n">
        <f aca="false">IF(ISNUMBER(T813),T813,-99)</f>
        <v>23.2686086372049</v>
      </c>
      <c r="W813" s="84" t="n">
        <f aca="false">IF(ISNUMBER(U813),ABS(U813),"")</f>
        <v>2.03139136279513</v>
      </c>
    </row>
    <row r="814" customFormat="false" ht="15" hidden="false" customHeight="false" outlineLevel="0" collapsed="false">
      <c r="A814" s="57" t="n">
        <v>30850</v>
      </c>
      <c r="B814" s="56" t="n">
        <v>1984</v>
      </c>
      <c r="C814" s="56" t="n">
        <v>6</v>
      </c>
      <c r="D814" s="56" t="n">
        <v>48</v>
      </c>
      <c r="E814" s="56" t="n">
        <v>26</v>
      </c>
      <c r="F814" s="56" t="n">
        <v>0</v>
      </c>
      <c r="G814" s="56" t="n">
        <v>13.6</v>
      </c>
      <c r="H814" s="56" t="n">
        <v>0</v>
      </c>
      <c r="I814" s="56" t="n">
        <v>19.4</v>
      </c>
      <c r="J814" s="56" t="n">
        <v>0</v>
      </c>
      <c r="K814" s="56" t="n">
        <v>1022.6</v>
      </c>
      <c r="L814" s="56" t="n">
        <v>0</v>
      </c>
      <c r="M814" s="56" t="n">
        <v>81</v>
      </c>
      <c r="N814" s="56" t="n">
        <v>7</v>
      </c>
      <c r="O814" s="56" t="n">
        <f aca="false">IF(D814=1,"",E813)</f>
        <v>25.3</v>
      </c>
      <c r="P814" s="56" t="n">
        <f aca="false">IF(OR(D814=1,K813=""),"",K813)</f>
        <v>1023.8</v>
      </c>
      <c r="Q814" s="56" t="n">
        <f aca="false">IF(OR(F814&lt;&gt;0,AND(I814&lt;&gt;"",E814&lt;I814)),1,0)</f>
        <v>0</v>
      </c>
      <c r="R814" s="56" t="n">
        <f aca="false">IF(AND(D814&gt;1,Q814=0,ISNUMBER(O814),ISNUMBER(P814)),IF(Q813=0,1,0),0)</f>
        <v>1</v>
      </c>
      <c r="S814" s="56" t="n">
        <f aca="false">R814*(B814&gt;=Train_Start)*(B814&lt;=Train_End)</f>
        <v>1</v>
      </c>
      <c r="T814" s="84" t="n">
        <f aca="false">IF(AND(ISNUMBER(O814),ISNUMBER(P814)),Coef_A+Coef_B1*O814+Coef_B2*P814,"")</f>
        <v>24.9327551322533</v>
      </c>
      <c r="U814" s="84" t="n">
        <f aca="false">IF(AND(R814=1,ISNUMBER(T814)),E814-T814,"")</f>
        <v>1.06724486774673</v>
      </c>
      <c r="V814" s="84" t="n">
        <f aca="false">IF(ISNUMBER(T814),T814,-99)</f>
        <v>24.9327551322533</v>
      </c>
      <c r="W814" s="84" t="n">
        <f aca="false">IF(ISNUMBER(U814),ABS(U814),"")</f>
        <v>1.06724486774673</v>
      </c>
    </row>
    <row r="815" customFormat="false" ht="15" hidden="false" customHeight="false" outlineLevel="0" collapsed="false">
      <c r="A815" s="57" t="n">
        <v>30851</v>
      </c>
      <c r="B815" s="56" t="n">
        <v>1984</v>
      </c>
      <c r="C815" s="56" t="n">
        <v>6</v>
      </c>
      <c r="D815" s="56" t="n">
        <v>49</v>
      </c>
      <c r="E815" s="56" t="n">
        <v>26.2</v>
      </c>
      <c r="F815" s="56" t="n">
        <v>0</v>
      </c>
      <c r="G815" s="56" t="n">
        <v>13.9</v>
      </c>
      <c r="H815" s="56" t="n">
        <v>0</v>
      </c>
      <c r="I815" s="56" t="n">
        <v>20</v>
      </c>
      <c r="J815" s="56" t="n">
        <v>0</v>
      </c>
      <c r="K815" s="56" t="n">
        <v>1026.2</v>
      </c>
      <c r="L815" s="56" t="n">
        <v>0</v>
      </c>
      <c r="M815" s="56" t="n">
        <v>74</v>
      </c>
      <c r="N815" s="56" t="n">
        <v>13.8</v>
      </c>
      <c r="O815" s="56" t="n">
        <f aca="false">IF(D815=1,"",E814)</f>
        <v>26</v>
      </c>
      <c r="P815" s="56" t="n">
        <f aca="false">IF(OR(D815=1,K814=""),"",K814)</f>
        <v>1022.6</v>
      </c>
      <c r="Q815" s="56" t="n">
        <f aca="false">IF(OR(F815&lt;&gt;0,AND(I815&lt;&gt;"",E815&lt;I815)),1,0)</f>
        <v>0</v>
      </c>
      <c r="R815" s="56" t="n">
        <f aca="false">IF(AND(D815&gt;1,Q815=0,ISNUMBER(O815),ISNUMBER(P815)),IF(Q814=0,1,0),0)</f>
        <v>1</v>
      </c>
      <c r="S815" s="56" t="n">
        <f aca="false">R815*(B815&gt;=Train_Start)*(B815&lt;=Train_End)</f>
        <v>1</v>
      </c>
      <c r="T815" s="84" t="n">
        <f aca="false">IF(AND(ISNUMBER(O815),ISNUMBER(P815)),Coef_A+Coef_B1*O815+Coef_B2*P815,"")</f>
        <v>25.4686486938224</v>
      </c>
      <c r="U815" s="84" t="n">
        <f aca="false">IF(AND(R815=1,ISNUMBER(T815)),E815-T815,"")</f>
        <v>0.731351306177647</v>
      </c>
      <c r="V815" s="84" t="n">
        <f aca="false">IF(ISNUMBER(T815),T815,-99)</f>
        <v>25.4686486938224</v>
      </c>
      <c r="W815" s="84" t="n">
        <f aca="false">IF(ISNUMBER(U815),ABS(U815),"")</f>
        <v>0.731351306177647</v>
      </c>
    </row>
    <row r="816" customFormat="false" ht="15" hidden="false" customHeight="false" outlineLevel="0" collapsed="false">
      <c r="A816" s="57" t="n">
        <v>30852</v>
      </c>
      <c r="B816" s="56" t="n">
        <v>1984</v>
      </c>
      <c r="C816" s="56" t="n">
        <v>6</v>
      </c>
      <c r="D816" s="56" t="n">
        <v>50</v>
      </c>
      <c r="E816" s="56" t="n">
        <v>27</v>
      </c>
      <c r="F816" s="56" t="n">
        <v>0</v>
      </c>
      <c r="G816" s="56" t="n">
        <v>16.1</v>
      </c>
      <c r="H816" s="56" t="n">
        <v>0</v>
      </c>
      <c r="I816" s="56" t="n">
        <v>21.2</v>
      </c>
      <c r="J816" s="56" t="n">
        <v>0</v>
      </c>
      <c r="K816" s="56" t="n">
        <v>1026.9</v>
      </c>
      <c r="L816" s="56" t="n">
        <v>0</v>
      </c>
      <c r="M816" s="56" t="n">
        <v>68</v>
      </c>
      <c r="N816" s="56" t="n">
        <v>7.7</v>
      </c>
      <c r="O816" s="56" t="n">
        <f aca="false">IF(D816=1,"",E815)</f>
        <v>26.2</v>
      </c>
      <c r="P816" s="56" t="n">
        <f aca="false">IF(OR(D816=1,K815=""),"",K815)</f>
        <v>1026.2</v>
      </c>
      <c r="Q816" s="56" t="n">
        <f aca="false">IF(OR(F816&lt;&gt;0,AND(I816&lt;&gt;"",E816&lt;I816)),1,0)</f>
        <v>0</v>
      </c>
      <c r="R816" s="56" t="n">
        <f aca="false">IF(AND(D816&gt;1,Q816=0,ISNUMBER(O816),ISNUMBER(P816)),IF(Q815=0,1,0),0)</f>
        <v>1</v>
      </c>
      <c r="S816" s="56" t="n">
        <f aca="false">R816*(B816&gt;=Train_Start)*(B816&lt;=Train_End)</f>
        <v>1</v>
      </c>
      <c r="T816" s="84" t="n">
        <f aca="false">IF(AND(ISNUMBER(O816),ISNUMBER(P816)),Coef_A+Coef_B1*O816+Coef_B2*P816,"")</f>
        <v>25.7454481531132</v>
      </c>
      <c r="U816" s="84" t="n">
        <f aca="false">IF(AND(R816=1,ISNUMBER(T816)),E816-T816,"")</f>
        <v>1.25455184688676</v>
      </c>
      <c r="V816" s="84" t="n">
        <f aca="false">IF(ISNUMBER(T816),T816,-99)</f>
        <v>25.7454481531132</v>
      </c>
      <c r="W816" s="84" t="n">
        <f aca="false">IF(ISNUMBER(U816),ABS(U816),"")</f>
        <v>1.25455184688676</v>
      </c>
    </row>
    <row r="817" customFormat="false" ht="15" hidden="false" customHeight="false" outlineLevel="0" collapsed="false">
      <c r="A817" s="57" t="n">
        <v>30853</v>
      </c>
      <c r="B817" s="56" t="n">
        <v>1984</v>
      </c>
      <c r="C817" s="56" t="n">
        <v>6</v>
      </c>
      <c r="D817" s="56" t="n">
        <v>51</v>
      </c>
      <c r="E817" s="56" t="n">
        <v>21.8</v>
      </c>
      <c r="F817" s="56" t="n">
        <v>1</v>
      </c>
      <c r="G817" s="56" t="n">
        <v>17.5</v>
      </c>
      <c r="H817" s="56" t="n">
        <v>0</v>
      </c>
      <c r="I817" s="56" t="n">
        <v>22.2</v>
      </c>
      <c r="J817" s="56" t="n">
        <v>1</v>
      </c>
      <c r="K817" s="56" t="n">
        <v>1018.2</v>
      </c>
      <c r="L817" s="56" t="n">
        <v>0</v>
      </c>
      <c r="M817" s="56" t="n">
        <v>64</v>
      </c>
      <c r="N817" s="56" t="n">
        <v>10.2</v>
      </c>
      <c r="O817" s="56" t="n">
        <f aca="false">IF(D817=1,"",E816)</f>
        <v>27</v>
      </c>
      <c r="P817" s="56" t="n">
        <f aca="false">IF(OR(D817=1,K816=""),"",K816)</f>
        <v>1026.9</v>
      </c>
      <c r="Q817" s="56" t="n">
        <f aca="false">IF(OR(F817&lt;&gt;0,AND(I817&lt;&gt;"",E817&lt;I817)),1,0)</f>
        <v>1</v>
      </c>
      <c r="R817" s="56" t="n">
        <f aca="false">IF(AND(D817&gt;1,Q817=0,ISNUMBER(O817),ISNUMBER(P817)),IF(Q816=0,1,0),0)</f>
        <v>0</v>
      </c>
      <c r="S817" s="56" t="n">
        <f aca="false">R817*(B817&gt;=Train_Start)*(B817&lt;=Train_End)</f>
        <v>0</v>
      </c>
      <c r="T817" s="84" t="n">
        <f aca="false">IF(AND(ISNUMBER(O817),ISNUMBER(P817)),Coef_A+Coef_B1*O817+Coef_B2*P817,"")</f>
        <v>26.4228784337912</v>
      </c>
      <c r="U817" s="84" t="str">
        <f aca="false">IF(AND(R817=1,ISNUMBER(T817)),E817-T817,"")</f>
        <v/>
      </c>
      <c r="V817" s="84" t="n">
        <f aca="false">IF(ISNUMBER(T817),T817,-99)</f>
        <v>26.4228784337912</v>
      </c>
      <c r="W817" s="84" t="str">
        <f aca="false">IF(ISNUMBER(U817),ABS(U817),"")</f>
        <v/>
      </c>
    </row>
    <row r="818" customFormat="false" ht="15" hidden="false" customHeight="false" outlineLevel="0" collapsed="false">
      <c r="A818" s="57" t="n">
        <v>30854</v>
      </c>
      <c r="B818" s="56" t="n">
        <v>1984</v>
      </c>
      <c r="C818" s="56" t="n">
        <v>6</v>
      </c>
      <c r="D818" s="56" t="n">
        <v>52</v>
      </c>
      <c r="E818" s="56" t="n">
        <v>20.9</v>
      </c>
      <c r="F818" s="56" t="n">
        <v>0</v>
      </c>
      <c r="G818" s="56" t="n">
        <v>15.2</v>
      </c>
      <c r="H818" s="56" t="n">
        <v>0</v>
      </c>
      <c r="I818" s="56" t="n">
        <v>18.5</v>
      </c>
      <c r="J818" s="56" t="n">
        <v>0</v>
      </c>
      <c r="K818" s="56" t="n">
        <v>1014.5</v>
      </c>
      <c r="L818" s="56" t="n">
        <v>0</v>
      </c>
      <c r="M818" s="56" t="n">
        <v>66</v>
      </c>
      <c r="N818" s="56" t="n">
        <v>10.4</v>
      </c>
      <c r="O818" s="56" t="n">
        <f aca="false">IF(D818=1,"",E817)</f>
        <v>21.8</v>
      </c>
      <c r="P818" s="56" t="n">
        <f aca="false">IF(OR(D818=1,K817=""),"",K817)</f>
        <v>1018.2</v>
      </c>
      <c r="Q818" s="56" t="n">
        <f aca="false">IF(OR(F818&lt;&gt;0,AND(I818&lt;&gt;"",E818&lt;I818)),1,0)</f>
        <v>0</v>
      </c>
      <c r="R818" s="56" t="n">
        <f aca="false">IF(AND(D818&gt;1,Q818=0,ISNUMBER(O818),ISNUMBER(P818)),IF(Q817=0,1,0),0)</f>
        <v>0</v>
      </c>
      <c r="S818" s="56" t="n">
        <f aca="false">R818*(B818&gt;=Train_Start)*(B818&lt;=Train_End)</f>
        <v>0</v>
      </c>
      <c r="T818" s="84" t="n">
        <f aca="false">IF(AND(ISNUMBER(O818),ISNUMBER(P818)),Coef_A+Coef_B1*O818+Coef_B2*P818,"")</f>
        <v>21.8893965466536</v>
      </c>
      <c r="U818" s="84" t="str">
        <f aca="false">IF(AND(R818=1,ISNUMBER(T818)),E818-T818,"")</f>
        <v/>
      </c>
      <c r="V818" s="84" t="n">
        <f aca="false">IF(ISNUMBER(T818),T818,-99)</f>
        <v>21.8893965466536</v>
      </c>
      <c r="W818" s="84" t="str">
        <f aca="false">IF(ISNUMBER(U818),ABS(U818),"")</f>
        <v/>
      </c>
    </row>
    <row r="819" customFormat="false" ht="15" hidden="false" customHeight="false" outlineLevel="0" collapsed="false">
      <c r="A819" s="57" t="n">
        <v>30855</v>
      </c>
      <c r="B819" s="56" t="n">
        <v>1984</v>
      </c>
      <c r="C819" s="56" t="n">
        <v>6</v>
      </c>
      <c r="D819" s="56" t="n">
        <v>53</v>
      </c>
      <c r="E819" s="56" t="n">
        <v>19.7</v>
      </c>
      <c r="F819" s="56" t="n">
        <v>0</v>
      </c>
      <c r="G819" s="56" t="n">
        <v>11.2</v>
      </c>
      <c r="H819" s="56" t="n">
        <v>0</v>
      </c>
      <c r="I819" s="56" t="n">
        <v>16</v>
      </c>
      <c r="J819" s="56" t="n">
        <v>0</v>
      </c>
      <c r="K819" s="56" t="n">
        <v>1012.9</v>
      </c>
      <c r="L819" s="56" t="n">
        <v>0</v>
      </c>
      <c r="M819" s="56" t="n">
        <v>75</v>
      </c>
      <c r="N819" s="56" t="n">
        <v>2.5</v>
      </c>
      <c r="O819" s="56" t="n">
        <f aca="false">IF(D819=1,"",E818)</f>
        <v>20.9</v>
      </c>
      <c r="P819" s="56" t="n">
        <f aca="false">IF(OR(D819=1,K818=""),"",K818)</f>
        <v>1014.5</v>
      </c>
      <c r="Q819" s="56" t="n">
        <f aca="false">IF(OR(F819&lt;&gt;0,AND(I819&lt;&gt;"",E819&lt;I819)),1,0)</f>
        <v>0</v>
      </c>
      <c r="R819" s="56" t="n">
        <f aca="false">IF(AND(D819&gt;1,Q819=0,ISNUMBER(O819),ISNUMBER(P819)),IF(Q818=0,1,0),0)</f>
        <v>1</v>
      </c>
      <c r="S819" s="56" t="n">
        <f aca="false">R819*(B819&gt;=Train_Start)*(B819&lt;=Train_End)</f>
        <v>1</v>
      </c>
      <c r="T819" s="84" t="n">
        <f aca="false">IF(AND(ISNUMBER(O819),ISNUMBER(P819)),Coef_A+Coef_B1*O819+Coef_B2*P819,"")</f>
        <v>21.0359226627695</v>
      </c>
      <c r="U819" s="84" t="n">
        <f aca="false">IF(AND(R819=1,ISNUMBER(T819)),E819-T819,"")</f>
        <v>-1.33592266276948</v>
      </c>
      <c r="V819" s="84" t="n">
        <f aca="false">IF(ISNUMBER(T819),T819,-99)</f>
        <v>21.0359226627695</v>
      </c>
      <c r="W819" s="84" t="n">
        <f aca="false">IF(ISNUMBER(U819),ABS(U819),"")</f>
        <v>1.33592266276948</v>
      </c>
    </row>
    <row r="820" customFormat="false" ht="15" hidden="false" customHeight="false" outlineLevel="0" collapsed="false">
      <c r="A820" s="57" t="n">
        <v>30856</v>
      </c>
      <c r="B820" s="56" t="n">
        <v>1984</v>
      </c>
      <c r="C820" s="56" t="n">
        <v>6</v>
      </c>
      <c r="D820" s="56" t="n">
        <v>54</v>
      </c>
      <c r="E820" s="56" t="n">
        <v>20.5</v>
      </c>
      <c r="F820" s="56" t="n">
        <v>0</v>
      </c>
      <c r="G820" s="56" t="n">
        <v>7.8</v>
      </c>
      <c r="H820" s="56" t="n">
        <v>0</v>
      </c>
      <c r="I820" s="56" t="n">
        <v>13.8</v>
      </c>
      <c r="J820" s="56" t="n">
        <v>0</v>
      </c>
      <c r="K820" s="56" t="n">
        <v>1017</v>
      </c>
      <c r="L820" s="56" t="n">
        <v>0</v>
      </c>
      <c r="M820" s="56" t="n">
        <v>65</v>
      </c>
      <c r="N820" s="56" t="n">
        <v>8.8</v>
      </c>
      <c r="O820" s="56" t="n">
        <f aca="false">IF(D820=1,"",E819)</f>
        <v>19.7</v>
      </c>
      <c r="P820" s="56" t="n">
        <f aca="false">IF(OR(D820=1,K819=""),"",K819)</f>
        <v>1012.9</v>
      </c>
      <c r="Q820" s="56" t="n">
        <f aca="false">IF(OR(F820&lt;&gt;0,AND(I820&lt;&gt;"",E820&lt;I820)),1,0)</f>
        <v>0</v>
      </c>
      <c r="R820" s="56" t="n">
        <f aca="false">IF(AND(D820&gt;1,Q820=0,ISNUMBER(O820),ISNUMBER(P820)),IF(Q819=0,1,0),0)</f>
        <v>1</v>
      </c>
      <c r="S820" s="56" t="n">
        <f aca="false">R820*(B820&gt;=Train_Start)*(B820&lt;=Train_End)</f>
        <v>1</v>
      </c>
      <c r="T820" s="84" t="n">
        <f aca="false">IF(AND(ISNUMBER(O820),ISNUMBER(P820)),Coef_A+Coef_B1*O820+Coef_B2*P820,"")</f>
        <v>20.0025237997039</v>
      </c>
      <c r="U820" s="84" t="n">
        <f aca="false">IF(AND(R820=1,ISNUMBER(T820)),E820-T820,"")</f>
        <v>0.497476200296095</v>
      </c>
      <c r="V820" s="84" t="n">
        <f aca="false">IF(ISNUMBER(T820),T820,-99)</f>
        <v>20.0025237997039</v>
      </c>
      <c r="W820" s="84" t="n">
        <f aca="false">IF(ISNUMBER(U820),ABS(U820),"")</f>
        <v>0.497476200296095</v>
      </c>
    </row>
    <row r="821" customFormat="false" ht="15" hidden="false" customHeight="false" outlineLevel="0" collapsed="false">
      <c r="A821" s="57" t="n">
        <v>30857</v>
      </c>
      <c r="B821" s="56" t="n">
        <v>1984</v>
      </c>
      <c r="C821" s="56" t="n">
        <v>6</v>
      </c>
      <c r="D821" s="56" t="n">
        <v>55</v>
      </c>
      <c r="E821" s="56" t="n">
        <v>22.9</v>
      </c>
      <c r="F821" s="56" t="n">
        <v>0</v>
      </c>
      <c r="G821" s="56" t="n">
        <v>9</v>
      </c>
      <c r="H821" s="56" t="n">
        <v>0</v>
      </c>
      <c r="I821" s="56" t="n">
        <v>14.8</v>
      </c>
      <c r="J821" s="56" t="n">
        <v>0</v>
      </c>
      <c r="K821" s="56" t="n">
        <v>1021.4</v>
      </c>
      <c r="L821" s="56" t="n">
        <v>0</v>
      </c>
      <c r="M821" s="56" t="n">
        <v>68</v>
      </c>
      <c r="N821" s="56" t="n">
        <v>11.1</v>
      </c>
      <c r="O821" s="56" t="n">
        <f aca="false">IF(D821=1,"",E820)</f>
        <v>20.5</v>
      </c>
      <c r="P821" s="56" t="n">
        <f aca="false">IF(OR(D821=1,K820=""),"",K820)</f>
        <v>1017</v>
      </c>
      <c r="Q821" s="56" t="n">
        <f aca="false">IF(OR(F821&lt;&gt;0,AND(I821&lt;&gt;"",E821&lt;I821)),1,0)</f>
        <v>0</v>
      </c>
      <c r="R821" s="56" t="n">
        <f aca="false">IF(AND(D821&gt;1,Q821=0,ISNUMBER(O821),ISNUMBER(P821)),IF(Q820=0,1,0),0)</f>
        <v>1</v>
      </c>
      <c r="S821" s="56" t="n">
        <f aca="false">R821*(B821&gt;=Train_Start)*(B821&lt;=Train_End)</f>
        <v>1</v>
      </c>
      <c r="T821" s="84" t="n">
        <f aca="false">IF(AND(ISNUMBER(O821),ISNUMBER(P821)),Coef_A+Coef_B1*O821+Coef_B2*P821,"")</f>
        <v>20.7866117221374</v>
      </c>
      <c r="U821" s="84" t="n">
        <f aca="false">IF(AND(R821=1,ISNUMBER(T821)),E821-T821,"")</f>
        <v>2.11338827786261</v>
      </c>
      <c r="V821" s="84" t="n">
        <f aca="false">IF(ISNUMBER(T821),T821,-99)</f>
        <v>20.7866117221374</v>
      </c>
      <c r="W821" s="84" t="n">
        <f aca="false">IF(ISNUMBER(U821),ABS(U821),"")</f>
        <v>2.11338827786261</v>
      </c>
    </row>
    <row r="822" customFormat="false" ht="15" hidden="false" customHeight="false" outlineLevel="0" collapsed="false">
      <c r="A822" s="57" t="n">
        <v>30858</v>
      </c>
      <c r="B822" s="56" t="n">
        <v>1984</v>
      </c>
      <c r="C822" s="56" t="n">
        <v>6</v>
      </c>
      <c r="D822" s="56" t="n">
        <v>56</v>
      </c>
      <c r="E822" s="56" t="n">
        <v>25.8</v>
      </c>
      <c r="F822" s="56" t="n">
        <v>0</v>
      </c>
      <c r="G822" s="56" t="n">
        <v>12.7</v>
      </c>
      <c r="H822" s="56" t="n">
        <v>0</v>
      </c>
      <c r="I822" s="56" t="n">
        <v>17.8</v>
      </c>
      <c r="J822" s="56" t="n">
        <v>0</v>
      </c>
      <c r="K822" s="56" t="n">
        <v>1021.4</v>
      </c>
      <c r="L822" s="56" t="n">
        <v>0</v>
      </c>
      <c r="M822" s="56" t="n">
        <v>67</v>
      </c>
      <c r="N822" s="56" t="n">
        <v>9.2</v>
      </c>
      <c r="O822" s="56" t="n">
        <f aca="false">IF(D822=1,"",E821)</f>
        <v>22.9</v>
      </c>
      <c r="P822" s="56" t="n">
        <f aca="false">IF(OR(D822=1,K821=""),"",K821)</f>
        <v>1021.4</v>
      </c>
      <c r="Q822" s="56" t="n">
        <f aca="false">IF(OR(F822&lt;&gt;0,AND(I822&lt;&gt;"",E822&lt;I822)),1,0)</f>
        <v>0</v>
      </c>
      <c r="R822" s="56" t="n">
        <f aca="false">IF(AND(D822&gt;1,Q822=0,ISNUMBER(O822),ISNUMBER(P822)),IF(Q821=0,1,0),0)</f>
        <v>1</v>
      </c>
      <c r="S822" s="56" t="n">
        <f aca="false">R822*(B822&gt;=Train_Start)*(B822&lt;=Train_End)</f>
        <v>1</v>
      </c>
      <c r="T822" s="84" t="n">
        <f aca="false">IF(AND(ISNUMBER(O822),ISNUMBER(P822)),Coef_A+Coef_B1*O822+Coef_B2*P822,"")</f>
        <v>22.8910533218293</v>
      </c>
      <c r="U822" s="84" t="n">
        <f aca="false">IF(AND(R822=1,ISNUMBER(T822)),E822-T822,"")</f>
        <v>2.90894667817068</v>
      </c>
      <c r="V822" s="84" t="n">
        <f aca="false">IF(ISNUMBER(T822),T822,-99)</f>
        <v>22.8910533218293</v>
      </c>
      <c r="W822" s="84" t="n">
        <f aca="false">IF(ISNUMBER(U822),ABS(U822),"")</f>
        <v>2.90894667817068</v>
      </c>
    </row>
    <row r="823" customFormat="false" ht="15" hidden="false" customHeight="false" outlineLevel="0" collapsed="false">
      <c r="A823" s="57" t="n">
        <v>30859</v>
      </c>
      <c r="B823" s="56" t="n">
        <v>1984</v>
      </c>
      <c r="C823" s="56" t="n">
        <v>6</v>
      </c>
      <c r="D823" s="56" t="n">
        <v>57</v>
      </c>
      <c r="E823" s="56" t="n">
        <v>24.4</v>
      </c>
      <c r="F823" s="56" t="n">
        <v>0</v>
      </c>
      <c r="G823" s="56" t="n">
        <v>12.8</v>
      </c>
      <c r="H823" s="56" t="n">
        <v>0</v>
      </c>
      <c r="I823" s="56" t="n">
        <v>19.3</v>
      </c>
      <c r="J823" s="56" t="n">
        <v>0</v>
      </c>
      <c r="K823" s="56" t="n">
        <v>1024.5</v>
      </c>
      <c r="L823" s="56" t="n">
        <v>0</v>
      </c>
      <c r="M823" s="56" t="n">
        <v>62</v>
      </c>
      <c r="N823" s="56" t="n">
        <v>14.8</v>
      </c>
      <c r="O823" s="56" t="n">
        <f aca="false">IF(D823=1,"",E822)</f>
        <v>25.8</v>
      </c>
      <c r="P823" s="56" t="n">
        <f aca="false">IF(OR(D823=1,K822=""),"",K822)</f>
        <v>1021.4</v>
      </c>
      <c r="Q823" s="56" t="n">
        <f aca="false">IF(OR(F823&lt;&gt;0,AND(I823&lt;&gt;"",E823&lt;I823)),1,0)</f>
        <v>0</v>
      </c>
      <c r="R823" s="56" t="n">
        <f aca="false">IF(AND(D823&gt;1,Q823=0,ISNUMBER(O823),ISNUMBER(P823)),IF(Q822=0,1,0),0)</f>
        <v>1</v>
      </c>
      <c r="S823" s="56" t="n">
        <f aca="false">R823*(B823&gt;=Train_Start)*(B823&lt;=Train_End)</f>
        <v>1</v>
      </c>
      <c r="T823" s="84" t="n">
        <f aca="false">IF(AND(ISNUMBER(O823),ISNUMBER(P823)),Coef_A+Coef_B1*O823+Coef_B2*P823,"")</f>
        <v>25.267136981653</v>
      </c>
      <c r="U823" s="84" t="n">
        <f aca="false">IF(AND(R823=1,ISNUMBER(T823)),E823-T823,"")</f>
        <v>-0.867136981653033</v>
      </c>
      <c r="V823" s="84" t="n">
        <f aca="false">IF(ISNUMBER(T823),T823,-99)</f>
        <v>25.267136981653</v>
      </c>
      <c r="W823" s="84" t="n">
        <f aca="false">IF(ISNUMBER(U823),ABS(U823),"")</f>
        <v>0.867136981653033</v>
      </c>
    </row>
    <row r="824" customFormat="false" ht="15" hidden="false" customHeight="false" outlineLevel="0" collapsed="false">
      <c r="A824" s="57" t="n">
        <v>30860</v>
      </c>
      <c r="B824" s="56" t="n">
        <v>1984</v>
      </c>
      <c r="C824" s="56" t="n">
        <v>6</v>
      </c>
      <c r="D824" s="56" t="n">
        <v>58</v>
      </c>
      <c r="E824" s="56" t="n">
        <v>17.4</v>
      </c>
      <c r="F824" s="56" t="n">
        <v>1</v>
      </c>
      <c r="G824" s="56" t="n">
        <v>12.3</v>
      </c>
      <c r="H824" s="56" t="n">
        <v>0</v>
      </c>
      <c r="I824" s="56" t="n">
        <v>18.4</v>
      </c>
      <c r="J824" s="56" t="n">
        <v>1</v>
      </c>
      <c r="K824" s="56" t="n">
        <v>1020.7</v>
      </c>
      <c r="L824" s="56" t="n">
        <v>0</v>
      </c>
      <c r="M824" s="56" t="n">
        <v>64</v>
      </c>
      <c r="N824" s="56" t="n">
        <v>11.7</v>
      </c>
      <c r="O824" s="56" t="n">
        <f aca="false">IF(D824=1,"",E823)</f>
        <v>24.4</v>
      </c>
      <c r="P824" s="56" t="n">
        <f aca="false">IF(OR(D824=1,K823=""),"",K823)</f>
        <v>1024.5</v>
      </c>
      <c r="Q824" s="56" t="n">
        <f aca="false">IF(OR(F824&lt;&gt;0,AND(I824&lt;&gt;"",E824&lt;I824)),1,0)</f>
        <v>1</v>
      </c>
      <c r="R824" s="56" t="n">
        <f aca="false">IF(AND(D824&gt;1,Q824=0,ISNUMBER(O824),ISNUMBER(P824)),IF(Q823=0,1,0),0)</f>
        <v>0</v>
      </c>
      <c r="S824" s="56" t="n">
        <f aca="false">R824*(B824&gt;=Train_Start)*(B824&lt;=Train_End)</f>
        <v>0</v>
      </c>
      <c r="T824" s="84" t="n">
        <f aca="false">IF(AND(ISNUMBER(O824),ISNUMBER(P824)),Coef_A+Coef_B1*O824+Coef_B2*P824,"")</f>
        <v>24.2173087847587</v>
      </c>
      <c r="U824" s="84" t="str">
        <f aca="false">IF(AND(R824=1,ISNUMBER(T824)),E824-T824,"")</f>
        <v/>
      </c>
      <c r="V824" s="84" t="n">
        <f aca="false">IF(ISNUMBER(T824),T824,-99)</f>
        <v>24.2173087847587</v>
      </c>
      <c r="W824" s="84" t="str">
        <f aca="false">IF(ISNUMBER(U824),ABS(U824),"")</f>
        <v/>
      </c>
    </row>
    <row r="825" customFormat="false" ht="15" hidden="false" customHeight="false" outlineLevel="0" collapsed="false">
      <c r="A825" s="57" t="n">
        <v>30861</v>
      </c>
      <c r="B825" s="56" t="n">
        <v>1984</v>
      </c>
      <c r="C825" s="56" t="n">
        <v>6</v>
      </c>
      <c r="D825" s="56" t="n">
        <v>59</v>
      </c>
      <c r="E825" s="56" t="n">
        <v>18.8</v>
      </c>
      <c r="F825" s="56" t="n">
        <v>0</v>
      </c>
      <c r="G825" s="56" t="n">
        <v>10.3</v>
      </c>
      <c r="H825" s="56" t="n">
        <v>0</v>
      </c>
      <c r="I825" s="56" t="n">
        <v>13.8</v>
      </c>
      <c r="J825" s="56" t="n">
        <v>0</v>
      </c>
      <c r="K825" s="56" t="n">
        <v>1019</v>
      </c>
      <c r="L825" s="56" t="n">
        <v>0</v>
      </c>
      <c r="M825" s="56" t="n">
        <v>67</v>
      </c>
      <c r="N825" s="56" t="n">
        <v>2.2</v>
      </c>
      <c r="O825" s="56" t="n">
        <f aca="false">IF(D825=1,"",E824)</f>
        <v>17.4</v>
      </c>
      <c r="P825" s="56" t="n">
        <f aca="false">IF(OR(D825=1,K824=""),"",K824)</f>
        <v>1020.7</v>
      </c>
      <c r="Q825" s="56" t="n">
        <f aca="false">IF(OR(F825&lt;&gt;0,AND(I825&lt;&gt;"",E825&lt;I825)),1,0)</f>
        <v>0</v>
      </c>
      <c r="R825" s="56" t="n">
        <f aca="false">IF(AND(D825&gt;1,Q825=0,ISNUMBER(O825),ISNUMBER(P825)),IF(Q824=0,1,0),0)</f>
        <v>0</v>
      </c>
      <c r="S825" s="56" t="n">
        <f aca="false">R825*(B825&gt;=Train_Start)*(B825&lt;=Train_End)</f>
        <v>0</v>
      </c>
      <c r="T825" s="84" t="n">
        <f aca="false">IF(AND(ISNUMBER(O825),ISNUMBER(P825)),Coef_A+Coef_B1*O825+Coef_B2*P825,"")</f>
        <v>18.3627288338509</v>
      </c>
      <c r="U825" s="84" t="str">
        <f aca="false">IF(AND(R825=1,ISNUMBER(T825)),E825-T825,"")</f>
        <v/>
      </c>
      <c r="V825" s="84" t="n">
        <f aca="false">IF(ISNUMBER(T825),T825,-99)</f>
        <v>18.3627288338509</v>
      </c>
      <c r="W825" s="84" t="str">
        <f aca="false">IF(ISNUMBER(U825),ABS(U825),"")</f>
        <v/>
      </c>
    </row>
    <row r="826" customFormat="false" ht="15" hidden="false" customHeight="false" outlineLevel="0" collapsed="false">
      <c r="A826" s="57" t="n">
        <v>30862</v>
      </c>
      <c r="B826" s="56" t="n">
        <v>1984</v>
      </c>
      <c r="C826" s="56" t="n">
        <v>6</v>
      </c>
      <c r="D826" s="56" t="n">
        <v>60</v>
      </c>
      <c r="E826" s="56" t="n">
        <v>19.4</v>
      </c>
      <c r="F826" s="56" t="n">
        <v>0</v>
      </c>
      <c r="G826" s="56" t="n">
        <v>7.3</v>
      </c>
      <c r="H826" s="56" t="n">
        <v>0</v>
      </c>
      <c r="I826" s="56" t="n">
        <v>13</v>
      </c>
      <c r="J826" s="56" t="n">
        <v>0</v>
      </c>
      <c r="K826" s="56" t="n">
        <v>1017.2</v>
      </c>
      <c r="L826" s="56" t="n">
        <v>0</v>
      </c>
      <c r="M826" s="56" t="n">
        <v>64</v>
      </c>
      <c r="N826" s="56" t="n">
        <v>8.4</v>
      </c>
      <c r="O826" s="56" t="n">
        <f aca="false">IF(D826=1,"",E825)</f>
        <v>18.8</v>
      </c>
      <c r="P826" s="56" t="n">
        <f aca="false">IF(OR(D826=1,K825=""),"",K825)</f>
        <v>1019</v>
      </c>
      <c r="Q826" s="56" t="n">
        <f aca="false">IF(OR(F826&lt;&gt;0,AND(I826&lt;&gt;"",E826&lt;I826)),1,0)</f>
        <v>0</v>
      </c>
      <c r="R826" s="56" t="n">
        <f aca="false">IF(AND(D826&gt;1,Q826=0,ISNUMBER(O826),ISNUMBER(P826)),IF(Q825=0,1,0),0)</f>
        <v>1</v>
      </c>
      <c r="S826" s="56" t="n">
        <f aca="false">R826*(B826&gt;=Train_Start)*(B826&lt;=Train_End)</f>
        <v>1</v>
      </c>
      <c r="T826" s="84" t="n">
        <f aca="false">IF(AND(ISNUMBER(O826),ISNUMBER(P826)),Coef_A+Coef_B1*O826+Coef_B2*P826,"")</f>
        <v>19.4564748832329</v>
      </c>
      <c r="U826" s="84" t="n">
        <f aca="false">IF(AND(R826=1,ISNUMBER(T826)),E826-T826,"")</f>
        <v>-0.0564748832328554</v>
      </c>
      <c r="V826" s="84" t="n">
        <f aca="false">IF(ISNUMBER(T826),T826,-99)</f>
        <v>19.4564748832329</v>
      </c>
      <c r="W826" s="84" t="n">
        <f aca="false">IF(ISNUMBER(U826),ABS(U826),"")</f>
        <v>0.0564748832328554</v>
      </c>
    </row>
    <row r="827" customFormat="false" ht="15" hidden="false" customHeight="false" outlineLevel="0" collapsed="false">
      <c r="A827" s="57" t="n">
        <v>30863</v>
      </c>
      <c r="B827" s="56" t="n">
        <v>1984</v>
      </c>
      <c r="C827" s="56" t="n">
        <v>6</v>
      </c>
      <c r="D827" s="56" t="n">
        <v>61</v>
      </c>
      <c r="E827" s="56" t="n">
        <v>21.9</v>
      </c>
      <c r="F827" s="56" t="n">
        <v>0</v>
      </c>
      <c r="G827" s="56" t="n">
        <v>8.5</v>
      </c>
      <c r="H827" s="56" t="n">
        <v>0</v>
      </c>
      <c r="I827" s="56" t="n">
        <v>14</v>
      </c>
      <c r="J827" s="56" t="n">
        <v>0</v>
      </c>
      <c r="K827" s="56" t="n">
        <v>1019.4</v>
      </c>
      <c r="L827" s="56" t="n">
        <v>0</v>
      </c>
      <c r="M827" s="56" t="n">
        <v>61</v>
      </c>
      <c r="N827" s="56" t="n">
        <v>10.4</v>
      </c>
      <c r="O827" s="56" t="n">
        <f aca="false">IF(D827=1,"",E826)</f>
        <v>19.4</v>
      </c>
      <c r="P827" s="56" t="n">
        <f aca="false">IF(OR(D827=1,K826=""),"",K826)</f>
        <v>1017.2</v>
      </c>
      <c r="Q827" s="56" t="n">
        <f aca="false">IF(OR(F827&lt;&gt;0,AND(I827&lt;&gt;"",E827&lt;I827)),1,0)</f>
        <v>0</v>
      </c>
      <c r="R827" s="56" t="n">
        <f aca="false">IF(AND(D827&gt;1,Q827=0,ISNUMBER(O827),ISNUMBER(P827)),IF(Q826=0,1,0),0)</f>
        <v>1</v>
      </c>
      <c r="S827" s="56" t="n">
        <f aca="false">R827*(B827&gt;=Train_Start)*(B827&lt;=Train_End)</f>
        <v>1</v>
      </c>
      <c r="T827" s="84" t="n">
        <f aca="false">IF(AND(ISNUMBER(O827),ISNUMBER(P827)),Coef_A+Coef_B1*O827+Coef_B2*P827,"")</f>
        <v>19.8916125887173</v>
      </c>
      <c r="U827" s="84" t="n">
        <f aca="false">IF(AND(R827=1,ISNUMBER(T827)),E827-T827,"")</f>
        <v>2.00838741128273</v>
      </c>
      <c r="V827" s="84" t="n">
        <f aca="false">IF(ISNUMBER(T827),T827,-99)</f>
        <v>19.8916125887173</v>
      </c>
      <c r="W827" s="84" t="n">
        <f aca="false">IF(ISNUMBER(U827),ABS(U827),"")</f>
        <v>2.00838741128273</v>
      </c>
    </row>
    <row r="828" customFormat="false" ht="15" hidden="false" customHeight="false" outlineLevel="0" collapsed="false">
      <c r="A828" s="57" t="n">
        <v>30864</v>
      </c>
      <c r="B828" s="56" t="n">
        <v>1984</v>
      </c>
      <c r="C828" s="56" t="n">
        <v>7</v>
      </c>
      <c r="D828" s="56" t="n">
        <v>62</v>
      </c>
      <c r="E828" s="56" t="n">
        <v>18.1</v>
      </c>
      <c r="F828" s="56" t="n">
        <v>0</v>
      </c>
      <c r="G828" s="56" t="n">
        <v>10.4</v>
      </c>
      <c r="H828" s="56" t="n">
        <v>0</v>
      </c>
      <c r="I828" s="56" t="n">
        <v>16.2</v>
      </c>
      <c r="J828" s="56" t="n">
        <v>0</v>
      </c>
      <c r="K828" s="56" t="n">
        <v>1019.1</v>
      </c>
      <c r="L828" s="56" t="n">
        <v>0</v>
      </c>
      <c r="M828" s="56" t="n">
        <v>62</v>
      </c>
      <c r="N828" s="56" t="n">
        <v>5.3</v>
      </c>
      <c r="O828" s="56" t="n">
        <f aca="false">IF(D828=1,"",E827)</f>
        <v>21.9</v>
      </c>
      <c r="P828" s="56" t="n">
        <f aca="false">IF(OR(D828=1,K827=""),"",K827)</f>
        <v>1019.4</v>
      </c>
      <c r="Q828" s="56" t="n">
        <f aca="false">IF(OR(F828&lt;&gt;0,AND(I828&lt;&gt;"",E828&lt;I828)),1,0)</f>
        <v>0</v>
      </c>
      <c r="R828" s="56" t="n">
        <f aca="false">IF(AND(D828&gt;1,Q828=0,ISNUMBER(O828),ISNUMBER(P828)),IF(Q827=0,1,0),0)</f>
        <v>1</v>
      </c>
      <c r="S828" s="56" t="n">
        <f aca="false">R828*(B828&gt;=Train_Start)*(B828&lt;=Train_End)</f>
        <v>1</v>
      </c>
      <c r="T828" s="84" t="n">
        <f aca="false">IF(AND(ISNUMBER(O828),ISNUMBER(P828)),Coef_A+Coef_B1*O828+Coef_B2*P828,"")</f>
        <v>22.0089743395187</v>
      </c>
      <c r="U828" s="84" t="n">
        <f aca="false">IF(AND(R828=1,ISNUMBER(T828)),E828-T828,"")</f>
        <v>-3.90897433951868</v>
      </c>
      <c r="V828" s="84" t="n">
        <f aca="false">IF(ISNUMBER(T828),T828,-99)</f>
        <v>22.0089743395187</v>
      </c>
      <c r="W828" s="84" t="n">
        <f aca="false">IF(ISNUMBER(U828),ABS(U828),"")</f>
        <v>3.90897433951868</v>
      </c>
    </row>
    <row r="829" customFormat="false" ht="15" hidden="false" customHeight="false" outlineLevel="0" collapsed="false">
      <c r="A829" s="57" t="n">
        <v>30865</v>
      </c>
      <c r="B829" s="56" t="n">
        <v>1984</v>
      </c>
      <c r="C829" s="56" t="n">
        <v>7</v>
      </c>
      <c r="D829" s="56" t="n">
        <v>63</v>
      </c>
      <c r="E829" s="56" t="n">
        <v>22</v>
      </c>
      <c r="F829" s="56" t="n">
        <v>0</v>
      </c>
      <c r="G829" s="56" t="n">
        <v>10.9</v>
      </c>
      <c r="H829" s="56" t="n">
        <v>0</v>
      </c>
      <c r="I829" s="56" t="n">
        <v>14.5</v>
      </c>
      <c r="J829" s="56" t="n">
        <v>0</v>
      </c>
      <c r="K829" s="56" t="n">
        <v>1019.4</v>
      </c>
      <c r="L829" s="56" t="n">
        <v>0</v>
      </c>
      <c r="M829" s="56" t="n">
        <v>64</v>
      </c>
      <c r="N829" s="56" t="n">
        <v>6.6</v>
      </c>
      <c r="O829" s="56" t="n">
        <f aca="false">IF(D829=1,"",E828)</f>
        <v>18.1</v>
      </c>
      <c r="P829" s="56" t="n">
        <f aca="false">IF(OR(D829=1,K828=""),"",K828)</f>
        <v>1019.1</v>
      </c>
      <c r="Q829" s="56" t="n">
        <f aca="false">IF(OR(F829&lt;&gt;0,AND(I829&lt;&gt;"",E829&lt;I829)),1,0)</f>
        <v>0</v>
      </c>
      <c r="R829" s="56" t="n">
        <f aca="false">IF(AND(D829&gt;1,Q829=0,ISNUMBER(O829),ISNUMBER(P829)),IF(Q828=0,1,0),0)</f>
        <v>1</v>
      </c>
      <c r="S829" s="56" t="n">
        <f aca="false">R829*(B829&gt;=Train_Start)*(B829&lt;=Train_End)</f>
        <v>1</v>
      </c>
      <c r="T829" s="84" t="n">
        <f aca="false">IF(AND(ISNUMBER(O829),ISNUMBER(P829)),Coef_A+Coef_B1*O829+Coef_B2*P829,"")</f>
        <v>18.8860744375664</v>
      </c>
      <c r="U829" s="84" t="n">
        <f aca="false">IF(AND(R829=1,ISNUMBER(T829)),E829-T829,"")</f>
        <v>3.11392556243361</v>
      </c>
      <c r="V829" s="84" t="n">
        <f aca="false">IF(ISNUMBER(T829),T829,-99)</f>
        <v>18.8860744375664</v>
      </c>
      <c r="W829" s="84" t="n">
        <f aca="false">IF(ISNUMBER(U829),ABS(U829),"")</f>
        <v>3.11392556243361</v>
      </c>
    </row>
    <row r="830" customFormat="false" ht="15" hidden="false" customHeight="false" outlineLevel="0" collapsed="false">
      <c r="A830" s="57" t="n">
        <v>30866</v>
      </c>
      <c r="B830" s="56" t="n">
        <v>1984</v>
      </c>
      <c r="C830" s="56" t="n">
        <v>7</v>
      </c>
      <c r="D830" s="56" t="n">
        <v>64</v>
      </c>
      <c r="E830" s="56" t="n">
        <v>22.5</v>
      </c>
      <c r="F830" s="56" t="n">
        <v>0</v>
      </c>
      <c r="G830" s="56" t="n">
        <v>8.5</v>
      </c>
      <c r="H830" s="56" t="n">
        <v>0</v>
      </c>
      <c r="I830" s="56" t="n">
        <v>15.2</v>
      </c>
      <c r="J830" s="56" t="n">
        <v>0</v>
      </c>
      <c r="K830" s="56" t="n">
        <v>1026.8</v>
      </c>
      <c r="L830" s="56" t="n">
        <v>0</v>
      </c>
      <c r="M830" s="56" t="n">
        <v>57</v>
      </c>
      <c r="N830" s="56" t="n">
        <v>12.3</v>
      </c>
      <c r="O830" s="56" t="n">
        <f aca="false">IF(D830=1,"",E829)</f>
        <v>22</v>
      </c>
      <c r="P830" s="56" t="n">
        <f aca="false">IF(OR(D830=1,K829=""),"",K829)</f>
        <v>1019.4</v>
      </c>
      <c r="Q830" s="56" t="n">
        <f aca="false">IF(OR(F830&lt;&gt;0,AND(I830&lt;&gt;"",E830&lt;I830)),1,0)</f>
        <v>0</v>
      </c>
      <c r="R830" s="56" t="n">
        <f aca="false">IF(AND(D830&gt;1,Q830=0,ISNUMBER(O830),ISNUMBER(P830)),IF(Q829=0,1,0),0)</f>
        <v>1</v>
      </c>
      <c r="S830" s="56" t="n">
        <f aca="false">R830*(B830&gt;=Train_Start)*(B830&lt;=Train_End)</f>
        <v>1</v>
      </c>
      <c r="T830" s="84" t="n">
        <f aca="false">IF(AND(ISNUMBER(O830),ISNUMBER(P830)),Coef_A+Coef_B1*O830+Coef_B2*P830,"")</f>
        <v>22.090908258823</v>
      </c>
      <c r="U830" s="84" t="n">
        <f aca="false">IF(AND(R830=1,ISNUMBER(T830)),E830-T830,"")</f>
        <v>0.409091741177051</v>
      </c>
      <c r="V830" s="84" t="n">
        <f aca="false">IF(ISNUMBER(T830),T830,-99)</f>
        <v>22.090908258823</v>
      </c>
      <c r="W830" s="84" t="n">
        <f aca="false">IF(ISNUMBER(U830),ABS(U830),"")</f>
        <v>0.409091741177051</v>
      </c>
    </row>
    <row r="831" customFormat="false" ht="15" hidden="false" customHeight="false" outlineLevel="0" collapsed="false">
      <c r="A831" s="57" t="n">
        <v>30867</v>
      </c>
      <c r="B831" s="56" t="n">
        <v>1984</v>
      </c>
      <c r="C831" s="56" t="n">
        <v>7</v>
      </c>
      <c r="D831" s="56" t="n">
        <v>65</v>
      </c>
      <c r="E831" s="56" t="n">
        <v>26.1</v>
      </c>
      <c r="F831" s="56" t="n">
        <v>0</v>
      </c>
      <c r="G831" s="56" t="n">
        <v>9.7</v>
      </c>
      <c r="H831" s="56" t="n">
        <v>0</v>
      </c>
      <c r="I831" s="56" t="n">
        <v>16.1</v>
      </c>
      <c r="J831" s="56" t="n">
        <v>0</v>
      </c>
      <c r="K831" s="56" t="n">
        <v>1027.5</v>
      </c>
      <c r="L831" s="56" t="n">
        <v>0</v>
      </c>
      <c r="M831" s="56" t="n">
        <v>63</v>
      </c>
      <c r="N831" s="56" t="n">
        <v>11.7</v>
      </c>
      <c r="O831" s="56" t="n">
        <f aca="false">IF(D831=1,"",E830)</f>
        <v>22.5</v>
      </c>
      <c r="P831" s="56" t="n">
        <f aca="false">IF(OR(D831=1,K830=""),"",K830)</f>
        <v>1026.8</v>
      </c>
      <c r="Q831" s="56" t="n">
        <f aca="false">IF(OR(F831&lt;&gt;0,AND(I831&lt;&gt;"",E831&lt;I831)),1,0)</f>
        <v>0</v>
      </c>
      <c r="R831" s="56" t="n">
        <f aca="false">IF(AND(D831&gt;1,Q831=0,ISNUMBER(O831),ISNUMBER(P831)),IF(Q830=0,1,0),0)</f>
        <v>1</v>
      </c>
      <c r="S831" s="56" t="n">
        <f aca="false">R831*(B831&gt;=Train_Start)*(B831&lt;=Train_End)</f>
        <v>1</v>
      </c>
      <c r="T831" s="84" t="n">
        <f aca="false">IF(AND(ISNUMBER(O831),ISNUMBER(P831)),Coef_A+Coef_B1*O831+Coef_B2*P831,"")</f>
        <v>22.7327150756358</v>
      </c>
      <c r="U831" s="84" t="n">
        <f aca="false">IF(AND(R831=1,ISNUMBER(T831)),E831-T831,"")</f>
        <v>3.3672849243642</v>
      </c>
      <c r="V831" s="84" t="n">
        <f aca="false">IF(ISNUMBER(T831),T831,-99)</f>
        <v>22.7327150756358</v>
      </c>
      <c r="W831" s="84" t="n">
        <f aca="false">IF(ISNUMBER(U831),ABS(U831),"")</f>
        <v>3.3672849243642</v>
      </c>
    </row>
    <row r="832" customFormat="false" ht="15" hidden="false" customHeight="false" outlineLevel="0" collapsed="false">
      <c r="A832" s="57" t="n">
        <v>30868</v>
      </c>
      <c r="B832" s="56" t="n">
        <v>1984</v>
      </c>
      <c r="C832" s="56" t="n">
        <v>7</v>
      </c>
      <c r="D832" s="56" t="n">
        <v>66</v>
      </c>
      <c r="E832" s="56" t="n">
        <v>27.7</v>
      </c>
      <c r="F832" s="56" t="n">
        <v>0</v>
      </c>
      <c r="G832" s="56" t="n">
        <v>12</v>
      </c>
      <c r="H832" s="56" t="n">
        <v>0</v>
      </c>
      <c r="I832" s="56" t="n">
        <v>19</v>
      </c>
      <c r="J832" s="56" t="n">
        <v>0</v>
      </c>
      <c r="K832" s="56" t="n">
        <v>1025.8</v>
      </c>
      <c r="L832" s="56" t="n">
        <v>0</v>
      </c>
      <c r="M832" s="56" t="n">
        <v>60</v>
      </c>
      <c r="N832" s="56" t="n">
        <v>13.4</v>
      </c>
      <c r="O832" s="56" t="n">
        <f aca="false">IF(D832=1,"",E831)</f>
        <v>26.1</v>
      </c>
      <c r="P832" s="56" t="n">
        <f aca="false">IF(OR(D832=1,K831=""),"",K831)</f>
        <v>1027.5</v>
      </c>
      <c r="Q832" s="56" t="n">
        <f aca="false">IF(OR(F832&lt;&gt;0,AND(I832&lt;&gt;"",E832&lt;I832)),1,0)</f>
        <v>0</v>
      </c>
      <c r="R832" s="56" t="n">
        <f aca="false">IF(AND(D832&gt;1,Q832=0,ISNUMBER(O832),ISNUMBER(P832)),IF(Q831=0,1,0),0)</f>
        <v>1</v>
      </c>
      <c r="S832" s="56" t="n">
        <f aca="false">R832*(B832&gt;=Train_Start)*(B832&lt;=Train_End)</f>
        <v>1</v>
      </c>
      <c r="T832" s="84" t="n">
        <f aca="false">IF(AND(ISNUMBER(O832),ISNUMBER(P832)),Coef_A+Coef_B1*O832+Coef_B2*P832,"")</f>
        <v>25.7042950968332</v>
      </c>
      <c r="U832" s="84" t="n">
        <f aca="false">IF(AND(R832=1,ISNUMBER(T832)),E832-T832,"")</f>
        <v>1.99570490316684</v>
      </c>
      <c r="V832" s="84" t="n">
        <f aca="false">IF(ISNUMBER(T832),T832,-99)</f>
        <v>25.7042950968332</v>
      </c>
      <c r="W832" s="84" t="n">
        <f aca="false">IF(ISNUMBER(U832),ABS(U832),"")</f>
        <v>1.99570490316684</v>
      </c>
    </row>
    <row r="833" customFormat="false" ht="15" hidden="false" customHeight="false" outlineLevel="0" collapsed="false">
      <c r="A833" s="57" t="n">
        <v>30869</v>
      </c>
      <c r="B833" s="56" t="n">
        <v>1984</v>
      </c>
      <c r="C833" s="56" t="n">
        <v>7</v>
      </c>
      <c r="D833" s="56" t="n">
        <v>67</v>
      </c>
      <c r="E833" s="56" t="n">
        <v>28.2</v>
      </c>
      <c r="F833" s="56" t="n">
        <v>0</v>
      </c>
      <c r="G833" s="56" t="n">
        <v>12.4</v>
      </c>
      <c r="H833" s="56" t="n">
        <v>0</v>
      </c>
      <c r="I833" s="56" t="n">
        <v>20</v>
      </c>
      <c r="J833" s="56" t="n">
        <v>0</v>
      </c>
      <c r="K833" s="56" t="n">
        <v>1022.6</v>
      </c>
      <c r="L833" s="56" t="n">
        <v>0</v>
      </c>
      <c r="M833" s="56" t="n">
        <v>60</v>
      </c>
      <c r="N833" s="56" t="n">
        <v>13.5</v>
      </c>
      <c r="O833" s="56" t="n">
        <f aca="false">IF(D833=1,"",E832)</f>
        <v>27.7</v>
      </c>
      <c r="P833" s="56" t="n">
        <f aca="false">IF(OR(D833=1,K832=""),"",K832)</f>
        <v>1025.8</v>
      </c>
      <c r="Q833" s="56" t="n">
        <f aca="false">IF(OR(F833&lt;&gt;0,AND(I833&lt;&gt;"",E833&lt;I833)),1,0)</f>
        <v>0</v>
      </c>
      <c r="R833" s="56" t="n">
        <f aca="false">IF(AND(D833&gt;1,Q833=0,ISNUMBER(O833),ISNUMBER(P833)),IF(Q832=0,1,0),0)</f>
        <v>1</v>
      </c>
      <c r="S833" s="56" t="n">
        <f aca="false">R833*(B833&gt;=Train_Start)*(B833&lt;=Train_End)</f>
        <v>1</v>
      </c>
      <c r="T833" s="84" t="n">
        <f aca="false">IF(AND(ISNUMBER(O833),ISNUMBER(P833)),Coef_A+Coef_B1*O833+Coef_B2*P833,"")</f>
        <v>26.9619089848236</v>
      </c>
      <c r="U833" s="84" t="n">
        <f aca="false">IF(AND(R833=1,ISNUMBER(T833)),E833-T833,"")</f>
        <v>1.23809101517637</v>
      </c>
      <c r="V833" s="84" t="n">
        <f aca="false">IF(ISNUMBER(T833),T833,-99)</f>
        <v>26.9619089848236</v>
      </c>
      <c r="W833" s="84" t="n">
        <f aca="false">IF(ISNUMBER(U833),ABS(U833),"")</f>
        <v>1.23809101517637</v>
      </c>
    </row>
    <row r="834" customFormat="false" ht="15" hidden="false" customHeight="false" outlineLevel="0" collapsed="false">
      <c r="A834" s="57" t="n">
        <v>30870</v>
      </c>
      <c r="B834" s="56" t="n">
        <v>1984</v>
      </c>
      <c r="C834" s="56" t="n">
        <v>7</v>
      </c>
      <c r="D834" s="56" t="n">
        <v>68</v>
      </c>
      <c r="E834" s="56" t="n">
        <v>31.7</v>
      </c>
      <c r="F834" s="56" t="n">
        <v>0</v>
      </c>
      <c r="G834" s="56" t="n">
        <v>13.6</v>
      </c>
      <c r="H834" s="56" t="n">
        <v>0</v>
      </c>
      <c r="I834" s="56" t="n">
        <v>20.9</v>
      </c>
      <c r="J834" s="56" t="n">
        <v>0</v>
      </c>
      <c r="K834" s="56" t="n">
        <v>1018.8</v>
      </c>
      <c r="L834" s="56" t="n">
        <v>0</v>
      </c>
      <c r="M834" s="56" t="n">
        <v>48</v>
      </c>
      <c r="N834" s="56" t="n">
        <v>13.8</v>
      </c>
      <c r="O834" s="56" t="n">
        <f aca="false">IF(D834=1,"",E833)</f>
        <v>28.2</v>
      </c>
      <c r="P834" s="56" t="n">
        <f aca="false">IF(OR(D834=1,K833=""),"",K833)</f>
        <v>1022.6</v>
      </c>
      <c r="Q834" s="56" t="n">
        <f aca="false">IF(OR(F834&lt;&gt;0,AND(I834&lt;&gt;"",E834&lt;I834)),1,0)</f>
        <v>0</v>
      </c>
      <c r="R834" s="56" t="n">
        <f aca="false">IF(AND(D834&gt;1,Q834=0,ISNUMBER(O834),ISNUMBER(P834)),IF(Q833=0,1,0),0)</f>
        <v>1</v>
      </c>
      <c r="S834" s="56" t="n">
        <f aca="false">R834*(B834&gt;=Train_Start)*(B834&lt;=Train_End)</f>
        <v>1</v>
      </c>
      <c r="T834" s="84" t="n">
        <f aca="false">IF(AND(ISNUMBER(O834),ISNUMBER(P834)),Coef_A+Coef_B1*O834+Coef_B2*P834,"")</f>
        <v>27.2711949185162</v>
      </c>
      <c r="U834" s="84" t="n">
        <f aca="false">IF(AND(R834=1,ISNUMBER(T834)),E834-T834,"")</f>
        <v>4.4288050814838</v>
      </c>
      <c r="V834" s="84" t="n">
        <f aca="false">IF(ISNUMBER(T834),T834,-99)</f>
        <v>27.2711949185162</v>
      </c>
      <c r="W834" s="84" t="n">
        <f aca="false">IF(ISNUMBER(U834),ABS(U834),"")</f>
        <v>4.4288050814838</v>
      </c>
    </row>
    <row r="835" customFormat="false" ht="15" hidden="false" customHeight="false" outlineLevel="0" collapsed="false">
      <c r="A835" s="57" t="n">
        <v>30871</v>
      </c>
      <c r="B835" s="56" t="n">
        <v>1984</v>
      </c>
      <c r="C835" s="56" t="n">
        <v>7</v>
      </c>
      <c r="D835" s="56" t="n">
        <v>69</v>
      </c>
      <c r="E835" s="56" t="n">
        <v>22.2</v>
      </c>
      <c r="F835" s="56" t="n">
        <v>1</v>
      </c>
      <c r="G835" s="56" t="n">
        <v>15.5</v>
      </c>
      <c r="H835" s="56" t="n">
        <v>0</v>
      </c>
      <c r="I835" s="56" t="n">
        <v>23.6</v>
      </c>
      <c r="J835" s="56" t="n">
        <v>1</v>
      </c>
      <c r="K835" s="56" t="n">
        <v>1012.2</v>
      </c>
      <c r="L835" s="56" t="n">
        <v>0</v>
      </c>
      <c r="M835" s="56" t="n">
        <v>54</v>
      </c>
      <c r="N835" s="56" t="n">
        <v>11.9</v>
      </c>
      <c r="O835" s="56" t="n">
        <f aca="false">IF(D835=1,"",E834)</f>
        <v>31.7</v>
      </c>
      <c r="P835" s="56" t="n">
        <f aca="false">IF(OR(D835=1,K834=""),"",K834)</f>
        <v>1018.8</v>
      </c>
      <c r="Q835" s="56" t="n">
        <f aca="false">IF(OR(F835&lt;&gt;0,AND(I835&lt;&gt;"",E835&lt;I835)),1,0)</f>
        <v>1</v>
      </c>
      <c r="R835" s="56" t="n">
        <f aca="false">IF(AND(D835&gt;1,Q835=0,ISNUMBER(O835),ISNUMBER(P835)),IF(Q834=0,1,0),0)</f>
        <v>0</v>
      </c>
      <c r="S835" s="56" t="n">
        <f aca="false">R835*(B835&gt;=Train_Start)*(B835&lt;=Train_End)</f>
        <v>0</v>
      </c>
      <c r="T835" s="84" t="n">
        <f aca="false">IF(AND(ISNUMBER(O835),ISNUMBER(P835)),Coef_A+Coef_B1*O835+Coef_B2*P835,"")</f>
        <v>30.0196764945563</v>
      </c>
      <c r="U835" s="84" t="str">
        <f aca="false">IF(AND(R835=1,ISNUMBER(T835)),E835-T835,"")</f>
        <v/>
      </c>
      <c r="V835" s="84" t="n">
        <f aca="false">IF(ISNUMBER(T835),T835,-99)</f>
        <v>30.0196764945563</v>
      </c>
      <c r="W835" s="84" t="str">
        <f aca="false">IF(ISNUMBER(U835),ABS(U835),"")</f>
        <v/>
      </c>
    </row>
    <row r="836" customFormat="false" ht="15" hidden="false" customHeight="false" outlineLevel="0" collapsed="false">
      <c r="A836" s="57" t="n">
        <v>30872</v>
      </c>
      <c r="B836" s="56" t="n">
        <v>1984</v>
      </c>
      <c r="C836" s="56" t="n">
        <v>7</v>
      </c>
      <c r="D836" s="56" t="n">
        <v>70</v>
      </c>
      <c r="E836" s="56" t="n">
        <v>24.4</v>
      </c>
      <c r="F836" s="56" t="n">
        <v>0</v>
      </c>
      <c r="G836" s="56" t="n">
        <v>14.5</v>
      </c>
      <c r="H836" s="56" t="n">
        <v>0</v>
      </c>
      <c r="I836" s="56" t="n">
        <v>18.4</v>
      </c>
      <c r="J836" s="56" t="n">
        <v>0</v>
      </c>
      <c r="K836" s="56" t="n">
        <v>1011.3</v>
      </c>
      <c r="L836" s="56" t="n">
        <v>0</v>
      </c>
      <c r="M836" s="56" t="n">
        <v>75</v>
      </c>
      <c r="N836" s="56" t="n">
        <v>1.7</v>
      </c>
      <c r="O836" s="56" t="n">
        <f aca="false">IF(D836=1,"",E835)</f>
        <v>22.2</v>
      </c>
      <c r="P836" s="56" t="n">
        <f aca="false">IF(OR(D836=1,K835=""),"",K835)</f>
        <v>1012.2</v>
      </c>
      <c r="Q836" s="56" t="n">
        <f aca="false">IF(OR(F836&lt;&gt;0,AND(I836&lt;&gt;"",E836&lt;I836)),1,0)</f>
        <v>0</v>
      </c>
      <c r="R836" s="56" t="n">
        <f aca="false">IF(AND(D836&gt;1,Q836=0,ISNUMBER(O836),ISNUMBER(P836)),IF(Q835=0,1,0),0)</f>
        <v>0</v>
      </c>
      <c r="S836" s="56" t="n">
        <f aca="false">R836*(B836&gt;=Train_Start)*(B836&lt;=Train_End)</f>
        <v>0</v>
      </c>
      <c r="T836" s="84" t="n">
        <f aca="false">IF(AND(ISNUMBER(O836),ISNUMBER(P836)),Coef_A+Coef_B1*O836+Coef_B2*P836,"")</f>
        <v>22.0289128560668</v>
      </c>
      <c r="U836" s="84" t="str">
        <f aca="false">IF(AND(R836=1,ISNUMBER(T836)),E836-T836,"")</f>
        <v/>
      </c>
      <c r="V836" s="84" t="n">
        <f aca="false">IF(ISNUMBER(T836),T836,-99)</f>
        <v>22.0289128560668</v>
      </c>
      <c r="W836" s="84" t="str">
        <f aca="false">IF(ISNUMBER(U836),ABS(U836),"")</f>
        <v/>
      </c>
    </row>
    <row r="837" customFormat="false" ht="15" hidden="false" customHeight="false" outlineLevel="0" collapsed="false">
      <c r="A837" s="57" t="n">
        <v>30873</v>
      </c>
      <c r="B837" s="56" t="n">
        <v>1984</v>
      </c>
      <c r="C837" s="56" t="n">
        <v>7</v>
      </c>
      <c r="D837" s="56" t="n">
        <v>71</v>
      </c>
      <c r="E837" s="56" t="n">
        <v>23.3</v>
      </c>
      <c r="F837" s="56" t="n">
        <v>0</v>
      </c>
      <c r="G837" s="56" t="n">
        <v>14.3</v>
      </c>
      <c r="H837" s="56" t="n">
        <v>0</v>
      </c>
      <c r="I837" s="56" t="n">
        <v>19.4</v>
      </c>
      <c r="J837" s="56" t="n">
        <v>0</v>
      </c>
      <c r="K837" s="56" t="n">
        <v>1011.9</v>
      </c>
      <c r="L837" s="56" t="n">
        <v>0</v>
      </c>
      <c r="M837" s="56" t="n">
        <v>63</v>
      </c>
      <c r="N837" s="56" t="n">
        <v>12.2</v>
      </c>
      <c r="O837" s="56" t="n">
        <f aca="false">IF(D837=1,"",E836)</f>
        <v>24.4</v>
      </c>
      <c r="P837" s="56" t="n">
        <f aca="false">IF(OR(D837=1,K836=""),"",K836)</f>
        <v>1011.3</v>
      </c>
      <c r="Q837" s="56" t="n">
        <f aca="false">IF(OR(F837&lt;&gt;0,AND(I837&lt;&gt;"",E837&lt;I837)),1,0)</f>
        <v>0</v>
      </c>
      <c r="R837" s="56" t="n">
        <f aca="false">IF(AND(D837&gt;1,Q837=0,ISNUMBER(O837),ISNUMBER(P837)),IF(Q836=0,1,0),0)</f>
        <v>1</v>
      </c>
      <c r="S837" s="56" t="n">
        <f aca="false">R837*(B837&gt;=Train_Start)*(B837&lt;=Train_End)</f>
        <v>1</v>
      </c>
      <c r="T837" s="84" t="n">
        <f aca="false">IF(AND(ISNUMBER(O837),ISNUMBER(P837)),Coef_A+Coef_B1*O837+Coef_B2*P837,"")</f>
        <v>23.80322617559</v>
      </c>
      <c r="U837" s="84" t="n">
        <f aca="false">IF(AND(R837=1,ISNUMBER(T837)),E837-T837,"")</f>
        <v>-0.503226175590012</v>
      </c>
      <c r="V837" s="84" t="n">
        <f aca="false">IF(ISNUMBER(T837),T837,-99)</f>
        <v>23.80322617559</v>
      </c>
      <c r="W837" s="84" t="n">
        <f aca="false">IF(ISNUMBER(U837),ABS(U837),"")</f>
        <v>0.503226175590012</v>
      </c>
    </row>
    <row r="838" customFormat="false" ht="15" hidden="false" customHeight="false" outlineLevel="0" collapsed="false">
      <c r="A838" s="57" t="n">
        <v>30874</v>
      </c>
      <c r="B838" s="56" t="n">
        <v>1984</v>
      </c>
      <c r="C838" s="56" t="n">
        <v>7</v>
      </c>
      <c r="D838" s="56" t="n">
        <v>72</v>
      </c>
      <c r="E838" s="56" t="n">
        <v>20.1</v>
      </c>
      <c r="F838" s="56" t="n">
        <v>0</v>
      </c>
      <c r="G838" s="56" t="n">
        <v>13.2</v>
      </c>
      <c r="H838" s="56" t="n">
        <v>0</v>
      </c>
      <c r="I838" s="56" t="n">
        <v>18.2</v>
      </c>
      <c r="J838" s="56" t="n">
        <v>0</v>
      </c>
      <c r="K838" s="56" t="n">
        <v>1010.4</v>
      </c>
      <c r="L838" s="56" t="n">
        <v>0</v>
      </c>
      <c r="M838" s="56" t="n">
        <v>74</v>
      </c>
      <c r="N838" s="56" t="n">
        <v>5.3</v>
      </c>
      <c r="O838" s="56" t="n">
        <f aca="false">IF(D838=1,"",E837)</f>
        <v>23.3</v>
      </c>
      <c r="P838" s="56" t="n">
        <f aca="false">IF(OR(D838=1,K837=""),"",K837)</f>
        <v>1011.9</v>
      </c>
      <c r="Q838" s="56" t="n">
        <f aca="false">IF(OR(F838&lt;&gt;0,AND(I838&lt;&gt;"",E838&lt;I838)),1,0)</f>
        <v>0</v>
      </c>
      <c r="R838" s="56" t="n">
        <f aca="false">IF(AND(D838&gt;1,Q838=0,ISNUMBER(O838),ISNUMBER(P838)),IF(Q837=0,1,0),0)</f>
        <v>1</v>
      </c>
      <c r="S838" s="56" t="n">
        <f aca="false">R838*(B838&gt;=Train_Start)*(B838&lt;=Train_End)</f>
        <v>1</v>
      </c>
      <c r="T838" s="84" t="n">
        <f aca="false">IF(AND(ISNUMBER(O838),ISNUMBER(P838)),Coef_A+Coef_B1*O838+Coef_B2*P838,"")</f>
        <v>22.9207750000235</v>
      </c>
      <c r="U838" s="84" t="n">
        <f aca="false">IF(AND(R838=1,ISNUMBER(T838)),E838-T838,"")</f>
        <v>-2.82077500002348</v>
      </c>
      <c r="V838" s="84" t="n">
        <f aca="false">IF(ISNUMBER(T838),T838,-99)</f>
        <v>22.9207750000235</v>
      </c>
      <c r="W838" s="84" t="n">
        <f aca="false">IF(ISNUMBER(U838),ABS(U838),"")</f>
        <v>2.82077500002348</v>
      </c>
    </row>
    <row r="839" customFormat="false" ht="15" hidden="false" customHeight="false" outlineLevel="0" collapsed="false">
      <c r="A839" s="57" t="n">
        <v>30875</v>
      </c>
      <c r="B839" s="56" t="n">
        <v>1984</v>
      </c>
      <c r="C839" s="56" t="n">
        <v>7</v>
      </c>
      <c r="D839" s="56" t="n">
        <v>73</v>
      </c>
      <c r="E839" s="56" t="n">
        <v>21.9</v>
      </c>
      <c r="F839" s="56" t="n">
        <v>0</v>
      </c>
      <c r="G839" s="56" t="n">
        <v>13.6</v>
      </c>
      <c r="H839" s="56" t="n">
        <v>0</v>
      </c>
      <c r="I839" s="56" t="n">
        <v>16.8</v>
      </c>
      <c r="J839" s="56" t="n">
        <v>0</v>
      </c>
      <c r="K839" s="56" t="n">
        <v>1012.7</v>
      </c>
      <c r="L839" s="56" t="n">
        <v>0</v>
      </c>
      <c r="M839" s="56" t="n">
        <v>84</v>
      </c>
      <c r="N839" s="56" t="n">
        <v>1.6</v>
      </c>
      <c r="O839" s="56" t="n">
        <f aca="false">IF(D839=1,"",E838)</f>
        <v>20.1</v>
      </c>
      <c r="P839" s="56" t="n">
        <f aca="false">IF(OR(D839=1,K838=""),"",K838)</f>
        <v>1010.4</v>
      </c>
      <c r="Q839" s="56" t="n">
        <f aca="false">IF(OR(F839&lt;&gt;0,AND(I839&lt;&gt;"",E839&lt;I839)),1,0)</f>
        <v>0</v>
      </c>
      <c r="R839" s="56" t="n">
        <f aca="false">IF(AND(D839&gt;1,Q839=0,ISNUMBER(O839),ISNUMBER(P839)),IF(Q838=0,1,0),0)</f>
        <v>1</v>
      </c>
      <c r="S839" s="56" t="n">
        <f aca="false">R839*(B839&gt;=Train_Start)*(B839&lt;=Train_End)</f>
        <v>1</v>
      </c>
      <c r="T839" s="84" t="n">
        <f aca="false">IF(AND(ISNUMBER(O839),ISNUMBER(P839)),Coef_A+Coef_B1*O839+Coef_B2*P839,"")</f>
        <v>20.251834740336</v>
      </c>
      <c r="U839" s="84" t="n">
        <f aca="false">IF(AND(R839=1,ISNUMBER(T839)),E839-T839,"")</f>
        <v>1.648165259664</v>
      </c>
      <c r="V839" s="84" t="n">
        <f aca="false">IF(ISNUMBER(T839),T839,-99)</f>
        <v>20.251834740336</v>
      </c>
      <c r="W839" s="84" t="n">
        <f aca="false">IF(ISNUMBER(U839),ABS(U839),"")</f>
        <v>1.648165259664</v>
      </c>
    </row>
    <row r="840" customFormat="false" ht="15" hidden="false" customHeight="false" outlineLevel="0" collapsed="false">
      <c r="A840" s="57" t="n">
        <v>30876</v>
      </c>
      <c r="B840" s="56" t="n">
        <v>1984</v>
      </c>
      <c r="C840" s="56" t="n">
        <v>7</v>
      </c>
      <c r="D840" s="56" t="n">
        <v>74</v>
      </c>
      <c r="E840" s="56" t="n">
        <v>19.9</v>
      </c>
      <c r="F840" s="56" t="n">
        <v>0</v>
      </c>
      <c r="G840" s="56" t="n">
        <v>12.5</v>
      </c>
      <c r="H840" s="56" t="n">
        <v>0</v>
      </c>
      <c r="I840" s="56" t="n">
        <v>17.2</v>
      </c>
      <c r="J840" s="56" t="n">
        <v>0</v>
      </c>
      <c r="K840" s="56" t="n">
        <v>1015</v>
      </c>
      <c r="L840" s="56" t="n">
        <v>0</v>
      </c>
      <c r="M840" s="56" t="n">
        <v>73</v>
      </c>
      <c r="N840" s="56" t="n">
        <v>5.5</v>
      </c>
      <c r="O840" s="56" t="n">
        <f aca="false">IF(D840=1,"",E839)</f>
        <v>21.9</v>
      </c>
      <c r="P840" s="56" t="n">
        <f aca="false">IF(OR(D840=1,K839=""),"",K839)</f>
        <v>1012.7</v>
      </c>
      <c r="Q840" s="56" t="n">
        <f aca="false">IF(OR(F840&lt;&gt;0,AND(I840&lt;&gt;"",E840&lt;I840)),1,0)</f>
        <v>0</v>
      </c>
      <c r="R840" s="56" t="n">
        <f aca="false">IF(AND(D840&gt;1,Q840=0,ISNUMBER(O840),ISNUMBER(P840)),IF(Q839=0,1,0),0)</f>
        <v>1</v>
      </c>
      <c r="S840" s="56" t="n">
        <f aca="false">R840*(B840&gt;=Train_Start)*(B840&lt;=Train_End)</f>
        <v>1</v>
      </c>
      <c r="T840" s="84" t="n">
        <f aca="false">IF(AND(ISNUMBER(O840),ISNUMBER(P840)),Coef_A+Coef_B1*O840+Coef_B2*P840,"")</f>
        <v>21.798796045471</v>
      </c>
      <c r="U840" s="84" t="n">
        <f aca="false">IF(AND(R840=1,ISNUMBER(T840)),E840-T840,"")</f>
        <v>-1.89879604547096</v>
      </c>
      <c r="V840" s="84" t="n">
        <f aca="false">IF(ISNUMBER(T840),T840,-99)</f>
        <v>21.798796045471</v>
      </c>
      <c r="W840" s="84" t="n">
        <f aca="false">IF(ISNUMBER(U840),ABS(U840),"")</f>
        <v>1.89879604547096</v>
      </c>
    </row>
    <row r="841" customFormat="false" ht="15" hidden="false" customHeight="false" outlineLevel="0" collapsed="false">
      <c r="A841" s="57" t="n">
        <v>30877</v>
      </c>
      <c r="B841" s="56" t="n">
        <v>1984</v>
      </c>
      <c r="C841" s="56" t="n">
        <v>7</v>
      </c>
      <c r="D841" s="56" t="n">
        <v>75</v>
      </c>
      <c r="E841" s="56" t="n">
        <v>18.9</v>
      </c>
      <c r="F841" s="56" t="n">
        <v>0</v>
      </c>
      <c r="G841" s="56" t="n">
        <v>14.1</v>
      </c>
      <c r="H841" s="56" t="n">
        <v>0</v>
      </c>
      <c r="I841" s="56" t="n">
        <v>17</v>
      </c>
      <c r="J841" s="56" t="n">
        <v>0</v>
      </c>
      <c r="K841" s="56" t="n">
        <v>1011.3</v>
      </c>
      <c r="L841" s="56" t="n">
        <v>0</v>
      </c>
      <c r="M841" s="56" t="n">
        <v>85</v>
      </c>
      <c r="N841" s="56" t="n">
        <v>0.5</v>
      </c>
      <c r="O841" s="56" t="n">
        <f aca="false">IF(D841=1,"",E840)</f>
        <v>19.9</v>
      </c>
      <c r="P841" s="56" t="n">
        <f aca="false">IF(OR(D841=1,K840=""),"",K840)</f>
        <v>1015</v>
      </c>
      <c r="Q841" s="56" t="n">
        <f aca="false">IF(OR(F841&lt;&gt;0,AND(I841&lt;&gt;"",E841&lt;I841)),1,0)</f>
        <v>0</v>
      </c>
      <c r="R841" s="56" t="n">
        <f aca="false">IF(AND(D841&gt;1,Q841=0,ISNUMBER(O841),ISNUMBER(P841)),IF(Q840=0,1,0),0)</f>
        <v>1</v>
      </c>
      <c r="S841" s="56" t="n">
        <f aca="false">R841*(B841&gt;=Train_Start)*(B841&lt;=Train_End)</f>
        <v>1</v>
      </c>
      <c r="T841" s="84" t="n">
        <f aca="false">IF(AND(ISNUMBER(O841),ISNUMBER(P841)),Coef_A+Coef_B1*O841+Coef_B2*P841,"")</f>
        <v>20.2322684170438</v>
      </c>
      <c r="U841" s="84" t="n">
        <f aca="false">IF(AND(R841=1,ISNUMBER(T841)),E841-T841,"")</f>
        <v>-1.33226841704382</v>
      </c>
      <c r="V841" s="84" t="n">
        <f aca="false">IF(ISNUMBER(T841),T841,-99)</f>
        <v>20.2322684170438</v>
      </c>
      <c r="W841" s="84" t="n">
        <f aca="false">IF(ISNUMBER(U841),ABS(U841),"")</f>
        <v>1.33226841704382</v>
      </c>
    </row>
    <row r="842" customFormat="false" ht="15" hidden="false" customHeight="false" outlineLevel="0" collapsed="false">
      <c r="A842" s="57" t="n">
        <v>30878</v>
      </c>
      <c r="B842" s="56" t="n">
        <v>1984</v>
      </c>
      <c r="C842" s="56" t="n">
        <v>7</v>
      </c>
      <c r="D842" s="56" t="n">
        <v>76</v>
      </c>
      <c r="E842" s="56" t="n">
        <v>21.2</v>
      </c>
      <c r="F842" s="56" t="n">
        <v>0</v>
      </c>
      <c r="G842" s="56" t="n">
        <v>11.2</v>
      </c>
      <c r="H842" s="56" t="n">
        <v>0</v>
      </c>
      <c r="I842" s="56" t="n">
        <v>15</v>
      </c>
      <c r="J842" s="56" t="n">
        <v>0</v>
      </c>
      <c r="K842" s="56" t="n">
        <v>1014.3</v>
      </c>
      <c r="L842" s="56" t="n">
        <v>0</v>
      </c>
      <c r="M842" s="56" t="n">
        <v>69</v>
      </c>
      <c r="N842" s="56" t="n">
        <v>7.3</v>
      </c>
      <c r="O842" s="56" t="n">
        <f aca="false">IF(D842=1,"",E841)</f>
        <v>18.9</v>
      </c>
      <c r="P842" s="56" t="n">
        <f aca="false">IF(OR(D842=1,K841=""),"",K841)</f>
        <v>1011.3</v>
      </c>
      <c r="Q842" s="56" t="n">
        <f aca="false">IF(OR(F842&lt;&gt;0,AND(I842&lt;&gt;"",E842&lt;I842)),1,0)</f>
        <v>0</v>
      </c>
      <c r="R842" s="56" t="n">
        <f aca="false">IF(AND(D842&gt;1,Q842=0,ISNUMBER(O842),ISNUMBER(P842)),IF(Q841=0,1,0),0)</f>
        <v>1</v>
      </c>
      <c r="S842" s="56" t="n">
        <f aca="false">R842*(B842&gt;=Train_Start)*(B842&lt;=Train_End)</f>
        <v>1</v>
      </c>
      <c r="T842" s="84" t="n">
        <f aca="false">IF(AND(ISNUMBER(O842),ISNUMBER(P842)),Coef_A+Coef_B1*O842+Coef_B2*P842,"")</f>
        <v>19.2968606138554</v>
      </c>
      <c r="U842" s="84" t="n">
        <f aca="false">IF(AND(R842=1,ISNUMBER(T842)),E842-T842,"")</f>
        <v>1.90313938614461</v>
      </c>
      <c r="V842" s="84" t="n">
        <f aca="false">IF(ISNUMBER(T842),T842,-99)</f>
        <v>19.2968606138554</v>
      </c>
      <c r="W842" s="84" t="n">
        <f aca="false">IF(ISNUMBER(U842),ABS(U842),"")</f>
        <v>1.90313938614461</v>
      </c>
    </row>
    <row r="843" customFormat="false" ht="15" hidden="false" customHeight="false" outlineLevel="0" collapsed="false">
      <c r="A843" s="57" t="n">
        <v>30879</v>
      </c>
      <c r="B843" s="56" t="n">
        <v>1984</v>
      </c>
      <c r="C843" s="56" t="n">
        <v>7</v>
      </c>
      <c r="D843" s="56" t="n">
        <v>77</v>
      </c>
      <c r="E843" s="56" t="n">
        <v>23.4</v>
      </c>
      <c r="F843" s="56" t="n">
        <v>0</v>
      </c>
      <c r="G843" s="56" t="n">
        <v>10.5</v>
      </c>
      <c r="H843" s="56" t="n">
        <v>0</v>
      </c>
      <c r="I843" s="56" t="n">
        <v>15.8</v>
      </c>
      <c r="J843" s="56" t="n">
        <v>0</v>
      </c>
      <c r="K843" s="56" t="n">
        <v>1021.1</v>
      </c>
      <c r="L843" s="56" t="n">
        <v>0</v>
      </c>
      <c r="M843" s="56" t="n">
        <v>67</v>
      </c>
      <c r="N843" s="56" t="n">
        <v>9.7</v>
      </c>
      <c r="O843" s="56" t="n">
        <f aca="false">IF(D843=1,"",E842)</f>
        <v>21.2</v>
      </c>
      <c r="P843" s="56" t="n">
        <f aca="false">IF(OR(D843=1,K842=""),"",K842)</f>
        <v>1014.3</v>
      </c>
      <c r="Q843" s="56" t="n">
        <f aca="false">IF(OR(F843&lt;&gt;0,AND(I843&lt;&gt;"",E843&lt;I843)),1,0)</f>
        <v>0</v>
      </c>
      <c r="R843" s="56" t="n">
        <f aca="false">IF(AND(D843&gt;1,Q843=0,ISNUMBER(O843),ISNUMBER(P843)),IF(Q842=0,1,0),0)</f>
        <v>1</v>
      </c>
      <c r="S843" s="56" t="n">
        <f aca="false">R843*(B843&gt;=Train_Start)*(B843&lt;=Train_End)</f>
        <v>1</v>
      </c>
      <c r="T843" s="84" t="n">
        <f aca="false">IF(AND(ISNUMBER(O843),ISNUMBER(P843)),Coef_A+Coef_B1*O843+Coef_B2*P843,"")</f>
        <v>21.2754504417555</v>
      </c>
      <c r="U843" s="84" t="n">
        <f aca="false">IF(AND(R843=1,ISNUMBER(T843)),E843-T843,"")</f>
        <v>2.12454955824452</v>
      </c>
      <c r="V843" s="84" t="n">
        <f aca="false">IF(ISNUMBER(T843),T843,-99)</f>
        <v>21.2754504417555</v>
      </c>
      <c r="W843" s="84" t="n">
        <f aca="false">IF(ISNUMBER(U843),ABS(U843),"")</f>
        <v>2.12454955824452</v>
      </c>
    </row>
    <row r="844" customFormat="false" ht="15" hidden="false" customHeight="false" outlineLevel="0" collapsed="false">
      <c r="A844" s="57" t="n">
        <v>30880</v>
      </c>
      <c r="B844" s="56" t="n">
        <v>1984</v>
      </c>
      <c r="C844" s="56" t="n">
        <v>7</v>
      </c>
      <c r="D844" s="56" t="n">
        <v>78</v>
      </c>
      <c r="E844" s="56" t="n">
        <v>24.5</v>
      </c>
      <c r="F844" s="56" t="n">
        <v>0</v>
      </c>
      <c r="G844" s="56" t="n">
        <v>10.2</v>
      </c>
      <c r="H844" s="56" t="n">
        <v>0</v>
      </c>
      <c r="I844" s="56" t="n">
        <v>16.8</v>
      </c>
      <c r="J844" s="56" t="n">
        <v>0</v>
      </c>
      <c r="K844" s="56" t="n">
        <v>1023.2</v>
      </c>
      <c r="L844" s="56" t="n">
        <v>0</v>
      </c>
      <c r="M844" s="56" t="n">
        <v>64</v>
      </c>
      <c r="N844" s="56" t="n">
        <v>8.3</v>
      </c>
      <c r="O844" s="56" t="n">
        <f aca="false">IF(D844=1,"",E843)</f>
        <v>23.4</v>
      </c>
      <c r="P844" s="56" t="n">
        <f aca="false">IF(OR(D844=1,K843=""),"",K843)</f>
        <v>1021.1</v>
      </c>
      <c r="Q844" s="56" t="n">
        <f aca="false">IF(OR(F844&lt;&gt;0,AND(I844&lt;&gt;"",E844&lt;I844)),1,0)</f>
        <v>0</v>
      </c>
      <c r="R844" s="56" t="n">
        <f aca="false">IF(AND(D844&gt;1,Q844=0,ISNUMBER(O844),ISNUMBER(P844)),IF(Q843=0,1,0),0)</f>
        <v>1</v>
      </c>
      <c r="S844" s="56" t="n">
        <f aca="false">R844*(B844&gt;=Train_Start)*(B844&lt;=Train_End)</f>
        <v>1</v>
      </c>
      <c r="T844" s="84" t="n">
        <f aca="false">IF(AND(ISNUMBER(O844),ISNUMBER(P844)),Coef_A+Coef_B1*O844+Coef_B2*P844,"")</f>
        <v>23.2913119499605</v>
      </c>
      <c r="U844" s="84" t="n">
        <f aca="false">IF(AND(R844=1,ISNUMBER(T844)),E844-T844,"")</f>
        <v>1.20868805003955</v>
      </c>
      <c r="V844" s="84" t="n">
        <f aca="false">IF(ISNUMBER(T844),T844,-99)</f>
        <v>23.2913119499605</v>
      </c>
      <c r="W844" s="84" t="n">
        <f aca="false">IF(ISNUMBER(U844),ABS(U844),"")</f>
        <v>1.20868805003955</v>
      </c>
    </row>
    <row r="845" customFormat="false" ht="15" hidden="false" customHeight="false" outlineLevel="0" collapsed="false">
      <c r="A845" s="57" t="n">
        <v>30881</v>
      </c>
      <c r="B845" s="56" t="n">
        <v>1984</v>
      </c>
      <c r="C845" s="56" t="n">
        <v>7</v>
      </c>
      <c r="D845" s="56" t="n">
        <v>79</v>
      </c>
      <c r="E845" s="56" t="n">
        <v>21.2</v>
      </c>
      <c r="F845" s="56" t="n">
        <v>0</v>
      </c>
      <c r="G845" s="56" t="n">
        <v>16</v>
      </c>
      <c r="H845" s="56" t="n">
        <v>0</v>
      </c>
      <c r="I845" s="56" t="n">
        <v>20.2</v>
      </c>
      <c r="J845" s="56" t="n">
        <v>0</v>
      </c>
      <c r="K845" s="56" t="n">
        <v>1022.6</v>
      </c>
      <c r="L845" s="56" t="n">
        <v>0</v>
      </c>
      <c r="M845" s="56" t="n">
        <v>72</v>
      </c>
      <c r="N845" s="56" t="n">
        <v>4.1</v>
      </c>
      <c r="O845" s="56" t="n">
        <f aca="false">IF(D845=1,"",E844)</f>
        <v>24.5</v>
      </c>
      <c r="P845" s="56" t="n">
        <f aca="false">IF(OR(D845=1,K844=""),"",K844)</f>
        <v>1023.2</v>
      </c>
      <c r="Q845" s="56" t="n">
        <f aca="false">IF(OR(F845&lt;&gt;0,AND(I845&lt;&gt;"",E845&lt;I845)),1,0)</f>
        <v>0</v>
      </c>
      <c r="R845" s="56" t="n">
        <f aca="false">IF(AND(D845&gt;1,Q845=0,ISNUMBER(O845),ISNUMBER(P845)),IF(Q844=0,1,0),0)</f>
        <v>1</v>
      </c>
      <c r="S845" s="56" t="n">
        <f aca="false">R845*(B845&gt;=Train_Start)*(B845&lt;=Train_End)</f>
        <v>1</v>
      </c>
      <c r="T845" s="84" t="n">
        <f aca="false">IF(AND(ISNUMBER(O845),ISNUMBER(P845)),Coef_A+Coef_B1*O845+Coef_B2*P845,"")</f>
        <v>24.2584618410388</v>
      </c>
      <c r="U845" s="84" t="n">
        <f aca="false">IF(AND(R845=1,ISNUMBER(T845)),E845-T845,"")</f>
        <v>-3.05846184103876</v>
      </c>
      <c r="V845" s="84" t="n">
        <f aca="false">IF(ISNUMBER(T845),T845,-99)</f>
        <v>24.2584618410388</v>
      </c>
      <c r="W845" s="84" t="n">
        <f aca="false">IF(ISNUMBER(U845),ABS(U845),"")</f>
        <v>3.05846184103876</v>
      </c>
    </row>
    <row r="846" customFormat="false" ht="15" hidden="false" customHeight="false" outlineLevel="0" collapsed="false">
      <c r="A846" s="57" t="n">
        <v>30882</v>
      </c>
      <c r="B846" s="56" t="n">
        <v>1984</v>
      </c>
      <c r="C846" s="56" t="n">
        <v>7</v>
      </c>
      <c r="D846" s="56" t="n">
        <v>80</v>
      </c>
      <c r="E846" s="56" t="n">
        <v>20.2</v>
      </c>
      <c r="F846" s="56" t="n">
        <v>0</v>
      </c>
      <c r="G846" s="56" t="n">
        <v>14.2</v>
      </c>
      <c r="H846" s="56" t="n">
        <v>0</v>
      </c>
      <c r="I846" s="56" t="n">
        <v>17.7</v>
      </c>
      <c r="J846" s="56" t="n">
        <v>0</v>
      </c>
      <c r="K846" s="56" t="n">
        <v>1024.5</v>
      </c>
      <c r="L846" s="56" t="n">
        <v>0</v>
      </c>
      <c r="M846" s="56" t="n">
        <v>72</v>
      </c>
      <c r="N846" s="56" t="n">
        <v>4.9</v>
      </c>
      <c r="O846" s="56" t="n">
        <f aca="false">IF(D846=1,"",E845)</f>
        <v>21.2</v>
      </c>
      <c r="P846" s="56" t="n">
        <f aca="false">IF(OR(D846=1,K845=""),"",K845)</f>
        <v>1022.6</v>
      </c>
      <c r="Q846" s="56" t="n">
        <f aca="false">IF(OR(F846&lt;&gt;0,AND(I846&lt;&gt;"",E846&lt;I846)),1,0)</f>
        <v>0</v>
      </c>
      <c r="R846" s="56" t="n">
        <f aca="false">IF(AND(D846&gt;1,Q846=0,ISNUMBER(O846),ISNUMBER(P846)),IF(Q845=0,1,0),0)</f>
        <v>1</v>
      </c>
      <c r="S846" s="56" t="n">
        <f aca="false">R846*(B846&gt;=Train_Start)*(B846&lt;=Train_End)</f>
        <v>1</v>
      </c>
      <c r="T846" s="84" t="n">
        <f aca="false">IF(AND(ISNUMBER(O846),ISNUMBER(P846)),Coef_A+Coef_B1*O846+Coef_B2*P846,"")</f>
        <v>21.5358205672176</v>
      </c>
      <c r="U846" s="84" t="n">
        <f aca="false">IF(AND(R846=1,ISNUMBER(T846)),E846-T846,"")</f>
        <v>-1.3358205672176</v>
      </c>
      <c r="V846" s="84" t="n">
        <f aca="false">IF(ISNUMBER(T846),T846,-99)</f>
        <v>21.5358205672176</v>
      </c>
      <c r="W846" s="84" t="n">
        <f aca="false">IF(ISNUMBER(U846),ABS(U846),"")</f>
        <v>1.3358205672176</v>
      </c>
    </row>
    <row r="847" customFormat="false" ht="15" hidden="false" customHeight="false" outlineLevel="0" collapsed="false">
      <c r="A847" s="57" t="n">
        <v>30883</v>
      </c>
      <c r="B847" s="56" t="n">
        <v>1984</v>
      </c>
      <c r="C847" s="56" t="n">
        <v>7</v>
      </c>
      <c r="D847" s="56" t="n">
        <v>81</v>
      </c>
      <c r="E847" s="56" t="n">
        <v>27.3</v>
      </c>
      <c r="F847" s="56" t="n">
        <v>0</v>
      </c>
      <c r="G847" s="56" t="n">
        <v>12.3</v>
      </c>
      <c r="H847" s="56" t="n">
        <v>0</v>
      </c>
      <c r="I847" s="56" t="n">
        <v>16.2</v>
      </c>
      <c r="J847" s="56" t="n">
        <v>0</v>
      </c>
      <c r="K847" s="56" t="n">
        <v>1024</v>
      </c>
      <c r="L847" s="56" t="n">
        <v>0</v>
      </c>
      <c r="M847" s="56" t="n">
        <v>78</v>
      </c>
      <c r="N847" s="56" t="n">
        <v>2.6</v>
      </c>
      <c r="O847" s="56" t="n">
        <f aca="false">IF(D847=1,"",E846)</f>
        <v>20.2</v>
      </c>
      <c r="P847" s="56" t="n">
        <f aca="false">IF(OR(D847=1,K846=""),"",K846)</f>
        <v>1024.5</v>
      </c>
      <c r="Q847" s="56" t="n">
        <f aca="false">IF(OR(F847&lt;&gt;0,AND(I847&lt;&gt;"",E847&lt;I847)),1,0)</f>
        <v>0</v>
      </c>
      <c r="R847" s="56" t="n">
        <f aca="false">IF(AND(D847&gt;1,Q847=0,ISNUMBER(O847),ISNUMBER(P847)),IF(Q846=0,1,0),0)</f>
        <v>1</v>
      </c>
      <c r="S847" s="56" t="n">
        <f aca="false">R847*(B847&gt;=Train_Start)*(B847&lt;=Train_End)</f>
        <v>1</v>
      </c>
      <c r="T847" s="84" t="n">
        <f aca="false">IF(AND(ISNUMBER(O847),ISNUMBER(P847)),Coef_A+Coef_B1*O847+Coef_B2*P847,"")</f>
        <v>20.7760841739795</v>
      </c>
      <c r="U847" s="84" t="n">
        <f aca="false">IF(AND(R847=1,ISNUMBER(T847)),E847-T847,"")</f>
        <v>6.52391582602049</v>
      </c>
      <c r="V847" s="84" t="n">
        <f aca="false">IF(ISNUMBER(T847),T847,-99)</f>
        <v>20.7760841739795</v>
      </c>
      <c r="W847" s="84" t="n">
        <f aca="false">IF(ISNUMBER(U847),ABS(U847),"")</f>
        <v>6.52391582602049</v>
      </c>
    </row>
    <row r="848" customFormat="false" ht="15" hidden="false" customHeight="false" outlineLevel="0" collapsed="false">
      <c r="A848" s="57" t="n">
        <v>30884</v>
      </c>
      <c r="B848" s="56" t="n">
        <v>1984</v>
      </c>
      <c r="C848" s="56" t="n">
        <v>7</v>
      </c>
      <c r="D848" s="56" t="n">
        <v>82</v>
      </c>
      <c r="E848" s="56" t="n">
        <v>25.8</v>
      </c>
      <c r="F848" s="56" t="n">
        <v>0</v>
      </c>
      <c r="G848" s="56" t="n">
        <v>11.2</v>
      </c>
      <c r="H848" s="56" t="n">
        <v>0</v>
      </c>
      <c r="I848" s="56" t="n">
        <v>19.2</v>
      </c>
      <c r="J848" s="56" t="n">
        <v>0</v>
      </c>
      <c r="K848" s="56" t="n">
        <v>1021.3</v>
      </c>
      <c r="L848" s="56" t="n">
        <v>0</v>
      </c>
      <c r="M848" s="56" t="n">
        <v>72</v>
      </c>
      <c r="N848" s="56" t="n">
        <v>9.2</v>
      </c>
      <c r="O848" s="56" t="n">
        <f aca="false">IF(D848=1,"",E847)</f>
        <v>27.3</v>
      </c>
      <c r="P848" s="56" t="n">
        <f aca="false">IF(OR(D848=1,K847=""),"",K847)</f>
        <v>1024</v>
      </c>
      <c r="Q848" s="56" t="n">
        <f aca="false">IF(OR(F848&lt;&gt;0,AND(I848&lt;&gt;"",E848&lt;I848)),1,0)</f>
        <v>0</v>
      </c>
      <c r="R848" s="56" t="n">
        <f aca="false">IF(AND(D848&gt;1,Q848=0,ISNUMBER(O848),ISNUMBER(P848)),IF(Q847=0,1,0),0)</f>
        <v>1</v>
      </c>
      <c r="S848" s="56" t="n">
        <f aca="false">R848*(B848&gt;=Train_Start)*(B848&lt;=Train_End)</f>
        <v>1</v>
      </c>
      <c r="T848" s="84" t="n">
        <f aca="false">IF(AND(ISNUMBER(O848),ISNUMBER(P848)),Coef_A+Coef_B1*O848+Coef_B2*P848,"")</f>
        <v>26.5777074972654</v>
      </c>
      <c r="U848" s="84" t="n">
        <f aca="false">IF(AND(R848=1,ISNUMBER(T848)),E848-T848,"")</f>
        <v>-0.777707497265386</v>
      </c>
      <c r="V848" s="84" t="n">
        <f aca="false">IF(ISNUMBER(T848),T848,-99)</f>
        <v>26.5777074972654</v>
      </c>
      <c r="W848" s="84" t="n">
        <f aca="false">IF(ISNUMBER(U848),ABS(U848),"")</f>
        <v>0.777707497265386</v>
      </c>
    </row>
    <row r="849" customFormat="false" ht="15" hidden="false" customHeight="false" outlineLevel="0" collapsed="false">
      <c r="A849" s="57" t="n">
        <v>30885</v>
      </c>
      <c r="B849" s="56" t="n">
        <v>1984</v>
      </c>
      <c r="C849" s="56" t="n">
        <v>7</v>
      </c>
      <c r="D849" s="56" t="n">
        <v>83</v>
      </c>
      <c r="E849" s="56" t="n">
        <v>26.8</v>
      </c>
      <c r="F849" s="56" t="n">
        <v>0</v>
      </c>
      <c r="G849" s="56" t="n">
        <v>14.2</v>
      </c>
      <c r="H849" s="56" t="n">
        <v>0</v>
      </c>
      <c r="I849" s="56" t="n">
        <v>20</v>
      </c>
      <c r="J849" s="56" t="n">
        <v>0</v>
      </c>
      <c r="K849" s="56" t="n">
        <v>1020.9</v>
      </c>
      <c r="L849" s="56" t="n">
        <v>0</v>
      </c>
      <c r="M849" s="56" t="n">
        <v>70</v>
      </c>
      <c r="N849" s="56" t="n">
        <v>5.1</v>
      </c>
      <c r="O849" s="56" t="n">
        <f aca="false">IF(D849=1,"",E848)</f>
        <v>25.8</v>
      </c>
      <c r="P849" s="56" t="n">
        <f aca="false">IF(OR(D849=1,K848=""),"",K848)</f>
        <v>1021.3</v>
      </c>
      <c r="Q849" s="56" t="n">
        <f aca="false">IF(OR(F849&lt;&gt;0,AND(I849&lt;&gt;"",E849&lt;I849)),1,0)</f>
        <v>0</v>
      </c>
      <c r="R849" s="56" t="n">
        <f aca="false">IF(AND(D849&gt;1,Q849=0,ISNUMBER(O849),ISNUMBER(P849)),IF(Q848=0,1,0),0)</f>
        <v>1</v>
      </c>
      <c r="S849" s="56" t="n">
        <f aca="false">R849*(B849&gt;=Train_Start)*(B849&lt;=Train_End)</f>
        <v>1</v>
      </c>
      <c r="T849" s="84" t="n">
        <f aca="false">IF(AND(ISNUMBER(O849),ISNUMBER(P849)),Coef_A+Coef_B1*O849+Coef_B2*P849,"")</f>
        <v>25.2639999921896</v>
      </c>
      <c r="U849" s="84" t="n">
        <f aca="false">IF(AND(R849=1,ISNUMBER(T849)),E849-T849,"")</f>
        <v>1.53600000781037</v>
      </c>
      <c r="V849" s="84" t="n">
        <f aca="false">IF(ISNUMBER(T849),T849,-99)</f>
        <v>25.2639999921896</v>
      </c>
      <c r="W849" s="84" t="n">
        <f aca="false">IF(ISNUMBER(U849),ABS(U849),"")</f>
        <v>1.53600000781037</v>
      </c>
    </row>
    <row r="850" customFormat="false" ht="15" hidden="false" customHeight="false" outlineLevel="0" collapsed="false">
      <c r="A850" s="57" t="n">
        <v>30886</v>
      </c>
      <c r="B850" s="56" t="n">
        <v>1984</v>
      </c>
      <c r="C850" s="56" t="n">
        <v>7</v>
      </c>
      <c r="D850" s="56" t="n">
        <v>84</v>
      </c>
      <c r="E850" s="56" t="n">
        <v>23.5</v>
      </c>
      <c r="F850" s="56" t="n">
        <v>0</v>
      </c>
      <c r="G850" s="56" t="n">
        <v>14</v>
      </c>
      <c r="H850" s="56" t="n">
        <v>0</v>
      </c>
      <c r="I850" s="56" t="n">
        <v>20.4</v>
      </c>
      <c r="J850" s="56" t="n">
        <v>0</v>
      </c>
      <c r="K850" s="56" t="n">
        <v>1020.9</v>
      </c>
      <c r="L850" s="56" t="n">
        <v>0</v>
      </c>
      <c r="M850" s="56" t="n">
        <v>71</v>
      </c>
      <c r="N850" s="56" t="n">
        <v>9.6</v>
      </c>
      <c r="O850" s="56" t="n">
        <f aca="false">IF(D850=1,"",E849)</f>
        <v>26.8</v>
      </c>
      <c r="P850" s="56" t="n">
        <f aca="false">IF(OR(D850=1,K849=""),"",K849)</f>
        <v>1020.9</v>
      </c>
      <c r="Q850" s="56" t="n">
        <f aca="false">IF(OR(F850&lt;&gt;0,AND(I850&lt;&gt;"",E850&lt;I850)),1,0)</f>
        <v>0</v>
      </c>
      <c r="R850" s="56" t="n">
        <f aca="false">IF(AND(D850&gt;1,Q850=0,ISNUMBER(O850),ISNUMBER(P850)),IF(Q849=0,1,0),0)</f>
        <v>1</v>
      </c>
      <c r="S850" s="56" t="n">
        <f aca="false">R850*(B850&gt;=Train_Start)*(B850&lt;=Train_End)</f>
        <v>1</v>
      </c>
      <c r="T850" s="84" t="n">
        <f aca="false">IF(AND(ISNUMBER(O850),ISNUMBER(P850)),Coef_A+Coef_B1*O850+Coef_B2*P850,"")</f>
        <v>26.0707912273787</v>
      </c>
      <c r="U850" s="84" t="n">
        <f aca="false">IF(AND(R850=1,ISNUMBER(T850)),E850-T850,"")</f>
        <v>-2.57079122737869</v>
      </c>
      <c r="V850" s="84" t="n">
        <f aca="false">IF(ISNUMBER(T850),T850,-99)</f>
        <v>26.0707912273787</v>
      </c>
      <c r="W850" s="84" t="n">
        <f aca="false">IF(ISNUMBER(U850),ABS(U850),"")</f>
        <v>2.57079122737869</v>
      </c>
    </row>
    <row r="851" customFormat="false" ht="15" hidden="false" customHeight="false" outlineLevel="0" collapsed="false">
      <c r="A851" s="57" t="n">
        <v>30887</v>
      </c>
      <c r="B851" s="56" t="n">
        <v>1984</v>
      </c>
      <c r="C851" s="56" t="n">
        <v>7</v>
      </c>
      <c r="D851" s="56" t="n">
        <v>85</v>
      </c>
      <c r="E851" s="56" t="n">
        <v>19.3</v>
      </c>
      <c r="F851" s="56" t="n">
        <v>0</v>
      </c>
      <c r="G851" s="56" t="n">
        <v>12.8</v>
      </c>
      <c r="H851" s="56" t="n">
        <v>0</v>
      </c>
      <c r="I851" s="56" t="n">
        <v>18.2</v>
      </c>
      <c r="J851" s="56" t="n">
        <v>0</v>
      </c>
      <c r="K851" s="56" t="n">
        <v>1020.9</v>
      </c>
      <c r="L851" s="56" t="n">
        <v>0</v>
      </c>
      <c r="M851" s="56" t="n">
        <v>66</v>
      </c>
      <c r="N851" s="56" t="n">
        <v>6.1</v>
      </c>
      <c r="O851" s="56" t="n">
        <f aca="false">IF(D851=1,"",E850)</f>
        <v>23.5</v>
      </c>
      <c r="P851" s="56" t="n">
        <f aca="false">IF(OR(D851=1,K850=""),"",K850)</f>
        <v>1020.9</v>
      </c>
      <c r="Q851" s="56" t="n">
        <f aca="false">IF(OR(F851&lt;&gt;0,AND(I851&lt;&gt;"",E851&lt;I851)),1,0)</f>
        <v>0</v>
      </c>
      <c r="R851" s="56" t="n">
        <f aca="false">IF(AND(D851&gt;1,Q851=0,ISNUMBER(O851),ISNUMBER(P851)),IF(Q850=0,1,0),0)</f>
        <v>1</v>
      </c>
      <c r="S851" s="56" t="n">
        <f aca="false">R851*(B851&gt;=Train_Start)*(B851&lt;=Train_End)</f>
        <v>1</v>
      </c>
      <c r="T851" s="84" t="n">
        <f aca="false">IF(AND(ISNUMBER(O851),ISNUMBER(P851)),Coef_A+Coef_B1*O851+Coef_B2*P851,"")</f>
        <v>23.3669718903379</v>
      </c>
      <c r="U851" s="84" t="n">
        <f aca="false">IF(AND(R851=1,ISNUMBER(T851)),E851-T851,"")</f>
        <v>-4.06697189033792</v>
      </c>
      <c r="V851" s="84" t="n">
        <f aca="false">IF(ISNUMBER(T851),T851,-99)</f>
        <v>23.3669718903379</v>
      </c>
      <c r="W851" s="84" t="n">
        <f aca="false">IF(ISNUMBER(U851),ABS(U851),"")</f>
        <v>4.06697189033792</v>
      </c>
    </row>
    <row r="852" customFormat="false" ht="15" hidden="false" customHeight="false" outlineLevel="0" collapsed="false">
      <c r="A852" s="57" t="n">
        <v>30888</v>
      </c>
      <c r="B852" s="56" t="n">
        <v>1984</v>
      </c>
      <c r="C852" s="56" t="n">
        <v>7</v>
      </c>
      <c r="D852" s="56" t="n">
        <v>86</v>
      </c>
      <c r="E852" s="56" t="n">
        <v>24.3</v>
      </c>
      <c r="F852" s="56" t="n">
        <v>0</v>
      </c>
      <c r="G852" s="56" t="n">
        <v>12.6</v>
      </c>
      <c r="H852" s="56" t="n">
        <v>0</v>
      </c>
      <c r="I852" s="56" t="n">
        <v>16</v>
      </c>
      <c r="J852" s="56" t="n">
        <v>0</v>
      </c>
      <c r="K852" s="56" t="n">
        <v>1021.1</v>
      </c>
      <c r="L852" s="56" t="n">
        <v>0</v>
      </c>
      <c r="M852" s="56" t="n">
        <v>80</v>
      </c>
      <c r="N852" s="56" t="n">
        <v>0.9</v>
      </c>
      <c r="O852" s="56" t="n">
        <f aca="false">IF(D852=1,"",E851)</f>
        <v>19.3</v>
      </c>
      <c r="P852" s="56" t="n">
        <f aca="false">IF(OR(D852=1,K851=""),"",K851)</f>
        <v>1020.9</v>
      </c>
      <c r="Q852" s="56" t="n">
        <f aca="false">IF(OR(F852&lt;&gt;0,AND(I852&lt;&gt;"",E852&lt;I852)),1,0)</f>
        <v>0</v>
      </c>
      <c r="R852" s="56" t="n">
        <f aca="false">IF(AND(D852&gt;1,Q852=0,ISNUMBER(O852),ISNUMBER(P852)),IF(Q851=0,1,0),0)</f>
        <v>1</v>
      </c>
      <c r="S852" s="56" t="n">
        <f aca="false">R852*(B852&gt;=Train_Start)*(B852&lt;=Train_End)</f>
        <v>1</v>
      </c>
      <c r="T852" s="84" t="n">
        <f aca="false">IF(AND(ISNUMBER(O852),ISNUMBER(P852)),Coef_A+Coef_B1*O852+Coef_B2*P852,"")</f>
        <v>19.9257472795588</v>
      </c>
      <c r="U852" s="84" t="n">
        <f aca="false">IF(AND(R852=1,ISNUMBER(T852)),E852-T852,"")</f>
        <v>4.37425272044125</v>
      </c>
      <c r="V852" s="84" t="n">
        <f aca="false">IF(ISNUMBER(T852),T852,-99)</f>
        <v>19.9257472795588</v>
      </c>
      <c r="W852" s="84" t="n">
        <f aca="false">IF(ISNUMBER(U852),ABS(U852),"")</f>
        <v>4.37425272044125</v>
      </c>
    </row>
    <row r="853" customFormat="false" ht="15" hidden="false" customHeight="false" outlineLevel="0" collapsed="false">
      <c r="A853" s="57" t="n">
        <v>30889</v>
      </c>
      <c r="B853" s="56" t="n">
        <v>1984</v>
      </c>
      <c r="C853" s="56" t="n">
        <v>7</v>
      </c>
      <c r="D853" s="56" t="n">
        <v>87</v>
      </c>
      <c r="E853" s="56" t="n">
        <v>30.6</v>
      </c>
      <c r="F853" s="56" t="n">
        <v>0</v>
      </c>
      <c r="G853" s="56" t="n">
        <v>11.6</v>
      </c>
      <c r="H853" s="56" t="n">
        <v>0</v>
      </c>
      <c r="I853" s="56" t="n">
        <v>18</v>
      </c>
      <c r="J853" s="56" t="n">
        <v>0</v>
      </c>
      <c r="K853" s="56" t="n">
        <v>1026.3</v>
      </c>
      <c r="L853" s="56" t="n">
        <v>0</v>
      </c>
      <c r="M853" s="56" t="n">
        <v>72</v>
      </c>
      <c r="N853" s="56" t="n">
        <v>5.3</v>
      </c>
      <c r="O853" s="56" t="n">
        <f aca="false">IF(D853=1,"",E852)</f>
        <v>24.3</v>
      </c>
      <c r="P853" s="56" t="n">
        <f aca="false">IF(OR(D853=1,K852=""),"",K852)</f>
        <v>1021.1</v>
      </c>
      <c r="Q853" s="56" t="n">
        <f aca="false">IF(OR(F853&lt;&gt;0,AND(I853&lt;&gt;"",E853&lt;I853)),1,0)</f>
        <v>0</v>
      </c>
      <c r="R853" s="56" t="n">
        <f aca="false">IF(AND(D853&gt;1,Q853=0,ISNUMBER(O853),ISNUMBER(P853)),IF(Q852=0,1,0),0)</f>
        <v>1</v>
      </c>
      <c r="S853" s="56" t="n">
        <f aca="false">R853*(B853&gt;=Train_Start)*(B853&lt;=Train_End)</f>
        <v>1</v>
      </c>
      <c r="T853" s="84" t="n">
        <f aca="false">IF(AND(ISNUMBER(O853),ISNUMBER(P853)),Coef_A+Coef_B1*O853+Coef_B2*P853,"")</f>
        <v>24.0287172236988</v>
      </c>
      <c r="U853" s="84" t="n">
        <f aca="false">IF(AND(R853=1,ISNUMBER(T853)),E853-T853,"")</f>
        <v>6.57128277630116</v>
      </c>
      <c r="V853" s="84" t="n">
        <f aca="false">IF(ISNUMBER(T853),T853,-99)</f>
        <v>24.0287172236988</v>
      </c>
      <c r="W853" s="84" t="n">
        <f aca="false">IF(ISNUMBER(U853),ABS(U853),"")</f>
        <v>6.57128277630116</v>
      </c>
    </row>
    <row r="854" customFormat="false" ht="15" hidden="false" customHeight="false" outlineLevel="0" collapsed="false">
      <c r="A854" s="57" t="n">
        <v>30890</v>
      </c>
      <c r="B854" s="56" t="n">
        <v>1984</v>
      </c>
      <c r="C854" s="56" t="n">
        <v>7</v>
      </c>
      <c r="D854" s="56" t="n">
        <v>88</v>
      </c>
      <c r="E854" s="56" t="n">
        <v>30.6</v>
      </c>
      <c r="F854" s="56" t="n">
        <v>0</v>
      </c>
      <c r="G854" s="56" t="n">
        <v>12.5</v>
      </c>
      <c r="H854" s="56" t="n">
        <v>0</v>
      </c>
      <c r="I854" s="56" t="n">
        <v>21.6</v>
      </c>
      <c r="J854" s="56" t="n">
        <v>0</v>
      </c>
      <c r="K854" s="56" t="n">
        <v>1027.2</v>
      </c>
      <c r="L854" s="56" t="n">
        <v>0</v>
      </c>
      <c r="M854" s="56" t="n">
        <v>63</v>
      </c>
      <c r="N854" s="56" t="n">
        <v>6.1</v>
      </c>
      <c r="O854" s="56" t="n">
        <f aca="false">IF(D854=1,"",E853)</f>
        <v>30.6</v>
      </c>
      <c r="P854" s="56" t="n">
        <f aca="false">IF(OR(D854=1,K853=""),"",K853)</f>
        <v>1026.3</v>
      </c>
      <c r="Q854" s="56" t="n">
        <f aca="false">IF(OR(F854&lt;&gt;0,AND(I854&lt;&gt;"",E854&lt;I854)),1,0)</f>
        <v>0</v>
      </c>
      <c r="R854" s="56" t="n">
        <f aca="false">IF(AND(D854&gt;1,Q854=0,ISNUMBER(O854),ISNUMBER(P854)),IF(Q853=0,1,0),0)</f>
        <v>1</v>
      </c>
      <c r="S854" s="56" t="n">
        <f aca="false">R854*(B854&gt;=Train_Start)*(B854&lt;=Train_End)</f>
        <v>1</v>
      </c>
      <c r="T854" s="84" t="n">
        <f aca="false">IF(AND(ISNUMBER(O854),ISNUMBER(P854)),Coef_A+Coef_B1*O854+Coef_B2*P854,"")</f>
        <v>29.3536775919643</v>
      </c>
      <c r="U854" s="84" t="n">
        <f aca="false">IF(AND(R854=1,ISNUMBER(T854)),E854-T854,"")</f>
        <v>1.24632240803567</v>
      </c>
      <c r="V854" s="84" t="n">
        <f aca="false">IF(ISNUMBER(T854),T854,-99)</f>
        <v>29.3536775919643</v>
      </c>
      <c r="W854" s="84" t="n">
        <f aca="false">IF(ISNUMBER(U854),ABS(U854),"")</f>
        <v>1.24632240803567</v>
      </c>
    </row>
    <row r="855" customFormat="false" ht="15" hidden="false" customHeight="false" outlineLevel="0" collapsed="false">
      <c r="A855" s="57" t="n">
        <v>30891</v>
      </c>
      <c r="B855" s="56" t="n">
        <v>1984</v>
      </c>
      <c r="C855" s="56" t="n">
        <v>7</v>
      </c>
      <c r="D855" s="56" t="n">
        <v>89</v>
      </c>
      <c r="E855" s="56" t="n">
        <v>28.4</v>
      </c>
      <c r="F855" s="56" t="n">
        <v>0</v>
      </c>
      <c r="G855" s="56" t="n">
        <v>15.7</v>
      </c>
      <c r="H855" s="56" t="n">
        <v>0</v>
      </c>
      <c r="I855" s="56" t="n">
        <v>23.2</v>
      </c>
      <c r="J855" s="56" t="n">
        <v>0</v>
      </c>
      <c r="K855" s="56" t="n">
        <v>1022.9</v>
      </c>
      <c r="L855" s="56" t="n">
        <v>0</v>
      </c>
      <c r="M855" s="56" t="n">
        <v>49</v>
      </c>
      <c r="N855" s="56" t="n">
        <v>13.9</v>
      </c>
      <c r="O855" s="56" t="n">
        <f aca="false">IF(D855=1,"",E854)</f>
        <v>30.6</v>
      </c>
      <c r="P855" s="56" t="n">
        <f aca="false">IF(OR(D855=1,K854=""),"",K854)</f>
        <v>1027.2</v>
      </c>
      <c r="Q855" s="56" t="n">
        <f aca="false">IF(OR(F855&lt;&gt;0,AND(I855&lt;&gt;"",E855&lt;I855)),1,0)</f>
        <v>0</v>
      </c>
      <c r="R855" s="56" t="n">
        <f aca="false">IF(AND(D855&gt;1,Q855=0,ISNUMBER(O855),ISNUMBER(P855)),IF(Q854=0,1,0),0)</f>
        <v>1</v>
      </c>
      <c r="S855" s="56" t="n">
        <f aca="false">R855*(B855&gt;=Train_Start)*(B855&lt;=Train_End)</f>
        <v>1</v>
      </c>
      <c r="T855" s="84" t="n">
        <f aca="false">IF(AND(ISNUMBER(O855),ISNUMBER(P855)),Coef_A+Coef_B1*O855+Coef_B2*P855,"")</f>
        <v>29.3819104971349</v>
      </c>
      <c r="U855" s="84" t="n">
        <f aca="false">IF(AND(R855=1,ISNUMBER(T855)),E855-T855,"")</f>
        <v>-0.98191049713493</v>
      </c>
      <c r="V855" s="84" t="n">
        <f aca="false">IF(ISNUMBER(T855),T855,-99)</f>
        <v>29.3819104971349</v>
      </c>
      <c r="W855" s="84" t="n">
        <f aca="false">IF(ISNUMBER(U855),ABS(U855),"")</f>
        <v>0.98191049713493</v>
      </c>
    </row>
    <row r="856" customFormat="false" ht="15" hidden="false" customHeight="false" outlineLevel="0" collapsed="false">
      <c r="A856" s="57" t="n">
        <v>30892</v>
      </c>
      <c r="B856" s="56" t="n">
        <v>1984</v>
      </c>
      <c r="C856" s="56" t="n">
        <v>7</v>
      </c>
      <c r="D856" s="56" t="n">
        <v>90</v>
      </c>
      <c r="E856" s="56" t="n">
        <v>28.9</v>
      </c>
      <c r="F856" s="56" t="n">
        <v>0</v>
      </c>
      <c r="G856" s="56" t="n">
        <v>12.6</v>
      </c>
      <c r="H856" s="56" t="n">
        <v>0</v>
      </c>
      <c r="I856" s="56" t="n">
        <v>20.5</v>
      </c>
      <c r="J856" s="56" t="n">
        <v>0</v>
      </c>
      <c r="K856" s="56" t="n">
        <v>1016.4</v>
      </c>
      <c r="L856" s="56" t="n">
        <v>0</v>
      </c>
      <c r="M856" s="56" t="n">
        <v>54</v>
      </c>
      <c r="N856" s="56" t="n">
        <v>11.9</v>
      </c>
      <c r="O856" s="56" t="n">
        <f aca="false">IF(D856=1,"",E855)</f>
        <v>28.4</v>
      </c>
      <c r="P856" s="56" t="n">
        <f aca="false">IF(OR(D856=1,K855=""),"",K855)</f>
        <v>1022.9</v>
      </c>
      <c r="Q856" s="56" t="n">
        <f aca="false">IF(OR(F856&lt;&gt;0,AND(I856&lt;&gt;"",E856&lt;I856)),1,0)</f>
        <v>0</v>
      </c>
      <c r="R856" s="56" t="n">
        <f aca="false">IF(AND(D856&gt;1,Q856=0,ISNUMBER(O856),ISNUMBER(P856)),IF(Q855=0,1,0),0)</f>
        <v>1</v>
      </c>
      <c r="S856" s="56" t="n">
        <f aca="false">R856*(B856&gt;=Train_Start)*(B856&lt;=Train_End)</f>
        <v>1</v>
      </c>
      <c r="T856" s="84" t="n">
        <f aca="false">IF(AND(ISNUMBER(O856),ISNUMBER(P856)),Coef_A+Coef_B1*O856+Coef_B2*P856,"")</f>
        <v>27.4444737255149</v>
      </c>
      <c r="U856" s="84" t="n">
        <f aca="false">IF(AND(R856=1,ISNUMBER(T856)),E856-T856,"")</f>
        <v>1.45552627448508</v>
      </c>
      <c r="V856" s="84" t="n">
        <f aca="false">IF(ISNUMBER(T856),T856,-99)</f>
        <v>27.4444737255149</v>
      </c>
      <c r="W856" s="84" t="n">
        <f aca="false">IF(ISNUMBER(U856),ABS(U856),"")</f>
        <v>1.45552627448508</v>
      </c>
    </row>
    <row r="857" customFormat="false" ht="15" hidden="false" customHeight="false" outlineLevel="0" collapsed="false">
      <c r="A857" s="57" t="n">
        <v>30893</v>
      </c>
      <c r="B857" s="56" t="n">
        <v>1984</v>
      </c>
      <c r="C857" s="56" t="n">
        <v>7</v>
      </c>
      <c r="D857" s="56" t="n">
        <v>91</v>
      </c>
      <c r="E857" s="56" t="n">
        <v>25.5</v>
      </c>
      <c r="F857" s="56" t="n">
        <v>0</v>
      </c>
      <c r="G857" s="56" t="n">
        <v>18</v>
      </c>
      <c r="H857" s="56" t="n">
        <v>0</v>
      </c>
      <c r="I857" s="56" t="n">
        <v>23.4</v>
      </c>
      <c r="J857" s="56" t="n">
        <v>0</v>
      </c>
      <c r="K857" s="56" t="n">
        <v>1007</v>
      </c>
      <c r="L857" s="56" t="n">
        <v>0</v>
      </c>
      <c r="M857" s="56" t="n">
        <v>59</v>
      </c>
      <c r="N857" s="56" t="n">
        <v>5.3</v>
      </c>
      <c r="O857" s="56" t="n">
        <f aca="false">IF(D857=1,"",E856)</f>
        <v>28.9</v>
      </c>
      <c r="P857" s="56" t="n">
        <f aca="false">IF(OR(D857=1,K856=""),"",K856)</f>
        <v>1016.4</v>
      </c>
      <c r="Q857" s="56" t="n">
        <f aca="false">IF(OR(F857&lt;&gt;0,AND(I857&lt;&gt;"",E857&lt;I857)),1,0)</f>
        <v>0</v>
      </c>
      <c r="R857" s="56" t="n">
        <f aca="false">IF(AND(D857&gt;1,Q857=0,ISNUMBER(O857),ISNUMBER(P857)),IF(Q856=0,1,0),0)</f>
        <v>1</v>
      </c>
      <c r="S857" s="56" t="n">
        <f aca="false">R857*(B857&gt;=Train_Start)*(B857&lt;=Train_End)</f>
        <v>1</v>
      </c>
      <c r="T857" s="84" t="n">
        <f aca="false">IF(AND(ISNUMBER(O857),ISNUMBER(P857)),Coef_A+Coef_B1*O857+Coef_B2*P857,"")</f>
        <v>27.6502390069153</v>
      </c>
      <c r="U857" s="84" t="n">
        <f aca="false">IF(AND(R857=1,ISNUMBER(T857)),E857-T857,"")</f>
        <v>-2.15023900691532</v>
      </c>
      <c r="V857" s="84" t="n">
        <f aca="false">IF(ISNUMBER(T857),T857,-99)</f>
        <v>27.6502390069153</v>
      </c>
      <c r="W857" s="84" t="n">
        <f aca="false">IF(ISNUMBER(U857),ABS(U857),"")</f>
        <v>2.15023900691532</v>
      </c>
    </row>
    <row r="858" customFormat="false" ht="15" hidden="false" customHeight="false" outlineLevel="0" collapsed="false">
      <c r="A858" s="57" t="n">
        <v>30894</v>
      </c>
      <c r="B858" s="56" t="n">
        <v>1984</v>
      </c>
      <c r="C858" s="56" t="n">
        <v>7</v>
      </c>
      <c r="D858" s="56" t="n">
        <v>92</v>
      </c>
      <c r="E858" s="56" t="n">
        <v>25.3</v>
      </c>
      <c r="F858" s="56" t="n">
        <v>0</v>
      </c>
      <c r="G858" s="56" t="n">
        <v>16.2</v>
      </c>
      <c r="H858" s="56" t="n">
        <v>0</v>
      </c>
      <c r="I858" s="56" t="n">
        <v>20.8</v>
      </c>
      <c r="J858" s="56" t="n">
        <v>0</v>
      </c>
      <c r="K858" s="56" t="n">
        <v>1009.8</v>
      </c>
      <c r="L858" s="56" t="n">
        <v>0</v>
      </c>
      <c r="M858" s="56" t="n">
        <v>65</v>
      </c>
      <c r="N858" s="56" t="n">
        <v>6.9</v>
      </c>
      <c r="O858" s="56" t="n">
        <f aca="false">IF(D858=1,"",E857)</f>
        <v>25.5</v>
      </c>
      <c r="P858" s="56" t="n">
        <f aca="false">IF(OR(D858=1,K857=""),"",K857)</f>
        <v>1007</v>
      </c>
      <c r="Q858" s="56" t="n">
        <f aca="false">IF(OR(F858&lt;&gt;0,AND(I858&lt;&gt;"",E858&lt;I858)),1,0)</f>
        <v>0</v>
      </c>
      <c r="R858" s="56" t="n">
        <f aca="false">IF(AND(D858&gt;1,Q858=0,ISNUMBER(O858),ISNUMBER(P858)),IF(Q857=0,1,0),0)</f>
        <v>1</v>
      </c>
      <c r="S858" s="56" t="n">
        <f aca="false">R858*(B858&gt;=Train_Start)*(B858&lt;=Train_End)</f>
        <v>1</v>
      </c>
      <c r="T858" s="84" t="n">
        <f aca="false">IF(AND(ISNUMBER(O858),ISNUMBER(P858)),Coef_A+Coef_B1*O858+Coef_B2*P858,"")</f>
        <v>24.5696087410108</v>
      </c>
      <c r="U858" s="84" t="n">
        <f aca="false">IF(AND(R858=1,ISNUMBER(T858)),E858-T858,"")</f>
        <v>0.730391258989215</v>
      </c>
      <c r="V858" s="84" t="n">
        <f aca="false">IF(ISNUMBER(T858),T858,-99)</f>
        <v>24.5696087410108</v>
      </c>
      <c r="W858" s="84" t="n">
        <f aca="false">IF(ISNUMBER(U858),ABS(U858),"")</f>
        <v>0.730391258989215</v>
      </c>
    </row>
    <row r="859" customFormat="false" ht="15" hidden="false" customHeight="false" outlineLevel="0" collapsed="false">
      <c r="A859" s="57" t="n">
        <v>30895</v>
      </c>
      <c r="B859" s="56" t="n">
        <v>1984</v>
      </c>
      <c r="C859" s="56" t="n">
        <v>8</v>
      </c>
      <c r="D859" s="56" t="n">
        <v>93</v>
      </c>
      <c r="E859" s="56" t="n">
        <v>22.2</v>
      </c>
      <c r="F859" s="56" t="n">
        <v>0</v>
      </c>
      <c r="G859" s="56" t="n">
        <v>11.5</v>
      </c>
      <c r="H859" s="56" t="n">
        <v>0</v>
      </c>
      <c r="I859" s="56" t="n">
        <v>18.4</v>
      </c>
      <c r="J859" s="56" t="n">
        <v>0</v>
      </c>
      <c r="K859" s="56" t="n">
        <v>1021.1</v>
      </c>
      <c r="L859" s="56" t="n">
        <v>0</v>
      </c>
      <c r="M859" s="56" t="n">
        <v>58</v>
      </c>
      <c r="N859" s="56" t="n">
        <v>11.9</v>
      </c>
      <c r="O859" s="56" t="n">
        <f aca="false">IF(D859=1,"",E858)</f>
        <v>25.3</v>
      </c>
      <c r="P859" s="56" t="n">
        <f aca="false">IF(OR(D859=1,K858=""),"",K858)</f>
        <v>1009.8</v>
      </c>
      <c r="Q859" s="56" t="n">
        <f aca="false">IF(OR(F859&lt;&gt;0,AND(I859&lt;&gt;"",E859&lt;I859)),1,0)</f>
        <v>0</v>
      </c>
      <c r="R859" s="56" t="n">
        <f aca="false">IF(AND(D859&gt;1,Q859=0,ISNUMBER(O859),ISNUMBER(P859)),IF(Q858=0,1,0),0)</f>
        <v>1</v>
      </c>
      <c r="S859" s="56" t="n">
        <f aca="false">R859*(B859&gt;=Train_Start)*(B859&lt;=Train_End)</f>
        <v>1</v>
      </c>
      <c r="T859" s="84" t="n">
        <f aca="false">IF(AND(ISNUMBER(O859),ISNUMBER(P859)),Coef_A+Coef_B1*O859+Coef_B2*P859,"")</f>
        <v>24.4935766073774</v>
      </c>
      <c r="U859" s="84" t="n">
        <f aca="false">IF(AND(R859=1,ISNUMBER(T859)),E859-T859,"")</f>
        <v>-2.29357660737742</v>
      </c>
      <c r="V859" s="84" t="n">
        <f aca="false">IF(ISNUMBER(T859),T859,-99)</f>
        <v>24.4935766073774</v>
      </c>
      <c r="W859" s="84" t="n">
        <f aca="false">IF(ISNUMBER(U859),ABS(U859),"")</f>
        <v>2.29357660737742</v>
      </c>
    </row>
    <row r="860" customFormat="false" ht="15" hidden="false" customHeight="false" outlineLevel="0" collapsed="false">
      <c r="A860" s="57" t="n">
        <v>30896</v>
      </c>
      <c r="B860" s="56" t="n">
        <v>1984</v>
      </c>
      <c r="C860" s="56" t="n">
        <v>8</v>
      </c>
      <c r="D860" s="56" t="n">
        <v>94</v>
      </c>
      <c r="E860" s="56" t="n">
        <v>22.8</v>
      </c>
      <c r="F860" s="56" t="n">
        <v>0</v>
      </c>
      <c r="G860" s="56" t="n">
        <v>14.6</v>
      </c>
      <c r="H860" s="56" t="n">
        <v>0</v>
      </c>
      <c r="I860" s="56" t="n">
        <v>18.4</v>
      </c>
      <c r="J860" s="56" t="n">
        <v>0</v>
      </c>
      <c r="K860" s="56" t="n">
        <v>1013.6</v>
      </c>
      <c r="L860" s="56" t="n">
        <v>0</v>
      </c>
      <c r="M860" s="56" t="n">
        <v>79</v>
      </c>
      <c r="N860" s="56" t="n">
        <v>4.7</v>
      </c>
      <c r="O860" s="56" t="n">
        <f aca="false">IF(D860=1,"",E859)</f>
        <v>22.2</v>
      </c>
      <c r="P860" s="56" t="n">
        <f aca="false">IF(OR(D860=1,K859=""),"",K859)</f>
        <v>1021.1</v>
      </c>
      <c r="Q860" s="56" t="n">
        <f aca="false">IF(OR(F860&lt;&gt;0,AND(I860&lt;&gt;"",E860&lt;I860)),1,0)</f>
        <v>0</v>
      </c>
      <c r="R860" s="56" t="n">
        <f aca="false">IF(AND(D860&gt;1,Q860=0,ISNUMBER(O860),ISNUMBER(P860)),IF(Q859=0,1,0),0)</f>
        <v>1</v>
      </c>
      <c r="S860" s="56" t="n">
        <f aca="false">R860*(B860&gt;=Train_Start)*(B860&lt;=Train_End)</f>
        <v>1</v>
      </c>
      <c r="T860" s="84" t="n">
        <f aca="false">IF(AND(ISNUMBER(O860),ISNUMBER(P860)),Coef_A+Coef_B1*O860+Coef_B2*P860,"")</f>
        <v>22.3081049183093</v>
      </c>
      <c r="U860" s="84" t="n">
        <f aca="false">IF(AND(R860=1,ISNUMBER(T860)),E860-T860,"")</f>
        <v>0.491895081690736</v>
      </c>
      <c r="V860" s="84" t="n">
        <f aca="false">IF(ISNUMBER(T860),T860,-99)</f>
        <v>22.3081049183093</v>
      </c>
      <c r="W860" s="84" t="n">
        <f aca="false">IF(ISNUMBER(U860),ABS(U860),"")</f>
        <v>0.491895081690736</v>
      </c>
    </row>
    <row r="861" customFormat="false" ht="15" hidden="false" customHeight="false" outlineLevel="0" collapsed="false">
      <c r="A861" s="57" t="n">
        <v>30897</v>
      </c>
      <c r="B861" s="56" t="n">
        <v>1984</v>
      </c>
      <c r="C861" s="56" t="n">
        <v>8</v>
      </c>
      <c r="D861" s="56" t="n">
        <v>95</v>
      </c>
      <c r="E861" s="56" t="n">
        <v>19.8</v>
      </c>
      <c r="F861" s="56" t="n">
        <v>0</v>
      </c>
      <c r="G861" s="56" t="n">
        <v>16</v>
      </c>
      <c r="H861" s="56" t="n">
        <v>0</v>
      </c>
      <c r="I861" s="56" t="n">
        <v>19.4</v>
      </c>
      <c r="J861" s="56" t="n">
        <v>0</v>
      </c>
      <c r="K861" s="56" t="n">
        <v>1012.4</v>
      </c>
      <c r="L861" s="56" t="n">
        <v>0</v>
      </c>
      <c r="M861" s="56" t="n">
        <v>64</v>
      </c>
      <c r="N861" s="56" t="n">
        <v>8.7</v>
      </c>
      <c r="O861" s="56" t="n">
        <f aca="false">IF(D861=1,"",E860)</f>
        <v>22.8</v>
      </c>
      <c r="P861" s="56" t="n">
        <f aca="false">IF(OR(D861=1,K860=""),"",K860)</f>
        <v>1013.6</v>
      </c>
      <c r="Q861" s="56" t="n">
        <f aca="false">IF(OR(F861&lt;&gt;0,AND(I861&lt;&gt;"",E861&lt;I861)),1,0)</f>
        <v>0</v>
      </c>
      <c r="R861" s="56" t="n">
        <f aca="false">IF(AND(D861&gt;1,Q861=0,ISNUMBER(O861),ISNUMBER(P861)),IF(Q860=0,1,0),0)</f>
        <v>1</v>
      </c>
      <c r="S861" s="56" t="n">
        <f aca="false">R861*(B861&gt;=Train_Start)*(B861&lt;=Train_End)</f>
        <v>1</v>
      </c>
      <c r="T861" s="84" t="n">
        <f aca="false">IF(AND(ISNUMBER(O861),ISNUMBER(P861)),Coef_A+Coef_B1*O861+Coef_B2*P861,"")</f>
        <v>22.5644342243799</v>
      </c>
      <c r="U861" s="84" t="n">
        <f aca="false">IF(AND(R861=1,ISNUMBER(T861)),E861-T861,"")</f>
        <v>-2.76443422437994</v>
      </c>
      <c r="V861" s="84" t="n">
        <f aca="false">IF(ISNUMBER(T861),T861,-99)</f>
        <v>22.5644342243799</v>
      </c>
      <c r="W861" s="84" t="n">
        <f aca="false">IF(ISNUMBER(U861),ABS(U861),"")</f>
        <v>2.76443422437994</v>
      </c>
    </row>
    <row r="862" customFormat="false" ht="15" hidden="false" customHeight="false" outlineLevel="0" collapsed="false">
      <c r="A862" s="57" t="n">
        <v>30898</v>
      </c>
      <c r="B862" s="56" t="n">
        <v>1984</v>
      </c>
      <c r="C862" s="56" t="n">
        <v>8</v>
      </c>
      <c r="D862" s="56" t="n">
        <v>96</v>
      </c>
      <c r="E862" s="56" t="n">
        <v>19.8</v>
      </c>
      <c r="F862" s="56" t="n">
        <v>0</v>
      </c>
      <c r="G862" s="56" t="n">
        <v>14.1</v>
      </c>
      <c r="H862" s="56" t="n">
        <v>0</v>
      </c>
      <c r="I862" s="56" t="n">
        <v>17</v>
      </c>
      <c r="J862" s="56" t="n">
        <v>0</v>
      </c>
      <c r="K862" s="56" t="n">
        <v>1012.6</v>
      </c>
      <c r="L862" s="56" t="n">
        <v>0</v>
      </c>
      <c r="M862" s="56" t="n">
        <v>83</v>
      </c>
      <c r="N862" s="56" t="n">
        <v>2.9</v>
      </c>
      <c r="O862" s="56" t="n">
        <f aca="false">IF(D862=1,"",E861)</f>
        <v>19.8</v>
      </c>
      <c r="P862" s="56" t="n">
        <f aca="false">IF(OR(D862=1,K861=""),"",K861)</f>
        <v>1012.4</v>
      </c>
      <c r="Q862" s="56" t="n">
        <f aca="false">IF(OR(F862&lt;&gt;0,AND(I862&lt;&gt;"",E862&lt;I862)),1,0)</f>
        <v>0</v>
      </c>
      <c r="R862" s="56" t="n">
        <f aca="false">IF(AND(D862&gt;1,Q862=0,ISNUMBER(O862),ISNUMBER(P862)),IF(Q861=0,1,0),0)</f>
        <v>1</v>
      </c>
      <c r="S862" s="56" t="n">
        <f aca="false">R862*(B862&gt;=Train_Start)*(B862&lt;=Train_End)</f>
        <v>1</v>
      </c>
      <c r="T862" s="84" t="n">
        <f aca="false">IF(AND(ISNUMBER(O862),ISNUMBER(P862)),Coef_A+Coef_B1*O862+Coef_B2*P862,"")</f>
        <v>20.0687727716912</v>
      </c>
      <c r="U862" s="84" t="n">
        <f aca="false">IF(AND(R862=1,ISNUMBER(T862)),E862-T862,"")</f>
        <v>-0.268772771691179</v>
      </c>
      <c r="V862" s="84" t="n">
        <f aca="false">IF(ISNUMBER(T862),T862,-99)</f>
        <v>20.0687727716912</v>
      </c>
      <c r="W862" s="84" t="n">
        <f aca="false">IF(ISNUMBER(U862),ABS(U862),"")</f>
        <v>0.268772771691179</v>
      </c>
    </row>
    <row r="863" customFormat="false" ht="15" hidden="false" customHeight="false" outlineLevel="0" collapsed="false">
      <c r="A863" s="57" t="n">
        <v>30899</v>
      </c>
      <c r="B863" s="56" t="n">
        <v>1984</v>
      </c>
      <c r="C863" s="56" t="n">
        <v>8</v>
      </c>
      <c r="D863" s="56" t="n">
        <v>97</v>
      </c>
      <c r="E863" s="56" t="n">
        <v>22.8</v>
      </c>
      <c r="F863" s="56" t="n">
        <v>0</v>
      </c>
      <c r="G863" s="56" t="n">
        <v>13.5</v>
      </c>
      <c r="H863" s="56" t="n">
        <v>0</v>
      </c>
      <c r="I863" s="56" t="n">
        <v>16.6</v>
      </c>
      <c r="J863" s="56" t="n">
        <v>0</v>
      </c>
      <c r="K863" s="56" t="n">
        <v>1019.5</v>
      </c>
      <c r="L863" s="56" t="n">
        <v>0</v>
      </c>
      <c r="M863" s="56" t="n">
        <v>76</v>
      </c>
      <c r="N863" s="56" t="n">
        <v>4.3</v>
      </c>
      <c r="O863" s="56" t="n">
        <f aca="false">IF(D863=1,"",E862)</f>
        <v>19.8</v>
      </c>
      <c r="P863" s="56" t="n">
        <f aca="false">IF(OR(D863=1,K862=""),"",K862)</f>
        <v>1012.6</v>
      </c>
      <c r="Q863" s="56" t="n">
        <f aca="false">IF(OR(F863&lt;&gt;0,AND(I863&lt;&gt;"",E863&lt;I863)),1,0)</f>
        <v>0</v>
      </c>
      <c r="R863" s="56" t="n">
        <f aca="false">IF(AND(D863&gt;1,Q863=0,ISNUMBER(O863),ISNUMBER(P863)),IF(Q862=0,1,0),0)</f>
        <v>1</v>
      </c>
      <c r="S863" s="56" t="n">
        <f aca="false">R863*(B863&gt;=Train_Start)*(B863&lt;=Train_End)</f>
        <v>1</v>
      </c>
      <c r="T863" s="84" t="n">
        <f aca="false">IF(AND(ISNUMBER(O863),ISNUMBER(P863)),Coef_A+Coef_B1*O863+Coef_B2*P863,"")</f>
        <v>20.075046750618</v>
      </c>
      <c r="U863" s="84" t="n">
        <f aca="false">IF(AND(R863=1,ISNUMBER(T863)),E863-T863,"")</f>
        <v>2.72495324938202</v>
      </c>
      <c r="V863" s="84" t="n">
        <f aca="false">IF(ISNUMBER(T863),T863,-99)</f>
        <v>20.075046750618</v>
      </c>
      <c r="W863" s="84" t="n">
        <f aca="false">IF(ISNUMBER(U863),ABS(U863),"")</f>
        <v>2.72495324938202</v>
      </c>
    </row>
    <row r="864" customFormat="false" ht="15" hidden="false" customHeight="false" outlineLevel="0" collapsed="false">
      <c r="A864" s="57" t="n">
        <v>30900</v>
      </c>
      <c r="B864" s="56" t="n">
        <v>1984</v>
      </c>
      <c r="C864" s="56" t="n">
        <v>8</v>
      </c>
      <c r="D864" s="56" t="n">
        <v>98</v>
      </c>
      <c r="E864" s="56" t="n">
        <v>19.5</v>
      </c>
      <c r="F864" s="56" t="n">
        <v>0</v>
      </c>
      <c r="G864" s="56" t="n">
        <v>9.5</v>
      </c>
      <c r="H864" s="56" t="n">
        <v>0</v>
      </c>
      <c r="I864" s="56" t="n">
        <v>16.2</v>
      </c>
      <c r="J864" s="56" t="n">
        <v>0</v>
      </c>
      <c r="K864" s="56" t="n">
        <v>1022.6</v>
      </c>
      <c r="L864" s="56" t="n">
        <v>0</v>
      </c>
      <c r="M864" s="56" t="n">
        <v>67</v>
      </c>
      <c r="N864" s="56" t="n">
        <v>9.7</v>
      </c>
      <c r="O864" s="56" t="n">
        <f aca="false">IF(D864=1,"",E863)</f>
        <v>22.8</v>
      </c>
      <c r="P864" s="56" t="n">
        <f aca="false">IF(OR(D864=1,K863=""),"",K863)</f>
        <v>1019.5</v>
      </c>
      <c r="Q864" s="56" t="n">
        <f aca="false">IF(OR(F864&lt;&gt;0,AND(I864&lt;&gt;"",E864&lt;I864)),1,0)</f>
        <v>0</v>
      </c>
      <c r="R864" s="56" t="n">
        <f aca="false">IF(AND(D864&gt;1,Q864=0,ISNUMBER(O864),ISNUMBER(P864)),IF(Q863=0,1,0),0)</f>
        <v>1</v>
      </c>
      <c r="S864" s="56" t="n">
        <f aca="false">R864*(B864&gt;=Train_Start)*(B864&lt;=Train_End)</f>
        <v>1</v>
      </c>
      <c r="T864" s="84" t="n">
        <f aca="false">IF(AND(ISNUMBER(O864),ISNUMBER(P864)),Coef_A+Coef_B1*O864+Coef_B2*P864,"")</f>
        <v>22.7495166027205</v>
      </c>
      <c r="U864" s="84" t="n">
        <f aca="false">IF(AND(R864=1,ISNUMBER(T864)),E864-T864,"")</f>
        <v>-3.24951660272048</v>
      </c>
      <c r="V864" s="84" t="n">
        <f aca="false">IF(ISNUMBER(T864),T864,-99)</f>
        <v>22.7495166027205</v>
      </c>
      <c r="W864" s="84" t="n">
        <f aca="false">IF(ISNUMBER(U864),ABS(U864),"")</f>
        <v>3.24951660272048</v>
      </c>
    </row>
    <row r="865" customFormat="false" ht="15" hidden="false" customHeight="false" outlineLevel="0" collapsed="false">
      <c r="A865" s="57" t="n">
        <v>30901</v>
      </c>
      <c r="B865" s="56" t="n">
        <v>1984</v>
      </c>
      <c r="C865" s="56" t="n">
        <v>8</v>
      </c>
      <c r="D865" s="56" t="n">
        <v>99</v>
      </c>
      <c r="E865" s="56" t="n">
        <v>21.5</v>
      </c>
      <c r="F865" s="56" t="n">
        <v>0</v>
      </c>
      <c r="G865" s="56" t="n">
        <v>14.6</v>
      </c>
      <c r="H865" s="56" t="n">
        <v>0</v>
      </c>
      <c r="I865" s="56" t="n">
        <v>17</v>
      </c>
      <c r="J865" s="56" t="n">
        <v>0</v>
      </c>
      <c r="K865" s="56" t="n">
        <v>1018.5</v>
      </c>
      <c r="L865" s="56" t="n">
        <v>0</v>
      </c>
      <c r="M865" s="56" t="n">
        <v>76</v>
      </c>
      <c r="N865" s="56" t="n">
        <v>4.4</v>
      </c>
      <c r="O865" s="56" t="n">
        <f aca="false">IF(D865=1,"",E864)</f>
        <v>19.5</v>
      </c>
      <c r="P865" s="56" t="n">
        <f aca="false">IF(OR(D865=1,K864=""),"",K864)</f>
        <v>1022.6</v>
      </c>
      <c r="Q865" s="56" t="n">
        <f aca="false">IF(OR(F865&lt;&gt;0,AND(I865&lt;&gt;"",E865&lt;I865)),1,0)</f>
        <v>0</v>
      </c>
      <c r="R865" s="56" t="n">
        <f aca="false">IF(AND(D865&gt;1,Q865=0,ISNUMBER(O865),ISNUMBER(P865)),IF(Q864=0,1,0),0)</f>
        <v>1</v>
      </c>
      <c r="S865" s="56" t="n">
        <f aca="false">R865*(B865&gt;=Train_Start)*(B865&lt;=Train_End)</f>
        <v>1</v>
      </c>
      <c r="T865" s="84" t="n">
        <f aca="false">IF(AND(ISNUMBER(O865),ISNUMBER(P865)),Coef_A+Coef_B1*O865+Coef_B2*P865,"")</f>
        <v>20.1429439390451</v>
      </c>
      <c r="U865" s="84" t="n">
        <f aca="false">IF(AND(R865=1,ISNUMBER(T865)),E865-T865,"")</f>
        <v>1.35705606095492</v>
      </c>
      <c r="V865" s="84" t="n">
        <f aca="false">IF(ISNUMBER(T865),T865,-99)</f>
        <v>20.1429439390451</v>
      </c>
      <c r="W865" s="84" t="n">
        <f aca="false">IF(ISNUMBER(U865),ABS(U865),"")</f>
        <v>1.35705606095492</v>
      </c>
    </row>
    <row r="866" customFormat="false" ht="15" hidden="false" customHeight="false" outlineLevel="0" collapsed="false">
      <c r="A866" s="57" t="n">
        <v>30902</v>
      </c>
      <c r="B866" s="56" t="n">
        <v>1984</v>
      </c>
      <c r="C866" s="56" t="n">
        <v>8</v>
      </c>
      <c r="D866" s="56" t="n">
        <v>100</v>
      </c>
      <c r="E866" s="56" t="n">
        <v>24</v>
      </c>
      <c r="F866" s="56" t="n">
        <v>0</v>
      </c>
      <c r="G866" s="56" t="n">
        <v>11.4</v>
      </c>
      <c r="H866" s="56" t="n">
        <v>0</v>
      </c>
      <c r="I866" s="56" t="n">
        <v>16.4</v>
      </c>
      <c r="J866" s="56" t="n">
        <v>0</v>
      </c>
      <c r="K866" s="56" t="n">
        <v>1022.6</v>
      </c>
      <c r="L866" s="56" t="n">
        <v>0</v>
      </c>
      <c r="M866" s="56" t="n">
        <v>76</v>
      </c>
      <c r="N866" s="56" t="n">
        <v>3.3</v>
      </c>
      <c r="O866" s="56" t="n">
        <f aca="false">IF(D866=1,"",E865)</f>
        <v>21.5</v>
      </c>
      <c r="P866" s="56" t="n">
        <f aca="false">IF(OR(D866=1,K865=""),"",K865)</f>
        <v>1018.5</v>
      </c>
      <c r="Q866" s="56" t="n">
        <f aca="false">IF(OR(F866&lt;&gt;0,AND(I866&lt;&gt;"",E866&lt;I866)),1,0)</f>
        <v>0</v>
      </c>
      <c r="R866" s="56" t="n">
        <f aca="false">IF(AND(D866&gt;1,Q866=0,ISNUMBER(O866),ISNUMBER(P866)),IF(Q865=0,1,0),0)</f>
        <v>1</v>
      </c>
      <c r="S866" s="56" t="n">
        <f aca="false">R866*(B866&gt;=Train_Start)*(B866&lt;=Train_End)</f>
        <v>1</v>
      </c>
      <c r="T866" s="84" t="n">
        <f aca="false">IF(AND(ISNUMBER(O866),ISNUMBER(P866)),Coef_A+Coef_B1*O866+Coef_B2*P866,"")</f>
        <v>21.653005757131</v>
      </c>
      <c r="U866" s="84" t="n">
        <f aca="false">IF(AND(R866=1,ISNUMBER(T866)),E866-T866,"")</f>
        <v>2.34699424286897</v>
      </c>
      <c r="V866" s="84" t="n">
        <f aca="false">IF(ISNUMBER(T866),T866,-99)</f>
        <v>21.653005757131</v>
      </c>
      <c r="W866" s="84" t="n">
        <f aca="false">IF(ISNUMBER(U866),ABS(U866),"")</f>
        <v>2.34699424286897</v>
      </c>
    </row>
    <row r="867" customFormat="false" ht="15" hidden="false" customHeight="false" outlineLevel="0" collapsed="false">
      <c r="A867" s="57" t="n">
        <v>30903</v>
      </c>
      <c r="B867" s="56" t="n">
        <v>1984</v>
      </c>
      <c r="C867" s="56" t="n">
        <v>8</v>
      </c>
      <c r="D867" s="56" t="n">
        <v>101</v>
      </c>
      <c r="E867" s="56" t="n">
        <v>19.8</v>
      </c>
      <c r="F867" s="56" t="n">
        <v>0</v>
      </c>
      <c r="G867" s="56" t="n">
        <v>12.6</v>
      </c>
      <c r="H867" s="56" t="n">
        <v>0</v>
      </c>
      <c r="I867" s="56" t="n">
        <v>18.3</v>
      </c>
      <c r="J867" s="56" t="n">
        <v>0</v>
      </c>
      <c r="K867" s="56" t="n">
        <v>1026</v>
      </c>
      <c r="L867" s="56" t="n">
        <v>0</v>
      </c>
      <c r="M867" s="56" t="n">
        <v>68</v>
      </c>
      <c r="N867" s="56" t="n">
        <v>10.4</v>
      </c>
      <c r="O867" s="56" t="n">
        <f aca="false">IF(D867=1,"",E866)</f>
        <v>24</v>
      </c>
      <c r="P867" s="56" t="n">
        <f aca="false">IF(OR(D867=1,K866=""),"",K866)</f>
        <v>1022.6</v>
      </c>
      <c r="Q867" s="56" t="n">
        <f aca="false">IF(OR(F867&lt;&gt;0,AND(I867&lt;&gt;"",E867&lt;I867)),1,0)</f>
        <v>0</v>
      </c>
      <c r="R867" s="56" t="n">
        <f aca="false">IF(AND(D867&gt;1,Q867=0,ISNUMBER(O867),ISNUMBER(P867)),IF(Q866=0,1,0),0)</f>
        <v>1</v>
      </c>
      <c r="S867" s="56" t="n">
        <f aca="false">R867*(B867&gt;=Train_Start)*(B867&lt;=Train_End)</f>
        <v>1</v>
      </c>
      <c r="T867" s="84" t="n">
        <f aca="false">IF(AND(ISNUMBER(O867),ISNUMBER(P867)),Coef_A+Coef_B1*O867+Coef_B2*P867,"")</f>
        <v>23.829970307737</v>
      </c>
      <c r="U867" s="84" t="n">
        <f aca="false">IF(AND(R867=1,ISNUMBER(T867)),E867-T867,"")</f>
        <v>-4.02997030773704</v>
      </c>
      <c r="V867" s="84" t="n">
        <f aca="false">IF(ISNUMBER(T867),T867,-99)</f>
        <v>23.829970307737</v>
      </c>
      <c r="W867" s="84" t="n">
        <f aca="false">IF(ISNUMBER(U867),ABS(U867),"")</f>
        <v>4.02997030773704</v>
      </c>
    </row>
    <row r="868" customFormat="false" ht="15" hidden="false" customHeight="false" outlineLevel="0" collapsed="false">
      <c r="A868" s="57" t="n">
        <v>30904</v>
      </c>
      <c r="B868" s="56" t="n">
        <v>1984</v>
      </c>
      <c r="C868" s="56" t="n">
        <v>8</v>
      </c>
      <c r="D868" s="56" t="n">
        <v>102</v>
      </c>
      <c r="E868" s="56" t="n">
        <v>23.1</v>
      </c>
      <c r="F868" s="56" t="n">
        <v>0</v>
      </c>
      <c r="G868" s="56" t="n">
        <v>13.3</v>
      </c>
      <c r="H868" s="56" t="n">
        <v>0</v>
      </c>
      <c r="I868" s="56" t="n">
        <v>16.6</v>
      </c>
      <c r="J868" s="56" t="n">
        <v>0</v>
      </c>
      <c r="K868" s="56" t="n">
        <v>1025.5</v>
      </c>
      <c r="L868" s="56" t="n">
        <v>0</v>
      </c>
      <c r="M868" s="56" t="n">
        <v>73</v>
      </c>
      <c r="N868" s="56" t="n">
        <v>2.3</v>
      </c>
      <c r="O868" s="56" t="n">
        <f aca="false">IF(D868=1,"",E867)</f>
        <v>19.8</v>
      </c>
      <c r="P868" s="56" t="n">
        <f aca="false">IF(OR(D868=1,K867=""),"",K867)</f>
        <v>1026</v>
      </c>
      <c r="Q868" s="56" t="n">
        <f aca="false">IF(OR(F868&lt;&gt;0,AND(I868&lt;&gt;"",E868&lt;I868)),1,0)</f>
        <v>0</v>
      </c>
      <c r="R868" s="56" t="n">
        <f aca="false">IF(AND(D868&gt;1,Q868=0,ISNUMBER(O868),ISNUMBER(P868)),IF(Q867=0,1,0),0)</f>
        <v>1</v>
      </c>
      <c r="S868" s="56" t="n">
        <f aca="false">R868*(B868&gt;=Train_Start)*(B868&lt;=Train_End)</f>
        <v>1</v>
      </c>
      <c r="T868" s="84" t="n">
        <f aca="false">IF(AND(ISNUMBER(O868),ISNUMBER(P868)),Coef_A+Coef_B1*O868+Coef_B2*P868,"")</f>
        <v>20.4954033387134</v>
      </c>
      <c r="U868" s="84" t="n">
        <f aca="false">IF(AND(R868=1,ISNUMBER(T868)),E868-T868,"")</f>
        <v>2.60459666128656</v>
      </c>
      <c r="V868" s="84" t="n">
        <f aca="false">IF(ISNUMBER(T868),T868,-99)</f>
        <v>20.4954033387134</v>
      </c>
      <c r="W868" s="84" t="n">
        <f aca="false">IF(ISNUMBER(U868),ABS(U868),"")</f>
        <v>2.60459666128656</v>
      </c>
    </row>
    <row r="869" customFormat="false" ht="15" hidden="false" customHeight="false" outlineLevel="0" collapsed="false">
      <c r="A869" s="57" t="n">
        <v>30905</v>
      </c>
      <c r="B869" s="56" t="n">
        <v>1984</v>
      </c>
      <c r="C869" s="56" t="n">
        <v>8</v>
      </c>
      <c r="D869" s="56" t="n">
        <v>103</v>
      </c>
      <c r="E869" s="56" t="n">
        <v>23.6</v>
      </c>
      <c r="F869" s="56" t="n">
        <v>0</v>
      </c>
      <c r="G869" s="56" t="n">
        <v>8.5</v>
      </c>
      <c r="H869" s="56" t="n">
        <v>0</v>
      </c>
      <c r="I869" s="56" t="n">
        <v>15.8</v>
      </c>
      <c r="J869" s="56" t="n">
        <v>0</v>
      </c>
      <c r="K869" s="56" t="n">
        <v>1021.5</v>
      </c>
      <c r="L869" s="56" t="n">
        <v>0</v>
      </c>
      <c r="M869" s="56" t="n">
        <v>67</v>
      </c>
      <c r="N869" s="56" t="n">
        <v>12</v>
      </c>
      <c r="O869" s="56" t="n">
        <f aca="false">IF(D869=1,"",E868)</f>
        <v>23.1</v>
      </c>
      <c r="P869" s="56" t="n">
        <f aca="false">IF(OR(D869=1,K868=""),"",K868)</f>
        <v>1025.5</v>
      </c>
      <c r="Q869" s="56" t="n">
        <f aca="false">IF(OR(F869&lt;&gt;0,AND(I869&lt;&gt;"",E869&lt;I869)),1,0)</f>
        <v>0</v>
      </c>
      <c r="R869" s="56" t="n">
        <f aca="false">IF(AND(D869&gt;1,Q869=0,ISNUMBER(O869),ISNUMBER(P869)),IF(Q868=0,1,0),0)</f>
        <v>1</v>
      </c>
      <c r="S869" s="56" t="n">
        <f aca="false">R869*(B869&gt;=Train_Start)*(B869&lt;=Train_End)</f>
        <v>1</v>
      </c>
      <c r="T869" s="84" t="n">
        <f aca="false">IF(AND(ISNUMBER(O869),ISNUMBER(P869)),Coef_A+Coef_B1*O869+Coef_B2*P869,"")</f>
        <v>23.1835377284372</v>
      </c>
      <c r="U869" s="84" t="n">
        <f aca="false">IF(AND(R869=1,ISNUMBER(T869)),E869-T869,"")</f>
        <v>0.416462271562793</v>
      </c>
      <c r="V869" s="84" t="n">
        <f aca="false">IF(ISNUMBER(T869),T869,-99)</f>
        <v>23.1835377284372</v>
      </c>
      <c r="W869" s="84" t="n">
        <f aca="false">IF(ISNUMBER(U869),ABS(U869),"")</f>
        <v>0.416462271562793</v>
      </c>
    </row>
    <row r="870" customFormat="false" ht="15" hidden="false" customHeight="false" outlineLevel="0" collapsed="false">
      <c r="A870" s="57" t="n">
        <v>30906</v>
      </c>
      <c r="B870" s="56" t="n">
        <v>1984</v>
      </c>
      <c r="C870" s="56" t="n">
        <v>8</v>
      </c>
      <c r="D870" s="56" t="n">
        <v>104</v>
      </c>
      <c r="E870" s="56" t="n">
        <v>24.5</v>
      </c>
      <c r="F870" s="56" t="n">
        <v>0</v>
      </c>
      <c r="G870" s="56" t="n">
        <v>11</v>
      </c>
      <c r="H870" s="56" t="n">
        <v>0</v>
      </c>
      <c r="I870" s="56" t="n">
        <v>17.3</v>
      </c>
      <c r="J870" s="56" t="n">
        <v>0</v>
      </c>
      <c r="K870" s="56" t="n">
        <v>1020.7</v>
      </c>
      <c r="L870" s="56" t="n">
        <v>0</v>
      </c>
      <c r="M870" s="56" t="n">
        <v>70</v>
      </c>
      <c r="N870" s="56" t="n">
        <v>8.5</v>
      </c>
      <c r="O870" s="56" t="n">
        <f aca="false">IF(D870=1,"",E869)</f>
        <v>23.6</v>
      </c>
      <c r="P870" s="56" t="n">
        <f aca="false">IF(OR(D870=1,K869=""),"",K869)</f>
        <v>1021.5</v>
      </c>
      <c r="Q870" s="56" t="n">
        <f aca="false">IF(OR(F870&lt;&gt;0,AND(I870&lt;&gt;"",E870&lt;I870)),1,0)</f>
        <v>0</v>
      </c>
      <c r="R870" s="56" t="n">
        <f aca="false">IF(AND(D870&gt;1,Q870=0,ISNUMBER(O870),ISNUMBER(P870)),IF(Q869=0,1,0),0)</f>
        <v>1</v>
      </c>
      <c r="S870" s="56" t="n">
        <f aca="false">R870*(B870&gt;=Train_Start)*(B870&lt;=Train_End)</f>
        <v>1</v>
      </c>
      <c r="T870" s="84" t="n">
        <f aca="false">IF(AND(ISNUMBER(O870),ISNUMBER(P870)),Coef_A+Coef_B1*O870+Coef_B2*P870,"")</f>
        <v>23.4677277464226</v>
      </c>
      <c r="U870" s="84" t="n">
        <f aca="false">IF(AND(R870=1,ISNUMBER(T870)),E870-T870,"")</f>
        <v>1.03227225357741</v>
      </c>
      <c r="V870" s="84" t="n">
        <f aca="false">IF(ISNUMBER(T870),T870,-99)</f>
        <v>23.4677277464226</v>
      </c>
      <c r="W870" s="84" t="n">
        <f aca="false">IF(ISNUMBER(U870),ABS(U870),"")</f>
        <v>1.03227225357741</v>
      </c>
    </row>
    <row r="871" customFormat="false" ht="15" hidden="false" customHeight="false" outlineLevel="0" collapsed="false">
      <c r="A871" s="57" t="n">
        <v>30907</v>
      </c>
      <c r="B871" s="56" t="n">
        <v>1984</v>
      </c>
      <c r="C871" s="56" t="n">
        <v>8</v>
      </c>
      <c r="D871" s="56" t="n">
        <v>105</v>
      </c>
      <c r="E871" s="56" t="n">
        <v>26.5</v>
      </c>
      <c r="F871" s="56" t="n">
        <v>0</v>
      </c>
      <c r="G871" s="56" t="n">
        <v>16</v>
      </c>
      <c r="H871" s="56" t="n">
        <v>0</v>
      </c>
      <c r="I871" s="56" t="n">
        <v>20.2</v>
      </c>
      <c r="J871" s="56" t="n">
        <v>0</v>
      </c>
      <c r="K871" s="56" t="n">
        <v>1018.4</v>
      </c>
      <c r="L871" s="56" t="n">
        <v>0</v>
      </c>
      <c r="M871" s="56" t="n">
        <v>72</v>
      </c>
      <c r="N871" s="56" t="n">
        <v>4.3</v>
      </c>
      <c r="O871" s="56" t="n">
        <f aca="false">IF(D871=1,"",E870)</f>
        <v>24.5</v>
      </c>
      <c r="P871" s="56" t="n">
        <f aca="false">IF(OR(D871=1,K870=""),"",K870)</f>
        <v>1020.7</v>
      </c>
      <c r="Q871" s="56" t="n">
        <f aca="false">IF(OR(F871&lt;&gt;0,AND(I871&lt;&gt;"",E871&lt;I871)),1,0)</f>
        <v>0</v>
      </c>
      <c r="R871" s="56" t="n">
        <f aca="false">IF(AND(D871&gt;1,Q871=0,ISNUMBER(O871),ISNUMBER(P871)),IF(Q870=0,1,0),0)</f>
        <v>1</v>
      </c>
      <c r="S871" s="56" t="n">
        <f aca="false">R871*(B871&gt;=Train_Start)*(B871&lt;=Train_End)</f>
        <v>1</v>
      </c>
      <c r="T871" s="84" t="n">
        <f aca="false">IF(AND(ISNUMBER(O871),ISNUMBER(P871)),Coef_A+Coef_B1*O871+Coef_B2*P871,"")</f>
        <v>24.1800371044538</v>
      </c>
      <c r="U871" s="84" t="n">
        <f aca="false">IF(AND(R871=1,ISNUMBER(T871)),E871-T871,"")</f>
        <v>2.31996289554622</v>
      </c>
      <c r="V871" s="84" t="n">
        <f aca="false">IF(ISNUMBER(T871),T871,-99)</f>
        <v>24.1800371044538</v>
      </c>
      <c r="W871" s="84" t="n">
        <f aca="false">IF(ISNUMBER(U871),ABS(U871),"")</f>
        <v>2.31996289554622</v>
      </c>
    </row>
    <row r="872" customFormat="false" ht="15" hidden="false" customHeight="false" outlineLevel="0" collapsed="false">
      <c r="A872" s="57" t="n">
        <v>30908</v>
      </c>
      <c r="B872" s="56" t="n">
        <v>1984</v>
      </c>
      <c r="C872" s="56" t="n">
        <v>8</v>
      </c>
      <c r="D872" s="56" t="n">
        <v>106</v>
      </c>
      <c r="E872" s="56" t="n">
        <v>26.2</v>
      </c>
      <c r="F872" s="56" t="n">
        <v>0</v>
      </c>
      <c r="G872" s="56" t="n">
        <v>14.8</v>
      </c>
      <c r="H872" s="56" t="n">
        <v>0</v>
      </c>
      <c r="I872" s="56" t="n">
        <v>20.6</v>
      </c>
      <c r="J872" s="56" t="n">
        <v>0</v>
      </c>
      <c r="K872" s="56" t="n">
        <v>1017.3</v>
      </c>
      <c r="L872" s="56" t="n">
        <v>0</v>
      </c>
      <c r="M872" s="56" t="n">
        <v>73</v>
      </c>
      <c r="N872" s="56" t="n">
        <v>5.8</v>
      </c>
      <c r="O872" s="56" t="n">
        <f aca="false">IF(D872=1,"",E871)</f>
        <v>26.5</v>
      </c>
      <c r="P872" s="56" t="n">
        <f aca="false">IF(OR(D872=1,K871=""),"",K871)</f>
        <v>1018.4</v>
      </c>
      <c r="Q872" s="56" t="n">
        <f aca="false">IF(OR(F872&lt;&gt;0,AND(I872&lt;&gt;"",E872&lt;I872)),1,0)</f>
        <v>0</v>
      </c>
      <c r="R872" s="56" t="n">
        <f aca="false">IF(AND(D872&gt;1,Q872=0,ISNUMBER(O872),ISNUMBER(P872)),IF(Q871=0,1,0),0)</f>
        <v>1</v>
      </c>
      <c r="S872" s="56" t="n">
        <f aca="false">R872*(B872&gt;=Train_Start)*(B872&lt;=Train_End)</f>
        <v>1</v>
      </c>
      <c r="T872" s="84" t="n">
        <f aca="false">IF(AND(ISNUMBER(O872),ISNUMBER(P872)),Coef_A+Coef_B1*O872+Coef_B2*P872,"")</f>
        <v>25.7465647328809</v>
      </c>
      <c r="U872" s="84" t="n">
        <f aca="false">IF(AND(R872=1,ISNUMBER(T872)),E872-T872,"")</f>
        <v>0.453435267119076</v>
      </c>
      <c r="V872" s="84" t="n">
        <f aca="false">IF(ISNUMBER(T872),T872,-99)</f>
        <v>25.7465647328809</v>
      </c>
      <c r="W872" s="84" t="n">
        <f aca="false">IF(ISNUMBER(U872),ABS(U872),"")</f>
        <v>0.453435267119076</v>
      </c>
    </row>
    <row r="873" customFormat="false" ht="15" hidden="false" customHeight="false" outlineLevel="0" collapsed="false">
      <c r="A873" s="57" t="n">
        <v>30909</v>
      </c>
      <c r="B873" s="56" t="n">
        <v>1984</v>
      </c>
      <c r="C873" s="56" t="n">
        <v>8</v>
      </c>
      <c r="D873" s="56" t="n">
        <v>107</v>
      </c>
      <c r="E873" s="56" t="n">
        <v>24.9</v>
      </c>
      <c r="F873" s="56" t="n">
        <v>0</v>
      </c>
      <c r="G873" s="56" t="n">
        <v>14.7</v>
      </c>
      <c r="H873" s="56" t="n">
        <v>0</v>
      </c>
      <c r="I873" s="56" t="n">
        <v>20.4</v>
      </c>
      <c r="J873" s="56" t="n">
        <v>0</v>
      </c>
      <c r="K873" s="56" t="n">
        <v>1017.9</v>
      </c>
      <c r="L873" s="56" t="n">
        <v>0</v>
      </c>
      <c r="M873" s="56" t="n">
        <v>79</v>
      </c>
      <c r="N873" s="56" t="n">
        <v>6.5</v>
      </c>
      <c r="O873" s="56" t="n">
        <f aca="false">IF(D873=1,"",E872)</f>
        <v>26.2</v>
      </c>
      <c r="P873" s="56" t="n">
        <f aca="false">IF(OR(D873=1,K872=""),"",K872)</f>
        <v>1017.3</v>
      </c>
      <c r="Q873" s="56" t="n">
        <f aca="false">IF(OR(F873&lt;&gt;0,AND(I873&lt;&gt;"",E873&lt;I873)),1,0)</f>
        <v>0</v>
      </c>
      <c r="R873" s="56" t="n">
        <f aca="false">IF(AND(D873&gt;1,Q873=0,ISNUMBER(O873),ISNUMBER(P873)),IF(Q872=0,1,0),0)</f>
        <v>1</v>
      </c>
      <c r="S873" s="56" t="n">
        <f aca="false">R873*(B873&gt;=Train_Start)*(B873&lt;=Train_End)</f>
        <v>1</v>
      </c>
      <c r="T873" s="84" t="n">
        <f aca="false">IF(AND(ISNUMBER(O873),ISNUMBER(P873)),Coef_A+Coef_B1*O873+Coef_B2*P873,"")</f>
        <v>25.4662560908707</v>
      </c>
      <c r="U873" s="84" t="n">
        <f aca="false">IF(AND(R873=1,ISNUMBER(T873)),E873-T873,"")</f>
        <v>-0.566256090870734</v>
      </c>
      <c r="V873" s="84" t="n">
        <f aca="false">IF(ISNUMBER(T873),T873,-99)</f>
        <v>25.4662560908707</v>
      </c>
      <c r="W873" s="84" t="n">
        <f aca="false">IF(ISNUMBER(U873),ABS(U873),"")</f>
        <v>0.566256090870734</v>
      </c>
    </row>
    <row r="874" customFormat="false" ht="15" hidden="false" customHeight="false" outlineLevel="0" collapsed="false">
      <c r="A874" s="57" t="n">
        <v>30910</v>
      </c>
      <c r="B874" s="56" t="n">
        <v>1984</v>
      </c>
      <c r="C874" s="56" t="n">
        <v>8</v>
      </c>
      <c r="D874" s="56" t="n">
        <v>108</v>
      </c>
      <c r="E874" s="56" t="n">
        <v>24.3</v>
      </c>
      <c r="F874" s="56" t="n">
        <v>0</v>
      </c>
      <c r="G874" s="56" t="n">
        <v>13.9</v>
      </c>
      <c r="H874" s="56" t="n">
        <v>0</v>
      </c>
      <c r="I874" s="56" t="n">
        <v>19.4</v>
      </c>
      <c r="J874" s="56" t="n">
        <v>0</v>
      </c>
      <c r="K874" s="56" t="n">
        <v>1019.1</v>
      </c>
      <c r="L874" s="56" t="n">
        <v>0</v>
      </c>
      <c r="M874" s="56" t="n">
        <v>81</v>
      </c>
      <c r="N874" s="56" t="n">
        <v>4.4</v>
      </c>
      <c r="O874" s="56" t="n">
        <f aca="false">IF(D874=1,"",E873)</f>
        <v>24.9</v>
      </c>
      <c r="P874" s="56" t="n">
        <f aca="false">IF(OR(D874=1,K873=""),"",K873)</f>
        <v>1017.9</v>
      </c>
      <c r="Q874" s="56" t="n">
        <f aca="false">IF(OR(F874&lt;&gt;0,AND(I874&lt;&gt;"",E874&lt;I874)),1,0)</f>
        <v>0</v>
      </c>
      <c r="R874" s="56" t="n">
        <f aca="false">IF(AND(D874&gt;1,Q874=0,ISNUMBER(O874),ISNUMBER(P874)),IF(Q873=0,1,0),0)</f>
        <v>1</v>
      </c>
      <c r="S874" s="56" t="n">
        <f aca="false">R874*(B874&gt;=Train_Start)*(B874&lt;=Train_End)</f>
        <v>1</v>
      </c>
      <c r="T874" s="84" t="n">
        <f aca="false">IF(AND(ISNUMBER(O874),ISNUMBER(P874)),Coef_A+Coef_B1*O874+Coef_B2*P874,"")</f>
        <v>24.4199370766957</v>
      </c>
      <c r="U874" s="84" t="n">
        <f aca="false">IF(AND(R874=1,ISNUMBER(T874)),E874-T874,"")</f>
        <v>-0.119937076695674</v>
      </c>
      <c r="V874" s="84" t="n">
        <f aca="false">IF(ISNUMBER(T874),T874,-99)</f>
        <v>24.4199370766957</v>
      </c>
      <c r="W874" s="84" t="n">
        <f aca="false">IF(ISNUMBER(U874),ABS(U874),"")</f>
        <v>0.119937076695674</v>
      </c>
    </row>
    <row r="875" customFormat="false" ht="15" hidden="false" customHeight="false" outlineLevel="0" collapsed="false">
      <c r="A875" s="57" t="n">
        <v>30911</v>
      </c>
      <c r="B875" s="56" t="n">
        <v>1984</v>
      </c>
      <c r="C875" s="56" t="n">
        <v>8</v>
      </c>
      <c r="D875" s="56" t="n">
        <v>109</v>
      </c>
      <c r="E875" s="56" t="n">
        <v>25.9</v>
      </c>
      <c r="F875" s="56" t="n">
        <v>0</v>
      </c>
      <c r="G875" s="56" t="n">
        <v>14</v>
      </c>
      <c r="H875" s="56" t="n">
        <v>0</v>
      </c>
      <c r="I875" s="56" t="n">
        <v>19.2</v>
      </c>
      <c r="J875" s="56" t="n">
        <v>0</v>
      </c>
      <c r="K875" s="56" t="n">
        <v>1021.7</v>
      </c>
      <c r="L875" s="56" t="n">
        <v>0</v>
      </c>
      <c r="M875" s="56" t="n">
        <v>80</v>
      </c>
      <c r="N875" s="56" t="n">
        <v>6.2</v>
      </c>
      <c r="O875" s="56" t="n">
        <f aca="false">IF(D875=1,"",E874)</f>
        <v>24.3</v>
      </c>
      <c r="P875" s="56" t="n">
        <f aca="false">IF(OR(D875=1,K874=""),"",K874)</f>
        <v>1019.1</v>
      </c>
      <c r="Q875" s="56" t="n">
        <f aca="false">IF(OR(F875&lt;&gt;0,AND(I875&lt;&gt;"",E875&lt;I875)),1,0)</f>
        <v>0</v>
      </c>
      <c r="R875" s="56" t="n">
        <f aca="false">IF(AND(D875&gt;1,Q875=0,ISNUMBER(O875),ISNUMBER(P875)),IF(Q874=0,1,0),0)</f>
        <v>1</v>
      </c>
      <c r="S875" s="56" t="n">
        <f aca="false">R875*(B875&gt;=Train_Start)*(B875&lt;=Train_End)</f>
        <v>1</v>
      </c>
      <c r="T875" s="84" t="n">
        <f aca="false">IF(AND(ISNUMBER(O875),ISNUMBER(P875)),Coef_A+Coef_B1*O875+Coef_B2*P875,"")</f>
        <v>23.9659774344309</v>
      </c>
      <c r="U875" s="84" t="n">
        <f aca="false">IF(AND(R875=1,ISNUMBER(T875)),E875-T875,"")</f>
        <v>1.93402256556913</v>
      </c>
      <c r="V875" s="84" t="n">
        <f aca="false">IF(ISNUMBER(T875),T875,-99)</f>
        <v>23.9659774344309</v>
      </c>
      <c r="W875" s="84" t="n">
        <f aca="false">IF(ISNUMBER(U875),ABS(U875),"")</f>
        <v>1.93402256556913</v>
      </c>
    </row>
    <row r="876" customFormat="false" ht="15" hidden="false" customHeight="false" outlineLevel="0" collapsed="false">
      <c r="A876" s="57" t="n">
        <v>30912</v>
      </c>
      <c r="B876" s="56" t="n">
        <v>1984</v>
      </c>
      <c r="C876" s="56" t="n">
        <v>8</v>
      </c>
      <c r="D876" s="56" t="n">
        <v>110</v>
      </c>
      <c r="E876" s="56" t="n">
        <v>28.8</v>
      </c>
      <c r="F876" s="56" t="n">
        <v>0</v>
      </c>
      <c r="G876" s="56" t="n">
        <v>12.9</v>
      </c>
      <c r="H876" s="56" t="n">
        <v>0</v>
      </c>
      <c r="I876" s="56" t="n">
        <v>19.4</v>
      </c>
      <c r="J876" s="56" t="n">
        <v>0</v>
      </c>
      <c r="K876" s="56" t="n">
        <v>1023.3</v>
      </c>
      <c r="L876" s="56" t="n">
        <v>0</v>
      </c>
      <c r="M876" s="56" t="n">
        <v>72</v>
      </c>
      <c r="N876" s="56" t="n">
        <v>8.5</v>
      </c>
      <c r="O876" s="56" t="n">
        <f aca="false">IF(D876=1,"",E875)</f>
        <v>25.9</v>
      </c>
      <c r="P876" s="56" t="n">
        <f aca="false">IF(OR(D876=1,K875=""),"",K875)</f>
        <v>1021.7</v>
      </c>
      <c r="Q876" s="56" t="n">
        <f aca="false">IF(OR(F876&lt;&gt;0,AND(I876&lt;&gt;"",E876&lt;I876)),1,0)</f>
        <v>0</v>
      </c>
      <c r="R876" s="56" t="n">
        <f aca="false">IF(AND(D876&gt;1,Q876=0,ISNUMBER(O876),ISNUMBER(P876)),IF(Q875=0,1,0),0)</f>
        <v>1</v>
      </c>
      <c r="S876" s="56" t="n">
        <f aca="false">R876*(B876&gt;=Train_Start)*(B876&lt;=Train_End)</f>
        <v>1</v>
      </c>
      <c r="T876" s="84" t="n">
        <f aca="false">IF(AND(ISNUMBER(O876),ISNUMBER(P876)),Coef_A+Coef_B1*O876+Coef_B2*P876,"")</f>
        <v>25.3584818693475</v>
      </c>
      <c r="U876" s="84" t="n">
        <f aca="false">IF(AND(R876=1,ISNUMBER(T876)),E876-T876,"")</f>
        <v>3.44151813065251</v>
      </c>
      <c r="V876" s="84" t="n">
        <f aca="false">IF(ISNUMBER(T876),T876,-99)</f>
        <v>25.3584818693475</v>
      </c>
      <c r="W876" s="84" t="n">
        <f aca="false">IF(ISNUMBER(U876),ABS(U876),"")</f>
        <v>3.44151813065251</v>
      </c>
    </row>
    <row r="877" customFormat="false" ht="15" hidden="false" customHeight="false" outlineLevel="0" collapsed="false">
      <c r="A877" s="57" t="n">
        <v>30913</v>
      </c>
      <c r="B877" s="56" t="n">
        <v>1984</v>
      </c>
      <c r="C877" s="56" t="n">
        <v>8</v>
      </c>
      <c r="D877" s="56" t="n">
        <v>111</v>
      </c>
      <c r="E877" s="56" t="n">
        <v>29.7</v>
      </c>
      <c r="F877" s="56" t="n">
        <v>0</v>
      </c>
      <c r="G877" s="56" t="n">
        <v>13.5</v>
      </c>
      <c r="H877" s="56" t="n">
        <v>0</v>
      </c>
      <c r="I877" s="56" t="n">
        <v>21.2</v>
      </c>
      <c r="J877" s="56" t="n">
        <v>0</v>
      </c>
      <c r="K877" s="56" t="n">
        <v>1022.9</v>
      </c>
      <c r="L877" s="56" t="n">
        <v>0</v>
      </c>
      <c r="M877" s="56" t="n">
        <v>64</v>
      </c>
      <c r="N877" s="56" t="n">
        <v>11.5</v>
      </c>
      <c r="O877" s="56" t="n">
        <f aca="false">IF(D877=1,"",E876)</f>
        <v>28.8</v>
      </c>
      <c r="P877" s="56" t="n">
        <f aca="false">IF(OR(D877=1,K876=""),"",K876)</f>
        <v>1023.3</v>
      </c>
      <c r="Q877" s="56" t="n">
        <f aca="false">IF(OR(F877&lt;&gt;0,AND(I877&lt;&gt;"",E877&lt;I877)),1,0)</f>
        <v>0</v>
      </c>
      <c r="R877" s="56" t="n">
        <f aca="false">IF(AND(D877&gt;1,Q877=0,ISNUMBER(O877),ISNUMBER(P877)),IF(Q876=0,1,0),0)</f>
        <v>1</v>
      </c>
      <c r="S877" s="56" t="n">
        <f aca="false">R877*(B877&gt;=Train_Start)*(B877&lt;=Train_End)</f>
        <v>1</v>
      </c>
      <c r="T877" s="84" t="n">
        <f aca="false">IF(AND(ISNUMBER(O877),ISNUMBER(P877)),Coef_A+Coef_B1*O877+Coef_B2*P877,"")</f>
        <v>27.7847573605856</v>
      </c>
      <c r="U877" s="84" t="n">
        <f aca="false">IF(AND(R877=1,ISNUMBER(T877)),E877-T877,"")</f>
        <v>1.91524263941442</v>
      </c>
      <c r="V877" s="84" t="n">
        <f aca="false">IF(ISNUMBER(T877),T877,-99)</f>
        <v>27.7847573605856</v>
      </c>
      <c r="W877" s="84" t="n">
        <f aca="false">IF(ISNUMBER(U877),ABS(U877),"")</f>
        <v>1.91524263941442</v>
      </c>
    </row>
    <row r="878" customFormat="false" ht="15" hidden="false" customHeight="false" outlineLevel="0" collapsed="false">
      <c r="A878" s="57" t="n">
        <v>30914</v>
      </c>
      <c r="B878" s="56" t="n">
        <v>1984</v>
      </c>
      <c r="C878" s="56" t="n">
        <v>8</v>
      </c>
      <c r="D878" s="56" t="n">
        <v>112</v>
      </c>
      <c r="E878" s="56" t="n">
        <v>29.8</v>
      </c>
      <c r="F878" s="56" t="n">
        <v>0</v>
      </c>
      <c r="G878" s="56" t="n">
        <v>14.3</v>
      </c>
      <c r="H878" s="56" t="n">
        <v>0</v>
      </c>
      <c r="I878" s="56" t="n">
        <v>22</v>
      </c>
      <c r="J878" s="56" t="n">
        <v>0</v>
      </c>
      <c r="K878" s="56" t="n">
        <v>1019.7</v>
      </c>
      <c r="L878" s="56" t="n">
        <v>0</v>
      </c>
      <c r="M878" s="56" t="n">
        <v>64</v>
      </c>
      <c r="N878" s="56" t="n">
        <v>11.7</v>
      </c>
      <c r="O878" s="56" t="n">
        <f aca="false">IF(D878=1,"",E877)</f>
        <v>29.7</v>
      </c>
      <c r="P878" s="56" t="n">
        <f aca="false">IF(OR(D878=1,K877=""),"",K877)</f>
        <v>1022.9</v>
      </c>
      <c r="Q878" s="56" t="n">
        <f aca="false">IF(OR(F878&lt;&gt;0,AND(I878&lt;&gt;"",E878&lt;I878)),1,0)</f>
        <v>0</v>
      </c>
      <c r="R878" s="56" t="n">
        <f aca="false">IF(AND(D878&gt;1,Q878=0,ISNUMBER(O878),ISNUMBER(P878)),IF(Q877=0,1,0),0)</f>
        <v>1</v>
      </c>
      <c r="S878" s="56" t="n">
        <f aca="false">R878*(B878&gt;=Train_Start)*(B878&lt;=Train_End)</f>
        <v>1</v>
      </c>
      <c r="T878" s="84" t="n">
        <f aca="false">IF(AND(ISNUMBER(O878),ISNUMBER(P878)),Coef_A+Coef_B1*O878+Coef_B2*P878,"")</f>
        <v>28.5096146764704</v>
      </c>
      <c r="U878" s="84" t="n">
        <f aca="false">IF(AND(R878=1,ISNUMBER(T878)),E878-T878,"")</f>
        <v>1.29038532352963</v>
      </c>
      <c r="V878" s="84" t="n">
        <f aca="false">IF(ISNUMBER(T878),T878,-99)</f>
        <v>28.5096146764704</v>
      </c>
      <c r="W878" s="84" t="n">
        <f aca="false">IF(ISNUMBER(U878),ABS(U878),"")</f>
        <v>1.29038532352963</v>
      </c>
    </row>
    <row r="879" customFormat="false" ht="15" hidden="false" customHeight="false" outlineLevel="0" collapsed="false">
      <c r="A879" s="57" t="n">
        <v>30915</v>
      </c>
      <c r="B879" s="56" t="n">
        <v>1984</v>
      </c>
      <c r="C879" s="56" t="n">
        <v>8</v>
      </c>
      <c r="D879" s="56" t="n">
        <v>113</v>
      </c>
      <c r="E879" s="56" t="n">
        <v>23.9</v>
      </c>
      <c r="F879" s="56" t="n">
        <v>0</v>
      </c>
      <c r="G879" s="56" t="n">
        <v>17.3</v>
      </c>
      <c r="H879" s="56" t="n">
        <v>0</v>
      </c>
      <c r="I879" s="56" t="n">
        <v>23.6</v>
      </c>
      <c r="J879" s="56" t="n">
        <v>0</v>
      </c>
      <c r="K879" s="56" t="n">
        <v>1014.7</v>
      </c>
      <c r="L879" s="56" t="n">
        <v>0</v>
      </c>
      <c r="M879" s="56" t="n">
        <v>61</v>
      </c>
      <c r="N879" s="56" t="n">
        <v>11</v>
      </c>
      <c r="O879" s="56" t="n">
        <f aca="false">IF(D879=1,"",E878)</f>
        <v>29.8</v>
      </c>
      <c r="P879" s="56" t="n">
        <f aca="false">IF(OR(D879=1,K878=""),"",K878)</f>
        <v>1019.7</v>
      </c>
      <c r="Q879" s="56" t="n">
        <f aca="false">IF(OR(F879&lt;&gt;0,AND(I879&lt;&gt;"",E879&lt;I879)),1,0)</f>
        <v>0</v>
      </c>
      <c r="R879" s="56" t="n">
        <f aca="false">IF(AND(D879&gt;1,Q879=0,ISNUMBER(O879),ISNUMBER(P879)),IF(Q878=0,1,0),0)</f>
        <v>1</v>
      </c>
      <c r="S879" s="56" t="n">
        <f aca="false">R879*(B879&gt;=Train_Start)*(B879&lt;=Train_End)</f>
        <v>1</v>
      </c>
      <c r="T879" s="84" t="n">
        <f aca="false">IF(AND(ISNUMBER(O879),ISNUMBER(P879)),Coef_A+Coef_B1*O879+Coef_B2*P879,"")</f>
        <v>28.4911649329459</v>
      </c>
      <c r="U879" s="84" t="n">
        <f aca="false">IF(AND(R879=1,ISNUMBER(T879)),E879-T879,"")</f>
        <v>-4.59116493294588</v>
      </c>
      <c r="V879" s="84" t="n">
        <f aca="false">IF(ISNUMBER(T879),T879,-99)</f>
        <v>28.4911649329459</v>
      </c>
      <c r="W879" s="84" t="n">
        <f aca="false">IF(ISNUMBER(U879),ABS(U879),"")</f>
        <v>4.59116493294588</v>
      </c>
    </row>
    <row r="880" customFormat="false" ht="15" hidden="false" customHeight="false" outlineLevel="0" collapsed="false">
      <c r="A880" s="57" t="n">
        <v>30916</v>
      </c>
      <c r="B880" s="56" t="n">
        <v>1984</v>
      </c>
      <c r="C880" s="56" t="n">
        <v>8</v>
      </c>
      <c r="D880" s="56" t="n">
        <v>114</v>
      </c>
      <c r="E880" s="56" t="n">
        <v>27</v>
      </c>
      <c r="F880" s="56" t="n">
        <v>0</v>
      </c>
      <c r="G880" s="56" t="n">
        <v>17.2</v>
      </c>
      <c r="H880" s="56" t="n">
        <v>0</v>
      </c>
      <c r="I880" s="56" t="n">
        <v>20.6</v>
      </c>
      <c r="J880" s="56" t="n">
        <v>0</v>
      </c>
      <c r="K880" s="56" t="n">
        <v>1010.7</v>
      </c>
      <c r="L880" s="56" t="n">
        <v>0</v>
      </c>
      <c r="M880" s="56" t="n">
        <v>76</v>
      </c>
      <c r="N880" s="56" t="n">
        <v>1.6</v>
      </c>
      <c r="O880" s="56" t="n">
        <f aca="false">IF(D880=1,"",E879)</f>
        <v>23.9</v>
      </c>
      <c r="P880" s="56" t="n">
        <f aca="false">IF(OR(D880=1,K879=""),"",K879)</f>
        <v>1014.7</v>
      </c>
      <c r="Q880" s="56" t="n">
        <f aca="false">IF(OR(F880&lt;&gt;0,AND(I880&lt;&gt;"",E880&lt;I880)),1,0)</f>
        <v>0</v>
      </c>
      <c r="R880" s="56" t="n">
        <f aca="false">IF(AND(D880&gt;1,Q880=0,ISNUMBER(O880),ISNUMBER(P880)),IF(Q879=0,1,0),0)</f>
        <v>1</v>
      </c>
      <c r="S880" s="56" t="n">
        <f aca="false">R880*(B880&gt;=Train_Start)*(B880&lt;=Train_End)</f>
        <v>1</v>
      </c>
      <c r="T880" s="84" t="n">
        <f aca="false">IF(AND(ISNUMBER(O880),ISNUMBER(P880)),Coef_A+Coef_B1*O880+Coef_B2*P880,"")</f>
        <v>23.5002142208243</v>
      </c>
      <c r="U880" s="84" t="n">
        <f aca="false">IF(AND(R880=1,ISNUMBER(T880)),E880-T880,"")</f>
        <v>3.49978577917575</v>
      </c>
      <c r="V880" s="84" t="n">
        <f aca="false">IF(ISNUMBER(T880),T880,-99)</f>
        <v>23.5002142208243</v>
      </c>
      <c r="W880" s="84" t="n">
        <f aca="false">IF(ISNUMBER(U880),ABS(U880),"")</f>
        <v>3.49978577917575</v>
      </c>
    </row>
    <row r="881" customFormat="false" ht="15" hidden="false" customHeight="false" outlineLevel="0" collapsed="false">
      <c r="A881" s="57" t="n">
        <v>30917</v>
      </c>
      <c r="B881" s="56" t="n">
        <v>1984</v>
      </c>
      <c r="C881" s="56" t="n">
        <v>8</v>
      </c>
      <c r="D881" s="56" t="n">
        <v>115</v>
      </c>
      <c r="E881" s="56" t="n">
        <v>23.9</v>
      </c>
      <c r="F881" s="56" t="n">
        <v>0</v>
      </c>
      <c r="G881" s="56" t="n">
        <v>14.5</v>
      </c>
      <c r="H881" s="56" t="n">
        <v>0</v>
      </c>
      <c r="I881" s="56" t="n">
        <v>20.8</v>
      </c>
      <c r="J881" s="56" t="n">
        <v>0</v>
      </c>
      <c r="K881" s="56" t="n">
        <v>1008.5</v>
      </c>
      <c r="L881" s="56" t="n">
        <v>0</v>
      </c>
      <c r="M881" s="56" t="n">
        <v>75</v>
      </c>
      <c r="N881" s="56" t="n">
        <v>2.7</v>
      </c>
      <c r="O881" s="56" t="n">
        <f aca="false">IF(D881=1,"",E880)</f>
        <v>27</v>
      </c>
      <c r="P881" s="56" t="n">
        <f aca="false">IF(OR(D881=1,K880=""),"",K880)</f>
        <v>1010.7</v>
      </c>
      <c r="Q881" s="56" t="n">
        <f aca="false">IF(OR(F881&lt;&gt;0,AND(I881&lt;&gt;"",E881&lt;I881)),1,0)</f>
        <v>0</v>
      </c>
      <c r="R881" s="56" t="n">
        <f aca="false">IF(AND(D881&gt;1,Q881=0,ISNUMBER(O881),ISNUMBER(P881)),IF(Q880=0,1,0),0)</f>
        <v>1</v>
      </c>
      <c r="S881" s="56" t="n">
        <f aca="false">R881*(B881&gt;=Train_Start)*(B881&lt;=Train_End)</f>
        <v>1</v>
      </c>
      <c r="T881" s="84" t="n">
        <f aca="false">IF(AND(ISNUMBER(O881),ISNUMBER(P881)),Coef_A+Coef_B1*O881+Coef_B2*P881,"")</f>
        <v>25.9146861407205</v>
      </c>
      <c r="U881" s="84" t="n">
        <f aca="false">IF(AND(R881=1,ISNUMBER(T881)),E881-T881,"")</f>
        <v>-2.01468614072053</v>
      </c>
      <c r="V881" s="84" t="n">
        <f aca="false">IF(ISNUMBER(T881),T881,-99)</f>
        <v>25.9146861407205</v>
      </c>
      <c r="W881" s="84" t="n">
        <f aca="false">IF(ISNUMBER(U881),ABS(U881),"")</f>
        <v>2.01468614072053</v>
      </c>
    </row>
    <row r="882" customFormat="false" ht="15" hidden="false" customHeight="false" outlineLevel="0" collapsed="false">
      <c r="A882" s="57" t="n">
        <v>30918</v>
      </c>
      <c r="B882" s="56" t="n">
        <v>1984</v>
      </c>
      <c r="C882" s="56" t="n">
        <v>8</v>
      </c>
      <c r="D882" s="56" t="n">
        <v>116</v>
      </c>
      <c r="E882" s="56" t="n">
        <v>23.7</v>
      </c>
      <c r="F882" s="56" t="n">
        <v>0</v>
      </c>
      <c r="G882" s="56" t="n">
        <v>17.7</v>
      </c>
      <c r="H882" s="56" t="n">
        <v>0</v>
      </c>
      <c r="I882" s="56" t="n">
        <v>20.8</v>
      </c>
      <c r="J882" s="56" t="n">
        <v>0</v>
      </c>
      <c r="K882" s="56" t="n">
        <v>1009.6</v>
      </c>
      <c r="L882" s="56" t="n">
        <v>0</v>
      </c>
      <c r="M882" s="56" t="n">
        <v>84</v>
      </c>
      <c r="N882" s="56" t="n">
        <v>0.1</v>
      </c>
      <c r="O882" s="56" t="n">
        <f aca="false">IF(D882=1,"",E881)</f>
        <v>23.9</v>
      </c>
      <c r="P882" s="56" t="n">
        <f aca="false">IF(OR(D882=1,K881=""),"",K881)</f>
        <v>1008.5</v>
      </c>
      <c r="Q882" s="56" t="n">
        <f aca="false">IF(OR(F882&lt;&gt;0,AND(I882&lt;&gt;"",E882&lt;I882)),1,0)</f>
        <v>0</v>
      </c>
      <c r="R882" s="56" t="n">
        <f aca="false">IF(AND(D882&gt;1,Q882=0,ISNUMBER(O882),ISNUMBER(P882)),IF(Q881=0,1,0),0)</f>
        <v>1</v>
      </c>
      <c r="S882" s="56" t="n">
        <f aca="false">R882*(B882&gt;=Train_Start)*(B882&lt;=Train_End)</f>
        <v>1</v>
      </c>
      <c r="T882" s="84" t="n">
        <f aca="false">IF(AND(ISNUMBER(O882),ISNUMBER(P882)),Coef_A+Coef_B1*O882+Coef_B2*P882,"")</f>
        <v>23.3057208740935</v>
      </c>
      <c r="U882" s="84" t="n">
        <f aca="false">IF(AND(R882=1,ISNUMBER(T882)),E882-T882,"")</f>
        <v>0.394279125906483</v>
      </c>
      <c r="V882" s="84" t="n">
        <f aca="false">IF(ISNUMBER(T882),T882,-99)</f>
        <v>23.3057208740935</v>
      </c>
      <c r="W882" s="84" t="n">
        <f aca="false">IF(ISNUMBER(U882),ABS(U882),"")</f>
        <v>0.394279125906483</v>
      </c>
    </row>
    <row r="883" customFormat="false" ht="15" hidden="false" customHeight="false" outlineLevel="0" collapsed="false">
      <c r="A883" s="57" t="n">
        <v>30919</v>
      </c>
      <c r="B883" s="56" t="n">
        <v>1984</v>
      </c>
      <c r="C883" s="56" t="n">
        <v>8</v>
      </c>
      <c r="D883" s="56" t="n">
        <v>117</v>
      </c>
      <c r="E883" s="56" t="n">
        <v>23.5</v>
      </c>
      <c r="F883" s="56" t="n">
        <v>0</v>
      </c>
      <c r="G883" s="56" t="n">
        <v>16.3</v>
      </c>
      <c r="H883" s="56" t="n">
        <v>0</v>
      </c>
      <c r="I883" s="56" t="n">
        <v>20</v>
      </c>
      <c r="J883" s="56" t="n">
        <v>0</v>
      </c>
      <c r="K883" s="56" t="n">
        <v>1015.6</v>
      </c>
      <c r="L883" s="56" t="n">
        <v>0</v>
      </c>
      <c r="M883" s="56" t="n">
        <v>77</v>
      </c>
      <c r="N883" s="56" t="n">
        <v>6.7</v>
      </c>
      <c r="O883" s="56" t="n">
        <f aca="false">IF(D883=1,"",E882)</f>
        <v>23.7</v>
      </c>
      <c r="P883" s="56" t="n">
        <f aca="false">IF(OR(D883=1,K882=""),"",K882)</f>
        <v>1009.6</v>
      </c>
      <c r="Q883" s="56" t="n">
        <f aca="false">IF(OR(F883&lt;&gt;0,AND(I883&lt;&gt;"",E883&lt;I883)),1,0)</f>
        <v>0</v>
      </c>
      <c r="R883" s="56" t="n">
        <f aca="false">IF(AND(D883&gt;1,Q883=0,ISNUMBER(O883),ISNUMBER(P883)),IF(Q882=0,1,0),0)</f>
        <v>1</v>
      </c>
      <c r="S883" s="56" t="n">
        <f aca="false">R883*(B883&gt;=Train_Start)*(B883&lt;=Train_End)</f>
        <v>1</v>
      </c>
      <c r="T883" s="84" t="n">
        <f aca="false">IF(AND(ISNUMBER(O883),ISNUMBER(P883)),Coef_A+Coef_B1*O883+Coef_B2*P883,"")</f>
        <v>23.1763599195824</v>
      </c>
      <c r="U883" s="84" t="n">
        <f aca="false">IF(AND(R883=1,ISNUMBER(T883)),E883-T883,"")</f>
        <v>0.323640080417629</v>
      </c>
      <c r="V883" s="84" t="n">
        <f aca="false">IF(ISNUMBER(T883),T883,-99)</f>
        <v>23.1763599195824</v>
      </c>
      <c r="W883" s="84" t="n">
        <f aca="false">IF(ISNUMBER(U883),ABS(U883),"")</f>
        <v>0.323640080417629</v>
      </c>
    </row>
    <row r="884" customFormat="false" ht="15" hidden="false" customHeight="false" outlineLevel="0" collapsed="false">
      <c r="A884" s="57" t="n">
        <v>30920</v>
      </c>
      <c r="B884" s="56" t="n">
        <v>1984</v>
      </c>
      <c r="C884" s="56" t="n">
        <v>8</v>
      </c>
      <c r="D884" s="56" t="n">
        <v>118</v>
      </c>
      <c r="E884" s="56" t="n">
        <v>26.5</v>
      </c>
      <c r="F884" s="56" t="n">
        <v>0</v>
      </c>
      <c r="G884" s="56" t="n">
        <v>13.3</v>
      </c>
      <c r="H884" s="56" t="n">
        <v>0</v>
      </c>
      <c r="I884" s="56" t="n">
        <v>18.4</v>
      </c>
      <c r="J884" s="56" t="n">
        <v>0</v>
      </c>
      <c r="K884" s="56" t="n">
        <v>1017.7</v>
      </c>
      <c r="L884" s="56" t="n">
        <v>0</v>
      </c>
      <c r="M884" s="56" t="n">
        <v>80</v>
      </c>
      <c r="N884" s="56" t="n">
        <v>5.7</v>
      </c>
      <c r="O884" s="56" t="n">
        <f aca="false">IF(D884=1,"",E883)</f>
        <v>23.5</v>
      </c>
      <c r="P884" s="56" t="n">
        <f aca="false">IF(OR(D884=1,K883=""),"",K883)</f>
        <v>1015.6</v>
      </c>
      <c r="Q884" s="56" t="n">
        <f aca="false">IF(OR(F884&lt;&gt;0,AND(I884&lt;&gt;"",E884&lt;I884)),1,0)</f>
        <v>0</v>
      </c>
      <c r="R884" s="56" t="n">
        <f aca="false">IF(AND(D884&gt;1,Q884=0,ISNUMBER(O884),ISNUMBER(P884)),IF(Q883=0,1,0),0)</f>
        <v>1</v>
      </c>
      <c r="S884" s="56" t="n">
        <f aca="false">R884*(B884&gt;=Train_Start)*(B884&lt;=Train_End)</f>
        <v>1</v>
      </c>
      <c r="T884" s="84" t="n">
        <f aca="false">IF(AND(ISNUMBER(O884),ISNUMBER(P884)),Coef_A+Coef_B1*O884+Coef_B2*P884,"")</f>
        <v>23.2007114487778</v>
      </c>
      <c r="U884" s="84" t="n">
        <f aca="false">IF(AND(R884=1,ISNUMBER(T884)),E884-T884,"")</f>
        <v>3.29928855122222</v>
      </c>
      <c r="V884" s="84" t="n">
        <f aca="false">IF(ISNUMBER(T884),T884,-99)</f>
        <v>23.2007114487778</v>
      </c>
      <c r="W884" s="84" t="n">
        <f aca="false">IF(ISNUMBER(U884),ABS(U884),"")</f>
        <v>3.29928855122222</v>
      </c>
    </row>
    <row r="885" customFormat="false" ht="15" hidden="false" customHeight="false" outlineLevel="0" collapsed="false">
      <c r="A885" s="57" t="n">
        <v>30921</v>
      </c>
      <c r="B885" s="56" t="n">
        <v>1984</v>
      </c>
      <c r="C885" s="56" t="n">
        <v>8</v>
      </c>
      <c r="D885" s="56" t="n">
        <v>119</v>
      </c>
      <c r="E885" s="56" t="n">
        <v>26.2</v>
      </c>
      <c r="F885" s="56" t="n">
        <v>0</v>
      </c>
      <c r="G885" s="56" t="n">
        <v>14.5</v>
      </c>
      <c r="H885" s="56" t="n">
        <v>0</v>
      </c>
      <c r="I885" s="56" t="n">
        <v>20.5</v>
      </c>
      <c r="J885" s="56" t="n">
        <v>0</v>
      </c>
      <c r="K885" s="56" t="n">
        <v>1019.1</v>
      </c>
      <c r="L885" s="56" t="n">
        <v>0</v>
      </c>
      <c r="M885" s="56" t="n">
        <v>74</v>
      </c>
      <c r="N885" s="56" t="n">
        <v>5</v>
      </c>
      <c r="O885" s="56" t="n">
        <f aca="false">IF(D885=1,"",E884)</f>
        <v>26.5</v>
      </c>
      <c r="P885" s="56" t="n">
        <f aca="false">IF(OR(D885=1,K884=""),"",K884)</f>
        <v>1017.7</v>
      </c>
      <c r="Q885" s="56" t="n">
        <f aca="false">IF(OR(F885&lt;&gt;0,AND(I885&lt;&gt;"",E885&lt;I885)),1,0)</f>
        <v>0</v>
      </c>
      <c r="R885" s="56" t="n">
        <f aca="false">IF(AND(D885&gt;1,Q885=0,ISNUMBER(O885),ISNUMBER(P885)),IF(Q884=0,1,0),0)</f>
        <v>1</v>
      </c>
      <c r="S885" s="56" t="n">
        <f aca="false">R885*(B885&gt;=Train_Start)*(B885&lt;=Train_End)</f>
        <v>1</v>
      </c>
      <c r="T885" s="84" t="n">
        <f aca="false">IF(AND(ISNUMBER(O885),ISNUMBER(P885)),Coef_A+Coef_B1*O885+Coef_B2*P885,"")</f>
        <v>25.7246058066371</v>
      </c>
      <c r="U885" s="84" t="n">
        <f aca="false">IF(AND(R885=1,ISNUMBER(T885)),E885-T885,"")</f>
        <v>0.475394193362867</v>
      </c>
      <c r="V885" s="84" t="n">
        <f aca="false">IF(ISNUMBER(T885),T885,-99)</f>
        <v>25.7246058066371</v>
      </c>
      <c r="W885" s="84" t="n">
        <f aca="false">IF(ISNUMBER(U885),ABS(U885),"")</f>
        <v>0.475394193362867</v>
      </c>
    </row>
    <row r="886" customFormat="false" ht="15" hidden="false" customHeight="false" outlineLevel="0" collapsed="false">
      <c r="A886" s="57" t="n">
        <v>30922</v>
      </c>
      <c r="B886" s="56" t="n">
        <v>1984</v>
      </c>
      <c r="C886" s="56" t="n">
        <v>8</v>
      </c>
      <c r="D886" s="56" t="n">
        <v>120</v>
      </c>
      <c r="E886" s="56" t="n">
        <v>26.3</v>
      </c>
      <c r="F886" s="56" t="n">
        <v>0</v>
      </c>
      <c r="G886" s="56" t="n">
        <v>15.2</v>
      </c>
      <c r="H886" s="56" t="n">
        <v>0</v>
      </c>
      <c r="I886" s="56" t="n">
        <v>20.7</v>
      </c>
      <c r="J886" s="56" t="n">
        <v>0</v>
      </c>
      <c r="K886" s="56" t="n">
        <v>1020.2</v>
      </c>
      <c r="L886" s="56" t="n">
        <v>0</v>
      </c>
      <c r="M886" s="56" t="n">
        <v>72</v>
      </c>
      <c r="N886" s="56" t="n">
        <v>7.7</v>
      </c>
      <c r="O886" s="56" t="n">
        <f aca="false">IF(D886=1,"",E885)</f>
        <v>26.2</v>
      </c>
      <c r="P886" s="56" t="n">
        <f aca="false">IF(OR(D886=1,K885=""),"",K885)</f>
        <v>1019.1</v>
      </c>
      <c r="Q886" s="56" t="n">
        <f aca="false">IF(OR(F886&lt;&gt;0,AND(I886&lt;&gt;"",E886&lt;I886)),1,0)</f>
        <v>0</v>
      </c>
      <c r="R886" s="56" t="n">
        <f aca="false">IF(AND(D886&gt;1,Q886=0,ISNUMBER(O886),ISNUMBER(P886)),IF(Q885=0,1,0),0)</f>
        <v>1</v>
      </c>
      <c r="S886" s="56" t="n">
        <f aca="false">R886*(B886&gt;=Train_Start)*(B886&lt;=Train_End)</f>
        <v>1</v>
      </c>
      <c r="T886" s="84" t="n">
        <f aca="false">IF(AND(ISNUMBER(O886),ISNUMBER(P886)),Coef_A+Coef_B1*O886+Coef_B2*P886,"")</f>
        <v>25.5227219012119</v>
      </c>
      <c r="U886" s="84" t="n">
        <f aca="false">IF(AND(R886=1,ISNUMBER(T886)),E886-T886,"")</f>
        <v>0.777278098788088</v>
      </c>
      <c r="V886" s="84" t="n">
        <f aca="false">IF(ISNUMBER(T886),T886,-99)</f>
        <v>25.5227219012119</v>
      </c>
      <c r="W886" s="84" t="n">
        <f aca="false">IF(ISNUMBER(U886),ABS(U886),"")</f>
        <v>0.777278098788088</v>
      </c>
    </row>
    <row r="887" customFormat="false" ht="15" hidden="false" customHeight="false" outlineLevel="0" collapsed="false">
      <c r="A887" s="57" t="n">
        <v>30923</v>
      </c>
      <c r="B887" s="56" t="n">
        <v>1984</v>
      </c>
      <c r="C887" s="56" t="n">
        <v>8</v>
      </c>
      <c r="D887" s="56" t="n">
        <v>121</v>
      </c>
      <c r="E887" s="56" t="n">
        <v>26.9</v>
      </c>
      <c r="F887" s="56" t="n">
        <v>0</v>
      </c>
      <c r="G887" s="56" t="n">
        <v>14.3</v>
      </c>
      <c r="H887" s="56" t="n">
        <v>0</v>
      </c>
      <c r="I887" s="56" t="n">
        <v>20.3</v>
      </c>
      <c r="J887" s="56" t="n">
        <v>0</v>
      </c>
      <c r="K887" s="56" t="n">
        <v>1018.8</v>
      </c>
      <c r="L887" s="56" t="n">
        <v>0</v>
      </c>
      <c r="M887" s="56" t="n">
        <v>65</v>
      </c>
      <c r="N887" s="56" t="n">
        <v>5.3</v>
      </c>
      <c r="O887" s="56" t="n">
        <f aca="false">IF(D887=1,"",E886)</f>
        <v>26.3</v>
      </c>
      <c r="P887" s="56" t="n">
        <f aca="false">IF(OR(D887=1,K886=""),"",K886)</f>
        <v>1020.2</v>
      </c>
      <c r="Q887" s="56" t="n">
        <f aca="false">IF(OR(F887&lt;&gt;0,AND(I887&lt;&gt;"",E887&lt;I887)),1,0)</f>
        <v>0</v>
      </c>
      <c r="R887" s="56" t="n">
        <f aca="false">IF(AND(D887&gt;1,Q887=0,ISNUMBER(O887),ISNUMBER(P887)),IF(Q886=0,1,0),0)</f>
        <v>1</v>
      </c>
      <c r="S887" s="56" t="n">
        <f aca="false">R887*(B887&gt;=Train_Start)*(B887&lt;=Train_End)</f>
        <v>1</v>
      </c>
      <c r="T887" s="84" t="n">
        <f aca="false">IF(AND(ISNUMBER(O887),ISNUMBER(P887)),Coef_A+Coef_B1*O887+Coef_B2*P887,"")</f>
        <v>25.6391627046136</v>
      </c>
      <c r="U887" s="84" t="n">
        <f aca="false">IF(AND(R887=1,ISNUMBER(T887)),E887-T887,"")</f>
        <v>1.26083729538643</v>
      </c>
      <c r="V887" s="84" t="n">
        <f aca="false">IF(ISNUMBER(T887),T887,-99)</f>
        <v>25.6391627046136</v>
      </c>
      <c r="W887" s="84" t="n">
        <f aca="false">IF(ISNUMBER(U887),ABS(U887),"")</f>
        <v>1.26083729538643</v>
      </c>
    </row>
    <row r="888" customFormat="false" ht="15" hidden="false" customHeight="false" outlineLevel="0" collapsed="false">
      <c r="A888" s="57" t="n">
        <v>30924</v>
      </c>
      <c r="B888" s="56" t="n">
        <v>1984</v>
      </c>
      <c r="C888" s="56" t="n">
        <v>8</v>
      </c>
      <c r="D888" s="56" t="n">
        <v>122</v>
      </c>
      <c r="E888" s="56" t="n">
        <v>25</v>
      </c>
      <c r="F888" s="56" t="n">
        <v>0</v>
      </c>
      <c r="G888" s="56" t="n">
        <v>16.8</v>
      </c>
      <c r="H888" s="56" t="n">
        <v>0</v>
      </c>
      <c r="I888" s="56" t="n">
        <v>21.8</v>
      </c>
      <c r="J888" s="56" t="n">
        <v>0</v>
      </c>
      <c r="K888" s="56" t="n">
        <v>1016</v>
      </c>
      <c r="L888" s="56" t="n">
        <v>0</v>
      </c>
      <c r="M888" s="56" t="n">
        <v>73</v>
      </c>
      <c r="N888" s="56" t="n">
        <v>6.9</v>
      </c>
      <c r="O888" s="56" t="n">
        <f aca="false">IF(D888=1,"",E887)</f>
        <v>26.9</v>
      </c>
      <c r="P888" s="56" t="n">
        <f aca="false">IF(OR(D888=1,K887=""),"",K887)</f>
        <v>1018.8</v>
      </c>
      <c r="Q888" s="56" t="n">
        <f aca="false">IF(OR(F888&lt;&gt;0,AND(I888&lt;&gt;"",E888&lt;I888)),1,0)</f>
        <v>0</v>
      </c>
      <c r="R888" s="56" t="n">
        <f aca="false">IF(AND(D888&gt;1,Q888=0,ISNUMBER(O888),ISNUMBER(P888)),IF(Q887=0,1,0),0)</f>
        <v>1</v>
      </c>
      <c r="S888" s="56" t="n">
        <f aca="false">R888*(B888&gt;=Train_Start)*(B888&lt;=Train_End)</f>
        <v>1</v>
      </c>
      <c r="T888" s="84" t="n">
        <f aca="false">IF(AND(ISNUMBER(O888),ISNUMBER(P888)),Coef_A+Coef_B1*O888+Coef_B2*P888,"")</f>
        <v>26.0868483679516</v>
      </c>
      <c r="U888" s="84" t="n">
        <f aca="false">IF(AND(R888=1,ISNUMBER(T888)),E888-T888,"")</f>
        <v>-1.08684836795158</v>
      </c>
      <c r="V888" s="84" t="n">
        <f aca="false">IF(ISNUMBER(T888),T888,-99)</f>
        <v>26.0868483679516</v>
      </c>
      <c r="W888" s="84" t="n">
        <f aca="false">IF(ISNUMBER(U888),ABS(U888),"")</f>
        <v>1.08684836795158</v>
      </c>
    </row>
    <row r="889" customFormat="false" ht="15" hidden="false" customHeight="false" outlineLevel="0" collapsed="false">
      <c r="A889" s="57" t="n">
        <v>30925</v>
      </c>
      <c r="B889" s="56" t="n">
        <v>1984</v>
      </c>
      <c r="C889" s="56" t="n">
        <v>8</v>
      </c>
      <c r="D889" s="56" t="n">
        <v>123</v>
      </c>
      <c r="E889" s="56" t="n">
        <v>24.4</v>
      </c>
      <c r="F889" s="56" t="n">
        <v>0</v>
      </c>
      <c r="G889" s="56" t="n">
        <v>18.2</v>
      </c>
      <c r="H889" s="56" t="n">
        <v>0</v>
      </c>
      <c r="I889" s="56" t="n">
        <v>21.6</v>
      </c>
      <c r="J889" s="56" t="n">
        <v>0</v>
      </c>
      <c r="K889" s="56" t="n">
        <v>1016.6</v>
      </c>
      <c r="L889" s="56" t="n">
        <v>0</v>
      </c>
      <c r="M889" s="56" t="n">
        <v>70</v>
      </c>
      <c r="N889" s="56" t="n">
        <v>6.4</v>
      </c>
      <c r="O889" s="56" t="n">
        <f aca="false">IF(D889=1,"",E888)</f>
        <v>25</v>
      </c>
      <c r="P889" s="56" t="n">
        <f aca="false">IF(OR(D889=1,K888=""),"",K888)</f>
        <v>1016</v>
      </c>
      <c r="Q889" s="56" t="n">
        <f aca="false">IF(OR(F889&lt;&gt;0,AND(I889&lt;&gt;"",E889&lt;I889)),1,0)</f>
        <v>0</v>
      </c>
      <c r="R889" s="56" t="n">
        <f aca="false">IF(AND(D889&gt;1,Q889=0,ISNUMBER(O889),ISNUMBER(P889)),IF(Q888=0,1,0),0)</f>
        <v>1</v>
      </c>
      <c r="S889" s="56" t="n">
        <f aca="false">R889*(B889&gt;=Train_Start)*(B889&lt;=Train_End)</f>
        <v>1</v>
      </c>
      <c r="T889" s="84" t="n">
        <f aca="false">IF(AND(ISNUMBER(O889),ISNUMBER(P889)),Coef_A+Coef_B1*O889+Coef_B2*P889,"")</f>
        <v>24.4422681961954</v>
      </c>
      <c r="U889" s="84" t="n">
        <f aca="false">IF(AND(R889=1,ISNUMBER(T889)),E889-T889,"")</f>
        <v>-0.0422681961953622</v>
      </c>
      <c r="V889" s="84" t="n">
        <f aca="false">IF(ISNUMBER(T889),T889,-99)</f>
        <v>24.4422681961954</v>
      </c>
      <c r="W889" s="84" t="n">
        <f aca="false">IF(ISNUMBER(U889),ABS(U889),"")</f>
        <v>0.0422681961953622</v>
      </c>
    </row>
    <row r="890" customFormat="false" ht="15" hidden="false" customHeight="false" outlineLevel="0" collapsed="false">
      <c r="A890" s="57" t="n">
        <v>30926</v>
      </c>
      <c r="B890" s="56" t="n">
        <v>1984</v>
      </c>
      <c r="C890" s="56" t="n">
        <v>9</v>
      </c>
      <c r="D890" s="56" t="n">
        <v>124</v>
      </c>
      <c r="E890" s="56" t="n">
        <v>25.3</v>
      </c>
      <c r="F890" s="56" t="n">
        <v>0</v>
      </c>
      <c r="G890" s="56" t="n">
        <v>15.9</v>
      </c>
      <c r="H890" s="56" t="n">
        <v>0</v>
      </c>
      <c r="I890" s="56" t="n">
        <v>20.2</v>
      </c>
      <c r="J890" s="56" t="n">
        <v>0</v>
      </c>
      <c r="K890" s="56" t="n">
        <v>1017.2</v>
      </c>
      <c r="L890" s="56" t="n">
        <v>0</v>
      </c>
      <c r="M890" s="56" t="n">
        <v>69</v>
      </c>
      <c r="N890" s="56" t="n">
        <v>4.7</v>
      </c>
      <c r="O890" s="56" t="n">
        <f aca="false">IF(D890=1,"",E889)</f>
        <v>24.4</v>
      </c>
      <c r="P890" s="56" t="n">
        <f aca="false">IF(OR(D890=1,K889=""),"",K889)</f>
        <v>1016.6</v>
      </c>
      <c r="Q890" s="56" t="n">
        <f aca="false">IF(OR(F890&lt;&gt;0,AND(I890&lt;&gt;"",E890&lt;I890)),1,0)</f>
        <v>0</v>
      </c>
      <c r="R890" s="56" t="n">
        <f aca="false">IF(AND(D890&gt;1,Q890=0,ISNUMBER(O890),ISNUMBER(P890)),IF(Q889=0,1,0),0)</f>
        <v>1</v>
      </c>
      <c r="S890" s="56" t="n">
        <f aca="false">R890*(B890&gt;=Train_Start)*(B890&lt;=Train_End)</f>
        <v>1</v>
      </c>
      <c r="T890" s="84" t="n">
        <f aca="false">IF(AND(ISNUMBER(O890),ISNUMBER(P890)),Coef_A+Coef_B1*O890+Coef_B2*P890,"")</f>
        <v>23.9694866171502</v>
      </c>
      <c r="U890" s="84" t="n">
        <f aca="false">IF(AND(R890=1,ISNUMBER(T890)),E890-T890,"")</f>
        <v>1.33051338284984</v>
      </c>
      <c r="V890" s="84" t="n">
        <f aca="false">IF(ISNUMBER(T890),T890,-99)</f>
        <v>23.9694866171502</v>
      </c>
      <c r="W890" s="84" t="n">
        <f aca="false">IF(ISNUMBER(U890),ABS(U890),"")</f>
        <v>1.33051338284984</v>
      </c>
    </row>
    <row r="891" customFormat="false" ht="15" hidden="false" customHeight="false" outlineLevel="0" collapsed="false">
      <c r="A891" s="57" t="n">
        <v>30927</v>
      </c>
      <c r="B891" s="56" t="n">
        <v>1984</v>
      </c>
      <c r="C891" s="56" t="n">
        <v>9</v>
      </c>
      <c r="D891" s="56" t="n">
        <v>125</v>
      </c>
      <c r="E891" s="56" t="n">
        <v>25.4</v>
      </c>
      <c r="F891" s="56" t="n">
        <v>0</v>
      </c>
      <c r="G891" s="56" t="n">
        <v>12.4</v>
      </c>
      <c r="H891" s="56" t="n">
        <v>0</v>
      </c>
      <c r="I891" s="56" t="n">
        <v>18.8</v>
      </c>
      <c r="J891" s="56" t="n">
        <v>0</v>
      </c>
      <c r="K891" s="56" t="n">
        <v>1013.9</v>
      </c>
      <c r="L891" s="56" t="n">
        <v>0</v>
      </c>
      <c r="M891" s="56" t="n">
        <v>72</v>
      </c>
      <c r="N891" s="56" t="n">
        <v>7.1</v>
      </c>
      <c r="O891" s="56" t="n">
        <f aca="false">IF(D891=1,"",E890)</f>
        <v>25.3</v>
      </c>
      <c r="P891" s="56" t="n">
        <f aca="false">IF(OR(D891=1,K890=""),"",K890)</f>
        <v>1017.2</v>
      </c>
      <c r="Q891" s="56" t="n">
        <f aca="false">IF(OR(F891&lt;&gt;0,AND(I891&lt;&gt;"",E891&lt;I891)),1,0)</f>
        <v>0</v>
      </c>
      <c r="R891" s="56" t="n">
        <f aca="false">IF(AND(D891&gt;1,Q891=0,ISNUMBER(O891),ISNUMBER(P891)),IF(Q890=0,1,0),0)</f>
        <v>1</v>
      </c>
      <c r="S891" s="56" t="n">
        <f aca="false">R891*(B891&gt;=Train_Start)*(B891&lt;=Train_End)</f>
        <v>1</v>
      </c>
      <c r="T891" s="84" t="n">
        <f aca="false">IF(AND(ISNUMBER(O891),ISNUMBER(P891)),Coef_A+Coef_B1*O891+Coef_B2*P891,"")</f>
        <v>24.7257138276689</v>
      </c>
      <c r="U891" s="84" t="n">
        <f aca="false">IF(AND(R891=1,ISNUMBER(T891)),E891-T891,"")</f>
        <v>0.674286172331051</v>
      </c>
      <c r="V891" s="84" t="n">
        <f aca="false">IF(ISNUMBER(T891),T891,-99)</f>
        <v>24.7257138276689</v>
      </c>
      <c r="W891" s="84" t="n">
        <f aca="false">IF(ISNUMBER(U891),ABS(U891),"")</f>
        <v>0.674286172331051</v>
      </c>
    </row>
    <row r="892" customFormat="false" ht="15" hidden="false" customHeight="false" outlineLevel="0" collapsed="false">
      <c r="A892" s="57" t="n">
        <v>30928</v>
      </c>
      <c r="B892" s="56" t="n">
        <v>1984</v>
      </c>
      <c r="C892" s="56" t="n">
        <v>9</v>
      </c>
      <c r="D892" s="56" t="n">
        <v>126</v>
      </c>
      <c r="E892" s="56" t="n">
        <v>16.3</v>
      </c>
      <c r="F892" s="56" t="n">
        <v>1</v>
      </c>
      <c r="G892" s="56" t="n">
        <v>16.5</v>
      </c>
      <c r="H892" s="56" t="n">
        <v>1</v>
      </c>
      <c r="I892" s="56" t="n">
        <v>21</v>
      </c>
      <c r="J892" s="56" t="n">
        <v>1</v>
      </c>
      <c r="K892" s="56" t="n">
        <v>1010.3</v>
      </c>
      <c r="L892" s="56" t="n">
        <v>0</v>
      </c>
      <c r="M892" s="56" t="n">
        <v>73</v>
      </c>
      <c r="N892" s="56" t="n">
        <v>7.4</v>
      </c>
      <c r="O892" s="56" t="n">
        <f aca="false">IF(D892=1,"",E891)</f>
        <v>25.4</v>
      </c>
      <c r="P892" s="56" t="n">
        <f aca="false">IF(OR(D892=1,K891=""),"",K891)</f>
        <v>1013.9</v>
      </c>
      <c r="Q892" s="56" t="n">
        <f aca="false">IF(OR(F892&lt;&gt;0,AND(I892&lt;&gt;"",E892&lt;I892)),1,0)</f>
        <v>1</v>
      </c>
      <c r="R892" s="56" t="n">
        <f aca="false">IF(AND(D892&gt;1,Q892=0,ISNUMBER(O892),ISNUMBER(P892)),IF(Q891=0,1,0),0)</f>
        <v>0</v>
      </c>
      <c r="S892" s="56" t="n">
        <f aca="false">R892*(B892&gt;=Train_Start)*(B892&lt;=Train_End)</f>
        <v>0</v>
      </c>
      <c r="T892" s="84" t="n">
        <f aca="false">IF(AND(ISNUMBER(O892),ISNUMBER(P892)),Coef_A+Coef_B1*O892+Coef_B2*P892,"")</f>
        <v>24.704127094681</v>
      </c>
      <c r="U892" s="84" t="str">
        <f aca="false">IF(AND(R892=1,ISNUMBER(T892)),E892-T892,"")</f>
        <v/>
      </c>
      <c r="V892" s="84" t="n">
        <f aca="false">IF(ISNUMBER(T892),T892,-99)</f>
        <v>24.704127094681</v>
      </c>
      <c r="W892" s="84" t="str">
        <f aca="false">IF(ISNUMBER(U892),ABS(U892),"")</f>
        <v/>
      </c>
    </row>
    <row r="893" customFormat="false" ht="15" hidden="false" customHeight="false" outlineLevel="0" collapsed="false">
      <c r="A893" s="57" t="n">
        <v>30929</v>
      </c>
      <c r="B893" s="56" t="n">
        <v>1984</v>
      </c>
      <c r="C893" s="56" t="n">
        <v>9</v>
      </c>
      <c r="D893" s="56" t="n">
        <v>127</v>
      </c>
      <c r="E893" s="56" t="n">
        <v>16.6</v>
      </c>
      <c r="F893" s="56" t="n">
        <v>0</v>
      </c>
      <c r="G893" s="56" t="n">
        <v>14.4</v>
      </c>
      <c r="H893" s="56" t="n">
        <v>0</v>
      </c>
      <c r="I893" s="56" t="n">
        <v>15.4</v>
      </c>
      <c r="J893" s="56" t="n">
        <v>0</v>
      </c>
      <c r="K893" s="56" t="n">
        <v>1007.8</v>
      </c>
      <c r="L893" s="56" t="n">
        <v>0</v>
      </c>
      <c r="M893" s="56" t="n">
        <v>75</v>
      </c>
      <c r="N893" s="56" t="n">
        <v>0.3</v>
      </c>
      <c r="O893" s="56" t="n">
        <f aca="false">IF(D893=1,"",E892)</f>
        <v>16.3</v>
      </c>
      <c r="P893" s="56" t="n">
        <f aca="false">IF(OR(D893=1,K892=""),"",K892)</f>
        <v>1010.3</v>
      </c>
      <c r="Q893" s="56" t="n">
        <f aca="false">IF(OR(F893&lt;&gt;0,AND(I893&lt;&gt;"",E893&lt;I893)),1,0)</f>
        <v>0</v>
      </c>
      <c r="R893" s="56" t="n">
        <f aca="false">IF(AND(D893&gt;1,Q893=0,ISNUMBER(O893),ISNUMBER(P893)),IF(Q892=0,1,0),0)</f>
        <v>0</v>
      </c>
      <c r="S893" s="56" t="n">
        <f aca="false">R893*(B893&gt;=Train_Start)*(B893&lt;=Train_End)</f>
        <v>0</v>
      </c>
      <c r="T893" s="84" t="n">
        <f aca="false">IF(AND(ISNUMBER(O893),ISNUMBER(P893)),Coef_A+Coef_B1*O893+Coef_B2*P893,"")</f>
        <v>17.1352088173105</v>
      </c>
      <c r="U893" s="84" t="str">
        <f aca="false">IF(AND(R893=1,ISNUMBER(T893)),E893-T893,"")</f>
        <v/>
      </c>
      <c r="V893" s="84" t="n">
        <f aca="false">IF(ISNUMBER(T893),T893,-99)</f>
        <v>17.1352088173105</v>
      </c>
      <c r="W893" s="84" t="str">
        <f aca="false">IF(ISNUMBER(U893),ABS(U893),"")</f>
        <v/>
      </c>
    </row>
    <row r="894" customFormat="false" ht="15" hidden="false" customHeight="false" outlineLevel="0" collapsed="false">
      <c r="A894" s="57" t="n">
        <v>30930</v>
      </c>
      <c r="B894" s="56" t="n">
        <v>1984</v>
      </c>
      <c r="C894" s="56" t="n">
        <v>9</v>
      </c>
      <c r="D894" s="56" t="n">
        <v>128</v>
      </c>
      <c r="E894" s="56" t="n">
        <v>17.4</v>
      </c>
      <c r="F894" s="56" t="n">
        <v>0</v>
      </c>
      <c r="G894" s="56" t="n">
        <v>6.7</v>
      </c>
      <c r="H894" s="56" t="n">
        <v>0</v>
      </c>
      <c r="I894" s="56" t="n">
        <v>11.6</v>
      </c>
      <c r="J894" s="56" t="n">
        <v>0</v>
      </c>
      <c r="K894" s="56" t="n">
        <v>1018.9</v>
      </c>
      <c r="L894" s="56" t="n">
        <v>0</v>
      </c>
      <c r="M894" s="56" t="n">
        <v>69</v>
      </c>
      <c r="N894" s="56" t="n">
        <v>6.3</v>
      </c>
      <c r="O894" s="56" t="n">
        <f aca="false">IF(D894=1,"",E893)</f>
        <v>16.6</v>
      </c>
      <c r="P894" s="56" t="n">
        <f aca="false">IF(OR(D894=1,K893=""),"",K893)</f>
        <v>1007.8</v>
      </c>
      <c r="Q894" s="56" t="n">
        <f aca="false">IF(OR(F894&lt;&gt;0,AND(I894&lt;&gt;"",E894&lt;I894)),1,0)</f>
        <v>0</v>
      </c>
      <c r="R894" s="56" t="n">
        <f aca="false">IF(AND(D894&gt;1,Q894=0,ISNUMBER(O894),ISNUMBER(P894)),IF(Q893=0,1,0),0)</f>
        <v>1</v>
      </c>
      <c r="S894" s="56" t="n">
        <f aca="false">R894*(B894&gt;=Train_Start)*(B894&lt;=Train_End)</f>
        <v>1</v>
      </c>
      <c r="T894" s="84" t="n">
        <f aca="false">IF(AND(ISNUMBER(O894),ISNUMBER(P894)),Coef_A+Coef_B1*O894+Coef_B2*P894,"")</f>
        <v>17.3025858386383</v>
      </c>
      <c r="U894" s="84" t="n">
        <f aca="false">IF(AND(R894=1,ISNUMBER(T894)),E894-T894,"")</f>
        <v>0.0974141613616766</v>
      </c>
      <c r="V894" s="84" t="n">
        <f aca="false">IF(ISNUMBER(T894),T894,-99)</f>
        <v>17.3025858386383</v>
      </c>
      <c r="W894" s="84" t="n">
        <f aca="false">IF(ISNUMBER(U894),ABS(U894),"")</f>
        <v>0.0974141613616766</v>
      </c>
    </row>
    <row r="895" customFormat="false" ht="15" hidden="false" customHeight="false" outlineLevel="0" collapsed="false">
      <c r="A895" s="57" t="n">
        <v>30931</v>
      </c>
      <c r="B895" s="56" t="n">
        <v>1984</v>
      </c>
      <c r="C895" s="56" t="n">
        <v>9</v>
      </c>
      <c r="D895" s="56" t="n">
        <v>129</v>
      </c>
      <c r="E895" s="56" t="n">
        <v>16.6</v>
      </c>
      <c r="F895" s="56" t="n">
        <v>0</v>
      </c>
      <c r="G895" s="56" t="n">
        <v>9.7</v>
      </c>
      <c r="H895" s="56" t="n">
        <v>0</v>
      </c>
      <c r="I895" s="56" t="n">
        <v>13.6</v>
      </c>
      <c r="J895" s="56" t="n">
        <v>0</v>
      </c>
      <c r="K895" s="56" t="n">
        <v>1023.4</v>
      </c>
      <c r="L895" s="56" t="n">
        <v>0</v>
      </c>
      <c r="M895" s="56" t="n">
        <v>72</v>
      </c>
      <c r="N895" s="56" t="n">
        <v>0.8</v>
      </c>
      <c r="O895" s="56" t="n">
        <f aca="false">IF(D895=1,"",E894)</f>
        <v>17.4</v>
      </c>
      <c r="P895" s="56" t="n">
        <f aca="false">IF(OR(D895=1,K894=""),"",K894)</f>
        <v>1018.9</v>
      </c>
      <c r="Q895" s="56" t="n">
        <f aca="false">IF(OR(F895&lt;&gt;0,AND(I895&lt;&gt;"",E895&lt;I895)),1,0)</f>
        <v>0</v>
      </c>
      <c r="R895" s="56" t="n">
        <f aca="false">IF(AND(D895&gt;1,Q895=0,ISNUMBER(O895),ISNUMBER(P895)),IF(Q894=0,1,0),0)</f>
        <v>1</v>
      </c>
      <c r="S895" s="56" t="n">
        <f aca="false">R895*(B895&gt;=Train_Start)*(B895&lt;=Train_End)</f>
        <v>1</v>
      </c>
      <c r="T895" s="84" t="n">
        <f aca="false">IF(AND(ISNUMBER(O895),ISNUMBER(P895)),Coef_A+Coef_B1*O895+Coef_B2*P895,"")</f>
        <v>18.3062630235097</v>
      </c>
      <c r="U895" s="84" t="n">
        <f aca="false">IF(AND(R895=1,ISNUMBER(T895)),E895-T895,"")</f>
        <v>-1.70626302350973</v>
      </c>
      <c r="V895" s="84" t="n">
        <f aca="false">IF(ISNUMBER(T895),T895,-99)</f>
        <v>18.3062630235097</v>
      </c>
      <c r="W895" s="84" t="n">
        <f aca="false">IF(ISNUMBER(U895),ABS(U895),"")</f>
        <v>1.70626302350973</v>
      </c>
    </row>
    <row r="896" customFormat="false" ht="15" hidden="false" customHeight="false" outlineLevel="0" collapsed="false">
      <c r="A896" s="57" t="n">
        <v>30932</v>
      </c>
      <c r="B896" s="56" t="n">
        <v>1984</v>
      </c>
      <c r="C896" s="56" t="n">
        <v>9</v>
      </c>
      <c r="D896" s="56" t="n">
        <v>130</v>
      </c>
      <c r="E896" s="56" t="n">
        <v>19.4</v>
      </c>
      <c r="F896" s="56" t="n">
        <v>0</v>
      </c>
      <c r="G896" s="56" t="n">
        <v>9</v>
      </c>
      <c r="H896" s="56" t="n">
        <v>0</v>
      </c>
      <c r="I896" s="56" t="n">
        <v>12.8</v>
      </c>
      <c r="J896" s="56" t="n">
        <v>0</v>
      </c>
      <c r="K896" s="56" t="n">
        <v>1021.7</v>
      </c>
      <c r="L896" s="56" t="n">
        <v>0</v>
      </c>
      <c r="M896" s="56" t="n">
        <v>71</v>
      </c>
      <c r="N896" s="56" t="n">
        <v>1.3</v>
      </c>
      <c r="O896" s="56" t="n">
        <f aca="false">IF(D896=1,"",E895)</f>
        <v>16.6</v>
      </c>
      <c r="P896" s="56" t="n">
        <f aca="false">IF(OR(D896=1,K895=""),"",K895)</f>
        <v>1023.4</v>
      </c>
      <c r="Q896" s="56" t="n">
        <f aca="false">IF(OR(F896&lt;&gt;0,AND(I896&lt;&gt;"",E896&lt;I896)),1,0)</f>
        <v>0</v>
      </c>
      <c r="R896" s="56" t="n">
        <f aca="false">IF(AND(D896&gt;1,Q896=0,ISNUMBER(O896),ISNUMBER(P896)),IF(Q895=0,1,0),0)</f>
        <v>1</v>
      </c>
      <c r="S896" s="56" t="n">
        <f aca="false">R896*(B896&gt;=Train_Start)*(B896&lt;=Train_End)</f>
        <v>1</v>
      </c>
      <c r="T896" s="84" t="n">
        <f aca="false">IF(AND(ISNUMBER(O896),ISNUMBER(P896)),Coef_A+Coef_B1*O896+Coef_B2*P896,"")</f>
        <v>17.7919561949286</v>
      </c>
      <c r="U896" s="84" t="n">
        <f aca="false">IF(AND(R896=1,ISNUMBER(T896)),E896-T896,"")</f>
        <v>1.60804380507144</v>
      </c>
      <c r="V896" s="84" t="n">
        <f aca="false">IF(ISNUMBER(T896),T896,-99)</f>
        <v>17.7919561949286</v>
      </c>
      <c r="W896" s="84" t="n">
        <f aca="false">IF(ISNUMBER(U896),ABS(U896),"")</f>
        <v>1.60804380507144</v>
      </c>
    </row>
    <row r="897" customFormat="false" ht="15" hidden="false" customHeight="false" outlineLevel="0" collapsed="false">
      <c r="A897" s="57" t="n">
        <v>30933</v>
      </c>
      <c r="B897" s="56" t="n">
        <v>1984</v>
      </c>
      <c r="C897" s="56" t="n">
        <v>9</v>
      </c>
      <c r="D897" s="56" t="n">
        <v>131</v>
      </c>
      <c r="E897" s="56" t="n">
        <v>21.2</v>
      </c>
      <c r="F897" s="56" t="n">
        <v>0</v>
      </c>
      <c r="G897" s="56" t="n">
        <v>9.2</v>
      </c>
      <c r="H897" s="56" t="n">
        <v>0</v>
      </c>
      <c r="I897" s="56" t="n">
        <v>14.3</v>
      </c>
      <c r="J897" s="56" t="n">
        <v>0</v>
      </c>
      <c r="K897" s="56" t="n">
        <v>1015.8</v>
      </c>
      <c r="L897" s="56" t="n">
        <v>0</v>
      </c>
      <c r="M897" s="56" t="n">
        <v>69</v>
      </c>
      <c r="N897" s="56" t="n">
        <v>1.8</v>
      </c>
      <c r="O897" s="56" t="n">
        <f aca="false">IF(D897=1,"",E896)</f>
        <v>19.4</v>
      </c>
      <c r="P897" s="56" t="n">
        <f aca="false">IF(OR(D897=1,K896=""),"",K896)</f>
        <v>1021.7</v>
      </c>
      <c r="Q897" s="56" t="n">
        <f aca="false">IF(OR(F897&lt;&gt;0,AND(I897&lt;&gt;"",E897&lt;I897)),1,0)</f>
        <v>0</v>
      </c>
      <c r="R897" s="56" t="n">
        <f aca="false">IF(AND(D897&gt;1,Q897=0,ISNUMBER(O897),ISNUMBER(P897)),IF(Q896=0,1,0),0)</f>
        <v>1</v>
      </c>
      <c r="S897" s="56" t="n">
        <f aca="false">R897*(B897&gt;=Train_Start)*(B897&lt;=Train_End)</f>
        <v>1</v>
      </c>
      <c r="T897" s="84" t="n">
        <f aca="false">IF(AND(ISNUMBER(O897),ISNUMBER(P897)),Coef_A+Coef_B1*O897+Coef_B2*P897,"")</f>
        <v>20.0327771145702</v>
      </c>
      <c r="U897" s="84" t="n">
        <f aca="false">IF(AND(R897=1,ISNUMBER(T897)),E897-T897,"")</f>
        <v>1.16722288542978</v>
      </c>
      <c r="V897" s="84" t="n">
        <f aca="false">IF(ISNUMBER(T897),T897,-99)</f>
        <v>20.0327771145702</v>
      </c>
      <c r="W897" s="84" t="n">
        <f aca="false">IF(ISNUMBER(U897),ABS(U897),"")</f>
        <v>1.16722288542978</v>
      </c>
    </row>
    <row r="898" customFormat="false" ht="15" hidden="false" customHeight="false" outlineLevel="0" collapsed="false">
      <c r="A898" s="57" t="n">
        <v>30934</v>
      </c>
      <c r="B898" s="56" t="n">
        <v>1984</v>
      </c>
      <c r="C898" s="56" t="n">
        <v>9</v>
      </c>
      <c r="D898" s="56" t="n">
        <v>132</v>
      </c>
      <c r="E898" s="56" t="n">
        <v>16.8</v>
      </c>
      <c r="F898" s="56" t="n">
        <v>1</v>
      </c>
      <c r="G898" s="56" t="n">
        <v>13.5</v>
      </c>
      <c r="H898" s="56" t="n">
        <v>0</v>
      </c>
      <c r="I898" s="56" t="n">
        <v>17.4</v>
      </c>
      <c r="J898" s="56" t="n">
        <v>1</v>
      </c>
      <c r="K898" s="56" t="n">
        <v>1001.3</v>
      </c>
      <c r="L898" s="56" t="n">
        <v>0</v>
      </c>
      <c r="M898" s="56" t="n">
        <v>73</v>
      </c>
      <c r="N898" s="56" t="n">
        <v>3.9</v>
      </c>
      <c r="O898" s="56" t="n">
        <f aca="false">IF(D898=1,"",E897)</f>
        <v>21.2</v>
      </c>
      <c r="P898" s="56" t="n">
        <f aca="false">IF(OR(D898=1,K897=""),"",K897)</f>
        <v>1015.8</v>
      </c>
      <c r="Q898" s="56" t="n">
        <f aca="false">IF(OR(F898&lt;&gt;0,AND(I898&lt;&gt;"",E898&lt;I898)),1,0)</f>
        <v>1</v>
      </c>
      <c r="R898" s="56" t="n">
        <f aca="false">IF(AND(D898&gt;1,Q898=0,ISNUMBER(O898),ISNUMBER(P898)),IF(Q897=0,1,0),0)</f>
        <v>0</v>
      </c>
      <c r="S898" s="56" t="n">
        <f aca="false">R898*(B898&gt;=Train_Start)*(B898&lt;=Train_End)</f>
        <v>0</v>
      </c>
      <c r="T898" s="84" t="n">
        <f aca="false">IF(AND(ISNUMBER(O898),ISNUMBER(P898)),Coef_A+Coef_B1*O898+Coef_B2*P898,"")</f>
        <v>21.3225052837065</v>
      </c>
      <c r="U898" s="84" t="str">
        <f aca="false">IF(AND(R898=1,ISNUMBER(T898)),E898-T898,"")</f>
        <v/>
      </c>
      <c r="V898" s="84" t="n">
        <f aca="false">IF(ISNUMBER(T898),T898,-99)</f>
        <v>21.3225052837065</v>
      </c>
      <c r="W898" s="84" t="str">
        <f aca="false">IF(ISNUMBER(U898),ABS(U898),"")</f>
        <v/>
      </c>
    </row>
    <row r="899" customFormat="false" ht="15" hidden="false" customHeight="false" outlineLevel="0" collapsed="false">
      <c r="A899" s="57" t="n">
        <v>30935</v>
      </c>
      <c r="B899" s="56" t="n">
        <v>1984</v>
      </c>
      <c r="C899" s="56" t="n">
        <v>9</v>
      </c>
      <c r="D899" s="56" t="n">
        <v>133</v>
      </c>
      <c r="E899" s="56" t="n">
        <v>22.1</v>
      </c>
      <c r="F899" s="56" t="n">
        <v>0</v>
      </c>
      <c r="G899" s="56" t="n">
        <v>10.3</v>
      </c>
      <c r="H899" s="56" t="n">
        <v>0</v>
      </c>
      <c r="I899" s="56" t="n">
        <v>13.6</v>
      </c>
      <c r="J899" s="56" t="n">
        <v>0</v>
      </c>
      <c r="K899" s="56" t="n">
        <v>1008.6</v>
      </c>
      <c r="L899" s="56" t="n">
        <v>0</v>
      </c>
      <c r="M899" s="56" t="n">
        <v>69</v>
      </c>
      <c r="N899" s="56" t="n">
        <v>0.8</v>
      </c>
      <c r="O899" s="56" t="n">
        <f aca="false">IF(D899=1,"",E898)</f>
        <v>16.8</v>
      </c>
      <c r="P899" s="56" t="n">
        <f aca="false">IF(OR(D899=1,K898=""),"",K898)</f>
        <v>1001.3</v>
      </c>
      <c r="Q899" s="56" t="n">
        <f aca="false">IF(OR(F899&lt;&gt;0,AND(I899&lt;&gt;"",E899&lt;I899)),1,0)</f>
        <v>0</v>
      </c>
      <c r="R899" s="56" t="n">
        <f aca="false">IF(AND(D899&gt;1,Q899=0,ISNUMBER(O899),ISNUMBER(P899)),IF(Q898=0,1,0),0)</f>
        <v>0</v>
      </c>
      <c r="S899" s="56" t="n">
        <f aca="false">R899*(B899&gt;=Train_Start)*(B899&lt;=Train_End)</f>
        <v>0</v>
      </c>
      <c r="T899" s="84" t="n">
        <f aca="false">IF(AND(ISNUMBER(O899),ISNUMBER(P899)),Coef_A+Coef_B1*O899+Coef_B2*P899,"")</f>
        <v>17.2625493621259</v>
      </c>
      <c r="U899" s="84" t="str">
        <f aca="false">IF(AND(R899=1,ISNUMBER(T899)),E899-T899,"")</f>
        <v/>
      </c>
      <c r="V899" s="84" t="n">
        <f aca="false">IF(ISNUMBER(T899),T899,-99)</f>
        <v>17.2625493621259</v>
      </c>
      <c r="W899" s="84" t="str">
        <f aca="false">IF(ISNUMBER(U899),ABS(U899),"")</f>
        <v/>
      </c>
    </row>
    <row r="900" customFormat="false" ht="15" hidden="false" customHeight="false" outlineLevel="0" collapsed="false">
      <c r="A900" s="57" t="n">
        <v>30936</v>
      </c>
      <c r="B900" s="56" t="n">
        <v>1984</v>
      </c>
      <c r="C900" s="56" t="n">
        <v>9</v>
      </c>
      <c r="D900" s="56" t="n">
        <v>134</v>
      </c>
      <c r="E900" s="56" t="n">
        <v>22.4</v>
      </c>
      <c r="F900" s="56" t="n">
        <v>0</v>
      </c>
      <c r="G900" s="56" t="n">
        <v>10.2</v>
      </c>
      <c r="H900" s="56" t="n">
        <v>0</v>
      </c>
      <c r="I900" s="56" t="n">
        <v>16.2</v>
      </c>
      <c r="J900" s="56" t="n">
        <v>0</v>
      </c>
      <c r="K900" s="56" t="n">
        <v>1013.3</v>
      </c>
      <c r="L900" s="56" t="n">
        <v>0</v>
      </c>
      <c r="M900" s="56" t="n">
        <v>74</v>
      </c>
      <c r="N900" s="56" t="n">
        <v>1.5</v>
      </c>
      <c r="O900" s="56" t="n">
        <f aca="false">IF(D900=1,"",E899)</f>
        <v>22.1</v>
      </c>
      <c r="P900" s="56" t="n">
        <f aca="false">IF(OR(D900=1,K899=""),"",K899)</f>
        <v>1008.6</v>
      </c>
      <c r="Q900" s="56" t="n">
        <f aca="false">IF(OR(F900&lt;&gt;0,AND(I900&lt;&gt;"",E900&lt;I900)),1,0)</f>
        <v>0</v>
      </c>
      <c r="R900" s="56" t="n">
        <f aca="false">IF(AND(D900&gt;1,Q900=0,ISNUMBER(O900),ISNUMBER(P900)),IF(Q899=0,1,0),0)</f>
        <v>1</v>
      </c>
      <c r="S900" s="56" t="n">
        <f aca="false">R900*(B900&gt;=Train_Start)*(B900&lt;=Train_End)</f>
        <v>1</v>
      </c>
      <c r="T900" s="84" t="n">
        <f aca="false">IF(AND(ISNUMBER(O900),ISNUMBER(P900)),Coef_A+Coef_B1*O900+Coef_B2*P900,"")</f>
        <v>21.8340473160801</v>
      </c>
      <c r="U900" s="84" t="n">
        <f aca="false">IF(AND(R900=1,ISNUMBER(T900)),E900-T900,"")</f>
        <v>0.565952683919864</v>
      </c>
      <c r="V900" s="84" t="n">
        <f aca="false">IF(ISNUMBER(T900),T900,-99)</f>
        <v>21.8340473160801</v>
      </c>
      <c r="W900" s="84" t="n">
        <f aca="false">IF(ISNUMBER(U900),ABS(U900),"")</f>
        <v>0.565952683919864</v>
      </c>
    </row>
    <row r="901" customFormat="false" ht="15" hidden="false" customHeight="false" outlineLevel="0" collapsed="false">
      <c r="A901" s="57" t="n">
        <v>30937</v>
      </c>
      <c r="B901" s="56" t="n">
        <v>1984</v>
      </c>
      <c r="C901" s="56" t="n">
        <v>9</v>
      </c>
      <c r="D901" s="56" t="n">
        <v>135</v>
      </c>
      <c r="E901" s="56" t="n">
        <v>21.5</v>
      </c>
      <c r="F901" s="56" t="n">
        <v>0</v>
      </c>
      <c r="G901" s="56" t="n">
        <v>11.7</v>
      </c>
      <c r="H901" s="56" t="n">
        <v>0</v>
      </c>
      <c r="I901" s="56" t="n">
        <v>17</v>
      </c>
      <c r="J901" s="56" t="n">
        <v>0</v>
      </c>
      <c r="K901" s="56" t="n">
        <v>1018.1</v>
      </c>
      <c r="L901" s="56" t="n">
        <v>0</v>
      </c>
      <c r="M901" s="56" t="n">
        <v>78</v>
      </c>
      <c r="N901" s="56" t="n">
        <v>1.6</v>
      </c>
      <c r="O901" s="56" t="n">
        <f aca="false">IF(D901=1,"",E900)</f>
        <v>22.4</v>
      </c>
      <c r="P901" s="56" t="n">
        <f aca="false">IF(OR(D901=1,K900=""),"",K900)</f>
        <v>1013.3</v>
      </c>
      <c r="Q901" s="56" t="n">
        <f aca="false">IF(OR(F901&lt;&gt;0,AND(I901&lt;&gt;"",E901&lt;I901)),1,0)</f>
        <v>0</v>
      </c>
      <c r="R901" s="56" t="n">
        <f aca="false">IF(AND(D901&gt;1,Q901=0,ISNUMBER(O901),ISNUMBER(P901)),IF(Q900=0,1,0),0)</f>
        <v>1</v>
      </c>
      <c r="S901" s="56" t="n">
        <f aca="false">R901*(B901&gt;=Train_Start)*(B901&lt;=Train_End)</f>
        <v>1</v>
      </c>
      <c r="T901" s="84" t="n">
        <f aca="false">IF(AND(ISNUMBER(O901),ISNUMBER(P901)),Coef_A+Coef_B1*O901+Coef_B2*P901,"")</f>
        <v>22.2272875787727</v>
      </c>
      <c r="U901" s="84" t="n">
        <f aca="false">IF(AND(R901=1,ISNUMBER(T901)),E901-T901,"")</f>
        <v>-0.727287578772675</v>
      </c>
      <c r="V901" s="84" t="n">
        <f aca="false">IF(ISNUMBER(T901),T901,-99)</f>
        <v>22.2272875787727</v>
      </c>
      <c r="W901" s="84" t="n">
        <f aca="false">IF(ISNUMBER(U901),ABS(U901),"")</f>
        <v>0.727287578772675</v>
      </c>
    </row>
    <row r="902" customFormat="false" ht="15" hidden="false" customHeight="false" outlineLevel="0" collapsed="false">
      <c r="A902" s="57" t="n">
        <v>30938</v>
      </c>
      <c r="B902" s="56" t="n">
        <v>1984</v>
      </c>
      <c r="C902" s="56" t="n">
        <v>9</v>
      </c>
      <c r="D902" s="56" t="n">
        <v>136</v>
      </c>
      <c r="E902" s="56" t="n">
        <v>19</v>
      </c>
      <c r="F902" s="56" t="n">
        <v>0</v>
      </c>
      <c r="G902" s="56" t="n">
        <v>12.6</v>
      </c>
      <c r="H902" s="56" t="n">
        <v>0</v>
      </c>
      <c r="I902" s="56" t="n">
        <v>17</v>
      </c>
      <c r="J902" s="56" t="n">
        <v>0</v>
      </c>
      <c r="K902" s="56" t="n">
        <v>1015.7</v>
      </c>
      <c r="L902" s="56" t="n">
        <v>0</v>
      </c>
      <c r="M902" s="56" t="n">
        <v>79</v>
      </c>
      <c r="N902" s="56" t="n">
        <v>2.5</v>
      </c>
      <c r="O902" s="56" t="n">
        <f aca="false">IF(D902=1,"",E901)</f>
        <v>21.5</v>
      </c>
      <c r="P902" s="56" t="n">
        <f aca="false">IF(OR(D902=1,K901=""),"",K901)</f>
        <v>1018.1</v>
      </c>
      <c r="Q902" s="56" t="n">
        <f aca="false">IF(OR(F902&lt;&gt;0,AND(I902&lt;&gt;"",E902&lt;I902)),1,0)</f>
        <v>0</v>
      </c>
      <c r="R902" s="56" t="n">
        <f aca="false">IF(AND(D902&gt;1,Q902=0,ISNUMBER(O902),ISNUMBER(P902)),IF(Q901=0,1,0),0)</f>
        <v>1</v>
      </c>
      <c r="S902" s="56" t="n">
        <f aca="false">R902*(B902&gt;=Train_Start)*(B902&lt;=Train_End)</f>
        <v>1</v>
      </c>
      <c r="T902" s="84" t="n">
        <f aca="false">IF(AND(ISNUMBER(O902),ISNUMBER(P902)),Coef_A+Coef_B1*O902+Coef_B2*P902,"")</f>
        <v>21.6404577992774</v>
      </c>
      <c r="U902" s="84" t="n">
        <f aca="false">IF(AND(R902=1,ISNUMBER(T902)),E902-T902,"")</f>
        <v>-2.64045779927744</v>
      </c>
      <c r="V902" s="84" t="n">
        <f aca="false">IF(ISNUMBER(T902),T902,-99)</f>
        <v>21.6404577992774</v>
      </c>
      <c r="W902" s="84" t="n">
        <f aca="false">IF(ISNUMBER(U902),ABS(U902),"")</f>
        <v>2.64045779927744</v>
      </c>
    </row>
    <row r="903" customFormat="false" ht="15" hidden="false" customHeight="false" outlineLevel="0" collapsed="false">
      <c r="A903" s="57" t="n">
        <v>30939</v>
      </c>
      <c r="B903" s="56" t="n">
        <v>1984</v>
      </c>
      <c r="C903" s="56" t="n">
        <v>9</v>
      </c>
      <c r="D903" s="56" t="n">
        <v>137</v>
      </c>
      <c r="E903" s="56" t="n">
        <v>17.2</v>
      </c>
      <c r="F903" s="56" t="n">
        <v>0</v>
      </c>
      <c r="G903" s="56" t="n">
        <v>14.4</v>
      </c>
      <c r="H903" s="56" t="n">
        <v>0</v>
      </c>
      <c r="I903" s="56" t="n">
        <v>16.7</v>
      </c>
      <c r="J903" s="56" t="n">
        <v>0</v>
      </c>
      <c r="K903" s="56" t="n">
        <v>1009.9</v>
      </c>
      <c r="L903" s="56" t="n">
        <v>0</v>
      </c>
      <c r="M903" s="56" t="n">
        <v>87</v>
      </c>
      <c r="N903" s="56" t="n">
        <v>2.8</v>
      </c>
      <c r="O903" s="56" t="n">
        <f aca="false">IF(D903=1,"",E902)</f>
        <v>19</v>
      </c>
      <c r="P903" s="56" t="n">
        <f aca="false">IF(OR(D903=1,K902=""),"",K902)</f>
        <v>1015.7</v>
      </c>
      <c r="Q903" s="56" t="n">
        <f aca="false">IF(OR(F903&lt;&gt;0,AND(I903&lt;&gt;"",E903&lt;I903)),1,0)</f>
        <v>0</v>
      </c>
      <c r="R903" s="56" t="n">
        <f aca="false">IF(AND(D903&gt;1,Q903=0,ISNUMBER(O903),ISNUMBER(P903)),IF(Q902=0,1,0),0)</f>
        <v>1</v>
      </c>
      <c r="S903" s="56" t="n">
        <f aca="false">R903*(B903&gt;=Train_Start)*(B903&lt;=Train_End)</f>
        <v>1</v>
      </c>
      <c r="T903" s="84" t="n">
        <f aca="false">IF(AND(ISNUMBER(O903),ISNUMBER(P903)),Coef_A+Coef_B1*O903+Coef_B2*P903,"")</f>
        <v>19.5168220695492</v>
      </c>
      <c r="U903" s="84" t="n">
        <f aca="false">IF(AND(R903=1,ISNUMBER(T903)),E903-T903,"")</f>
        <v>-2.31682206954922</v>
      </c>
      <c r="V903" s="84" t="n">
        <f aca="false">IF(ISNUMBER(T903),T903,-99)</f>
        <v>19.5168220695492</v>
      </c>
      <c r="W903" s="84" t="n">
        <f aca="false">IF(ISNUMBER(U903),ABS(U903),"")</f>
        <v>2.31682206954922</v>
      </c>
    </row>
    <row r="904" customFormat="false" ht="15" hidden="false" customHeight="false" outlineLevel="0" collapsed="false">
      <c r="A904" s="57" t="n">
        <v>30940</v>
      </c>
      <c r="B904" s="56" t="n">
        <v>1984</v>
      </c>
      <c r="C904" s="56" t="n">
        <v>9</v>
      </c>
      <c r="D904" s="56" t="n">
        <v>138</v>
      </c>
      <c r="E904" s="56" t="n">
        <v>18.6</v>
      </c>
      <c r="F904" s="56" t="n">
        <v>0</v>
      </c>
      <c r="G904" s="56" t="n">
        <v>13.1</v>
      </c>
      <c r="H904" s="56" t="n">
        <v>0</v>
      </c>
      <c r="I904" s="56" t="n">
        <v>15.2</v>
      </c>
      <c r="J904" s="56" t="n">
        <v>0</v>
      </c>
      <c r="K904" s="56" t="n">
        <v>1015.9</v>
      </c>
      <c r="L904" s="56" t="n">
        <v>0</v>
      </c>
      <c r="M904" s="56" t="n">
        <v>77</v>
      </c>
      <c r="N904" s="56" t="n">
        <v>2.9</v>
      </c>
      <c r="O904" s="56" t="n">
        <f aca="false">IF(D904=1,"",E903)</f>
        <v>17.2</v>
      </c>
      <c r="P904" s="56" t="n">
        <f aca="false">IF(OR(D904=1,K903=""),"",K903)</f>
        <v>1009.9</v>
      </c>
      <c r="Q904" s="56" t="n">
        <f aca="false">IF(OR(F904&lt;&gt;0,AND(I904&lt;&gt;"",E904&lt;I904)),1,0)</f>
        <v>0</v>
      </c>
      <c r="R904" s="56" t="n">
        <f aca="false">IF(AND(D904&gt;1,Q904=0,ISNUMBER(O904),ISNUMBER(P904)),IF(Q903=0,1,0),0)</f>
        <v>1</v>
      </c>
      <c r="S904" s="56" t="n">
        <f aca="false">R904*(B904&gt;=Train_Start)*(B904&lt;=Train_End)</f>
        <v>1</v>
      </c>
      <c r="T904" s="84" t="n">
        <f aca="false">IF(AND(ISNUMBER(O904),ISNUMBER(P904)),Coef_A+Coef_B1*O904+Coef_B2*P904,"")</f>
        <v>17.8600661331953</v>
      </c>
      <c r="U904" s="84" t="n">
        <f aca="false">IF(AND(R904=1,ISNUMBER(T904)),E904-T904,"")</f>
        <v>0.739933866804709</v>
      </c>
      <c r="V904" s="84" t="n">
        <f aca="false">IF(ISNUMBER(T904),T904,-99)</f>
        <v>17.8600661331953</v>
      </c>
      <c r="W904" s="84" t="n">
        <f aca="false">IF(ISNUMBER(U904),ABS(U904),"")</f>
        <v>0.739933866804709</v>
      </c>
    </row>
    <row r="905" customFormat="false" ht="15" hidden="false" customHeight="false" outlineLevel="0" collapsed="false">
      <c r="A905" s="57" t="n">
        <v>30941</v>
      </c>
      <c r="B905" s="56" t="n">
        <v>1984</v>
      </c>
      <c r="C905" s="56" t="n">
        <v>9</v>
      </c>
      <c r="D905" s="56" t="n">
        <v>139</v>
      </c>
      <c r="E905" s="56" t="n">
        <v>16</v>
      </c>
      <c r="F905" s="56" t="n">
        <v>0</v>
      </c>
      <c r="G905" s="56" t="n">
        <v>13.4</v>
      </c>
      <c r="H905" s="56" t="n">
        <v>0</v>
      </c>
      <c r="I905" s="56" t="n">
        <v>16</v>
      </c>
      <c r="J905" s="56" t="n">
        <v>0</v>
      </c>
      <c r="K905" s="56" t="n">
        <v>1017.8</v>
      </c>
      <c r="L905" s="56" t="n">
        <v>0</v>
      </c>
      <c r="M905" s="56" t="n">
        <v>82</v>
      </c>
      <c r="N905" s="56" t="n">
        <v>0</v>
      </c>
      <c r="O905" s="56" t="n">
        <f aca="false">IF(D905=1,"",E904)</f>
        <v>18.6</v>
      </c>
      <c r="P905" s="56" t="n">
        <f aca="false">IF(OR(D905=1,K904=""),"",K904)</f>
        <v>1015.9</v>
      </c>
      <c r="Q905" s="56" t="n">
        <f aca="false">IF(OR(F905&lt;&gt;0,AND(I905&lt;&gt;"",E905&lt;I905)),1,0)</f>
        <v>0</v>
      </c>
      <c r="R905" s="56" t="n">
        <f aca="false">IF(AND(D905&gt;1,Q905=0,ISNUMBER(O905),ISNUMBER(P905)),IF(Q904=0,1,0),0)</f>
        <v>1</v>
      </c>
      <c r="S905" s="56" t="n">
        <f aca="false">R905*(B905&gt;=Train_Start)*(B905&lt;=Train_End)</f>
        <v>1</v>
      </c>
      <c r="T905" s="84" t="n">
        <f aca="false">IF(AND(ISNUMBER(O905),ISNUMBER(P905)),Coef_A+Coef_B1*O905+Coef_B2*P905,"")</f>
        <v>19.195360371259</v>
      </c>
      <c r="U905" s="84" t="n">
        <f aca="false">IF(AND(R905=1,ISNUMBER(T905)),E905-T905,"")</f>
        <v>-3.19536037125895</v>
      </c>
      <c r="V905" s="84" t="n">
        <f aca="false">IF(ISNUMBER(T905),T905,-99)</f>
        <v>19.195360371259</v>
      </c>
      <c r="W905" s="84" t="n">
        <f aca="false">IF(ISNUMBER(U905),ABS(U905),"")</f>
        <v>3.19536037125895</v>
      </c>
    </row>
    <row r="906" customFormat="false" ht="15" hidden="false" customHeight="false" outlineLevel="0" collapsed="false">
      <c r="A906" s="57" t="n">
        <v>30942</v>
      </c>
      <c r="B906" s="56" t="n">
        <v>1984</v>
      </c>
      <c r="C906" s="56" t="n">
        <v>9</v>
      </c>
      <c r="D906" s="56" t="n">
        <v>140</v>
      </c>
      <c r="E906" s="56" t="n">
        <v>18.1</v>
      </c>
      <c r="F906" s="56" t="n">
        <v>0</v>
      </c>
      <c r="G906" s="56" t="n">
        <v>13</v>
      </c>
      <c r="H906" s="56" t="n">
        <v>0</v>
      </c>
      <c r="I906" s="56" t="n">
        <v>14.5</v>
      </c>
      <c r="J906" s="56" t="n">
        <v>0</v>
      </c>
      <c r="K906" s="56" t="n">
        <v>1009</v>
      </c>
      <c r="L906" s="56" t="n">
        <v>0</v>
      </c>
      <c r="M906" s="56" t="n">
        <v>88</v>
      </c>
      <c r="N906" s="56" t="n">
        <v>0.1</v>
      </c>
      <c r="O906" s="56" t="n">
        <f aca="false">IF(D906=1,"",E905)</f>
        <v>16</v>
      </c>
      <c r="P906" s="56" t="n">
        <f aca="false">IF(OR(D906=1,K905=""),"",K905)</f>
        <v>1017.8</v>
      </c>
      <c r="Q906" s="56" t="n">
        <f aca="false">IF(OR(F906&lt;&gt;0,AND(I906&lt;&gt;"",E906&lt;I906)),1,0)</f>
        <v>0</v>
      </c>
      <c r="R906" s="56" t="n">
        <f aca="false">IF(AND(D906&gt;1,Q906=0,ISNUMBER(O906),ISNUMBER(P906)),IF(Q905=0,1,0),0)</f>
        <v>1</v>
      </c>
      <c r="S906" s="56" t="n">
        <f aca="false">R906*(B906&gt;=Train_Start)*(B906&lt;=Train_End)</f>
        <v>1</v>
      </c>
      <c r="T906" s="84" t="n">
        <f aca="false">IF(AND(ISNUMBER(O906),ISNUMBER(P906)),Coef_A+Coef_B1*O906+Coef_B2*P906,"")</f>
        <v>17.1246812691526</v>
      </c>
      <c r="U906" s="84" t="n">
        <f aca="false">IF(AND(R906=1,ISNUMBER(T906)),E906-T906,"")</f>
        <v>0.975318730847377</v>
      </c>
      <c r="V906" s="84" t="n">
        <f aca="false">IF(ISNUMBER(T906),T906,-99)</f>
        <v>17.1246812691526</v>
      </c>
      <c r="W906" s="84" t="n">
        <f aca="false">IF(ISNUMBER(U906),ABS(U906),"")</f>
        <v>0.975318730847377</v>
      </c>
    </row>
    <row r="907" customFormat="false" ht="15" hidden="false" customHeight="false" outlineLevel="0" collapsed="false">
      <c r="A907" s="57" t="n">
        <v>30943</v>
      </c>
      <c r="B907" s="56" t="n">
        <v>1984</v>
      </c>
      <c r="C907" s="56" t="n">
        <v>9</v>
      </c>
      <c r="D907" s="56" t="n">
        <v>141</v>
      </c>
      <c r="E907" s="56" t="n">
        <v>18.4</v>
      </c>
      <c r="F907" s="56" t="n">
        <v>0</v>
      </c>
      <c r="G907" s="56" t="n">
        <v>9.3</v>
      </c>
      <c r="H907" s="56" t="n">
        <v>0</v>
      </c>
      <c r="I907" s="56" t="n">
        <v>13.7</v>
      </c>
      <c r="J907" s="56" t="n">
        <v>0</v>
      </c>
      <c r="K907" s="56" t="n">
        <v>1009</v>
      </c>
      <c r="L907" s="56" t="n">
        <v>0</v>
      </c>
      <c r="M907" s="56" t="n">
        <v>76</v>
      </c>
      <c r="N907" s="56" t="n">
        <v>5.4</v>
      </c>
      <c r="O907" s="56" t="n">
        <f aca="false">IF(D907=1,"",E906)</f>
        <v>18.1</v>
      </c>
      <c r="P907" s="56" t="n">
        <f aca="false">IF(OR(D907=1,K906=""),"",K906)</f>
        <v>1009</v>
      </c>
      <c r="Q907" s="56" t="n">
        <f aca="false">IF(OR(F907&lt;&gt;0,AND(I907&lt;&gt;"",E907&lt;I907)),1,0)</f>
        <v>0</v>
      </c>
      <c r="R907" s="56" t="n">
        <f aca="false">IF(AND(D907&gt;1,Q907=0,ISNUMBER(O907),ISNUMBER(P907)),IF(Q906=0,1,0),0)</f>
        <v>1</v>
      </c>
      <c r="S907" s="56" t="n">
        <f aca="false">R907*(B907&gt;=Train_Start)*(B907&lt;=Train_End)</f>
        <v>1</v>
      </c>
      <c r="T907" s="84" t="n">
        <f aca="false">IF(AND(ISNUMBER(O907),ISNUMBER(P907)),Coef_A+Coef_B1*O907+Coef_B2*P907,"")</f>
        <v>18.5692385017631</v>
      </c>
      <c r="U907" s="84" t="n">
        <f aca="false">IF(AND(R907=1,ISNUMBER(T907)),E907-T907,"")</f>
        <v>-0.1692385017631</v>
      </c>
      <c r="V907" s="84" t="n">
        <f aca="false">IF(ISNUMBER(T907),T907,-99)</f>
        <v>18.5692385017631</v>
      </c>
      <c r="W907" s="84" t="n">
        <f aca="false">IF(ISNUMBER(U907),ABS(U907),"")</f>
        <v>0.1692385017631</v>
      </c>
    </row>
    <row r="908" customFormat="false" ht="15" hidden="false" customHeight="false" outlineLevel="0" collapsed="false">
      <c r="A908" s="57" t="n">
        <v>30944</v>
      </c>
      <c r="B908" s="56" t="n">
        <v>1984</v>
      </c>
      <c r="C908" s="56" t="n">
        <v>9</v>
      </c>
      <c r="D908" s="56" t="n">
        <v>142</v>
      </c>
      <c r="E908" s="56" t="n">
        <v>17.6</v>
      </c>
      <c r="F908" s="56" t="n">
        <v>0</v>
      </c>
      <c r="G908" s="56" t="n">
        <v>11.9</v>
      </c>
      <c r="H908" s="56" t="n">
        <v>0</v>
      </c>
      <c r="I908" s="56" t="n">
        <v>15.2</v>
      </c>
      <c r="J908" s="56" t="n">
        <v>0</v>
      </c>
      <c r="K908" s="56" t="n">
        <v>1009.7</v>
      </c>
      <c r="L908" s="56" t="n">
        <v>0</v>
      </c>
      <c r="M908" s="56" t="n">
        <v>72</v>
      </c>
      <c r="N908" s="56" t="n">
        <v>2</v>
      </c>
      <c r="O908" s="56" t="n">
        <f aca="false">IF(D908=1,"",E907)</f>
        <v>18.4</v>
      </c>
      <c r="P908" s="56" t="n">
        <f aca="false">IF(OR(D908=1,K907=""),"",K907)</f>
        <v>1009</v>
      </c>
      <c r="Q908" s="56" t="n">
        <f aca="false">IF(OR(F908&lt;&gt;0,AND(I908&lt;&gt;"",E908&lt;I908)),1,0)</f>
        <v>0</v>
      </c>
      <c r="R908" s="56" t="n">
        <f aca="false">IF(AND(D908&gt;1,Q908=0,ISNUMBER(O908),ISNUMBER(P908)),IF(Q907=0,1,0),0)</f>
        <v>1</v>
      </c>
      <c r="S908" s="56" t="n">
        <f aca="false">R908*(B908&gt;=Train_Start)*(B908&lt;=Train_End)</f>
        <v>1</v>
      </c>
      <c r="T908" s="84" t="n">
        <f aca="false">IF(AND(ISNUMBER(O908),ISNUMBER(P908)),Coef_A+Coef_B1*O908+Coef_B2*P908,"")</f>
        <v>18.8150402596759</v>
      </c>
      <c r="U908" s="84" t="n">
        <f aca="false">IF(AND(R908=1,ISNUMBER(T908)),E908-T908,"")</f>
        <v>-1.2150402596759</v>
      </c>
      <c r="V908" s="84" t="n">
        <f aca="false">IF(ISNUMBER(T908),T908,-99)</f>
        <v>18.8150402596759</v>
      </c>
      <c r="W908" s="84" t="n">
        <f aca="false">IF(ISNUMBER(U908),ABS(U908),"")</f>
        <v>1.2150402596759</v>
      </c>
    </row>
    <row r="909" customFormat="false" ht="15" hidden="false" customHeight="false" outlineLevel="0" collapsed="false">
      <c r="A909" s="57" t="n">
        <v>30945</v>
      </c>
      <c r="B909" s="56" t="n">
        <v>1984</v>
      </c>
      <c r="C909" s="56" t="n">
        <v>9</v>
      </c>
      <c r="D909" s="56" t="n">
        <v>143</v>
      </c>
      <c r="E909" s="56" t="n">
        <v>15.2</v>
      </c>
      <c r="F909" s="56" t="n">
        <v>0</v>
      </c>
      <c r="G909" s="56" t="n">
        <v>12.2</v>
      </c>
      <c r="H909" s="56" t="n">
        <v>0</v>
      </c>
      <c r="I909" s="56" t="n">
        <v>14.9</v>
      </c>
      <c r="J909" s="56" t="n">
        <v>0</v>
      </c>
      <c r="K909" s="56" t="n">
        <v>1003.9</v>
      </c>
      <c r="L909" s="56" t="n">
        <v>0</v>
      </c>
      <c r="M909" s="56" t="n">
        <v>87</v>
      </c>
      <c r="N909" s="56" t="n">
        <v>1</v>
      </c>
      <c r="O909" s="56" t="n">
        <f aca="false">IF(D909=1,"",E908)</f>
        <v>17.6</v>
      </c>
      <c r="P909" s="56" t="n">
        <f aca="false">IF(OR(D909=1,K908=""),"",K908)</f>
        <v>1009.7</v>
      </c>
      <c r="Q909" s="56" t="n">
        <f aca="false">IF(OR(F909&lt;&gt;0,AND(I909&lt;&gt;"",E909&lt;I909)),1,0)</f>
        <v>0</v>
      </c>
      <c r="R909" s="56" t="n">
        <f aca="false">IF(AND(D909&gt;1,Q909=0,ISNUMBER(O909),ISNUMBER(P909)),IF(Q908=0,1,0),0)</f>
        <v>1</v>
      </c>
      <c r="S909" s="56" t="n">
        <f aca="false">R909*(B909&gt;=Train_Start)*(B909&lt;=Train_End)</f>
        <v>1</v>
      </c>
      <c r="T909" s="84" t="n">
        <f aca="false">IF(AND(ISNUMBER(O909),ISNUMBER(P909)),Coef_A+Coef_B1*O909+Coef_B2*P909,"")</f>
        <v>18.1815278314856</v>
      </c>
      <c r="U909" s="84" t="n">
        <f aca="false">IF(AND(R909=1,ISNUMBER(T909)),E909-T909,"")</f>
        <v>-2.98152783148556</v>
      </c>
      <c r="V909" s="84" t="n">
        <f aca="false">IF(ISNUMBER(T909),T909,-99)</f>
        <v>18.1815278314856</v>
      </c>
      <c r="W909" s="84" t="n">
        <f aca="false">IF(ISNUMBER(U909),ABS(U909),"")</f>
        <v>2.98152783148556</v>
      </c>
    </row>
    <row r="910" customFormat="false" ht="15" hidden="false" customHeight="false" outlineLevel="0" collapsed="false">
      <c r="A910" s="57" t="n">
        <v>30946</v>
      </c>
      <c r="B910" s="56" t="n">
        <v>1984</v>
      </c>
      <c r="C910" s="56" t="n">
        <v>9</v>
      </c>
      <c r="D910" s="56" t="n">
        <v>144</v>
      </c>
      <c r="E910" s="56" t="n">
        <v>16.7</v>
      </c>
      <c r="F910" s="56" t="n">
        <v>0</v>
      </c>
      <c r="G910" s="56" t="n">
        <v>8</v>
      </c>
      <c r="H910" s="56" t="n">
        <v>0</v>
      </c>
      <c r="I910" s="56" t="n">
        <v>11.6</v>
      </c>
      <c r="J910" s="56" t="n">
        <v>0</v>
      </c>
      <c r="K910" s="56" t="n">
        <v>1001.6</v>
      </c>
      <c r="L910" s="56" t="n">
        <v>0</v>
      </c>
      <c r="M910" s="56" t="n">
        <v>80</v>
      </c>
      <c r="N910" s="56" t="n">
        <v>6.2</v>
      </c>
      <c r="O910" s="56" t="n">
        <f aca="false">IF(D910=1,"",E909)</f>
        <v>15.2</v>
      </c>
      <c r="P910" s="56" t="n">
        <f aca="false">IF(OR(D910=1,K909=""),"",K909)</f>
        <v>1003.9</v>
      </c>
      <c r="Q910" s="56" t="n">
        <f aca="false">IF(OR(F910&lt;&gt;0,AND(I910&lt;&gt;"",E910&lt;I910)),1,0)</f>
        <v>0</v>
      </c>
      <c r="R910" s="56" t="n">
        <f aca="false">IF(AND(D910&gt;1,Q910=0,ISNUMBER(O910),ISNUMBER(P910)),IF(Q909=0,1,0),0)</f>
        <v>1</v>
      </c>
      <c r="S910" s="56" t="n">
        <f aca="false">R910*(B910&gt;=Train_Start)*(B910&lt;=Train_End)</f>
        <v>1</v>
      </c>
      <c r="T910" s="84" t="n">
        <f aca="false">IF(AND(ISNUMBER(O910),ISNUMBER(P910)),Coef_A+Coef_B1*O910+Coef_B2*P910,"")</f>
        <v>16.033168379306</v>
      </c>
      <c r="U910" s="84" t="n">
        <f aca="false">IF(AND(R910=1,ISNUMBER(T910)),E910-T910,"")</f>
        <v>0.666831620693959</v>
      </c>
      <c r="V910" s="84" t="n">
        <f aca="false">IF(ISNUMBER(T910),T910,-99)</f>
        <v>16.033168379306</v>
      </c>
      <c r="W910" s="84" t="n">
        <f aca="false">IF(ISNUMBER(U910),ABS(U910),"")</f>
        <v>0.666831620693959</v>
      </c>
    </row>
    <row r="911" customFormat="false" ht="15" hidden="false" customHeight="false" outlineLevel="0" collapsed="false">
      <c r="A911" s="57" t="n">
        <v>30947</v>
      </c>
      <c r="B911" s="56" t="n">
        <v>1984</v>
      </c>
      <c r="C911" s="56" t="n">
        <v>9</v>
      </c>
      <c r="D911" s="56" t="n">
        <v>145</v>
      </c>
      <c r="E911" s="56" t="n">
        <v>12.7</v>
      </c>
      <c r="F911" s="56" t="n">
        <v>1</v>
      </c>
      <c r="G911" s="56" t="n">
        <v>9</v>
      </c>
      <c r="H911" s="56" t="n">
        <v>0</v>
      </c>
      <c r="I911" s="56" t="n">
        <v>12.8</v>
      </c>
      <c r="J911" s="56" t="n">
        <v>1</v>
      </c>
      <c r="K911" s="56" t="n">
        <v>998.6</v>
      </c>
      <c r="L911" s="56" t="n">
        <v>0</v>
      </c>
      <c r="M911" s="56" t="n">
        <v>77</v>
      </c>
      <c r="N911" s="56" t="n">
        <v>5.4</v>
      </c>
      <c r="O911" s="56" t="n">
        <f aca="false">IF(D911=1,"",E910)</f>
        <v>16.7</v>
      </c>
      <c r="P911" s="56" t="n">
        <f aca="false">IF(OR(D911=1,K910=""),"",K910)</f>
        <v>1001.6</v>
      </c>
      <c r="Q911" s="56" t="n">
        <f aca="false">IF(OR(F911&lt;&gt;0,AND(I911&lt;&gt;"",E911&lt;I911)),1,0)</f>
        <v>1</v>
      </c>
      <c r="R911" s="56" t="n">
        <f aca="false">IF(AND(D911&gt;1,Q911=0,ISNUMBER(O911),ISNUMBER(P911)),IF(Q910=0,1,0),0)</f>
        <v>0</v>
      </c>
      <c r="S911" s="56" t="n">
        <f aca="false">R911*(B911&gt;=Train_Start)*(B911&lt;=Train_End)</f>
        <v>0</v>
      </c>
      <c r="T911" s="84" t="n">
        <f aca="false">IF(AND(ISNUMBER(O911),ISNUMBER(P911)),Coef_A+Coef_B1*O911+Coef_B2*P911,"")</f>
        <v>17.1900264112119</v>
      </c>
      <c r="U911" s="84" t="str">
        <f aca="false">IF(AND(R911=1,ISNUMBER(T911)),E911-T911,"")</f>
        <v/>
      </c>
      <c r="V911" s="84" t="n">
        <f aca="false">IF(ISNUMBER(T911),T911,-99)</f>
        <v>17.1900264112119</v>
      </c>
      <c r="W911" s="84" t="str">
        <f aca="false">IF(ISNUMBER(U911),ABS(U911),"")</f>
        <v/>
      </c>
    </row>
    <row r="912" customFormat="false" ht="15" hidden="false" customHeight="false" outlineLevel="0" collapsed="false">
      <c r="A912" s="57" t="n">
        <v>30948</v>
      </c>
      <c r="B912" s="56" t="n">
        <v>1984</v>
      </c>
      <c r="C912" s="56" t="n">
        <v>9</v>
      </c>
      <c r="D912" s="56" t="n">
        <v>146</v>
      </c>
      <c r="E912" s="56" t="n">
        <v>13.6</v>
      </c>
      <c r="F912" s="56" t="n">
        <v>0</v>
      </c>
      <c r="G912" s="56" t="n">
        <v>7.5</v>
      </c>
      <c r="H912" s="56" t="n">
        <v>0</v>
      </c>
      <c r="I912" s="56" t="n">
        <v>10.1</v>
      </c>
      <c r="J912" s="56" t="n">
        <v>0</v>
      </c>
      <c r="K912" s="56" t="n">
        <v>996.8</v>
      </c>
      <c r="L912" s="56" t="n">
        <v>0</v>
      </c>
      <c r="M912" s="56" t="n">
        <v>83</v>
      </c>
      <c r="N912" s="56" t="n">
        <v>1.1</v>
      </c>
      <c r="O912" s="56" t="n">
        <f aca="false">IF(D912=1,"",E911)</f>
        <v>12.7</v>
      </c>
      <c r="P912" s="56" t="n">
        <f aca="false">IF(OR(D912=1,K911=""),"",K911)</f>
        <v>998.6</v>
      </c>
      <c r="Q912" s="56" t="n">
        <f aca="false">IF(OR(F912&lt;&gt;0,AND(I912&lt;&gt;"",E912&lt;I912)),1,0)</f>
        <v>0</v>
      </c>
      <c r="R912" s="56" t="n">
        <f aca="false">IF(AND(D912&gt;1,Q912=0,ISNUMBER(O912),ISNUMBER(P912)),IF(Q911=0,1,0),0)</f>
        <v>0</v>
      </c>
      <c r="S912" s="56" t="n">
        <f aca="false">R912*(B912&gt;=Train_Start)*(B912&lt;=Train_End)</f>
        <v>0</v>
      </c>
      <c r="T912" s="84" t="n">
        <f aca="false">IF(AND(ISNUMBER(O912),ISNUMBER(P912)),Coef_A+Coef_B1*O912+Coef_B2*P912,"")</f>
        <v>13.8185599551393</v>
      </c>
      <c r="U912" s="84" t="str">
        <f aca="false">IF(AND(R912=1,ISNUMBER(T912)),E912-T912,"")</f>
        <v/>
      </c>
      <c r="V912" s="84" t="n">
        <f aca="false">IF(ISNUMBER(T912),T912,-99)</f>
        <v>13.8185599551393</v>
      </c>
      <c r="W912" s="84" t="str">
        <f aca="false">IF(ISNUMBER(U912),ABS(U912),"")</f>
        <v/>
      </c>
    </row>
    <row r="913" customFormat="false" ht="15" hidden="false" customHeight="false" outlineLevel="0" collapsed="false">
      <c r="A913" s="57" t="n">
        <v>30949</v>
      </c>
      <c r="B913" s="56" t="n">
        <v>1984</v>
      </c>
      <c r="C913" s="56" t="n">
        <v>9</v>
      </c>
      <c r="D913" s="56" t="n">
        <v>147</v>
      </c>
      <c r="E913" s="56" t="n">
        <v>16</v>
      </c>
      <c r="F913" s="56" t="n">
        <v>0</v>
      </c>
      <c r="G913" s="56" t="n">
        <v>8.4</v>
      </c>
      <c r="H913" s="56" t="n">
        <v>0</v>
      </c>
      <c r="I913" s="56" t="n">
        <v>11</v>
      </c>
      <c r="J913" s="56" t="n">
        <v>0</v>
      </c>
      <c r="K913" s="56" t="n">
        <v>1004.3</v>
      </c>
      <c r="L913" s="56" t="n">
        <v>0</v>
      </c>
      <c r="M913" s="56" t="n">
        <v>84</v>
      </c>
      <c r="N913" s="56" t="n">
        <v>1.9</v>
      </c>
      <c r="O913" s="56" t="n">
        <f aca="false">IF(D913=1,"",E912)</f>
        <v>13.6</v>
      </c>
      <c r="P913" s="56" t="n">
        <f aca="false">IF(OR(D913=1,K912=""),"",K912)</f>
        <v>996.8</v>
      </c>
      <c r="Q913" s="56" t="n">
        <f aca="false">IF(OR(F913&lt;&gt;0,AND(I913&lt;&gt;"",E913&lt;I913)),1,0)</f>
        <v>0</v>
      </c>
      <c r="R913" s="56" t="n">
        <f aca="false">IF(AND(D913&gt;1,Q913=0,ISNUMBER(O913),ISNUMBER(P913)),IF(Q912=0,1,0),0)</f>
        <v>1</v>
      </c>
      <c r="S913" s="56" t="n">
        <f aca="false">R913*(B913&gt;=Train_Start)*(B913&lt;=Train_End)</f>
        <v>1</v>
      </c>
      <c r="T913" s="84" t="n">
        <f aca="false">IF(AND(ISNUMBER(O913),ISNUMBER(P913)),Coef_A+Coef_B1*O913+Coef_B2*P913,"")</f>
        <v>14.4994994185365</v>
      </c>
      <c r="U913" s="84" t="n">
        <f aca="false">IF(AND(R913=1,ISNUMBER(T913)),E913-T913,"")</f>
        <v>1.50050058146353</v>
      </c>
      <c r="V913" s="84" t="n">
        <f aca="false">IF(ISNUMBER(T913),T913,-99)</f>
        <v>14.4994994185365</v>
      </c>
      <c r="W913" s="84" t="n">
        <f aca="false">IF(ISNUMBER(U913),ABS(U913),"")</f>
        <v>1.50050058146353</v>
      </c>
    </row>
    <row r="914" customFormat="false" ht="15" hidden="false" customHeight="false" outlineLevel="0" collapsed="false">
      <c r="A914" s="57" t="n">
        <v>30950</v>
      </c>
      <c r="B914" s="56" t="n">
        <v>1984</v>
      </c>
      <c r="C914" s="56" t="n">
        <v>9</v>
      </c>
      <c r="D914" s="56" t="n">
        <v>148</v>
      </c>
      <c r="E914" s="56" t="n">
        <v>17.6</v>
      </c>
      <c r="F914" s="56" t="n">
        <v>0</v>
      </c>
      <c r="G914" s="56" t="n">
        <v>5.8</v>
      </c>
      <c r="H914" s="56" t="n">
        <v>0</v>
      </c>
      <c r="I914" s="56" t="n">
        <v>10.9</v>
      </c>
      <c r="J914" s="56" t="n">
        <v>0</v>
      </c>
      <c r="K914" s="56" t="n">
        <v>1011.6</v>
      </c>
      <c r="L914" s="56" t="n">
        <v>0</v>
      </c>
      <c r="M914" s="56" t="n">
        <v>79</v>
      </c>
      <c r="N914" s="56" t="n">
        <v>2.3</v>
      </c>
      <c r="O914" s="56" t="n">
        <f aca="false">IF(D914=1,"",E913)</f>
        <v>16</v>
      </c>
      <c r="P914" s="56" t="n">
        <f aca="false">IF(OR(D914=1,K913=""),"",K913)</f>
        <v>1004.3</v>
      </c>
      <c r="Q914" s="56" t="n">
        <f aca="false">IF(OR(F914&lt;&gt;0,AND(I914&lt;&gt;"",E914&lt;I914)),1,0)</f>
        <v>0</v>
      </c>
      <c r="R914" s="56" t="n">
        <f aca="false">IF(AND(D914&gt;1,Q914=0,ISNUMBER(O914),ISNUMBER(P914)),IF(Q913=0,1,0),0)</f>
        <v>1</v>
      </c>
      <c r="S914" s="56" t="n">
        <f aca="false">R914*(B914&gt;=Train_Start)*(B914&lt;=Train_End)</f>
        <v>1</v>
      </c>
      <c r="T914" s="84" t="n">
        <f aca="false">IF(AND(ISNUMBER(O914),ISNUMBER(P914)),Coef_A+Coef_B1*O914+Coef_B2*P914,"")</f>
        <v>16.7011876915938</v>
      </c>
      <c r="U914" s="84" t="n">
        <f aca="false">IF(AND(R914=1,ISNUMBER(T914)),E914-T914,"")</f>
        <v>0.898812308406235</v>
      </c>
      <c r="V914" s="84" t="n">
        <f aca="false">IF(ISNUMBER(T914),T914,-99)</f>
        <v>16.7011876915938</v>
      </c>
      <c r="W914" s="84" t="n">
        <f aca="false">IF(ISNUMBER(U914),ABS(U914),"")</f>
        <v>0.898812308406235</v>
      </c>
    </row>
    <row r="915" customFormat="false" ht="15" hidden="false" customHeight="false" outlineLevel="0" collapsed="false">
      <c r="A915" s="57" t="n">
        <v>30951</v>
      </c>
      <c r="B915" s="56" t="n">
        <v>1984</v>
      </c>
      <c r="C915" s="56" t="n">
        <v>9</v>
      </c>
      <c r="D915" s="56" t="n">
        <v>149</v>
      </c>
      <c r="E915" s="56" t="n">
        <v>18.1</v>
      </c>
      <c r="F915" s="56" t="n">
        <v>0</v>
      </c>
      <c r="G915" s="56" t="n">
        <v>6.4</v>
      </c>
      <c r="H915" s="56" t="n">
        <v>0</v>
      </c>
      <c r="I915" s="56" t="n">
        <v>12</v>
      </c>
      <c r="J915" s="56" t="n">
        <v>0</v>
      </c>
      <c r="K915" s="56" t="n">
        <v>1011.2</v>
      </c>
      <c r="L915" s="56" t="n">
        <v>0</v>
      </c>
      <c r="M915" s="56" t="n">
        <v>74</v>
      </c>
      <c r="N915" s="56" t="n">
        <v>9</v>
      </c>
      <c r="O915" s="56" t="n">
        <f aca="false">IF(D915=1,"",E914)</f>
        <v>17.6</v>
      </c>
      <c r="P915" s="56" t="n">
        <f aca="false">IF(OR(D915=1,K914=""),"",K914)</f>
        <v>1011.6</v>
      </c>
      <c r="Q915" s="56" t="n">
        <f aca="false">IF(OR(F915&lt;&gt;0,AND(I915&lt;&gt;"",E915&lt;I915)),1,0)</f>
        <v>0</v>
      </c>
      <c r="R915" s="56" t="n">
        <f aca="false">IF(AND(D915&gt;1,Q915=0,ISNUMBER(O915),ISNUMBER(P915)),IF(Q914=0,1,0),0)</f>
        <v>1</v>
      </c>
      <c r="S915" s="56" t="n">
        <f aca="false">R915*(B915&gt;=Train_Start)*(B915&lt;=Train_End)</f>
        <v>1</v>
      </c>
      <c r="T915" s="84" t="n">
        <f aca="false">IF(AND(ISNUMBER(O915),ISNUMBER(P915)),Coef_A+Coef_B1*O915+Coef_B2*P915,"")</f>
        <v>18.2411306312901</v>
      </c>
      <c r="U915" s="84" t="n">
        <f aca="false">IF(AND(R915=1,ISNUMBER(T915)),E915-T915,"")</f>
        <v>-0.141130631290139</v>
      </c>
      <c r="V915" s="84" t="n">
        <f aca="false">IF(ISNUMBER(T915),T915,-99)</f>
        <v>18.2411306312901</v>
      </c>
      <c r="W915" s="84" t="n">
        <f aca="false">IF(ISNUMBER(U915),ABS(U915),"")</f>
        <v>0.141130631290139</v>
      </c>
    </row>
    <row r="916" customFormat="false" ht="15" hidden="false" customHeight="false" outlineLevel="0" collapsed="false">
      <c r="A916" s="57" t="n">
        <v>30952</v>
      </c>
      <c r="B916" s="56" t="n">
        <v>1984</v>
      </c>
      <c r="C916" s="56" t="n">
        <v>9</v>
      </c>
      <c r="D916" s="56" t="n">
        <v>150</v>
      </c>
      <c r="E916" s="56" t="n">
        <v>20.5</v>
      </c>
      <c r="F916" s="56" t="n">
        <v>0</v>
      </c>
      <c r="G916" s="56" t="n">
        <v>8</v>
      </c>
      <c r="H916" s="56" t="n">
        <v>0</v>
      </c>
      <c r="I916" s="56" t="n">
        <v>13</v>
      </c>
      <c r="J916" s="56" t="n">
        <v>0</v>
      </c>
      <c r="K916" s="56" t="n">
        <v>1012.7</v>
      </c>
      <c r="L916" s="56" t="n">
        <v>0</v>
      </c>
      <c r="M916" s="56" t="n">
        <v>86</v>
      </c>
      <c r="N916" s="56" t="n">
        <v>0.1</v>
      </c>
      <c r="O916" s="56" t="n">
        <f aca="false">IF(D916=1,"",E915)</f>
        <v>18.1</v>
      </c>
      <c r="P916" s="56" t="n">
        <f aca="false">IF(OR(D916=1,K915=""),"",K915)</f>
        <v>1011.2</v>
      </c>
      <c r="Q916" s="56" t="n">
        <f aca="false">IF(OR(F916&lt;&gt;0,AND(I916&lt;&gt;"",E916&lt;I916)),1,0)</f>
        <v>0</v>
      </c>
      <c r="R916" s="56" t="n">
        <f aca="false">IF(AND(D916&gt;1,Q916=0,ISNUMBER(O916),ISNUMBER(P916)),IF(Q915=0,1,0),0)</f>
        <v>1</v>
      </c>
      <c r="S916" s="56" t="n">
        <f aca="false">R916*(B916&gt;=Train_Start)*(B916&lt;=Train_End)</f>
        <v>1</v>
      </c>
      <c r="T916" s="84" t="n">
        <f aca="false">IF(AND(ISNUMBER(O916),ISNUMBER(P916)),Coef_A+Coef_B1*O916+Coef_B2*P916,"")</f>
        <v>18.6382522699579</v>
      </c>
      <c r="U916" s="84" t="n">
        <f aca="false">IF(AND(R916=1,ISNUMBER(T916)),E916-T916,"")</f>
        <v>1.86174773004213</v>
      </c>
      <c r="V916" s="84" t="n">
        <f aca="false">IF(ISNUMBER(T916),T916,-99)</f>
        <v>18.6382522699579</v>
      </c>
      <c r="W916" s="84" t="n">
        <f aca="false">IF(ISNUMBER(U916),ABS(U916),"")</f>
        <v>1.86174773004213</v>
      </c>
    </row>
    <row r="917" customFormat="false" ht="15" hidden="false" customHeight="false" outlineLevel="0" collapsed="false">
      <c r="A917" s="57" t="n">
        <v>30953</v>
      </c>
      <c r="B917" s="56" t="n">
        <v>1984</v>
      </c>
      <c r="C917" s="56" t="n">
        <v>9</v>
      </c>
      <c r="D917" s="56" t="n">
        <v>151</v>
      </c>
      <c r="E917" s="56" t="n">
        <v>19.2</v>
      </c>
      <c r="F917" s="56" t="n">
        <v>0</v>
      </c>
      <c r="G917" s="56" t="n">
        <v>13.2</v>
      </c>
      <c r="H917" s="56" t="n">
        <v>0</v>
      </c>
      <c r="I917" s="56" t="n">
        <v>16.8</v>
      </c>
      <c r="J917" s="56" t="n">
        <v>0</v>
      </c>
      <c r="K917" s="56" t="n">
        <v>1006.9</v>
      </c>
      <c r="L917" s="56" t="n">
        <v>0</v>
      </c>
      <c r="M917" s="56" t="n">
        <v>84</v>
      </c>
      <c r="N917" s="56" t="n">
        <v>4.7</v>
      </c>
      <c r="O917" s="56" t="n">
        <f aca="false">IF(D917=1,"",E916)</f>
        <v>20.5</v>
      </c>
      <c r="P917" s="56" t="n">
        <f aca="false">IF(OR(D917=1,K916=""),"",K916)</f>
        <v>1012.7</v>
      </c>
      <c r="Q917" s="56" t="n">
        <f aca="false">IF(OR(F917&lt;&gt;0,AND(I917&lt;&gt;"",E917&lt;I917)),1,0)</f>
        <v>0</v>
      </c>
      <c r="R917" s="56" t="n">
        <f aca="false">IF(AND(D917&gt;1,Q917=0,ISNUMBER(O917),ISNUMBER(P917)),IF(Q916=0,1,0),0)</f>
        <v>1</v>
      </c>
      <c r="S917" s="56" t="n">
        <f aca="false">R917*(B917&gt;=Train_Start)*(B917&lt;=Train_End)</f>
        <v>1</v>
      </c>
      <c r="T917" s="84" t="n">
        <f aca="false">IF(AND(ISNUMBER(O917),ISNUMBER(P917)),Coef_A+Coef_B1*O917+Coef_B2*P917,"")</f>
        <v>20.6517211752112</v>
      </c>
      <c r="U917" s="84" t="n">
        <f aca="false">IF(AND(R917=1,ISNUMBER(T917)),E917-T917,"")</f>
        <v>-1.45172117521124</v>
      </c>
      <c r="V917" s="84" t="n">
        <f aca="false">IF(ISNUMBER(T917),T917,-99)</f>
        <v>20.6517211752112</v>
      </c>
      <c r="W917" s="84" t="n">
        <f aca="false">IF(ISNUMBER(U917),ABS(U917),"")</f>
        <v>1.45172117521124</v>
      </c>
    </row>
    <row r="918" customFormat="false" ht="15" hidden="false" customHeight="false" outlineLevel="0" collapsed="false">
      <c r="A918" s="57" t="n">
        <v>30954</v>
      </c>
      <c r="B918" s="56" t="n">
        <v>1984</v>
      </c>
      <c r="C918" s="56" t="n">
        <v>9</v>
      </c>
      <c r="D918" s="56" t="n">
        <v>152</v>
      </c>
      <c r="E918" s="56" t="n">
        <v>17</v>
      </c>
      <c r="F918" s="56" t="n">
        <v>0</v>
      </c>
      <c r="G918" s="56" t="n">
        <v>13.5</v>
      </c>
      <c r="H918" s="56" t="n">
        <v>0</v>
      </c>
      <c r="I918" s="56" t="n">
        <v>16.4</v>
      </c>
      <c r="J918" s="56" t="n">
        <v>0</v>
      </c>
      <c r="K918" s="56" t="n">
        <v>1007.4</v>
      </c>
      <c r="L918" s="56" t="n">
        <v>0</v>
      </c>
      <c r="M918" s="56" t="n">
        <v>80</v>
      </c>
      <c r="N918" s="56" t="n">
        <v>7.8</v>
      </c>
      <c r="O918" s="56" t="n">
        <f aca="false">IF(D918=1,"",E917)</f>
        <v>19.2</v>
      </c>
      <c r="P918" s="56" t="n">
        <f aca="false">IF(OR(D918=1,K917=""),"",K917)</f>
        <v>1006.9</v>
      </c>
      <c r="Q918" s="56" t="n">
        <f aca="false">IF(OR(F918&lt;&gt;0,AND(I918&lt;&gt;"",E918&lt;I918)),1,0)</f>
        <v>0</v>
      </c>
      <c r="R918" s="56" t="n">
        <f aca="false">IF(AND(D918&gt;1,Q918=0,ISNUMBER(O918),ISNUMBER(P918)),IF(Q917=0,1,0),0)</f>
        <v>1</v>
      </c>
      <c r="S918" s="56" t="n">
        <f aca="false">R918*(B918&gt;=Train_Start)*(B918&lt;=Train_End)</f>
        <v>1</v>
      </c>
      <c r="T918" s="84" t="n">
        <f aca="false">IF(AND(ISNUMBER(O918),ISNUMBER(P918)),Coef_A+Coef_B1*O918+Coef_B2*P918,"")</f>
        <v>19.4046348353786</v>
      </c>
      <c r="U918" s="84" t="n">
        <f aca="false">IF(AND(R918=1,ISNUMBER(T918)),E918-T918,"")</f>
        <v>-2.40463483537864</v>
      </c>
      <c r="V918" s="84" t="n">
        <f aca="false">IF(ISNUMBER(T918),T918,-99)</f>
        <v>19.4046348353786</v>
      </c>
      <c r="W918" s="84" t="n">
        <f aca="false">IF(ISNUMBER(U918),ABS(U918),"")</f>
        <v>2.40463483537864</v>
      </c>
    </row>
    <row r="919" customFormat="false" ht="15" hidden="false" customHeight="false" outlineLevel="0" collapsed="false">
      <c r="A919" s="57" t="n">
        <v>30955</v>
      </c>
      <c r="B919" s="56" t="n">
        <v>1984</v>
      </c>
      <c r="C919" s="56" t="n">
        <v>9</v>
      </c>
      <c r="D919" s="56" t="n">
        <v>153</v>
      </c>
      <c r="E919" s="56" t="n">
        <v>16.4</v>
      </c>
      <c r="F919" s="56" t="n">
        <v>0</v>
      </c>
      <c r="G919" s="56" t="n">
        <v>11.8</v>
      </c>
      <c r="H919" s="56" t="n">
        <v>0</v>
      </c>
      <c r="I919" s="56" t="n">
        <v>14.4</v>
      </c>
      <c r="J919" s="56" t="n">
        <v>0</v>
      </c>
      <c r="K919" s="56" t="n">
        <v>1005.4</v>
      </c>
      <c r="L919" s="56" t="n">
        <v>0</v>
      </c>
      <c r="M919" s="56" t="n">
        <v>75</v>
      </c>
      <c r="N919" s="56" t="n">
        <v>5.4</v>
      </c>
      <c r="O919" s="56" t="n">
        <f aca="false">IF(D919=1,"",E918)</f>
        <v>17</v>
      </c>
      <c r="P919" s="56" t="n">
        <f aca="false">IF(OR(D919=1,K918=""),"",K918)</f>
        <v>1007.4</v>
      </c>
      <c r="Q919" s="56" t="n">
        <f aca="false">IF(OR(F919&lt;&gt;0,AND(I919&lt;&gt;"",E919&lt;I919)),1,0)</f>
        <v>0</v>
      </c>
      <c r="R919" s="56" t="n">
        <f aca="false">IF(AND(D919&gt;1,Q919=0,ISNUMBER(O919),ISNUMBER(P919)),IF(Q918=0,1,0),0)</f>
        <v>1</v>
      </c>
      <c r="S919" s="56" t="n">
        <f aca="false">R919*(B919&gt;=Train_Start)*(B919&lt;=Train_End)</f>
        <v>1</v>
      </c>
      <c r="T919" s="84" t="n">
        <f aca="false">IF(AND(ISNUMBER(O919),ISNUMBER(P919)),Coef_A+Coef_B1*O919+Coef_B2*P919,"")</f>
        <v>17.6177735580018</v>
      </c>
      <c r="U919" s="84" t="n">
        <f aca="false">IF(AND(R919=1,ISNUMBER(T919)),E919-T919,"")</f>
        <v>-1.21777355800179</v>
      </c>
      <c r="V919" s="84" t="n">
        <f aca="false">IF(ISNUMBER(T919),T919,-99)</f>
        <v>17.6177735580018</v>
      </c>
      <c r="W919" s="84" t="n">
        <f aca="false">IF(ISNUMBER(U919),ABS(U919),"")</f>
        <v>1.21777355800179</v>
      </c>
    </row>
    <row r="920" customFormat="false" ht="15" hidden="false" customHeight="false" outlineLevel="0" collapsed="false">
      <c r="A920" s="57" t="n">
        <v>31168</v>
      </c>
      <c r="B920" s="56" t="n">
        <v>1985</v>
      </c>
      <c r="C920" s="56" t="n">
        <v>5</v>
      </c>
      <c r="D920" s="56" t="n">
        <v>1</v>
      </c>
      <c r="E920" s="56" t="n">
        <v>13.5</v>
      </c>
      <c r="F920" s="56" t="n">
        <v>0</v>
      </c>
      <c r="G920" s="56" t="n">
        <v>6</v>
      </c>
      <c r="H920" s="56" t="n">
        <v>0</v>
      </c>
      <c r="I920" s="56" t="n">
        <v>9.7</v>
      </c>
      <c r="J920" s="56" t="n">
        <v>0</v>
      </c>
      <c r="K920" s="56" t="n">
        <v>1015.5</v>
      </c>
      <c r="L920" s="56" t="n">
        <v>0</v>
      </c>
      <c r="M920" s="56" t="n">
        <v>58</v>
      </c>
      <c r="N920" s="56" t="n">
        <v>6.8</v>
      </c>
      <c r="O920" s="56" t="str">
        <f aca="false">IF(D920=1,"",E919)</f>
        <v/>
      </c>
      <c r="P920" s="56" t="str">
        <f aca="false">IF(OR(D920=1,K919=""),"",K919)</f>
        <v/>
      </c>
      <c r="Q920" s="56" t="n">
        <f aca="false">IF(OR(F920&lt;&gt;0,AND(I920&lt;&gt;"",E920&lt;I920)),1,0)</f>
        <v>0</v>
      </c>
      <c r="R920" s="56" t="n">
        <f aca="false">IF(AND(D920&gt;1,Q920=0,ISNUMBER(O920),ISNUMBER(P920)),IF(Q919=0,1,0),0)</f>
        <v>0</v>
      </c>
      <c r="S920" s="56" t="n">
        <f aca="false">R920*(B920&gt;=Train_Start)*(B920&lt;=Train_End)</f>
        <v>0</v>
      </c>
      <c r="T920" s="84" t="str">
        <f aca="false">IF(AND(ISNUMBER(O920),ISNUMBER(P920)),Coef_A+Coef_B1*O920+Coef_B2*P920,"")</f>
        <v/>
      </c>
      <c r="U920" s="84" t="str">
        <f aca="false">IF(AND(R920=1,ISNUMBER(T920)),E920-T920,"")</f>
        <v/>
      </c>
      <c r="V920" s="84" t="n">
        <f aca="false">IF(ISNUMBER(T920),T920,-99)</f>
        <v>-99</v>
      </c>
      <c r="W920" s="84" t="str">
        <f aca="false">IF(ISNUMBER(U920),ABS(U920),"")</f>
        <v/>
      </c>
    </row>
    <row r="921" customFormat="false" ht="15" hidden="false" customHeight="false" outlineLevel="0" collapsed="false">
      <c r="A921" s="57" t="n">
        <v>31169</v>
      </c>
      <c r="B921" s="56" t="n">
        <v>1985</v>
      </c>
      <c r="C921" s="56" t="n">
        <v>5</v>
      </c>
      <c r="D921" s="56" t="n">
        <v>2</v>
      </c>
      <c r="E921" s="56" t="n">
        <v>10.4</v>
      </c>
      <c r="F921" s="56" t="n">
        <v>0</v>
      </c>
      <c r="G921" s="56" t="n">
        <v>6.4</v>
      </c>
      <c r="H921" s="56" t="n">
        <v>0</v>
      </c>
      <c r="I921" s="56" t="n">
        <v>10</v>
      </c>
      <c r="J921" s="56" t="n">
        <v>0</v>
      </c>
      <c r="K921" s="56" t="n">
        <v>1010.9</v>
      </c>
      <c r="L921" s="56" t="n">
        <v>0</v>
      </c>
      <c r="M921" s="56" t="n">
        <v>59</v>
      </c>
      <c r="N921" s="56" t="n">
        <v>8.8</v>
      </c>
      <c r="O921" s="56" t="n">
        <f aca="false">IF(D921=1,"",E920)</f>
        <v>13.5</v>
      </c>
      <c r="P921" s="56" t="n">
        <f aca="false">IF(OR(D921=1,K920=""),"",K920)</f>
        <v>1015.5</v>
      </c>
      <c r="Q921" s="56" t="n">
        <f aca="false">IF(OR(F921&lt;&gt;0,AND(I921&lt;&gt;"",E921&lt;I921)),1,0)</f>
        <v>0</v>
      </c>
      <c r="R921" s="56" t="n">
        <f aca="false">IF(AND(D921&gt;1,Q921=0,ISNUMBER(O921),ISNUMBER(P921)),IF(Q920=0,1,0),0)</f>
        <v>1</v>
      </c>
      <c r="S921" s="56" t="n">
        <f aca="false">R921*(B921&gt;=Train_Start)*(B921&lt;=Train_End)</f>
        <v>1</v>
      </c>
      <c r="T921" s="84" t="n">
        <f aca="false">IF(AND(ISNUMBER(O921),ISNUMBER(P921)),Coef_A+Coef_B1*O921+Coef_B2*P921,"")</f>
        <v>15.0041825288878</v>
      </c>
      <c r="U921" s="84" t="n">
        <f aca="false">IF(AND(R921=1,ISNUMBER(T921)),E921-T921,"")</f>
        <v>-4.6041825288878</v>
      </c>
      <c r="V921" s="84" t="n">
        <f aca="false">IF(ISNUMBER(T921),T921,-99)</f>
        <v>15.0041825288878</v>
      </c>
      <c r="W921" s="84" t="n">
        <f aca="false">IF(ISNUMBER(U921),ABS(U921),"")</f>
        <v>4.6041825288878</v>
      </c>
    </row>
    <row r="922" customFormat="false" ht="15" hidden="false" customHeight="false" outlineLevel="0" collapsed="false">
      <c r="A922" s="57" t="n">
        <v>31170</v>
      </c>
      <c r="B922" s="56" t="n">
        <v>1985</v>
      </c>
      <c r="C922" s="56" t="n">
        <v>5</v>
      </c>
      <c r="D922" s="56" t="n">
        <v>3</v>
      </c>
      <c r="E922" s="56" t="n">
        <v>13.3</v>
      </c>
      <c r="F922" s="56" t="n">
        <v>0</v>
      </c>
      <c r="G922" s="56" t="n">
        <v>7.5</v>
      </c>
      <c r="H922" s="56" t="n">
        <v>0</v>
      </c>
      <c r="I922" s="56" t="n">
        <v>9</v>
      </c>
      <c r="J922" s="56" t="n">
        <v>0</v>
      </c>
      <c r="K922" s="56" t="n">
        <v>1011.9</v>
      </c>
      <c r="L922" s="56" t="n">
        <v>0</v>
      </c>
      <c r="M922" s="56" t="n">
        <v>70</v>
      </c>
      <c r="N922" s="56" t="n">
        <v>0.5</v>
      </c>
      <c r="O922" s="56" t="n">
        <f aca="false">IF(D922=1,"",E921)</f>
        <v>10.4</v>
      </c>
      <c r="P922" s="56" t="n">
        <f aca="false">IF(OR(D922=1,K921=""),"",K921)</f>
        <v>1010.9</v>
      </c>
      <c r="Q922" s="56" t="n">
        <f aca="false">IF(OR(F922&lt;&gt;0,AND(I922&lt;&gt;"",E922&lt;I922)),1,0)</f>
        <v>0</v>
      </c>
      <c r="R922" s="56" t="n">
        <f aca="false">IF(AND(D922&gt;1,Q922=0,ISNUMBER(O922),ISNUMBER(P922)),IF(Q921=0,1,0),0)</f>
        <v>1</v>
      </c>
      <c r="S922" s="56" t="n">
        <f aca="false">R922*(B922&gt;=Train_Start)*(B922&lt;=Train_End)</f>
        <v>1</v>
      </c>
      <c r="T922" s="84" t="n">
        <f aca="false">IF(AND(ISNUMBER(O922),ISNUMBER(P922)),Coef_A+Coef_B1*O922+Coef_B2*P922,"")</f>
        <v>12.3199295151392</v>
      </c>
      <c r="U922" s="84" t="n">
        <f aca="false">IF(AND(R922=1,ISNUMBER(T922)),E922-T922,"")</f>
        <v>0.980070484860789</v>
      </c>
      <c r="V922" s="84" t="n">
        <f aca="false">IF(ISNUMBER(T922),T922,-99)</f>
        <v>12.3199295151392</v>
      </c>
      <c r="W922" s="84" t="n">
        <f aca="false">IF(ISNUMBER(U922),ABS(U922),"")</f>
        <v>0.980070484860789</v>
      </c>
    </row>
    <row r="923" customFormat="false" ht="15" hidden="false" customHeight="false" outlineLevel="0" collapsed="false">
      <c r="A923" s="57" t="n">
        <v>31171</v>
      </c>
      <c r="B923" s="56" t="n">
        <v>1985</v>
      </c>
      <c r="C923" s="56" t="n">
        <v>5</v>
      </c>
      <c r="D923" s="56" t="n">
        <v>4</v>
      </c>
      <c r="E923" s="56" t="n">
        <v>12.9</v>
      </c>
      <c r="F923" s="56" t="n">
        <v>0</v>
      </c>
      <c r="G923" s="56" t="n">
        <v>6.3</v>
      </c>
      <c r="H923" s="56" t="n">
        <v>0</v>
      </c>
      <c r="I923" s="56" t="n">
        <v>9.8</v>
      </c>
      <c r="J923" s="56" t="n">
        <v>0</v>
      </c>
      <c r="K923" s="56" t="n">
        <v>1007.9</v>
      </c>
      <c r="L923" s="56" t="n">
        <v>0</v>
      </c>
      <c r="M923" s="56" t="n">
        <v>77</v>
      </c>
      <c r="N923" s="56" t="n">
        <v>1.1</v>
      </c>
      <c r="O923" s="56" t="n">
        <f aca="false">IF(D923=1,"",E922)</f>
        <v>13.3</v>
      </c>
      <c r="P923" s="56" t="n">
        <f aca="false">IF(OR(D923=1,K922=""),"",K922)</f>
        <v>1011.9</v>
      </c>
      <c r="Q923" s="56" t="n">
        <f aca="false">IF(OR(F923&lt;&gt;0,AND(I923&lt;&gt;"",E923&lt;I923)),1,0)</f>
        <v>0</v>
      </c>
      <c r="R923" s="56" t="n">
        <f aca="false">IF(AND(D923&gt;1,Q923=0,ISNUMBER(O923),ISNUMBER(P923)),IF(Q922=0,1,0),0)</f>
        <v>1</v>
      </c>
      <c r="S923" s="56" t="n">
        <f aca="false">R923*(B923&gt;=Train_Start)*(B923&lt;=Train_End)</f>
        <v>1</v>
      </c>
      <c r="T923" s="84" t="n">
        <f aca="false">IF(AND(ISNUMBER(O923),ISNUMBER(P923)),Coef_A+Coef_B1*O923+Coef_B2*P923,"")</f>
        <v>14.7273830695969</v>
      </c>
      <c r="U923" s="84" t="n">
        <f aca="false">IF(AND(R923=1,ISNUMBER(T923)),E923-T923,"")</f>
        <v>-1.82738306959691</v>
      </c>
      <c r="V923" s="84" t="n">
        <f aca="false">IF(ISNUMBER(T923),T923,-99)</f>
        <v>14.7273830695969</v>
      </c>
      <c r="W923" s="84" t="n">
        <f aca="false">IF(ISNUMBER(U923),ABS(U923),"")</f>
        <v>1.82738306959691</v>
      </c>
    </row>
    <row r="924" customFormat="false" ht="15" hidden="false" customHeight="false" outlineLevel="0" collapsed="false">
      <c r="A924" s="57" t="n">
        <v>31172</v>
      </c>
      <c r="B924" s="56" t="n">
        <v>1985</v>
      </c>
      <c r="C924" s="56" t="n">
        <v>5</v>
      </c>
      <c r="D924" s="56" t="n">
        <v>5</v>
      </c>
      <c r="E924" s="56" t="n">
        <v>17</v>
      </c>
      <c r="F924" s="56" t="n">
        <v>0</v>
      </c>
      <c r="G924" s="56" t="n">
        <v>5.6</v>
      </c>
      <c r="H924" s="56" t="n">
        <v>0</v>
      </c>
      <c r="I924" s="56" t="n">
        <v>9.2</v>
      </c>
      <c r="J924" s="56" t="n">
        <v>0</v>
      </c>
      <c r="K924" s="56" t="n">
        <v>999.8</v>
      </c>
      <c r="L924" s="56" t="n">
        <v>0</v>
      </c>
      <c r="M924" s="56" t="n">
        <v>74</v>
      </c>
      <c r="N924" s="56" t="n">
        <v>3.7</v>
      </c>
      <c r="O924" s="56" t="n">
        <f aca="false">IF(D924=1,"",E923)</f>
        <v>12.9</v>
      </c>
      <c r="P924" s="56" t="n">
        <f aca="false">IF(OR(D924=1,K923=""),"",K923)</f>
        <v>1007.9</v>
      </c>
      <c r="Q924" s="56" t="n">
        <f aca="false">IF(OR(F924&lt;&gt;0,AND(I924&lt;&gt;"",E924&lt;I924)),1,0)</f>
        <v>0</v>
      </c>
      <c r="R924" s="56" t="n">
        <f aca="false">IF(AND(D924&gt;1,Q924=0,ISNUMBER(O924),ISNUMBER(P924)),IF(Q923=0,1,0),0)</f>
        <v>1</v>
      </c>
      <c r="S924" s="56" t="n">
        <f aca="false">R924*(B924&gt;=Train_Start)*(B924&lt;=Train_End)</f>
        <v>1</v>
      </c>
      <c r="T924" s="84" t="n">
        <f aca="false">IF(AND(ISNUMBER(O924),ISNUMBER(P924)),Coef_A+Coef_B1*O924+Coef_B2*P924,"")</f>
        <v>14.2741678138439</v>
      </c>
      <c r="U924" s="84" t="n">
        <f aca="false">IF(AND(R924=1,ISNUMBER(T924)),E924-T924,"")</f>
        <v>2.72583218615611</v>
      </c>
      <c r="V924" s="84" t="n">
        <f aca="false">IF(ISNUMBER(T924),T924,-99)</f>
        <v>14.2741678138439</v>
      </c>
      <c r="W924" s="84" t="n">
        <f aca="false">IF(ISNUMBER(U924),ABS(U924),"")</f>
        <v>2.72583218615611</v>
      </c>
    </row>
    <row r="925" customFormat="false" ht="15" hidden="false" customHeight="false" outlineLevel="0" collapsed="false">
      <c r="A925" s="57" t="n">
        <v>31173</v>
      </c>
      <c r="B925" s="56" t="n">
        <v>1985</v>
      </c>
      <c r="C925" s="56" t="n">
        <v>5</v>
      </c>
      <c r="D925" s="56" t="n">
        <v>6</v>
      </c>
      <c r="E925" s="56" t="n">
        <v>19.1</v>
      </c>
      <c r="F925" s="56" t="n">
        <v>0</v>
      </c>
      <c r="G925" s="56" t="n">
        <v>4.4</v>
      </c>
      <c r="H925" s="56" t="n">
        <v>0</v>
      </c>
      <c r="I925" s="56" t="n">
        <v>10.7</v>
      </c>
      <c r="J925" s="56" t="n">
        <v>0</v>
      </c>
      <c r="K925" s="56" t="n">
        <v>1005</v>
      </c>
      <c r="L925" s="56" t="n">
        <v>0</v>
      </c>
      <c r="M925" s="56" t="n">
        <v>63</v>
      </c>
      <c r="N925" s="56" t="n">
        <v>11.7</v>
      </c>
      <c r="O925" s="56" t="n">
        <f aca="false">IF(D925=1,"",E924)</f>
        <v>17</v>
      </c>
      <c r="P925" s="56" t="n">
        <f aca="false">IF(OR(D925=1,K924=""),"",K924)</f>
        <v>999.8</v>
      </c>
      <c r="Q925" s="56" t="n">
        <f aca="false">IF(OR(F925&lt;&gt;0,AND(I925&lt;&gt;"",E925&lt;I925)),1,0)</f>
        <v>0</v>
      </c>
      <c r="R925" s="56" t="n">
        <f aca="false">IF(AND(D925&gt;1,Q925=0,ISNUMBER(O925),ISNUMBER(P925)),IF(Q924=0,1,0),0)</f>
        <v>1</v>
      </c>
      <c r="S925" s="56" t="n">
        <f aca="false">R925*(B925&gt;=Train_Start)*(B925&lt;=Train_End)</f>
        <v>1</v>
      </c>
      <c r="T925" s="84" t="n">
        <f aca="false">IF(AND(ISNUMBER(O925),ISNUMBER(P925)),Coef_A+Coef_B1*O925+Coef_B2*P925,"")</f>
        <v>17.3793623587835</v>
      </c>
      <c r="U925" s="84" t="n">
        <f aca="false">IF(AND(R925=1,ISNUMBER(T925)),E925-T925,"")</f>
        <v>1.72063764121653</v>
      </c>
      <c r="V925" s="84" t="n">
        <f aca="false">IF(ISNUMBER(T925),T925,-99)</f>
        <v>17.3793623587835</v>
      </c>
      <c r="W925" s="84" t="n">
        <f aca="false">IF(ISNUMBER(U925),ABS(U925),"")</f>
        <v>1.72063764121653</v>
      </c>
    </row>
    <row r="926" customFormat="false" ht="15" hidden="false" customHeight="false" outlineLevel="0" collapsed="false">
      <c r="A926" s="57" t="n">
        <v>31174</v>
      </c>
      <c r="B926" s="56" t="n">
        <v>1985</v>
      </c>
      <c r="C926" s="56" t="n">
        <v>5</v>
      </c>
      <c r="D926" s="56" t="n">
        <v>7</v>
      </c>
      <c r="E926" s="56" t="n">
        <v>15.1</v>
      </c>
      <c r="F926" s="56" t="n">
        <v>0</v>
      </c>
      <c r="G926" s="56" t="n">
        <v>6.9</v>
      </c>
      <c r="H926" s="56" t="n">
        <v>0</v>
      </c>
      <c r="I926" s="56" t="n">
        <v>13</v>
      </c>
      <c r="J926" s="56" t="n">
        <v>0</v>
      </c>
      <c r="K926" s="56" t="n">
        <v>1010</v>
      </c>
      <c r="L926" s="56" t="n">
        <v>0</v>
      </c>
      <c r="M926" s="56" t="n">
        <v>63</v>
      </c>
      <c r="N926" s="56" t="n">
        <v>8.3</v>
      </c>
      <c r="O926" s="56" t="n">
        <f aca="false">IF(D926=1,"",E925)</f>
        <v>19.1</v>
      </c>
      <c r="P926" s="56" t="n">
        <f aca="false">IF(OR(D926=1,K925=""),"",K925)</f>
        <v>1005</v>
      </c>
      <c r="Q926" s="56" t="n">
        <f aca="false">IF(OR(F926&lt;&gt;0,AND(I926&lt;&gt;"",E926&lt;I926)),1,0)</f>
        <v>0</v>
      </c>
      <c r="R926" s="56" t="n">
        <f aca="false">IF(AND(D926&gt;1,Q926=0,ISNUMBER(O926),ISNUMBER(P926)),IF(Q925=0,1,0),0)</f>
        <v>1</v>
      </c>
      <c r="S926" s="56" t="n">
        <f aca="false">R926*(B926&gt;=Train_Start)*(B926&lt;=Train_End)</f>
        <v>1</v>
      </c>
      <c r="T926" s="84" t="n">
        <f aca="false">IF(AND(ISNUMBER(O926),ISNUMBER(P926)),Coef_A+Coef_B1*O926+Coef_B2*P926,"")</f>
        <v>19.2630981162698</v>
      </c>
      <c r="U926" s="84" t="n">
        <f aca="false">IF(AND(R926=1,ISNUMBER(T926)),E926-T926,"")</f>
        <v>-4.1630981162698</v>
      </c>
      <c r="V926" s="84" t="n">
        <f aca="false">IF(ISNUMBER(T926),T926,-99)</f>
        <v>19.2630981162698</v>
      </c>
      <c r="W926" s="84" t="n">
        <f aca="false">IF(ISNUMBER(U926),ABS(U926),"")</f>
        <v>4.1630981162698</v>
      </c>
    </row>
    <row r="927" customFormat="false" ht="15" hidden="false" customHeight="false" outlineLevel="0" collapsed="false">
      <c r="A927" s="57" t="n">
        <v>31175</v>
      </c>
      <c r="B927" s="56" t="n">
        <v>1985</v>
      </c>
      <c r="C927" s="56" t="n">
        <v>5</v>
      </c>
      <c r="D927" s="56" t="n">
        <v>8</v>
      </c>
      <c r="E927" s="56" t="n">
        <v>15.9</v>
      </c>
      <c r="F927" s="56" t="n">
        <v>0</v>
      </c>
      <c r="G927" s="56" t="n">
        <v>9.9</v>
      </c>
      <c r="H927" s="56" t="n">
        <v>0</v>
      </c>
      <c r="I927" s="56" t="n">
        <v>12.5</v>
      </c>
      <c r="J927" s="56" t="n">
        <v>0</v>
      </c>
      <c r="K927" s="56" t="n">
        <v>1012.1</v>
      </c>
      <c r="L927" s="56" t="n">
        <v>0</v>
      </c>
      <c r="M927" s="56" t="n">
        <v>73</v>
      </c>
      <c r="N927" s="56" t="n">
        <v>1</v>
      </c>
      <c r="O927" s="56" t="n">
        <f aca="false">IF(D927=1,"",E926)</f>
        <v>15.1</v>
      </c>
      <c r="P927" s="56" t="n">
        <f aca="false">IF(OR(D927=1,K926=""),"",K926)</f>
        <v>1010</v>
      </c>
      <c r="Q927" s="56" t="n">
        <f aca="false">IF(OR(F927&lt;&gt;0,AND(I927&lt;&gt;"",E927&lt;I927)),1,0)</f>
        <v>0</v>
      </c>
      <c r="R927" s="56" t="n">
        <f aca="false">IF(AND(D927&gt;1,Q927=0,ISNUMBER(O927),ISNUMBER(P927)),IF(Q926=0,1,0),0)</f>
        <v>1</v>
      </c>
      <c r="S927" s="56" t="n">
        <f aca="false">R927*(B927&gt;=Train_Start)*(B927&lt;=Train_End)</f>
        <v>1</v>
      </c>
      <c r="T927" s="84" t="n">
        <f aca="false">IF(AND(ISNUMBER(O927),ISNUMBER(P927)),Coef_A+Coef_B1*O927+Coef_B2*P927,"")</f>
        <v>16.1425908172691</v>
      </c>
      <c r="U927" s="84" t="n">
        <f aca="false">IF(AND(R927=1,ISNUMBER(T927)),E927-T927,"")</f>
        <v>-0.242590817269109</v>
      </c>
      <c r="V927" s="84" t="n">
        <f aca="false">IF(ISNUMBER(T927),T927,-99)</f>
        <v>16.1425908172691</v>
      </c>
      <c r="W927" s="84" t="n">
        <f aca="false">IF(ISNUMBER(U927),ABS(U927),"")</f>
        <v>0.242590817269109</v>
      </c>
    </row>
    <row r="928" customFormat="false" ht="15" hidden="false" customHeight="false" outlineLevel="0" collapsed="false">
      <c r="A928" s="57" t="n">
        <v>31176</v>
      </c>
      <c r="B928" s="56" t="n">
        <v>1985</v>
      </c>
      <c r="C928" s="56" t="n">
        <v>5</v>
      </c>
      <c r="D928" s="56" t="n">
        <v>9</v>
      </c>
      <c r="E928" s="56" t="n">
        <v>13</v>
      </c>
      <c r="F928" s="56" t="n">
        <v>0</v>
      </c>
      <c r="G928" s="56" t="n">
        <v>7.4</v>
      </c>
      <c r="H928" s="56" t="n">
        <v>0</v>
      </c>
      <c r="I928" s="56" t="n">
        <v>11.6</v>
      </c>
      <c r="J928" s="56" t="n">
        <v>0</v>
      </c>
      <c r="K928" s="56" t="n">
        <v>1010.8</v>
      </c>
      <c r="L928" s="56" t="n">
        <v>0</v>
      </c>
      <c r="M928" s="56" t="n">
        <v>61</v>
      </c>
      <c r="N928" s="56" t="n">
        <v>5.2</v>
      </c>
      <c r="O928" s="56" t="n">
        <f aca="false">IF(D928=1,"",E927)</f>
        <v>15.9</v>
      </c>
      <c r="P928" s="56" t="n">
        <f aca="false">IF(OR(D928=1,K927=""),"",K927)</f>
        <v>1012.1</v>
      </c>
      <c r="Q928" s="56" t="n">
        <f aca="false">IF(OR(F928&lt;&gt;0,AND(I928&lt;&gt;"",E928&lt;I928)),1,0)</f>
        <v>0</v>
      </c>
      <c r="R928" s="56" t="n">
        <f aca="false">IF(AND(D928&gt;1,Q928=0,ISNUMBER(O928),ISNUMBER(P928)),IF(Q927=0,1,0),0)</f>
        <v>1</v>
      </c>
      <c r="S928" s="56" t="n">
        <f aca="false">R928*(B928&gt;=Train_Start)*(B928&lt;=Train_End)</f>
        <v>1</v>
      </c>
      <c r="T928" s="84" t="n">
        <f aca="false">IF(AND(ISNUMBER(O928),ISNUMBER(P928)),Coef_A+Coef_B1*O928+Coef_B2*P928,"")</f>
        <v>16.8639389504346</v>
      </c>
      <c r="U928" s="84" t="n">
        <f aca="false">IF(AND(R928=1,ISNUMBER(T928)),E928-T928,"")</f>
        <v>-3.86393895043462</v>
      </c>
      <c r="V928" s="84" t="n">
        <f aca="false">IF(ISNUMBER(T928),T928,-99)</f>
        <v>16.8639389504346</v>
      </c>
      <c r="W928" s="84" t="n">
        <f aca="false">IF(ISNUMBER(U928),ABS(U928),"")</f>
        <v>3.86393895043462</v>
      </c>
    </row>
    <row r="929" customFormat="false" ht="15" hidden="false" customHeight="false" outlineLevel="0" collapsed="false">
      <c r="A929" s="57" t="n">
        <v>31177</v>
      </c>
      <c r="B929" s="56" t="n">
        <v>1985</v>
      </c>
      <c r="C929" s="56" t="n">
        <v>5</v>
      </c>
      <c r="D929" s="56" t="n">
        <v>10</v>
      </c>
      <c r="E929" s="56" t="n">
        <v>9.6</v>
      </c>
      <c r="F929" s="56" t="n">
        <v>0</v>
      </c>
      <c r="G929" s="56" t="n">
        <v>3.7</v>
      </c>
      <c r="H929" s="56" t="n">
        <v>0</v>
      </c>
      <c r="I929" s="56" t="n">
        <v>8.4</v>
      </c>
      <c r="J929" s="56" t="n">
        <v>0</v>
      </c>
      <c r="K929" s="56" t="n">
        <v>1017</v>
      </c>
      <c r="L929" s="56" t="n">
        <v>0</v>
      </c>
      <c r="M929" s="56" t="n">
        <v>78</v>
      </c>
      <c r="N929" s="56" t="n">
        <v>0.9</v>
      </c>
      <c r="O929" s="56" t="n">
        <f aca="false">IF(D929=1,"",E928)</f>
        <v>13</v>
      </c>
      <c r="P929" s="56" t="n">
        <f aca="false">IF(OR(D929=1,K928=""),"",K928)</f>
        <v>1010.8</v>
      </c>
      <c r="Q929" s="56" t="n">
        <f aca="false">IF(OR(F929&lt;&gt;0,AND(I929&lt;&gt;"",E929&lt;I929)),1,0)</f>
        <v>0</v>
      </c>
      <c r="R929" s="56" t="n">
        <f aca="false">IF(AND(D929&gt;1,Q929=0,ISNUMBER(O929),ISNUMBER(P929)),IF(Q928=0,1,0),0)</f>
        <v>1</v>
      </c>
      <c r="S929" s="56" t="n">
        <f aca="false">R929*(B929&gt;=Train_Start)*(B929&lt;=Train_End)</f>
        <v>1</v>
      </c>
      <c r="T929" s="84" t="n">
        <f aca="false">IF(AND(ISNUMBER(O929),ISNUMBER(P929)),Coef_A+Coef_B1*O929+Coef_B2*P929,"")</f>
        <v>14.4470744275867</v>
      </c>
      <c r="U929" s="84" t="n">
        <f aca="false">IF(AND(R929=1,ISNUMBER(T929)),E929-T929,"")</f>
        <v>-4.84707442758672</v>
      </c>
      <c r="V929" s="84" t="n">
        <f aca="false">IF(ISNUMBER(T929),T929,-99)</f>
        <v>14.4470744275867</v>
      </c>
      <c r="W929" s="84" t="n">
        <f aca="false">IF(ISNUMBER(U929),ABS(U929),"")</f>
        <v>4.84707442758672</v>
      </c>
    </row>
    <row r="930" customFormat="false" ht="15" hidden="false" customHeight="false" outlineLevel="0" collapsed="false">
      <c r="A930" s="57" t="n">
        <v>31178</v>
      </c>
      <c r="B930" s="56" t="n">
        <v>1985</v>
      </c>
      <c r="C930" s="56" t="n">
        <v>5</v>
      </c>
      <c r="D930" s="56" t="n">
        <v>11</v>
      </c>
      <c r="E930" s="56" t="n">
        <v>12.7</v>
      </c>
      <c r="F930" s="56" t="n">
        <v>0</v>
      </c>
      <c r="G930" s="56" t="n">
        <v>7.2</v>
      </c>
      <c r="H930" s="56" t="n">
        <v>0</v>
      </c>
      <c r="I930" s="56" t="n">
        <v>8.4</v>
      </c>
      <c r="J930" s="56" t="n">
        <v>0</v>
      </c>
      <c r="K930" s="56" t="n">
        <v>1021.8</v>
      </c>
      <c r="L930" s="56" t="n">
        <v>0</v>
      </c>
      <c r="M930" s="56" t="n">
        <v>81</v>
      </c>
      <c r="N930" s="56" t="n">
        <v>0</v>
      </c>
      <c r="O930" s="56" t="n">
        <f aca="false">IF(D930=1,"",E929)</f>
        <v>9.6</v>
      </c>
      <c r="P930" s="56" t="n">
        <f aca="false">IF(OR(D930=1,K929=""),"",K929)</f>
        <v>1017</v>
      </c>
      <c r="Q930" s="56" t="n">
        <f aca="false">IF(OR(F930&lt;&gt;0,AND(I930&lt;&gt;"",E930&lt;I930)),1,0)</f>
        <v>0</v>
      </c>
      <c r="R930" s="56" t="n">
        <f aca="false">IF(AND(D930&gt;1,Q930=0,ISNUMBER(O930),ISNUMBER(P930)),IF(Q929=0,1,0),0)</f>
        <v>1</v>
      </c>
      <c r="S930" s="56" t="n">
        <f aca="false">R930*(B930&gt;=Train_Start)*(B930&lt;=Train_End)</f>
        <v>1</v>
      </c>
      <c r="T930" s="84" t="n">
        <f aca="false">IF(AND(ISNUMBER(O930),ISNUMBER(P930)),Coef_A+Coef_B1*O930+Coef_B2*P930,"")</f>
        <v>11.8558145179724</v>
      </c>
      <c r="U930" s="84" t="n">
        <f aca="false">IF(AND(R930=1,ISNUMBER(T930)),E930-T930,"")</f>
        <v>0.844185482027577</v>
      </c>
      <c r="V930" s="84" t="n">
        <f aca="false">IF(ISNUMBER(T930),T930,-99)</f>
        <v>11.8558145179724</v>
      </c>
      <c r="W930" s="84" t="n">
        <f aca="false">IF(ISNUMBER(U930),ABS(U930),"")</f>
        <v>0.844185482027577</v>
      </c>
    </row>
    <row r="931" customFormat="false" ht="15" hidden="false" customHeight="false" outlineLevel="0" collapsed="false">
      <c r="A931" s="57" t="n">
        <v>31179</v>
      </c>
      <c r="B931" s="56" t="n">
        <v>1985</v>
      </c>
      <c r="C931" s="56" t="n">
        <v>5</v>
      </c>
      <c r="D931" s="56" t="n">
        <v>12</v>
      </c>
      <c r="E931" s="56" t="n">
        <v>14.5</v>
      </c>
      <c r="F931" s="56" t="n">
        <v>0</v>
      </c>
      <c r="G931" s="56" t="n">
        <v>5.9</v>
      </c>
      <c r="H931" s="56" t="n">
        <v>0</v>
      </c>
      <c r="I931" s="56" t="n">
        <v>9.3</v>
      </c>
      <c r="J931" s="56" t="n">
        <v>0</v>
      </c>
      <c r="K931" s="56" t="n">
        <v>1015</v>
      </c>
      <c r="L931" s="56" t="n">
        <v>0</v>
      </c>
      <c r="M931" s="56" t="n">
        <v>86</v>
      </c>
      <c r="N931" s="56" t="n">
        <v>0</v>
      </c>
      <c r="O931" s="56" t="n">
        <f aca="false">IF(D931=1,"",E930)</f>
        <v>12.7</v>
      </c>
      <c r="P931" s="56" t="n">
        <f aca="false">IF(OR(D931=1,K930=""),"",K930)</f>
        <v>1021.8</v>
      </c>
      <c r="Q931" s="56" t="n">
        <f aca="false">IF(OR(F931&lt;&gt;0,AND(I931&lt;&gt;"",E931&lt;I931)),1,0)</f>
        <v>0</v>
      </c>
      <c r="R931" s="56" t="n">
        <f aca="false">IF(AND(D931&gt;1,Q931=0,ISNUMBER(O931),ISNUMBER(P931)),IF(Q930=0,1,0),0)</f>
        <v>1</v>
      </c>
      <c r="S931" s="56" t="n">
        <f aca="false">R931*(B931&gt;=Train_Start)*(B931&lt;=Train_End)</f>
        <v>1</v>
      </c>
      <c r="T931" s="84" t="n">
        <f aca="false">IF(AND(ISNUMBER(O931),ISNUMBER(P931)),Coef_A+Coef_B1*O931+Coef_B2*P931,"")</f>
        <v>14.5463415106478</v>
      </c>
      <c r="U931" s="84" t="n">
        <f aca="false">IF(AND(R931=1,ISNUMBER(T931)),E931-T931,"")</f>
        <v>-0.0463415106478067</v>
      </c>
      <c r="V931" s="84" t="n">
        <f aca="false">IF(ISNUMBER(T931),T931,-99)</f>
        <v>14.5463415106478</v>
      </c>
      <c r="W931" s="84" t="n">
        <f aca="false">IF(ISNUMBER(U931),ABS(U931),"")</f>
        <v>0.0463415106478067</v>
      </c>
    </row>
    <row r="932" customFormat="false" ht="15" hidden="false" customHeight="false" outlineLevel="0" collapsed="false">
      <c r="A932" s="57" t="n">
        <v>31180</v>
      </c>
      <c r="B932" s="56" t="n">
        <v>1985</v>
      </c>
      <c r="C932" s="56" t="n">
        <v>5</v>
      </c>
      <c r="D932" s="56" t="n">
        <v>13</v>
      </c>
      <c r="E932" s="56" t="n">
        <v>11.8</v>
      </c>
      <c r="F932" s="56" t="n">
        <v>0</v>
      </c>
      <c r="G932" s="56" t="n">
        <v>7.4</v>
      </c>
      <c r="H932" s="56" t="n">
        <v>0</v>
      </c>
      <c r="I932" s="56" t="n">
        <v>11</v>
      </c>
      <c r="J932" s="56" t="n">
        <v>0</v>
      </c>
      <c r="K932" s="56" t="n">
        <v>1009.9</v>
      </c>
      <c r="L932" s="56" t="n">
        <v>0</v>
      </c>
      <c r="M932" s="56" t="n">
        <v>86</v>
      </c>
      <c r="N932" s="56" t="n">
        <v>2.4</v>
      </c>
      <c r="O932" s="56" t="n">
        <f aca="false">IF(D932=1,"",E931)</f>
        <v>14.5</v>
      </c>
      <c r="P932" s="56" t="n">
        <f aca="false">IF(OR(D932=1,K931=""),"",K931)</f>
        <v>1015</v>
      </c>
      <c r="Q932" s="56" t="n">
        <f aca="false">IF(OR(F932&lt;&gt;0,AND(I932&lt;&gt;"",E932&lt;I932)),1,0)</f>
        <v>0</v>
      </c>
      <c r="R932" s="56" t="n">
        <f aca="false">IF(AND(D932&gt;1,Q932=0,ISNUMBER(O932),ISNUMBER(P932)),IF(Q931=0,1,0),0)</f>
        <v>1</v>
      </c>
      <c r="S932" s="56" t="n">
        <f aca="false">R932*(B932&gt;=Train_Start)*(B932&lt;=Train_End)</f>
        <v>1</v>
      </c>
      <c r="T932" s="84" t="n">
        <f aca="false">IF(AND(ISNUMBER(O932),ISNUMBER(P932)),Coef_A+Coef_B1*O932+Coef_B2*P932,"")</f>
        <v>15.8078367746135</v>
      </c>
      <c r="U932" s="84" t="n">
        <f aca="false">IF(AND(R932=1,ISNUMBER(T932)),E932-T932,"")</f>
        <v>-4.00783677461347</v>
      </c>
      <c r="V932" s="84" t="n">
        <f aca="false">IF(ISNUMBER(T932),T932,-99)</f>
        <v>15.8078367746135</v>
      </c>
      <c r="W932" s="84" t="n">
        <f aca="false">IF(ISNUMBER(U932),ABS(U932),"")</f>
        <v>4.00783677461347</v>
      </c>
    </row>
    <row r="933" customFormat="false" ht="15" hidden="false" customHeight="false" outlineLevel="0" collapsed="false">
      <c r="A933" s="57" t="n">
        <v>31181</v>
      </c>
      <c r="B933" s="56" t="n">
        <v>1985</v>
      </c>
      <c r="C933" s="56" t="n">
        <v>5</v>
      </c>
      <c r="D933" s="56" t="n">
        <v>14</v>
      </c>
      <c r="E933" s="56" t="n">
        <v>16.3</v>
      </c>
      <c r="F933" s="56" t="n">
        <v>0</v>
      </c>
      <c r="G933" s="56" t="n">
        <v>8</v>
      </c>
      <c r="H933" s="56" t="n">
        <v>0</v>
      </c>
      <c r="I933" s="56" t="n">
        <v>9.9</v>
      </c>
      <c r="J933" s="56" t="n">
        <v>0</v>
      </c>
      <c r="K933" s="56" t="n">
        <v>1006.9</v>
      </c>
      <c r="L933" s="56" t="n">
        <v>0</v>
      </c>
      <c r="M933" s="56" t="n">
        <v>94</v>
      </c>
      <c r="N933" s="56" t="n">
        <v>0</v>
      </c>
      <c r="O933" s="56" t="n">
        <f aca="false">IF(D933=1,"",E932)</f>
        <v>11.8</v>
      </c>
      <c r="P933" s="56" t="n">
        <f aca="false">IF(OR(D933=1,K932=""),"",K932)</f>
        <v>1009.9</v>
      </c>
      <c r="Q933" s="56" t="n">
        <f aca="false">IF(OR(F933&lt;&gt;0,AND(I933&lt;&gt;"",E933&lt;I933)),1,0)</f>
        <v>0</v>
      </c>
      <c r="R933" s="56" t="n">
        <f aca="false">IF(AND(D933&gt;1,Q933=0,ISNUMBER(O933),ISNUMBER(P933)),IF(Q932=0,1,0),0)</f>
        <v>1</v>
      </c>
      <c r="S933" s="56" t="n">
        <f aca="false">R933*(B933&gt;=Train_Start)*(B933&lt;=Train_End)</f>
        <v>1</v>
      </c>
      <c r="T933" s="84" t="n">
        <f aca="false">IF(AND(ISNUMBER(O933),ISNUMBER(P933)),Coef_A+Coef_B1*O933+Coef_B2*P933,"")</f>
        <v>13.4356344907649</v>
      </c>
      <c r="U933" s="84" t="n">
        <f aca="false">IF(AND(R933=1,ISNUMBER(T933)),E933-T933,"")</f>
        <v>2.86436550923506</v>
      </c>
      <c r="V933" s="84" t="n">
        <f aca="false">IF(ISNUMBER(T933),T933,-99)</f>
        <v>13.4356344907649</v>
      </c>
      <c r="W933" s="84" t="n">
        <f aca="false">IF(ISNUMBER(U933),ABS(U933),"")</f>
        <v>2.86436550923506</v>
      </c>
    </row>
    <row r="934" customFormat="false" ht="15" hidden="false" customHeight="false" outlineLevel="0" collapsed="false">
      <c r="A934" s="57" t="n">
        <v>31182</v>
      </c>
      <c r="B934" s="56" t="n">
        <v>1985</v>
      </c>
      <c r="C934" s="56" t="n">
        <v>5</v>
      </c>
      <c r="D934" s="56" t="n">
        <v>15</v>
      </c>
      <c r="E934" s="56" t="n">
        <v>20.8</v>
      </c>
      <c r="F934" s="56" t="n">
        <v>0</v>
      </c>
      <c r="G934" s="56" t="n">
        <v>9.3</v>
      </c>
      <c r="H934" s="56" t="n">
        <v>0</v>
      </c>
      <c r="I934" s="56" t="n">
        <v>12.8</v>
      </c>
      <c r="J934" s="56" t="n">
        <v>0</v>
      </c>
      <c r="K934" s="56" t="n">
        <v>1010.8</v>
      </c>
      <c r="L934" s="56" t="n">
        <v>0</v>
      </c>
      <c r="M934" s="56" t="n">
        <v>78</v>
      </c>
      <c r="N934" s="56" t="n">
        <v>1.9</v>
      </c>
      <c r="O934" s="56" t="n">
        <f aca="false">IF(D934=1,"",E933)</f>
        <v>16.3</v>
      </c>
      <c r="P934" s="56" t="n">
        <f aca="false">IF(OR(D934=1,K933=""),"",K933)</f>
        <v>1006.9</v>
      </c>
      <c r="Q934" s="56" t="n">
        <f aca="false">IF(OR(F934&lt;&gt;0,AND(I934&lt;&gt;"",E934&lt;I934)),1,0)</f>
        <v>0</v>
      </c>
      <c r="R934" s="56" t="n">
        <f aca="false">IF(AND(D934&gt;1,Q934=0,ISNUMBER(O934),ISNUMBER(P934)),IF(Q933=0,1,0),0)</f>
        <v>1</v>
      </c>
      <c r="S934" s="56" t="n">
        <f aca="false">R934*(B934&gt;=Train_Start)*(B934&lt;=Train_End)</f>
        <v>1</v>
      </c>
      <c r="T934" s="84" t="n">
        <f aca="false">IF(AND(ISNUMBER(O934),ISNUMBER(P934)),Coef_A+Coef_B1*O934+Coef_B2*P934,"")</f>
        <v>17.0285511755549</v>
      </c>
      <c r="U934" s="84" t="n">
        <f aca="false">IF(AND(R934=1,ISNUMBER(T934)),E934-T934,"")</f>
        <v>3.77144882444506</v>
      </c>
      <c r="V934" s="84" t="n">
        <f aca="false">IF(ISNUMBER(T934),T934,-99)</f>
        <v>17.0285511755549</v>
      </c>
      <c r="W934" s="84" t="n">
        <f aca="false">IF(ISNUMBER(U934),ABS(U934),"")</f>
        <v>3.77144882444506</v>
      </c>
    </row>
    <row r="935" customFormat="false" ht="15" hidden="false" customHeight="false" outlineLevel="0" collapsed="false">
      <c r="A935" s="57" t="n">
        <v>31183</v>
      </c>
      <c r="B935" s="56" t="n">
        <v>1985</v>
      </c>
      <c r="C935" s="56" t="n">
        <v>5</v>
      </c>
      <c r="D935" s="56" t="n">
        <v>16</v>
      </c>
      <c r="E935" s="56" t="n">
        <v>21.4</v>
      </c>
      <c r="F935" s="56" t="n">
        <v>0</v>
      </c>
      <c r="G935" s="56" t="n">
        <v>5.7</v>
      </c>
      <c r="H935" s="56" t="n">
        <v>0</v>
      </c>
      <c r="I935" s="56" t="n">
        <v>13.2</v>
      </c>
      <c r="J935" s="56" t="n">
        <v>0</v>
      </c>
      <c r="K935" s="56" t="n">
        <v>1018.8</v>
      </c>
      <c r="L935" s="56" t="n">
        <v>0</v>
      </c>
      <c r="M935" s="56" t="n">
        <v>69</v>
      </c>
      <c r="N935" s="56" t="n">
        <v>11.7</v>
      </c>
      <c r="O935" s="56" t="n">
        <f aca="false">IF(D935=1,"",E934)</f>
        <v>20.8</v>
      </c>
      <c r="P935" s="56" t="n">
        <f aca="false">IF(OR(D935=1,K934=""),"",K934)</f>
        <v>1010.8</v>
      </c>
      <c r="Q935" s="56" t="n">
        <f aca="false">IF(OR(F935&lt;&gt;0,AND(I935&lt;&gt;"",E935&lt;I935)),1,0)</f>
        <v>0</v>
      </c>
      <c r="R935" s="56" t="n">
        <f aca="false">IF(AND(D935&gt;1,Q935=0,ISNUMBER(O935),ISNUMBER(P935)),IF(Q934=0,1,0),0)</f>
        <v>1</v>
      </c>
      <c r="S935" s="56" t="n">
        <f aca="false">R935*(B935&gt;=Train_Start)*(B935&lt;=Train_End)</f>
        <v>1</v>
      </c>
      <c r="T935" s="84" t="n">
        <f aca="false">IF(AND(ISNUMBER(O935),ISNUMBER(P935)),Coef_A+Coef_B1*O935+Coef_B2*P935,"")</f>
        <v>20.8379201333195</v>
      </c>
      <c r="U935" s="84" t="n">
        <f aca="false">IF(AND(R935=1,ISNUMBER(T935)),E935-T935,"")</f>
        <v>0.562079866680548</v>
      </c>
      <c r="V935" s="84" t="n">
        <f aca="false">IF(ISNUMBER(T935),T935,-99)</f>
        <v>20.8379201333195</v>
      </c>
      <c r="W935" s="84" t="n">
        <f aca="false">IF(ISNUMBER(U935),ABS(U935),"")</f>
        <v>0.562079866680548</v>
      </c>
    </row>
    <row r="936" customFormat="false" ht="15" hidden="false" customHeight="false" outlineLevel="0" collapsed="false">
      <c r="A936" s="57" t="n">
        <v>31184</v>
      </c>
      <c r="B936" s="56" t="n">
        <v>1985</v>
      </c>
      <c r="C936" s="56" t="n">
        <v>5</v>
      </c>
      <c r="D936" s="56" t="n">
        <v>17</v>
      </c>
      <c r="E936" s="56" t="n">
        <v>21.3</v>
      </c>
      <c r="F936" s="56" t="n">
        <v>0</v>
      </c>
      <c r="G936" s="56" t="n">
        <v>9.2</v>
      </c>
      <c r="H936" s="56" t="n">
        <v>0</v>
      </c>
      <c r="I936" s="56" t="n">
        <v>15.3</v>
      </c>
      <c r="J936" s="56" t="n">
        <v>0</v>
      </c>
      <c r="K936" s="56" t="n">
        <v>1022.9</v>
      </c>
      <c r="L936" s="56" t="n">
        <v>0</v>
      </c>
      <c r="M936" s="56" t="n">
        <v>68</v>
      </c>
      <c r="N936" s="56" t="n">
        <v>7.8</v>
      </c>
      <c r="O936" s="56" t="n">
        <f aca="false">IF(D936=1,"",E935)</f>
        <v>21.4</v>
      </c>
      <c r="P936" s="56" t="n">
        <f aca="false">IF(OR(D936=1,K935=""),"",K935)</f>
        <v>1018.8</v>
      </c>
      <c r="Q936" s="56" t="n">
        <f aca="false">IF(OR(F936&lt;&gt;0,AND(I936&lt;&gt;"",E936&lt;I936)),1,0)</f>
        <v>0</v>
      </c>
      <c r="R936" s="56" t="n">
        <f aca="false">IF(AND(D936&gt;1,Q936=0,ISNUMBER(O936),ISNUMBER(P936)),IF(Q935=0,1,0),0)</f>
        <v>1</v>
      </c>
      <c r="S936" s="56" t="n">
        <f aca="false">R936*(B936&gt;=Train_Start)*(B936&lt;=Train_End)</f>
        <v>1</v>
      </c>
      <c r="T936" s="84" t="n">
        <f aca="false">IF(AND(ISNUMBER(O936),ISNUMBER(P936)),Coef_A+Coef_B1*O936+Coef_B2*P936,"")</f>
        <v>21.580482806217</v>
      </c>
      <c r="U936" s="84" t="n">
        <f aca="false">IF(AND(R936=1,ISNUMBER(T936)),E936-T936,"")</f>
        <v>-0.280482806216963</v>
      </c>
      <c r="V936" s="84" t="n">
        <f aca="false">IF(ISNUMBER(T936),T936,-99)</f>
        <v>21.580482806217</v>
      </c>
      <c r="W936" s="84" t="n">
        <f aca="false">IF(ISNUMBER(U936),ABS(U936),"")</f>
        <v>0.280482806216963</v>
      </c>
    </row>
    <row r="937" customFormat="false" ht="15" hidden="false" customHeight="false" outlineLevel="0" collapsed="false">
      <c r="A937" s="57" t="n">
        <v>31185</v>
      </c>
      <c r="B937" s="56" t="n">
        <v>1985</v>
      </c>
      <c r="C937" s="56" t="n">
        <v>5</v>
      </c>
      <c r="D937" s="56" t="n">
        <v>18</v>
      </c>
      <c r="E937" s="56" t="n">
        <v>15.8</v>
      </c>
      <c r="F937" s="56" t="n">
        <v>0</v>
      </c>
      <c r="G937" s="56" t="n">
        <v>9.5</v>
      </c>
      <c r="H937" s="56" t="n">
        <v>0</v>
      </c>
      <c r="I937" s="56" t="n">
        <v>15.4</v>
      </c>
      <c r="J937" s="56" t="n">
        <v>0</v>
      </c>
      <c r="K937" s="56" t="n">
        <v>1020.8</v>
      </c>
      <c r="L937" s="56" t="n">
        <v>0</v>
      </c>
      <c r="M937" s="56" t="n">
        <v>64</v>
      </c>
      <c r="N937" s="56" t="n">
        <v>6.2</v>
      </c>
      <c r="O937" s="56" t="n">
        <f aca="false">IF(D937=1,"",E936)</f>
        <v>21.3</v>
      </c>
      <c r="P937" s="56" t="n">
        <f aca="false">IF(OR(D937=1,K936=""),"",K936)</f>
        <v>1022.9</v>
      </c>
      <c r="Q937" s="56" t="n">
        <f aca="false">IF(OR(F937&lt;&gt;0,AND(I937&lt;&gt;"",E937&lt;I937)),1,0)</f>
        <v>0</v>
      </c>
      <c r="R937" s="56" t="n">
        <f aca="false">IF(AND(D937&gt;1,Q937=0,ISNUMBER(O937),ISNUMBER(P937)),IF(Q936=0,1,0),0)</f>
        <v>1</v>
      </c>
      <c r="S937" s="56" t="n">
        <f aca="false">R937*(B937&gt;=Train_Start)*(B937&lt;=Train_End)</f>
        <v>1</v>
      </c>
      <c r="T937" s="84" t="n">
        <f aca="false">IF(AND(ISNUMBER(O937),ISNUMBER(P937)),Coef_A+Coef_B1*O937+Coef_B2*P937,"")</f>
        <v>21.6271654549121</v>
      </c>
      <c r="U937" s="84" t="n">
        <f aca="false">IF(AND(R937=1,ISNUMBER(T937)),E937-T937,"")</f>
        <v>-5.82716545491205</v>
      </c>
      <c r="V937" s="84" t="n">
        <f aca="false">IF(ISNUMBER(T937),T937,-99)</f>
        <v>21.6271654549121</v>
      </c>
      <c r="W937" s="84" t="n">
        <f aca="false">IF(ISNUMBER(U937),ABS(U937),"")</f>
        <v>5.82716545491205</v>
      </c>
    </row>
    <row r="938" customFormat="false" ht="15" hidden="false" customHeight="false" outlineLevel="0" collapsed="false">
      <c r="A938" s="57" t="n">
        <v>31186</v>
      </c>
      <c r="B938" s="56" t="n">
        <v>1985</v>
      </c>
      <c r="C938" s="56" t="n">
        <v>5</v>
      </c>
      <c r="D938" s="56" t="n">
        <v>19</v>
      </c>
      <c r="E938" s="56" t="n">
        <v>19.8</v>
      </c>
      <c r="F938" s="56" t="n">
        <v>0</v>
      </c>
      <c r="G938" s="56" t="n">
        <v>10.5</v>
      </c>
      <c r="H938" s="56" t="n">
        <v>0</v>
      </c>
      <c r="I938" s="56" t="n">
        <v>13.2</v>
      </c>
      <c r="J938" s="56" t="n">
        <v>0</v>
      </c>
      <c r="K938" s="56" t="n">
        <v>1016.5</v>
      </c>
      <c r="L938" s="56" t="n">
        <v>0</v>
      </c>
      <c r="M938" s="56" t="n">
        <v>82</v>
      </c>
      <c r="N938" s="56" t="n">
        <v>0</v>
      </c>
      <c r="O938" s="56" t="n">
        <f aca="false">IF(D938=1,"",E937)</f>
        <v>15.8</v>
      </c>
      <c r="P938" s="56" t="n">
        <f aca="false">IF(OR(D938=1,K937=""),"",K937)</f>
        <v>1020.8</v>
      </c>
      <c r="Q938" s="56" t="n">
        <f aca="false">IF(OR(F938&lt;&gt;0,AND(I938&lt;&gt;"",E938&lt;I938)),1,0)</f>
        <v>0</v>
      </c>
      <c r="R938" s="56" t="n">
        <f aca="false">IF(AND(D938&gt;1,Q938=0,ISNUMBER(O938),ISNUMBER(P938)),IF(Q937=0,1,0),0)</f>
        <v>1</v>
      </c>
      <c r="S938" s="56" t="n">
        <f aca="false">R938*(B938&gt;=Train_Start)*(B938&lt;=Train_End)</f>
        <v>1</v>
      </c>
      <c r="T938" s="84" t="n">
        <f aca="false">IF(AND(ISNUMBER(O938),ISNUMBER(P938)),Coef_A+Coef_B1*O938+Coef_B2*P938,"")</f>
        <v>17.0549231144461</v>
      </c>
      <c r="U938" s="84" t="n">
        <f aca="false">IF(AND(R938=1,ISNUMBER(T938)),E938-T938,"")</f>
        <v>2.74507688555395</v>
      </c>
      <c r="V938" s="84" t="n">
        <f aca="false">IF(ISNUMBER(T938),T938,-99)</f>
        <v>17.0549231144461</v>
      </c>
      <c r="W938" s="84" t="n">
        <f aca="false">IF(ISNUMBER(U938),ABS(U938),"")</f>
        <v>2.74507688555395</v>
      </c>
    </row>
    <row r="939" customFormat="false" ht="15" hidden="false" customHeight="false" outlineLevel="0" collapsed="false">
      <c r="A939" s="57" t="n">
        <v>31187</v>
      </c>
      <c r="B939" s="56" t="n">
        <v>1985</v>
      </c>
      <c r="C939" s="56" t="n">
        <v>5</v>
      </c>
      <c r="D939" s="56" t="n">
        <v>20</v>
      </c>
      <c r="E939" s="56" t="n">
        <v>16.4</v>
      </c>
      <c r="F939" s="56" t="n">
        <v>0</v>
      </c>
      <c r="G939" s="56" t="n">
        <v>9.9</v>
      </c>
      <c r="H939" s="56" t="n">
        <v>0</v>
      </c>
      <c r="I939" s="56" t="n">
        <v>14.8</v>
      </c>
      <c r="J939" s="56" t="n">
        <v>0</v>
      </c>
      <c r="K939" s="56" t="n">
        <v>1012.2</v>
      </c>
      <c r="L939" s="56" t="n">
        <v>0</v>
      </c>
      <c r="M939" s="56" t="n">
        <v>83</v>
      </c>
      <c r="N939" s="56" t="n">
        <v>2.1</v>
      </c>
      <c r="O939" s="56" t="n">
        <f aca="false">IF(D939=1,"",E938)</f>
        <v>19.8</v>
      </c>
      <c r="P939" s="56" t="n">
        <f aca="false">IF(OR(D939=1,K938=""),"",K938)</f>
        <v>1016.5</v>
      </c>
      <c r="Q939" s="56" t="n">
        <f aca="false">IF(OR(F939&lt;&gt;0,AND(I939&lt;&gt;"",E939&lt;I939)),1,0)</f>
        <v>0</v>
      </c>
      <c r="R939" s="56" t="n">
        <f aca="false">IF(AND(D939&gt;1,Q939=0,ISNUMBER(O939),ISNUMBER(P939)),IF(Q938=0,1,0),0)</f>
        <v>1</v>
      </c>
      <c r="S939" s="56" t="n">
        <f aca="false">R939*(B939&gt;=Train_Start)*(B939&lt;=Train_End)</f>
        <v>1</v>
      </c>
      <c r="T939" s="84" t="n">
        <f aca="false">IF(AND(ISNUMBER(O939),ISNUMBER(P939)),Coef_A+Coef_B1*O939+Coef_B2*P939,"")</f>
        <v>20.1973893396905</v>
      </c>
      <c r="U939" s="84" t="n">
        <f aca="false">IF(AND(R939=1,ISNUMBER(T939)),E939-T939,"")</f>
        <v>-3.79738933969054</v>
      </c>
      <c r="V939" s="84" t="n">
        <f aca="false">IF(ISNUMBER(T939),T939,-99)</f>
        <v>20.1973893396905</v>
      </c>
      <c r="W939" s="84" t="n">
        <f aca="false">IF(ISNUMBER(U939),ABS(U939),"")</f>
        <v>3.79738933969054</v>
      </c>
    </row>
    <row r="940" customFormat="false" ht="15" hidden="false" customHeight="false" outlineLevel="0" collapsed="false">
      <c r="A940" s="57" t="n">
        <v>31188</v>
      </c>
      <c r="B940" s="56" t="n">
        <v>1985</v>
      </c>
      <c r="C940" s="56" t="n">
        <v>5</v>
      </c>
      <c r="D940" s="56" t="n">
        <v>21</v>
      </c>
      <c r="E940" s="56" t="n">
        <v>15</v>
      </c>
      <c r="F940" s="56" t="n">
        <v>0</v>
      </c>
      <c r="G940" s="56" t="n">
        <v>12.1</v>
      </c>
      <c r="H940" s="56" t="n">
        <v>0</v>
      </c>
      <c r="I940" s="56" t="n">
        <v>14.2</v>
      </c>
      <c r="J940" s="56" t="n">
        <v>0</v>
      </c>
      <c r="K940" s="56" t="n">
        <v>1009.3</v>
      </c>
      <c r="L940" s="56" t="n">
        <v>0</v>
      </c>
      <c r="M940" s="56" t="n">
        <v>85</v>
      </c>
      <c r="N940" s="56" t="n">
        <v>3.8</v>
      </c>
      <c r="O940" s="56" t="n">
        <f aca="false">IF(D940=1,"",E939)</f>
        <v>16.4</v>
      </c>
      <c r="P940" s="56" t="n">
        <f aca="false">IF(OR(D940=1,K939=""),"",K939)</f>
        <v>1012.2</v>
      </c>
      <c r="Q940" s="56" t="n">
        <f aca="false">IF(OR(F940&lt;&gt;0,AND(I940&lt;&gt;"",E940&lt;I940)),1,0)</f>
        <v>0</v>
      </c>
      <c r="R940" s="56" t="n">
        <f aca="false">IF(AND(D940&gt;1,Q940=0,ISNUMBER(O940),ISNUMBER(P940)),IF(Q939=0,1,0),0)</f>
        <v>1</v>
      </c>
      <c r="S940" s="56" t="n">
        <f aca="false">R940*(B940&gt;=Train_Start)*(B940&lt;=Train_End)</f>
        <v>1</v>
      </c>
      <c r="T940" s="84" t="n">
        <f aca="false">IF(AND(ISNUMBER(O940),ISNUMBER(P940)),Coef_A+Coef_B1*O940+Coef_B2*P940,"")</f>
        <v>17.2767455364193</v>
      </c>
      <c r="U940" s="84" t="n">
        <f aca="false">IF(AND(R940=1,ISNUMBER(T940)),E940-T940,"")</f>
        <v>-2.27674553641934</v>
      </c>
      <c r="V940" s="84" t="n">
        <f aca="false">IF(ISNUMBER(T940),T940,-99)</f>
        <v>17.2767455364193</v>
      </c>
      <c r="W940" s="84" t="n">
        <f aca="false">IF(ISNUMBER(U940),ABS(U940),"")</f>
        <v>2.27674553641934</v>
      </c>
    </row>
    <row r="941" customFormat="false" ht="15" hidden="false" customHeight="false" outlineLevel="0" collapsed="false">
      <c r="A941" s="57" t="n">
        <v>31189</v>
      </c>
      <c r="B941" s="56" t="n">
        <v>1985</v>
      </c>
      <c r="C941" s="56" t="n">
        <v>5</v>
      </c>
      <c r="D941" s="56" t="n">
        <v>22</v>
      </c>
      <c r="E941" s="56" t="n">
        <v>15.8</v>
      </c>
      <c r="F941" s="56" t="n">
        <v>0</v>
      </c>
      <c r="G941" s="56" t="n">
        <v>10.2</v>
      </c>
      <c r="H941" s="56" t="n">
        <v>0</v>
      </c>
      <c r="I941" s="56" t="n">
        <v>12.6</v>
      </c>
      <c r="J941" s="56" t="n">
        <v>0</v>
      </c>
      <c r="K941" s="56" t="n">
        <v>1006.7</v>
      </c>
      <c r="L941" s="56" t="n">
        <v>0</v>
      </c>
      <c r="M941" s="56" t="n">
        <v>79</v>
      </c>
      <c r="N941" s="56" t="n">
        <v>2.1</v>
      </c>
      <c r="O941" s="56" t="n">
        <f aca="false">IF(D941=1,"",E940)</f>
        <v>15</v>
      </c>
      <c r="P941" s="56" t="n">
        <f aca="false">IF(OR(D941=1,K940=""),"",K940)</f>
        <v>1009.3</v>
      </c>
      <c r="Q941" s="56" t="n">
        <f aca="false">IF(OR(F941&lt;&gt;0,AND(I941&lt;&gt;"",E941&lt;I941)),1,0)</f>
        <v>0</v>
      </c>
      <c r="R941" s="56" t="n">
        <f aca="false">IF(AND(D941&gt;1,Q941=0,ISNUMBER(O941),ISNUMBER(P941)),IF(Q940=0,1,0),0)</f>
        <v>1</v>
      </c>
      <c r="S941" s="56" t="n">
        <f aca="false">R941*(B941&gt;=Train_Start)*(B941&lt;=Train_End)</f>
        <v>1</v>
      </c>
      <c r="T941" s="84" t="n">
        <f aca="false">IF(AND(ISNUMBER(O941),ISNUMBER(P941)),Coef_A+Coef_B1*O941+Coef_B2*P941,"")</f>
        <v>16.0386979717211</v>
      </c>
      <c r="U941" s="84" t="n">
        <f aca="false">IF(AND(R941=1,ISNUMBER(T941)),E941-T941,"")</f>
        <v>-0.238697971721052</v>
      </c>
      <c r="V941" s="84" t="n">
        <f aca="false">IF(ISNUMBER(T941),T941,-99)</f>
        <v>16.0386979717211</v>
      </c>
      <c r="W941" s="84" t="n">
        <f aca="false">IF(ISNUMBER(U941),ABS(U941),"")</f>
        <v>0.238697971721052</v>
      </c>
    </row>
    <row r="942" customFormat="false" ht="15" hidden="false" customHeight="false" outlineLevel="0" collapsed="false">
      <c r="A942" s="57" t="n">
        <v>31190</v>
      </c>
      <c r="B942" s="56" t="n">
        <v>1985</v>
      </c>
      <c r="C942" s="56" t="n">
        <v>5</v>
      </c>
      <c r="D942" s="56" t="n">
        <v>23</v>
      </c>
      <c r="E942" s="56" t="n">
        <v>16.9</v>
      </c>
      <c r="F942" s="56" t="n">
        <v>0</v>
      </c>
      <c r="G942" s="56" t="n">
        <v>8.9</v>
      </c>
      <c r="H942" s="56" t="n">
        <v>0</v>
      </c>
      <c r="I942" s="56" t="n">
        <v>12.4</v>
      </c>
      <c r="J942" s="56" t="n">
        <v>0</v>
      </c>
      <c r="K942" s="56" t="n">
        <v>1006.4</v>
      </c>
      <c r="L942" s="56" t="n">
        <v>0</v>
      </c>
      <c r="M942" s="56" t="n">
        <v>75</v>
      </c>
      <c r="N942" s="56" t="n">
        <v>3.3</v>
      </c>
      <c r="O942" s="56" t="n">
        <f aca="false">IF(D942=1,"",E941)</f>
        <v>15.8</v>
      </c>
      <c r="P942" s="56" t="n">
        <f aca="false">IF(OR(D942=1,K941=""),"",K941)</f>
        <v>1006.7</v>
      </c>
      <c r="Q942" s="56" t="n">
        <f aca="false">IF(OR(F942&lt;&gt;0,AND(I942&lt;&gt;"",E942&lt;I942)),1,0)</f>
        <v>0</v>
      </c>
      <c r="R942" s="56" t="n">
        <f aca="false">IF(AND(D942&gt;1,Q942=0,ISNUMBER(O942),ISNUMBER(P942)),IF(Q941=0,1,0),0)</f>
        <v>1</v>
      </c>
      <c r="S942" s="56" t="n">
        <f aca="false">R942*(B942&gt;=Train_Start)*(B942&lt;=Train_End)</f>
        <v>1</v>
      </c>
      <c r="T942" s="84" t="n">
        <f aca="false">IF(AND(ISNUMBER(O942),ISNUMBER(P942)),Coef_A+Coef_B1*O942+Coef_B2*P942,"")</f>
        <v>16.6126076001068</v>
      </c>
      <c r="U942" s="84" t="n">
        <f aca="false">IF(AND(R942=1,ISNUMBER(T942)),E942-T942,"")</f>
        <v>0.287392399893186</v>
      </c>
      <c r="V942" s="84" t="n">
        <f aca="false">IF(ISNUMBER(T942),T942,-99)</f>
        <v>16.6126076001068</v>
      </c>
      <c r="W942" s="84" t="n">
        <f aca="false">IF(ISNUMBER(U942),ABS(U942),"")</f>
        <v>0.287392399893186</v>
      </c>
    </row>
    <row r="943" customFormat="false" ht="15" hidden="false" customHeight="false" outlineLevel="0" collapsed="false">
      <c r="A943" s="57" t="n">
        <v>31191</v>
      </c>
      <c r="B943" s="56" t="n">
        <v>1985</v>
      </c>
      <c r="C943" s="56" t="n">
        <v>5</v>
      </c>
      <c r="D943" s="56" t="n">
        <v>24</v>
      </c>
      <c r="E943" s="56" t="n">
        <v>19.6</v>
      </c>
      <c r="F943" s="56" t="n">
        <v>0</v>
      </c>
      <c r="G943" s="56" t="n">
        <v>9.8</v>
      </c>
      <c r="H943" s="56" t="n">
        <v>0</v>
      </c>
      <c r="I943" s="56" t="n">
        <v>13.4</v>
      </c>
      <c r="J943" s="56" t="n">
        <v>0</v>
      </c>
      <c r="K943" s="56" t="n">
        <v>1005.6</v>
      </c>
      <c r="L943" s="56" t="n">
        <v>0</v>
      </c>
      <c r="M943" s="56" t="n">
        <v>78</v>
      </c>
      <c r="N943" s="56" t="n">
        <v>4.9</v>
      </c>
      <c r="O943" s="56" t="n">
        <f aca="false">IF(D943=1,"",E942)</f>
        <v>16.9</v>
      </c>
      <c r="P943" s="56" t="n">
        <f aca="false">IF(OR(D943=1,K942=""),"",K942)</f>
        <v>1006.4</v>
      </c>
      <c r="Q943" s="56" t="n">
        <f aca="false">IF(OR(F943&lt;&gt;0,AND(I943&lt;&gt;"",E943&lt;I943)),1,0)</f>
        <v>0</v>
      </c>
      <c r="R943" s="56" t="n">
        <f aca="false">IF(AND(D943&gt;1,Q943=0,ISNUMBER(O943),ISNUMBER(P943)),IF(Q942=0,1,0),0)</f>
        <v>1</v>
      </c>
      <c r="S943" s="56" t="n">
        <f aca="false">R943*(B943&gt;=Train_Start)*(B943&lt;=Train_End)</f>
        <v>1</v>
      </c>
      <c r="T943" s="84" t="n">
        <f aca="false">IF(AND(ISNUMBER(O943),ISNUMBER(P943)),Coef_A+Coef_B1*O943+Coef_B2*P943,"")</f>
        <v>17.5044697440635</v>
      </c>
      <c r="U943" s="84" t="n">
        <f aca="false">IF(AND(R943=1,ISNUMBER(T943)),E943-T943,"")</f>
        <v>2.09553025593647</v>
      </c>
      <c r="V943" s="84" t="n">
        <f aca="false">IF(ISNUMBER(T943),T943,-99)</f>
        <v>17.5044697440635</v>
      </c>
      <c r="W943" s="84" t="n">
        <f aca="false">IF(ISNUMBER(U943),ABS(U943),"")</f>
        <v>2.09553025593647</v>
      </c>
    </row>
    <row r="944" customFormat="false" ht="15" hidden="false" customHeight="false" outlineLevel="0" collapsed="false">
      <c r="A944" s="57" t="n">
        <v>31192</v>
      </c>
      <c r="B944" s="56" t="n">
        <v>1985</v>
      </c>
      <c r="C944" s="56" t="n">
        <v>5</v>
      </c>
      <c r="D944" s="56" t="n">
        <v>25</v>
      </c>
      <c r="E944" s="56" t="n">
        <v>20.8</v>
      </c>
      <c r="F944" s="56" t="n">
        <v>0</v>
      </c>
      <c r="G944" s="56" t="n">
        <v>10.7</v>
      </c>
      <c r="H944" s="56" t="n">
        <v>0</v>
      </c>
      <c r="I944" s="56" t="n">
        <v>15.2</v>
      </c>
      <c r="J944" s="56" t="n">
        <v>0</v>
      </c>
      <c r="K944" s="56" t="n">
        <v>1012</v>
      </c>
      <c r="L944" s="56" t="n">
        <v>0</v>
      </c>
      <c r="M944" s="56" t="n">
        <v>78</v>
      </c>
      <c r="N944" s="56" t="n">
        <v>5.1</v>
      </c>
      <c r="O944" s="56" t="n">
        <f aca="false">IF(D944=1,"",E943)</f>
        <v>19.6</v>
      </c>
      <c r="P944" s="56" t="n">
        <f aca="false">IF(OR(D944=1,K943=""),"",K943)</f>
        <v>1005.6</v>
      </c>
      <c r="Q944" s="56" t="n">
        <f aca="false">IF(OR(F944&lt;&gt;0,AND(I944&lt;&gt;"",E944&lt;I944)),1,0)</f>
        <v>0</v>
      </c>
      <c r="R944" s="56" t="n">
        <f aca="false">IF(AND(D944&gt;1,Q944=0,ISNUMBER(O944),ISNUMBER(P944)),IF(Q943=0,1,0),0)</f>
        <v>1</v>
      </c>
      <c r="S944" s="56" t="n">
        <f aca="false">R944*(B944&gt;=Train_Start)*(B944&lt;=Train_End)</f>
        <v>1</v>
      </c>
      <c r="T944" s="84" t="n">
        <f aca="false">IF(AND(ISNUMBER(O944),ISNUMBER(P944)),Coef_A+Coef_B1*O944+Coef_B2*P944,"")</f>
        <v>19.6915896495715</v>
      </c>
      <c r="U944" s="84" t="n">
        <f aca="false">IF(AND(R944=1,ISNUMBER(T944)),E944-T944,"")</f>
        <v>1.10841035042848</v>
      </c>
      <c r="V944" s="84" t="n">
        <f aca="false">IF(ISNUMBER(T944),T944,-99)</f>
        <v>19.6915896495715</v>
      </c>
      <c r="W944" s="84" t="n">
        <f aca="false">IF(ISNUMBER(U944),ABS(U944),"")</f>
        <v>1.10841035042848</v>
      </c>
    </row>
    <row r="945" customFormat="false" ht="15" hidden="false" customHeight="false" outlineLevel="0" collapsed="false">
      <c r="A945" s="57" t="n">
        <v>31193</v>
      </c>
      <c r="B945" s="56" t="n">
        <v>1985</v>
      </c>
      <c r="C945" s="56" t="n">
        <v>5</v>
      </c>
      <c r="D945" s="56" t="n">
        <v>26</v>
      </c>
      <c r="E945" s="56" t="n">
        <v>18.1</v>
      </c>
      <c r="F945" s="56" t="n">
        <v>0</v>
      </c>
      <c r="G945" s="56" t="n">
        <v>13.2</v>
      </c>
      <c r="H945" s="56" t="n">
        <v>0</v>
      </c>
      <c r="I945" s="56" t="n">
        <v>17</v>
      </c>
      <c r="J945" s="56" t="n">
        <v>0</v>
      </c>
      <c r="K945" s="56" t="n">
        <v>1009.2</v>
      </c>
      <c r="L945" s="56" t="n">
        <v>0</v>
      </c>
      <c r="M945" s="56" t="n">
        <v>82</v>
      </c>
      <c r="N945" s="56" t="n">
        <v>5.9</v>
      </c>
      <c r="O945" s="56" t="n">
        <f aca="false">IF(D945=1,"",E944)</f>
        <v>20.8</v>
      </c>
      <c r="P945" s="56" t="n">
        <f aca="false">IF(OR(D945=1,K944=""),"",K944)</f>
        <v>1012</v>
      </c>
      <c r="Q945" s="56" t="n">
        <f aca="false">IF(OR(F945&lt;&gt;0,AND(I945&lt;&gt;"",E945&lt;I945)),1,0)</f>
        <v>0</v>
      </c>
      <c r="R945" s="56" t="n">
        <f aca="false">IF(AND(D945&gt;1,Q945=0,ISNUMBER(O945),ISNUMBER(P945)),IF(Q944=0,1,0),0)</f>
        <v>1</v>
      </c>
      <c r="S945" s="56" t="n">
        <f aca="false">R945*(B945&gt;=Train_Start)*(B945&lt;=Train_End)</f>
        <v>1</v>
      </c>
      <c r="T945" s="84" t="n">
        <f aca="false">IF(AND(ISNUMBER(O945),ISNUMBER(P945)),Coef_A+Coef_B1*O945+Coef_B2*P945,"")</f>
        <v>20.8755640068802</v>
      </c>
      <c r="U945" s="84" t="n">
        <f aca="false">IF(AND(R945=1,ISNUMBER(T945)),E945-T945,"")</f>
        <v>-2.77556400688024</v>
      </c>
      <c r="V945" s="84" t="n">
        <f aca="false">IF(ISNUMBER(T945),T945,-99)</f>
        <v>20.8755640068802</v>
      </c>
      <c r="W945" s="84" t="n">
        <f aca="false">IF(ISNUMBER(U945),ABS(U945),"")</f>
        <v>2.77556400688024</v>
      </c>
    </row>
    <row r="946" customFormat="false" ht="15" hidden="false" customHeight="false" outlineLevel="0" collapsed="false">
      <c r="A946" s="57" t="n">
        <v>31194</v>
      </c>
      <c r="B946" s="56" t="n">
        <v>1985</v>
      </c>
      <c r="C946" s="56" t="n">
        <v>5</v>
      </c>
      <c r="D946" s="56" t="n">
        <v>27</v>
      </c>
      <c r="E946" s="56" t="n">
        <v>18.6</v>
      </c>
      <c r="F946" s="56" t="n">
        <v>0</v>
      </c>
      <c r="G946" s="56" t="n">
        <v>11.8</v>
      </c>
      <c r="H946" s="56" t="n">
        <v>0</v>
      </c>
      <c r="I946" s="56" t="n">
        <v>15</v>
      </c>
      <c r="J946" s="56" t="n">
        <v>0</v>
      </c>
      <c r="K946" s="56" t="n">
        <v>1008.8</v>
      </c>
      <c r="L946" s="56" t="n">
        <v>0</v>
      </c>
      <c r="M946" s="56" t="n">
        <v>92</v>
      </c>
      <c r="N946" s="56" t="n">
        <v>1.2</v>
      </c>
      <c r="O946" s="56" t="n">
        <f aca="false">IF(D946=1,"",E945)</f>
        <v>18.1</v>
      </c>
      <c r="P946" s="56" t="n">
        <f aca="false">IF(OR(D946=1,K945=""),"",K945)</f>
        <v>1009.2</v>
      </c>
      <c r="Q946" s="56" t="n">
        <f aca="false">IF(OR(F946&lt;&gt;0,AND(I946&lt;&gt;"",E946&lt;I946)),1,0)</f>
        <v>0</v>
      </c>
      <c r="R946" s="56" t="n">
        <f aca="false">IF(AND(D946&gt;1,Q946=0,ISNUMBER(O946),ISNUMBER(P946)),IF(Q945=0,1,0),0)</f>
        <v>1</v>
      </c>
      <c r="S946" s="56" t="n">
        <f aca="false">R946*(B946&gt;=Train_Start)*(B946&lt;=Train_End)</f>
        <v>1</v>
      </c>
      <c r="T946" s="84" t="n">
        <f aca="false">IF(AND(ISNUMBER(O946),ISNUMBER(P946)),Coef_A+Coef_B1*O946+Coef_B2*P946,"")</f>
        <v>18.5755124806899</v>
      </c>
      <c r="U946" s="84" t="n">
        <f aca="false">IF(AND(R946=1,ISNUMBER(T946)),E946-T946,"")</f>
        <v>0.0244875193101031</v>
      </c>
      <c r="V946" s="84" t="n">
        <f aca="false">IF(ISNUMBER(T946),T946,-99)</f>
        <v>18.5755124806899</v>
      </c>
      <c r="W946" s="84" t="n">
        <f aca="false">IF(ISNUMBER(U946),ABS(U946),"")</f>
        <v>0.0244875193101031</v>
      </c>
    </row>
    <row r="947" customFormat="false" ht="15" hidden="false" customHeight="false" outlineLevel="0" collapsed="false">
      <c r="A947" s="57" t="n">
        <v>31195</v>
      </c>
      <c r="B947" s="56" t="n">
        <v>1985</v>
      </c>
      <c r="C947" s="56" t="n">
        <v>5</v>
      </c>
      <c r="D947" s="56" t="n">
        <v>28</v>
      </c>
      <c r="E947" s="56" t="n">
        <v>19.6</v>
      </c>
      <c r="F947" s="56" t="n">
        <v>0</v>
      </c>
      <c r="G947" s="56" t="n">
        <v>9.4</v>
      </c>
      <c r="H947" s="56" t="n">
        <v>0</v>
      </c>
      <c r="I947" s="56" t="n">
        <v>14</v>
      </c>
      <c r="J947" s="56" t="n">
        <v>0</v>
      </c>
      <c r="K947" s="56" t="n">
        <v>1019.5</v>
      </c>
      <c r="L947" s="56" t="n">
        <v>0</v>
      </c>
      <c r="M947" s="56" t="n">
        <v>64</v>
      </c>
      <c r="N947" s="56" t="n">
        <v>13.3</v>
      </c>
      <c r="O947" s="56" t="n">
        <f aca="false">IF(D947=1,"",E946)</f>
        <v>18.6</v>
      </c>
      <c r="P947" s="56" t="n">
        <f aca="false">IF(OR(D947=1,K946=""),"",K946)</f>
        <v>1008.8</v>
      </c>
      <c r="Q947" s="56" t="n">
        <f aca="false">IF(OR(F947&lt;&gt;0,AND(I947&lt;&gt;"",E947&lt;I947)),1,0)</f>
        <v>0</v>
      </c>
      <c r="R947" s="56" t="n">
        <f aca="false">IF(AND(D947&gt;1,Q947=0,ISNUMBER(O947),ISNUMBER(P947)),IF(Q946=0,1,0),0)</f>
        <v>1</v>
      </c>
      <c r="S947" s="56" t="n">
        <f aca="false">R947*(B947&gt;=Train_Start)*(B947&lt;=Train_End)</f>
        <v>1</v>
      </c>
      <c r="T947" s="84" t="n">
        <f aca="false">IF(AND(ISNUMBER(O947),ISNUMBER(P947)),Coef_A+Coef_B1*O947+Coef_B2*P947,"")</f>
        <v>18.9726341193576</v>
      </c>
      <c r="U947" s="84" t="n">
        <f aca="false">IF(AND(R947=1,ISNUMBER(T947)),E947-T947,"")</f>
        <v>0.627365880642373</v>
      </c>
      <c r="V947" s="84" t="n">
        <f aca="false">IF(ISNUMBER(T947),T947,-99)</f>
        <v>18.9726341193576</v>
      </c>
      <c r="W947" s="84" t="n">
        <f aca="false">IF(ISNUMBER(U947),ABS(U947),"")</f>
        <v>0.627365880642373</v>
      </c>
    </row>
    <row r="948" customFormat="false" ht="15" hidden="false" customHeight="false" outlineLevel="0" collapsed="false">
      <c r="A948" s="57" t="n">
        <v>31196</v>
      </c>
      <c r="B948" s="56" t="n">
        <v>1985</v>
      </c>
      <c r="C948" s="56" t="n">
        <v>5</v>
      </c>
      <c r="D948" s="56" t="n">
        <v>29</v>
      </c>
      <c r="E948" s="56" t="n">
        <v>19.1</v>
      </c>
      <c r="F948" s="56" t="n">
        <v>0</v>
      </c>
      <c r="G948" s="56" t="n">
        <v>8.8</v>
      </c>
      <c r="H948" s="56" t="n">
        <v>0</v>
      </c>
      <c r="I948" s="56" t="n">
        <v>14.2</v>
      </c>
      <c r="J948" s="56" t="n">
        <v>0</v>
      </c>
      <c r="K948" s="56" t="n">
        <v>1027</v>
      </c>
      <c r="L948" s="56" t="n">
        <v>0</v>
      </c>
      <c r="M948" s="56" t="n">
        <v>54</v>
      </c>
      <c r="N948" s="56" t="n">
        <v>14.9</v>
      </c>
      <c r="O948" s="56" t="n">
        <f aca="false">IF(D948=1,"",E947)</f>
        <v>19.6</v>
      </c>
      <c r="P948" s="56" t="n">
        <f aca="false">IF(OR(D948=1,K947=""),"",K947)</f>
        <v>1019.5</v>
      </c>
      <c r="Q948" s="56" t="n">
        <f aca="false">IF(OR(F948&lt;&gt;0,AND(I948&lt;&gt;"",E948&lt;I948)),1,0)</f>
        <v>0</v>
      </c>
      <c r="R948" s="56" t="n">
        <f aca="false">IF(AND(D948&gt;1,Q948=0,ISNUMBER(O948),ISNUMBER(P948)),IF(Q947=0,1,0),0)</f>
        <v>1</v>
      </c>
      <c r="S948" s="56" t="n">
        <f aca="false">R948*(B948&gt;=Train_Start)*(B948&lt;=Train_End)</f>
        <v>1</v>
      </c>
      <c r="T948" s="84" t="n">
        <f aca="false">IF(AND(ISNUMBER(O948),ISNUMBER(P948)),Coef_A+Coef_B1*O948+Coef_B2*P948,"")</f>
        <v>20.127631184984</v>
      </c>
      <c r="U948" s="84" t="n">
        <f aca="false">IF(AND(R948=1,ISNUMBER(T948)),E948-T948,"")</f>
        <v>-1.02763118498397</v>
      </c>
      <c r="V948" s="84" t="n">
        <f aca="false">IF(ISNUMBER(T948),T948,-99)</f>
        <v>20.127631184984</v>
      </c>
      <c r="W948" s="84" t="n">
        <f aca="false">IF(ISNUMBER(U948),ABS(U948),"")</f>
        <v>1.02763118498397</v>
      </c>
    </row>
    <row r="949" customFormat="false" ht="15" hidden="false" customHeight="false" outlineLevel="0" collapsed="false">
      <c r="A949" s="57" t="n">
        <v>31197</v>
      </c>
      <c r="B949" s="56" t="n">
        <v>1985</v>
      </c>
      <c r="C949" s="56" t="n">
        <v>5</v>
      </c>
      <c r="D949" s="56" t="n">
        <v>30</v>
      </c>
      <c r="E949" s="56" t="n">
        <v>19.7</v>
      </c>
      <c r="F949" s="56" t="n">
        <v>0</v>
      </c>
      <c r="G949" s="56" t="n">
        <v>6.5</v>
      </c>
      <c r="H949" s="56" t="n">
        <v>0</v>
      </c>
      <c r="I949" s="56" t="n">
        <v>12.8</v>
      </c>
      <c r="J949" s="56" t="n">
        <v>0</v>
      </c>
      <c r="K949" s="56" t="n">
        <v>1027.4</v>
      </c>
      <c r="L949" s="56" t="n">
        <v>0</v>
      </c>
      <c r="M949" s="56" t="n">
        <v>49</v>
      </c>
      <c r="N949" s="56" t="n">
        <v>15.7</v>
      </c>
      <c r="O949" s="56" t="n">
        <f aca="false">IF(D949=1,"",E948)</f>
        <v>19.1</v>
      </c>
      <c r="P949" s="56" t="n">
        <f aca="false">IF(OR(D949=1,K948=""),"",K948)</f>
        <v>1027</v>
      </c>
      <c r="Q949" s="56" t="n">
        <f aca="false">IF(OR(F949&lt;&gt;0,AND(I949&lt;&gt;"",E949&lt;I949)),1,0)</f>
        <v>0</v>
      </c>
      <c r="R949" s="56" t="n">
        <f aca="false">IF(AND(D949&gt;1,Q949=0,ISNUMBER(O949),ISNUMBER(P949)),IF(Q948=0,1,0),0)</f>
        <v>1</v>
      </c>
      <c r="S949" s="56" t="n">
        <f aca="false">R949*(B949&gt;=Train_Start)*(B949&lt;=Train_End)</f>
        <v>1</v>
      </c>
      <c r="T949" s="84" t="n">
        <f aca="false">IF(AND(ISNUMBER(O949),ISNUMBER(P949)),Coef_A+Coef_B1*O949+Coef_B2*P949,"")</f>
        <v>19.9532357982176</v>
      </c>
      <c r="U949" s="84" t="n">
        <f aca="false">IF(AND(R949=1,ISNUMBER(T949)),E949-T949,"")</f>
        <v>-0.253235798217567</v>
      </c>
      <c r="V949" s="84" t="n">
        <f aca="false">IF(ISNUMBER(T949),T949,-99)</f>
        <v>19.9532357982176</v>
      </c>
      <c r="W949" s="84" t="n">
        <f aca="false">IF(ISNUMBER(U949),ABS(U949),"")</f>
        <v>0.253235798217567</v>
      </c>
    </row>
    <row r="950" customFormat="false" ht="15" hidden="false" customHeight="false" outlineLevel="0" collapsed="false">
      <c r="A950" s="57" t="n">
        <v>31198</v>
      </c>
      <c r="B950" s="56" t="n">
        <v>1985</v>
      </c>
      <c r="C950" s="56" t="n">
        <v>5</v>
      </c>
      <c r="D950" s="56" t="n">
        <v>31</v>
      </c>
      <c r="E950" s="56" t="n">
        <v>22</v>
      </c>
      <c r="F950" s="56" t="n">
        <v>0</v>
      </c>
      <c r="G950" s="56" t="n">
        <v>6.6</v>
      </c>
      <c r="H950" s="56" t="n">
        <v>0</v>
      </c>
      <c r="I950" s="56" t="n">
        <v>13.2</v>
      </c>
      <c r="J950" s="56" t="n">
        <v>0</v>
      </c>
      <c r="K950" s="56" t="n">
        <v>1027.7</v>
      </c>
      <c r="L950" s="56" t="n">
        <v>0</v>
      </c>
      <c r="M950" s="56" t="n">
        <v>60</v>
      </c>
      <c r="N950" s="56" t="n">
        <v>13.4</v>
      </c>
      <c r="O950" s="56" t="n">
        <f aca="false">IF(D950=1,"",E949)</f>
        <v>19.7</v>
      </c>
      <c r="P950" s="56" t="n">
        <f aca="false">IF(OR(D950=1,K949=""),"",K949)</f>
        <v>1027.4</v>
      </c>
      <c r="Q950" s="56" t="n">
        <f aca="false">IF(OR(F950&lt;&gt;0,AND(I950&lt;&gt;"",E950&lt;I950)),1,0)</f>
        <v>0</v>
      </c>
      <c r="R950" s="56" t="n">
        <f aca="false">IF(AND(D950&gt;1,Q950=0,ISNUMBER(O950),ISNUMBER(P950)),IF(Q949=0,1,0),0)</f>
        <v>1</v>
      </c>
      <c r="S950" s="56" t="n">
        <f aca="false">R950*(B950&gt;=Train_Start)*(B950&lt;=Train_End)</f>
        <v>1</v>
      </c>
      <c r="T950" s="84" t="n">
        <f aca="false">IF(AND(ISNUMBER(O950),ISNUMBER(P950)),Coef_A+Coef_B1*O950+Coef_B2*P950,"")</f>
        <v>20.4573872718968</v>
      </c>
      <c r="U950" s="84" t="n">
        <f aca="false">IF(AND(R950=1,ISNUMBER(T950)),E950-T950,"")</f>
        <v>1.54261272810324</v>
      </c>
      <c r="V950" s="84" t="n">
        <f aca="false">IF(ISNUMBER(T950),T950,-99)</f>
        <v>20.4573872718968</v>
      </c>
      <c r="W950" s="84" t="n">
        <f aca="false">IF(ISNUMBER(U950),ABS(U950),"")</f>
        <v>1.54261272810324</v>
      </c>
    </row>
    <row r="951" customFormat="false" ht="15" hidden="false" customHeight="false" outlineLevel="0" collapsed="false">
      <c r="A951" s="57" t="n">
        <v>31199</v>
      </c>
      <c r="B951" s="56" t="n">
        <v>1985</v>
      </c>
      <c r="C951" s="56" t="n">
        <v>6</v>
      </c>
      <c r="D951" s="56" t="n">
        <v>32</v>
      </c>
      <c r="E951" s="56" t="n">
        <v>23.5</v>
      </c>
      <c r="F951" s="56" t="n">
        <v>0</v>
      </c>
      <c r="G951" s="56" t="n">
        <v>6.2</v>
      </c>
      <c r="H951" s="56" t="n">
        <v>0</v>
      </c>
      <c r="I951" s="56" t="n">
        <v>14.1</v>
      </c>
      <c r="J951" s="56" t="n">
        <v>0</v>
      </c>
      <c r="K951" s="56" t="n">
        <v>1027</v>
      </c>
      <c r="L951" s="56" t="n">
        <v>0</v>
      </c>
      <c r="M951" s="56" t="n">
        <v>62</v>
      </c>
      <c r="N951" s="56" t="n">
        <v>15</v>
      </c>
      <c r="O951" s="56" t="n">
        <f aca="false">IF(D951=1,"",E950)</f>
        <v>22</v>
      </c>
      <c r="P951" s="56" t="n">
        <f aca="false">IF(OR(D951=1,K950=""),"",K950)</f>
        <v>1027.7</v>
      </c>
      <c r="Q951" s="56" t="n">
        <f aca="false">IF(OR(F951&lt;&gt;0,AND(I951&lt;&gt;"",E951&lt;I951)),1,0)</f>
        <v>0</v>
      </c>
      <c r="R951" s="56" t="n">
        <f aca="false">IF(AND(D951&gt;1,Q951=0,ISNUMBER(O951),ISNUMBER(P951)),IF(Q950=0,1,0),0)</f>
        <v>1</v>
      </c>
      <c r="S951" s="56" t="n">
        <f aca="false">R951*(B951&gt;=Train_Start)*(B951&lt;=Train_End)</f>
        <v>1</v>
      </c>
      <c r="T951" s="84" t="n">
        <f aca="false">IF(AND(ISNUMBER(O951),ISNUMBER(P951)),Coef_A+Coef_B1*O951+Coef_B2*P951,"")</f>
        <v>22.3512783842851</v>
      </c>
      <c r="U951" s="84" t="n">
        <f aca="false">IF(AND(R951=1,ISNUMBER(T951)),E951-T951,"")</f>
        <v>1.14872161571494</v>
      </c>
      <c r="V951" s="84" t="n">
        <f aca="false">IF(ISNUMBER(T951),T951,-99)</f>
        <v>22.3512783842851</v>
      </c>
      <c r="W951" s="84" t="n">
        <f aca="false">IF(ISNUMBER(U951),ABS(U951),"")</f>
        <v>1.14872161571494</v>
      </c>
    </row>
    <row r="952" customFormat="false" ht="15" hidden="false" customHeight="false" outlineLevel="0" collapsed="false">
      <c r="A952" s="57" t="n">
        <v>31200</v>
      </c>
      <c r="B952" s="56" t="n">
        <v>1985</v>
      </c>
      <c r="C952" s="56" t="n">
        <v>6</v>
      </c>
      <c r="D952" s="56" t="n">
        <v>33</v>
      </c>
      <c r="E952" s="56" t="n">
        <v>25</v>
      </c>
      <c r="F952" s="56" t="n">
        <v>0</v>
      </c>
      <c r="G952" s="56" t="n">
        <v>9.4</v>
      </c>
      <c r="H952" s="56" t="n">
        <v>0</v>
      </c>
      <c r="I952" s="56" t="n">
        <v>16.4</v>
      </c>
      <c r="J952" s="56" t="n">
        <v>0</v>
      </c>
      <c r="K952" s="56" t="n">
        <v>1024.1</v>
      </c>
      <c r="L952" s="56" t="n">
        <v>0</v>
      </c>
      <c r="M952" s="56" t="n">
        <v>57</v>
      </c>
      <c r="N952" s="56" t="n">
        <v>14.9</v>
      </c>
      <c r="O952" s="56" t="n">
        <f aca="false">IF(D952=1,"",E951)</f>
        <v>23.5</v>
      </c>
      <c r="P952" s="56" t="n">
        <f aca="false">IF(OR(D952=1,K951=""),"",K951)</f>
        <v>1027</v>
      </c>
      <c r="Q952" s="56" t="n">
        <f aca="false">IF(OR(F952&lt;&gt;0,AND(I952&lt;&gt;"",E952&lt;I952)),1,0)</f>
        <v>0</v>
      </c>
      <c r="R952" s="56" t="n">
        <f aca="false">IF(AND(D952&gt;1,Q952=0,ISNUMBER(O952),ISNUMBER(P952)),IF(Q951=0,1,0),0)</f>
        <v>1</v>
      </c>
      <c r="S952" s="56" t="n">
        <f aca="false">R952*(B952&gt;=Train_Start)*(B952&lt;=Train_End)</f>
        <v>1</v>
      </c>
      <c r="T952" s="84" t="n">
        <f aca="false">IF(AND(ISNUMBER(O952),ISNUMBER(P952)),Coef_A+Coef_B1*O952+Coef_B2*P952,"")</f>
        <v>23.5583282476053</v>
      </c>
      <c r="U952" s="84" t="n">
        <f aca="false">IF(AND(R952=1,ISNUMBER(T952)),E952-T952,"")</f>
        <v>1.44167175239474</v>
      </c>
      <c r="V952" s="84" t="n">
        <f aca="false">IF(ISNUMBER(T952),T952,-99)</f>
        <v>23.5583282476053</v>
      </c>
      <c r="W952" s="84" t="n">
        <f aca="false">IF(ISNUMBER(U952),ABS(U952),"")</f>
        <v>1.44167175239474</v>
      </c>
    </row>
    <row r="953" customFormat="false" ht="15" hidden="false" customHeight="false" outlineLevel="0" collapsed="false">
      <c r="A953" s="57" t="n">
        <v>31201</v>
      </c>
      <c r="B953" s="56" t="n">
        <v>1985</v>
      </c>
      <c r="C953" s="56" t="n">
        <v>6</v>
      </c>
      <c r="D953" s="56" t="n">
        <v>34</v>
      </c>
      <c r="E953" s="56" t="n">
        <v>24.3</v>
      </c>
      <c r="F953" s="56" t="n">
        <v>0</v>
      </c>
      <c r="G953" s="56" t="n">
        <v>10.4</v>
      </c>
      <c r="H953" s="56" t="n">
        <v>0</v>
      </c>
      <c r="I953" s="56" t="n">
        <v>17.7</v>
      </c>
      <c r="J953" s="56" t="n">
        <v>0</v>
      </c>
      <c r="K953" s="56" t="n">
        <v>1019</v>
      </c>
      <c r="L953" s="56" t="n">
        <v>0</v>
      </c>
      <c r="M953" s="56" t="n">
        <v>53</v>
      </c>
      <c r="N953" s="56" t="n">
        <v>14.2</v>
      </c>
      <c r="O953" s="56" t="n">
        <f aca="false">IF(D953=1,"",E952)</f>
        <v>25</v>
      </c>
      <c r="P953" s="56" t="n">
        <f aca="false">IF(OR(D953=1,K952=""),"",K952)</f>
        <v>1024.1</v>
      </c>
      <c r="Q953" s="56" t="n">
        <f aca="false">IF(OR(F953&lt;&gt;0,AND(I953&lt;&gt;"",E953&lt;I953)),1,0)</f>
        <v>0</v>
      </c>
      <c r="R953" s="56" t="n">
        <f aca="false">IF(AND(D953&gt;1,Q953=0,ISNUMBER(O953),ISNUMBER(P953)),IF(Q952=0,1,0),0)</f>
        <v>1</v>
      </c>
      <c r="S953" s="56" t="n">
        <f aca="false">R953*(B953&gt;=Train_Start)*(B953&lt;=Train_End)</f>
        <v>1</v>
      </c>
      <c r="T953" s="84" t="n">
        <f aca="false">IF(AND(ISNUMBER(O953),ISNUMBER(P953)),Coef_A+Coef_B1*O953+Coef_B2*P953,"")</f>
        <v>24.6963643427307</v>
      </c>
      <c r="U953" s="84" t="n">
        <f aca="false">IF(AND(R953=1,ISNUMBER(T953)),E953-T953,"")</f>
        <v>-0.396364342730667</v>
      </c>
      <c r="V953" s="84" t="n">
        <f aca="false">IF(ISNUMBER(T953),T953,-99)</f>
        <v>24.6963643427307</v>
      </c>
      <c r="W953" s="84" t="n">
        <f aca="false">IF(ISNUMBER(U953),ABS(U953),"")</f>
        <v>0.396364342730667</v>
      </c>
    </row>
    <row r="954" customFormat="false" ht="15" hidden="false" customHeight="false" outlineLevel="0" collapsed="false">
      <c r="A954" s="57" t="n">
        <v>31202</v>
      </c>
      <c r="B954" s="56" t="n">
        <v>1985</v>
      </c>
      <c r="C954" s="56" t="n">
        <v>6</v>
      </c>
      <c r="D954" s="56" t="n">
        <v>35</v>
      </c>
      <c r="E954" s="56" t="n">
        <v>20.4</v>
      </c>
      <c r="F954" s="56" t="n">
        <v>0</v>
      </c>
      <c r="G954" s="56" t="n">
        <v>11.2</v>
      </c>
      <c r="H954" s="56" t="n">
        <v>0</v>
      </c>
      <c r="I954" s="56" t="n">
        <v>17.8</v>
      </c>
      <c r="J954" s="56" t="n">
        <v>0</v>
      </c>
      <c r="K954" s="56" t="n">
        <v>1012.9</v>
      </c>
      <c r="L954" s="56" t="n">
        <v>0</v>
      </c>
      <c r="M954" s="56" t="n">
        <v>81</v>
      </c>
      <c r="N954" s="56" t="n">
        <v>3.6</v>
      </c>
      <c r="O954" s="56" t="n">
        <f aca="false">IF(D954=1,"",E953)</f>
        <v>24.3</v>
      </c>
      <c r="P954" s="56" t="n">
        <f aca="false">IF(OR(D954=1,K953=""),"",K953)</f>
        <v>1019</v>
      </c>
      <c r="Q954" s="56" t="n">
        <f aca="false">IF(OR(F954&lt;&gt;0,AND(I954&lt;&gt;"",E954&lt;I954)),1,0)</f>
        <v>0</v>
      </c>
      <c r="R954" s="56" t="n">
        <f aca="false">IF(AND(D954&gt;1,Q954=0,ISNUMBER(O954),ISNUMBER(P954)),IF(Q953=0,1,0),0)</f>
        <v>1</v>
      </c>
      <c r="S954" s="56" t="n">
        <f aca="false">R954*(B954&gt;=Train_Start)*(B954&lt;=Train_End)</f>
        <v>1</v>
      </c>
      <c r="T954" s="84" t="n">
        <f aca="false">IF(AND(ISNUMBER(O954),ISNUMBER(P954)),Coef_A+Coef_B1*O954+Coef_B2*P954,"")</f>
        <v>23.9628404449675</v>
      </c>
      <c r="U954" s="84" t="n">
        <f aca="false">IF(AND(R954=1,ISNUMBER(T954)),E954-T954,"")</f>
        <v>-3.56284044496747</v>
      </c>
      <c r="V954" s="84" t="n">
        <f aca="false">IF(ISNUMBER(T954),T954,-99)</f>
        <v>23.9628404449675</v>
      </c>
      <c r="W954" s="84" t="n">
        <f aca="false">IF(ISNUMBER(U954),ABS(U954),"")</f>
        <v>3.56284044496747</v>
      </c>
    </row>
    <row r="955" customFormat="false" ht="15" hidden="false" customHeight="false" outlineLevel="0" collapsed="false">
      <c r="A955" s="57" t="n">
        <v>31203</v>
      </c>
      <c r="B955" s="56" t="n">
        <v>1985</v>
      </c>
      <c r="C955" s="56" t="n">
        <v>6</v>
      </c>
      <c r="D955" s="56" t="n">
        <v>36</v>
      </c>
      <c r="E955" s="56" t="n">
        <v>14.2</v>
      </c>
      <c r="F955" s="56" t="n">
        <v>1</v>
      </c>
      <c r="G955" s="56" t="n">
        <v>14</v>
      </c>
      <c r="H955" s="56" t="n">
        <v>0</v>
      </c>
      <c r="I955" s="56" t="n">
        <v>17.2</v>
      </c>
      <c r="J955" s="56" t="n">
        <v>1</v>
      </c>
      <c r="K955" s="56" t="n">
        <v>1009.7</v>
      </c>
      <c r="L955" s="56" t="n">
        <v>0</v>
      </c>
      <c r="M955" s="56" t="n">
        <v>88</v>
      </c>
      <c r="N955" s="56" t="n">
        <v>0.8</v>
      </c>
      <c r="O955" s="56" t="n">
        <f aca="false">IF(D955=1,"",E954)</f>
        <v>20.4</v>
      </c>
      <c r="P955" s="56" t="n">
        <f aca="false">IF(OR(D955=1,K954=""),"",K954)</f>
        <v>1012.9</v>
      </c>
      <c r="Q955" s="56" t="n">
        <f aca="false">IF(OR(F955&lt;&gt;0,AND(I955&lt;&gt;"",E955&lt;I955)),1,0)</f>
        <v>1</v>
      </c>
      <c r="R955" s="56" t="n">
        <f aca="false">IF(AND(D955&gt;1,Q955=0,ISNUMBER(O955),ISNUMBER(P955)),IF(Q954=0,1,0),0)</f>
        <v>0</v>
      </c>
      <c r="S955" s="56" t="n">
        <f aca="false">R955*(B955&gt;=Train_Start)*(B955&lt;=Train_End)</f>
        <v>0</v>
      </c>
      <c r="T955" s="84" t="n">
        <f aca="false">IF(AND(ISNUMBER(O955),ISNUMBER(P955)),Coef_A+Coef_B1*O955+Coef_B2*P955,"")</f>
        <v>20.5760612348338</v>
      </c>
      <c r="U955" s="84" t="str">
        <f aca="false">IF(AND(R955=1,ISNUMBER(T955)),E955-T955,"")</f>
        <v/>
      </c>
      <c r="V955" s="84" t="n">
        <f aca="false">IF(ISNUMBER(T955),T955,-99)</f>
        <v>20.5760612348338</v>
      </c>
      <c r="W955" s="84" t="str">
        <f aca="false">IF(ISNUMBER(U955),ABS(U955),"")</f>
        <v/>
      </c>
    </row>
    <row r="956" customFormat="false" ht="15" hidden="false" customHeight="false" outlineLevel="0" collapsed="false">
      <c r="A956" s="57" t="n">
        <v>31204</v>
      </c>
      <c r="B956" s="56" t="n">
        <v>1985</v>
      </c>
      <c r="C956" s="56" t="n">
        <v>6</v>
      </c>
      <c r="D956" s="56" t="n">
        <v>37</v>
      </c>
      <c r="E956" s="56" t="n">
        <v>12.5</v>
      </c>
      <c r="F956" s="56" t="n">
        <v>1</v>
      </c>
      <c r="G956" s="56" t="n">
        <v>11.7</v>
      </c>
      <c r="H956" s="56" t="n">
        <v>0</v>
      </c>
      <c r="I956" s="56" t="n">
        <v>13</v>
      </c>
      <c r="J956" s="56" t="n">
        <v>1</v>
      </c>
      <c r="K956" s="56" t="n">
        <v>1009.4</v>
      </c>
      <c r="L956" s="56" t="n">
        <v>0</v>
      </c>
      <c r="M956" s="56" t="n">
        <v>95</v>
      </c>
      <c r="N956" s="56" t="n">
        <v>0</v>
      </c>
      <c r="O956" s="56" t="n">
        <f aca="false">IF(D956=1,"",E955)</f>
        <v>14.2</v>
      </c>
      <c r="P956" s="56" t="n">
        <f aca="false">IF(OR(D956=1,K955=""),"",K955)</f>
        <v>1009.7</v>
      </c>
      <c r="Q956" s="56" t="n">
        <f aca="false">IF(OR(F956&lt;&gt;0,AND(I956&lt;&gt;"",E956&lt;I956)),1,0)</f>
        <v>1</v>
      </c>
      <c r="R956" s="56" t="n">
        <f aca="false">IF(AND(D956&gt;1,Q956=0,ISNUMBER(O956),ISNUMBER(P956)),IF(Q955=0,1,0),0)</f>
        <v>0</v>
      </c>
      <c r="S956" s="56" t="n">
        <f aca="false">R956*(B956&gt;=Train_Start)*(B956&lt;=Train_End)</f>
        <v>0</v>
      </c>
      <c r="T956" s="84" t="n">
        <f aca="false">IF(AND(ISNUMBER(O956),ISNUMBER(P956)),Coef_A+Coef_B1*O956+Coef_B2*P956,"")</f>
        <v>15.3957745751405</v>
      </c>
      <c r="U956" s="84" t="str">
        <f aca="false">IF(AND(R956=1,ISNUMBER(T956)),E956-T956,"")</f>
        <v/>
      </c>
      <c r="V956" s="84" t="n">
        <f aca="false">IF(ISNUMBER(T956),T956,-99)</f>
        <v>15.3957745751405</v>
      </c>
      <c r="W956" s="84" t="str">
        <f aca="false">IF(ISNUMBER(U956),ABS(U956),"")</f>
        <v/>
      </c>
    </row>
    <row r="957" customFormat="false" ht="15" hidden="false" customHeight="false" outlineLevel="0" collapsed="false">
      <c r="A957" s="57" t="n">
        <v>31205</v>
      </c>
      <c r="B957" s="56" t="n">
        <v>1985</v>
      </c>
      <c r="C957" s="56" t="n">
        <v>6</v>
      </c>
      <c r="D957" s="56" t="n">
        <v>38</v>
      </c>
      <c r="E957" s="56" t="n">
        <v>15.7</v>
      </c>
      <c r="F957" s="56" t="n">
        <v>0</v>
      </c>
      <c r="G957" s="56" t="n">
        <v>7.3</v>
      </c>
      <c r="H957" s="56" t="n">
        <v>0</v>
      </c>
      <c r="I957" s="56" t="n">
        <v>9.9</v>
      </c>
      <c r="J957" s="56" t="n">
        <v>0</v>
      </c>
      <c r="K957" s="56" t="n">
        <v>1012.4</v>
      </c>
      <c r="L957" s="56" t="n">
        <v>0</v>
      </c>
      <c r="M957" s="56" t="n">
        <v>84</v>
      </c>
      <c r="N957" s="56" t="n">
        <v>0.9</v>
      </c>
      <c r="O957" s="56" t="n">
        <f aca="false">IF(D957=1,"",E956)</f>
        <v>12.5</v>
      </c>
      <c r="P957" s="56" t="n">
        <f aca="false">IF(OR(D957=1,K956=""),"",K956)</f>
        <v>1009.4</v>
      </c>
      <c r="Q957" s="56" t="n">
        <f aca="false">IF(OR(F957&lt;&gt;0,AND(I957&lt;&gt;"",E957&lt;I957)),1,0)</f>
        <v>0</v>
      </c>
      <c r="R957" s="56" t="n">
        <f aca="false">IF(AND(D957&gt;1,Q957=0,ISNUMBER(O957),ISNUMBER(P957)),IF(Q956=0,1,0),0)</f>
        <v>0</v>
      </c>
      <c r="S957" s="56" t="n">
        <f aca="false">R957*(B957&gt;=Train_Start)*(B957&lt;=Train_End)</f>
        <v>0</v>
      </c>
      <c r="T957" s="84" t="n">
        <f aca="false">IF(AND(ISNUMBER(O957),ISNUMBER(P957)),Coef_A+Coef_B1*O957+Coef_B2*P957,"")</f>
        <v>13.9934869785778</v>
      </c>
      <c r="U957" s="84" t="str">
        <f aca="false">IF(AND(R957=1,ISNUMBER(T957)),E957-T957,"")</f>
        <v/>
      </c>
      <c r="V957" s="84" t="n">
        <f aca="false">IF(ISNUMBER(T957),T957,-99)</f>
        <v>13.9934869785778</v>
      </c>
      <c r="W957" s="84" t="str">
        <f aca="false">IF(ISNUMBER(U957),ABS(U957),"")</f>
        <v/>
      </c>
    </row>
    <row r="958" customFormat="false" ht="15" hidden="false" customHeight="false" outlineLevel="0" collapsed="false">
      <c r="A958" s="57" t="n">
        <v>31206</v>
      </c>
      <c r="B958" s="56" t="n">
        <v>1985</v>
      </c>
      <c r="C958" s="56" t="n">
        <v>6</v>
      </c>
      <c r="D958" s="56" t="n">
        <v>39</v>
      </c>
      <c r="E958" s="56" t="n">
        <v>18</v>
      </c>
      <c r="F958" s="56" t="n">
        <v>0</v>
      </c>
      <c r="G958" s="56" t="n">
        <v>3.9</v>
      </c>
      <c r="H958" s="56" t="n">
        <v>0</v>
      </c>
      <c r="I958" s="56" t="n">
        <v>9.8</v>
      </c>
      <c r="J958" s="56" t="n">
        <v>0</v>
      </c>
      <c r="K958" s="56" t="n">
        <v>1016</v>
      </c>
      <c r="L958" s="56" t="n">
        <v>0</v>
      </c>
      <c r="M958" s="56" t="n">
        <v>69</v>
      </c>
      <c r="N958" s="56" t="n">
        <v>8.9</v>
      </c>
      <c r="O958" s="56" t="n">
        <f aca="false">IF(D958=1,"",E957)</f>
        <v>15.7</v>
      </c>
      <c r="P958" s="56" t="n">
        <f aca="false">IF(OR(D958=1,K957=""),"",K957)</f>
        <v>1012.4</v>
      </c>
      <c r="Q958" s="56" t="n">
        <f aca="false">IF(OR(F958&lt;&gt;0,AND(I958&lt;&gt;"",E958&lt;I958)),1,0)</f>
        <v>0</v>
      </c>
      <c r="R958" s="56" t="n">
        <f aca="false">IF(AND(D958&gt;1,Q958=0,ISNUMBER(O958),ISNUMBER(P958)),IF(Q957=0,1,0),0)</f>
        <v>1</v>
      </c>
      <c r="S958" s="56" t="n">
        <f aca="false">R958*(B958&gt;=Train_Start)*(B958&lt;=Train_End)</f>
        <v>1</v>
      </c>
      <c r="T958" s="84" t="n">
        <f aca="false">IF(AND(ISNUMBER(O958),ISNUMBER(P958)),Coef_A+Coef_B1*O958+Coef_B2*P958,"")</f>
        <v>16.7094820802163</v>
      </c>
      <c r="U958" s="84" t="n">
        <f aca="false">IF(AND(R958=1,ISNUMBER(T958)),E958-T958,"")</f>
        <v>1.29051791978372</v>
      </c>
      <c r="V958" s="84" t="n">
        <f aca="false">IF(ISNUMBER(T958),T958,-99)</f>
        <v>16.7094820802163</v>
      </c>
      <c r="W958" s="84" t="n">
        <f aca="false">IF(ISNUMBER(U958),ABS(U958),"")</f>
        <v>1.29051791978372</v>
      </c>
    </row>
    <row r="959" customFormat="false" ht="15" hidden="false" customHeight="false" outlineLevel="0" collapsed="false">
      <c r="A959" s="57" t="n">
        <v>31207</v>
      </c>
      <c r="B959" s="56" t="n">
        <v>1985</v>
      </c>
      <c r="C959" s="56" t="n">
        <v>6</v>
      </c>
      <c r="D959" s="56" t="n">
        <v>40</v>
      </c>
      <c r="E959" s="56" t="n">
        <v>17</v>
      </c>
      <c r="F959" s="56" t="n">
        <v>0</v>
      </c>
      <c r="G959" s="56" t="n">
        <v>9.8</v>
      </c>
      <c r="H959" s="56" t="n">
        <v>0</v>
      </c>
      <c r="I959" s="56" t="n">
        <v>13.9</v>
      </c>
      <c r="J959" s="56" t="n">
        <v>0</v>
      </c>
      <c r="K959" s="56" t="n">
        <v>1009.1</v>
      </c>
      <c r="L959" s="56" t="n">
        <v>0</v>
      </c>
      <c r="M959" s="56" t="n">
        <v>74</v>
      </c>
      <c r="N959" s="56" t="n">
        <v>7.1</v>
      </c>
      <c r="O959" s="56" t="n">
        <f aca="false">IF(D959=1,"",E958)</f>
        <v>18</v>
      </c>
      <c r="P959" s="56" t="n">
        <f aca="false">IF(OR(D959=1,K958=""),"",K958)</f>
        <v>1016</v>
      </c>
      <c r="Q959" s="56" t="n">
        <f aca="false">IF(OR(F959&lt;&gt;0,AND(I959&lt;&gt;"",E959&lt;I959)),1,0)</f>
        <v>0</v>
      </c>
      <c r="R959" s="56" t="n">
        <f aca="false">IF(AND(D959&gt;1,Q959=0,ISNUMBER(O959),ISNUMBER(P959)),IF(Q958=0,1,0),0)</f>
        <v>1</v>
      </c>
      <c r="S959" s="56" t="n">
        <f aca="false">R959*(B959&gt;=Train_Start)*(B959&lt;=Train_End)</f>
        <v>1</v>
      </c>
      <c r="T959" s="84" t="n">
        <f aca="false">IF(AND(ISNUMBER(O959),ISNUMBER(P959)),Coef_A+Coef_B1*O959+Coef_B2*P959,"")</f>
        <v>18.7068938448968</v>
      </c>
      <c r="U959" s="84" t="n">
        <f aca="false">IF(AND(R959=1,ISNUMBER(T959)),E959-T959,"")</f>
        <v>-1.70689384489676</v>
      </c>
      <c r="V959" s="84" t="n">
        <f aca="false">IF(ISNUMBER(T959),T959,-99)</f>
        <v>18.7068938448968</v>
      </c>
      <c r="W959" s="84" t="n">
        <f aca="false">IF(ISNUMBER(U959),ABS(U959),"")</f>
        <v>1.70689384489676</v>
      </c>
    </row>
    <row r="960" customFormat="false" ht="15" hidden="false" customHeight="false" outlineLevel="0" collapsed="false">
      <c r="A960" s="57" t="n">
        <v>31208</v>
      </c>
      <c r="B960" s="56" t="n">
        <v>1985</v>
      </c>
      <c r="C960" s="56" t="n">
        <v>6</v>
      </c>
      <c r="D960" s="56" t="n">
        <v>41</v>
      </c>
      <c r="E960" s="56" t="n">
        <v>16.4</v>
      </c>
      <c r="F960" s="56" t="n">
        <v>0</v>
      </c>
      <c r="G960" s="56" t="n">
        <v>8.6</v>
      </c>
      <c r="H960" s="56" t="n">
        <v>0</v>
      </c>
      <c r="I960" s="56" t="n">
        <v>12.8</v>
      </c>
      <c r="J960" s="56" t="n">
        <v>0</v>
      </c>
      <c r="K960" s="56" t="n">
        <v>1013.1</v>
      </c>
      <c r="L960" s="56" t="n">
        <v>0</v>
      </c>
      <c r="M960" s="56" t="n">
        <v>70</v>
      </c>
      <c r="N960" s="56" t="n">
        <v>7.5</v>
      </c>
      <c r="O960" s="56" t="n">
        <f aca="false">IF(D960=1,"",E959)</f>
        <v>17</v>
      </c>
      <c r="P960" s="56" t="n">
        <f aca="false">IF(OR(D960=1,K959=""),"",K959)</f>
        <v>1009.1</v>
      </c>
      <c r="Q960" s="56" t="n">
        <f aca="false">IF(OR(F960&lt;&gt;0,AND(I960&lt;&gt;"",E960&lt;I960)),1,0)</f>
        <v>0</v>
      </c>
      <c r="R960" s="56" t="n">
        <f aca="false">IF(AND(D960&gt;1,Q960=0,ISNUMBER(O960),ISNUMBER(P960)),IF(Q959=0,1,0),0)</f>
        <v>1</v>
      </c>
      <c r="S960" s="56" t="n">
        <f aca="false">R960*(B960&gt;=Train_Start)*(B960&lt;=Train_End)</f>
        <v>1</v>
      </c>
      <c r="T960" s="84" t="n">
        <f aca="false">IF(AND(ISNUMBER(O960),ISNUMBER(P960)),Coef_A+Coef_B1*O960+Coef_B2*P960,"")</f>
        <v>17.6711023788796</v>
      </c>
      <c r="U960" s="84" t="n">
        <f aca="false">IF(AND(R960=1,ISNUMBER(T960)),E960-T960,"")</f>
        <v>-1.27110237887958</v>
      </c>
      <c r="V960" s="84" t="n">
        <f aca="false">IF(ISNUMBER(T960),T960,-99)</f>
        <v>17.6711023788796</v>
      </c>
      <c r="W960" s="84" t="n">
        <f aca="false">IF(ISNUMBER(U960),ABS(U960),"")</f>
        <v>1.27110237887958</v>
      </c>
    </row>
    <row r="961" customFormat="false" ht="15" hidden="false" customHeight="false" outlineLevel="0" collapsed="false">
      <c r="A961" s="57" t="n">
        <v>31209</v>
      </c>
      <c r="B961" s="56" t="n">
        <v>1985</v>
      </c>
      <c r="C961" s="56" t="n">
        <v>6</v>
      </c>
      <c r="D961" s="56" t="n">
        <v>42</v>
      </c>
      <c r="E961" s="56" t="n">
        <v>16.6</v>
      </c>
      <c r="F961" s="56" t="n">
        <v>0</v>
      </c>
      <c r="G961" s="56" t="n">
        <v>10</v>
      </c>
      <c r="H961" s="56" t="n">
        <v>0</v>
      </c>
      <c r="I961" s="56" t="n">
        <v>13.2</v>
      </c>
      <c r="J961" s="56" t="n">
        <v>0</v>
      </c>
      <c r="K961" s="56" t="n">
        <v>1014.2</v>
      </c>
      <c r="L961" s="56" t="n">
        <v>0</v>
      </c>
      <c r="M961" s="56" t="n">
        <v>81</v>
      </c>
      <c r="N961" s="56" t="n">
        <v>0.2</v>
      </c>
      <c r="O961" s="56" t="n">
        <f aca="false">IF(D961=1,"",E960)</f>
        <v>16.4</v>
      </c>
      <c r="P961" s="56" t="n">
        <f aca="false">IF(OR(D961=1,K960=""),"",K960)</f>
        <v>1013.1</v>
      </c>
      <c r="Q961" s="56" t="n">
        <f aca="false">IF(OR(F961&lt;&gt;0,AND(I961&lt;&gt;"",E961&lt;I961)),1,0)</f>
        <v>0</v>
      </c>
      <c r="R961" s="56" t="n">
        <f aca="false">IF(AND(D961&gt;1,Q961=0,ISNUMBER(O961),ISNUMBER(P961)),IF(Q960=0,1,0),0)</f>
        <v>1</v>
      </c>
      <c r="S961" s="56" t="n">
        <f aca="false">R961*(B961&gt;=Train_Start)*(B961&lt;=Train_End)</f>
        <v>1</v>
      </c>
      <c r="T961" s="84" t="n">
        <f aca="false">IF(AND(ISNUMBER(O961),ISNUMBER(P961)),Coef_A+Coef_B1*O961+Coef_B2*P961,"")</f>
        <v>17.3049784415899</v>
      </c>
      <c r="U961" s="84" t="n">
        <f aca="false">IF(AND(R961=1,ISNUMBER(T961)),E961-T961,"")</f>
        <v>-0.704978441589933</v>
      </c>
      <c r="V961" s="84" t="n">
        <f aca="false">IF(ISNUMBER(T961),T961,-99)</f>
        <v>17.3049784415899</v>
      </c>
      <c r="W961" s="84" t="n">
        <f aca="false">IF(ISNUMBER(U961),ABS(U961),"")</f>
        <v>0.704978441589933</v>
      </c>
    </row>
    <row r="962" customFormat="false" ht="15" hidden="false" customHeight="false" outlineLevel="0" collapsed="false">
      <c r="A962" s="57" t="n">
        <v>31210</v>
      </c>
      <c r="B962" s="56" t="n">
        <v>1985</v>
      </c>
      <c r="C962" s="56" t="n">
        <v>6</v>
      </c>
      <c r="D962" s="56" t="n">
        <v>43</v>
      </c>
      <c r="E962" s="56" t="n">
        <v>16.7</v>
      </c>
      <c r="F962" s="56" t="n">
        <v>0</v>
      </c>
      <c r="G962" s="56" t="n">
        <v>10</v>
      </c>
      <c r="H962" s="56" t="n">
        <v>0</v>
      </c>
      <c r="I962" s="56" t="n">
        <v>13.3</v>
      </c>
      <c r="J962" s="56" t="n">
        <v>0</v>
      </c>
      <c r="K962" s="56" t="n">
        <v>1001.8</v>
      </c>
      <c r="L962" s="56" t="n">
        <v>0</v>
      </c>
      <c r="M962" s="56" t="n">
        <v>70</v>
      </c>
      <c r="N962" s="56" t="n">
        <v>11.6</v>
      </c>
      <c r="O962" s="56" t="n">
        <f aca="false">IF(D962=1,"",E961)</f>
        <v>16.6</v>
      </c>
      <c r="P962" s="56" t="n">
        <f aca="false">IF(OR(D962=1,K961=""),"",K961)</f>
        <v>1014.2</v>
      </c>
      <c r="Q962" s="56" t="n">
        <f aca="false">IF(OR(F962&lt;&gt;0,AND(I962&lt;&gt;"",E962&lt;I962)),1,0)</f>
        <v>0</v>
      </c>
      <c r="R962" s="56" t="n">
        <f aca="false">IF(AND(D962&gt;1,Q962=0,ISNUMBER(O962),ISNUMBER(P962)),IF(Q961=0,1,0),0)</f>
        <v>1</v>
      </c>
      <c r="S962" s="56" t="n">
        <f aca="false">R962*(B962&gt;=Train_Start)*(B962&lt;=Train_End)</f>
        <v>1</v>
      </c>
      <c r="T962" s="84" t="n">
        <f aca="false">IF(AND(ISNUMBER(O962),ISNUMBER(P962)),Coef_A+Coef_B1*O962+Coef_B2*P962,"")</f>
        <v>17.5033531642959</v>
      </c>
      <c r="U962" s="84" t="n">
        <f aca="false">IF(AND(R962=1,ISNUMBER(T962)),E962-T962,"")</f>
        <v>-0.80335316429586</v>
      </c>
      <c r="V962" s="84" t="n">
        <f aca="false">IF(ISNUMBER(T962),T962,-99)</f>
        <v>17.5033531642959</v>
      </c>
      <c r="W962" s="84" t="n">
        <f aca="false">IF(ISNUMBER(U962),ABS(U962),"")</f>
        <v>0.80335316429586</v>
      </c>
    </row>
    <row r="963" customFormat="false" ht="15" hidden="false" customHeight="false" outlineLevel="0" collapsed="false">
      <c r="A963" s="57" t="n">
        <v>31211</v>
      </c>
      <c r="B963" s="56" t="n">
        <v>1985</v>
      </c>
      <c r="C963" s="56" t="n">
        <v>6</v>
      </c>
      <c r="D963" s="56" t="n">
        <v>44</v>
      </c>
      <c r="E963" s="56" t="n">
        <v>16.4</v>
      </c>
      <c r="F963" s="56" t="n">
        <v>0</v>
      </c>
      <c r="G963" s="56" t="n">
        <v>8.5</v>
      </c>
      <c r="H963" s="56" t="n">
        <v>0</v>
      </c>
      <c r="I963" s="56" t="n">
        <v>12.6</v>
      </c>
      <c r="J963" s="56" t="n">
        <v>0</v>
      </c>
      <c r="K963" s="56" t="n">
        <v>1009.7</v>
      </c>
      <c r="L963" s="56" t="n">
        <v>0</v>
      </c>
      <c r="M963" s="56" t="n">
        <v>80</v>
      </c>
      <c r="N963" s="56" t="n">
        <v>1</v>
      </c>
      <c r="O963" s="56" t="n">
        <f aca="false">IF(D963=1,"",E962)</f>
        <v>16.7</v>
      </c>
      <c r="P963" s="56" t="n">
        <f aca="false">IF(OR(D963=1,K962=""),"",K962)</f>
        <v>1001.8</v>
      </c>
      <c r="Q963" s="56" t="n">
        <f aca="false">IF(OR(F963&lt;&gt;0,AND(I963&lt;&gt;"",E963&lt;I963)),1,0)</f>
        <v>0</v>
      </c>
      <c r="R963" s="56" t="n">
        <f aca="false">IF(AND(D963&gt;1,Q963=0,ISNUMBER(O963),ISNUMBER(P963)),IF(Q962=0,1,0),0)</f>
        <v>1</v>
      </c>
      <c r="S963" s="56" t="n">
        <f aca="false">R963*(B963&gt;=Train_Start)*(B963&lt;=Train_End)</f>
        <v>1</v>
      </c>
      <c r="T963" s="84" t="n">
        <f aca="false">IF(AND(ISNUMBER(O963),ISNUMBER(P963)),Coef_A+Coef_B1*O963+Coef_B2*P963,"")</f>
        <v>17.1963003901387</v>
      </c>
      <c r="U963" s="84" t="n">
        <f aca="false">IF(AND(R963=1,ISNUMBER(T963)),E963-T963,"")</f>
        <v>-0.796300390138651</v>
      </c>
      <c r="V963" s="84" t="n">
        <f aca="false">IF(ISNUMBER(T963),T963,-99)</f>
        <v>17.1963003901387</v>
      </c>
      <c r="W963" s="84" t="n">
        <f aca="false">IF(ISNUMBER(U963),ABS(U963),"")</f>
        <v>0.796300390138651</v>
      </c>
    </row>
    <row r="964" customFormat="false" ht="15" hidden="false" customHeight="false" outlineLevel="0" collapsed="false">
      <c r="A964" s="57" t="n">
        <v>31212</v>
      </c>
      <c r="B964" s="56" t="n">
        <v>1985</v>
      </c>
      <c r="C964" s="56" t="n">
        <v>6</v>
      </c>
      <c r="D964" s="56" t="n">
        <v>45</v>
      </c>
      <c r="E964" s="56" t="n">
        <v>17.8</v>
      </c>
      <c r="F964" s="56" t="n">
        <v>0</v>
      </c>
      <c r="G964" s="56" t="n">
        <v>9.2</v>
      </c>
      <c r="H964" s="56" t="n">
        <v>0</v>
      </c>
      <c r="I964" s="56" t="n">
        <v>12.8</v>
      </c>
      <c r="J964" s="56" t="n">
        <v>0</v>
      </c>
      <c r="K964" s="56" t="n">
        <v>1014.2</v>
      </c>
      <c r="L964" s="56" t="n">
        <v>0</v>
      </c>
      <c r="M964" s="56" t="n">
        <v>64</v>
      </c>
      <c r="N964" s="56" t="n">
        <v>10.7</v>
      </c>
      <c r="O964" s="56" t="n">
        <f aca="false">IF(D964=1,"",E963)</f>
        <v>16.4</v>
      </c>
      <c r="P964" s="56" t="n">
        <f aca="false">IF(OR(D964=1,K963=""),"",K963)</f>
        <v>1009.7</v>
      </c>
      <c r="Q964" s="56" t="n">
        <f aca="false">IF(OR(F964&lt;&gt;0,AND(I964&lt;&gt;"",E964&lt;I964)),1,0)</f>
        <v>0</v>
      </c>
      <c r="R964" s="56" t="n">
        <f aca="false">IF(AND(D964&gt;1,Q964=0,ISNUMBER(O964),ISNUMBER(P964)),IF(Q963=0,1,0),0)</f>
        <v>1</v>
      </c>
      <c r="S964" s="56" t="n">
        <f aca="false">R964*(B964&gt;=Train_Start)*(B964&lt;=Train_End)</f>
        <v>1</v>
      </c>
      <c r="T964" s="84" t="n">
        <f aca="false">IF(AND(ISNUMBER(O964),ISNUMBER(P964)),Coef_A+Coef_B1*O964+Coef_B2*P964,"")</f>
        <v>17.1983207998344</v>
      </c>
      <c r="U964" s="84" t="n">
        <f aca="false">IF(AND(R964=1,ISNUMBER(T964)),E964-T964,"")</f>
        <v>0.601679200165631</v>
      </c>
      <c r="V964" s="84" t="n">
        <f aca="false">IF(ISNUMBER(T964),T964,-99)</f>
        <v>17.1983207998344</v>
      </c>
      <c r="W964" s="84" t="n">
        <f aca="false">IF(ISNUMBER(U964),ABS(U964),"")</f>
        <v>0.601679200165631</v>
      </c>
    </row>
    <row r="965" customFormat="false" ht="15" hidden="false" customHeight="false" outlineLevel="0" collapsed="false">
      <c r="A965" s="57" t="n">
        <v>31213</v>
      </c>
      <c r="B965" s="56" t="n">
        <v>1985</v>
      </c>
      <c r="C965" s="56" t="n">
        <v>6</v>
      </c>
      <c r="D965" s="56" t="n">
        <v>46</v>
      </c>
      <c r="E965" s="56" t="n">
        <v>17.9</v>
      </c>
      <c r="F965" s="56" t="n">
        <v>0</v>
      </c>
      <c r="G965" s="56" t="n">
        <v>5.4</v>
      </c>
      <c r="H965" s="56" t="n">
        <v>0</v>
      </c>
      <c r="I965" s="56" t="n">
        <v>11.6</v>
      </c>
      <c r="J965" s="56" t="n">
        <v>0</v>
      </c>
      <c r="K965" s="56" t="n">
        <v>1020.9</v>
      </c>
      <c r="L965" s="56" t="n">
        <v>0</v>
      </c>
      <c r="M965" s="56" t="n">
        <v>63</v>
      </c>
      <c r="N965" s="56" t="n">
        <v>11</v>
      </c>
      <c r="O965" s="56" t="n">
        <f aca="false">IF(D965=1,"",E964)</f>
        <v>17.8</v>
      </c>
      <c r="P965" s="56" t="n">
        <f aca="false">IF(OR(D965=1,K964=""),"",K964)</f>
        <v>1014.2</v>
      </c>
      <c r="Q965" s="56" t="n">
        <f aca="false">IF(OR(F965&lt;&gt;0,AND(I965&lt;&gt;"",E965&lt;I965)),1,0)</f>
        <v>0</v>
      </c>
      <c r="R965" s="56" t="n">
        <f aca="false">IF(AND(D965&gt;1,Q965=0,ISNUMBER(O965),ISNUMBER(P965)),IF(Q964=0,1,0),0)</f>
        <v>1</v>
      </c>
      <c r="S965" s="56" t="n">
        <f aca="false">R965*(B965&gt;=Train_Start)*(B965&lt;=Train_End)</f>
        <v>1</v>
      </c>
      <c r="T965" s="84" t="n">
        <f aca="false">IF(AND(ISNUMBER(O965),ISNUMBER(P965)),Coef_A+Coef_B1*O965+Coef_B2*P965,"")</f>
        <v>18.486560195947</v>
      </c>
      <c r="U965" s="84" t="n">
        <f aca="false">IF(AND(R965=1,ISNUMBER(T965)),E965-T965,"")</f>
        <v>-0.586560195947047</v>
      </c>
      <c r="V965" s="84" t="n">
        <f aca="false">IF(ISNUMBER(T965),T965,-99)</f>
        <v>18.486560195947</v>
      </c>
      <c r="W965" s="84" t="n">
        <f aca="false">IF(ISNUMBER(U965),ABS(U965),"")</f>
        <v>0.586560195947047</v>
      </c>
    </row>
    <row r="966" customFormat="false" ht="15" hidden="false" customHeight="false" outlineLevel="0" collapsed="false">
      <c r="A966" s="57" t="n">
        <v>31214</v>
      </c>
      <c r="B966" s="56" t="n">
        <v>1985</v>
      </c>
      <c r="C966" s="56" t="n">
        <v>6</v>
      </c>
      <c r="D966" s="56" t="n">
        <v>47</v>
      </c>
      <c r="E966" s="56" t="n">
        <v>19.5</v>
      </c>
      <c r="F966" s="56" t="n">
        <v>0</v>
      </c>
      <c r="G966" s="56" t="n">
        <v>10</v>
      </c>
      <c r="H966" s="56" t="n">
        <v>0</v>
      </c>
      <c r="I966" s="56" t="n">
        <v>14</v>
      </c>
      <c r="J966" s="56" t="n">
        <v>0</v>
      </c>
      <c r="K966" s="56" t="n">
        <v>1020.2</v>
      </c>
      <c r="L966" s="56" t="n">
        <v>0</v>
      </c>
      <c r="M966" s="56" t="n">
        <v>58</v>
      </c>
      <c r="N966" s="56" t="n">
        <v>5.5</v>
      </c>
      <c r="O966" s="56" t="n">
        <f aca="false">IF(D966=1,"",E965)</f>
        <v>17.9</v>
      </c>
      <c r="P966" s="56" t="n">
        <f aca="false">IF(OR(D966=1,K965=""),"",K965)</f>
        <v>1020.9</v>
      </c>
      <c r="Q966" s="56" t="n">
        <f aca="false">IF(OR(F966&lt;&gt;0,AND(I966&lt;&gt;"",E966&lt;I966)),1,0)</f>
        <v>0</v>
      </c>
      <c r="R966" s="56" t="n">
        <f aca="false">IF(AND(D966&gt;1,Q966=0,ISNUMBER(O966),ISNUMBER(P966)),IF(Q965=0,1,0),0)</f>
        <v>1</v>
      </c>
      <c r="S966" s="56" t="n">
        <f aca="false">R966*(B966&gt;=Train_Start)*(B966&lt;=Train_End)</f>
        <v>1</v>
      </c>
      <c r="T966" s="84" t="n">
        <f aca="false">IF(AND(ISNUMBER(O966),ISNUMBER(P966)),Coef_A+Coef_B1*O966+Coef_B2*P966,"")</f>
        <v>18.778672409299</v>
      </c>
      <c r="U966" s="84" t="n">
        <f aca="false">IF(AND(R966=1,ISNUMBER(T966)),E966-T966,"")</f>
        <v>0.721327590700966</v>
      </c>
      <c r="V966" s="84" t="n">
        <f aca="false">IF(ISNUMBER(T966),T966,-99)</f>
        <v>18.778672409299</v>
      </c>
      <c r="W966" s="84" t="n">
        <f aca="false">IF(ISNUMBER(U966),ABS(U966),"")</f>
        <v>0.721327590700966</v>
      </c>
    </row>
    <row r="967" customFormat="false" ht="15" hidden="false" customHeight="false" outlineLevel="0" collapsed="false">
      <c r="A967" s="57" t="n">
        <v>31215</v>
      </c>
      <c r="B967" s="56" t="n">
        <v>1985</v>
      </c>
      <c r="C967" s="56" t="n">
        <v>6</v>
      </c>
      <c r="D967" s="56" t="n">
        <v>48</v>
      </c>
      <c r="E967" s="56" t="n">
        <v>17.5</v>
      </c>
      <c r="F967" s="56" t="n">
        <v>0</v>
      </c>
      <c r="G967" s="56" t="n">
        <v>7.9</v>
      </c>
      <c r="H967" s="56" t="n">
        <v>0</v>
      </c>
      <c r="I967" s="56" t="n">
        <v>13.7</v>
      </c>
      <c r="J967" s="56" t="n">
        <v>0</v>
      </c>
      <c r="K967" s="56" t="n">
        <v>1018.6</v>
      </c>
      <c r="L967" s="56" t="n">
        <v>0</v>
      </c>
      <c r="M967" s="56" t="n">
        <v>63</v>
      </c>
      <c r="N967" s="56" t="n">
        <v>8.6</v>
      </c>
      <c r="O967" s="56" t="n">
        <f aca="false">IF(D967=1,"",E966)</f>
        <v>19.5</v>
      </c>
      <c r="P967" s="56" t="n">
        <f aca="false">IF(OR(D967=1,K966=""),"",K966)</f>
        <v>1020.2</v>
      </c>
      <c r="Q967" s="56" t="n">
        <f aca="false">IF(OR(F967&lt;&gt;0,AND(I967&lt;&gt;"",E967&lt;I967)),1,0)</f>
        <v>0</v>
      </c>
      <c r="R967" s="56" t="n">
        <f aca="false">IF(AND(D967&gt;1,Q967=0,ISNUMBER(O967),ISNUMBER(P967)),IF(Q966=0,1,0),0)</f>
        <v>1</v>
      </c>
      <c r="S967" s="56" t="n">
        <f aca="false">R967*(B967&gt;=Train_Start)*(B967&lt;=Train_End)</f>
        <v>1</v>
      </c>
      <c r="T967" s="84" t="n">
        <f aca="false">IF(AND(ISNUMBER(O967),ISNUMBER(P967)),Coef_A+Coef_B1*O967+Coef_B2*P967,"")</f>
        <v>20.0676561919235</v>
      </c>
      <c r="U967" s="84" t="n">
        <f aca="false">IF(AND(R967=1,ISNUMBER(T967)),E967-T967,"")</f>
        <v>-2.5676561919235</v>
      </c>
      <c r="V967" s="84" t="n">
        <f aca="false">IF(ISNUMBER(T967),T967,-99)</f>
        <v>20.0676561919235</v>
      </c>
      <c r="W967" s="84" t="n">
        <f aca="false">IF(ISNUMBER(U967),ABS(U967),"")</f>
        <v>2.5676561919235</v>
      </c>
    </row>
    <row r="968" customFormat="false" ht="15" hidden="false" customHeight="false" outlineLevel="0" collapsed="false">
      <c r="A968" s="57" t="n">
        <v>31216</v>
      </c>
      <c r="B968" s="56" t="n">
        <v>1985</v>
      </c>
      <c r="C968" s="56" t="n">
        <v>6</v>
      </c>
      <c r="D968" s="56" t="n">
        <v>49</v>
      </c>
      <c r="E968" s="56" t="n">
        <v>19.7</v>
      </c>
      <c r="F968" s="56" t="n">
        <v>0</v>
      </c>
      <c r="G968" s="56" t="n">
        <v>10.6</v>
      </c>
      <c r="H968" s="56" t="n">
        <v>0</v>
      </c>
      <c r="I968" s="56" t="n">
        <v>14</v>
      </c>
      <c r="J968" s="56" t="n">
        <v>0</v>
      </c>
      <c r="K968" s="56" t="n">
        <v>1015.1</v>
      </c>
      <c r="L968" s="56" t="n">
        <v>0</v>
      </c>
      <c r="M968" s="56" t="n">
        <v>78</v>
      </c>
      <c r="N968" s="56" t="n">
        <v>1.5</v>
      </c>
      <c r="O968" s="56" t="n">
        <f aca="false">IF(D968=1,"",E967)</f>
        <v>17.5</v>
      </c>
      <c r="P968" s="56" t="n">
        <f aca="false">IF(OR(D968=1,K967=""),"",K967)</f>
        <v>1018.6</v>
      </c>
      <c r="Q968" s="56" t="n">
        <f aca="false">IF(OR(F968&lt;&gt;0,AND(I968&lt;&gt;"",E968&lt;I968)),1,0)</f>
        <v>0</v>
      </c>
      <c r="R968" s="56" t="n">
        <f aca="false">IF(AND(D968&gt;1,Q968=0,ISNUMBER(O968),ISNUMBER(P968)),IF(Q967=0,1,0),0)</f>
        <v>1</v>
      </c>
      <c r="S968" s="56" t="n">
        <f aca="false">R968*(B968&gt;=Train_Start)*(B968&lt;=Train_End)</f>
        <v>1</v>
      </c>
      <c r="T968" s="84" t="n">
        <f aca="false">IF(AND(ISNUMBER(O968),ISNUMBER(P968)),Coef_A+Coef_B1*O968+Coef_B2*P968,"")</f>
        <v>18.3787859744238</v>
      </c>
      <c r="U968" s="84" t="n">
        <f aca="false">IF(AND(R968=1,ISNUMBER(T968)),E968-T968,"")</f>
        <v>1.3212140255762</v>
      </c>
      <c r="V968" s="84" t="n">
        <f aca="false">IF(ISNUMBER(T968),T968,-99)</f>
        <v>18.3787859744238</v>
      </c>
      <c r="W968" s="84" t="n">
        <f aca="false">IF(ISNUMBER(U968),ABS(U968),"")</f>
        <v>1.3212140255762</v>
      </c>
    </row>
    <row r="969" customFormat="false" ht="15" hidden="false" customHeight="false" outlineLevel="0" collapsed="false">
      <c r="A969" s="57" t="n">
        <v>31217</v>
      </c>
      <c r="B969" s="56" t="n">
        <v>1985</v>
      </c>
      <c r="C969" s="56" t="n">
        <v>6</v>
      </c>
      <c r="D969" s="56" t="n">
        <v>50</v>
      </c>
      <c r="E969" s="56" t="n">
        <v>20.1</v>
      </c>
      <c r="F969" s="56" t="n">
        <v>0</v>
      </c>
      <c r="G969" s="56" t="n">
        <v>12</v>
      </c>
      <c r="H969" s="56" t="n">
        <v>0</v>
      </c>
      <c r="I969" s="56" t="n">
        <v>15.8</v>
      </c>
      <c r="J969" s="56" t="n">
        <v>0</v>
      </c>
      <c r="K969" s="56" t="n">
        <v>1010</v>
      </c>
      <c r="L969" s="56" t="n">
        <v>0</v>
      </c>
      <c r="M969" s="56" t="n">
        <v>78</v>
      </c>
      <c r="N969" s="56" t="n">
        <v>3</v>
      </c>
      <c r="O969" s="56" t="n">
        <f aca="false">IF(D969=1,"",E968)</f>
        <v>19.7</v>
      </c>
      <c r="P969" s="56" t="n">
        <f aca="false">IF(OR(D969=1,K968=""),"",K968)</f>
        <v>1015.1</v>
      </c>
      <c r="Q969" s="56" t="n">
        <f aca="false">IF(OR(F969&lt;&gt;0,AND(I969&lt;&gt;"",E969&lt;I969)),1,0)</f>
        <v>0</v>
      </c>
      <c r="R969" s="56" t="n">
        <f aca="false">IF(AND(D969&gt;1,Q969=0,ISNUMBER(O969),ISNUMBER(P969)),IF(Q968=0,1,0),0)</f>
        <v>1</v>
      </c>
      <c r="S969" s="56" t="n">
        <f aca="false">R969*(B969&gt;=Train_Start)*(B969&lt;=Train_End)</f>
        <v>1</v>
      </c>
      <c r="T969" s="84" t="n">
        <f aca="false">IF(AND(ISNUMBER(O969),ISNUMBER(P969)),Coef_A+Coef_B1*O969+Coef_B2*P969,"")</f>
        <v>20.0715375678987</v>
      </c>
      <c r="U969" s="84" t="n">
        <f aca="false">IF(AND(R969=1,ISNUMBER(T969)),E969-T969,"")</f>
        <v>0.0284624321013176</v>
      </c>
      <c r="V969" s="84" t="n">
        <f aca="false">IF(ISNUMBER(T969),T969,-99)</f>
        <v>20.0715375678987</v>
      </c>
      <c r="W969" s="84" t="n">
        <f aca="false">IF(ISNUMBER(U969),ABS(U969),"")</f>
        <v>0.0284624321013176</v>
      </c>
    </row>
    <row r="970" customFormat="false" ht="15" hidden="false" customHeight="false" outlineLevel="0" collapsed="false">
      <c r="A970" s="57" t="n">
        <v>31218</v>
      </c>
      <c r="B970" s="56" t="n">
        <v>1985</v>
      </c>
      <c r="C970" s="56" t="n">
        <v>6</v>
      </c>
      <c r="D970" s="56" t="n">
        <v>51</v>
      </c>
      <c r="E970" s="56" t="n">
        <v>16</v>
      </c>
      <c r="F970" s="56" t="n">
        <v>0</v>
      </c>
      <c r="G970" s="56" t="n">
        <v>11</v>
      </c>
      <c r="H970" s="56" t="n">
        <v>0</v>
      </c>
      <c r="I970" s="56" t="n">
        <v>15.6</v>
      </c>
      <c r="J970" s="56" t="n">
        <v>0</v>
      </c>
      <c r="K970" s="56" t="n">
        <v>1012.6</v>
      </c>
      <c r="L970" s="56" t="n">
        <v>0</v>
      </c>
      <c r="M970" s="56" t="n">
        <v>68</v>
      </c>
      <c r="N970" s="56" t="n">
        <v>8.6</v>
      </c>
      <c r="O970" s="56" t="n">
        <f aca="false">IF(D970=1,"",E969)</f>
        <v>20.1</v>
      </c>
      <c r="P970" s="56" t="n">
        <f aca="false">IF(OR(D970=1,K969=""),"",K969)</f>
        <v>1010</v>
      </c>
      <c r="Q970" s="56" t="n">
        <f aca="false">IF(OR(F970&lt;&gt;0,AND(I970&lt;&gt;"",E970&lt;I970)),1,0)</f>
        <v>0</v>
      </c>
      <c r="R970" s="56" t="n">
        <f aca="false">IF(AND(D970&gt;1,Q970=0,ISNUMBER(O970),ISNUMBER(P970)),IF(Q969=0,1,0),0)</f>
        <v>1</v>
      </c>
      <c r="S970" s="56" t="n">
        <f aca="false">R970*(B970&gt;=Train_Start)*(B970&lt;=Train_End)</f>
        <v>1</v>
      </c>
      <c r="T970" s="84" t="n">
        <f aca="false">IF(AND(ISNUMBER(O970),ISNUMBER(P970)),Coef_A+Coef_B1*O970+Coef_B2*P970,"")</f>
        <v>20.2392867824824</v>
      </c>
      <c r="U970" s="84" t="n">
        <f aca="false">IF(AND(R970=1,ISNUMBER(T970)),E970-T970,"")</f>
        <v>-4.2392867824824</v>
      </c>
      <c r="V970" s="84" t="n">
        <f aca="false">IF(ISNUMBER(T970),T970,-99)</f>
        <v>20.2392867824824</v>
      </c>
      <c r="W970" s="84" t="n">
        <f aca="false">IF(ISNUMBER(U970),ABS(U970),"")</f>
        <v>4.2392867824824</v>
      </c>
    </row>
    <row r="971" customFormat="false" ht="15" hidden="false" customHeight="false" outlineLevel="0" collapsed="false">
      <c r="A971" s="57" t="n">
        <v>31219</v>
      </c>
      <c r="B971" s="56" t="n">
        <v>1985</v>
      </c>
      <c r="C971" s="56" t="n">
        <v>6</v>
      </c>
      <c r="D971" s="56" t="n">
        <v>52</v>
      </c>
      <c r="E971" s="56" t="n">
        <v>16.6</v>
      </c>
      <c r="F971" s="56" t="n">
        <v>0</v>
      </c>
      <c r="G971" s="56" t="n">
        <v>10.7</v>
      </c>
      <c r="H971" s="56" t="n">
        <v>0</v>
      </c>
      <c r="I971" s="56" t="n">
        <v>13.4</v>
      </c>
      <c r="J971" s="56" t="n">
        <v>0</v>
      </c>
      <c r="K971" s="56" t="n">
        <v>1004.4</v>
      </c>
      <c r="L971" s="56" t="n">
        <v>0</v>
      </c>
      <c r="M971" s="56" t="n">
        <v>91</v>
      </c>
      <c r="N971" s="56" t="n">
        <v>0.6</v>
      </c>
      <c r="O971" s="56" t="n">
        <f aca="false">IF(D971=1,"",E970)</f>
        <v>16</v>
      </c>
      <c r="P971" s="56" t="n">
        <f aca="false">IF(OR(D971=1,K970=""),"",K970)</f>
        <v>1012.6</v>
      </c>
      <c r="Q971" s="56" t="n">
        <f aca="false">IF(OR(F971&lt;&gt;0,AND(I971&lt;&gt;"",E971&lt;I971)),1,0)</f>
        <v>0</v>
      </c>
      <c r="R971" s="56" t="n">
        <f aca="false">IF(AND(D971&gt;1,Q971=0,ISNUMBER(O971),ISNUMBER(P971)),IF(Q970=0,1,0),0)</f>
        <v>1</v>
      </c>
      <c r="S971" s="56" t="n">
        <f aca="false">R971*(B971&gt;=Train_Start)*(B971&lt;=Train_End)</f>
        <v>1</v>
      </c>
      <c r="T971" s="84" t="n">
        <f aca="false">IF(AND(ISNUMBER(O971),ISNUMBER(P971)),Coef_A+Coef_B1*O971+Coef_B2*P971,"")</f>
        <v>16.9615578170559</v>
      </c>
      <c r="U971" s="84" t="n">
        <f aca="false">IF(AND(R971=1,ISNUMBER(T971)),E971-T971,"")</f>
        <v>-0.361557817055875</v>
      </c>
      <c r="V971" s="84" t="n">
        <f aca="false">IF(ISNUMBER(T971),T971,-99)</f>
        <v>16.9615578170559</v>
      </c>
      <c r="W971" s="84" t="n">
        <f aca="false">IF(ISNUMBER(U971),ABS(U971),"")</f>
        <v>0.361557817055875</v>
      </c>
    </row>
    <row r="972" customFormat="false" ht="15" hidden="false" customHeight="false" outlineLevel="0" collapsed="false">
      <c r="A972" s="57" t="n">
        <v>31220</v>
      </c>
      <c r="B972" s="56" t="n">
        <v>1985</v>
      </c>
      <c r="C972" s="56" t="n">
        <v>6</v>
      </c>
      <c r="D972" s="56" t="n">
        <v>53</v>
      </c>
      <c r="E972" s="56" t="n">
        <v>19.1</v>
      </c>
      <c r="F972" s="56" t="n">
        <v>0</v>
      </c>
      <c r="G972" s="56" t="n">
        <v>12.2</v>
      </c>
      <c r="H972" s="56" t="n">
        <v>0</v>
      </c>
      <c r="I972" s="56" t="n">
        <v>14.4</v>
      </c>
      <c r="J972" s="56" t="n">
        <v>0</v>
      </c>
      <c r="K972" s="56" t="n">
        <v>1001.4</v>
      </c>
      <c r="L972" s="56" t="n">
        <v>0</v>
      </c>
      <c r="M972" s="56" t="n">
        <v>84</v>
      </c>
      <c r="N972" s="56" t="n">
        <v>0.3</v>
      </c>
      <c r="O972" s="56" t="n">
        <f aca="false">IF(D972=1,"",E971)</f>
        <v>16.6</v>
      </c>
      <c r="P972" s="56" t="n">
        <f aca="false">IF(OR(D972=1,K971=""),"",K971)</f>
        <v>1004.4</v>
      </c>
      <c r="Q972" s="56" t="n">
        <f aca="false">IF(OR(F972&lt;&gt;0,AND(I972&lt;&gt;"",E972&lt;I972)),1,0)</f>
        <v>0</v>
      </c>
      <c r="R972" s="56" t="n">
        <f aca="false">IF(AND(D972&gt;1,Q972=0,ISNUMBER(O972),ISNUMBER(P972)),IF(Q971=0,1,0),0)</f>
        <v>1</v>
      </c>
      <c r="S972" s="56" t="n">
        <f aca="false">R972*(B972&gt;=Train_Start)*(B972&lt;=Train_End)</f>
        <v>1</v>
      </c>
      <c r="T972" s="84" t="n">
        <f aca="false">IF(AND(ISNUMBER(O972),ISNUMBER(P972)),Coef_A+Coef_B1*O972+Coef_B2*P972,"")</f>
        <v>17.1959281968828</v>
      </c>
      <c r="U972" s="84" t="n">
        <f aca="false">IF(AND(R972=1,ISNUMBER(T972)),E972-T972,"")</f>
        <v>1.90407180311724</v>
      </c>
      <c r="V972" s="84" t="n">
        <f aca="false">IF(ISNUMBER(T972),T972,-99)</f>
        <v>17.1959281968828</v>
      </c>
      <c r="W972" s="84" t="n">
        <f aca="false">IF(ISNUMBER(U972),ABS(U972),"")</f>
        <v>1.90407180311724</v>
      </c>
    </row>
    <row r="973" customFormat="false" ht="15" hidden="false" customHeight="false" outlineLevel="0" collapsed="false">
      <c r="A973" s="57" t="n">
        <v>31221</v>
      </c>
      <c r="B973" s="56" t="n">
        <v>1985</v>
      </c>
      <c r="C973" s="56" t="n">
        <v>6</v>
      </c>
      <c r="D973" s="56" t="n">
        <v>54</v>
      </c>
      <c r="E973" s="56" t="n">
        <v>18.2</v>
      </c>
      <c r="F973" s="56" t="n">
        <v>0</v>
      </c>
      <c r="G973" s="56" t="n">
        <v>11</v>
      </c>
      <c r="H973" s="56" t="n">
        <v>0</v>
      </c>
      <c r="I973" s="56" t="n">
        <v>15</v>
      </c>
      <c r="J973" s="56" t="n">
        <v>0</v>
      </c>
      <c r="K973" s="56" t="n">
        <v>1005</v>
      </c>
      <c r="L973" s="56" t="n">
        <v>0</v>
      </c>
      <c r="M973" s="56" t="n">
        <v>79</v>
      </c>
      <c r="N973" s="56" t="n">
        <v>5</v>
      </c>
      <c r="O973" s="56" t="n">
        <f aca="false">IF(D973=1,"",E972)</f>
        <v>19.1</v>
      </c>
      <c r="P973" s="56" t="n">
        <f aca="false">IF(OR(D973=1,K972=""),"",K972)</f>
        <v>1001.4</v>
      </c>
      <c r="Q973" s="56" t="n">
        <f aca="false">IF(OR(F973&lt;&gt;0,AND(I973&lt;&gt;"",E973&lt;I973)),1,0)</f>
        <v>0</v>
      </c>
      <c r="R973" s="56" t="n">
        <f aca="false">IF(AND(D973&gt;1,Q973=0,ISNUMBER(O973),ISNUMBER(P973)),IF(Q972=0,1,0),0)</f>
        <v>1</v>
      </c>
      <c r="S973" s="56" t="n">
        <f aca="false">R973*(B973&gt;=Train_Start)*(B973&lt;=Train_End)</f>
        <v>1</v>
      </c>
      <c r="T973" s="84" t="n">
        <f aca="false">IF(AND(ISNUMBER(O973),ISNUMBER(P973)),Coef_A+Coef_B1*O973+Coef_B2*P973,"")</f>
        <v>19.1501664955874</v>
      </c>
      <c r="U973" s="84" t="n">
        <f aca="false">IF(AND(R973=1,ISNUMBER(T973)),E973-T973,"")</f>
        <v>-0.950166495587435</v>
      </c>
      <c r="V973" s="84" t="n">
        <f aca="false">IF(ISNUMBER(T973),T973,-99)</f>
        <v>19.1501664955874</v>
      </c>
      <c r="W973" s="84" t="n">
        <f aca="false">IF(ISNUMBER(U973),ABS(U973),"")</f>
        <v>0.950166495587435</v>
      </c>
    </row>
    <row r="974" customFormat="false" ht="15" hidden="false" customHeight="false" outlineLevel="0" collapsed="false">
      <c r="A974" s="57" t="n">
        <v>31222</v>
      </c>
      <c r="B974" s="56" t="n">
        <v>1985</v>
      </c>
      <c r="C974" s="56" t="n">
        <v>6</v>
      </c>
      <c r="D974" s="56" t="n">
        <v>55</v>
      </c>
      <c r="E974" s="56" t="n">
        <v>15.9</v>
      </c>
      <c r="F974" s="56" t="n">
        <v>0</v>
      </c>
      <c r="G974" s="56" t="n">
        <v>12.7</v>
      </c>
      <c r="H974" s="56" t="n">
        <v>0</v>
      </c>
      <c r="I974" s="56" t="n">
        <v>15.4</v>
      </c>
      <c r="J974" s="56" t="n">
        <v>0</v>
      </c>
      <c r="K974" s="56" t="n">
        <v>1010.5</v>
      </c>
      <c r="L974" s="56" t="n">
        <v>0</v>
      </c>
      <c r="M974" s="56" t="n">
        <v>86</v>
      </c>
      <c r="N974" s="56" t="n">
        <v>1.6</v>
      </c>
      <c r="O974" s="56" t="n">
        <f aca="false">IF(D974=1,"",E973)</f>
        <v>18.2</v>
      </c>
      <c r="P974" s="56" t="n">
        <f aca="false">IF(OR(D974=1,K973=""),"",K973)</f>
        <v>1005</v>
      </c>
      <c r="Q974" s="56" t="n">
        <f aca="false">IF(OR(F974&lt;&gt;0,AND(I974&lt;&gt;"",E974&lt;I974)),1,0)</f>
        <v>0</v>
      </c>
      <c r="R974" s="56" t="n">
        <f aca="false">IF(AND(D974&gt;1,Q974=0,ISNUMBER(O974),ISNUMBER(P974)),IF(Q973=0,1,0),0)</f>
        <v>1</v>
      </c>
      <c r="S974" s="56" t="n">
        <f aca="false">R974*(B974&gt;=Train_Start)*(B974&lt;=Train_End)</f>
        <v>1</v>
      </c>
      <c r="T974" s="84" t="n">
        <f aca="false">IF(AND(ISNUMBER(O974),ISNUMBER(P974)),Coef_A+Coef_B1*O974+Coef_B2*P974,"")</f>
        <v>18.5256928425314</v>
      </c>
      <c r="U974" s="84" t="n">
        <f aca="false">IF(AND(R974=1,ISNUMBER(T974)),E974-T974,"")</f>
        <v>-2.62569284253141</v>
      </c>
      <c r="V974" s="84" t="n">
        <f aca="false">IF(ISNUMBER(T974),T974,-99)</f>
        <v>18.5256928425314</v>
      </c>
      <c r="W974" s="84" t="n">
        <f aca="false">IF(ISNUMBER(U974),ABS(U974),"")</f>
        <v>2.62569284253141</v>
      </c>
    </row>
    <row r="975" customFormat="false" ht="15" hidden="false" customHeight="false" outlineLevel="0" collapsed="false">
      <c r="A975" s="57" t="n">
        <v>31223</v>
      </c>
      <c r="B975" s="56" t="n">
        <v>1985</v>
      </c>
      <c r="C975" s="56" t="n">
        <v>6</v>
      </c>
      <c r="D975" s="56" t="n">
        <v>56</v>
      </c>
      <c r="E975" s="56" t="n">
        <v>18.2</v>
      </c>
      <c r="F975" s="56" t="n">
        <v>0</v>
      </c>
      <c r="G975" s="56" t="n">
        <v>8.3</v>
      </c>
      <c r="H975" s="56" t="n">
        <v>0</v>
      </c>
      <c r="I975" s="56" t="n">
        <v>12.1</v>
      </c>
      <c r="J975" s="56" t="n">
        <v>0</v>
      </c>
      <c r="K975" s="56" t="n">
        <v>1017.8</v>
      </c>
      <c r="L975" s="56" t="n">
        <v>0</v>
      </c>
      <c r="M975" s="56" t="n">
        <v>84</v>
      </c>
      <c r="N975" s="56" t="n">
        <v>2.1</v>
      </c>
      <c r="O975" s="56" t="n">
        <f aca="false">IF(D975=1,"",E974)</f>
        <v>15.9</v>
      </c>
      <c r="P975" s="56" t="n">
        <f aca="false">IF(OR(D975=1,K974=""),"",K974)</f>
        <v>1010.5</v>
      </c>
      <c r="Q975" s="56" t="n">
        <f aca="false">IF(OR(F975&lt;&gt;0,AND(I975&lt;&gt;"",E975&lt;I975)),1,0)</f>
        <v>0</v>
      </c>
      <c r="R975" s="56" t="n">
        <f aca="false">IF(AND(D975&gt;1,Q975=0,ISNUMBER(O975),ISNUMBER(P975)),IF(Q974=0,1,0),0)</f>
        <v>1</v>
      </c>
      <c r="S975" s="56" t="n">
        <f aca="false">R975*(B975&gt;=Train_Start)*(B975&lt;=Train_End)</f>
        <v>1</v>
      </c>
      <c r="T975" s="84" t="n">
        <f aca="false">IF(AND(ISNUMBER(O975),ISNUMBER(P975)),Coef_A+Coef_B1*O975+Coef_B2*P975,"")</f>
        <v>16.8137471190202</v>
      </c>
      <c r="U975" s="84" t="n">
        <f aca="false">IF(AND(R975=1,ISNUMBER(T975)),E975-T975,"")</f>
        <v>1.38625288097976</v>
      </c>
      <c r="V975" s="84" t="n">
        <f aca="false">IF(ISNUMBER(T975),T975,-99)</f>
        <v>16.8137471190202</v>
      </c>
      <c r="W975" s="84" t="n">
        <f aca="false">IF(ISNUMBER(U975),ABS(U975),"")</f>
        <v>1.38625288097976</v>
      </c>
    </row>
    <row r="976" customFormat="false" ht="15" hidden="false" customHeight="false" outlineLevel="0" collapsed="false">
      <c r="A976" s="57" t="n">
        <v>31224</v>
      </c>
      <c r="B976" s="56" t="n">
        <v>1985</v>
      </c>
      <c r="C976" s="56" t="n">
        <v>6</v>
      </c>
      <c r="D976" s="56" t="n">
        <v>57</v>
      </c>
      <c r="E976" s="56" t="n">
        <v>18.8</v>
      </c>
      <c r="F976" s="56" t="n">
        <v>0</v>
      </c>
      <c r="G976" s="56" t="n">
        <v>9.7</v>
      </c>
      <c r="H976" s="56" t="n">
        <v>0</v>
      </c>
      <c r="I976" s="56" t="n">
        <v>14</v>
      </c>
      <c r="J976" s="56" t="n">
        <v>0</v>
      </c>
      <c r="K976" s="56" t="n">
        <v>1017.2</v>
      </c>
      <c r="L976" s="56" t="n">
        <v>0</v>
      </c>
      <c r="M976" s="56" t="n">
        <v>81</v>
      </c>
      <c r="N976" s="56" t="n">
        <v>5.1</v>
      </c>
      <c r="O976" s="56" t="n">
        <f aca="false">IF(D976=1,"",E975)</f>
        <v>18.2</v>
      </c>
      <c r="P976" s="56" t="n">
        <f aca="false">IF(OR(D976=1,K975=""),"",K975)</f>
        <v>1017.8</v>
      </c>
      <c r="Q976" s="56" t="n">
        <f aca="false">IF(OR(F976&lt;&gt;0,AND(I976&lt;&gt;"",E976&lt;I976)),1,0)</f>
        <v>0</v>
      </c>
      <c r="R976" s="56" t="n">
        <f aca="false">IF(AND(D976&gt;1,Q976=0,ISNUMBER(O976),ISNUMBER(P976)),IF(Q975=0,1,0),0)</f>
        <v>1</v>
      </c>
      <c r="S976" s="56" t="n">
        <f aca="false">R976*(B976&gt;=Train_Start)*(B976&lt;=Train_End)</f>
        <v>1</v>
      </c>
      <c r="T976" s="84" t="n">
        <f aca="false">IF(AND(ISNUMBER(O976),ISNUMBER(P976)),Coef_A+Coef_B1*O976+Coef_B2*P976,"")</f>
        <v>18.9272274938465</v>
      </c>
      <c r="U976" s="84" t="n">
        <f aca="false">IF(AND(R976=1,ISNUMBER(T976)),E976-T976,"")</f>
        <v>-0.127227493846465</v>
      </c>
      <c r="V976" s="84" t="n">
        <f aca="false">IF(ISNUMBER(T976),T976,-99)</f>
        <v>18.9272274938465</v>
      </c>
      <c r="W976" s="84" t="n">
        <f aca="false">IF(ISNUMBER(U976),ABS(U976),"")</f>
        <v>0.127227493846465</v>
      </c>
    </row>
    <row r="977" customFormat="false" ht="15" hidden="false" customHeight="false" outlineLevel="0" collapsed="false">
      <c r="A977" s="57" t="n">
        <v>31225</v>
      </c>
      <c r="B977" s="56" t="n">
        <v>1985</v>
      </c>
      <c r="C977" s="56" t="n">
        <v>6</v>
      </c>
      <c r="D977" s="56" t="n">
        <v>58</v>
      </c>
      <c r="E977" s="56" t="n">
        <v>17.9</v>
      </c>
      <c r="F977" s="56" t="n">
        <v>0</v>
      </c>
      <c r="G977" s="56" t="n">
        <v>10.5</v>
      </c>
      <c r="H977" s="56" t="n">
        <v>0</v>
      </c>
      <c r="I977" s="56" t="n">
        <v>14.6</v>
      </c>
      <c r="J977" s="56" t="n">
        <v>0</v>
      </c>
      <c r="K977" s="56" t="n">
        <v>1019.7</v>
      </c>
      <c r="L977" s="56" t="n">
        <v>0</v>
      </c>
      <c r="M977" s="56" t="n">
        <v>72</v>
      </c>
      <c r="N977" s="56" t="n">
        <v>6.2</v>
      </c>
      <c r="O977" s="56" t="n">
        <f aca="false">IF(D977=1,"",E976)</f>
        <v>18.8</v>
      </c>
      <c r="P977" s="56" t="n">
        <f aca="false">IF(OR(D977=1,K976=""),"",K976)</f>
        <v>1017.2</v>
      </c>
      <c r="Q977" s="56" t="n">
        <f aca="false">IF(OR(F977&lt;&gt;0,AND(I977&lt;&gt;"",E977&lt;I977)),1,0)</f>
        <v>0</v>
      </c>
      <c r="R977" s="56" t="n">
        <f aca="false">IF(AND(D977&gt;1,Q977=0,ISNUMBER(O977),ISNUMBER(P977)),IF(Q976=0,1,0),0)</f>
        <v>1</v>
      </c>
      <c r="S977" s="56" t="n">
        <f aca="false">R977*(B977&gt;=Train_Start)*(B977&lt;=Train_End)</f>
        <v>1</v>
      </c>
      <c r="T977" s="84" t="n">
        <f aca="false">IF(AND(ISNUMBER(O977),ISNUMBER(P977)),Coef_A+Coef_B1*O977+Coef_B2*P977,"")</f>
        <v>19.4000090728917</v>
      </c>
      <c r="U977" s="84" t="n">
        <f aca="false">IF(AND(R977=1,ISNUMBER(T977)),E977-T977,"")</f>
        <v>-1.50000907289168</v>
      </c>
      <c r="V977" s="84" t="n">
        <f aca="false">IF(ISNUMBER(T977),T977,-99)</f>
        <v>19.4000090728917</v>
      </c>
      <c r="W977" s="84" t="n">
        <f aca="false">IF(ISNUMBER(U977),ABS(U977),"")</f>
        <v>1.50000907289168</v>
      </c>
    </row>
    <row r="978" customFormat="false" ht="15" hidden="false" customHeight="false" outlineLevel="0" collapsed="false">
      <c r="A978" s="57" t="n">
        <v>31226</v>
      </c>
      <c r="B978" s="56" t="n">
        <v>1985</v>
      </c>
      <c r="C978" s="56" t="n">
        <v>6</v>
      </c>
      <c r="D978" s="56" t="n">
        <v>59</v>
      </c>
      <c r="E978" s="56" t="n">
        <v>21.1</v>
      </c>
      <c r="F978" s="56" t="n">
        <v>0</v>
      </c>
      <c r="G978" s="56" t="n">
        <v>9.7</v>
      </c>
      <c r="H978" s="56" t="n">
        <v>0</v>
      </c>
      <c r="I978" s="56" t="n">
        <v>13.8</v>
      </c>
      <c r="J978" s="56" t="n">
        <v>0</v>
      </c>
      <c r="K978" s="56" t="n">
        <v>1016.6</v>
      </c>
      <c r="L978" s="56" t="n">
        <v>0</v>
      </c>
      <c r="M978" s="56" t="n">
        <v>79</v>
      </c>
      <c r="N978" s="56" t="n">
        <v>1.7</v>
      </c>
      <c r="O978" s="56" t="n">
        <f aca="false">IF(D978=1,"",E977)</f>
        <v>17.9</v>
      </c>
      <c r="P978" s="56" t="n">
        <f aca="false">IF(OR(D978=1,K977=""),"",K977)</f>
        <v>1019.7</v>
      </c>
      <c r="Q978" s="56" t="n">
        <f aca="false">IF(OR(F978&lt;&gt;0,AND(I978&lt;&gt;"",E978&lt;I978)),1,0)</f>
        <v>0</v>
      </c>
      <c r="R978" s="56" t="n">
        <f aca="false">IF(AND(D978&gt;1,Q978=0,ISNUMBER(O978),ISNUMBER(P978)),IF(Q977=0,1,0),0)</f>
        <v>1</v>
      </c>
      <c r="S978" s="56" t="n">
        <f aca="false">R978*(B978&gt;=Train_Start)*(B978&lt;=Train_End)</f>
        <v>1</v>
      </c>
      <c r="T978" s="84" t="n">
        <f aca="false">IF(AND(ISNUMBER(O978),ISNUMBER(P978)),Coef_A+Coef_B1*O978+Coef_B2*P978,"")</f>
        <v>18.7410285357383</v>
      </c>
      <c r="U978" s="84" t="n">
        <f aca="false">IF(AND(R978=1,ISNUMBER(T978)),E978-T978,"")</f>
        <v>2.35897146426175</v>
      </c>
      <c r="V978" s="84" t="n">
        <f aca="false">IF(ISNUMBER(T978),T978,-99)</f>
        <v>18.7410285357383</v>
      </c>
      <c r="W978" s="84" t="n">
        <f aca="false">IF(ISNUMBER(U978),ABS(U978),"")</f>
        <v>2.35897146426175</v>
      </c>
    </row>
    <row r="979" customFormat="false" ht="15" hidden="false" customHeight="false" outlineLevel="0" collapsed="false">
      <c r="A979" s="57" t="n">
        <v>31227</v>
      </c>
      <c r="B979" s="56" t="n">
        <v>1985</v>
      </c>
      <c r="C979" s="56" t="n">
        <v>6</v>
      </c>
      <c r="D979" s="56" t="n">
        <v>60</v>
      </c>
      <c r="E979" s="56" t="n">
        <v>21.7</v>
      </c>
      <c r="F979" s="56" t="n">
        <v>0</v>
      </c>
      <c r="G979" s="56" t="n">
        <v>13</v>
      </c>
      <c r="H979" s="56" t="n">
        <v>0</v>
      </c>
      <c r="I979" s="56" t="n">
        <v>17</v>
      </c>
      <c r="J979" s="56" t="n">
        <v>0</v>
      </c>
      <c r="K979" s="56" t="n">
        <v>1015.7</v>
      </c>
      <c r="L979" s="56" t="n">
        <v>0</v>
      </c>
      <c r="M979" s="56" t="n">
        <v>80</v>
      </c>
      <c r="N979" s="56" t="n">
        <v>4.2</v>
      </c>
      <c r="O979" s="56" t="n">
        <f aca="false">IF(D979=1,"",E978)</f>
        <v>21.1</v>
      </c>
      <c r="P979" s="56" t="n">
        <f aca="false">IF(OR(D979=1,K978=""),"",K978)</f>
        <v>1016.6</v>
      </c>
      <c r="Q979" s="56" t="n">
        <f aca="false">IF(OR(F979&lt;&gt;0,AND(I979&lt;&gt;"",E979&lt;I979)),1,0)</f>
        <v>0</v>
      </c>
      <c r="R979" s="56" t="n">
        <f aca="false">IF(AND(D979&gt;1,Q979=0,ISNUMBER(O979),ISNUMBER(P979)),IF(Q978=0,1,0),0)</f>
        <v>1</v>
      </c>
      <c r="S979" s="56" t="n">
        <f aca="false">R979*(B979&gt;=Train_Start)*(B979&lt;=Train_End)</f>
        <v>1</v>
      </c>
      <c r="T979" s="84" t="n">
        <f aca="false">IF(AND(ISNUMBER(O979),ISNUMBER(P979)),Coef_A+Coef_B1*O979+Coef_B2*P979,"")</f>
        <v>21.2656672801094</v>
      </c>
      <c r="U979" s="84" t="n">
        <f aca="false">IF(AND(R979=1,ISNUMBER(T979)),E979-T979,"")</f>
        <v>0.434332719890609</v>
      </c>
      <c r="V979" s="84" t="n">
        <f aca="false">IF(ISNUMBER(T979),T979,-99)</f>
        <v>21.2656672801094</v>
      </c>
      <c r="W979" s="84" t="n">
        <f aca="false">IF(ISNUMBER(U979),ABS(U979),"")</f>
        <v>0.434332719890609</v>
      </c>
    </row>
    <row r="980" customFormat="false" ht="15" hidden="false" customHeight="false" outlineLevel="0" collapsed="false">
      <c r="A980" s="57" t="n">
        <v>31228</v>
      </c>
      <c r="B980" s="56" t="n">
        <v>1985</v>
      </c>
      <c r="C980" s="56" t="n">
        <v>6</v>
      </c>
      <c r="D980" s="56" t="n">
        <v>61</v>
      </c>
      <c r="E980" s="56" t="n">
        <v>22.9</v>
      </c>
      <c r="F980" s="56" t="n">
        <v>0</v>
      </c>
      <c r="G980" s="56" t="n">
        <v>12.6</v>
      </c>
      <c r="H980" s="56" t="n">
        <v>0</v>
      </c>
      <c r="I980" s="56" t="n">
        <v>17.2</v>
      </c>
      <c r="J980" s="56" t="n">
        <v>0</v>
      </c>
      <c r="K980" s="56" t="n">
        <v>1017.7</v>
      </c>
      <c r="L980" s="56" t="n">
        <v>0</v>
      </c>
      <c r="M980" s="56" t="n">
        <v>77</v>
      </c>
      <c r="N980" s="56" t="n">
        <v>5.8</v>
      </c>
      <c r="O980" s="56" t="n">
        <f aca="false">IF(D980=1,"",E979)</f>
        <v>21.7</v>
      </c>
      <c r="P980" s="56" t="n">
        <f aca="false">IF(OR(D980=1,K979=""),"",K979)</f>
        <v>1015.7</v>
      </c>
      <c r="Q980" s="56" t="n">
        <f aca="false">IF(OR(F980&lt;&gt;0,AND(I980&lt;&gt;"",E980&lt;I980)),1,0)</f>
        <v>0</v>
      </c>
      <c r="R980" s="56" t="n">
        <f aca="false">IF(AND(D980&gt;1,Q980=0,ISNUMBER(O980),ISNUMBER(P980)),IF(Q979=0,1,0),0)</f>
        <v>1</v>
      </c>
      <c r="S980" s="56" t="n">
        <f aca="false">R980*(B980&gt;=Train_Start)*(B980&lt;=Train_End)</f>
        <v>1</v>
      </c>
      <c r="T980" s="84" t="n">
        <f aca="false">IF(AND(ISNUMBER(O980),ISNUMBER(P980)),Coef_A+Coef_B1*O980+Coef_B2*P980,"")</f>
        <v>21.7290378907644</v>
      </c>
      <c r="U980" s="84" t="n">
        <f aca="false">IF(AND(R980=1,ISNUMBER(T980)),E980-T980,"")</f>
        <v>1.1709621092356</v>
      </c>
      <c r="V980" s="84" t="n">
        <f aca="false">IF(ISNUMBER(T980),T980,-99)</f>
        <v>21.7290378907644</v>
      </c>
      <c r="W980" s="84" t="n">
        <f aca="false">IF(ISNUMBER(U980),ABS(U980),"")</f>
        <v>1.1709621092356</v>
      </c>
    </row>
    <row r="981" customFormat="false" ht="15" hidden="false" customHeight="false" outlineLevel="0" collapsed="false">
      <c r="A981" s="57" t="n">
        <v>31229</v>
      </c>
      <c r="B981" s="56" t="n">
        <v>1985</v>
      </c>
      <c r="C981" s="56" t="n">
        <v>7</v>
      </c>
      <c r="D981" s="56" t="n">
        <v>62</v>
      </c>
      <c r="E981" s="56" t="n">
        <v>23.9</v>
      </c>
      <c r="F981" s="56" t="n">
        <v>0</v>
      </c>
      <c r="G981" s="56" t="n">
        <v>13.5</v>
      </c>
      <c r="H981" s="56" t="n">
        <v>0</v>
      </c>
      <c r="I981" s="56" t="n">
        <v>18.2</v>
      </c>
      <c r="J981" s="56" t="n">
        <v>0</v>
      </c>
      <c r="K981" s="56" t="n">
        <v>1017.9</v>
      </c>
      <c r="L981" s="56" t="n">
        <v>0</v>
      </c>
      <c r="M981" s="56" t="n">
        <v>69</v>
      </c>
      <c r="N981" s="56" t="n">
        <v>10.7</v>
      </c>
      <c r="O981" s="56" t="n">
        <f aca="false">IF(D981=1,"",E980)</f>
        <v>22.9</v>
      </c>
      <c r="P981" s="56" t="n">
        <f aca="false">IF(OR(D981=1,K980=""),"",K980)</f>
        <v>1017.7</v>
      </c>
      <c r="Q981" s="56" t="n">
        <f aca="false">IF(OR(F981&lt;&gt;0,AND(I981&lt;&gt;"",E981&lt;I981)),1,0)</f>
        <v>0</v>
      </c>
      <c r="R981" s="56" t="n">
        <f aca="false">IF(AND(D981&gt;1,Q981=0,ISNUMBER(O981),ISNUMBER(P981)),IF(Q980=0,1,0),0)</f>
        <v>1</v>
      </c>
      <c r="S981" s="56" t="n">
        <f aca="false">R981*(B981&gt;=Train_Start)*(B981&lt;=Train_End)</f>
        <v>1</v>
      </c>
      <c r="T981" s="84" t="n">
        <f aca="false">IF(AND(ISNUMBER(O981),ISNUMBER(P981)),Coef_A+Coef_B1*O981+Coef_B2*P981,"")</f>
        <v>22.7749847116836</v>
      </c>
      <c r="U981" s="84" t="n">
        <f aca="false">IF(AND(R981=1,ISNUMBER(T981)),E981-T981,"")</f>
        <v>1.12501528831644</v>
      </c>
      <c r="V981" s="84" t="n">
        <f aca="false">IF(ISNUMBER(T981),T981,-99)</f>
        <v>22.7749847116836</v>
      </c>
      <c r="W981" s="84" t="n">
        <f aca="false">IF(ISNUMBER(U981),ABS(U981),"")</f>
        <v>1.12501528831644</v>
      </c>
    </row>
    <row r="982" customFormat="false" ht="15" hidden="false" customHeight="false" outlineLevel="0" collapsed="false">
      <c r="A982" s="57" t="n">
        <v>31230</v>
      </c>
      <c r="B982" s="56" t="n">
        <v>1985</v>
      </c>
      <c r="C982" s="56" t="n">
        <v>7</v>
      </c>
      <c r="D982" s="56" t="n">
        <v>63</v>
      </c>
      <c r="E982" s="56" t="n">
        <v>24.5</v>
      </c>
      <c r="F982" s="56" t="n">
        <v>0</v>
      </c>
      <c r="G982" s="56" t="n">
        <v>12.7</v>
      </c>
      <c r="H982" s="56" t="n">
        <v>0</v>
      </c>
      <c r="I982" s="56" t="n">
        <v>18.3</v>
      </c>
      <c r="J982" s="56" t="n">
        <v>0</v>
      </c>
      <c r="K982" s="56" t="n">
        <v>1021.5</v>
      </c>
      <c r="L982" s="56" t="n">
        <v>0</v>
      </c>
      <c r="M982" s="56" t="n">
        <v>62</v>
      </c>
      <c r="N982" s="56" t="n">
        <v>11.4</v>
      </c>
      <c r="O982" s="56" t="n">
        <f aca="false">IF(D982=1,"",E981)</f>
        <v>23.9</v>
      </c>
      <c r="P982" s="56" t="n">
        <f aca="false">IF(OR(D982=1,K981=""),"",K981)</f>
        <v>1017.9</v>
      </c>
      <c r="Q982" s="56" t="n">
        <f aca="false">IF(OR(F982&lt;&gt;0,AND(I982&lt;&gt;"",E982&lt;I982)),1,0)</f>
        <v>0</v>
      </c>
      <c r="R982" s="56" t="n">
        <f aca="false">IF(AND(D982&gt;1,Q982=0,ISNUMBER(O982),ISNUMBER(P982)),IF(Q981=0,1,0),0)</f>
        <v>1</v>
      </c>
      <c r="S982" s="56" t="n">
        <f aca="false">R982*(B982&gt;=Train_Start)*(B982&lt;=Train_End)</f>
        <v>1</v>
      </c>
      <c r="T982" s="84" t="n">
        <f aca="false">IF(AND(ISNUMBER(O982),ISNUMBER(P982)),Coef_A+Coef_B1*O982+Coef_B2*P982,"")</f>
        <v>23.600597883653</v>
      </c>
      <c r="U982" s="84" t="n">
        <f aca="false">IF(AND(R982=1,ISNUMBER(T982)),E982-T982,"")</f>
        <v>0.899402116346984</v>
      </c>
      <c r="V982" s="84" t="n">
        <f aca="false">IF(ISNUMBER(T982),T982,-99)</f>
        <v>23.600597883653</v>
      </c>
      <c r="W982" s="84" t="n">
        <f aca="false">IF(ISNUMBER(U982),ABS(U982),"")</f>
        <v>0.899402116346984</v>
      </c>
    </row>
    <row r="983" customFormat="false" ht="15" hidden="false" customHeight="false" outlineLevel="0" collapsed="false">
      <c r="A983" s="57" t="n">
        <v>31231</v>
      </c>
      <c r="B983" s="56" t="n">
        <v>1985</v>
      </c>
      <c r="C983" s="56" t="n">
        <v>7</v>
      </c>
      <c r="D983" s="56" t="n">
        <v>64</v>
      </c>
      <c r="E983" s="56" t="n">
        <v>27.1</v>
      </c>
      <c r="F983" s="56" t="n">
        <v>0</v>
      </c>
      <c r="G983" s="56" t="n">
        <v>13.1</v>
      </c>
      <c r="H983" s="56" t="n">
        <v>0</v>
      </c>
      <c r="I983" s="56" t="n">
        <v>18.8</v>
      </c>
      <c r="J983" s="56" t="n">
        <v>0</v>
      </c>
      <c r="K983" s="56" t="n">
        <v>1021.1</v>
      </c>
      <c r="L983" s="56" t="n">
        <v>0</v>
      </c>
      <c r="M983" s="56" t="n">
        <v>65</v>
      </c>
      <c r="N983" s="56" t="n">
        <v>14.8</v>
      </c>
      <c r="O983" s="56" t="n">
        <f aca="false">IF(D983=1,"",E982)</f>
        <v>24.5</v>
      </c>
      <c r="P983" s="56" t="n">
        <f aca="false">IF(OR(D983=1,K982=""),"",K982)</f>
        <v>1021.5</v>
      </c>
      <c r="Q983" s="56" t="n">
        <f aca="false">IF(OR(F983&lt;&gt;0,AND(I983&lt;&gt;"",E983&lt;I983)),1,0)</f>
        <v>0</v>
      </c>
      <c r="R983" s="56" t="n">
        <f aca="false">IF(AND(D983&gt;1,Q983=0,ISNUMBER(O983),ISNUMBER(P983)),IF(Q982=0,1,0),0)</f>
        <v>1</v>
      </c>
      <c r="S983" s="56" t="n">
        <f aca="false">R983*(B983&gt;=Train_Start)*(B983&lt;=Train_End)</f>
        <v>1</v>
      </c>
      <c r="T983" s="84" t="n">
        <f aca="false">IF(AND(ISNUMBER(O983),ISNUMBER(P983)),Coef_A+Coef_B1*O983+Coef_B2*P983,"")</f>
        <v>24.205133020161</v>
      </c>
      <c r="U983" s="84" t="n">
        <f aca="false">IF(AND(R983=1,ISNUMBER(T983)),E983-T983,"")</f>
        <v>2.89486697983903</v>
      </c>
      <c r="V983" s="84" t="n">
        <f aca="false">IF(ISNUMBER(T983),T983,-99)</f>
        <v>24.205133020161</v>
      </c>
      <c r="W983" s="84" t="n">
        <f aca="false">IF(ISNUMBER(U983),ABS(U983),"")</f>
        <v>2.89486697983903</v>
      </c>
    </row>
    <row r="984" customFormat="false" ht="15" hidden="false" customHeight="false" outlineLevel="0" collapsed="false">
      <c r="A984" s="57" t="n">
        <v>31232</v>
      </c>
      <c r="B984" s="56" t="n">
        <v>1985</v>
      </c>
      <c r="C984" s="56" t="n">
        <v>7</v>
      </c>
      <c r="D984" s="56" t="n">
        <v>65</v>
      </c>
      <c r="E984" s="56" t="n">
        <v>26.5</v>
      </c>
      <c r="F984" s="56" t="n">
        <v>0</v>
      </c>
      <c r="G984" s="56" t="n">
        <v>14</v>
      </c>
      <c r="H984" s="56" t="n">
        <v>0</v>
      </c>
      <c r="I984" s="56" t="n">
        <v>20.6</v>
      </c>
      <c r="J984" s="56" t="n">
        <v>0</v>
      </c>
      <c r="K984" s="56" t="n">
        <v>1016.1</v>
      </c>
      <c r="L984" s="56" t="n">
        <v>0</v>
      </c>
      <c r="M984" s="56" t="n">
        <v>66</v>
      </c>
      <c r="N984" s="56" t="n">
        <v>9.5</v>
      </c>
      <c r="O984" s="56" t="n">
        <f aca="false">IF(D984=1,"",E983)</f>
        <v>27.1</v>
      </c>
      <c r="P984" s="56" t="n">
        <f aca="false">IF(OR(D984=1,K983=""),"",K983)</f>
        <v>1021.1</v>
      </c>
      <c r="Q984" s="56" t="n">
        <f aca="false">IF(OR(F984&lt;&gt;0,AND(I984&lt;&gt;"",E984&lt;I984)),1,0)</f>
        <v>0</v>
      </c>
      <c r="R984" s="56" t="n">
        <f aca="false">IF(AND(D984&gt;1,Q984=0,ISNUMBER(O984),ISNUMBER(P984)),IF(Q983=0,1,0),0)</f>
        <v>1</v>
      </c>
      <c r="S984" s="56" t="n">
        <f aca="false">R984*(B984&gt;=Train_Start)*(B984&lt;=Train_End)</f>
        <v>1</v>
      </c>
      <c r="T984" s="84" t="n">
        <f aca="false">IF(AND(ISNUMBER(O984),ISNUMBER(P984)),Coef_A+Coef_B1*O984+Coef_B2*P984,"")</f>
        <v>26.3228669642183</v>
      </c>
      <c r="U984" s="84" t="n">
        <f aca="false">IF(AND(R984=1,ISNUMBER(T984)),E984-T984,"")</f>
        <v>0.177133035781711</v>
      </c>
      <c r="V984" s="84" t="n">
        <f aca="false">IF(ISNUMBER(T984),T984,-99)</f>
        <v>26.3228669642183</v>
      </c>
      <c r="W984" s="84" t="n">
        <f aca="false">IF(ISNUMBER(U984),ABS(U984),"")</f>
        <v>0.177133035781711</v>
      </c>
    </row>
    <row r="985" customFormat="false" ht="15" hidden="false" customHeight="false" outlineLevel="0" collapsed="false">
      <c r="A985" s="57" t="n">
        <v>31233</v>
      </c>
      <c r="B985" s="56" t="n">
        <v>1985</v>
      </c>
      <c r="C985" s="56" t="n">
        <v>7</v>
      </c>
      <c r="D985" s="56" t="n">
        <v>66</v>
      </c>
      <c r="E985" s="56" t="n">
        <v>22</v>
      </c>
      <c r="F985" s="56" t="n">
        <v>1</v>
      </c>
      <c r="G985" s="56" t="n">
        <v>18.2</v>
      </c>
      <c r="H985" s="56" t="n">
        <v>0</v>
      </c>
      <c r="I985" s="56" t="n">
        <v>22.4</v>
      </c>
      <c r="J985" s="56" t="n">
        <v>1</v>
      </c>
      <c r="K985" s="56" t="n">
        <v>1015.8</v>
      </c>
      <c r="L985" s="56" t="n">
        <v>0</v>
      </c>
      <c r="M985" s="56" t="n">
        <v>76</v>
      </c>
      <c r="N985" s="56" t="n">
        <v>4.9</v>
      </c>
      <c r="O985" s="56" t="n">
        <f aca="false">IF(D985=1,"",E984)</f>
        <v>26.5</v>
      </c>
      <c r="P985" s="56" t="n">
        <f aca="false">IF(OR(D985=1,K984=""),"",K984)</f>
        <v>1016.1</v>
      </c>
      <c r="Q985" s="56" t="n">
        <f aca="false">IF(OR(F985&lt;&gt;0,AND(I985&lt;&gt;"",E985&lt;I985)),1,0)</f>
        <v>1</v>
      </c>
      <c r="R985" s="56" t="n">
        <f aca="false">IF(AND(D985&gt;1,Q985=0,ISNUMBER(O985),ISNUMBER(P985)),IF(Q984=0,1,0),0)</f>
        <v>0</v>
      </c>
      <c r="S985" s="56" t="n">
        <f aca="false">R985*(B985&gt;=Train_Start)*(B985&lt;=Train_End)</f>
        <v>0</v>
      </c>
      <c r="T985" s="84" t="n">
        <f aca="false">IF(AND(ISNUMBER(O985),ISNUMBER(P985)),Coef_A+Coef_B1*O985+Coef_B2*P985,"")</f>
        <v>25.6744139752228</v>
      </c>
      <c r="U985" s="84" t="str">
        <f aca="false">IF(AND(R985=1,ISNUMBER(T985)),E985-T985,"")</f>
        <v/>
      </c>
      <c r="V985" s="84" t="n">
        <f aca="false">IF(ISNUMBER(T985),T985,-99)</f>
        <v>25.6744139752228</v>
      </c>
      <c r="W985" s="84" t="str">
        <f aca="false">IF(ISNUMBER(U985),ABS(U985),"")</f>
        <v/>
      </c>
    </row>
    <row r="986" customFormat="false" ht="15" hidden="false" customHeight="false" outlineLevel="0" collapsed="false">
      <c r="A986" s="57" t="n">
        <v>31234</v>
      </c>
      <c r="B986" s="56" t="n">
        <v>1985</v>
      </c>
      <c r="C986" s="56" t="n">
        <v>7</v>
      </c>
      <c r="D986" s="56" t="n">
        <v>67</v>
      </c>
      <c r="E986" s="56" t="n">
        <v>22</v>
      </c>
      <c r="F986" s="56" t="n">
        <v>0</v>
      </c>
      <c r="G986" s="56" t="n">
        <v>10.1</v>
      </c>
      <c r="H986" s="56" t="n">
        <v>0</v>
      </c>
      <c r="I986" s="56" t="n">
        <v>16</v>
      </c>
      <c r="J986" s="56" t="n">
        <v>0</v>
      </c>
      <c r="K986" s="56" t="n">
        <v>1024.9</v>
      </c>
      <c r="L986" s="56" t="n">
        <v>0</v>
      </c>
      <c r="M986" s="56" t="n">
        <v>61</v>
      </c>
      <c r="N986" s="56" t="n">
        <v>15.5</v>
      </c>
      <c r="O986" s="56" t="n">
        <f aca="false">IF(D986=1,"",E985)</f>
        <v>22</v>
      </c>
      <c r="P986" s="56" t="n">
        <f aca="false">IF(OR(D986=1,K985=""),"",K985)</f>
        <v>1015.8</v>
      </c>
      <c r="Q986" s="56" t="n">
        <f aca="false">IF(OR(F986&lt;&gt;0,AND(I986&lt;&gt;"",E986&lt;I986)),1,0)</f>
        <v>0</v>
      </c>
      <c r="R986" s="56" t="n">
        <f aca="false">IF(AND(D986&gt;1,Q986=0,ISNUMBER(O986),ISNUMBER(P986)),IF(Q985=0,1,0),0)</f>
        <v>0</v>
      </c>
      <c r="S986" s="56" t="n">
        <f aca="false">R986*(B986&gt;=Train_Start)*(B986&lt;=Train_End)</f>
        <v>0</v>
      </c>
      <c r="T986" s="84" t="n">
        <f aca="false">IF(AND(ISNUMBER(O986),ISNUMBER(P986)),Coef_A+Coef_B1*O986+Coef_B2*P986,"")</f>
        <v>21.9779766381406</v>
      </c>
      <c r="U986" s="84" t="str">
        <f aca="false">IF(AND(R986=1,ISNUMBER(T986)),E986-T986,"")</f>
        <v/>
      </c>
      <c r="V986" s="84" t="n">
        <f aca="false">IF(ISNUMBER(T986),T986,-99)</f>
        <v>21.9779766381406</v>
      </c>
      <c r="W986" s="84" t="str">
        <f aca="false">IF(ISNUMBER(U986),ABS(U986),"")</f>
        <v/>
      </c>
    </row>
    <row r="987" customFormat="false" ht="15" hidden="false" customHeight="false" outlineLevel="0" collapsed="false">
      <c r="A987" s="57" t="n">
        <v>31235</v>
      </c>
      <c r="B987" s="56" t="n">
        <v>1985</v>
      </c>
      <c r="C987" s="56" t="n">
        <v>7</v>
      </c>
      <c r="D987" s="56" t="n">
        <v>68</v>
      </c>
      <c r="E987" s="56" t="n">
        <v>25.6</v>
      </c>
      <c r="F987" s="56" t="n">
        <v>0</v>
      </c>
      <c r="G987" s="56" t="n">
        <v>10.5</v>
      </c>
      <c r="H987" s="56" t="n">
        <v>0</v>
      </c>
      <c r="I987" s="56" t="n">
        <v>16.2</v>
      </c>
      <c r="J987" s="56" t="n">
        <v>0</v>
      </c>
      <c r="K987" s="56" t="n">
        <v>1028.9</v>
      </c>
      <c r="L987" s="56" t="n">
        <v>0</v>
      </c>
      <c r="M987" s="56" t="n">
        <v>58</v>
      </c>
      <c r="N987" s="56" t="n">
        <v>12.4</v>
      </c>
      <c r="O987" s="56" t="n">
        <f aca="false">IF(D987=1,"",E986)</f>
        <v>22</v>
      </c>
      <c r="P987" s="56" t="n">
        <f aca="false">IF(OR(D987=1,K986=""),"",K986)</f>
        <v>1024.9</v>
      </c>
      <c r="Q987" s="56" t="n">
        <f aca="false">IF(OR(F987&lt;&gt;0,AND(I987&lt;&gt;"",E987&lt;I987)),1,0)</f>
        <v>0</v>
      </c>
      <c r="R987" s="56" t="n">
        <f aca="false">IF(AND(D987&gt;1,Q987=0,ISNUMBER(O987),ISNUMBER(P987)),IF(Q986=0,1,0),0)</f>
        <v>1</v>
      </c>
      <c r="S987" s="56" t="n">
        <f aca="false">R987*(B987&gt;=Train_Start)*(B987&lt;=Train_End)</f>
        <v>1</v>
      </c>
      <c r="T987" s="84" t="n">
        <f aca="false">IF(AND(ISNUMBER(O987),ISNUMBER(P987)),Coef_A+Coef_B1*O987+Coef_B2*P987,"")</f>
        <v>22.2634426793099</v>
      </c>
      <c r="U987" s="84" t="n">
        <f aca="false">IF(AND(R987=1,ISNUMBER(T987)),E987-T987,"")</f>
        <v>3.33655732069011</v>
      </c>
      <c r="V987" s="84" t="n">
        <f aca="false">IF(ISNUMBER(T987),T987,-99)</f>
        <v>22.2634426793099</v>
      </c>
      <c r="W987" s="84" t="n">
        <f aca="false">IF(ISNUMBER(U987),ABS(U987),"")</f>
        <v>3.33655732069011</v>
      </c>
    </row>
    <row r="988" customFormat="false" ht="15" hidden="false" customHeight="false" outlineLevel="0" collapsed="false">
      <c r="A988" s="57" t="n">
        <v>31236</v>
      </c>
      <c r="B988" s="56" t="n">
        <v>1985</v>
      </c>
      <c r="C988" s="56" t="n">
        <v>7</v>
      </c>
      <c r="D988" s="56" t="n">
        <v>69</v>
      </c>
      <c r="E988" s="56" t="n">
        <v>21.7</v>
      </c>
      <c r="F988" s="56" t="n">
        <v>0</v>
      </c>
      <c r="G988" s="56" t="n">
        <v>11.1</v>
      </c>
      <c r="H988" s="56" t="n">
        <v>0</v>
      </c>
      <c r="I988" s="56" t="n">
        <v>18.4</v>
      </c>
      <c r="J988" s="56" t="n">
        <v>0</v>
      </c>
      <c r="K988" s="56" t="n">
        <v>1023.3</v>
      </c>
      <c r="L988" s="56" t="n">
        <v>0</v>
      </c>
      <c r="M988" s="56" t="n">
        <v>58</v>
      </c>
      <c r="N988" s="56" t="n">
        <v>11.5</v>
      </c>
      <c r="O988" s="56" t="n">
        <f aca="false">IF(D988=1,"",E987)</f>
        <v>25.6</v>
      </c>
      <c r="P988" s="56" t="n">
        <f aca="false">IF(OR(D988=1,K987=""),"",K987)</f>
        <v>1028.9</v>
      </c>
      <c r="Q988" s="56" t="n">
        <f aca="false">IF(OR(F988&lt;&gt;0,AND(I988&lt;&gt;"",E988&lt;I988)),1,0)</f>
        <v>0</v>
      </c>
      <c r="R988" s="56" t="n">
        <f aca="false">IF(AND(D988&gt;1,Q988=0,ISNUMBER(O988),ISNUMBER(P988)),IF(Q987=0,1,0),0)</f>
        <v>1</v>
      </c>
      <c r="S988" s="56" t="n">
        <f aca="false">R988*(B988&gt;=Train_Start)*(B988&lt;=Train_End)</f>
        <v>1</v>
      </c>
      <c r="T988" s="84" t="n">
        <f aca="false">IF(AND(ISNUMBER(O988),ISNUMBER(P988)),Coef_A+Coef_B1*O988+Coef_B2*P988,"")</f>
        <v>25.3385433527994</v>
      </c>
      <c r="U988" s="84" t="n">
        <f aca="false">IF(AND(R988=1,ISNUMBER(T988)),E988-T988,"")</f>
        <v>-3.63854335279942</v>
      </c>
      <c r="V988" s="84" t="n">
        <f aca="false">IF(ISNUMBER(T988),T988,-99)</f>
        <v>25.3385433527994</v>
      </c>
      <c r="W988" s="84" t="n">
        <f aca="false">IF(ISNUMBER(U988),ABS(U988),"")</f>
        <v>3.63854335279942</v>
      </c>
    </row>
    <row r="989" customFormat="false" ht="15" hidden="false" customHeight="false" outlineLevel="0" collapsed="false">
      <c r="A989" s="57" t="n">
        <v>31237</v>
      </c>
      <c r="B989" s="56" t="n">
        <v>1985</v>
      </c>
      <c r="C989" s="56" t="n">
        <v>7</v>
      </c>
      <c r="D989" s="56" t="n">
        <v>70</v>
      </c>
      <c r="E989" s="56" t="n">
        <v>22.1</v>
      </c>
      <c r="F989" s="56" t="n">
        <v>0</v>
      </c>
      <c r="G989" s="56" t="n">
        <v>13.7</v>
      </c>
      <c r="H989" s="56" t="n">
        <v>0</v>
      </c>
      <c r="I989" s="56" t="n">
        <v>17.7</v>
      </c>
      <c r="J989" s="56" t="n">
        <v>0</v>
      </c>
      <c r="K989" s="56" t="n">
        <v>1019.7</v>
      </c>
      <c r="L989" s="56" t="n">
        <v>0</v>
      </c>
      <c r="M989" s="56" t="n">
        <v>63</v>
      </c>
      <c r="N989" s="56" t="n">
        <v>10.9</v>
      </c>
      <c r="O989" s="56" t="n">
        <f aca="false">IF(D989=1,"",E988)</f>
        <v>21.7</v>
      </c>
      <c r="P989" s="56" t="n">
        <f aca="false">IF(OR(D989=1,K988=""),"",K988)</f>
        <v>1023.3</v>
      </c>
      <c r="Q989" s="56" t="n">
        <f aca="false">IF(OR(F989&lt;&gt;0,AND(I989&lt;&gt;"",E989&lt;I989)),1,0)</f>
        <v>0</v>
      </c>
      <c r="R989" s="56" t="n">
        <f aca="false">IF(AND(D989&gt;1,Q989=0,ISNUMBER(O989),ISNUMBER(P989)),IF(Q988=0,1,0),0)</f>
        <v>1</v>
      </c>
      <c r="S989" s="56" t="n">
        <f aca="false">R989*(B989&gt;=Train_Start)*(B989&lt;=Train_End)</f>
        <v>1</v>
      </c>
      <c r="T989" s="84" t="n">
        <f aca="false">IF(AND(ISNUMBER(O989),ISNUMBER(P989)),Coef_A+Coef_B1*O989+Coef_B2*P989,"")</f>
        <v>21.9674490899827</v>
      </c>
      <c r="U989" s="84" t="n">
        <f aca="false">IF(AND(R989=1,ISNUMBER(T989)),E989-T989,"")</f>
        <v>0.132550910017287</v>
      </c>
      <c r="V989" s="84" t="n">
        <f aca="false">IF(ISNUMBER(T989),T989,-99)</f>
        <v>21.9674490899827</v>
      </c>
      <c r="W989" s="84" t="n">
        <f aca="false">IF(ISNUMBER(U989),ABS(U989),"")</f>
        <v>0.132550910017287</v>
      </c>
    </row>
    <row r="990" customFormat="false" ht="15" hidden="false" customHeight="false" outlineLevel="0" collapsed="false">
      <c r="A990" s="57" t="n">
        <v>31238</v>
      </c>
      <c r="B990" s="56" t="n">
        <v>1985</v>
      </c>
      <c r="C990" s="56" t="n">
        <v>7</v>
      </c>
      <c r="D990" s="56" t="n">
        <v>71</v>
      </c>
      <c r="E990" s="56" t="n">
        <v>20.5</v>
      </c>
      <c r="F990" s="56" t="n">
        <v>0</v>
      </c>
      <c r="G990" s="56" t="n">
        <v>10.3</v>
      </c>
      <c r="H990" s="56" t="n">
        <v>0</v>
      </c>
      <c r="I990" s="56" t="n">
        <v>16.2</v>
      </c>
      <c r="J990" s="56" t="n">
        <v>0</v>
      </c>
      <c r="K990" s="56" t="n">
        <v>1021.2</v>
      </c>
      <c r="L990" s="56" t="n">
        <v>0</v>
      </c>
      <c r="M990" s="56" t="n">
        <v>62</v>
      </c>
      <c r="N990" s="56" t="n">
        <v>9.6</v>
      </c>
      <c r="O990" s="56" t="n">
        <f aca="false">IF(D990=1,"",E989)</f>
        <v>22.1</v>
      </c>
      <c r="P990" s="56" t="n">
        <f aca="false">IF(OR(D990=1,K989=""),"",K989)</f>
        <v>1019.7</v>
      </c>
      <c r="Q990" s="56" t="n">
        <f aca="false">IF(OR(F990&lt;&gt;0,AND(I990&lt;&gt;"",E990&lt;I990)),1,0)</f>
        <v>0</v>
      </c>
      <c r="R990" s="56" t="n">
        <f aca="false">IF(AND(D990&gt;1,Q990=0,ISNUMBER(O990),ISNUMBER(P990)),IF(Q989=0,1,0),0)</f>
        <v>1</v>
      </c>
      <c r="S990" s="56" t="n">
        <f aca="false">R990*(B990&gt;=Train_Start)*(B990&lt;=Train_End)</f>
        <v>1</v>
      </c>
      <c r="T990" s="84" t="n">
        <f aca="false">IF(AND(ISNUMBER(O990),ISNUMBER(P990)),Coef_A+Coef_B1*O990+Coef_B2*P990,"")</f>
        <v>22.1822531465174</v>
      </c>
      <c r="U990" s="84" t="n">
        <f aca="false">IF(AND(R990=1,ISNUMBER(T990)),E990-T990,"")</f>
        <v>-1.68225314651741</v>
      </c>
      <c r="V990" s="84" t="n">
        <f aca="false">IF(ISNUMBER(T990),T990,-99)</f>
        <v>22.1822531465174</v>
      </c>
      <c r="W990" s="84" t="n">
        <f aca="false">IF(ISNUMBER(U990),ABS(U990),"")</f>
        <v>1.68225314651741</v>
      </c>
    </row>
    <row r="991" customFormat="false" ht="15" hidden="false" customHeight="false" outlineLevel="0" collapsed="false">
      <c r="A991" s="57" t="n">
        <v>31239</v>
      </c>
      <c r="B991" s="56" t="n">
        <v>1985</v>
      </c>
      <c r="C991" s="56" t="n">
        <v>7</v>
      </c>
      <c r="D991" s="56" t="n">
        <v>72</v>
      </c>
      <c r="E991" s="56" t="n">
        <v>24.4</v>
      </c>
      <c r="F991" s="56" t="n">
        <v>0</v>
      </c>
      <c r="G991" s="56" t="n">
        <v>12.9</v>
      </c>
      <c r="H991" s="56" t="n">
        <v>0</v>
      </c>
      <c r="I991" s="56" t="n">
        <v>16.7</v>
      </c>
      <c r="J991" s="56" t="n">
        <v>0</v>
      </c>
      <c r="K991" s="56" t="n">
        <v>1017.5</v>
      </c>
      <c r="L991" s="56" t="n">
        <v>0</v>
      </c>
      <c r="M991" s="56" t="n">
        <v>73</v>
      </c>
      <c r="N991" s="56" t="n">
        <v>3.9</v>
      </c>
      <c r="O991" s="56" t="n">
        <f aca="false">IF(D991=1,"",E990)</f>
        <v>20.5</v>
      </c>
      <c r="P991" s="56" t="n">
        <f aca="false">IF(OR(D991=1,K990=""),"",K990)</f>
        <v>1021.2</v>
      </c>
      <c r="Q991" s="56" t="n">
        <f aca="false">IF(OR(F991&lt;&gt;0,AND(I991&lt;&gt;"",E991&lt;I991)),1,0)</f>
        <v>0</v>
      </c>
      <c r="R991" s="56" t="n">
        <f aca="false">IF(AND(D991&gt;1,Q991=0,ISNUMBER(O991),ISNUMBER(P991)),IF(Q990=0,1,0),0)</f>
        <v>1</v>
      </c>
      <c r="S991" s="56" t="n">
        <f aca="false">R991*(B991&gt;=Train_Start)*(B991&lt;=Train_End)</f>
        <v>1</v>
      </c>
      <c r="T991" s="84" t="n">
        <f aca="false">IF(AND(ISNUMBER(O991),ISNUMBER(P991)),Coef_A+Coef_B1*O991+Coef_B2*P991,"")</f>
        <v>20.9183652796001</v>
      </c>
      <c r="U991" s="84" t="n">
        <f aca="false">IF(AND(R991=1,ISNUMBER(T991)),E991-T991,"")</f>
        <v>3.48163472039985</v>
      </c>
      <c r="V991" s="84" t="n">
        <f aca="false">IF(ISNUMBER(T991),T991,-99)</f>
        <v>20.9183652796001</v>
      </c>
      <c r="W991" s="84" t="n">
        <f aca="false">IF(ISNUMBER(U991),ABS(U991),"")</f>
        <v>3.48163472039985</v>
      </c>
    </row>
    <row r="992" customFormat="false" ht="15" hidden="false" customHeight="false" outlineLevel="0" collapsed="false">
      <c r="A992" s="57" t="n">
        <v>31240</v>
      </c>
      <c r="B992" s="56" t="n">
        <v>1985</v>
      </c>
      <c r="C992" s="56" t="n">
        <v>7</v>
      </c>
      <c r="D992" s="56" t="n">
        <v>73</v>
      </c>
      <c r="E992" s="56" t="n">
        <v>28.9</v>
      </c>
      <c r="F992" s="56" t="n">
        <v>0</v>
      </c>
      <c r="G992" s="56" t="n">
        <v>15.2</v>
      </c>
      <c r="H992" s="56" t="n">
        <v>0</v>
      </c>
      <c r="I992" s="56" t="n">
        <v>19.8</v>
      </c>
      <c r="J992" s="56" t="n">
        <v>0</v>
      </c>
      <c r="K992" s="56" t="n">
        <v>1017.3</v>
      </c>
      <c r="L992" s="56" t="n">
        <v>0</v>
      </c>
      <c r="M992" s="56" t="n">
        <v>72</v>
      </c>
      <c r="N992" s="56" t="n">
        <v>3.5</v>
      </c>
      <c r="O992" s="56" t="n">
        <f aca="false">IF(D992=1,"",E991)</f>
        <v>24.4</v>
      </c>
      <c r="P992" s="56" t="n">
        <f aca="false">IF(OR(D992=1,K991=""),"",K991)</f>
        <v>1017.5</v>
      </c>
      <c r="Q992" s="56" t="n">
        <f aca="false">IF(OR(F992&lt;&gt;0,AND(I992&lt;&gt;"",E992&lt;I992)),1,0)</f>
        <v>0</v>
      </c>
      <c r="R992" s="56" t="n">
        <f aca="false">IF(AND(D992&gt;1,Q992=0,ISNUMBER(O992),ISNUMBER(P992)),IF(Q991=0,1,0),0)</f>
        <v>1</v>
      </c>
      <c r="S992" s="56" t="n">
        <f aca="false">R992*(B992&gt;=Train_Start)*(B992&lt;=Train_End)</f>
        <v>1</v>
      </c>
      <c r="T992" s="84" t="n">
        <f aca="false">IF(AND(ISNUMBER(O992),ISNUMBER(P992)),Coef_A+Coef_B1*O992+Coef_B2*P992,"")</f>
        <v>23.9977195223208</v>
      </c>
      <c r="U992" s="84" t="n">
        <f aca="false">IF(AND(R992=1,ISNUMBER(T992)),E992-T992,"")</f>
        <v>4.90228047767925</v>
      </c>
      <c r="V992" s="84" t="n">
        <f aca="false">IF(ISNUMBER(T992),T992,-99)</f>
        <v>23.9977195223208</v>
      </c>
      <c r="W992" s="84" t="n">
        <f aca="false">IF(ISNUMBER(U992),ABS(U992),"")</f>
        <v>4.90228047767925</v>
      </c>
    </row>
    <row r="993" customFormat="false" ht="15" hidden="false" customHeight="false" outlineLevel="0" collapsed="false">
      <c r="A993" s="57" t="n">
        <v>31241</v>
      </c>
      <c r="B993" s="56" t="n">
        <v>1985</v>
      </c>
      <c r="C993" s="56" t="n">
        <v>7</v>
      </c>
      <c r="D993" s="56" t="n">
        <v>74</v>
      </c>
      <c r="E993" s="56" t="n">
        <v>24.4</v>
      </c>
      <c r="F993" s="56" t="n">
        <v>0</v>
      </c>
      <c r="G993" s="56" t="n">
        <v>13.8</v>
      </c>
      <c r="H993" s="56" t="n">
        <v>0</v>
      </c>
      <c r="I993" s="56" t="n">
        <v>21.4</v>
      </c>
      <c r="J993" s="56" t="n">
        <v>0</v>
      </c>
      <c r="K993" s="56" t="n">
        <v>1018.3</v>
      </c>
      <c r="L993" s="56" t="n">
        <v>0</v>
      </c>
      <c r="M993" s="56" t="n">
        <v>69</v>
      </c>
      <c r="N993" s="56" t="n">
        <v>7.4</v>
      </c>
      <c r="O993" s="56" t="n">
        <f aca="false">IF(D993=1,"",E992)</f>
        <v>28.9</v>
      </c>
      <c r="P993" s="56" t="n">
        <f aca="false">IF(OR(D993=1,K992=""),"",K992)</f>
        <v>1017.3</v>
      </c>
      <c r="Q993" s="56" t="n">
        <f aca="false">IF(OR(F993&lt;&gt;0,AND(I993&lt;&gt;"",E993&lt;I993)),1,0)</f>
        <v>0</v>
      </c>
      <c r="R993" s="56" t="n">
        <f aca="false">IF(AND(D993&gt;1,Q993=0,ISNUMBER(O993),ISNUMBER(P993)),IF(Q992=0,1,0),0)</f>
        <v>1</v>
      </c>
      <c r="S993" s="56" t="n">
        <f aca="false">R993*(B993&gt;=Train_Start)*(B993&lt;=Train_End)</f>
        <v>1</v>
      </c>
      <c r="T993" s="84" t="n">
        <f aca="false">IF(AND(ISNUMBER(O993),ISNUMBER(P993)),Coef_A+Coef_B1*O993+Coef_B2*P993,"")</f>
        <v>27.6784719120859</v>
      </c>
      <c r="U993" s="84" t="n">
        <f aca="false">IF(AND(R993=1,ISNUMBER(T993)),E993-T993,"")</f>
        <v>-3.27847191208591</v>
      </c>
      <c r="V993" s="84" t="n">
        <f aca="false">IF(ISNUMBER(T993),T993,-99)</f>
        <v>27.6784719120859</v>
      </c>
      <c r="W993" s="84" t="n">
        <f aca="false">IF(ISNUMBER(U993),ABS(U993),"")</f>
        <v>3.27847191208591</v>
      </c>
    </row>
    <row r="994" customFormat="false" ht="15" hidden="false" customHeight="false" outlineLevel="0" collapsed="false">
      <c r="A994" s="57" t="n">
        <v>31242</v>
      </c>
      <c r="B994" s="56" t="n">
        <v>1985</v>
      </c>
      <c r="C994" s="56" t="n">
        <v>7</v>
      </c>
      <c r="D994" s="56" t="n">
        <v>75</v>
      </c>
      <c r="E994" s="56" t="n">
        <v>20.7</v>
      </c>
      <c r="F994" s="56" t="n">
        <v>1</v>
      </c>
      <c r="G994" s="56" t="n">
        <v>18</v>
      </c>
      <c r="H994" s="56" t="n">
        <v>0</v>
      </c>
      <c r="I994" s="56" t="n">
        <v>21.2</v>
      </c>
      <c r="J994" s="56" t="n">
        <v>1</v>
      </c>
      <c r="K994" s="56" t="n">
        <v>1011.2</v>
      </c>
      <c r="L994" s="56" t="n">
        <v>0</v>
      </c>
      <c r="M994" s="56" t="n">
        <v>76</v>
      </c>
      <c r="N994" s="56" t="n">
        <v>5.5</v>
      </c>
      <c r="O994" s="56" t="n">
        <f aca="false">IF(D994=1,"",E993)</f>
        <v>24.4</v>
      </c>
      <c r="P994" s="56" t="n">
        <f aca="false">IF(OR(D994=1,K993=""),"",K993)</f>
        <v>1018.3</v>
      </c>
      <c r="Q994" s="56" t="n">
        <f aca="false">IF(OR(F994&lt;&gt;0,AND(I994&lt;&gt;"",E994&lt;I994)),1,0)</f>
        <v>1</v>
      </c>
      <c r="R994" s="56" t="n">
        <f aca="false">IF(AND(D994&gt;1,Q994=0,ISNUMBER(O994),ISNUMBER(P994)),IF(Q993=0,1,0),0)</f>
        <v>0</v>
      </c>
      <c r="S994" s="56" t="n">
        <f aca="false">R994*(B994&gt;=Train_Start)*(B994&lt;=Train_End)</f>
        <v>0</v>
      </c>
      <c r="T994" s="84" t="n">
        <f aca="false">IF(AND(ISNUMBER(O994),ISNUMBER(P994)),Coef_A+Coef_B1*O994+Coef_B2*P994,"")</f>
        <v>24.0228154380279</v>
      </c>
      <c r="U994" s="84" t="str">
        <f aca="false">IF(AND(R994=1,ISNUMBER(T994)),E994-T994,"")</f>
        <v/>
      </c>
      <c r="V994" s="84" t="n">
        <f aca="false">IF(ISNUMBER(T994),T994,-99)</f>
        <v>24.0228154380279</v>
      </c>
      <c r="W994" s="84" t="str">
        <f aca="false">IF(ISNUMBER(U994),ABS(U994),"")</f>
        <v/>
      </c>
    </row>
    <row r="995" customFormat="false" ht="15" hidden="false" customHeight="false" outlineLevel="0" collapsed="false">
      <c r="A995" s="57" t="n">
        <v>31243</v>
      </c>
      <c r="B995" s="56" t="n">
        <v>1985</v>
      </c>
      <c r="C995" s="56" t="n">
        <v>7</v>
      </c>
      <c r="D995" s="56" t="n">
        <v>76</v>
      </c>
      <c r="E995" s="56" t="n">
        <v>22.2</v>
      </c>
      <c r="F995" s="56" t="n">
        <v>0</v>
      </c>
      <c r="G995" s="56" t="n">
        <v>10.7</v>
      </c>
      <c r="H995" s="56" t="n">
        <v>0</v>
      </c>
      <c r="I995" s="56" t="n">
        <v>15.7</v>
      </c>
      <c r="J995" s="56" t="n">
        <v>0</v>
      </c>
      <c r="K995" s="56" t="n">
        <v>1019.7</v>
      </c>
      <c r="L995" s="56" t="n">
        <v>0</v>
      </c>
      <c r="M995" s="56" t="n">
        <v>68</v>
      </c>
      <c r="N995" s="56" t="n">
        <v>7.5</v>
      </c>
      <c r="O995" s="56" t="n">
        <f aca="false">IF(D995=1,"",E994)</f>
        <v>20.7</v>
      </c>
      <c r="P995" s="56" t="n">
        <f aca="false">IF(OR(D995=1,K994=""),"",K994)</f>
        <v>1011.2</v>
      </c>
      <c r="Q995" s="56" t="n">
        <f aca="false">IF(OR(F995&lt;&gt;0,AND(I995&lt;&gt;"",E995&lt;I995)),1,0)</f>
        <v>0</v>
      </c>
      <c r="R995" s="56" t="n">
        <f aca="false">IF(AND(D995&gt;1,Q995=0,ISNUMBER(O995),ISNUMBER(P995)),IF(Q994=0,1,0),0)</f>
        <v>0</v>
      </c>
      <c r="S995" s="56" t="n">
        <f aca="false">R995*(B995&gt;=Train_Start)*(B995&lt;=Train_End)</f>
        <v>0</v>
      </c>
      <c r="T995" s="84" t="n">
        <f aca="false">IF(AND(ISNUMBER(O995),ISNUMBER(P995)),Coef_A+Coef_B1*O995+Coef_B2*P995,"")</f>
        <v>20.7685341718688</v>
      </c>
      <c r="U995" s="84" t="str">
        <f aca="false">IF(AND(R995=1,ISNUMBER(T995)),E995-T995,"")</f>
        <v/>
      </c>
      <c r="V995" s="84" t="n">
        <f aca="false">IF(ISNUMBER(T995),T995,-99)</f>
        <v>20.7685341718688</v>
      </c>
      <c r="W995" s="84" t="str">
        <f aca="false">IF(ISNUMBER(U995),ABS(U995),"")</f>
        <v/>
      </c>
    </row>
    <row r="996" customFormat="false" ht="15" hidden="false" customHeight="false" outlineLevel="0" collapsed="false">
      <c r="A996" s="57" t="n">
        <v>31244</v>
      </c>
      <c r="B996" s="56" t="n">
        <v>1985</v>
      </c>
      <c r="C996" s="56" t="n">
        <v>7</v>
      </c>
      <c r="D996" s="56" t="n">
        <v>77</v>
      </c>
      <c r="E996" s="56" t="n">
        <v>21.3</v>
      </c>
      <c r="F996" s="56" t="n">
        <v>0</v>
      </c>
      <c r="G996" s="56" t="n">
        <v>12.4</v>
      </c>
      <c r="H996" s="56" t="n">
        <v>0</v>
      </c>
      <c r="I996" s="56" t="n">
        <v>17.3</v>
      </c>
      <c r="J996" s="56" t="n">
        <v>0</v>
      </c>
      <c r="K996" s="56" t="n">
        <v>1018.2</v>
      </c>
      <c r="L996" s="56" t="n">
        <v>0</v>
      </c>
      <c r="M996" s="56" t="n">
        <v>74</v>
      </c>
      <c r="N996" s="56" t="n">
        <v>6.7</v>
      </c>
      <c r="O996" s="56" t="n">
        <f aca="false">IF(D996=1,"",E995)</f>
        <v>22.2</v>
      </c>
      <c r="P996" s="56" t="n">
        <f aca="false">IF(OR(D996=1,K995=""),"",K995)</f>
        <v>1019.7</v>
      </c>
      <c r="Q996" s="56" t="n">
        <f aca="false">IF(OR(F996&lt;&gt;0,AND(I996&lt;&gt;"",E996&lt;I996)),1,0)</f>
        <v>0</v>
      </c>
      <c r="R996" s="56" t="n">
        <f aca="false">IF(AND(D996&gt;1,Q996=0,ISNUMBER(O996),ISNUMBER(P996)),IF(Q995=0,1,0),0)</f>
        <v>1</v>
      </c>
      <c r="S996" s="56" t="n">
        <f aca="false">R996*(B996&gt;=Train_Start)*(B996&lt;=Train_End)</f>
        <v>1</v>
      </c>
      <c r="T996" s="84" t="n">
        <f aca="false">IF(AND(ISNUMBER(O996),ISNUMBER(P996)),Coef_A+Coef_B1*O996+Coef_B2*P996,"")</f>
        <v>22.2641870658217</v>
      </c>
      <c r="U996" s="84" t="n">
        <f aca="false">IF(AND(R996=1,ISNUMBER(T996)),E996-T996,"")</f>
        <v>-0.96418706582168</v>
      </c>
      <c r="V996" s="84" t="n">
        <f aca="false">IF(ISNUMBER(T996),T996,-99)</f>
        <v>22.2641870658217</v>
      </c>
      <c r="W996" s="84" t="n">
        <f aca="false">IF(ISNUMBER(U996),ABS(U996),"")</f>
        <v>0.96418706582168</v>
      </c>
    </row>
    <row r="997" customFormat="false" ht="15" hidden="false" customHeight="false" outlineLevel="0" collapsed="false">
      <c r="A997" s="57" t="n">
        <v>31245</v>
      </c>
      <c r="B997" s="56" t="n">
        <v>1985</v>
      </c>
      <c r="C997" s="56" t="n">
        <v>7</v>
      </c>
      <c r="D997" s="56" t="n">
        <v>78</v>
      </c>
      <c r="E997" s="56" t="n">
        <v>19.4</v>
      </c>
      <c r="F997" s="56" t="n">
        <v>0</v>
      </c>
      <c r="G997" s="56" t="n">
        <v>10.9</v>
      </c>
      <c r="H997" s="56" t="n">
        <v>0</v>
      </c>
      <c r="I997" s="56" t="n">
        <v>16.1</v>
      </c>
      <c r="J997" s="56" t="n">
        <v>0</v>
      </c>
      <c r="K997" s="56" t="n">
        <v>1018.4</v>
      </c>
      <c r="L997" s="56" t="n">
        <v>0</v>
      </c>
      <c r="M997" s="56" t="n">
        <v>71</v>
      </c>
      <c r="N997" s="56" t="n">
        <v>10.2</v>
      </c>
      <c r="O997" s="56" t="n">
        <f aca="false">IF(D997=1,"",E996)</f>
        <v>21.3</v>
      </c>
      <c r="P997" s="56" t="n">
        <f aca="false">IF(OR(D997=1,K996=""),"",K996)</f>
        <v>1018.2</v>
      </c>
      <c r="Q997" s="56" t="n">
        <f aca="false">IF(OR(F997&lt;&gt;0,AND(I997&lt;&gt;"",E997&lt;I997)),1,0)</f>
        <v>0</v>
      </c>
      <c r="R997" s="56" t="n">
        <f aca="false">IF(AND(D997&gt;1,Q997=0,ISNUMBER(O997),ISNUMBER(P997)),IF(Q996=0,1,0),0)</f>
        <v>1</v>
      </c>
      <c r="S997" s="56" t="n">
        <f aca="false">R997*(B997&gt;=Train_Start)*(B997&lt;=Train_End)</f>
        <v>1</v>
      </c>
      <c r="T997" s="84" t="n">
        <f aca="false">IF(AND(ISNUMBER(O997),ISNUMBER(P997)),Coef_A+Coef_B1*O997+Coef_B2*P997,"")</f>
        <v>21.4797269501323</v>
      </c>
      <c r="U997" s="84" t="n">
        <f aca="false">IF(AND(R997=1,ISNUMBER(T997)),E997-T997,"")</f>
        <v>-2.07972695013231</v>
      </c>
      <c r="V997" s="84" t="n">
        <f aca="false">IF(ISNUMBER(T997),T997,-99)</f>
        <v>21.4797269501323</v>
      </c>
      <c r="W997" s="84" t="n">
        <f aca="false">IF(ISNUMBER(U997),ABS(U997),"")</f>
        <v>2.07972695013231</v>
      </c>
    </row>
    <row r="998" customFormat="false" ht="15" hidden="false" customHeight="false" outlineLevel="0" collapsed="false">
      <c r="A998" s="57" t="n">
        <v>31246</v>
      </c>
      <c r="B998" s="56" t="n">
        <v>1985</v>
      </c>
      <c r="C998" s="56" t="n">
        <v>7</v>
      </c>
      <c r="D998" s="56" t="n">
        <v>79</v>
      </c>
      <c r="E998" s="56" t="n">
        <v>19.9</v>
      </c>
      <c r="F998" s="56" t="n">
        <v>0</v>
      </c>
      <c r="G998" s="56" t="n">
        <v>14.1</v>
      </c>
      <c r="H998" s="56" t="n">
        <v>0</v>
      </c>
      <c r="I998" s="56" t="n">
        <v>16.8</v>
      </c>
      <c r="J998" s="56" t="n">
        <v>0</v>
      </c>
      <c r="K998" s="56" t="n">
        <v>1009</v>
      </c>
      <c r="L998" s="56" t="n">
        <v>0</v>
      </c>
      <c r="M998" s="56" t="n">
        <v>74</v>
      </c>
      <c r="N998" s="56" t="n">
        <v>1.5</v>
      </c>
      <c r="O998" s="56" t="n">
        <f aca="false">IF(D998=1,"",E997)</f>
        <v>19.4</v>
      </c>
      <c r="P998" s="56" t="n">
        <f aca="false">IF(OR(D998=1,K997=""),"",K997)</f>
        <v>1018.4</v>
      </c>
      <c r="Q998" s="56" t="n">
        <f aca="false">IF(OR(F998&lt;&gt;0,AND(I998&lt;&gt;"",E998&lt;I998)),1,0)</f>
        <v>0</v>
      </c>
      <c r="R998" s="56" t="n">
        <f aca="false">IF(AND(D998&gt;1,Q998=0,ISNUMBER(O998),ISNUMBER(P998)),IF(Q997=0,1,0),0)</f>
        <v>1</v>
      </c>
      <c r="S998" s="56" t="n">
        <f aca="false">R998*(B998&gt;=Train_Start)*(B998&lt;=Train_End)</f>
        <v>1</v>
      </c>
      <c r="T998" s="84" t="n">
        <f aca="false">IF(AND(ISNUMBER(O998),ISNUMBER(P998)),Coef_A+Coef_B1*O998+Coef_B2*P998,"")</f>
        <v>19.9292564622781</v>
      </c>
      <c r="U998" s="84" t="n">
        <f aca="false">IF(AND(R998=1,ISNUMBER(T998)),E998-T998,"")</f>
        <v>-0.0292564622780525</v>
      </c>
      <c r="V998" s="84" t="n">
        <f aca="false">IF(ISNUMBER(T998),T998,-99)</f>
        <v>19.9292564622781</v>
      </c>
      <c r="W998" s="84" t="n">
        <f aca="false">IF(ISNUMBER(U998),ABS(U998),"")</f>
        <v>0.0292564622780525</v>
      </c>
    </row>
    <row r="999" customFormat="false" ht="15" hidden="false" customHeight="false" outlineLevel="0" collapsed="false">
      <c r="A999" s="57" t="n">
        <v>31247</v>
      </c>
      <c r="B999" s="56" t="n">
        <v>1985</v>
      </c>
      <c r="C999" s="56" t="n">
        <v>7</v>
      </c>
      <c r="D999" s="56" t="n">
        <v>80</v>
      </c>
      <c r="E999" s="56" t="n">
        <v>19.9</v>
      </c>
      <c r="F999" s="56" t="n">
        <v>0</v>
      </c>
      <c r="G999" s="56" t="n">
        <v>11.3</v>
      </c>
      <c r="H999" s="56" t="n">
        <v>0</v>
      </c>
      <c r="I999" s="56" t="n">
        <v>15.6</v>
      </c>
      <c r="J999" s="56" t="n">
        <v>0</v>
      </c>
      <c r="K999" s="56" t="n">
        <v>1006.4</v>
      </c>
      <c r="L999" s="56" t="n">
        <v>0</v>
      </c>
      <c r="M999" s="56" t="n">
        <v>78</v>
      </c>
      <c r="N999" s="56" t="n">
        <v>4</v>
      </c>
      <c r="O999" s="56" t="n">
        <f aca="false">IF(D999=1,"",E998)</f>
        <v>19.9</v>
      </c>
      <c r="P999" s="56" t="n">
        <f aca="false">IF(OR(D999=1,K998=""),"",K998)</f>
        <v>1009</v>
      </c>
      <c r="Q999" s="56" t="n">
        <f aca="false">IF(OR(F999&lt;&gt;0,AND(I999&lt;&gt;"",E999&lt;I999)),1,0)</f>
        <v>0</v>
      </c>
      <c r="R999" s="56" t="n">
        <f aca="false">IF(AND(D999&gt;1,Q999=0,ISNUMBER(O999),ISNUMBER(P999)),IF(Q998=0,1,0),0)</f>
        <v>1</v>
      </c>
      <c r="S999" s="56" t="n">
        <f aca="false">R999*(B999&gt;=Train_Start)*(B999&lt;=Train_End)</f>
        <v>1</v>
      </c>
      <c r="T999" s="84" t="n">
        <f aca="false">IF(AND(ISNUMBER(O999),ISNUMBER(P999)),Coef_A+Coef_B1*O999+Coef_B2*P999,"")</f>
        <v>20.0440490492399</v>
      </c>
      <c r="U999" s="84" t="n">
        <f aca="false">IF(AND(R999=1,ISNUMBER(T999)),E999-T999,"")</f>
        <v>-0.144049049239882</v>
      </c>
      <c r="V999" s="84" t="n">
        <f aca="false">IF(ISNUMBER(T999),T999,-99)</f>
        <v>20.0440490492399</v>
      </c>
      <c r="W999" s="84" t="n">
        <f aca="false">IF(ISNUMBER(U999),ABS(U999),"")</f>
        <v>0.144049049239882</v>
      </c>
    </row>
    <row r="1000" customFormat="false" ht="15" hidden="false" customHeight="false" outlineLevel="0" collapsed="false">
      <c r="A1000" s="57" t="n">
        <v>31248</v>
      </c>
      <c r="B1000" s="56" t="n">
        <v>1985</v>
      </c>
      <c r="C1000" s="56" t="n">
        <v>7</v>
      </c>
      <c r="D1000" s="56" t="n">
        <v>81</v>
      </c>
      <c r="E1000" s="56" t="n">
        <v>21.2</v>
      </c>
      <c r="F1000" s="56" t="n">
        <v>0</v>
      </c>
      <c r="G1000" s="56" t="n">
        <v>11</v>
      </c>
      <c r="H1000" s="56" t="n">
        <v>0</v>
      </c>
      <c r="I1000" s="56" t="n">
        <v>15.4</v>
      </c>
      <c r="J1000" s="56" t="n">
        <v>0</v>
      </c>
      <c r="K1000" s="56" t="n">
        <v>1012.6</v>
      </c>
      <c r="L1000" s="56" t="n">
        <v>0</v>
      </c>
      <c r="M1000" s="56" t="n">
        <v>67</v>
      </c>
      <c r="N1000" s="56" t="n">
        <v>11</v>
      </c>
      <c r="O1000" s="56" t="n">
        <f aca="false">IF(D1000=1,"",E999)</f>
        <v>19.9</v>
      </c>
      <c r="P1000" s="56" t="n">
        <f aca="false">IF(OR(D1000=1,K999=""),"",K999)</f>
        <v>1006.4</v>
      </c>
      <c r="Q1000" s="56" t="n">
        <f aca="false">IF(OR(F1000&lt;&gt;0,AND(I1000&lt;&gt;"",E1000&lt;I1000)),1,0)</f>
        <v>0</v>
      </c>
      <c r="R1000" s="56" t="n">
        <f aca="false">IF(AND(D1000&gt;1,Q1000=0,ISNUMBER(O1000),ISNUMBER(P1000)),IF(Q999=0,1,0),0)</f>
        <v>1</v>
      </c>
      <c r="S1000" s="56" t="n">
        <f aca="false">R1000*(B1000&gt;=Train_Start)*(B1000&lt;=Train_End)</f>
        <v>1</v>
      </c>
      <c r="T1000" s="84" t="n">
        <f aca="false">IF(AND(ISNUMBER(O1000),ISNUMBER(P1000)),Coef_A+Coef_B1*O1000+Coef_B2*P1000,"")</f>
        <v>19.9624873231915</v>
      </c>
      <c r="U1000" s="84" t="n">
        <f aca="false">IF(AND(R1000=1,ISNUMBER(T1000)),E1000-T1000,"")</f>
        <v>1.23751267680849</v>
      </c>
      <c r="V1000" s="84" t="n">
        <f aca="false">IF(ISNUMBER(T1000),T1000,-99)</f>
        <v>19.9624873231915</v>
      </c>
      <c r="W1000" s="84" t="n">
        <f aca="false">IF(ISNUMBER(U1000),ABS(U1000),"")</f>
        <v>1.23751267680849</v>
      </c>
    </row>
    <row r="1001" customFormat="false" ht="15" hidden="false" customHeight="false" outlineLevel="0" collapsed="false">
      <c r="A1001" s="57" t="n">
        <v>31249</v>
      </c>
      <c r="B1001" s="56" t="n">
        <v>1985</v>
      </c>
      <c r="C1001" s="56" t="n">
        <v>7</v>
      </c>
      <c r="D1001" s="56" t="n">
        <v>82</v>
      </c>
      <c r="E1001" s="56" t="n">
        <v>20.8</v>
      </c>
      <c r="F1001" s="56" t="n">
        <v>0</v>
      </c>
      <c r="G1001" s="56" t="n">
        <v>8.2</v>
      </c>
      <c r="H1001" s="56" t="n">
        <v>0</v>
      </c>
      <c r="I1001" s="56" t="n">
        <v>14.7</v>
      </c>
      <c r="J1001" s="56" t="n">
        <v>0</v>
      </c>
      <c r="K1001" s="56" t="n">
        <v>1021.1</v>
      </c>
      <c r="L1001" s="56" t="n">
        <v>0</v>
      </c>
      <c r="M1001" s="56" t="n">
        <v>68</v>
      </c>
      <c r="N1001" s="56" t="n">
        <v>10.2</v>
      </c>
      <c r="O1001" s="56" t="n">
        <f aca="false">IF(D1001=1,"",E1000)</f>
        <v>21.2</v>
      </c>
      <c r="P1001" s="56" t="n">
        <f aca="false">IF(OR(D1001=1,K1000=""),"",K1000)</f>
        <v>1012.6</v>
      </c>
      <c r="Q1001" s="56" t="n">
        <f aca="false">IF(OR(F1001&lt;&gt;0,AND(I1001&lt;&gt;"",E1001&lt;I1001)),1,0)</f>
        <v>0</v>
      </c>
      <c r="R1001" s="56" t="n">
        <f aca="false">IF(AND(D1001&gt;1,Q1001=0,ISNUMBER(O1001),ISNUMBER(P1001)),IF(Q1000=0,1,0),0)</f>
        <v>1</v>
      </c>
      <c r="S1001" s="56" t="n">
        <f aca="false">R1001*(B1001&gt;=Train_Start)*(B1001&lt;=Train_End)</f>
        <v>1</v>
      </c>
      <c r="T1001" s="84" t="n">
        <f aca="false">IF(AND(ISNUMBER(O1001),ISNUMBER(P1001)),Coef_A+Coef_B1*O1001+Coef_B2*P1001,"")</f>
        <v>21.2221216208777</v>
      </c>
      <c r="U1001" s="84" t="n">
        <f aca="false">IF(AND(R1001=1,ISNUMBER(T1001)),E1001-T1001,"")</f>
        <v>-0.422121620877697</v>
      </c>
      <c r="V1001" s="84" t="n">
        <f aca="false">IF(ISNUMBER(T1001),T1001,-99)</f>
        <v>21.2221216208777</v>
      </c>
      <c r="W1001" s="84" t="n">
        <f aca="false">IF(ISNUMBER(U1001),ABS(U1001),"")</f>
        <v>0.422121620877697</v>
      </c>
    </row>
    <row r="1002" customFormat="false" ht="15" hidden="false" customHeight="false" outlineLevel="0" collapsed="false">
      <c r="A1002" s="57" t="n">
        <v>31250</v>
      </c>
      <c r="B1002" s="56" t="n">
        <v>1985</v>
      </c>
      <c r="C1002" s="56" t="n">
        <v>7</v>
      </c>
      <c r="D1002" s="56" t="n">
        <v>83</v>
      </c>
      <c r="E1002" s="56" t="n">
        <v>24.8</v>
      </c>
      <c r="F1002" s="56" t="n">
        <v>0</v>
      </c>
      <c r="G1002" s="56" t="n">
        <v>13.2</v>
      </c>
      <c r="H1002" s="56" t="n">
        <v>0</v>
      </c>
      <c r="I1002" s="56" t="n">
        <v>17</v>
      </c>
      <c r="J1002" s="56" t="n">
        <v>0</v>
      </c>
      <c r="K1002" s="56" t="n">
        <v>1016.6</v>
      </c>
      <c r="L1002" s="56" t="n">
        <v>0</v>
      </c>
      <c r="M1002" s="56" t="n">
        <v>83</v>
      </c>
      <c r="N1002" s="56" t="n">
        <v>0.9</v>
      </c>
      <c r="O1002" s="56" t="n">
        <f aca="false">IF(D1002=1,"",E1001)</f>
        <v>20.8</v>
      </c>
      <c r="P1002" s="56" t="n">
        <f aca="false">IF(OR(D1002=1,K1001=""),"",K1001)</f>
        <v>1021.1</v>
      </c>
      <c r="Q1002" s="56" t="n">
        <f aca="false">IF(OR(F1002&lt;&gt;0,AND(I1002&lt;&gt;"",E1002&lt;I1002)),1,0)</f>
        <v>0</v>
      </c>
      <c r="R1002" s="56" t="n">
        <f aca="false">IF(AND(D1002&gt;1,Q1002=0,ISNUMBER(O1002),ISNUMBER(P1002)),IF(Q1001=0,1,0),0)</f>
        <v>1</v>
      </c>
      <c r="S1002" s="56" t="n">
        <f aca="false">R1002*(B1002&gt;=Train_Start)*(B1002&lt;=Train_End)</f>
        <v>1</v>
      </c>
      <c r="T1002" s="84" t="n">
        <f aca="false">IF(AND(ISNUMBER(O1002),ISNUMBER(P1002)),Coef_A+Coef_B1*O1002+Coef_B2*P1002,"")</f>
        <v>21.1610300480495</v>
      </c>
      <c r="U1002" s="84" t="n">
        <f aca="false">IF(AND(R1002=1,ISNUMBER(T1002)),E1002-T1002,"")</f>
        <v>3.63896995195046</v>
      </c>
      <c r="V1002" s="84" t="n">
        <f aca="false">IF(ISNUMBER(T1002),T1002,-99)</f>
        <v>21.1610300480495</v>
      </c>
      <c r="W1002" s="84" t="n">
        <f aca="false">IF(ISNUMBER(U1002),ABS(U1002),"")</f>
        <v>3.63896995195046</v>
      </c>
    </row>
    <row r="1003" customFormat="false" ht="15" hidden="false" customHeight="false" outlineLevel="0" collapsed="false">
      <c r="A1003" s="57" t="n">
        <v>31251</v>
      </c>
      <c r="B1003" s="56" t="n">
        <v>1985</v>
      </c>
      <c r="C1003" s="56" t="n">
        <v>7</v>
      </c>
      <c r="D1003" s="56" t="n">
        <v>84</v>
      </c>
      <c r="E1003" s="56" t="n">
        <v>26.7</v>
      </c>
      <c r="F1003" s="56" t="n">
        <v>0</v>
      </c>
      <c r="G1003" s="56" t="n">
        <v>12.1</v>
      </c>
      <c r="H1003" s="56" t="n">
        <v>0</v>
      </c>
      <c r="I1003" s="56" t="n">
        <v>18.4</v>
      </c>
      <c r="J1003" s="56" t="n">
        <v>0</v>
      </c>
      <c r="K1003" s="56" t="n">
        <v>1022.6</v>
      </c>
      <c r="L1003" s="56" t="n">
        <v>0</v>
      </c>
      <c r="M1003" s="56" t="n">
        <v>67</v>
      </c>
      <c r="N1003" s="56" t="n">
        <v>14.6</v>
      </c>
      <c r="O1003" s="56" t="n">
        <f aca="false">IF(D1003=1,"",E1002)</f>
        <v>24.8</v>
      </c>
      <c r="P1003" s="56" t="n">
        <f aca="false">IF(OR(D1003=1,K1002=""),"",K1002)</f>
        <v>1016.6</v>
      </c>
      <c r="Q1003" s="56" t="n">
        <f aca="false">IF(OR(F1003&lt;&gt;0,AND(I1003&lt;&gt;"",E1003&lt;I1003)),1,0)</f>
        <v>0</v>
      </c>
      <c r="R1003" s="56" t="n">
        <f aca="false">IF(AND(D1003&gt;1,Q1003=0,ISNUMBER(O1003),ISNUMBER(P1003)),IF(Q1002=0,1,0),0)</f>
        <v>1</v>
      </c>
      <c r="S1003" s="56" t="n">
        <f aca="false">R1003*(B1003&gt;=Train_Start)*(B1003&lt;=Train_End)</f>
        <v>1</v>
      </c>
      <c r="T1003" s="84" t="n">
        <f aca="false">IF(AND(ISNUMBER(O1003),ISNUMBER(P1003)),Coef_A+Coef_B1*O1003+Coef_B2*P1003,"")</f>
        <v>24.2972222943672</v>
      </c>
      <c r="U1003" s="84" t="n">
        <f aca="false">IF(AND(R1003=1,ISNUMBER(T1003)),E1003-T1003,"")</f>
        <v>2.40277770563278</v>
      </c>
      <c r="V1003" s="84" t="n">
        <f aca="false">IF(ISNUMBER(T1003),T1003,-99)</f>
        <v>24.2972222943672</v>
      </c>
      <c r="W1003" s="84" t="n">
        <f aca="false">IF(ISNUMBER(U1003),ABS(U1003),"")</f>
        <v>2.40277770563278</v>
      </c>
    </row>
    <row r="1004" customFormat="false" ht="15" hidden="false" customHeight="false" outlineLevel="0" collapsed="false">
      <c r="A1004" s="57" t="n">
        <v>31252</v>
      </c>
      <c r="B1004" s="56" t="n">
        <v>1985</v>
      </c>
      <c r="C1004" s="56" t="n">
        <v>7</v>
      </c>
      <c r="D1004" s="56" t="n">
        <v>85</v>
      </c>
      <c r="E1004" s="56" t="n">
        <v>29.8</v>
      </c>
      <c r="F1004" s="56" t="n">
        <v>0</v>
      </c>
      <c r="G1004" s="56" t="n">
        <v>12.5</v>
      </c>
      <c r="H1004" s="56" t="n">
        <v>0</v>
      </c>
      <c r="I1004" s="56" t="n">
        <v>19.6</v>
      </c>
      <c r="J1004" s="56" t="n">
        <v>0</v>
      </c>
      <c r="K1004" s="56" t="n">
        <v>1022.3</v>
      </c>
      <c r="L1004" s="56" t="n">
        <v>0</v>
      </c>
      <c r="M1004" s="56" t="n">
        <v>74</v>
      </c>
      <c r="N1004" s="56" t="n">
        <v>10</v>
      </c>
      <c r="O1004" s="56" t="n">
        <f aca="false">IF(D1004=1,"",E1003)</f>
        <v>26.7</v>
      </c>
      <c r="P1004" s="56" t="n">
        <f aca="false">IF(OR(D1004=1,K1003=""),"",K1003)</f>
        <v>1022.6</v>
      </c>
      <c r="Q1004" s="56" t="n">
        <f aca="false">IF(OR(F1004&lt;&gt;0,AND(I1004&lt;&gt;"",E1004&lt;I1004)),1,0)</f>
        <v>0</v>
      </c>
      <c r="R1004" s="56" t="n">
        <f aca="false">IF(AND(D1004&gt;1,Q1004=0,ISNUMBER(O1004),ISNUMBER(P1004)),IF(Q1003=0,1,0),0)</f>
        <v>1</v>
      </c>
      <c r="S1004" s="56" t="n">
        <f aca="false">R1004*(B1004&gt;=Train_Start)*(B1004&lt;=Train_End)</f>
        <v>1</v>
      </c>
      <c r="T1004" s="84" t="n">
        <f aca="false">IF(AND(ISNUMBER(O1004),ISNUMBER(P1004)),Coef_A+Coef_B1*O1004+Coef_B2*P1004,"")</f>
        <v>26.0421861289522</v>
      </c>
      <c r="U1004" s="84" t="n">
        <f aca="false">IF(AND(R1004=1,ISNUMBER(T1004)),E1004-T1004,"")</f>
        <v>3.75781387104779</v>
      </c>
      <c r="V1004" s="84" t="n">
        <f aca="false">IF(ISNUMBER(T1004),T1004,-99)</f>
        <v>26.0421861289522</v>
      </c>
      <c r="W1004" s="84" t="n">
        <f aca="false">IF(ISNUMBER(U1004),ABS(U1004),"")</f>
        <v>3.75781387104779</v>
      </c>
    </row>
    <row r="1005" customFormat="false" ht="15" hidden="false" customHeight="false" outlineLevel="0" collapsed="false">
      <c r="A1005" s="57" t="n">
        <v>31253</v>
      </c>
      <c r="B1005" s="56" t="n">
        <v>1985</v>
      </c>
      <c r="C1005" s="56" t="n">
        <v>7</v>
      </c>
      <c r="D1005" s="56" t="n">
        <v>86</v>
      </c>
      <c r="E1005" s="56" t="n">
        <v>21.1</v>
      </c>
      <c r="F1005" s="56" t="n">
        <v>1</v>
      </c>
      <c r="G1005" s="56" t="n">
        <v>15</v>
      </c>
      <c r="H1005" s="56" t="n">
        <v>0</v>
      </c>
      <c r="I1005" s="56" t="n">
        <v>22.4</v>
      </c>
      <c r="J1005" s="56" t="n">
        <v>1</v>
      </c>
      <c r="K1005" s="56" t="n">
        <v>1015.2</v>
      </c>
      <c r="L1005" s="56" t="n">
        <v>0</v>
      </c>
      <c r="M1005" s="56" t="n">
        <v>60</v>
      </c>
      <c r="N1005" s="56" t="n">
        <v>11.1</v>
      </c>
      <c r="O1005" s="56" t="n">
        <f aca="false">IF(D1005=1,"",E1004)</f>
        <v>29.8</v>
      </c>
      <c r="P1005" s="56" t="n">
        <f aca="false">IF(OR(D1005=1,K1004=""),"",K1004)</f>
        <v>1022.3</v>
      </c>
      <c r="Q1005" s="56" t="n">
        <f aca="false">IF(OR(F1005&lt;&gt;0,AND(I1005&lt;&gt;"",E1005&lt;I1005)),1,0)</f>
        <v>1</v>
      </c>
      <c r="R1005" s="56" t="n">
        <f aca="false">IF(AND(D1005&gt;1,Q1005=0,ISNUMBER(O1005),ISNUMBER(P1005)),IF(Q1004=0,1,0),0)</f>
        <v>0</v>
      </c>
      <c r="S1005" s="56" t="n">
        <f aca="false">R1005*(B1005&gt;=Train_Start)*(B1005&lt;=Train_End)</f>
        <v>0</v>
      </c>
      <c r="T1005" s="84" t="n">
        <f aca="false">IF(AND(ISNUMBER(O1005),ISNUMBER(P1005)),Coef_A+Coef_B1*O1005+Coef_B2*P1005,"")</f>
        <v>28.5727266589943</v>
      </c>
      <c r="U1005" s="84" t="str">
        <f aca="false">IF(AND(R1005=1,ISNUMBER(T1005)),E1005-T1005,"")</f>
        <v/>
      </c>
      <c r="V1005" s="84" t="n">
        <f aca="false">IF(ISNUMBER(T1005),T1005,-99)</f>
        <v>28.5727266589943</v>
      </c>
      <c r="W1005" s="84" t="str">
        <f aca="false">IF(ISNUMBER(U1005),ABS(U1005),"")</f>
        <v/>
      </c>
    </row>
    <row r="1006" customFormat="false" ht="15" hidden="false" customHeight="false" outlineLevel="0" collapsed="false">
      <c r="A1006" s="57" t="n">
        <v>31254</v>
      </c>
      <c r="B1006" s="56" t="n">
        <v>1985</v>
      </c>
      <c r="C1006" s="56" t="n">
        <v>7</v>
      </c>
      <c r="D1006" s="56" t="n">
        <v>87</v>
      </c>
      <c r="E1006" s="56" t="n">
        <v>23.4</v>
      </c>
      <c r="F1006" s="56" t="n">
        <v>0</v>
      </c>
      <c r="G1006" s="56" t="n">
        <v>17.9</v>
      </c>
      <c r="H1006" s="56" t="n">
        <v>0</v>
      </c>
      <c r="I1006" s="56" t="n">
        <v>19.5</v>
      </c>
      <c r="J1006" s="56" t="n">
        <v>0</v>
      </c>
      <c r="K1006" s="56" t="n">
        <v>1005.9</v>
      </c>
      <c r="L1006" s="56" t="n">
        <v>0</v>
      </c>
      <c r="M1006" s="56" t="n">
        <v>78</v>
      </c>
      <c r="N1006" s="56" t="n">
        <v>2.9</v>
      </c>
      <c r="O1006" s="56" t="n">
        <f aca="false">IF(D1006=1,"",E1005)</f>
        <v>21.1</v>
      </c>
      <c r="P1006" s="56" t="n">
        <f aca="false">IF(OR(D1006=1,K1005=""),"",K1005)</f>
        <v>1015.2</v>
      </c>
      <c r="Q1006" s="56" t="n">
        <f aca="false">IF(OR(F1006&lt;&gt;0,AND(I1006&lt;&gt;"",E1006&lt;I1006)),1,0)</f>
        <v>0</v>
      </c>
      <c r="R1006" s="56" t="n">
        <f aca="false">IF(AND(D1006&gt;1,Q1006=0,ISNUMBER(O1006),ISNUMBER(P1006)),IF(Q1005=0,1,0),0)</f>
        <v>0</v>
      </c>
      <c r="S1006" s="56" t="n">
        <f aca="false">R1006*(B1006&gt;=Train_Start)*(B1006&lt;=Train_End)</f>
        <v>0</v>
      </c>
      <c r="T1006" s="84" t="n">
        <f aca="false">IF(AND(ISNUMBER(O1006),ISNUMBER(P1006)),Coef_A+Coef_B1*O1006+Coef_B2*P1006,"")</f>
        <v>21.2217494276218</v>
      </c>
      <c r="U1006" s="84" t="str">
        <f aca="false">IF(AND(R1006=1,ISNUMBER(T1006)),E1006-T1006,"")</f>
        <v/>
      </c>
      <c r="V1006" s="84" t="n">
        <f aca="false">IF(ISNUMBER(T1006),T1006,-99)</f>
        <v>21.2217494276218</v>
      </c>
      <c r="W1006" s="84" t="str">
        <f aca="false">IF(ISNUMBER(U1006),ABS(U1006),"")</f>
        <v/>
      </c>
    </row>
    <row r="1007" customFormat="false" ht="15" hidden="false" customHeight="false" outlineLevel="0" collapsed="false">
      <c r="A1007" s="57" t="n">
        <v>31255</v>
      </c>
      <c r="B1007" s="56" t="n">
        <v>1985</v>
      </c>
      <c r="C1007" s="56" t="n">
        <v>7</v>
      </c>
      <c r="D1007" s="56" t="n">
        <v>88</v>
      </c>
      <c r="E1007" s="56" t="n">
        <v>19.5</v>
      </c>
      <c r="F1007" s="56" t="n">
        <v>0</v>
      </c>
      <c r="G1007" s="56" t="n">
        <v>15.1</v>
      </c>
      <c r="H1007" s="56" t="n">
        <v>0</v>
      </c>
      <c r="I1007" s="56" t="n">
        <v>19.2</v>
      </c>
      <c r="J1007" s="56" t="n">
        <v>0</v>
      </c>
      <c r="K1007" s="56" t="n">
        <v>1007.7</v>
      </c>
      <c r="L1007" s="56" t="n">
        <v>0</v>
      </c>
      <c r="M1007" s="56" t="n">
        <v>76</v>
      </c>
      <c r="N1007" s="56" t="n">
        <v>5.7</v>
      </c>
      <c r="O1007" s="56" t="n">
        <f aca="false">IF(D1007=1,"",E1006)</f>
        <v>23.4</v>
      </c>
      <c r="P1007" s="56" t="n">
        <f aca="false">IF(OR(D1007=1,K1006=""),"",K1006)</f>
        <v>1005.9</v>
      </c>
      <c r="Q1007" s="56" t="n">
        <f aca="false">IF(OR(F1007&lt;&gt;0,AND(I1007&lt;&gt;"",E1007&lt;I1007)),1,0)</f>
        <v>0</v>
      </c>
      <c r="R1007" s="56" t="n">
        <f aca="false">IF(AND(D1007&gt;1,Q1007=0,ISNUMBER(O1007),ISNUMBER(P1007)),IF(Q1006=0,1,0),0)</f>
        <v>1</v>
      </c>
      <c r="S1007" s="56" t="n">
        <f aca="false">R1007*(B1007&gt;=Train_Start)*(B1007&lt;=Train_End)</f>
        <v>1</v>
      </c>
      <c r="T1007" s="84" t="n">
        <f aca="false">IF(AND(ISNUMBER(O1007),ISNUMBER(P1007)),Coef_A+Coef_B1*O1007+Coef_B2*P1007,"")</f>
        <v>22.8144895515238</v>
      </c>
      <c r="U1007" s="84" t="n">
        <f aca="false">IF(AND(R1007=1,ISNUMBER(T1007)),E1007-T1007,"")</f>
        <v>-3.31448955152381</v>
      </c>
      <c r="V1007" s="84" t="n">
        <f aca="false">IF(ISNUMBER(T1007),T1007,-99)</f>
        <v>22.8144895515238</v>
      </c>
      <c r="W1007" s="84" t="n">
        <f aca="false">IF(ISNUMBER(U1007),ABS(U1007),"")</f>
        <v>3.31448955152381</v>
      </c>
    </row>
    <row r="1008" customFormat="false" ht="15" hidden="false" customHeight="false" outlineLevel="0" collapsed="false">
      <c r="A1008" s="57" t="n">
        <v>31256</v>
      </c>
      <c r="B1008" s="56" t="n">
        <v>1985</v>
      </c>
      <c r="C1008" s="56" t="n">
        <v>7</v>
      </c>
      <c r="D1008" s="56" t="n">
        <v>89</v>
      </c>
      <c r="E1008" s="56" t="n">
        <v>18.5</v>
      </c>
      <c r="F1008" s="56" t="n">
        <v>0</v>
      </c>
      <c r="G1008" s="56" t="n">
        <v>15.8</v>
      </c>
      <c r="H1008" s="56" t="n">
        <v>0</v>
      </c>
      <c r="I1008" s="56" t="n">
        <v>17.6</v>
      </c>
      <c r="J1008" s="56" t="n">
        <v>0</v>
      </c>
      <c r="K1008" s="56" t="n">
        <v>1002.2</v>
      </c>
      <c r="L1008" s="56" t="n">
        <v>0</v>
      </c>
      <c r="M1008" s="56" t="n">
        <v>85</v>
      </c>
      <c r="N1008" s="56" t="n">
        <v>3.1</v>
      </c>
      <c r="O1008" s="56" t="n">
        <f aca="false">IF(D1008=1,"",E1007)</f>
        <v>19.5</v>
      </c>
      <c r="P1008" s="56" t="n">
        <f aca="false">IF(OR(D1008=1,K1007=""),"",K1007)</f>
        <v>1007.7</v>
      </c>
      <c r="Q1008" s="56" t="n">
        <f aca="false">IF(OR(F1008&lt;&gt;0,AND(I1008&lt;&gt;"",E1008&lt;I1008)),1,0)</f>
        <v>0</v>
      </c>
      <c r="R1008" s="56" t="n">
        <f aca="false">IF(AND(D1008&gt;1,Q1008=0,ISNUMBER(O1008),ISNUMBER(P1008)),IF(Q1007=0,1,0),0)</f>
        <v>1</v>
      </c>
      <c r="S1008" s="56" t="n">
        <f aca="false">R1008*(B1008&gt;=Train_Start)*(B1008&lt;=Train_End)</f>
        <v>1</v>
      </c>
      <c r="T1008" s="84" t="n">
        <f aca="false">IF(AND(ISNUMBER(O1008),ISNUMBER(P1008)),Coef_A+Coef_B1*O1008+Coef_B2*P1008,"")</f>
        <v>19.6755325089986</v>
      </c>
      <c r="U1008" s="84" t="n">
        <f aca="false">IF(AND(R1008=1,ISNUMBER(T1008)),E1008-T1008,"")</f>
        <v>-1.17553250899864</v>
      </c>
      <c r="V1008" s="84" t="n">
        <f aca="false">IF(ISNUMBER(T1008),T1008,-99)</f>
        <v>19.6755325089986</v>
      </c>
      <c r="W1008" s="84" t="n">
        <f aca="false">IF(ISNUMBER(U1008),ABS(U1008),"")</f>
        <v>1.17553250899864</v>
      </c>
    </row>
    <row r="1009" customFormat="false" ht="15" hidden="false" customHeight="false" outlineLevel="0" collapsed="false">
      <c r="A1009" s="57" t="n">
        <v>31257</v>
      </c>
      <c r="B1009" s="56" t="n">
        <v>1985</v>
      </c>
      <c r="C1009" s="56" t="n">
        <v>7</v>
      </c>
      <c r="D1009" s="56" t="n">
        <v>90</v>
      </c>
      <c r="E1009" s="56" t="n">
        <v>19.3</v>
      </c>
      <c r="F1009" s="56" t="n">
        <v>0</v>
      </c>
      <c r="G1009" s="56" t="n">
        <v>14</v>
      </c>
      <c r="H1009" s="56" t="n">
        <v>0</v>
      </c>
      <c r="I1009" s="56" t="n">
        <v>16.2</v>
      </c>
      <c r="J1009" s="56" t="n">
        <v>0</v>
      </c>
      <c r="K1009" s="56" t="n">
        <v>998.1</v>
      </c>
      <c r="L1009" s="56" t="n">
        <v>0</v>
      </c>
      <c r="M1009" s="56" t="n">
        <v>88</v>
      </c>
      <c r="N1009" s="56" t="n">
        <v>2.3</v>
      </c>
      <c r="O1009" s="56" t="n">
        <f aca="false">IF(D1009=1,"",E1008)</f>
        <v>18.5</v>
      </c>
      <c r="P1009" s="56" t="n">
        <f aca="false">IF(OR(D1009=1,K1008=""),"",K1008)</f>
        <v>1002.2</v>
      </c>
      <c r="Q1009" s="56" t="n">
        <f aca="false">IF(OR(F1009&lt;&gt;0,AND(I1009&lt;&gt;"",E1009&lt;I1009)),1,0)</f>
        <v>0</v>
      </c>
      <c r="R1009" s="56" t="n">
        <f aca="false">IF(AND(D1009&gt;1,Q1009=0,ISNUMBER(O1009),ISNUMBER(P1009)),IF(Q1008=0,1,0),0)</f>
        <v>1</v>
      </c>
      <c r="S1009" s="56" t="n">
        <f aca="false">R1009*(B1009&gt;=Train_Start)*(B1009&lt;=Train_End)</f>
        <v>1</v>
      </c>
      <c r="T1009" s="84" t="n">
        <f aca="false">IF(AND(ISNUMBER(O1009),ISNUMBER(P1009)),Coef_A+Coef_B1*O1009+Coef_B2*P1009,"")</f>
        <v>18.683658895469</v>
      </c>
      <c r="U1009" s="84" t="n">
        <f aca="false">IF(AND(R1009=1,ISNUMBER(T1009)),E1009-T1009,"")</f>
        <v>0.616341104530967</v>
      </c>
      <c r="V1009" s="84" t="n">
        <f aca="false">IF(ISNUMBER(T1009),T1009,-99)</f>
        <v>18.683658895469</v>
      </c>
      <c r="W1009" s="84" t="n">
        <f aca="false">IF(ISNUMBER(U1009),ABS(U1009),"")</f>
        <v>0.616341104530967</v>
      </c>
    </row>
    <row r="1010" customFormat="false" ht="15" hidden="false" customHeight="false" outlineLevel="0" collapsed="false">
      <c r="A1010" s="57" t="n">
        <v>31258</v>
      </c>
      <c r="B1010" s="56" t="n">
        <v>1985</v>
      </c>
      <c r="C1010" s="56" t="n">
        <v>7</v>
      </c>
      <c r="D1010" s="56" t="n">
        <v>91</v>
      </c>
      <c r="E1010" s="56" t="n">
        <v>23.7</v>
      </c>
      <c r="F1010" s="56" t="n">
        <v>0</v>
      </c>
      <c r="G1010" s="56" t="n">
        <v>13.8</v>
      </c>
      <c r="H1010" s="56" t="n">
        <v>0</v>
      </c>
      <c r="I1010" s="56" t="n">
        <v>16.6</v>
      </c>
      <c r="J1010" s="56" t="n">
        <v>0</v>
      </c>
      <c r="K1010" s="56" t="n">
        <v>1004.1</v>
      </c>
      <c r="L1010" s="56" t="n">
        <v>0</v>
      </c>
      <c r="M1010" s="56" t="n">
        <v>87</v>
      </c>
      <c r="N1010" s="56" t="n">
        <v>0.3</v>
      </c>
      <c r="O1010" s="56" t="n">
        <f aca="false">IF(D1010=1,"",E1009)</f>
        <v>19.3</v>
      </c>
      <c r="P1010" s="56" t="n">
        <f aca="false">IF(OR(D1010=1,K1009=""),"",K1009)</f>
        <v>998.1</v>
      </c>
      <c r="Q1010" s="56" t="n">
        <f aca="false">IF(OR(F1010&lt;&gt;0,AND(I1010&lt;&gt;"",E1010&lt;I1010)),1,0)</f>
        <v>0</v>
      </c>
      <c r="R1010" s="56" t="n">
        <f aca="false">IF(AND(D1010&gt;1,Q1010=0,ISNUMBER(O1010),ISNUMBER(P1010)),IF(Q1009=0,1,0),0)</f>
        <v>1</v>
      </c>
      <c r="S1010" s="56" t="n">
        <f aca="false">R1010*(B1010&gt;=Train_Start)*(B1010&lt;=Train_End)</f>
        <v>1</v>
      </c>
      <c r="T1010" s="84" t="n">
        <f aca="false">IF(AND(ISNUMBER(O1010),ISNUMBER(P1010)),Coef_A+Coef_B1*O1010+Coef_B2*P1010,"")</f>
        <v>19.2105136819038</v>
      </c>
      <c r="U1010" s="84" t="n">
        <f aca="false">IF(AND(R1010=1,ISNUMBER(T1010)),E1010-T1010,"")</f>
        <v>4.48948631809619</v>
      </c>
      <c r="V1010" s="84" t="n">
        <f aca="false">IF(ISNUMBER(T1010),T1010,-99)</f>
        <v>19.2105136819038</v>
      </c>
      <c r="W1010" s="84" t="n">
        <f aca="false">IF(ISNUMBER(U1010),ABS(U1010),"")</f>
        <v>4.48948631809619</v>
      </c>
    </row>
    <row r="1011" customFormat="false" ht="15" hidden="false" customHeight="false" outlineLevel="0" collapsed="false">
      <c r="A1011" s="57" t="n">
        <v>31259</v>
      </c>
      <c r="B1011" s="56" t="n">
        <v>1985</v>
      </c>
      <c r="C1011" s="56" t="n">
        <v>7</v>
      </c>
      <c r="D1011" s="56" t="n">
        <v>92</v>
      </c>
      <c r="E1011" s="56" t="n">
        <v>20.8</v>
      </c>
      <c r="F1011" s="56" t="n">
        <v>0</v>
      </c>
      <c r="G1011" s="56" t="n">
        <v>13.4</v>
      </c>
      <c r="H1011" s="56" t="n">
        <v>0</v>
      </c>
      <c r="I1011" s="56" t="n">
        <v>18.6</v>
      </c>
      <c r="J1011" s="56" t="n">
        <v>0</v>
      </c>
      <c r="K1011" s="56" t="n">
        <v>1010.3</v>
      </c>
      <c r="L1011" s="56" t="n">
        <v>0</v>
      </c>
      <c r="M1011" s="56" t="n">
        <v>73</v>
      </c>
      <c r="N1011" s="56" t="n">
        <v>7.9</v>
      </c>
      <c r="O1011" s="56" t="n">
        <f aca="false">IF(D1011=1,"",E1010)</f>
        <v>23.7</v>
      </c>
      <c r="P1011" s="56" t="n">
        <f aca="false">IF(OR(D1011=1,K1010=""),"",K1010)</f>
        <v>1004.1</v>
      </c>
      <c r="Q1011" s="56" t="n">
        <f aca="false">IF(OR(F1011&lt;&gt;0,AND(I1011&lt;&gt;"",E1011&lt;I1011)),1,0)</f>
        <v>0</v>
      </c>
      <c r="R1011" s="56" t="n">
        <f aca="false">IF(AND(D1011&gt;1,Q1011=0,ISNUMBER(O1011),ISNUMBER(P1011)),IF(Q1010=0,1,0),0)</f>
        <v>1</v>
      </c>
      <c r="S1011" s="56" t="n">
        <f aca="false">R1011*(B1011&gt;=Train_Start)*(B1011&lt;=Train_End)</f>
        <v>1</v>
      </c>
      <c r="T1011" s="84" t="n">
        <f aca="false">IF(AND(ISNUMBER(O1011),ISNUMBER(P1011)),Coef_A+Coef_B1*O1011+Coef_B2*P1011,"")</f>
        <v>23.0038254990954</v>
      </c>
      <c r="U1011" s="84" t="n">
        <f aca="false">IF(AND(R1011=1,ISNUMBER(T1011)),E1011-T1011,"")</f>
        <v>-2.20382549909543</v>
      </c>
      <c r="V1011" s="84" t="n">
        <f aca="false">IF(ISNUMBER(T1011),T1011,-99)</f>
        <v>23.0038254990954</v>
      </c>
      <c r="W1011" s="84" t="n">
        <f aca="false">IF(ISNUMBER(U1011),ABS(U1011),"")</f>
        <v>2.20382549909543</v>
      </c>
    </row>
    <row r="1012" customFormat="false" ht="15" hidden="false" customHeight="false" outlineLevel="0" collapsed="false">
      <c r="A1012" s="57" t="n">
        <v>31260</v>
      </c>
      <c r="B1012" s="56" t="n">
        <v>1985</v>
      </c>
      <c r="C1012" s="56" t="n">
        <v>8</v>
      </c>
      <c r="D1012" s="56" t="n">
        <v>93</v>
      </c>
      <c r="E1012" s="56" t="n">
        <v>17.8</v>
      </c>
      <c r="F1012" s="56" t="n">
        <v>0</v>
      </c>
      <c r="G1012" s="56" t="n">
        <v>12.6</v>
      </c>
      <c r="H1012" s="56" t="n">
        <v>0</v>
      </c>
      <c r="I1012" s="56" t="n">
        <v>16.7</v>
      </c>
      <c r="J1012" s="56" t="n">
        <v>0</v>
      </c>
      <c r="K1012" s="56" t="n">
        <v>1015.9</v>
      </c>
      <c r="L1012" s="56" t="n">
        <v>0</v>
      </c>
      <c r="M1012" s="56" t="n">
        <v>67</v>
      </c>
      <c r="N1012" s="56" t="n">
        <v>10</v>
      </c>
      <c r="O1012" s="56" t="n">
        <f aca="false">IF(D1012=1,"",E1011)</f>
        <v>20.8</v>
      </c>
      <c r="P1012" s="56" t="n">
        <f aca="false">IF(OR(D1012=1,K1011=""),"",K1011)</f>
        <v>1010.3</v>
      </c>
      <c r="Q1012" s="56" t="n">
        <f aca="false">IF(OR(F1012&lt;&gt;0,AND(I1012&lt;&gt;"",E1012&lt;I1012)),1,0)</f>
        <v>0</v>
      </c>
      <c r="R1012" s="56" t="n">
        <f aca="false">IF(AND(D1012&gt;1,Q1012=0,ISNUMBER(O1012),ISNUMBER(P1012)),IF(Q1011=0,1,0),0)</f>
        <v>1</v>
      </c>
      <c r="S1012" s="56" t="n">
        <f aca="false">R1012*(B1012&gt;=Train_Start)*(B1012&lt;=Train_End)</f>
        <v>1</v>
      </c>
      <c r="T1012" s="84" t="n">
        <f aca="false">IF(AND(ISNUMBER(O1012),ISNUMBER(P1012)),Coef_A+Coef_B1*O1012+Coef_B2*P1012,"")</f>
        <v>20.8222351860025</v>
      </c>
      <c r="U1012" s="84" t="n">
        <f aca="false">IF(AND(R1012=1,ISNUMBER(T1012)),E1012-T1012,"")</f>
        <v>-3.02223518600245</v>
      </c>
      <c r="V1012" s="84" t="n">
        <f aca="false">IF(ISNUMBER(T1012),T1012,-99)</f>
        <v>20.8222351860025</v>
      </c>
      <c r="W1012" s="84" t="n">
        <f aca="false">IF(ISNUMBER(U1012),ABS(U1012),"")</f>
        <v>3.02223518600245</v>
      </c>
    </row>
    <row r="1013" customFormat="false" ht="15" hidden="false" customHeight="false" outlineLevel="0" collapsed="false">
      <c r="A1013" s="57" t="n">
        <v>31261</v>
      </c>
      <c r="B1013" s="56" t="n">
        <v>1985</v>
      </c>
      <c r="C1013" s="56" t="n">
        <v>8</v>
      </c>
      <c r="D1013" s="56" t="n">
        <v>94</v>
      </c>
      <c r="E1013" s="56" t="n">
        <v>19.2</v>
      </c>
      <c r="F1013" s="56" t="n">
        <v>0</v>
      </c>
      <c r="G1013" s="56" t="n">
        <v>13.3</v>
      </c>
      <c r="H1013" s="56" t="n">
        <v>0</v>
      </c>
      <c r="I1013" s="56" t="n">
        <v>15.6</v>
      </c>
      <c r="J1013" s="56" t="n">
        <v>0</v>
      </c>
      <c r="K1013" s="56" t="n">
        <v>1013</v>
      </c>
      <c r="L1013" s="56" t="n">
        <v>0</v>
      </c>
      <c r="M1013" s="56" t="n">
        <v>81</v>
      </c>
      <c r="N1013" s="56" t="n">
        <v>0.7</v>
      </c>
      <c r="O1013" s="56" t="n">
        <f aca="false">IF(D1013=1,"",E1012)</f>
        <v>17.8</v>
      </c>
      <c r="P1013" s="56" t="n">
        <f aca="false">IF(OR(D1013=1,K1012=""),"",K1012)</f>
        <v>1015.9</v>
      </c>
      <c r="Q1013" s="56" t="n">
        <f aca="false">IF(OR(F1013&lt;&gt;0,AND(I1013&lt;&gt;"",E1013&lt;I1013)),1,0)</f>
        <v>0</v>
      </c>
      <c r="R1013" s="56" t="n">
        <f aca="false">IF(AND(D1013&gt;1,Q1013=0,ISNUMBER(O1013),ISNUMBER(P1013)),IF(Q1012=0,1,0),0)</f>
        <v>1</v>
      </c>
      <c r="S1013" s="56" t="n">
        <f aca="false">R1013*(B1013&gt;=Train_Start)*(B1013&lt;=Train_End)</f>
        <v>1</v>
      </c>
      <c r="T1013" s="84" t="n">
        <f aca="false">IF(AND(ISNUMBER(O1013),ISNUMBER(P1013)),Coef_A+Coef_B1*O1013+Coef_B2*P1013,"")</f>
        <v>18.5398890168248</v>
      </c>
      <c r="U1013" s="84" t="n">
        <f aca="false">IF(AND(R1013=1,ISNUMBER(T1013)),E1013-T1013,"")</f>
        <v>0.660110983175173</v>
      </c>
      <c r="V1013" s="84" t="n">
        <f aca="false">IF(ISNUMBER(T1013),T1013,-99)</f>
        <v>18.5398890168248</v>
      </c>
      <c r="W1013" s="84" t="n">
        <f aca="false">IF(ISNUMBER(U1013),ABS(U1013),"")</f>
        <v>0.660110983175173</v>
      </c>
    </row>
    <row r="1014" customFormat="false" ht="15" hidden="false" customHeight="false" outlineLevel="0" collapsed="false">
      <c r="A1014" s="57" t="n">
        <v>31262</v>
      </c>
      <c r="B1014" s="56" t="n">
        <v>1985</v>
      </c>
      <c r="C1014" s="56" t="n">
        <v>8</v>
      </c>
      <c r="D1014" s="56" t="n">
        <v>95</v>
      </c>
      <c r="E1014" s="56" t="n">
        <v>17.4</v>
      </c>
      <c r="F1014" s="56" t="n">
        <v>0</v>
      </c>
      <c r="G1014" s="56" t="n">
        <v>12.1</v>
      </c>
      <c r="H1014" s="56" t="n">
        <v>0</v>
      </c>
      <c r="I1014" s="56" t="n">
        <v>15.6</v>
      </c>
      <c r="J1014" s="56" t="n">
        <v>0</v>
      </c>
      <c r="K1014" s="56" t="n">
        <v>1010.4</v>
      </c>
      <c r="L1014" s="56" t="n">
        <v>0</v>
      </c>
      <c r="M1014" s="56" t="n">
        <v>69</v>
      </c>
      <c r="N1014" s="56" t="n">
        <v>11.5</v>
      </c>
      <c r="O1014" s="56" t="n">
        <f aca="false">IF(D1014=1,"",E1013)</f>
        <v>19.2</v>
      </c>
      <c r="P1014" s="56" t="n">
        <f aca="false">IF(OR(D1014=1,K1013=""),"",K1013)</f>
        <v>1013</v>
      </c>
      <c r="Q1014" s="56" t="n">
        <f aca="false">IF(OR(F1014&lt;&gt;0,AND(I1014&lt;&gt;"",E1014&lt;I1014)),1,0)</f>
        <v>0</v>
      </c>
      <c r="R1014" s="56" t="n">
        <f aca="false">IF(AND(D1014&gt;1,Q1014=0,ISNUMBER(O1014),ISNUMBER(P1014)),IF(Q1013=0,1,0),0)</f>
        <v>1</v>
      </c>
      <c r="S1014" s="56" t="n">
        <f aca="false">R1014*(B1014&gt;=Train_Start)*(B1014&lt;=Train_End)</f>
        <v>1</v>
      </c>
      <c r="T1014" s="84" t="n">
        <f aca="false">IF(AND(ISNUMBER(O1014),ISNUMBER(P1014)),Coef_A+Coef_B1*O1014+Coef_B2*P1014,"")</f>
        <v>19.595991192646</v>
      </c>
      <c r="U1014" s="84" t="n">
        <f aca="false">IF(AND(R1014=1,ISNUMBER(T1014)),E1014-T1014,"")</f>
        <v>-2.19599119264598</v>
      </c>
      <c r="V1014" s="84" t="n">
        <f aca="false">IF(ISNUMBER(T1014),T1014,-99)</f>
        <v>19.595991192646</v>
      </c>
      <c r="W1014" s="84" t="n">
        <f aca="false">IF(ISNUMBER(U1014),ABS(U1014),"")</f>
        <v>2.19599119264598</v>
      </c>
    </row>
    <row r="1015" customFormat="false" ht="15" hidden="false" customHeight="false" outlineLevel="0" collapsed="false">
      <c r="A1015" s="57" t="n">
        <v>31263</v>
      </c>
      <c r="B1015" s="56" t="n">
        <v>1985</v>
      </c>
      <c r="C1015" s="56" t="n">
        <v>8</v>
      </c>
      <c r="D1015" s="56" t="n">
        <v>96</v>
      </c>
      <c r="E1015" s="56" t="n">
        <v>19</v>
      </c>
      <c r="F1015" s="56" t="n">
        <v>0</v>
      </c>
      <c r="G1015" s="56" t="n">
        <v>11.7</v>
      </c>
      <c r="H1015" s="56" t="n">
        <v>0</v>
      </c>
      <c r="I1015" s="56" t="n">
        <v>14.6</v>
      </c>
      <c r="J1015" s="56" t="n">
        <v>0</v>
      </c>
      <c r="K1015" s="56" t="n">
        <v>1004.4</v>
      </c>
      <c r="L1015" s="56" t="n">
        <v>0</v>
      </c>
      <c r="M1015" s="56" t="n">
        <v>87</v>
      </c>
      <c r="N1015" s="56" t="n">
        <v>0</v>
      </c>
      <c r="O1015" s="56" t="n">
        <f aca="false">IF(D1015=1,"",E1014)</f>
        <v>17.4</v>
      </c>
      <c r="P1015" s="56" t="n">
        <f aca="false">IF(OR(D1015=1,K1014=""),"",K1014)</f>
        <v>1010.4</v>
      </c>
      <c r="Q1015" s="56" t="n">
        <f aca="false">IF(OR(F1015&lt;&gt;0,AND(I1015&lt;&gt;"",E1015&lt;I1015)),1,0)</f>
        <v>0</v>
      </c>
      <c r="R1015" s="56" t="n">
        <f aca="false">IF(AND(D1015&gt;1,Q1015=0,ISNUMBER(O1015),ISNUMBER(P1015)),IF(Q1014=0,1,0),0)</f>
        <v>1</v>
      </c>
      <c r="S1015" s="56" t="n">
        <f aca="false">R1015*(B1015&gt;=Train_Start)*(B1015&lt;=Train_End)</f>
        <v>1</v>
      </c>
      <c r="T1015" s="84" t="n">
        <f aca="false">IF(AND(ISNUMBER(O1015),ISNUMBER(P1015)),Coef_A+Coef_B1*O1015+Coef_B2*P1015,"")</f>
        <v>18.0396189191208</v>
      </c>
      <c r="U1015" s="84" t="n">
        <f aca="false">IF(AND(R1015=1,ISNUMBER(T1015)),E1015-T1015,"")</f>
        <v>0.960381080879181</v>
      </c>
      <c r="V1015" s="84" t="n">
        <f aca="false">IF(ISNUMBER(T1015),T1015,-99)</f>
        <v>18.0396189191208</v>
      </c>
      <c r="W1015" s="84" t="n">
        <f aca="false">IF(ISNUMBER(U1015),ABS(U1015),"")</f>
        <v>0.960381080879181</v>
      </c>
    </row>
    <row r="1016" customFormat="false" ht="15" hidden="false" customHeight="false" outlineLevel="0" collapsed="false">
      <c r="A1016" s="57" t="n">
        <v>31264</v>
      </c>
      <c r="B1016" s="56" t="n">
        <v>1985</v>
      </c>
      <c r="C1016" s="56" t="n">
        <v>8</v>
      </c>
      <c r="D1016" s="56" t="n">
        <v>97</v>
      </c>
      <c r="E1016" s="56" t="n">
        <v>19.7</v>
      </c>
      <c r="F1016" s="56" t="n">
        <v>0</v>
      </c>
      <c r="G1016" s="56" t="n">
        <v>12.5</v>
      </c>
      <c r="H1016" s="56" t="n">
        <v>0</v>
      </c>
      <c r="I1016" s="56" t="n">
        <v>15.8</v>
      </c>
      <c r="J1016" s="56" t="n">
        <v>0</v>
      </c>
      <c r="K1016" s="56" t="n">
        <v>996.7</v>
      </c>
      <c r="L1016" s="56" t="n">
        <v>0</v>
      </c>
      <c r="M1016" s="56" t="n">
        <v>77</v>
      </c>
      <c r="N1016" s="56" t="n">
        <v>3.5</v>
      </c>
      <c r="O1016" s="56" t="n">
        <f aca="false">IF(D1016=1,"",E1015)</f>
        <v>19</v>
      </c>
      <c r="P1016" s="56" t="n">
        <f aca="false">IF(OR(D1016=1,K1015=""),"",K1015)</f>
        <v>1004.4</v>
      </c>
      <c r="Q1016" s="56" t="n">
        <f aca="false">IF(OR(F1016&lt;&gt;0,AND(I1016&lt;&gt;"",E1016&lt;I1016)),1,0)</f>
        <v>0</v>
      </c>
      <c r="R1016" s="56" t="n">
        <f aca="false">IF(AND(D1016&gt;1,Q1016=0,ISNUMBER(O1016),ISNUMBER(P1016)),IF(Q1015=0,1,0),0)</f>
        <v>1</v>
      </c>
      <c r="S1016" s="56" t="n">
        <f aca="false">R1016*(B1016&gt;=Train_Start)*(B1016&lt;=Train_End)</f>
        <v>1</v>
      </c>
      <c r="T1016" s="84" t="n">
        <f aca="false">IF(AND(ISNUMBER(O1016),ISNUMBER(P1016)),Coef_A+Coef_B1*O1016+Coef_B2*P1016,"")</f>
        <v>19.1623422601851</v>
      </c>
      <c r="U1016" s="84" t="n">
        <f aca="false">IF(AND(R1016=1,ISNUMBER(T1016)),E1016-T1016,"")</f>
        <v>0.537657739814865</v>
      </c>
      <c r="V1016" s="84" t="n">
        <f aca="false">IF(ISNUMBER(T1016),T1016,-99)</f>
        <v>19.1623422601851</v>
      </c>
      <c r="W1016" s="84" t="n">
        <f aca="false">IF(ISNUMBER(U1016),ABS(U1016),"")</f>
        <v>0.537657739814865</v>
      </c>
    </row>
    <row r="1017" customFormat="false" ht="15" hidden="false" customHeight="false" outlineLevel="0" collapsed="false">
      <c r="A1017" s="57" t="n">
        <v>31265</v>
      </c>
      <c r="B1017" s="56" t="n">
        <v>1985</v>
      </c>
      <c r="C1017" s="56" t="n">
        <v>8</v>
      </c>
      <c r="D1017" s="56" t="n">
        <v>98</v>
      </c>
      <c r="E1017" s="56" t="n">
        <v>17.2</v>
      </c>
      <c r="F1017" s="56" t="n">
        <v>0</v>
      </c>
      <c r="G1017" s="56" t="n">
        <v>8.8</v>
      </c>
      <c r="H1017" s="56" t="n">
        <v>0</v>
      </c>
      <c r="I1017" s="56" t="n">
        <v>14.2</v>
      </c>
      <c r="J1017" s="56" t="n">
        <v>0</v>
      </c>
      <c r="K1017" s="56" t="n">
        <v>1010.4</v>
      </c>
      <c r="L1017" s="56" t="n">
        <v>0</v>
      </c>
      <c r="M1017" s="56" t="n">
        <v>72</v>
      </c>
      <c r="N1017" s="56" t="n">
        <v>7.7</v>
      </c>
      <c r="O1017" s="56" t="n">
        <f aca="false">IF(D1017=1,"",E1016)</f>
        <v>19.7</v>
      </c>
      <c r="P1017" s="56" t="n">
        <f aca="false">IF(OR(D1017=1,K1016=""),"",K1016)</f>
        <v>996.7</v>
      </c>
      <c r="Q1017" s="56" t="n">
        <f aca="false">IF(OR(F1017&lt;&gt;0,AND(I1017&lt;&gt;"",E1017&lt;I1017)),1,0)</f>
        <v>0</v>
      </c>
      <c r="R1017" s="56" t="n">
        <f aca="false">IF(AND(D1017&gt;1,Q1017=0,ISNUMBER(O1017),ISNUMBER(P1017)),IF(Q1016=0,1,0),0)</f>
        <v>1</v>
      </c>
      <c r="S1017" s="56" t="n">
        <f aca="false">R1017*(B1017&gt;=Train_Start)*(B1017&lt;=Train_End)</f>
        <v>1</v>
      </c>
      <c r="T1017" s="84" t="n">
        <f aca="false">IF(AND(ISNUMBER(O1017),ISNUMBER(P1017)),Coef_A+Coef_B1*O1017+Coef_B2*P1017,"")</f>
        <v>19.4943315066333</v>
      </c>
      <c r="U1017" s="84" t="n">
        <f aca="false">IF(AND(R1017=1,ISNUMBER(T1017)),E1017-T1017,"")</f>
        <v>-2.29433150663328</v>
      </c>
      <c r="V1017" s="84" t="n">
        <f aca="false">IF(ISNUMBER(T1017),T1017,-99)</f>
        <v>19.4943315066333</v>
      </c>
      <c r="W1017" s="84" t="n">
        <f aca="false">IF(ISNUMBER(U1017),ABS(U1017),"")</f>
        <v>2.29433150663328</v>
      </c>
    </row>
    <row r="1018" customFormat="false" ht="15" hidden="false" customHeight="false" outlineLevel="0" collapsed="false">
      <c r="A1018" s="57" t="n">
        <v>31266</v>
      </c>
      <c r="B1018" s="56" t="n">
        <v>1985</v>
      </c>
      <c r="C1018" s="56" t="n">
        <v>8</v>
      </c>
      <c r="D1018" s="56" t="n">
        <v>99</v>
      </c>
      <c r="E1018" s="56" t="n">
        <v>20.8</v>
      </c>
      <c r="F1018" s="56" t="n">
        <v>0</v>
      </c>
      <c r="G1018" s="56" t="n">
        <v>10.3</v>
      </c>
      <c r="H1018" s="56" t="n">
        <v>0</v>
      </c>
      <c r="I1018" s="56" t="n">
        <v>13.8</v>
      </c>
      <c r="J1018" s="56" t="n">
        <v>0</v>
      </c>
      <c r="K1018" s="56" t="n">
        <v>1012</v>
      </c>
      <c r="L1018" s="56" t="n">
        <v>0</v>
      </c>
      <c r="M1018" s="56" t="n">
        <v>87</v>
      </c>
      <c r="N1018" s="56" t="n">
        <v>0</v>
      </c>
      <c r="O1018" s="56" t="n">
        <f aca="false">IF(D1018=1,"",E1017)</f>
        <v>17.2</v>
      </c>
      <c r="P1018" s="56" t="n">
        <f aca="false">IF(OR(D1018=1,K1017=""),"",K1017)</f>
        <v>1010.4</v>
      </c>
      <c r="Q1018" s="56" t="n">
        <f aca="false">IF(OR(F1018&lt;&gt;0,AND(I1018&lt;&gt;"",E1018&lt;I1018)),1,0)</f>
        <v>0</v>
      </c>
      <c r="R1018" s="56" t="n">
        <f aca="false">IF(AND(D1018&gt;1,Q1018=0,ISNUMBER(O1018),ISNUMBER(P1018)),IF(Q1017=0,1,0),0)</f>
        <v>1</v>
      </c>
      <c r="S1018" s="56" t="n">
        <f aca="false">R1018*(B1018&gt;=Train_Start)*(B1018&lt;=Train_End)</f>
        <v>1</v>
      </c>
      <c r="T1018" s="84" t="n">
        <f aca="false">IF(AND(ISNUMBER(O1018),ISNUMBER(P1018)),Coef_A+Coef_B1*O1018+Coef_B2*P1018,"")</f>
        <v>17.8757510805123</v>
      </c>
      <c r="U1018" s="84" t="n">
        <f aca="false">IF(AND(R1018=1,ISNUMBER(T1018)),E1018-T1018,"")</f>
        <v>2.92424891948771</v>
      </c>
      <c r="V1018" s="84" t="n">
        <f aca="false">IF(ISNUMBER(T1018),T1018,-99)</f>
        <v>17.8757510805123</v>
      </c>
      <c r="W1018" s="84" t="n">
        <f aca="false">IF(ISNUMBER(U1018),ABS(U1018),"")</f>
        <v>2.92424891948771</v>
      </c>
    </row>
    <row r="1019" customFormat="false" ht="15" hidden="false" customHeight="false" outlineLevel="0" collapsed="false">
      <c r="A1019" s="57" t="n">
        <v>31267</v>
      </c>
      <c r="B1019" s="56" t="n">
        <v>1985</v>
      </c>
      <c r="C1019" s="56" t="n">
        <v>8</v>
      </c>
      <c r="D1019" s="56" t="n">
        <v>100</v>
      </c>
      <c r="E1019" s="56" t="n">
        <v>18.6</v>
      </c>
      <c r="F1019" s="56" t="n">
        <v>0</v>
      </c>
      <c r="G1019" s="56" t="n">
        <v>9.4</v>
      </c>
      <c r="H1019" s="56" t="n">
        <v>0</v>
      </c>
      <c r="I1019" s="56" t="n">
        <v>15.1</v>
      </c>
      <c r="J1019" s="56" t="n">
        <v>0</v>
      </c>
      <c r="K1019" s="56" t="n">
        <v>1010.1</v>
      </c>
      <c r="L1019" s="56" t="n">
        <v>0</v>
      </c>
      <c r="M1019" s="56" t="n">
        <v>82</v>
      </c>
      <c r="N1019" s="56" t="n">
        <v>8.2</v>
      </c>
      <c r="O1019" s="56" t="n">
        <f aca="false">IF(D1019=1,"",E1018)</f>
        <v>20.8</v>
      </c>
      <c r="P1019" s="56" t="n">
        <f aca="false">IF(OR(D1019=1,K1018=""),"",K1018)</f>
        <v>1012</v>
      </c>
      <c r="Q1019" s="56" t="n">
        <f aca="false">IF(OR(F1019&lt;&gt;0,AND(I1019&lt;&gt;"",E1019&lt;I1019)),1,0)</f>
        <v>0</v>
      </c>
      <c r="R1019" s="56" t="n">
        <f aca="false">IF(AND(D1019&gt;1,Q1019=0,ISNUMBER(O1019),ISNUMBER(P1019)),IF(Q1018=0,1,0),0)</f>
        <v>1</v>
      </c>
      <c r="S1019" s="56" t="n">
        <f aca="false">R1019*(B1019&gt;=Train_Start)*(B1019&lt;=Train_End)</f>
        <v>1</v>
      </c>
      <c r="T1019" s="84" t="n">
        <f aca="false">IF(AND(ISNUMBER(O1019),ISNUMBER(P1019)),Coef_A+Coef_B1*O1019+Coef_B2*P1019,"")</f>
        <v>20.8755640068802</v>
      </c>
      <c r="U1019" s="84" t="n">
        <f aca="false">IF(AND(R1019=1,ISNUMBER(T1019)),E1019-T1019,"")</f>
        <v>-2.27556400688024</v>
      </c>
      <c r="V1019" s="84" t="n">
        <f aca="false">IF(ISNUMBER(T1019),T1019,-99)</f>
        <v>20.8755640068802</v>
      </c>
      <c r="W1019" s="84" t="n">
        <f aca="false">IF(ISNUMBER(U1019),ABS(U1019),"")</f>
        <v>2.27556400688024</v>
      </c>
    </row>
    <row r="1020" customFormat="false" ht="15" hidden="false" customHeight="false" outlineLevel="0" collapsed="false">
      <c r="A1020" s="57" t="n">
        <v>31268</v>
      </c>
      <c r="B1020" s="56" t="n">
        <v>1985</v>
      </c>
      <c r="C1020" s="56" t="n">
        <v>8</v>
      </c>
      <c r="D1020" s="56" t="n">
        <v>101</v>
      </c>
      <c r="E1020" s="56" t="n">
        <v>20</v>
      </c>
      <c r="F1020" s="56" t="n">
        <v>0</v>
      </c>
      <c r="G1020" s="56" t="n">
        <v>14.6</v>
      </c>
      <c r="H1020" s="56" t="n">
        <v>0</v>
      </c>
      <c r="I1020" s="56" t="n">
        <v>16.6</v>
      </c>
      <c r="J1020" s="56" t="n">
        <v>0</v>
      </c>
      <c r="K1020" s="56" t="n">
        <v>1005.9</v>
      </c>
      <c r="L1020" s="56" t="n">
        <v>0</v>
      </c>
      <c r="M1020" s="56" t="n">
        <v>82</v>
      </c>
      <c r="N1020" s="56" t="n">
        <v>3.2</v>
      </c>
      <c r="O1020" s="56" t="n">
        <f aca="false">IF(D1020=1,"",E1019)</f>
        <v>18.6</v>
      </c>
      <c r="P1020" s="56" t="n">
        <f aca="false">IF(OR(D1020=1,K1019=""),"",K1019)</f>
        <v>1010.1</v>
      </c>
      <c r="Q1020" s="56" t="n">
        <f aca="false">IF(OR(F1020&lt;&gt;0,AND(I1020&lt;&gt;"",E1020&lt;I1020)),1,0)</f>
        <v>0</v>
      </c>
      <c r="R1020" s="56" t="n">
        <f aca="false">IF(AND(D1020&gt;1,Q1020=0,ISNUMBER(O1020),ISNUMBER(P1020)),IF(Q1019=0,1,0),0)</f>
        <v>1</v>
      </c>
      <c r="S1020" s="56" t="n">
        <f aca="false">R1020*(B1020&gt;=Train_Start)*(B1020&lt;=Train_End)</f>
        <v>1</v>
      </c>
      <c r="T1020" s="84" t="n">
        <f aca="false">IF(AND(ISNUMBER(O1020),ISNUMBER(P1020)),Coef_A+Coef_B1*O1020+Coef_B2*P1020,"")</f>
        <v>19.0134149823818</v>
      </c>
      <c r="U1020" s="84" t="n">
        <f aca="false">IF(AND(R1020=1,ISNUMBER(T1020)),E1020-T1020,"")</f>
        <v>0.986585017618186</v>
      </c>
      <c r="V1020" s="84" t="n">
        <f aca="false">IF(ISNUMBER(T1020),T1020,-99)</f>
        <v>19.0134149823818</v>
      </c>
      <c r="W1020" s="84" t="n">
        <f aca="false">IF(ISNUMBER(U1020),ABS(U1020),"")</f>
        <v>0.986585017618186</v>
      </c>
    </row>
    <row r="1021" customFormat="false" ht="15" hidden="false" customHeight="false" outlineLevel="0" collapsed="false">
      <c r="A1021" s="57" t="n">
        <v>31269</v>
      </c>
      <c r="B1021" s="56" t="n">
        <v>1985</v>
      </c>
      <c r="C1021" s="56" t="n">
        <v>8</v>
      </c>
      <c r="D1021" s="56" t="n">
        <v>102</v>
      </c>
      <c r="E1021" s="56" t="n">
        <v>19.5</v>
      </c>
      <c r="F1021" s="56" t="n">
        <v>0</v>
      </c>
      <c r="G1021" s="56" t="n">
        <v>11</v>
      </c>
      <c r="H1021" s="56" t="n">
        <v>0</v>
      </c>
      <c r="I1021" s="56" t="n">
        <v>15.5</v>
      </c>
      <c r="J1021" s="56" t="n">
        <v>0</v>
      </c>
      <c r="K1021" s="56" t="n">
        <v>1007.6</v>
      </c>
      <c r="L1021" s="56" t="n">
        <v>0</v>
      </c>
      <c r="M1021" s="56" t="n">
        <v>75</v>
      </c>
      <c r="N1021" s="56" t="n">
        <v>6.5</v>
      </c>
      <c r="O1021" s="56" t="n">
        <f aca="false">IF(D1021=1,"",E1020)</f>
        <v>20</v>
      </c>
      <c r="P1021" s="56" t="n">
        <f aca="false">IF(OR(D1021=1,K1020=""),"",K1020)</f>
        <v>1005.9</v>
      </c>
      <c r="Q1021" s="56" t="n">
        <f aca="false">IF(OR(F1021&lt;&gt;0,AND(I1021&lt;&gt;"",E1021&lt;I1021)),1,0)</f>
        <v>0</v>
      </c>
      <c r="R1021" s="56" t="n">
        <f aca="false">IF(AND(D1021&gt;1,Q1021=0,ISNUMBER(O1021),ISNUMBER(P1021)),IF(Q1020=0,1,0),0)</f>
        <v>1</v>
      </c>
      <c r="S1021" s="56" t="n">
        <f aca="false">R1021*(B1021&gt;=Train_Start)*(B1021&lt;=Train_End)</f>
        <v>1</v>
      </c>
      <c r="T1021" s="84" t="n">
        <f aca="false">IF(AND(ISNUMBER(O1021),ISNUMBER(P1021)),Coef_A+Coef_B1*O1021+Coef_B2*P1021,"")</f>
        <v>20.0287362951788</v>
      </c>
      <c r="U1021" s="84" t="n">
        <f aca="false">IF(AND(R1021=1,ISNUMBER(T1021)),E1021-T1021,"")</f>
        <v>-0.528736295178778</v>
      </c>
      <c r="V1021" s="84" t="n">
        <f aca="false">IF(ISNUMBER(T1021),T1021,-99)</f>
        <v>20.0287362951788</v>
      </c>
      <c r="W1021" s="84" t="n">
        <f aca="false">IF(ISNUMBER(U1021),ABS(U1021),"")</f>
        <v>0.528736295178778</v>
      </c>
    </row>
    <row r="1022" customFormat="false" ht="15" hidden="false" customHeight="false" outlineLevel="0" collapsed="false">
      <c r="A1022" s="57" t="n">
        <v>31270</v>
      </c>
      <c r="B1022" s="56" t="n">
        <v>1985</v>
      </c>
      <c r="C1022" s="56" t="n">
        <v>8</v>
      </c>
      <c r="D1022" s="56" t="n">
        <v>103</v>
      </c>
      <c r="E1022" s="56" t="n">
        <v>19.8</v>
      </c>
      <c r="F1022" s="56" t="n">
        <v>0</v>
      </c>
      <c r="G1022" s="56" t="n">
        <v>10.9</v>
      </c>
      <c r="H1022" s="56" t="n">
        <v>0</v>
      </c>
      <c r="I1022" s="56" t="n">
        <v>15.2</v>
      </c>
      <c r="J1022" s="56" t="n">
        <v>0</v>
      </c>
      <c r="K1022" s="56" t="n">
        <v>1006.4</v>
      </c>
      <c r="L1022" s="56" t="n">
        <v>0</v>
      </c>
      <c r="M1022" s="56" t="n">
        <v>75</v>
      </c>
      <c r="N1022" s="56" t="n">
        <v>5.2</v>
      </c>
      <c r="O1022" s="56" t="n">
        <f aca="false">IF(D1022=1,"",E1021)</f>
        <v>19.5</v>
      </c>
      <c r="P1022" s="56" t="n">
        <f aca="false">IF(OR(D1022=1,K1021=""),"",K1021)</f>
        <v>1007.6</v>
      </c>
      <c r="Q1022" s="56" t="n">
        <f aca="false">IF(OR(F1022&lt;&gt;0,AND(I1022&lt;&gt;"",E1022&lt;I1022)),1,0)</f>
        <v>0</v>
      </c>
      <c r="R1022" s="56" t="n">
        <f aca="false">IF(AND(D1022&gt;1,Q1022=0,ISNUMBER(O1022),ISNUMBER(P1022)),IF(Q1021=0,1,0),0)</f>
        <v>1</v>
      </c>
      <c r="S1022" s="56" t="n">
        <f aca="false">R1022*(B1022&gt;=Train_Start)*(B1022&lt;=Train_End)</f>
        <v>1</v>
      </c>
      <c r="T1022" s="84" t="n">
        <f aca="false">IF(AND(ISNUMBER(O1022),ISNUMBER(P1022)),Coef_A+Coef_B1*O1022+Coef_B2*P1022,"")</f>
        <v>19.6723955195352</v>
      </c>
      <c r="U1022" s="84" t="n">
        <f aca="false">IF(AND(R1022=1,ISNUMBER(T1022)),E1022-T1022,"")</f>
        <v>0.127604480464765</v>
      </c>
      <c r="V1022" s="84" t="n">
        <f aca="false">IF(ISNUMBER(T1022),T1022,-99)</f>
        <v>19.6723955195352</v>
      </c>
      <c r="W1022" s="84" t="n">
        <f aca="false">IF(ISNUMBER(U1022),ABS(U1022),"")</f>
        <v>0.127604480464765</v>
      </c>
    </row>
    <row r="1023" customFormat="false" ht="15" hidden="false" customHeight="false" outlineLevel="0" collapsed="false">
      <c r="A1023" s="57" t="n">
        <v>31271</v>
      </c>
      <c r="B1023" s="56" t="n">
        <v>1985</v>
      </c>
      <c r="C1023" s="56" t="n">
        <v>8</v>
      </c>
      <c r="D1023" s="56" t="n">
        <v>104</v>
      </c>
      <c r="E1023" s="56" t="n">
        <v>20.6</v>
      </c>
      <c r="F1023" s="56" t="n">
        <v>0</v>
      </c>
      <c r="G1023" s="56" t="n">
        <v>11.3</v>
      </c>
      <c r="H1023" s="56" t="n">
        <v>0</v>
      </c>
      <c r="I1023" s="56" t="n">
        <v>15.6</v>
      </c>
      <c r="J1023" s="56" t="n">
        <v>0</v>
      </c>
      <c r="K1023" s="56" t="n">
        <v>1011.3</v>
      </c>
      <c r="L1023" s="56" t="n">
        <v>0</v>
      </c>
      <c r="M1023" s="56" t="n">
        <v>71</v>
      </c>
      <c r="N1023" s="56" t="n">
        <v>10.3</v>
      </c>
      <c r="O1023" s="56" t="n">
        <f aca="false">IF(D1023=1,"",E1022)</f>
        <v>19.8</v>
      </c>
      <c r="P1023" s="56" t="n">
        <f aca="false">IF(OR(D1023=1,K1022=""),"",K1022)</f>
        <v>1006.4</v>
      </c>
      <c r="Q1023" s="56" t="n">
        <f aca="false">IF(OR(F1023&lt;&gt;0,AND(I1023&lt;&gt;"",E1023&lt;I1023)),1,0)</f>
        <v>0</v>
      </c>
      <c r="R1023" s="56" t="n">
        <f aca="false">IF(AND(D1023&gt;1,Q1023=0,ISNUMBER(O1023),ISNUMBER(P1023)),IF(Q1022=0,1,0),0)</f>
        <v>1</v>
      </c>
      <c r="S1023" s="56" t="n">
        <f aca="false">R1023*(B1023&gt;=Train_Start)*(B1023&lt;=Train_End)</f>
        <v>1</v>
      </c>
      <c r="T1023" s="84" t="n">
        <f aca="false">IF(AND(ISNUMBER(O1023),ISNUMBER(P1023)),Coef_A+Coef_B1*O1023+Coef_B2*P1023,"")</f>
        <v>19.8805534038872</v>
      </c>
      <c r="U1023" s="84" t="n">
        <f aca="false">IF(AND(R1023=1,ISNUMBER(T1023)),E1023-T1023,"")</f>
        <v>0.719446596112757</v>
      </c>
      <c r="V1023" s="84" t="n">
        <f aca="false">IF(ISNUMBER(T1023),T1023,-99)</f>
        <v>19.8805534038872</v>
      </c>
      <c r="W1023" s="84" t="n">
        <f aca="false">IF(ISNUMBER(U1023),ABS(U1023),"")</f>
        <v>0.719446596112757</v>
      </c>
    </row>
    <row r="1024" customFormat="false" ht="15" hidden="false" customHeight="false" outlineLevel="0" collapsed="false">
      <c r="A1024" s="57" t="n">
        <v>31272</v>
      </c>
      <c r="B1024" s="56" t="n">
        <v>1985</v>
      </c>
      <c r="C1024" s="56" t="n">
        <v>8</v>
      </c>
      <c r="D1024" s="56" t="n">
        <v>105</v>
      </c>
      <c r="E1024" s="56" t="n">
        <v>20.7</v>
      </c>
      <c r="F1024" s="56" t="n">
        <v>0</v>
      </c>
      <c r="G1024" s="56" t="n">
        <v>11.2</v>
      </c>
      <c r="H1024" s="56" t="n">
        <v>0</v>
      </c>
      <c r="I1024" s="56" t="n">
        <v>15.9</v>
      </c>
      <c r="J1024" s="56" t="n">
        <v>0</v>
      </c>
      <c r="K1024" s="56" t="n">
        <v>1014.9</v>
      </c>
      <c r="L1024" s="56" t="n">
        <v>0</v>
      </c>
      <c r="M1024" s="56" t="n">
        <v>74</v>
      </c>
      <c r="N1024" s="56" t="n">
        <v>2.7</v>
      </c>
      <c r="O1024" s="56" t="n">
        <f aca="false">IF(D1024=1,"",E1023)</f>
        <v>20.6</v>
      </c>
      <c r="P1024" s="56" t="n">
        <f aca="false">IF(OR(D1024=1,K1023=""),"",K1023)</f>
        <v>1011.3</v>
      </c>
      <c r="Q1024" s="56" t="n">
        <f aca="false">IF(OR(F1024&lt;&gt;0,AND(I1024&lt;&gt;"",E1024&lt;I1024)),1,0)</f>
        <v>0</v>
      </c>
      <c r="R1024" s="56" t="n">
        <f aca="false">IF(AND(D1024&gt;1,Q1024=0,ISNUMBER(O1024),ISNUMBER(P1024)),IF(Q1023=0,1,0),0)</f>
        <v>1</v>
      </c>
      <c r="S1024" s="56" t="n">
        <f aca="false">R1024*(B1024&gt;=Train_Start)*(B1024&lt;=Train_End)</f>
        <v>1</v>
      </c>
      <c r="T1024" s="84" t="n">
        <f aca="false">IF(AND(ISNUMBER(O1024),ISNUMBER(P1024)),Coef_A+Coef_B1*O1024+Coef_B2*P1024,"")</f>
        <v>20.6897372420279</v>
      </c>
      <c r="U1024" s="84" t="n">
        <f aca="false">IF(AND(R1024=1,ISNUMBER(T1024)),E1024-T1024,"")</f>
        <v>0.0102627579720824</v>
      </c>
      <c r="V1024" s="84" t="n">
        <f aca="false">IF(ISNUMBER(T1024),T1024,-99)</f>
        <v>20.6897372420279</v>
      </c>
      <c r="W1024" s="84" t="n">
        <f aca="false">IF(ISNUMBER(U1024),ABS(U1024),"")</f>
        <v>0.0102627579720824</v>
      </c>
    </row>
    <row r="1025" customFormat="false" ht="15" hidden="false" customHeight="false" outlineLevel="0" collapsed="false">
      <c r="A1025" s="57" t="n">
        <v>31273</v>
      </c>
      <c r="B1025" s="56" t="n">
        <v>1985</v>
      </c>
      <c r="C1025" s="56" t="n">
        <v>8</v>
      </c>
      <c r="D1025" s="56" t="n">
        <v>106</v>
      </c>
      <c r="E1025" s="56" t="n">
        <v>19.6</v>
      </c>
      <c r="F1025" s="56" t="n">
        <v>0</v>
      </c>
      <c r="G1025" s="56" t="n">
        <v>13.8</v>
      </c>
      <c r="H1025" s="56" t="n">
        <v>0</v>
      </c>
      <c r="I1025" s="56" t="n">
        <v>17.2</v>
      </c>
      <c r="J1025" s="56" t="n">
        <v>0</v>
      </c>
      <c r="K1025" s="56" t="n">
        <v>1011.4</v>
      </c>
      <c r="L1025" s="56" t="n">
        <v>0</v>
      </c>
      <c r="M1025" s="56" t="n">
        <v>73</v>
      </c>
      <c r="N1025" s="56" t="n">
        <v>7.9</v>
      </c>
      <c r="O1025" s="56" t="n">
        <f aca="false">IF(D1025=1,"",E1024)</f>
        <v>20.7</v>
      </c>
      <c r="P1025" s="56" t="n">
        <f aca="false">IF(OR(D1025=1,K1024=""),"",K1024)</f>
        <v>1014.9</v>
      </c>
      <c r="Q1025" s="56" t="n">
        <f aca="false">IF(OR(F1025&lt;&gt;0,AND(I1025&lt;&gt;"",E1025&lt;I1025)),1,0)</f>
        <v>0</v>
      </c>
      <c r="R1025" s="56" t="n">
        <f aca="false">IF(AND(D1025&gt;1,Q1025=0,ISNUMBER(O1025),ISNUMBER(P1025)),IF(Q1024=0,1,0),0)</f>
        <v>1</v>
      </c>
      <c r="S1025" s="56" t="n">
        <f aca="false">R1025*(B1025&gt;=Train_Start)*(B1025&lt;=Train_End)</f>
        <v>1</v>
      </c>
      <c r="T1025" s="84" t="n">
        <f aca="false">IF(AND(ISNUMBER(O1025),ISNUMBER(P1025)),Coef_A+Coef_B1*O1025+Coef_B2*P1025,"")</f>
        <v>20.8846027820145</v>
      </c>
      <c r="U1025" s="84" t="n">
        <f aca="false">IF(AND(R1025=1,ISNUMBER(T1025)),E1025-T1025,"")</f>
        <v>-1.28460278201454</v>
      </c>
      <c r="V1025" s="84" t="n">
        <f aca="false">IF(ISNUMBER(T1025),T1025,-99)</f>
        <v>20.8846027820145</v>
      </c>
      <c r="W1025" s="84" t="n">
        <f aca="false">IF(ISNUMBER(U1025),ABS(U1025),"")</f>
        <v>1.28460278201454</v>
      </c>
    </row>
    <row r="1026" customFormat="false" ht="15" hidden="false" customHeight="false" outlineLevel="0" collapsed="false">
      <c r="A1026" s="57" t="n">
        <v>31274</v>
      </c>
      <c r="B1026" s="56" t="n">
        <v>1985</v>
      </c>
      <c r="C1026" s="56" t="n">
        <v>8</v>
      </c>
      <c r="D1026" s="56" t="n">
        <v>107</v>
      </c>
      <c r="E1026" s="56" t="n">
        <v>19.1</v>
      </c>
      <c r="F1026" s="56" t="n">
        <v>0</v>
      </c>
      <c r="G1026" s="56" t="n">
        <v>11.9</v>
      </c>
      <c r="H1026" s="56" t="n">
        <v>0</v>
      </c>
      <c r="I1026" s="56" t="n">
        <v>15.8</v>
      </c>
      <c r="J1026" s="56" t="n">
        <v>0</v>
      </c>
      <c r="K1026" s="56" t="n">
        <v>1015.2</v>
      </c>
      <c r="L1026" s="56" t="n">
        <v>0</v>
      </c>
      <c r="M1026" s="56" t="n">
        <v>74</v>
      </c>
      <c r="N1026" s="56" t="n">
        <v>7.3</v>
      </c>
      <c r="O1026" s="56" t="n">
        <f aca="false">IF(D1026=1,"",E1025)</f>
        <v>19.6</v>
      </c>
      <c r="P1026" s="56" t="n">
        <f aca="false">IF(OR(D1026=1,K1025=""),"",K1025)</f>
        <v>1011.4</v>
      </c>
      <c r="Q1026" s="56" t="n">
        <f aca="false">IF(OR(F1026&lt;&gt;0,AND(I1026&lt;&gt;"",E1026&lt;I1026)),1,0)</f>
        <v>0</v>
      </c>
      <c r="R1026" s="56" t="n">
        <f aca="false">IF(AND(D1026&gt;1,Q1026=0,ISNUMBER(O1026),ISNUMBER(P1026)),IF(Q1025=0,1,0),0)</f>
        <v>1</v>
      </c>
      <c r="S1026" s="56" t="n">
        <f aca="false">R1026*(B1026&gt;=Train_Start)*(B1026&lt;=Train_End)</f>
        <v>1</v>
      </c>
      <c r="T1026" s="84" t="n">
        <f aca="false">IF(AND(ISNUMBER(O1026),ISNUMBER(P1026)),Coef_A+Coef_B1*O1026+Coef_B2*P1026,"")</f>
        <v>19.8735350384487</v>
      </c>
      <c r="U1026" s="84" t="n">
        <f aca="false">IF(AND(R1026=1,ISNUMBER(T1026)),E1026-T1026,"")</f>
        <v>-0.773535038448657</v>
      </c>
      <c r="V1026" s="84" t="n">
        <f aca="false">IF(ISNUMBER(T1026),T1026,-99)</f>
        <v>19.8735350384487</v>
      </c>
      <c r="W1026" s="84" t="n">
        <f aca="false">IF(ISNUMBER(U1026),ABS(U1026),"")</f>
        <v>0.773535038448657</v>
      </c>
    </row>
    <row r="1027" customFormat="false" ht="15" hidden="false" customHeight="false" outlineLevel="0" collapsed="false">
      <c r="A1027" s="57" t="n">
        <v>31275</v>
      </c>
      <c r="B1027" s="56" t="n">
        <v>1985</v>
      </c>
      <c r="C1027" s="56" t="n">
        <v>8</v>
      </c>
      <c r="D1027" s="56" t="n">
        <v>108</v>
      </c>
      <c r="E1027" s="56" t="n">
        <v>21.8</v>
      </c>
      <c r="F1027" s="56" t="n">
        <v>0</v>
      </c>
      <c r="G1027" s="56" t="n">
        <v>12.5</v>
      </c>
      <c r="H1027" s="56" t="n">
        <v>0</v>
      </c>
      <c r="I1027" s="56" t="n">
        <v>15.8</v>
      </c>
      <c r="J1027" s="56" t="n">
        <v>0</v>
      </c>
      <c r="K1027" s="56" t="n">
        <v>1016.6</v>
      </c>
      <c r="L1027" s="56" t="n">
        <v>0</v>
      </c>
      <c r="M1027" s="56" t="n">
        <v>75</v>
      </c>
      <c r="N1027" s="56" t="n">
        <v>2.9</v>
      </c>
      <c r="O1027" s="56" t="n">
        <f aca="false">IF(D1027=1,"",E1026)</f>
        <v>19.1</v>
      </c>
      <c r="P1027" s="56" t="n">
        <f aca="false">IF(OR(D1027=1,K1026=""),"",K1026)</f>
        <v>1015.2</v>
      </c>
      <c r="Q1027" s="56" t="n">
        <f aca="false">IF(OR(F1027&lt;&gt;0,AND(I1027&lt;&gt;"",E1027&lt;I1027)),1,0)</f>
        <v>0</v>
      </c>
      <c r="R1027" s="56" t="n">
        <f aca="false">IF(AND(D1027&gt;1,Q1027=0,ISNUMBER(O1027),ISNUMBER(P1027)),IF(Q1026=0,1,0),0)</f>
        <v>1</v>
      </c>
      <c r="S1027" s="56" t="n">
        <f aca="false">R1027*(B1027&gt;=Train_Start)*(B1027&lt;=Train_End)</f>
        <v>1</v>
      </c>
      <c r="T1027" s="84" t="n">
        <f aca="false">IF(AND(ISNUMBER(O1027),ISNUMBER(P1027)),Coef_A+Coef_B1*O1027+Coef_B2*P1027,"")</f>
        <v>19.5830710415365</v>
      </c>
      <c r="U1027" s="84" t="n">
        <f aca="false">IF(AND(R1027=1,ISNUMBER(T1027)),E1027-T1027,"")</f>
        <v>2.21692895846351</v>
      </c>
      <c r="V1027" s="84" t="n">
        <f aca="false">IF(ISNUMBER(T1027),T1027,-99)</f>
        <v>19.5830710415365</v>
      </c>
      <c r="W1027" s="84" t="n">
        <f aca="false">IF(ISNUMBER(U1027),ABS(U1027),"")</f>
        <v>2.21692895846351</v>
      </c>
    </row>
    <row r="1028" customFormat="false" ht="15" hidden="false" customHeight="false" outlineLevel="0" collapsed="false">
      <c r="A1028" s="57" t="n">
        <v>31276</v>
      </c>
      <c r="B1028" s="56" t="n">
        <v>1985</v>
      </c>
      <c r="C1028" s="56" t="n">
        <v>8</v>
      </c>
      <c r="D1028" s="56" t="n">
        <v>109</v>
      </c>
      <c r="E1028" s="56" t="n">
        <v>20.3</v>
      </c>
      <c r="F1028" s="56" t="n">
        <v>0</v>
      </c>
      <c r="G1028" s="56" t="n">
        <v>9.9</v>
      </c>
      <c r="H1028" s="56" t="n">
        <v>0</v>
      </c>
      <c r="I1028" s="56" t="n">
        <v>15.8</v>
      </c>
      <c r="J1028" s="56" t="n">
        <v>0</v>
      </c>
      <c r="K1028" s="56" t="n">
        <v>1018.4</v>
      </c>
      <c r="L1028" s="56" t="n">
        <v>0</v>
      </c>
      <c r="M1028" s="56" t="n">
        <v>72</v>
      </c>
      <c r="N1028" s="56" t="n">
        <v>9.1</v>
      </c>
      <c r="O1028" s="56" t="n">
        <f aca="false">IF(D1028=1,"",E1027)</f>
        <v>21.8</v>
      </c>
      <c r="P1028" s="56" t="n">
        <f aca="false">IF(OR(D1028=1,K1027=""),"",K1027)</f>
        <v>1016.6</v>
      </c>
      <c r="Q1028" s="56" t="n">
        <f aca="false">IF(OR(F1028&lt;&gt;0,AND(I1028&lt;&gt;"",E1028&lt;I1028)),1,0)</f>
        <v>0</v>
      </c>
      <c r="R1028" s="56" t="n">
        <f aca="false">IF(AND(D1028&gt;1,Q1028=0,ISNUMBER(O1028),ISNUMBER(P1028)),IF(Q1027=0,1,0),0)</f>
        <v>1</v>
      </c>
      <c r="S1028" s="56" t="n">
        <f aca="false">R1028*(B1028&gt;=Train_Start)*(B1028&lt;=Train_End)</f>
        <v>1</v>
      </c>
      <c r="T1028" s="84" t="n">
        <f aca="false">IF(AND(ISNUMBER(O1028),ISNUMBER(P1028)),Coef_A+Coef_B1*O1028+Coef_B2*P1028,"")</f>
        <v>21.8392047152393</v>
      </c>
      <c r="U1028" s="84" t="n">
        <f aca="false">IF(AND(R1028=1,ISNUMBER(T1028)),E1028-T1028,"")</f>
        <v>-1.53920471523925</v>
      </c>
      <c r="V1028" s="84" t="n">
        <f aca="false">IF(ISNUMBER(T1028),T1028,-99)</f>
        <v>21.8392047152393</v>
      </c>
      <c r="W1028" s="84" t="n">
        <f aca="false">IF(ISNUMBER(U1028),ABS(U1028),"")</f>
        <v>1.53920471523925</v>
      </c>
    </row>
    <row r="1029" customFormat="false" ht="15" hidden="false" customHeight="false" outlineLevel="0" collapsed="false">
      <c r="A1029" s="57" t="n">
        <v>31277</v>
      </c>
      <c r="B1029" s="56" t="n">
        <v>1985</v>
      </c>
      <c r="C1029" s="56" t="n">
        <v>8</v>
      </c>
      <c r="D1029" s="56" t="n">
        <v>110</v>
      </c>
      <c r="E1029" s="56" t="n">
        <v>21.5</v>
      </c>
      <c r="F1029" s="56" t="n">
        <v>0</v>
      </c>
      <c r="G1029" s="56" t="n">
        <v>12.4</v>
      </c>
      <c r="H1029" s="56" t="n">
        <v>0</v>
      </c>
      <c r="I1029" s="56" t="n">
        <v>16.4</v>
      </c>
      <c r="J1029" s="56" t="n">
        <v>0</v>
      </c>
      <c r="K1029" s="56" t="n">
        <v>1016.7</v>
      </c>
      <c r="L1029" s="56" t="n">
        <v>0</v>
      </c>
      <c r="M1029" s="56" t="n">
        <v>88</v>
      </c>
      <c r="N1029" s="56" t="n">
        <v>0.3</v>
      </c>
      <c r="O1029" s="56" t="n">
        <f aca="false">IF(D1029=1,"",E1028)</f>
        <v>20.3</v>
      </c>
      <c r="P1029" s="56" t="n">
        <f aca="false">IF(OR(D1029=1,K1028=""),"",K1028)</f>
        <v>1018.4</v>
      </c>
      <c r="Q1029" s="56" t="n">
        <f aca="false">IF(OR(F1029&lt;&gt;0,AND(I1029&lt;&gt;"",E1029&lt;I1029)),1,0)</f>
        <v>0</v>
      </c>
      <c r="R1029" s="56" t="n">
        <f aca="false">IF(AND(D1029&gt;1,Q1029=0,ISNUMBER(O1029),ISNUMBER(P1029)),IF(Q1028=0,1,0),0)</f>
        <v>1</v>
      </c>
      <c r="S1029" s="56" t="n">
        <f aca="false">R1029*(B1029&gt;=Train_Start)*(B1029&lt;=Train_End)</f>
        <v>1</v>
      </c>
      <c r="T1029" s="84" t="n">
        <f aca="false">IF(AND(ISNUMBER(O1029),ISNUMBER(P1029)),Coef_A+Coef_B1*O1029+Coef_B2*P1029,"")</f>
        <v>20.6666617360164</v>
      </c>
      <c r="U1029" s="84" t="n">
        <f aca="false">IF(AND(R1029=1,ISNUMBER(T1029)),E1029-T1029,"")</f>
        <v>0.833338263983556</v>
      </c>
      <c r="V1029" s="84" t="n">
        <f aca="false">IF(ISNUMBER(T1029),T1029,-99)</f>
        <v>20.6666617360164</v>
      </c>
      <c r="W1029" s="84" t="n">
        <f aca="false">IF(ISNUMBER(U1029),ABS(U1029),"")</f>
        <v>0.833338263983556</v>
      </c>
    </row>
    <row r="1030" customFormat="false" ht="15" hidden="false" customHeight="false" outlineLevel="0" collapsed="false">
      <c r="A1030" s="57" t="n">
        <v>31278</v>
      </c>
      <c r="B1030" s="56" t="n">
        <v>1985</v>
      </c>
      <c r="C1030" s="56" t="n">
        <v>8</v>
      </c>
      <c r="D1030" s="56" t="n">
        <v>111</v>
      </c>
      <c r="E1030" s="56" t="n">
        <v>19.6</v>
      </c>
      <c r="F1030" s="56" t="n">
        <v>0</v>
      </c>
      <c r="G1030" s="56" t="n">
        <v>15.4</v>
      </c>
      <c r="H1030" s="56" t="n">
        <v>0</v>
      </c>
      <c r="I1030" s="56" t="n">
        <v>18.4</v>
      </c>
      <c r="J1030" s="56" t="n">
        <v>0</v>
      </c>
      <c r="K1030" s="56" t="n">
        <v>1009.3</v>
      </c>
      <c r="L1030" s="56" t="n">
        <v>0</v>
      </c>
      <c r="M1030" s="56" t="n">
        <v>79</v>
      </c>
      <c r="N1030" s="56" t="n">
        <v>7.6</v>
      </c>
      <c r="O1030" s="56" t="n">
        <f aca="false">IF(D1030=1,"",E1029)</f>
        <v>21.5</v>
      </c>
      <c r="P1030" s="56" t="n">
        <f aca="false">IF(OR(D1030=1,K1029=""),"",K1029)</f>
        <v>1016.7</v>
      </c>
      <c r="Q1030" s="56" t="n">
        <f aca="false">IF(OR(F1030&lt;&gt;0,AND(I1030&lt;&gt;"",E1030&lt;I1030)),1,0)</f>
        <v>0</v>
      </c>
      <c r="R1030" s="56" t="n">
        <f aca="false">IF(AND(D1030&gt;1,Q1030=0,ISNUMBER(O1030),ISNUMBER(P1030)),IF(Q1029=0,1,0),0)</f>
        <v>1</v>
      </c>
      <c r="S1030" s="56" t="n">
        <f aca="false">R1030*(B1030&gt;=Train_Start)*(B1030&lt;=Train_End)</f>
        <v>1</v>
      </c>
      <c r="T1030" s="84" t="n">
        <f aca="false">IF(AND(ISNUMBER(O1030),ISNUMBER(P1030)),Coef_A+Coef_B1*O1030+Coef_B2*P1030,"")</f>
        <v>21.5965399467899</v>
      </c>
      <c r="U1030" s="84" t="n">
        <f aca="false">IF(AND(R1030=1,ISNUMBER(T1030)),E1030-T1030,"")</f>
        <v>-1.99653994678985</v>
      </c>
      <c r="V1030" s="84" t="n">
        <f aca="false">IF(ISNUMBER(T1030),T1030,-99)</f>
        <v>21.5965399467899</v>
      </c>
      <c r="W1030" s="84" t="n">
        <f aca="false">IF(ISNUMBER(U1030),ABS(U1030),"")</f>
        <v>1.99653994678985</v>
      </c>
    </row>
    <row r="1031" customFormat="false" ht="15" hidden="false" customHeight="false" outlineLevel="0" collapsed="false">
      <c r="A1031" s="57" t="n">
        <v>31279</v>
      </c>
      <c r="B1031" s="56" t="n">
        <v>1985</v>
      </c>
      <c r="C1031" s="56" t="n">
        <v>8</v>
      </c>
      <c r="D1031" s="56" t="n">
        <v>112</v>
      </c>
      <c r="E1031" s="56" t="n">
        <v>22.9</v>
      </c>
      <c r="F1031" s="56" t="n">
        <v>0</v>
      </c>
      <c r="G1031" s="56" t="n">
        <v>13.1</v>
      </c>
      <c r="H1031" s="56" t="n">
        <v>0</v>
      </c>
      <c r="I1031" s="56" t="n">
        <v>16.4</v>
      </c>
      <c r="J1031" s="56" t="n">
        <v>0</v>
      </c>
      <c r="K1031" s="56" t="n">
        <v>1013.8</v>
      </c>
      <c r="L1031" s="56" t="n">
        <v>0</v>
      </c>
      <c r="M1031" s="56" t="n">
        <v>82</v>
      </c>
      <c r="N1031" s="56" t="n">
        <v>1.5</v>
      </c>
      <c r="O1031" s="56" t="n">
        <f aca="false">IF(D1031=1,"",E1030)</f>
        <v>19.6</v>
      </c>
      <c r="P1031" s="56" t="n">
        <f aca="false">IF(OR(D1031=1,K1030=""),"",K1030)</f>
        <v>1009.3</v>
      </c>
      <c r="Q1031" s="56" t="n">
        <f aca="false">IF(OR(F1031&lt;&gt;0,AND(I1031&lt;&gt;"",E1031&lt;I1031)),1,0)</f>
        <v>0</v>
      </c>
      <c r="R1031" s="56" t="n">
        <f aca="false">IF(AND(D1031&gt;1,Q1031=0,ISNUMBER(O1031),ISNUMBER(P1031)),IF(Q1030=0,1,0),0)</f>
        <v>1</v>
      </c>
      <c r="S1031" s="56" t="n">
        <f aca="false">R1031*(B1031&gt;=Train_Start)*(B1031&lt;=Train_End)</f>
        <v>1</v>
      </c>
      <c r="T1031" s="84" t="n">
        <f aca="false">IF(AND(ISNUMBER(O1031),ISNUMBER(P1031)),Coef_A+Coef_B1*O1031+Coef_B2*P1031,"")</f>
        <v>19.8076582597173</v>
      </c>
      <c r="U1031" s="84" t="n">
        <f aca="false">IF(AND(R1031=1,ISNUMBER(T1031)),E1031-T1031,"")</f>
        <v>3.09234174028272</v>
      </c>
      <c r="V1031" s="84" t="n">
        <f aca="false">IF(ISNUMBER(T1031),T1031,-99)</f>
        <v>19.8076582597173</v>
      </c>
      <c r="W1031" s="84" t="n">
        <f aca="false">IF(ISNUMBER(U1031),ABS(U1031),"")</f>
        <v>3.09234174028272</v>
      </c>
    </row>
    <row r="1032" customFormat="false" ht="15" hidden="false" customHeight="false" outlineLevel="0" collapsed="false">
      <c r="A1032" s="57" t="n">
        <v>31280</v>
      </c>
      <c r="B1032" s="56" t="n">
        <v>1985</v>
      </c>
      <c r="C1032" s="56" t="n">
        <v>8</v>
      </c>
      <c r="D1032" s="56" t="n">
        <v>113</v>
      </c>
      <c r="E1032" s="56" t="n">
        <v>20.5</v>
      </c>
      <c r="F1032" s="56" t="n">
        <v>0</v>
      </c>
      <c r="G1032" s="56" t="n">
        <v>12.2</v>
      </c>
      <c r="H1032" s="56" t="n">
        <v>0</v>
      </c>
      <c r="I1032" s="56" t="n">
        <v>17.6</v>
      </c>
      <c r="J1032" s="56" t="n">
        <v>0</v>
      </c>
      <c r="K1032" s="56" t="n">
        <v>1017.4</v>
      </c>
      <c r="L1032" s="56" t="n">
        <v>0</v>
      </c>
      <c r="M1032" s="56" t="n">
        <v>73</v>
      </c>
      <c r="N1032" s="56" t="n">
        <v>11.7</v>
      </c>
      <c r="O1032" s="56" t="n">
        <f aca="false">IF(D1032=1,"",E1031)</f>
        <v>22.9</v>
      </c>
      <c r="P1032" s="56" t="n">
        <f aca="false">IF(OR(D1032=1,K1031=""),"",K1031)</f>
        <v>1013.8</v>
      </c>
      <c r="Q1032" s="56" t="n">
        <f aca="false">IF(OR(F1032&lt;&gt;0,AND(I1032&lt;&gt;"",E1032&lt;I1032)),1,0)</f>
        <v>0</v>
      </c>
      <c r="R1032" s="56" t="n">
        <f aca="false">IF(AND(D1032&gt;1,Q1032=0,ISNUMBER(O1032),ISNUMBER(P1032)),IF(Q1031=0,1,0),0)</f>
        <v>1</v>
      </c>
      <c r="S1032" s="56" t="n">
        <f aca="false">R1032*(B1032&gt;=Train_Start)*(B1032&lt;=Train_End)</f>
        <v>1</v>
      </c>
      <c r="T1032" s="84" t="n">
        <f aca="false">IF(AND(ISNUMBER(O1032),ISNUMBER(P1032)),Coef_A+Coef_B1*O1032+Coef_B2*P1032,"")</f>
        <v>22.652642122611</v>
      </c>
      <c r="U1032" s="84" t="n">
        <f aca="false">IF(AND(R1032=1,ISNUMBER(T1032)),E1032-T1032,"")</f>
        <v>-2.152642122611</v>
      </c>
      <c r="V1032" s="84" t="n">
        <f aca="false">IF(ISNUMBER(T1032),T1032,-99)</f>
        <v>22.652642122611</v>
      </c>
      <c r="W1032" s="84" t="n">
        <f aca="false">IF(ISNUMBER(U1032),ABS(U1032),"")</f>
        <v>2.152642122611</v>
      </c>
    </row>
    <row r="1033" customFormat="false" ht="15" hidden="false" customHeight="false" outlineLevel="0" collapsed="false">
      <c r="A1033" s="57" t="n">
        <v>31281</v>
      </c>
      <c r="B1033" s="56" t="n">
        <v>1985</v>
      </c>
      <c r="C1033" s="56" t="n">
        <v>8</v>
      </c>
      <c r="D1033" s="56" t="n">
        <v>114</v>
      </c>
      <c r="E1033" s="56" t="n">
        <v>19.3</v>
      </c>
      <c r="F1033" s="56" t="n">
        <v>0</v>
      </c>
      <c r="G1033" s="56" t="n">
        <v>11.7</v>
      </c>
      <c r="H1033" s="56" t="n">
        <v>0</v>
      </c>
      <c r="I1033" s="56" t="n">
        <v>16.1</v>
      </c>
      <c r="J1033" s="56" t="n">
        <v>0</v>
      </c>
      <c r="K1033" s="56" t="n">
        <v>1018.6</v>
      </c>
      <c r="L1033" s="56" t="n">
        <v>0</v>
      </c>
      <c r="M1033" s="56" t="n">
        <v>75</v>
      </c>
      <c r="N1033" s="56" t="n">
        <v>9.8</v>
      </c>
      <c r="O1033" s="56" t="n">
        <f aca="false">IF(D1033=1,"",E1032)</f>
        <v>20.5</v>
      </c>
      <c r="P1033" s="56" t="n">
        <f aca="false">IF(OR(D1033=1,K1032=""),"",K1032)</f>
        <v>1017.4</v>
      </c>
      <c r="Q1033" s="56" t="n">
        <f aca="false">IF(OR(F1033&lt;&gt;0,AND(I1033&lt;&gt;"",E1033&lt;I1033)),1,0)</f>
        <v>0</v>
      </c>
      <c r="R1033" s="56" t="n">
        <f aca="false">IF(AND(D1033&gt;1,Q1033=0,ISNUMBER(O1033),ISNUMBER(P1033)),IF(Q1032=0,1,0),0)</f>
        <v>1</v>
      </c>
      <c r="S1033" s="56" t="n">
        <f aca="false">R1033*(B1033&gt;=Train_Start)*(B1033&lt;=Train_End)</f>
        <v>1</v>
      </c>
      <c r="T1033" s="84" t="n">
        <f aca="false">IF(AND(ISNUMBER(O1033),ISNUMBER(P1033)),Coef_A+Coef_B1*O1033+Coef_B2*P1033,"")</f>
        <v>20.799159679991</v>
      </c>
      <c r="U1033" s="84" t="n">
        <f aca="false">IF(AND(R1033=1,ISNUMBER(T1033)),E1033-T1033,"")</f>
        <v>-1.49915967999099</v>
      </c>
      <c r="V1033" s="84" t="n">
        <f aca="false">IF(ISNUMBER(T1033),T1033,-99)</f>
        <v>20.799159679991</v>
      </c>
      <c r="W1033" s="84" t="n">
        <f aca="false">IF(ISNUMBER(U1033),ABS(U1033),"")</f>
        <v>1.49915967999099</v>
      </c>
    </row>
    <row r="1034" customFormat="false" ht="15" hidden="false" customHeight="false" outlineLevel="0" collapsed="false">
      <c r="A1034" s="57" t="n">
        <v>31282</v>
      </c>
      <c r="B1034" s="56" t="n">
        <v>1985</v>
      </c>
      <c r="C1034" s="56" t="n">
        <v>8</v>
      </c>
      <c r="D1034" s="56" t="n">
        <v>115</v>
      </c>
      <c r="E1034" s="56" t="n">
        <v>18.7</v>
      </c>
      <c r="F1034" s="56" t="n">
        <v>0</v>
      </c>
      <c r="G1034" s="56" t="n">
        <v>12</v>
      </c>
      <c r="H1034" s="56" t="n">
        <v>0</v>
      </c>
      <c r="I1034" s="56" t="n">
        <v>15.6</v>
      </c>
      <c r="J1034" s="56" t="n">
        <v>0</v>
      </c>
      <c r="K1034" s="56" t="n">
        <v>1015.5</v>
      </c>
      <c r="L1034" s="56" t="n">
        <v>0</v>
      </c>
      <c r="M1034" s="56" t="n">
        <v>71</v>
      </c>
      <c r="N1034" s="56" t="n">
        <v>0.5</v>
      </c>
      <c r="O1034" s="56" t="n">
        <f aca="false">IF(D1034=1,"",E1033)</f>
        <v>19.3</v>
      </c>
      <c r="P1034" s="56" t="n">
        <f aca="false">IF(OR(D1034=1,K1033=""),"",K1033)</f>
        <v>1018.6</v>
      </c>
      <c r="Q1034" s="56" t="n">
        <f aca="false">IF(OR(F1034&lt;&gt;0,AND(I1034&lt;&gt;"",E1034&lt;I1034)),1,0)</f>
        <v>0</v>
      </c>
      <c r="R1034" s="56" t="n">
        <f aca="false">IF(AND(D1034&gt;1,Q1034=0,ISNUMBER(O1034),ISNUMBER(P1034)),IF(Q1033=0,1,0),0)</f>
        <v>1</v>
      </c>
      <c r="S1034" s="56" t="n">
        <f aca="false">R1034*(B1034&gt;=Train_Start)*(B1034&lt;=Train_End)</f>
        <v>1</v>
      </c>
      <c r="T1034" s="84" t="n">
        <f aca="false">IF(AND(ISNUMBER(O1034),ISNUMBER(P1034)),Coef_A+Coef_B1*O1034+Coef_B2*P1034,"")</f>
        <v>19.8535965219006</v>
      </c>
      <c r="U1034" s="84" t="n">
        <f aca="false">IF(AND(R1034=1,ISNUMBER(T1034)),E1034-T1034,"")</f>
        <v>-1.15359652190059</v>
      </c>
      <c r="V1034" s="84" t="n">
        <f aca="false">IF(ISNUMBER(T1034),T1034,-99)</f>
        <v>19.8535965219006</v>
      </c>
      <c r="W1034" s="84" t="n">
        <f aca="false">IF(ISNUMBER(U1034),ABS(U1034),"")</f>
        <v>1.15359652190059</v>
      </c>
    </row>
    <row r="1035" customFormat="false" ht="15" hidden="false" customHeight="false" outlineLevel="0" collapsed="false">
      <c r="A1035" s="57" t="n">
        <v>31283</v>
      </c>
      <c r="B1035" s="56" t="n">
        <v>1985</v>
      </c>
      <c r="C1035" s="56" t="n">
        <v>8</v>
      </c>
      <c r="D1035" s="56" t="n">
        <v>116</v>
      </c>
      <c r="E1035" s="56" t="n">
        <v>19.4</v>
      </c>
      <c r="F1035" s="56" t="n">
        <v>0</v>
      </c>
      <c r="G1035" s="56" t="n">
        <v>13.3</v>
      </c>
      <c r="H1035" s="56" t="n">
        <v>0</v>
      </c>
      <c r="I1035" s="56" t="n">
        <v>16</v>
      </c>
      <c r="J1035" s="56" t="n">
        <v>0</v>
      </c>
      <c r="K1035" s="56" t="n">
        <v>1001.4</v>
      </c>
      <c r="L1035" s="56" t="n">
        <v>0</v>
      </c>
      <c r="M1035" s="56" t="n">
        <v>75</v>
      </c>
      <c r="N1035" s="56" t="n">
        <v>7</v>
      </c>
      <c r="O1035" s="56" t="n">
        <f aca="false">IF(D1035=1,"",E1034)</f>
        <v>18.7</v>
      </c>
      <c r="P1035" s="56" t="n">
        <f aca="false">IF(OR(D1035=1,K1034=""),"",K1034)</f>
        <v>1015.5</v>
      </c>
      <c r="Q1035" s="56" t="n">
        <f aca="false">IF(OR(F1035&lt;&gt;0,AND(I1035&lt;&gt;"",E1035&lt;I1035)),1,0)</f>
        <v>0</v>
      </c>
      <c r="R1035" s="56" t="n">
        <f aca="false">IF(AND(D1035&gt;1,Q1035=0,ISNUMBER(O1035),ISNUMBER(P1035)),IF(Q1034=0,1,0),0)</f>
        <v>1</v>
      </c>
      <c r="S1035" s="56" t="n">
        <f aca="false">R1035*(B1035&gt;=Train_Start)*(B1035&lt;=Train_End)</f>
        <v>1</v>
      </c>
      <c r="T1035" s="84" t="n">
        <f aca="false">IF(AND(ISNUMBER(O1035),ISNUMBER(P1035)),Coef_A+Coef_B1*O1035+Coef_B2*P1035,"")</f>
        <v>19.2647463327096</v>
      </c>
      <c r="U1035" s="84" t="n">
        <f aca="false">IF(AND(R1035=1,ISNUMBER(T1035)),E1035-T1035,"")</f>
        <v>0.135253667290378</v>
      </c>
      <c r="V1035" s="84" t="n">
        <f aca="false">IF(ISNUMBER(T1035),T1035,-99)</f>
        <v>19.2647463327096</v>
      </c>
      <c r="W1035" s="84" t="n">
        <f aca="false">IF(ISNUMBER(U1035),ABS(U1035),"")</f>
        <v>0.135253667290378</v>
      </c>
    </row>
    <row r="1036" customFormat="false" ht="15" hidden="false" customHeight="false" outlineLevel="0" collapsed="false">
      <c r="A1036" s="57" t="n">
        <v>31284</v>
      </c>
      <c r="B1036" s="56" t="n">
        <v>1985</v>
      </c>
      <c r="C1036" s="56" t="n">
        <v>8</v>
      </c>
      <c r="D1036" s="56" t="n">
        <v>117</v>
      </c>
      <c r="E1036" s="56" t="n">
        <v>18.5</v>
      </c>
      <c r="F1036" s="56" t="n">
        <v>0</v>
      </c>
      <c r="G1036" s="56" t="n">
        <v>9.4</v>
      </c>
      <c r="H1036" s="56" t="n">
        <v>0</v>
      </c>
      <c r="I1036" s="56" t="n">
        <v>14.4</v>
      </c>
      <c r="J1036" s="56" t="n">
        <v>0</v>
      </c>
      <c r="K1036" s="56" t="n">
        <v>1007</v>
      </c>
      <c r="L1036" s="56" t="n">
        <v>0</v>
      </c>
      <c r="M1036" s="56" t="n">
        <v>73</v>
      </c>
      <c r="N1036" s="56" t="n">
        <v>9.4</v>
      </c>
      <c r="O1036" s="56" t="n">
        <f aca="false">IF(D1036=1,"",E1035)</f>
        <v>19.4</v>
      </c>
      <c r="P1036" s="56" t="n">
        <f aca="false">IF(OR(D1036=1,K1035=""),"",K1035)</f>
        <v>1001.4</v>
      </c>
      <c r="Q1036" s="56" t="n">
        <f aca="false">IF(OR(F1036&lt;&gt;0,AND(I1036&lt;&gt;"",E1036&lt;I1036)),1,0)</f>
        <v>0</v>
      </c>
      <c r="R1036" s="56" t="n">
        <f aca="false">IF(AND(D1036&gt;1,Q1036=0,ISNUMBER(O1036),ISNUMBER(P1036)),IF(Q1035=0,1,0),0)</f>
        <v>1</v>
      </c>
      <c r="S1036" s="56" t="n">
        <f aca="false">R1036*(B1036&gt;=Train_Start)*(B1036&lt;=Train_End)</f>
        <v>1</v>
      </c>
      <c r="T1036" s="84" t="n">
        <f aca="false">IF(AND(ISNUMBER(O1036),ISNUMBER(P1036)),Coef_A+Coef_B1*O1036+Coef_B2*P1036,"")</f>
        <v>19.3959682535002</v>
      </c>
      <c r="U1036" s="84" t="n">
        <f aca="false">IF(AND(R1036=1,ISNUMBER(T1036)),E1036-T1036,"")</f>
        <v>-0.895968253500229</v>
      </c>
      <c r="V1036" s="84" t="n">
        <f aca="false">IF(ISNUMBER(T1036),T1036,-99)</f>
        <v>19.3959682535002</v>
      </c>
      <c r="W1036" s="84" t="n">
        <f aca="false">IF(ISNUMBER(U1036),ABS(U1036),"")</f>
        <v>0.895968253500229</v>
      </c>
    </row>
    <row r="1037" customFormat="false" ht="15" hidden="false" customHeight="false" outlineLevel="0" collapsed="false">
      <c r="A1037" s="57" t="n">
        <v>31285</v>
      </c>
      <c r="B1037" s="56" t="n">
        <v>1985</v>
      </c>
      <c r="C1037" s="56" t="n">
        <v>8</v>
      </c>
      <c r="D1037" s="56" t="n">
        <v>118</v>
      </c>
      <c r="E1037" s="56" t="n">
        <v>21.2</v>
      </c>
      <c r="F1037" s="56" t="n">
        <v>0</v>
      </c>
      <c r="G1037" s="56" t="n">
        <v>10.1</v>
      </c>
      <c r="H1037" s="56" t="n">
        <v>0</v>
      </c>
      <c r="I1037" s="56" t="n">
        <v>14.3</v>
      </c>
      <c r="J1037" s="56" t="n">
        <v>0</v>
      </c>
      <c r="K1037" s="56" t="n">
        <v>1018.6</v>
      </c>
      <c r="L1037" s="56" t="n">
        <v>0</v>
      </c>
      <c r="M1037" s="56" t="n">
        <v>69</v>
      </c>
      <c r="N1037" s="56" t="n">
        <v>6.9</v>
      </c>
      <c r="O1037" s="56" t="n">
        <f aca="false">IF(D1037=1,"",E1036)</f>
        <v>18.5</v>
      </c>
      <c r="P1037" s="56" t="n">
        <f aca="false">IF(OR(D1037=1,K1036=""),"",K1036)</f>
        <v>1007</v>
      </c>
      <c r="Q1037" s="56" t="n">
        <f aca="false">IF(OR(F1037&lt;&gt;0,AND(I1037&lt;&gt;"",E1037&lt;I1037)),1,0)</f>
        <v>0</v>
      </c>
      <c r="R1037" s="56" t="n">
        <f aca="false">IF(AND(D1037&gt;1,Q1037=0,ISNUMBER(O1037),ISNUMBER(P1037)),IF(Q1036=0,1,0),0)</f>
        <v>1</v>
      </c>
      <c r="S1037" s="56" t="n">
        <f aca="false">R1037*(B1037&gt;=Train_Start)*(B1037&lt;=Train_End)</f>
        <v>1</v>
      </c>
      <c r="T1037" s="84" t="n">
        <f aca="false">IF(AND(ISNUMBER(O1037),ISNUMBER(P1037)),Coef_A+Coef_B1*O1037+Coef_B2*P1037,"")</f>
        <v>18.8342343897122</v>
      </c>
      <c r="U1037" s="84" t="n">
        <f aca="false">IF(AND(R1037=1,ISNUMBER(T1037)),E1037-T1037,"")</f>
        <v>2.36576561028782</v>
      </c>
      <c r="V1037" s="84" t="n">
        <f aca="false">IF(ISNUMBER(T1037),T1037,-99)</f>
        <v>18.8342343897122</v>
      </c>
      <c r="W1037" s="84" t="n">
        <f aca="false">IF(ISNUMBER(U1037),ABS(U1037),"")</f>
        <v>2.36576561028782</v>
      </c>
    </row>
    <row r="1038" customFormat="false" ht="15" hidden="false" customHeight="false" outlineLevel="0" collapsed="false">
      <c r="A1038" s="57" t="n">
        <v>31286</v>
      </c>
      <c r="B1038" s="56" t="n">
        <v>1985</v>
      </c>
      <c r="C1038" s="56" t="n">
        <v>8</v>
      </c>
      <c r="D1038" s="56" t="n">
        <v>119</v>
      </c>
      <c r="E1038" s="56" t="n">
        <v>23.1</v>
      </c>
      <c r="F1038" s="56" t="n">
        <v>0</v>
      </c>
      <c r="G1038" s="56" t="n">
        <v>8.5</v>
      </c>
      <c r="H1038" s="56" t="n">
        <v>0</v>
      </c>
      <c r="I1038" s="56" t="n">
        <v>14.8</v>
      </c>
      <c r="J1038" s="56" t="n">
        <v>0</v>
      </c>
      <c r="K1038" s="56" t="n">
        <v>1024.1</v>
      </c>
      <c r="L1038" s="56" t="n">
        <v>0</v>
      </c>
      <c r="M1038" s="56" t="n">
        <v>74</v>
      </c>
      <c r="N1038" s="56" t="n">
        <v>4.5</v>
      </c>
      <c r="O1038" s="56" t="n">
        <f aca="false">IF(D1038=1,"",E1037)</f>
        <v>21.2</v>
      </c>
      <c r="P1038" s="56" t="n">
        <f aca="false">IF(OR(D1038=1,K1037=""),"",K1037)</f>
        <v>1018.6</v>
      </c>
      <c r="Q1038" s="56" t="n">
        <f aca="false">IF(OR(F1038&lt;&gt;0,AND(I1038&lt;&gt;"",E1038&lt;I1038)),1,0)</f>
        <v>0</v>
      </c>
      <c r="R1038" s="56" t="n">
        <f aca="false">IF(AND(D1038&gt;1,Q1038=0,ISNUMBER(O1038),ISNUMBER(P1038)),IF(Q1037=0,1,0),0)</f>
        <v>1</v>
      </c>
      <c r="S1038" s="56" t="n">
        <f aca="false">R1038*(B1038&gt;=Train_Start)*(B1038&lt;=Train_End)</f>
        <v>1</v>
      </c>
      <c r="T1038" s="84" t="n">
        <f aca="false">IF(AND(ISNUMBER(O1038),ISNUMBER(P1038)),Coef_A+Coef_B1*O1038+Coef_B2*P1038,"")</f>
        <v>21.4103409886816</v>
      </c>
      <c r="U1038" s="84" t="n">
        <f aca="false">IF(AND(R1038=1,ISNUMBER(T1038)),E1038-T1038,"")</f>
        <v>1.68965901131837</v>
      </c>
      <c r="V1038" s="84" t="n">
        <f aca="false">IF(ISNUMBER(T1038),T1038,-99)</f>
        <v>21.4103409886816</v>
      </c>
      <c r="W1038" s="84" t="n">
        <f aca="false">IF(ISNUMBER(U1038),ABS(U1038),"")</f>
        <v>1.68965901131837</v>
      </c>
    </row>
    <row r="1039" customFormat="false" ht="15" hidden="false" customHeight="false" outlineLevel="0" collapsed="false">
      <c r="A1039" s="57" t="n">
        <v>31287</v>
      </c>
      <c r="B1039" s="56" t="n">
        <v>1985</v>
      </c>
      <c r="C1039" s="56" t="n">
        <v>8</v>
      </c>
      <c r="D1039" s="56" t="n">
        <v>120</v>
      </c>
      <c r="E1039" s="56" t="n">
        <v>26</v>
      </c>
      <c r="F1039" s="56" t="n">
        <v>0</v>
      </c>
      <c r="G1039" s="56" t="n">
        <v>12.4</v>
      </c>
      <c r="H1039" s="56" t="n">
        <v>0</v>
      </c>
      <c r="I1039" s="56" t="n">
        <v>17.8</v>
      </c>
      <c r="J1039" s="56" t="n">
        <v>0</v>
      </c>
      <c r="K1039" s="56" t="n">
        <v>1023.9</v>
      </c>
      <c r="L1039" s="56" t="n">
        <v>0</v>
      </c>
      <c r="M1039" s="56" t="n">
        <v>76</v>
      </c>
      <c r="N1039" s="56" t="n">
        <v>7.1</v>
      </c>
      <c r="O1039" s="56" t="n">
        <f aca="false">IF(D1039=1,"",E1038)</f>
        <v>23.1</v>
      </c>
      <c r="P1039" s="56" t="n">
        <f aca="false">IF(OR(D1039=1,K1038=""),"",K1038)</f>
        <v>1024.1</v>
      </c>
      <c r="Q1039" s="56" t="n">
        <f aca="false">IF(OR(F1039&lt;&gt;0,AND(I1039&lt;&gt;"",E1039&lt;I1039)),1,0)</f>
        <v>0</v>
      </c>
      <c r="R1039" s="56" t="n">
        <f aca="false">IF(AND(D1039&gt;1,Q1039=0,ISNUMBER(O1039),ISNUMBER(P1039)),IF(Q1038=0,1,0),0)</f>
        <v>1</v>
      </c>
      <c r="S1039" s="56" t="n">
        <f aca="false">R1039*(B1039&gt;=Train_Start)*(B1039&lt;=Train_End)</f>
        <v>1</v>
      </c>
      <c r="T1039" s="84" t="n">
        <f aca="false">IF(AND(ISNUMBER(O1039),ISNUMBER(P1039)),Coef_A+Coef_B1*O1039+Coef_B2*P1039,"")</f>
        <v>23.1396198759496</v>
      </c>
      <c r="U1039" s="84" t="n">
        <f aca="false">IF(AND(R1039=1,ISNUMBER(T1039)),E1039-T1039,"")</f>
        <v>2.86038012405038</v>
      </c>
      <c r="V1039" s="84" t="n">
        <f aca="false">IF(ISNUMBER(T1039),T1039,-99)</f>
        <v>23.1396198759496</v>
      </c>
      <c r="W1039" s="84" t="n">
        <f aca="false">IF(ISNUMBER(U1039),ABS(U1039),"")</f>
        <v>2.86038012405038</v>
      </c>
    </row>
    <row r="1040" customFormat="false" ht="15" hidden="false" customHeight="false" outlineLevel="0" collapsed="false">
      <c r="A1040" s="57" t="n">
        <v>31288</v>
      </c>
      <c r="B1040" s="56" t="n">
        <v>1985</v>
      </c>
      <c r="C1040" s="56" t="n">
        <v>8</v>
      </c>
      <c r="D1040" s="56" t="n">
        <v>121</v>
      </c>
      <c r="E1040" s="56" t="n">
        <v>25.9</v>
      </c>
      <c r="F1040" s="56" t="n">
        <v>0</v>
      </c>
      <c r="G1040" s="56" t="n">
        <v>14.1</v>
      </c>
      <c r="H1040" s="56" t="n">
        <v>0</v>
      </c>
      <c r="I1040" s="56" t="n">
        <v>20</v>
      </c>
      <c r="J1040" s="56" t="n">
        <v>0</v>
      </c>
      <c r="K1040" s="56" t="n">
        <v>1023.1</v>
      </c>
      <c r="L1040" s="56" t="n">
        <v>0</v>
      </c>
      <c r="M1040" s="56" t="n">
        <v>72</v>
      </c>
      <c r="N1040" s="56" t="n">
        <v>8</v>
      </c>
      <c r="O1040" s="56" t="n">
        <f aca="false">IF(D1040=1,"",E1039)</f>
        <v>26</v>
      </c>
      <c r="P1040" s="56" t="n">
        <f aca="false">IF(OR(D1040=1,K1039=""),"",K1039)</f>
        <v>1023.9</v>
      </c>
      <c r="Q1040" s="56" t="n">
        <f aca="false">IF(OR(F1040&lt;&gt;0,AND(I1040&lt;&gt;"",E1040&lt;I1040)),1,0)</f>
        <v>0</v>
      </c>
      <c r="R1040" s="56" t="n">
        <f aca="false">IF(AND(D1040&gt;1,Q1040=0,ISNUMBER(O1040),ISNUMBER(P1040)),IF(Q1039=0,1,0),0)</f>
        <v>1</v>
      </c>
      <c r="S1040" s="56" t="n">
        <f aca="false">R1040*(B1040&gt;=Train_Start)*(B1040&lt;=Train_End)</f>
        <v>1</v>
      </c>
      <c r="T1040" s="84" t="n">
        <f aca="false">IF(AND(ISNUMBER(O1040),ISNUMBER(P1040)),Coef_A+Coef_B1*O1040+Coef_B2*P1040,"")</f>
        <v>25.5094295568465</v>
      </c>
      <c r="U1040" s="84" t="n">
        <f aca="false">IF(AND(R1040=1,ISNUMBER(T1040)),E1040-T1040,"")</f>
        <v>0.390570443153464</v>
      </c>
      <c r="V1040" s="84" t="n">
        <f aca="false">IF(ISNUMBER(T1040),T1040,-99)</f>
        <v>25.5094295568465</v>
      </c>
      <c r="W1040" s="84" t="n">
        <f aca="false">IF(ISNUMBER(U1040),ABS(U1040),"")</f>
        <v>0.390570443153464</v>
      </c>
    </row>
    <row r="1041" customFormat="false" ht="15" hidden="false" customHeight="false" outlineLevel="0" collapsed="false">
      <c r="A1041" s="57" t="n">
        <v>31289</v>
      </c>
      <c r="B1041" s="56" t="n">
        <v>1985</v>
      </c>
      <c r="C1041" s="56" t="n">
        <v>8</v>
      </c>
      <c r="D1041" s="56" t="n">
        <v>122</v>
      </c>
      <c r="E1041" s="56" t="n">
        <v>20.6</v>
      </c>
      <c r="F1041" s="56" t="n">
        <v>0</v>
      </c>
      <c r="G1041" s="56" t="n">
        <v>14.1</v>
      </c>
      <c r="H1041" s="56" t="n">
        <v>0</v>
      </c>
      <c r="I1041" s="56" t="n">
        <v>20</v>
      </c>
      <c r="J1041" s="56" t="n">
        <v>0</v>
      </c>
      <c r="K1041" s="56" t="n">
        <v>1018.1</v>
      </c>
      <c r="L1041" s="56" t="n">
        <v>0</v>
      </c>
      <c r="M1041" s="56" t="n">
        <v>69</v>
      </c>
      <c r="N1041" s="56" t="n">
        <v>11.3</v>
      </c>
      <c r="O1041" s="56" t="n">
        <f aca="false">IF(D1041=1,"",E1040)</f>
        <v>25.9</v>
      </c>
      <c r="P1041" s="56" t="n">
        <f aca="false">IF(OR(D1041=1,K1040=""),"",K1040)</f>
        <v>1023.1</v>
      </c>
      <c r="Q1041" s="56" t="n">
        <f aca="false">IF(OR(F1041&lt;&gt;0,AND(I1041&lt;&gt;"",E1041&lt;I1041)),1,0)</f>
        <v>0</v>
      </c>
      <c r="R1041" s="56" t="n">
        <f aca="false">IF(AND(D1041&gt;1,Q1041=0,ISNUMBER(O1041),ISNUMBER(P1041)),IF(Q1040=0,1,0),0)</f>
        <v>1</v>
      </c>
      <c r="S1041" s="56" t="n">
        <f aca="false">R1041*(B1041&gt;=Train_Start)*(B1041&lt;=Train_End)</f>
        <v>1</v>
      </c>
      <c r="T1041" s="84" t="n">
        <f aca="false">IF(AND(ISNUMBER(O1041),ISNUMBER(P1041)),Coef_A+Coef_B1*O1041+Coef_B2*P1041,"")</f>
        <v>25.4023997218351</v>
      </c>
      <c r="U1041" s="84" t="n">
        <f aca="false">IF(AND(R1041=1,ISNUMBER(T1041)),E1041-T1041,"")</f>
        <v>-4.80239972183507</v>
      </c>
      <c r="V1041" s="84" t="n">
        <f aca="false">IF(ISNUMBER(T1041),T1041,-99)</f>
        <v>25.4023997218351</v>
      </c>
      <c r="W1041" s="84" t="n">
        <f aca="false">IF(ISNUMBER(U1041),ABS(U1041),"")</f>
        <v>4.80239972183507</v>
      </c>
    </row>
    <row r="1042" customFormat="false" ht="15" hidden="false" customHeight="false" outlineLevel="0" collapsed="false">
      <c r="A1042" s="57" t="n">
        <v>31290</v>
      </c>
      <c r="B1042" s="56" t="n">
        <v>1985</v>
      </c>
      <c r="C1042" s="56" t="n">
        <v>8</v>
      </c>
      <c r="D1042" s="56" t="n">
        <v>123</v>
      </c>
      <c r="E1042" s="56" t="n">
        <v>17.6</v>
      </c>
      <c r="F1042" s="56" t="n">
        <v>0</v>
      </c>
      <c r="G1042" s="56" t="n">
        <v>13.5</v>
      </c>
      <c r="H1042" s="56" t="n">
        <v>0</v>
      </c>
      <c r="I1042" s="56" t="n">
        <v>17</v>
      </c>
      <c r="J1042" s="56" t="n">
        <v>0</v>
      </c>
      <c r="K1042" s="56" t="n">
        <v>1014.1</v>
      </c>
      <c r="L1042" s="56" t="n">
        <v>0</v>
      </c>
      <c r="M1042" s="56" t="n">
        <v>74</v>
      </c>
      <c r="N1042" s="56" t="n">
        <v>5</v>
      </c>
      <c r="O1042" s="56" t="n">
        <f aca="false">IF(D1042=1,"",E1041)</f>
        <v>20.6</v>
      </c>
      <c r="P1042" s="56" t="n">
        <f aca="false">IF(OR(D1042=1,K1041=""),"",K1041)</f>
        <v>1018.1</v>
      </c>
      <c r="Q1042" s="56" t="n">
        <f aca="false">IF(OR(F1042&lt;&gt;0,AND(I1042&lt;&gt;"",E1042&lt;I1042)),1,0)</f>
        <v>0</v>
      </c>
      <c r="R1042" s="56" t="n">
        <f aca="false">IF(AND(D1042&gt;1,Q1042=0,ISNUMBER(O1042),ISNUMBER(P1042)),IF(Q1041=0,1,0),0)</f>
        <v>1</v>
      </c>
      <c r="S1042" s="56" t="n">
        <f aca="false">R1042*(B1042&gt;=Train_Start)*(B1042&lt;=Train_End)</f>
        <v>1</v>
      </c>
      <c r="T1042" s="84" t="n">
        <f aca="false">IF(AND(ISNUMBER(O1042),ISNUMBER(P1042)),Coef_A+Coef_B1*O1042+Coef_B2*P1042,"")</f>
        <v>20.9030525255391</v>
      </c>
      <c r="U1042" s="84" t="n">
        <f aca="false">IF(AND(R1042=1,ISNUMBER(T1042)),E1042-T1042,"")</f>
        <v>-3.30305252553905</v>
      </c>
      <c r="V1042" s="84" t="n">
        <f aca="false">IF(ISNUMBER(T1042),T1042,-99)</f>
        <v>20.9030525255391</v>
      </c>
      <c r="W1042" s="84" t="n">
        <f aca="false">IF(ISNUMBER(U1042),ABS(U1042),"")</f>
        <v>3.30305252553905</v>
      </c>
    </row>
    <row r="1043" customFormat="false" ht="15" hidden="false" customHeight="false" outlineLevel="0" collapsed="false">
      <c r="A1043" s="57" t="n">
        <v>31291</v>
      </c>
      <c r="B1043" s="56" t="n">
        <v>1985</v>
      </c>
      <c r="C1043" s="56" t="n">
        <v>9</v>
      </c>
      <c r="D1043" s="56" t="n">
        <v>124</v>
      </c>
      <c r="E1043" s="56" t="n">
        <v>16.4</v>
      </c>
      <c r="F1043" s="56" t="n">
        <v>0</v>
      </c>
      <c r="G1043" s="56" t="n">
        <v>10.6</v>
      </c>
      <c r="H1043" s="56" t="n">
        <v>0</v>
      </c>
      <c r="I1043" s="56" t="n">
        <v>14.1</v>
      </c>
      <c r="J1043" s="56" t="n">
        <v>0</v>
      </c>
      <c r="K1043" s="56" t="n">
        <v>1013.7</v>
      </c>
      <c r="L1043" s="56" t="n">
        <v>0</v>
      </c>
      <c r="M1043" s="56" t="n">
        <v>72</v>
      </c>
      <c r="N1043" s="56" t="n">
        <v>3.7</v>
      </c>
      <c r="O1043" s="56" t="n">
        <f aca="false">IF(D1043=1,"",E1042)</f>
        <v>17.6</v>
      </c>
      <c r="P1043" s="56" t="n">
        <f aca="false">IF(OR(D1043=1,K1042=""),"",K1042)</f>
        <v>1014.1</v>
      </c>
      <c r="Q1043" s="56" t="n">
        <f aca="false">IF(OR(F1043&lt;&gt;0,AND(I1043&lt;&gt;"",E1043&lt;I1043)),1,0)</f>
        <v>0</v>
      </c>
      <c r="R1043" s="56" t="n">
        <f aca="false">IF(AND(D1043&gt;1,Q1043=0,ISNUMBER(O1043),ISNUMBER(P1043)),IF(Q1042=0,1,0),0)</f>
        <v>1</v>
      </c>
      <c r="S1043" s="56" t="n">
        <f aca="false">R1043*(B1043&gt;=Train_Start)*(B1043&lt;=Train_End)</f>
        <v>1</v>
      </c>
      <c r="T1043" s="84" t="n">
        <f aca="false">IF(AND(ISNUMBER(O1043),ISNUMBER(P1043)),Coef_A+Coef_B1*O1043+Coef_B2*P1043,"")</f>
        <v>18.3195553678751</v>
      </c>
      <c r="U1043" s="84" t="n">
        <f aca="false">IF(AND(R1043=1,ISNUMBER(T1043)),E1043-T1043,"")</f>
        <v>-1.91955536787512</v>
      </c>
      <c r="V1043" s="84" t="n">
        <f aca="false">IF(ISNUMBER(T1043),T1043,-99)</f>
        <v>18.3195553678751</v>
      </c>
      <c r="W1043" s="84" t="n">
        <f aca="false">IF(ISNUMBER(U1043),ABS(U1043),"")</f>
        <v>1.91955536787512</v>
      </c>
    </row>
    <row r="1044" customFormat="false" ht="15" hidden="false" customHeight="false" outlineLevel="0" collapsed="false">
      <c r="A1044" s="57" t="n">
        <v>31292</v>
      </c>
      <c r="B1044" s="56" t="n">
        <v>1985</v>
      </c>
      <c r="C1044" s="56" t="n">
        <v>9</v>
      </c>
      <c r="D1044" s="56" t="n">
        <v>125</v>
      </c>
      <c r="E1044" s="56" t="n">
        <v>19.6</v>
      </c>
      <c r="F1044" s="56" t="n">
        <v>0</v>
      </c>
      <c r="G1044" s="56" t="n">
        <v>11.7</v>
      </c>
      <c r="H1044" s="56" t="n">
        <v>0</v>
      </c>
      <c r="I1044" s="56" t="n">
        <v>14</v>
      </c>
      <c r="J1044" s="56" t="n">
        <v>0</v>
      </c>
      <c r="K1044" s="56" t="n">
        <v>1011.6</v>
      </c>
      <c r="L1044" s="56" t="n">
        <v>0</v>
      </c>
      <c r="M1044" s="56" t="n">
        <v>81</v>
      </c>
      <c r="N1044" s="56" t="n">
        <v>0.7</v>
      </c>
      <c r="O1044" s="56" t="n">
        <f aca="false">IF(D1044=1,"",E1043)</f>
        <v>16.4</v>
      </c>
      <c r="P1044" s="56" t="n">
        <f aca="false">IF(OR(D1044=1,K1043=""),"",K1043)</f>
        <v>1013.7</v>
      </c>
      <c r="Q1044" s="56" t="n">
        <f aca="false">IF(OR(F1044&lt;&gt;0,AND(I1044&lt;&gt;"",E1044&lt;I1044)),1,0)</f>
        <v>0</v>
      </c>
      <c r="R1044" s="56" t="n">
        <f aca="false">IF(AND(D1044&gt;1,Q1044=0,ISNUMBER(O1044),ISNUMBER(P1044)),IF(Q1043=0,1,0),0)</f>
        <v>1</v>
      </c>
      <c r="S1044" s="56" t="n">
        <f aca="false">R1044*(B1044&gt;=Train_Start)*(B1044&lt;=Train_End)</f>
        <v>1</v>
      </c>
      <c r="T1044" s="84" t="n">
        <f aca="false">IF(AND(ISNUMBER(O1044),ISNUMBER(P1044)),Coef_A+Coef_B1*O1044+Coef_B2*P1044,"")</f>
        <v>17.3238003783703</v>
      </c>
      <c r="U1044" s="84" t="n">
        <f aca="false">IF(AND(R1044=1,ISNUMBER(T1044)),E1044-T1044,"")</f>
        <v>2.27619962162967</v>
      </c>
      <c r="V1044" s="84" t="n">
        <f aca="false">IF(ISNUMBER(T1044),T1044,-99)</f>
        <v>17.3238003783703</v>
      </c>
      <c r="W1044" s="84" t="n">
        <f aca="false">IF(ISNUMBER(U1044),ABS(U1044),"")</f>
        <v>2.27619962162967</v>
      </c>
    </row>
    <row r="1045" customFormat="false" ht="15" hidden="false" customHeight="false" outlineLevel="0" collapsed="false">
      <c r="A1045" s="57" t="n">
        <v>31293</v>
      </c>
      <c r="B1045" s="56" t="n">
        <v>1985</v>
      </c>
      <c r="C1045" s="56" t="n">
        <v>9</v>
      </c>
      <c r="D1045" s="56" t="n">
        <v>126</v>
      </c>
      <c r="E1045" s="56" t="n">
        <v>17</v>
      </c>
      <c r="F1045" s="56" t="n">
        <v>0</v>
      </c>
      <c r="G1045" s="56" t="n">
        <v>12.5</v>
      </c>
      <c r="H1045" s="56" t="n">
        <v>0</v>
      </c>
      <c r="I1045" s="56" t="n">
        <v>16</v>
      </c>
      <c r="J1045" s="56" t="n">
        <v>0</v>
      </c>
      <c r="K1045" s="56" t="n">
        <v>1005.1</v>
      </c>
      <c r="L1045" s="56" t="n">
        <v>0</v>
      </c>
      <c r="M1045" s="56" t="n">
        <v>80</v>
      </c>
      <c r="N1045" s="56" t="n">
        <v>6.6</v>
      </c>
      <c r="O1045" s="56" t="n">
        <f aca="false">IF(D1045=1,"",E1044)</f>
        <v>19.6</v>
      </c>
      <c r="P1045" s="56" t="n">
        <f aca="false">IF(OR(D1045=1,K1044=""),"",K1044)</f>
        <v>1011.6</v>
      </c>
      <c r="Q1045" s="56" t="n">
        <f aca="false">IF(OR(F1045&lt;&gt;0,AND(I1045&lt;&gt;"",E1045&lt;I1045)),1,0)</f>
        <v>0</v>
      </c>
      <c r="R1045" s="56" t="n">
        <f aca="false">IF(AND(D1045&gt;1,Q1045=0,ISNUMBER(O1045),ISNUMBER(P1045)),IF(Q1044=0,1,0),0)</f>
        <v>1</v>
      </c>
      <c r="S1045" s="56" t="n">
        <f aca="false">R1045*(B1045&gt;=Train_Start)*(B1045&lt;=Train_End)</f>
        <v>1</v>
      </c>
      <c r="T1045" s="84" t="n">
        <f aca="false">IF(AND(ISNUMBER(O1045),ISNUMBER(P1045)),Coef_A+Coef_B1*O1045+Coef_B2*P1045,"")</f>
        <v>19.8798090173755</v>
      </c>
      <c r="U1045" s="84" t="n">
        <f aca="false">IF(AND(R1045=1,ISNUMBER(T1045)),E1045-T1045,"")</f>
        <v>-2.87980901737546</v>
      </c>
      <c r="V1045" s="84" t="n">
        <f aca="false">IF(ISNUMBER(T1045),T1045,-99)</f>
        <v>19.8798090173755</v>
      </c>
      <c r="W1045" s="84" t="n">
        <f aca="false">IF(ISNUMBER(U1045),ABS(U1045),"")</f>
        <v>2.87980901737546</v>
      </c>
    </row>
    <row r="1046" customFormat="false" ht="15" hidden="false" customHeight="false" outlineLevel="0" collapsed="false">
      <c r="A1046" s="57" t="n">
        <v>31294</v>
      </c>
      <c r="B1046" s="56" t="n">
        <v>1985</v>
      </c>
      <c r="C1046" s="56" t="n">
        <v>9</v>
      </c>
      <c r="D1046" s="56" t="n">
        <v>127</v>
      </c>
      <c r="E1046" s="56" t="n">
        <v>18.8</v>
      </c>
      <c r="F1046" s="56" t="n">
        <v>0</v>
      </c>
      <c r="G1046" s="56" t="n">
        <v>9.9</v>
      </c>
      <c r="H1046" s="56" t="n">
        <v>0</v>
      </c>
      <c r="I1046" s="56" t="n">
        <v>13.4</v>
      </c>
      <c r="J1046" s="56" t="n">
        <v>0</v>
      </c>
      <c r="K1046" s="56" t="n">
        <v>1018.3</v>
      </c>
      <c r="L1046" s="56" t="n">
        <v>0</v>
      </c>
      <c r="M1046" s="56" t="n">
        <v>83</v>
      </c>
      <c r="N1046" s="56" t="n">
        <v>0.2</v>
      </c>
      <c r="O1046" s="56" t="n">
        <f aca="false">IF(D1046=1,"",E1045)</f>
        <v>17</v>
      </c>
      <c r="P1046" s="56" t="n">
        <f aca="false">IF(OR(D1046=1,K1045=""),"",K1045)</f>
        <v>1005.1</v>
      </c>
      <c r="Q1046" s="56" t="n">
        <f aca="false">IF(OR(F1046&lt;&gt;0,AND(I1046&lt;&gt;"",E1046&lt;I1046)),1,0)</f>
        <v>0</v>
      </c>
      <c r="R1046" s="56" t="n">
        <f aca="false">IF(AND(D1046&gt;1,Q1046=0,ISNUMBER(O1046),ISNUMBER(P1046)),IF(Q1045=0,1,0),0)</f>
        <v>1</v>
      </c>
      <c r="S1046" s="56" t="n">
        <f aca="false">R1046*(B1046&gt;=Train_Start)*(B1046&lt;=Train_End)</f>
        <v>1</v>
      </c>
      <c r="T1046" s="84" t="n">
        <f aca="false">IF(AND(ISNUMBER(O1046),ISNUMBER(P1046)),Coef_A+Coef_B1*O1046+Coef_B2*P1046,"")</f>
        <v>17.5456228003436</v>
      </c>
      <c r="U1046" s="84" t="n">
        <f aca="false">IF(AND(R1046=1,ISNUMBER(T1046)),E1046-T1046,"")</f>
        <v>1.25437719965639</v>
      </c>
      <c r="V1046" s="84" t="n">
        <f aca="false">IF(ISNUMBER(T1046),T1046,-99)</f>
        <v>17.5456228003436</v>
      </c>
      <c r="W1046" s="84" t="n">
        <f aca="false">IF(ISNUMBER(U1046),ABS(U1046),"")</f>
        <v>1.25437719965639</v>
      </c>
    </row>
    <row r="1047" customFormat="false" ht="15" hidden="false" customHeight="false" outlineLevel="0" collapsed="false">
      <c r="A1047" s="57" t="n">
        <v>31295</v>
      </c>
      <c r="B1047" s="56" t="n">
        <v>1985</v>
      </c>
      <c r="C1047" s="56" t="n">
        <v>9</v>
      </c>
      <c r="D1047" s="56" t="n">
        <v>128</v>
      </c>
      <c r="E1047" s="56" t="n">
        <v>17.9</v>
      </c>
      <c r="F1047" s="56" t="n">
        <v>0</v>
      </c>
      <c r="G1047" s="56" t="n">
        <v>12.6</v>
      </c>
      <c r="H1047" s="56" t="n">
        <v>0</v>
      </c>
      <c r="I1047" s="56" t="n">
        <v>15.7</v>
      </c>
      <c r="J1047" s="56" t="n">
        <v>0</v>
      </c>
      <c r="K1047" s="56" t="n">
        <v>1016.3</v>
      </c>
      <c r="L1047" s="56" t="n">
        <v>0</v>
      </c>
      <c r="M1047" s="56" t="n">
        <v>72</v>
      </c>
      <c r="N1047" s="56" t="n">
        <v>7</v>
      </c>
      <c r="O1047" s="56" t="n">
        <f aca="false">IF(D1047=1,"",E1046)</f>
        <v>18.8</v>
      </c>
      <c r="P1047" s="56" t="n">
        <f aca="false">IF(OR(D1047=1,K1046=""),"",K1046)</f>
        <v>1018.3</v>
      </c>
      <c r="Q1047" s="56" t="n">
        <f aca="false">IF(OR(F1047&lt;&gt;0,AND(I1047&lt;&gt;"",E1047&lt;I1047)),1,0)</f>
        <v>0</v>
      </c>
      <c r="R1047" s="56" t="n">
        <f aca="false">IF(AND(D1047&gt;1,Q1047=0,ISNUMBER(O1047),ISNUMBER(P1047)),IF(Q1046=0,1,0),0)</f>
        <v>1</v>
      </c>
      <c r="S1047" s="56" t="n">
        <f aca="false">R1047*(B1047&gt;=Train_Start)*(B1047&lt;=Train_End)</f>
        <v>1</v>
      </c>
      <c r="T1047" s="84" t="n">
        <f aca="false">IF(AND(ISNUMBER(O1047),ISNUMBER(P1047)),Coef_A+Coef_B1*O1047+Coef_B2*P1047,"")</f>
        <v>19.4345159569891</v>
      </c>
      <c r="U1047" s="84" t="n">
        <f aca="false">IF(AND(R1047=1,ISNUMBER(T1047)),E1047-T1047,"")</f>
        <v>-1.53451595698906</v>
      </c>
      <c r="V1047" s="84" t="n">
        <f aca="false">IF(ISNUMBER(T1047),T1047,-99)</f>
        <v>19.4345159569891</v>
      </c>
      <c r="W1047" s="84" t="n">
        <f aca="false">IF(ISNUMBER(U1047),ABS(U1047),"")</f>
        <v>1.53451595698906</v>
      </c>
    </row>
    <row r="1048" customFormat="false" ht="15" hidden="false" customHeight="false" outlineLevel="0" collapsed="false">
      <c r="A1048" s="57" t="n">
        <v>31296</v>
      </c>
      <c r="B1048" s="56" t="n">
        <v>1985</v>
      </c>
      <c r="C1048" s="56" t="n">
        <v>9</v>
      </c>
      <c r="D1048" s="56" t="n">
        <v>129</v>
      </c>
      <c r="E1048" s="56" t="n">
        <v>20.1</v>
      </c>
      <c r="F1048" s="56" t="n">
        <v>0</v>
      </c>
      <c r="G1048" s="56" t="n">
        <v>5.5</v>
      </c>
      <c r="H1048" s="56" t="n">
        <v>0</v>
      </c>
      <c r="I1048" s="56" t="n">
        <v>11.7</v>
      </c>
      <c r="J1048" s="56" t="n">
        <v>0</v>
      </c>
      <c r="K1048" s="56" t="n">
        <v>1027.7</v>
      </c>
      <c r="L1048" s="56" t="n">
        <v>0</v>
      </c>
      <c r="M1048" s="56" t="n">
        <v>66</v>
      </c>
      <c r="N1048" s="56" t="n">
        <v>11.4</v>
      </c>
      <c r="O1048" s="56" t="n">
        <f aca="false">IF(D1048=1,"",E1047)</f>
        <v>17.9</v>
      </c>
      <c r="P1048" s="56" t="n">
        <f aca="false">IF(OR(D1048=1,K1047=""),"",K1047)</f>
        <v>1016.3</v>
      </c>
      <c r="Q1048" s="56" t="n">
        <f aca="false">IF(OR(F1048&lt;&gt;0,AND(I1048&lt;&gt;"",E1048&lt;I1048)),1,0)</f>
        <v>0</v>
      </c>
      <c r="R1048" s="56" t="n">
        <f aca="false">IF(AND(D1048&gt;1,Q1048=0,ISNUMBER(O1048),ISNUMBER(P1048)),IF(Q1047=0,1,0),0)</f>
        <v>1</v>
      </c>
      <c r="S1048" s="56" t="n">
        <f aca="false">R1048*(B1048&gt;=Train_Start)*(B1048&lt;=Train_End)</f>
        <v>1</v>
      </c>
      <c r="T1048" s="84" t="n">
        <f aca="false">IF(AND(ISNUMBER(O1048),ISNUMBER(P1048)),Coef_A+Coef_B1*O1048+Coef_B2*P1048,"")</f>
        <v>18.6343708939827</v>
      </c>
      <c r="U1048" s="84" t="n">
        <f aca="false">IF(AND(R1048=1,ISNUMBER(T1048)),E1048-T1048,"")</f>
        <v>1.46562910601732</v>
      </c>
      <c r="V1048" s="84" t="n">
        <f aca="false">IF(ISNUMBER(T1048),T1048,-99)</f>
        <v>18.6343708939827</v>
      </c>
      <c r="W1048" s="84" t="n">
        <f aca="false">IF(ISNUMBER(U1048),ABS(U1048),"")</f>
        <v>1.46562910601732</v>
      </c>
    </row>
    <row r="1049" customFormat="false" ht="15" hidden="false" customHeight="false" outlineLevel="0" collapsed="false">
      <c r="A1049" s="57" t="n">
        <v>31297</v>
      </c>
      <c r="B1049" s="56" t="n">
        <v>1985</v>
      </c>
      <c r="C1049" s="56" t="n">
        <v>9</v>
      </c>
      <c r="D1049" s="56" t="n">
        <v>130</v>
      </c>
      <c r="E1049" s="56" t="n">
        <v>20.5</v>
      </c>
      <c r="F1049" s="56" t="n">
        <v>0</v>
      </c>
      <c r="G1049" s="56" t="n">
        <v>5.5</v>
      </c>
      <c r="H1049" s="56" t="n">
        <v>0</v>
      </c>
      <c r="I1049" s="56" t="n">
        <v>12.8</v>
      </c>
      <c r="J1049" s="56" t="n">
        <v>0</v>
      </c>
      <c r="K1049" s="56" t="n">
        <v>1025.3</v>
      </c>
      <c r="L1049" s="56" t="n">
        <v>0</v>
      </c>
      <c r="M1049" s="56" t="n">
        <v>68</v>
      </c>
      <c r="N1049" s="56" t="n">
        <v>7.3</v>
      </c>
      <c r="O1049" s="56" t="n">
        <f aca="false">IF(D1049=1,"",E1048)</f>
        <v>20.1</v>
      </c>
      <c r="P1049" s="56" t="n">
        <f aca="false">IF(OR(D1049=1,K1048=""),"",K1048)</f>
        <v>1027.7</v>
      </c>
      <c r="Q1049" s="56" t="n">
        <f aca="false">IF(OR(F1049&lt;&gt;0,AND(I1049&lt;&gt;"",E1049&lt;I1049)),1,0)</f>
        <v>0</v>
      </c>
      <c r="R1049" s="56" t="n">
        <f aca="false">IF(AND(D1049&gt;1,Q1049=0,ISNUMBER(O1049),ISNUMBER(P1049)),IF(Q1048=0,1,0),0)</f>
        <v>1</v>
      </c>
      <c r="S1049" s="56" t="n">
        <f aca="false">R1049*(B1049&gt;=Train_Start)*(B1049&lt;=Train_End)</f>
        <v>1</v>
      </c>
      <c r="T1049" s="84" t="n">
        <f aca="false">IF(AND(ISNUMBER(O1049),ISNUMBER(P1049)),Coef_A+Coef_B1*O1049+Coef_B2*P1049,"")</f>
        <v>20.794533917504</v>
      </c>
      <c r="U1049" s="84" t="n">
        <f aca="false">IF(AND(R1049=1,ISNUMBER(T1049)),E1049-T1049,"")</f>
        <v>-0.294533917504015</v>
      </c>
      <c r="V1049" s="84" t="n">
        <f aca="false">IF(ISNUMBER(T1049),T1049,-99)</f>
        <v>20.794533917504</v>
      </c>
      <c r="W1049" s="84" t="n">
        <f aca="false">IF(ISNUMBER(U1049),ABS(U1049),"")</f>
        <v>0.294533917504015</v>
      </c>
    </row>
    <row r="1050" customFormat="false" ht="15" hidden="false" customHeight="false" outlineLevel="0" collapsed="false">
      <c r="A1050" s="57" t="n">
        <v>31298</v>
      </c>
      <c r="B1050" s="56" t="n">
        <v>1985</v>
      </c>
      <c r="C1050" s="56" t="n">
        <v>9</v>
      </c>
      <c r="D1050" s="56" t="n">
        <v>131</v>
      </c>
      <c r="E1050" s="56" t="n">
        <v>20.9</v>
      </c>
      <c r="F1050" s="56" t="n">
        <v>0</v>
      </c>
      <c r="G1050" s="56" t="n">
        <v>11</v>
      </c>
      <c r="H1050" s="56" t="n">
        <v>0</v>
      </c>
      <c r="I1050" s="56" t="n">
        <v>15.8</v>
      </c>
      <c r="J1050" s="56" t="n">
        <v>0</v>
      </c>
      <c r="K1050" s="56" t="n">
        <v>1019.6</v>
      </c>
      <c r="L1050" s="56" t="n">
        <v>0</v>
      </c>
      <c r="M1050" s="56" t="n">
        <v>78</v>
      </c>
      <c r="N1050" s="56" t="n">
        <v>1.9</v>
      </c>
      <c r="O1050" s="56" t="n">
        <f aca="false">IF(D1050=1,"",E1049)</f>
        <v>20.5</v>
      </c>
      <c r="P1050" s="56" t="n">
        <f aca="false">IF(OR(D1050=1,K1049=""),"",K1049)</f>
        <v>1025.3</v>
      </c>
      <c r="Q1050" s="56" t="n">
        <f aca="false">IF(OR(F1050&lt;&gt;0,AND(I1050&lt;&gt;"",E1050&lt;I1050)),1,0)</f>
        <v>0</v>
      </c>
      <c r="R1050" s="56" t="n">
        <f aca="false">IF(AND(D1050&gt;1,Q1050=0,ISNUMBER(O1050),ISNUMBER(P1050)),IF(Q1049=0,1,0),0)</f>
        <v>1</v>
      </c>
      <c r="S1050" s="56" t="n">
        <f aca="false">R1050*(B1050&gt;=Train_Start)*(B1050&lt;=Train_End)</f>
        <v>1</v>
      </c>
      <c r="T1050" s="84" t="n">
        <f aca="false">IF(AND(ISNUMBER(O1050),ISNUMBER(P1050)),Coef_A+Coef_B1*O1050+Coef_B2*P1050,"")</f>
        <v>21.0469818475995</v>
      </c>
      <c r="U1050" s="84" t="n">
        <f aca="false">IF(AND(R1050=1,ISNUMBER(T1050)),E1050-T1050,"")</f>
        <v>-0.146981847599498</v>
      </c>
      <c r="V1050" s="84" t="n">
        <f aca="false">IF(ISNUMBER(T1050),T1050,-99)</f>
        <v>21.0469818475995</v>
      </c>
      <c r="W1050" s="84" t="n">
        <f aca="false">IF(ISNUMBER(U1050),ABS(U1050),"")</f>
        <v>0.146981847599498</v>
      </c>
    </row>
    <row r="1051" customFormat="false" ht="15" hidden="false" customHeight="false" outlineLevel="0" collapsed="false">
      <c r="A1051" s="57" t="n">
        <v>31299</v>
      </c>
      <c r="B1051" s="56" t="n">
        <v>1985</v>
      </c>
      <c r="C1051" s="56" t="n">
        <v>9</v>
      </c>
      <c r="D1051" s="56" t="n">
        <v>132</v>
      </c>
      <c r="E1051" s="56" t="n">
        <v>22.7</v>
      </c>
      <c r="F1051" s="56" t="n">
        <v>0</v>
      </c>
      <c r="G1051" s="56" t="n">
        <v>14.1</v>
      </c>
      <c r="H1051" s="56" t="n">
        <v>0</v>
      </c>
      <c r="I1051" s="56" t="n">
        <v>17.5</v>
      </c>
      <c r="J1051" s="56" t="n">
        <v>0</v>
      </c>
      <c r="K1051" s="56" t="n">
        <v>1023.6</v>
      </c>
      <c r="L1051" s="56" t="n">
        <v>0</v>
      </c>
      <c r="M1051" s="56" t="n">
        <v>80</v>
      </c>
      <c r="N1051" s="56" t="n">
        <v>0.9</v>
      </c>
      <c r="O1051" s="56" t="n">
        <f aca="false">IF(D1051=1,"",E1050)</f>
        <v>20.9</v>
      </c>
      <c r="P1051" s="56" t="n">
        <f aca="false">IF(OR(D1051=1,K1050=""),"",K1050)</f>
        <v>1019.6</v>
      </c>
      <c r="Q1051" s="56" t="n">
        <f aca="false">IF(OR(F1051&lt;&gt;0,AND(I1051&lt;&gt;"",E1051&lt;I1051)),1,0)</f>
        <v>0</v>
      </c>
      <c r="R1051" s="56" t="n">
        <f aca="false">IF(AND(D1051&gt;1,Q1051=0,ISNUMBER(O1051),ISNUMBER(P1051)),IF(Q1050=0,1,0),0)</f>
        <v>1</v>
      </c>
      <c r="S1051" s="56" t="n">
        <f aca="false">R1051*(B1051&gt;=Train_Start)*(B1051&lt;=Train_End)</f>
        <v>1</v>
      </c>
      <c r="T1051" s="84" t="n">
        <f aca="false">IF(AND(ISNUMBER(O1051),ISNUMBER(P1051)),Coef_A+Coef_B1*O1051+Coef_B2*P1051,"")</f>
        <v>21.1959091254028</v>
      </c>
      <c r="U1051" s="84" t="n">
        <f aca="false">IF(AND(R1051=1,ISNUMBER(T1051)),E1051-T1051,"")</f>
        <v>1.50409087459717</v>
      </c>
      <c r="V1051" s="84" t="n">
        <f aca="false">IF(ISNUMBER(T1051),T1051,-99)</f>
        <v>21.1959091254028</v>
      </c>
      <c r="W1051" s="84" t="n">
        <f aca="false">IF(ISNUMBER(U1051),ABS(U1051),"")</f>
        <v>1.50409087459717</v>
      </c>
    </row>
    <row r="1052" customFormat="false" ht="15" hidden="false" customHeight="false" outlineLevel="0" collapsed="false">
      <c r="A1052" s="57" t="n">
        <v>31300</v>
      </c>
      <c r="B1052" s="56" t="n">
        <v>1985</v>
      </c>
      <c r="C1052" s="56" t="n">
        <v>9</v>
      </c>
      <c r="D1052" s="56" t="n">
        <v>133</v>
      </c>
      <c r="E1052" s="56" t="n">
        <v>25.2</v>
      </c>
      <c r="F1052" s="56" t="n">
        <v>0</v>
      </c>
      <c r="G1052" s="56" t="n">
        <v>11.4</v>
      </c>
      <c r="H1052" s="56" t="n">
        <v>0</v>
      </c>
      <c r="I1052" s="56" t="n">
        <v>17</v>
      </c>
      <c r="J1052" s="56" t="n">
        <v>0</v>
      </c>
      <c r="K1052" s="56" t="n">
        <v>1025.6</v>
      </c>
      <c r="L1052" s="56" t="n">
        <v>0</v>
      </c>
      <c r="M1052" s="56" t="n">
        <v>78</v>
      </c>
      <c r="N1052" s="56" t="n">
        <v>7.3</v>
      </c>
      <c r="O1052" s="56" t="n">
        <f aca="false">IF(D1052=1,"",E1051)</f>
        <v>22.7</v>
      </c>
      <c r="P1052" s="56" t="n">
        <f aca="false">IF(OR(D1052=1,K1051=""),"",K1051)</f>
        <v>1023.6</v>
      </c>
      <c r="Q1052" s="56" t="n">
        <f aca="false">IF(OR(F1052&lt;&gt;0,AND(I1052&lt;&gt;"",E1052&lt;I1052)),1,0)</f>
        <v>0</v>
      </c>
      <c r="R1052" s="56" t="n">
        <f aca="false">IF(AND(D1052&gt;1,Q1052=0,ISNUMBER(O1052),ISNUMBER(P1052)),IF(Q1051=0,1,0),0)</f>
        <v>1</v>
      </c>
      <c r="S1052" s="56" t="n">
        <f aca="false">R1052*(B1052&gt;=Train_Start)*(B1052&lt;=Train_End)</f>
        <v>1</v>
      </c>
      <c r="T1052" s="84" t="n">
        <f aca="false">IF(AND(ISNUMBER(O1052),ISNUMBER(P1052)),Coef_A+Coef_B1*O1052+Coef_B2*P1052,"")</f>
        <v>22.7961992514156</v>
      </c>
      <c r="U1052" s="84" t="n">
        <f aca="false">IF(AND(R1052=1,ISNUMBER(T1052)),E1052-T1052,"")</f>
        <v>2.40380074858443</v>
      </c>
      <c r="V1052" s="84" t="n">
        <f aca="false">IF(ISNUMBER(T1052),T1052,-99)</f>
        <v>22.7961992514156</v>
      </c>
      <c r="W1052" s="84" t="n">
        <f aca="false">IF(ISNUMBER(U1052),ABS(U1052),"")</f>
        <v>2.40380074858443</v>
      </c>
    </row>
    <row r="1053" customFormat="false" ht="15" hidden="false" customHeight="false" outlineLevel="0" collapsed="false">
      <c r="A1053" s="57" t="n">
        <v>31301</v>
      </c>
      <c r="B1053" s="56" t="n">
        <v>1985</v>
      </c>
      <c r="C1053" s="56" t="n">
        <v>9</v>
      </c>
      <c r="D1053" s="56" t="n">
        <v>134</v>
      </c>
      <c r="E1053" s="56" t="n">
        <v>26.9</v>
      </c>
      <c r="F1053" s="56" t="n">
        <v>0</v>
      </c>
      <c r="G1053" s="56" t="n">
        <v>10.1</v>
      </c>
      <c r="H1053" s="56" t="n">
        <v>0</v>
      </c>
      <c r="I1053" s="56" t="n">
        <v>17.6</v>
      </c>
      <c r="J1053" s="56" t="n">
        <v>0</v>
      </c>
      <c r="K1053" s="56" t="n">
        <v>1024.8</v>
      </c>
      <c r="L1053" s="56" t="n">
        <v>0</v>
      </c>
      <c r="M1053" s="56" t="n">
        <v>69</v>
      </c>
      <c r="N1053" s="56" t="n">
        <v>10.7</v>
      </c>
      <c r="O1053" s="56" t="n">
        <f aca="false">IF(D1053=1,"",E1052)</f>
        <v>25.2</v>
      </c>
      <c r="P1053" s="56" t="n">
        <f aca="false">IF(OR(D1053=1,K1052=""),"",K1052)</f>
        <v>1025.6</v>
      </c>
      <c r="Q1053" s="56" t="n">
        <f aca="false">IF(OR(F1053&lt;&gt;0,AND(I1053&lt;&gt;"",E1053&lt;I1053)),1,0)</f>
        <v>0</v>
      </c>
      <c r="R1053" s="56" t="n">
        <f aca="false">IF(AND(D1053&gt;1,Q1053=0,ISNUMBER(O1053),ISNUMBER(P1053)),IF(Q1052=0,1,0),0)</f>
        <v>1</v>
      </c>
      <c r="S1053" s="56" t="n">
        <f aca="false">R1053*(B1053&gt;=Train_Start)*(B1053&lt;=Train_End)</f>
        <v>1</v>
      </c>
      <c r="T1053" s="84" t="n">
        <f aca="false">IF(AND(ISNUMBER(O1053),ISNUMBER(P1053)),Coef_A+Coef_B1*O1053+Coef_B2*P1053,"")</f>
        <v>24.9072870232902</v>
      </c>
      <c r="U1053" s="84" t="n">
        <f aca="false">IF(AND(R1053=1,ISNUMBER(T1053)),E1053-T1053,"")</f>
        <v>1.99271297670981</v>
      </c>
      <c r="V1053" s="84" t="n">
        <f aca="false">IF(ISNUMBER(T1053),T1053,-99)</f>
        <v>24.9072870232902</v>
      </c>
      <c r="W1053" s="84" t="n">
        <f aca="false">IF(ISNUMBER(U1053),ABS(U1053),"")</f>
        <v>1.99271297670981</v>
      </c>
    </row>
    <row r="1054" customFormat="false" ht="15" hidden="false" customHeight="false" outlineLevel="0" collapsed="false">
      <c r="A1054" s="57" t="n">
        <v>31302</v>
      </c>
      <c r="B1054" s="56" t="n">
        <v>1985</v>
      </c>
      <c r="C1054" s="56" t="n">
        <v>9</v>
      </c>
      <c r="D1054" s="56" t="n">
        <v>135</v>
      </c>
      <c r="E1054" s="56" t="n">
        <v>18.8</v>
      </c>
      <c r="F1054" s="56" t="n">
        <v>1</v>
      </c>
      <c r="G1054" s="56" t="n">
        <v>11.6</v>
      </c>
      <c r="H1054" s="56" t="n">
        <v>0</v>
      </c>
      <c r="I1054" s="56" t="n">
        <v>19.2</v>
      </c>
      <c r="J1054" s="56" t="n">
        <v>1</v>
      </c>
      <c r="K1054" s="56" t="n">
        <v>1019.6</v>
      </c>
      <c r="L1054" s="56" t="n">
        <v>0</v>
      </c>
      <c r="M1054" s="56" t="n">
        <v>66</v>
      </c>
      <c r="N1054" s="56" t="n">
        <v>9.6</v>
      </c>
      <c r="O1054" s="56" t="n">
        <f aca="false">IF(D1054=1,"",E1053)</f>
        <v>26.9</v>
      </c>
      <c r="P1054" s="56" t="n">
        <f aca="false">IF(OR(D1054=1,K1053=""),"",K1053)</f>
        <v>1024.8</v>
      </c>
      <c r="Q1054" s="56" t="n">
        <f aca="false">IF(OR(F1054&lt;&gt;0,AND(I1054&lt;&gt;"",E1054&lt;I1054)),1,0)</f>
        <v>1</v>
      </c>
      <c r="R1054" s="56" t="n">
        <f aca="false">IF(AND(D1054&gt;1,Q1054=0,ISNUMBER(O1054),ISNUMBER(P1054)),IF(Q1053=0,1,0),0)</f>
        <v>0</v>
      </c>
      <c r="S1054" s="56" t="n">
        <f aca="false">R1054*(B1054&gt;=Train_Start)*(B1054&lt;=Train_End)</f>
        <v>0</v>
      </c>
      <c r="T1054" s="84" t="n">
        <f aca="false">IF(AND(ISNUMBER(O1054),ISNUMBER(P1054)),Coef_A+Coef_B1*O1054+Coef_B2*P1054,"")</f>
        <v>26.2750677357555</v>
      </c>
      <c r="U1054" s="84" t="str">
        <f aca="false">IF(AND(R1054=1,ISNUMBER(T1054)),E1054-T1054,"")</f>
        <v/>
      </c>
      <c r="V1054" s="84" t="n">
        <f aca="false">IF(ISNUMBER(T1054),T1054,-99)</f>
        <v>26.2750677357555</v>
      </c>
      <c r="W1054" s="84" t="str">
        <f aca="false">IF(ISNUMBER(U1054),ABS(U1054),"")</f>
        <v/>
      </c>
    </row>
    <row r="1055" customFormat="false" ht="15" hidden="false" customHeight="false" outlineLevel="0" collapsed="false">
      <c r="A1055" s="57" t="n">
        <v>31303</v>
      </c>
      <c r="B1055" s="56" t="n">
        <v>1985</v>
      </c>
      <c r="C1055" s="56" t="n">
        <v>9</v>
      </c>
      <c r="D1055" s="56" t="n">
        <v>136</v>
      </c>
      <c r="E1055" s="56" t="n">
        <v>16.2</v>
      </c>
      <c r="F1055" s="56" t="n">
        <v>0</v>
      </c>
      <c r="G1055" s="56" t="n">
        <v>11.3</v>
      </c>
      <c r="H1055" s="56" t="n">
        <v>0</v>
      </c>
      <c r="I1055" s="56" t="n">
        <v>15</v>
      </c>
      <c r="J1055" s="56" t="n">
        <v>0</v>
      </c>
      <c r="K1055" s="56" t="n">
        <v>1023.5</v>
      </c>
      <c r="L1055" s="56" t="n">
        <v>0</v>
      </c>
      <c r="M1055" s="56" t="n">
        <v>66</v>
      </c>
      <c r="N1055" s="56" t="n">
        <v>9.1</v>
      </c>
      <c r="O1055" s="56" t="n">
        <f aca="false">IF(D1055=1,"",E1054)</f>
        <v>18.8</v>
      </c>
      <c r="P1055" s="56" t="n">
        <f aca="false">IF(OR(D1055=1,K1054=""),"",K1054)</f>
        <v>1019.6</v>
      </c>
      <c r="Q1055" s="56" t="n">
        <f aca="false">IF(OR(F1055&lt;&gt;0,AND(I1055&lt;&gt;"",E1055&lt;I1055)),1,0)</f>
        <v>0</v>
      </c>
      <c r="R1055" s="56" t="n">
        <f aca="false">IF(AND(D1055&gt;1,Q1055=0,ISNUMBER(O1055),ISNUMBER(P1055)),IF(Q1054=0,1,0),0)</f>
        <v>0</v>
      </c>
      <c r="S1055" s="56" t="n">
        <f aca="false">R1055*(B1055&gt;=Train_Start)*(B1055&lt;=Train_End)</f>
        <v>0</v>
      </c>
      <c r="T1055" s="84" t="n">
        <f aca="false">IF(AND(ISNUMBER(O1055),ISNUMBER(P1055)),Coef_A+Coef_B1*O1055+Coef_B2*P1055,"")</f>
        <v>19.4752968200132</v>
      </c>
      <c r="U1055" s="84" t="str">
        <f aca="false">IF(AND(R1055=1,ISNUMBER(T1055)),E1055-T1055,"")</f>
        <v/>
      </c>
      <c r="V1055" s="84" t="n">
        <f aca="false">IF(ISNUMBER(T1055),T1055,-99)</f>
        <v>19.4752968200132</v>
      </c>
      <c r="W1055" s="84" t="str">
        <f aca="false">IF(ISNUMBER(U1055),ABS(U1055),"")</f>
        <v/>
      </c>
    </row>
    <row r="1056" customFormat="false" ht="15" hidden="false" customHeight="false" outlineLevel="0" collapsed="false">
      <c r="A1056" s="57" t="n">
        <v>31304</v>
      </c>
      <c r="B1056" s="56" t="n">
        <v>1985</v>
      </c>
      <c r="C1056" s="56" t="n">
        <v>9</v>
      </c>
      <c r="D1056" s="56" t="n">
        <v>137</v>
      </c>
      <c r="E1056" s="56" t="n">
        <v>17.5</v>
      </c>
      <c r="F1056" s="56" t="n">
        <v>0</v>
      </c>
      <c r="G1056" s="56" t="n">
        <v>10.1</v>
      </c>
      <c r="H1056" s="56" t="n">
        <v>0</v>
      </c>
      <c r="I1056" s="56" t="n">
        <v>13.2</v>
      </c>
      <c r="J1056" s="56" t="n">
        <v>0</v>
      </c>
      <c r="K1056" s="56" t="n">
        <v>1018.1</v>
      </c>
      <c r="L1056" s="56" t="n">
        <v>0</v>
      </c>
      <c r="M1056" s="56" t="n">
        <v>79</v>
      </c>
      <c r="N1056" s="56" t="n">
        <v>0</v>
      </c>
      <c r="O1056" s="56" t="n">
        <f aca="false">IF(D1056=1,"",E1055)</f>
        <v>16.2</v>
      </c>
      <c r="P1056" s="56" t="n">
        <f aca="false">IF(OR(D1056=1,K1055=""),"",K1055)</f>
        <v>1023.5</v>
      </c>
      <c r="Q1056" s="56" t="n">
        <f aca="false">IF(OR(F1056&lt;&gt;0,AND(I1056&lt;&gt;"",E1056&lt;I1056)),1,0)</f>
        <v>0</v>
      </c>
      <c r="R1056" s="56" t="n">
        <f aca="false">IF(AND(D1056&gt;1,Q1056=0,ISNUMBER(O1056),ISNUMBER(P1056)),IF(Q1055=0,1,0),0)</f>
        <v>1</v>
      </c>
      <c r="S1056" s="56" t="n">
        <f aca="false">R1056*(B1056&gt;=Train_Start)*(B1056&lt;=Train_End)</f>
        <v>1</v>
      </c>
      <c r="T1056" s="84" t="n">
        <f aca="false">IF(AND(ISNUMBER(O1056),ISNUMBER(P1056)),Coef_A+Coef_B1*O1056+Coef_B2*P1056,"")</f>
        <v>17.4673575071749</v>
      </c>
      <c r="U1056" s="84" t="n">
        <f aca="false">IF(AND(R1056=1,ISNUMBER(T1056)),E1056-T1056,"")</f>
        <v>0.0326424928251043</v>
      </c>
      <c r="V1056" s="84" t="n">
        <f aca="false">IF(ISNUMBER(T1056),T1056,-99)</f>
        <v>17.4673575071749</v>
      </c>
      <c r="W1056" s="84" t="n">
        <f aca="false">IF(ISNUMBER(U1056),ABS(U1056),"")</f>
        <v>0.0326424928251043</v>
      </c>
    </row>
    <row r="1057" customFormat="false" ht="15" hidden="false" customHeight="false" outlineLevel="0" collapsed="false">
      <c r="A1057" s="57" t="n">
        <v>31305</v>
      </c>
      <c r="B1057" s="56" t="n">
        <v>1985</v>
      </c>
      <c r="C1057" s="56" t="n">
        <v>9</v>
      </c>
      <c r="D1057" s="56" t="n">
        <v>138</v>
      </c>
      <c r="E1057" s="56" t="n">
        <v>19.3</v>
      </c>
      <c r="F1057" s="56" t="n">
        <v>0</v>
      </c>
      <c r="G1057" s="56" t="n">
        <v>8.5</v>
      </c>
      <c r="H1057" s="56" t="n">
        <v>0</v>
      </c>
      <c r="I1057" s="56" t="n">
        <v>13</v>
      </c>
      <c r="J1057" s="56" t="n">
        <v>0</v>
      </c>
      <c r="K1057" s="56" t="n">
        <v>1015.7</v>
      </c>
      <c r="L1057" s="56" t="n">
        <v>0</v>
      </c>
      <c r="M1057" s="56" t="n">
        <v>67</v>
      </c>
      <c r="N1057" s="56" t="n">
        <v>7.7</v>
      </c>
      <c r="O1057" s="56" t="n">
        <f aca="false">IF(D1057=1,"",E1056)</f>
        <v>17.5</v>
      </c>
      <c r="P1057" s="56" t="n">
        <f aca="false">IF(OR(D1057=1,K1056=""),"",K1056)</f>
        <v>1018.1</v>
      </c>
      <c r="Q1057" s="56" t="n">
        <f aca="false">IF(OR(F1057&lt;&gt;0,AND(I1057&lt;&gt;"",E1057&lt;I1057)),1,0)</f>
        <v>0</v>
      </c>
      <c r="R1057" s="56" t="n">
        <f aca="false">IF(AND(D1057&gt;1,Q1057=0,ISNUMBER(O1057),ISNUMBER(P1057)),IF(Q1056=0,1,0),0)</f>
        <v>1</v>
      </c>
      <c r="S1057" s="56" t="n">
        <f aca="false">R1057*(B1057&gt;=Train_Start)*(B1057&lt;=Train_End)</f>
        <v>1</v>
      </c>
      <c r="T1057" s="84" t="n">
        <f aca="false">IF(AND(ISNUMBER(O1057),ISNUMBER(P1057)),Coef_A+Coef_B1*O1057+Coef_B2*P1057,"")</f>
        <v>18.3631010271068</v>
      </c>
      <c r="U1057" s="84" t="n">
        <f aca="false">IF(AND(R1057=1,ISNUMBER(T1057)),E1057-T1057,"")</f>
        <v>0.936898972893193</v>
      </c>
      <c r="V1057" s="84" t="n">
        <f aca="false">IF(ISNUMBER(T1057),T1057,-99)</f>
        <v>18.3631010271068</v>
      </c>
      <c r="W1057" s="84" t="n">
        <f aca="false">IF(ISNUMBER(U1057),ABS(U1057),"")</f>
        <v>0.936898972893193</v>
      </c>
    </row>
    <row r="1058" customFormat="false" ht="15" hidden="false" customHeight="false" outlineLevel="0" collapsed="false">
      <c r="A1058" s="57" t="n">
        <v>31306</v>
      </c>
      <c r="B1058" s="56" t="n">
        <v>1985</v>
      </c>
      <c r="C1058" s="56" t="n">
        <v>9</v>
      </c>
      <c r="D1058" s="56" t="n">
        <v>139</v>
      </c>
      <c r="E1058" s="56" t="n">
        <v>22.8</v>
      </c>
      <c r="F1058" s="56" t="n">
        <v>0</v>
      </c>
      <c r="G1058" s="56" t="n">
        <v>8.9</v>
      </c>
      <c r="H1058" s="56" t="n">
        <v>0</v>
      </c>
      <c r="I1058" s="56" t="n">
        <v>14.1</v>
      </c>
      <c r="J1058" s="56" t="n">
        <v>0</v>
      </c>
      <c r="K1058" s="56" t="n">
        <v>1019</v>
      </c>
      <c r="L1058" s="56" t="n">
        <v>0</v>
      </c>
      <c r="M1058" s="56" t="n">
        <v>77</v>
      </c>
      <c r="N1058" s="56" t="n">
        <v>0.1</v>
      </c>
      <c r="O1058" s="56" t="n">
        <f aca="false">IF(D1058=1,"",E1057)</f>
        <v>19.3</v>
      </c>
      <c r="P1058" s="56" t="n">
        <f aca="false">IF(OR(D1058=1,K1057=""),"",K1057)</f>
        <v>1015.7</v>
      </c>
      <c r="Q1058" s="56" t="n">
        <f aca="false">IF(OR(F1058&lt;&gt;0,AND(I1058&lt;&gt;"",E1058&lt;I1058)),1,0)</f>
        <v>0</v>
      </c>
      <c r="R1058" s="56" t="n">
        <f aca="false">IF(AND(D1058&gt;1,Q1058=0,ISNUMBER(O1058),ISNUMBER(P1058)),IF(Q1057=0,1,0),0)</f>
        <v>1</v>
      </c>
      <c r="S1058" s="56" t="n">
        <f aca="false">R1058*(B1058&gt;=Train_Start)*(B1058&lt;=Train_End)</f>
        <v>1</v>
      </c>
      <c r="T1058" s="84" t="n">
        <f aca="false">IF(AND(ISNUMBER(O1058),ISNUMBER(P1058)),Coef_A+Coef_B1*O1058+Coef_B2*P1058,"")</f>
        <v>19.762623827462</v>
      </c>
      <c r="U1058" s="84" t="n">
        <f aca="false">IF(AND(R1058=1,ISNUMBER(T1058)),E1058-T1058,"")</f>
        <v>3.03737617253799</v>
      </c>
      <c r="V1058" s="84" t="n">
        <f aca="false">IF(ISNUMBER(T1058),T1058,-99)</f>
        <v>19.762623827462</v>
      </c>
      <c r="W1058" s="84" t="n">
        <f aca="false">IF(ISNUMBER(U1058),ABS(U1058),"")</f>
        <v>3.03737617253799</v>
      </c>
    </row>
    <row r="1059" customFormat="false" ht="15" hidden="false" customHeight="false" outlineLevel="0" collapsed="false">
      <c r="A1059" s="57" t="n">
        <v>31307</v>
      </c>
      <c r="B1059" s="56" t="n">
        <v>1985</v>
      </c>
      <c r="C1059" s="56" t="n">
        <v>9</v>
      </c>
      <c r="D1059" s="56" t="n">
        <v>140</v>
      </c>
      <c r="E1059" s="56" t="n">
        <v>20.7</v>
      </c>
      <c r="F1059" s="56" t="n">
        <v>0</v>
      </c>
      <c r="G1059" s="56" t="n">
        <v>12.9</v>
      </c>
      <c r="H1059" s="56" t="n">
        <v>0</v>
      </c>
      <c r="I1059" s="56" t="n">
        <v>17.8</v>
      </c>
      <c r="J1059" s="56" t="n">
        <v>0</v>
      </c>
      <c r="K1059" s="56" t="n">
        <v>1021.8</v>
      </c>
      <c r="L1059" s="56" t="n">
        <v>0</v>
      </c>
      <c r="M1059" s="56" t="n">
        <v>80</v>
      </c>
      <c r="N1059" s="56" t="n">
        <v>3.9</v>
      </c>
      <c r="O1059" s="56" t="n">
        <f aca="false">IF(D1059=1,"",E1058)</f>
        <v>22.8</v>
      </c>
      <c r="P1059" s="56" t="n">
        <f aca="false">IF(OR(D1059=1,K1058=""),"",K1058)</f>
        <v>1019</v>
      </c>
      <c r="Q1059" s="56" t="n">
        <f aca="false">IF(OR(F1059&lt;&gt;0,AND(I1059&lt;&gt;"",E1059&lt;I1059)),1,0)</f>
        <v>0</v>
      </c>
      <c r="R1059" s="56" t="n">
        <f aca="false">IF(AND(D1059&gt;1,Q1059=0,ISNUMBER(O1059),ISNUMBER(P1059)),IF(Q1058=0,1,0),0)</f>
        <v>1</v>
      </c>
      <c r="S1059" s="56" t="n">
        <f aca="false">R1059*(B1059&gt;=Train_Start)*(B1059&lt;=Train_End)</f>
        <v>1</v>
      </c>
      <c r="T1059" s="84" t="n">
        <f aca="false">IF(AND(ISNUMBER(O1059),ISNUMBER(P1059)),Coef_A+Coef_B1*O1059+Coef_B2*P1059,"")</f>
        <v>22.7338316554035</v>
      </c>
      <c r="U1059" s="84" t="n">
        <f aca="false">IF(AND(R1059=1,ISNUMBER(T1059)),E1059-T1059,"")</f>
        <v>-2.03383165540349</v>
      </c>
      <c r="V1059" s="84" t="n">
        <f aca="false">IF(ISNUMBER(T1059),T1059,-99)</f>
        <v>22.7338316554035</v>
      </c>
      <c r="W1059" s="84" t="n">
        <f aca="false">IF(ISNUMBER(U1059),ABS(U1059),"")</f>
        <v>2.03383165540349</v>
      </c>
    </row>
    <row r="1060" customFormat="false" ht="15" hidden="false" customHeight="false" outlineLevel="0" collapsed="false">
      <c r="A1060" s="57" t="n">
        <v>31308</v>
      </c>
      <c r="B1060" s="56" t="n">
        <v>1985</v>
      </c>
      <c r="C1060" s="56" t="n">
        <v>9</v>
      </c>
      <c r="D1060" s="56" t="n">
        <v>141</v>
      </c>
      <c r="E1060" s="56" t="n">
        <v>20.6</v>
      </c>
      <c r="F1060" s="56" t="n">
        <v>0</v>
      </c>
      <c r="G1060" s="56" t="n">
        <v>14.1</v>
      </c>
      <c r="H1060" s="56" t="n">
        <v>0</v>
      </c>
      <c r="I1060" s="56" t="n">
        <v>17.4</v>
      </c>
      <c r="J1060" s="56" t="n">
        <v>0</v>
      </c>
      <c r="K1060" s="56" t="n">
        <v>1022</v>
      </c>
      <c r="L1060" s="56" t="n">
        <v>0</v>
      </c>
      <c r="M1060" s="56" t="n">
        <v>84</v>
      </c>
      <c r="N1060" s="56" t="n">
        <v>0.8</v>
      </c>
      <c r="O1060" s="56" t="n">
        <f aca="false">IF(D1060=1,"",E1059)</f>
        <v>20.7</v>
      </c>
      <c r="P1060" s="56" t="n">
        <f aca="false">IF(OR(D1060=1,K1059=""),"",K1059)</f>
        <v>1021.8</v>
      </c>
      <c r="Q1060" s="56" t="n">
        <f aca="false">IF(OR(F1060&lt;&gt;0,AND(I1060&lt;&gt;"",E1060&lt;I1060)),1,0)</f>
        <v>0</v>
      </c>
      <c r="R1060" s="56" t="n">
        <f aca="false">IF(AND(D1060&gt;1,Q1060=0,ISNUMBER(O1060),ISNUMBER(P1060)),IF(Q1059=0,1,0),0)</f>
        <v>1</v>
      </c>
      <c r="S1060" s="56" t="n">
        <f aca="false">R1060*(B1060&gt;=Train_Start)*(B1060&lt;=Train_End)</f>
        <v>1</v>
      </c>
      <c r="T1060" s="84" t="n">
        <f aca="false">IF(AND(ISNUMBER(O1060),ISNUMBER(P1060)),Coef_A+Coef_B1*O1060+Coef_B2*P1060,"")</f>
        <v>21.1010550549891</v>
      </c>
      <c r="U1060" s="84" t="n">
        <f aca="false">IF(AND(R1060=1,ISNUMBER(T1060)),E1060-T1060,"")</f>
        <v>-0.501055054989067</v>
      </c>
      <c r="V1060" s="84" t="n">
        <f aca="false">IF(ISNUMBER(T1060),T1060,-99)</f>
        <v>21.1010550549891</v>
      </c>
      <c r="W1060" s="84" t="n">
        <f aca="false">IF(ISNUMBER(U1060),ABS(U1060),"")</f>
        <v>0.501055054989067</v>
      </c>
    </row>
    <row r="1061" customFormat="false" ht="15" hidden="false" customHeight="false" outlineLevel="0" collapsed="false">
      <c r="A1061" s="57" t="n">
        <v>31309</v>
      </c>
      <c r="B1061" s="56" t="n">
        <v>1985</v>
      </c>
      <c r="C1061" s="56" t="n">
        <v>9</v>
      </c>
      <c r="D1061" s="56" t="n">
        <v>142</v>
      </c>
      <c r="E1061" s="56" t="n">
        <v>18.9</v>
      </c>
      <c r="F1061" s="56" t="n">
        <v>0</v>
      </c>
      <c r="G1061" s="56" t="n">
        <v>13.8</v>
      </c>
      <c r="H1061" s="56" t="n">
        <v>0</v>
      </c>
      <c r="I1061" s="56" t="n">
        <v>17.2</v>
      </c>
      <c r="J1061" s="56" t="n">
        <v>0</v>
      </c>
      <c r="K1061" s="56" t="n">
        <v>1013.5</v>
      </c>
      <c r="L1061" s="56" t="n">
        <v>0</v>
      </c>
      <c r="M1061" s="56" t="n">
        <v>83</v>
      </c>
      <c r="N1061" s="56" t="n">
        <v>0.2</v>
      </c>
      <c r="O1061" s="56" t="n">
        <f aca="false">IF(D1061=1,"",E1060)</f>
        <v>20.6</v>
      </c>
      <c r="P1061" s="56" t="n">
        <f aca="false">IF(OR(D1061=1,K1060=""),"",K1060)</f>
        <v>1022</v>
      </c>
      <c r="Q1061" s="56" t="n">
        <f aca="false">IF(OR(F1061&lt;&gt;0,AND(I1061&lt;&gt;"",E1061&lt;I1061)),1,0)</f>
        <v>0</v>
      </c>
      <c r="R1061" s="56" t="n">
        <f aca="false">IF(AND(D1061&gt;1,Q1061=0,ISNUMBER(O1061),ISNUMBER(P1061)),IF(Q1060=0,1,0),0)</f>
        <v>1</v>
      </c>
      <c r="S1061" s="56" t="n">
        <f aca="false">R1061*(B1061&gt;=Train_Start)*(B1061&lt;=Train_End)</f>
        <v>1</v>
      </c>
      <c r="T1061" s="84" t="n">
        <f aca="false">IF(AND(ISNUMBER(O1061),ISNUMBER(P1061)),Coef_A+Coef_B1*O1061+Coef_B2*P1061,"")</f>
        <v>21.0253951146116</v>
      </c>
      <c r="U1061" s="84" t="n">
        <f aca="false">IF(AND(R1061=1,ISNUMBER(T1061)),E1061-T1061,"")</f>
        <v>-2.12539511461161</v>
      </c>
      <c r="V1061" s="84" t="n">
        <f aca="false">IF(ISNUMBER(T1061),T1061,-99)</f>
        <v>21.0253951146116</v>
      </c>
      <c r="W1061" s="84" t="n">
        <f aca="false">IF(ISNUMBER(U1061),ABS(U1061),"")</f>
        <v>2.12539511461161</v>
      </c>
    </row>
    <row r="1062" customFormat="false" ht="15" hidden="false" customHeight="false" outlineLevel="0" collapsed="false">
      <c r="A1062" s="57" t="n">
        <v>31310</v>
      </c>
      <c r="B1062" s="56" t="n">
        <v>1985</v>
      </c>
      <c r="C1062" s="56" t="n">
        <v>9</v>
      </c>
      <c r="D1062" s="56" t="n">
        <v>143</v>
      </c>
      <c r="E1062" s="56" t="n">
        <v>19.7</v>
      </c>
      <c r="F1062" s="56" t="n">
        <v>0</v>
      </c>
      <c r="G1062" s="56" t="n">
        <v>10.6</v>
      </c>
      <c r="H1062" s="56" t="n">
        <v>0</v>
      </c>
      <c r="I1062" s="56" t="n">
        <v>14.8</v>
      </c>
      <c r="J1062" s="56" t="n">
        <v>0</v>
      </c>
      <c r="K1062" s="56" t="n">
        <v>1018.1</v>
      </c>
      <c r="L1062" s="56" t="n">
        <v>0</v>
      </c>
      <c r="M1062" s="56" t="n">
        <v>73</v>
      </c>
      <c r="N1062" s="56" t="n">
        <v>2.8</v>
      </c>
      <c r="O1062" s="56" t="n">
        <f aca="false">IF(D1062=1,"",E1061)</f>
        <v>18.9</v>
      </c>
      <c r="P1062" s="56" t="n">
        <f aca="false">IF(OR(D1062=1,K1061=""),"",K1061)</f>
        <v>1013.5</v>
      </c>
      <c r="Q1062" s="56" t="n">
        <f aca="false">IF(OR(F1062&lt;&gt;0,AND(I1062&lt;&gt;"",E1062&lt;I1062)),1,0)</f>
        <v>0</v>
      </c>
      <c r="R1062" s="56" t="n">
        <f aca="false">IF(AND(D1062&gt;1,Q1062=0,ISNUMBER(O1062),ISNUMBER(P1062)),IF(Q1061=0,1,0),0)</f>
        <v>1</v>
      </c>
      <c r="S1062" s="56" t="n">
        <f aca="false">R1062*(B1062&gt;=Train_Start)*(B1062&lt;=Train_End)</f>
        <v>1</v>
      </c>
      <c r="T1062" s="84" t="n">
        <f aca="false">IF(AND(ISNUMBER(O1062),ISNUMBER(P1062)),Coef_A+Coef_B1*O1062+Coef_B2*P1062,"")</f>
        <v>19.3658743820502</v>
      </c>
      <c r="U1062" s="84" t="n">
        <f aca="false">IF(AND(R1062=1,ISNUMBER(T1062)),E1062-T1062,"")</f>
        <v>0.334125617949827</v>
      </c>
      <c r="V1062" s="84" t="n">
        <f aca="false">IF(ISNUMBER(T1062),T1062,-99)</f>
        <v>19.3658743820502</v>
      </c>
      <c r="W1062" s="84" t="n">
        <f aca="false">IF(ISNUMBER(U1062),ABS(U1062),"")</f>
        <v>0.334125617949827</v>
      </c>
    </row>
    <row r="1063" customFormat="false" ht="15" hidden="false" customHeight="false" outlineLevel="0" collapsed="false">
      <c r="A1063" s="57" t="n">
        <v>31311</v>
      </c>
      <c r="B1063" s="56" t="n">
        <v>1985</v>
      </c>
      <c r="C1063" s="56" t="n">
        <v>9</v>
      </c>
      <c r="D1063" s="56" t="n">
        <v>144</v>
      </c>
      <c r="E1063" s="56" t="n">
        <v>23</v>
      </c>
      <c r="F1063" s="56" t="n">
        <v>0</v>
      </c>
      <c r="G1063" s="56" t="n">
        <v>12.5</v>
      </c>
      <c r="H1063" s="56" t="n">
        <v>0</v>
      </c>
      <c r="I1063" s="56" t="n">
        <v>16.1</v>
      </c>
      <c r="J1063" s="56" t="n">
        <v>0</v>
      </c>
      <c r="K1063" s="56" t="n">
        <v>1013.6</v>
      </c>
      <c r="L1063" s="56" t="n">
        <v>0</v>
      </c>
      <c r="M1063" s="56" t="n">
        <v>79</v>
      </c>
      <c r="N1063" s="56" t="n">
        <v>0</v>
      </c>
      <c r="O1063" s="56" t="n">
        <f aca="false">IF(D1063=1,"",E1062)</f>
        <v>19.7</v>
      </c>
      <c r="P1063" s="56" t="n">
        <f aca="false">IF(OR(D1063=1,K1062=""),"",K1062)</f>
        <v>1018.1</v>
      </c>
      <c r="Q1063" s="56" t="n">
        <f aca="false">IF(OR(F1063&lt;&gt;0,AND(I1063&lt;&gt;"",E1063&lt;I1063)),1,0)</f>
        <v>0</v>
      </c>
      <c r="R1063" s="56" t="n">
        <f aca="false">IF(AND(D1063&gt;1,Q1063=0,ISNUMBER(O1063),ISNUMBER(P1063)),IF(Q1062=0,1,0),0)</f>
        <v>1</v>
      </c>
      <c r="S1063" s="56" t="n">
        <f aca="false">R1063*(B1063&gt;=Train_Start)*(B1063&lt;=Train_End)</f>
        <v>1</v>
      </c>
      <c r="T1063" s="84" t="n">
        <f aca="false">IF(AND(ISNUMBER(O1063),ISNUMBER(P1063)),Coef_A+Coef_B1*O1063+Coef_B2*P1063,"")</f>
        <v>20.1656472518007</v>
      </c>
      <c r="U1063" s="84" t="n">
        <f aca="false">IF(AND(R1063=1,ISNUMBER(T1063)),E1063-T1063,"")</f>
        <v>2.83435274819935</v>
      </c>
      <c r="V1063" s="84" t="n">
        <f aca="false">IF(ISNUMBER(T1063),T1063,-99)</f>
        <v>20.1656472518007</v>
      </c>
      <c r="W1063" s="84" t="n">
        <f aca="false">IF(ISNUMBER(U1063),ABS(U1063),"")</f>
        <v>2.83435274819935</v>
      </c>
    </row>
    <row r="1064" customFormat="false" ht="15" hidden="false" customHeight="false" outlineLevel="0" collapsed="false">
      <c r="A1064" s="57" t="n">
        <v>31312</v>
      </c>
      <c r="B1064" s="56" t="n">
        <v>1985</v>
      </c>
      <c r="C1064" s="56" t="n">
        <v>9</v>
      </c>
      <c r="D1064" s="56" t="n">
        <v>145</v>
      </c>
      <c r="E1064" s="56" t="n">
        <v>21.1</v>
      </c>
      <c r="F1064" s="56" t="n">
        <v>0</v>
      </c>
      <c r="G1064" s="56" t="n">
        <v>16.4</v>
      </c>
      <c r="H1064" s="56" t="n">
        <v>0</v>
      </c>
      <c r="I1064" s="56" t="n">
        <v>19.7</v>
      </c>
      <c r="J1064" s="56" t="n">
        <v>0</v>
      </c>
      <c r="K1064" s="56" t="n">
        <v>1014.9</v>
      </c>
      <c r="L1064" s="56" t="n">
        <v>0</v>
      </c>
      <c r="M1064" s="56" t="n">
        <v>78</v>
      </c>
      <c r="N1064" s="56" t="n">
        <v>6.2</v>
      </c>
      <c r="O1064" s="56" t="n">
        <f aca="false">IF(D1064=1,"",E1063)</f>
        <v>23</v>
      </c>
      <c r="P1064" s="56" t="n">
        <f aca="false">IF(OR(D1064=1,K1063=""),"",K1063)</f>
        <v>1013.6</v>
      </c>
      <c r="Q1064" s="56" t="n">
        <f aca="false">IF(OR(F1064&lt;&gt;0,AND(I1064&lt;&gt;"",E1064&lt;I1064)),1,0)</f>
        <v>0</v>
      </c>
      <c r="R1064" s="56" t="n">
        <f aca="false">IF(AND(D1064&gt;1,Q1064=0,ISNUMBER(O1064),ISNUMBER(P1064)),IF(Q1063=0,1,0),0)</f>
        <v>1</v>
      </c>
      <c r="S1064" s="56" t="n">
        <f aca="false">R1064*(B1064&gt;=Train_Start)*(B1064&lt;=Train_End)</f>
        <v>1</v>
      </c>
      <c r="T1064" s="84" t="n">
        <f aca="false">IF(AND(ISNUMBER(O1064),ISNUMBER(P1064)),Coef_A+Coef_B1*O1064+Coef_B2*P1064,"")</f>
        <v>22.7283020629885</v>
      </c>
      <c r="U1064" s="84" t="n">
        <f aca="false">IF(AND(R1064=1,ISNUMBER(T1064)),E1064-T1064,"")</f>
        <v>-1.62830206298847</v>
      </c>
      <c r="V1064" s="84" t="n">
        <f aca="false">IF(ISNUMBER(T1064),T1064,-99)</f>
        <v>22.7283020629885</v>
      </c>
      <c r="W1064" s="84" t="n">
        <f aca="false">IF(ISNUMBER(U1064),ABS(U1064),"")</f>
        <v>1.62830206298847</v>
      </c>
    </row>
    <row r="1065" customFormat="false" ht="15" hidden="false" customHeight="false" outlineLevel="0" collapsed="false">
      <c r="A1065" s="57" t="n">
        <v>31313</v>
      </c>
      <c r="B1065" s="56" t="n">
        <v>1985</v>
      </c>
      <c r="C1065" s="56" t="n">
        <v>9</v>
      </c>
      <c r="D1065" s="56" t="n">
        <v>146</v>
      </c>
      <c r="E1065" s="56" t="n">
        <v>18.9</v>
      </c>
      <c r="F1065" s="56" t="n">
        <v>0</v>
      </c>
      <c r="G1065" s="56" t="n">
        <v>13.7</v>
      </c>
      <c r="H1065" s="56" t="n">
        <v>0</v>
      </c>
      <c r="I1065" s="56" t="n">
        <v>17.4</v>
      </c>
      <c r="J1065" s="56" t="n">
        <v>0</v>
      </c>
      <c r="K1065" s="56" t="n">
        <v>1019.3</v>
      </c>
      <c r="L1065" s="56" t="n">
        <v>0</v>
      </c>
      <c r="M1065" s="56" t="n">
        <v>74</v>
      </c>
      <c r="N1065" s="56" t="n">
        <v>8.7</v>
      </c>
      <c r="O1065" s="56" t="n">
        <f aca="false">IF(D1065=1,"",E1064)</f>
        <v>21.1</v>
      </c>
      <c r="P1065" s="56" t="n">
        <f aca="false">IF(OR(D1065=1,K1064=""),"",K1064)</f>
        <v>1014.9</v>
      </c>
      <c r="Q1065" s="56" t="n">
        <f aca="false">IF(OR(F1065&lt;&gt;0,AND(I1065&lt;&gt;"",E1065&lt;I1065)),1,0)</f>
        <v>0</v>
      </c>
      <c r="R1065" s="56" t="n">
        <f aca="false">IF(AND(D1065&gt;1,Q1065=0,ISNUMBER(O1065),ISNUMBER(P1065)),IF(Q1064=0,1,0),0)</f>
        <v>1</v>
      </c>
      <c r="S1065" s="56" t="n">
        <f aca="false">R1065*(B1065&gt;=Train_Start)*(B1065&lt;=Train_End)</f>
        <v>1</v>
      </c>
      <c r="T1065" s="84" t="n">
        <f aca="false">IF(AND(ISNUMBER(O1065),ISNUMBER(P1065)),Coef_A+Coef_B1*O1065+Coef_B2*P1065,"")</f>
        <v>21.2123384592316</v>
      </c>
      <c r="U1065" s="84" t="n">
        <f aca="false">IF(AND(R1065=1,ISNUMBER(T1065)),E1065-T1065,"")</f>
        <v>-2.31233845923161</v>
      </c>
      <c r="V1065" s="84" t="n">
        <f aca="false">IF(ISNUMBER(T1065),T1065,-99)</f>
        <v>21.2123384592316</v>
      </c>
      <c r="W1065" s="84" t="n">
        <f aca="false">IF(ISNUMBER(U1065),ABS(U1065),"")</f>
        <v>2.31233845923161</v>
      </c>
    </row>
    <row r="1066" customFormat="false" ht="15" hidden="false" customHeight="false" outlineLevel="0" collapsed="false">
      <c r="A1066" s="57" t="n">
        <v>31314</v>
      </c>
      <c r="B1066" s="56" t="n">
        <v>1985</v>
      </c>
      <c r="C1066" s="56" t="n">
        <v>9</v>
      </c>
      <c r="D1066" s="56" t="n">
        <v>147</v>
      </c>
      <c r="E1066" s="56" t="n">
        <v>19.8</v>
      </c>
      <c r="F1066" s="56" t="n">
        <v>0</v>
      </c>
      <c r="G1066" s="56" t="n">
        <v>11</v>
      </c>
      <c r="H1066" s="56" t="n">
        <v>0</v>
      </c>
      <c r="I1066" s="56" t="n">
        <v>15</v>
      </c>
      <c r="J1066" s="56" t="n">
        <v>0</v>
      </c>
      <c r="K1066" s="56" t="n">
        <v>1020.2</v>
      </c>
      <c r="L1066" s="56" t="n">
        <v>0</v>
      </c>
      <c r="M1066" s="56" t="n">
        <v>79</v>
      </c>
      <c r="N1066" s="56" t="n">
        <v>0.8</v>
      </c>
      <c r="O1066" s="56" t="n">
        <f aca="false">IF(D1066=1,"",E1065)</f>
        <v>18.9</v>
      </c>
      <c r="P1066" s="56" t="n">
        <f aca="false">IF(OR(D1066=1,K1065=""),"",K1065)</f>
        <v>1019.3</v>
      </c>
      <c r="Q1066" s="56" t="n">
        <f aca="false">IF(OR(F1066&lt;&gt;0,AND(I1066&lt;&gt;"",E1066&lt;I1066)),1,0)</f>
        <v>0</v>
      </c>
      <c r="R1066" s="56" t="n">
        <f aca="false">IF(AND(D1066&gt;1,Q1066=0,ISNUMBER(O1066),ISNUMBER(P1066)),IF(Q1065=0,1,0),0)</f>
        <v>1</v>
      </c>
      <c r="S1066" s="56" t="n">
        <f aca="false">R1066*(B1066&gt;=Train_Start)*(B1066&lt;=Train_End)</f>
        <v>1</v>
      </c>
      <c r="T1066" s="84" t="n">
        <f aca="false">IF(AND(ISNUMBER(O1066),ISNUMBER(P1066)),Coef_A+Coef_B1*O1066+Coef_B2*P1066,"")</f>
        <v>19.5478197709273</v>
      </c>
      <c r="U1066" s="84" t="n">
        <f aca="false">IF(AND(R1066=1,ISNUMBER(T1066)),E1066-T1066,"")</f>
        <v>0.252180229072689</v>
      </c>
      <c r="V1066" s="84" t="n">
        <f aca="false">IF(ISNUMBER(T1066),T1066,-99)</f>
        <v>19.5478197709273</v>
      </c>
      <c r="W1066" s="84" t="n">
        <f aca="false">IF(ISNUMBER(U1066),ABS(U1066),"")</f>
        <v>0.252180229072689</v>
      </c>
    </row>
    <row r="1067" customFormat="false" ht="15" hidden="false" customHeight="false" outlineLevel="0" collapsed="false">
      <c r="A1067" s="57" t="n">
        <v>31315</v>
      </c>
      <c r="B1067" s="56" t="n">
        <v>1985</v>
      </c>
      <c r="C1067" s="56" t="n">
        <v>9</v>
      </c>
      <c r="D1067" s="56" t="n">
        <v>148</v>
      </c>
      <c r="E1067" s="56" t="n">
        <v>24.1</v>
      </c>
      <c r="F1067" s="56" t="n">
        <v>0</v>
      </c>
      <c r="G1067" s="56" t="n">
        <v>13</v>
      </c>
      <c r="H1067" s="56" t="n">
        <v>0</v>
      </c>
      <c r="I1067" s="56" t="n">
        <v>16.4</v>
      </c>
      <c r="J1067" s="56" t="n">
        <v>0</v>
      </c>
      <c r="K1067" s="56" t="n">
        <v>1022.7</v>
      </c>
      <c r="L1067" s="56" t="n">
        <v>0</v>
      </c>
      <c r="M1067" s="56" t="n">
        <v>82</v>
      </c>
      <c r="N1067" s="56" t="n">
        <v>0.4</v>
      </c>
      <c r="O1067" s="56" t="n">
        <f aca="false">IF(D1067=1,"",E1066)</f>
        <v>19.8</v>
      </c>
      <c r="P1067" s="56" t="n">
        <f aca="false">IF(OR(D1067=1,K1066=""),"",K1066)</f>
        <v>1020.2</v>
      </c>
      <c r="Q1067" s="56" t="n">
        <f aca="false">IF(OR(F1067&lt;&gt;0,AND(I1067&lt;&gt;"",E1067&lt;I1067)),1,0)</f>
        <v>0</v>
      </c>
      <c r="R1067" s="56" t="n">
        <f aca="false">IF(AND(D1067&gt;1,Q1067=0,ISNUMBER(O1067),ISNUMBER(P1067)),IF(Q1066=0,1,0),0)</f>
        <v>1</v>
      </c>
      <c r="S1067" s="56" t="n">
        <f aca="false">R1067*(B1067&gt;=Train_Start)*(B1067&lt;=Train_End)</f>
        <v>1</v>
      </c>
      <c r="T1067" s="84" t="n">
        <f aca="false">IF(AND(ISNUMBER(O1067),ISNUMBER(P1067)),Coef_A+Coef_B1*O1067+Coef_B2*P1067,"")</f>
        <v>20.3134579498363</v>
      </c>
      <c r="U1067" s="84" t="n">
        <f aca="false">IF(AND(R1067=1,ISNUMBER(T1067)),E1067-T1067,"")</f>
        <v>3.7865420501637</v>
      </c>
      <c r="V1067" s="84" t="n">
        <f aca="false">IF(ISNUMBER(T1067),T1067,-99)</f>
        <v>20.3134579498363</v>
      </c>
      <c r="W1067" s="84" t="n">
        <f aca="false">IF(ISNUMBER(U1067),ABS(U1067),"")</f>
        <v>3.7865420501637</v>
      </c>
    </row>
    <row r="1068" customFormat="false" ht="15" hidden="false" customHeight="false" outlineLevel="0" collapsed="false">
      <c r="A1068" s="57" t="n">
        <v>31316</v>
      </c>
      <c r="B1068" s="56" t="n">
        <v>1985</v>
      </c>
      <c r="C1068" s="56" t="n">
        <v>9</v>
      </c>
      <c r="D1068" s="56" t="n">
        <v>149</v>
      </c>
      <c r="E1068" s="56" t="n">
        <v>22.9</v>
      </c>
      <c r="F1068" s="56" t="n">
        <v>0</v>
      </c>
      <c r="G1068" s="56" t="n">
        <v>13</v>
      </c>
      <c r="H1068" s="56" t="n">
        <v>0</v>
      </c>
      <c r="I1068" s="56" t="n">
        <v>18.6</v>
      </c>
      <c r="J1068" s="56" t="n">
        <v>0</v>
      </c>
      <c r="K1068" s="56" t="n">
        <v>1027.1</v>
      </c>
      <c r="L1068" s="56" t="n">
        <v>0</v>
      </c>
      <c r="M1068" s="56" t="n">
        <v>75</v>
      </c>
      <c r="N1068" s="56" t="n">
        <v>7.4</v>
      </c>
      <c r="O1068" s="56" t="n">
        <f aca="false">IF(D1068=1,"",E1067)</f>
        <v>24.1</v>
      </c>
      <c r="P1068" s="56" t="n">
        <f aca="false">IF(OR(D1068=1,K1067=""),"",K1067)</f>
        <v>1022.7</v>
      </c>
      <c r="Q1068" s="56" t="n">
        <f aca="false">IF(OR(F1068&lt;&gt;0,AND(I1068&lt;&gt;"",E1068&lt;I1068)),1,0)</f>
        <v>0</v>
      </c>
      <c r="R1068" s="56" t="n">
        <f aca="false">IF(AND(D1068&gt;1,Q1068=0,ISNUMBER(O1068),ISNUMBER(P1068)),IF(Q1067=0,1,0),0)</f>
        <v>1</v>
      </c>
      <c r="S1068" s="56" t="n">
        <f aca="false">R1068*(B1068&gt;=Train_Start)*(B1068&lt;=Train_End)</f>
        <v>1</v>
      </c>
      <c r="T1068" s="84" t="n">
        <f aca="false">IF(AND(ISNUMBER(O1068),ISNUMBER(P1068)),Coef_A+Coef_B1*O1068+Coef_B2*P1068,"")</f>
        <v>23.9150412165047</v>
      </c>
      <c r="U1068" s="84" t="n">
        <f aca="false">IF(AND(R1068=1,ISNUMBER(T1068)),E1068-T1068,"")</f>
        <v>-1.01504121650471</v>
      </c>
      <c r="V1068" s="84" t="n">
        <f aca="false">IF(ISNUMBER(T1068),T1068,-99)</f>
        <v>23.9150412165047</v>
      </c>
      <c r="W1068" s="84" t="n">
        <f aca="false">IF(ISNUMBER(U1068),ABS(U1068),"")</f>
        <v>1.01504121650471</v>
      </c>
    </row>
    <row r="1069" customFormat="false" ht="15" hidden="false" customHeight="false" outlineLevel="0" collapsed="false">
      <c r="A1069" s="57" t="n">
        <v>31317</v>
      </c>
      <c r="B1069" s="56" t="n">
        <v>1985</v>
      </c>
      <c r="C1069" s="56" t="n">
        <v>9</v>
      </c>
      <c r="D1069" s="56" t="n">
        <v>150</v>
      </c>
      <c r="E1069" s="56" t="n">
        <v>22.1</v>
      </c>
      <c r="F1069" s="56" t="n">
        <v>0</v>
      </c>
      <c r="G1069" s="56" t="n">
        <v>11.4</v>
      </c>
      <c r="H1069" s="56" t="n">
        <v>0</v>
      </c>
      <c r="I1069" s="56" t="n">
        <v>17.2</v>
      </c>
      <c r="J1069" s="56" t="n">
        <v>0</v>
      </c>
      <c r="K1069" s="56" t="n">
        <v>1027.8</v>
      </c>
      <c r="L1069" s="56" t="n">
        <v>0</v>
      </c>
      <c r="M1069" s="56" t="n">
        <v>77</v>
      </c>
      <c r="N1069" s="56" t="n">
        <v>8.7</v>
      </c>
      <c r="O1069" s="56" t="n">
        <f aca="false">IF(D1069=1,"",E1068)</f>
        <v>22.9</v>
      </c>
      <c r="P1069" s="56" t="n">
        <f aca="false">IF(OR(D1069=1,K1068=""),"",K1068)</f>
        <v>1027.1</v>
      </c>
      <c r="Q1069" s="56" t="n">
        <f aca="false">IF(OR(F1069&lt;&gt;0,AND(I1069&lt;&gt;"",E1069&lt;I1069)),1,0)</f>
        <v>0</v>
      </c>
      <c r="R1069" s="56" t="n">
        <f aca="false">IF(AND(D1069&gt;1,Q1069=0,ISNUMBER(O1069),ISNUMBER(P1069)),IF(Q1068=0,1,0),0)</f>
        <v>1</v>
      </c>
      <c r="S1069" s="56" t="n">
        <f aca="false">R1069*(B1069&gt;=Train_Start)*(B1069&lt;=Train_End)</f>
        <v>1</v>
      </c>
      <c r="T1069" s="84" t="n">
        <f aca="false">IF(AND(ISNUMBER(O1069),ISNUMBER(P1069)),Coef_A+Coef_B1*O1069+Coef_B2*P1069,"")</f>
        <v>23.0698617212431</v>
      </c>
      <c r="U1069" s="84" t="n">
        <f aca="false">IF(AND(R1069=1,ISNUMBER(T1069)),E1069-T1069,"")</f>
        <v>-0.969861721243053</v>
      </c>
      <c r="V1069" s="84" t="n">
        <f aca="false">IF(ISNUMBER(T1069),T1069,-99)</f>
        <v>23.0698617212431</v>
      </c>
      <c r="W1069" s="84" t="n">
        <f aca="false">IF(ISNUMBER(U1069),ABS(U1069),"")</f>
        <v>0.969861721243053</v>
      </c>
    </row>
    <row r="1070" customFormat="false" ht="15" hidden="false" customHeight="false" outlineLevel="0" collapsed="false">
      <c r="A1070" s="57" t="n">
        <v>31318</v>
      </c>
      <c r="B1070" s="56" t="n">
        <v>1985</v>
      </c>
      <c r="C1070" s="56" t="n">
        <v>9</v>
      </c>
      <c r="D1070" s="56" t="n">
        <v>151</v>
      </c>
      <c r="E1070" s="56" t="n">
        <v>24</v>
      </c>
      <c r="F1070" s="56" t="n">
        <v>0</v>
      </c>
      <c r="G1070" s="56" t="n">
        <v>8.6</v>
      </c>
      <c r="H1070" s="56" t="n">
        <v>0</v>
      </c>
      <c r="I1070" s="56" t="n">
        <v>15.4</v>
      </c>
      <c r="J1070" s="56" t="n">
        <v>0</v>
      </c>
      <c r="K1070" s="56" t="n">
        <v>1027.3</v>
      </c>
      <c r="L1070" s="56" t="n">
        <v>0</v>
      </c>
      <c r="M1070" s="56" t="n">
        <v>84</v>
      </c>
      <c r="N1070" s="56" t="n">
        <v>6.6</v>
      </c>
      <c r="O1070" s="56" t="n">
        <f aca="false">IF(D1070=1,"",E1069)</f>
        <v>22.1</v>
      </c>
      <c r="P1070" s="56" t="n">
        <f aca="false">IF(OR(D1070=1,K1069=""),"",K1069)</f>
        <v>1027.8</v>
      </c>
      <c r="Q1070" s="56" t="n">
        <f aca="false">IF(OR(F1070&lt;&gt;0,AND(I1070&lt;&gt;"",E1070&lt;I1070)),1,0)</f>
        <v>0</v>
      </c>
      <c r="R1070" s="56" t="n">
        <f aca="false">IF(AND(D1070&gt;1,Q1070=0,ISNUMBER(O1070),ISNUMBER(P1070)),IF(Q1069=0,1,0),0)</f>
        <v>1</v>
      </c>
      <c r="S1070" s="56" t="n">
        <f aca="false">R1070*(B1070&gt;=Train_Start)*(B1070&lt;=Train_End)</f>
        <v>1</v>
      </c>
      <c r="T1070" s="84" t="n">
        <f aca="false">IF(AND(ISNUMBER(O1070),ISNUMBER(P1070)),Coef_A+Coef_B1*O1070+Coef_B2*P1070,"")</f>
        <v>22.4363492930527</v>
      </c>
      <c r="U1070" s="84" t="n">
        <f aca="false">IF(AND(R1070=1,ISNUMBER(T1070)),E1070-T1070,"")</f>
        <v>1.56365070694727</v>
      </c>
      <c r="V1070" s="84" t="n">
        <f aca="false">IF(ISNUMBER(T1070),T1070,-99)</f>
        <v>22.4363492930527</v>
      </c>
      <c r="W1070" s="84" t="n">
        <f aca="false">IF(ISNUMBER(U1070),ABS(U1070),"")</f>
        <v>1.56365070694727</v>
      </c>
    </row>
    <row r="1071" customFormat="false" ht="15" hidden="false" customHeight="false" outlineLevel="0" collapsed="false">
      <c r="A1071" s="57" t="n">
        <v>31319</v>
      </c>
      <c r="B1071" s="56" t="n">
        <v>1985</v>
      </c>
      <c r="C1071" s="56" t="n">
        <v>9</v>
      </c>
      <c r="D1071" s="56" t="n">
        <v>152</v>
      </c>
      <c r="E1071" s="56" t="n">
        <v>25</v>
      </c>
      <c r="F1071" s="56" t="n">
        <v>0</v>
      </c>
      <c r="G1071" s="56" t="n">
        <v>12.4</v>
      </c>
      <c r="H1071" s="56" t="n">
        <v>0</v>
      </c>
      <c r="I1071" s="56" t="n">
        <v>18.2</v>
      </c>
      <c r="J1071" s="56" t="n">
        <v>0</v>
      </c>
      <c r="K1071" s="56" t="n">
        <v>1025.4</v>
      </c>
      <c r="L1071" s="56" t="n">
        <v>0</v>
      </c>
      <c r="M1071" s="56" t="n">
        <v>81</v>
      </c>
      <c r="N1071" s="56" t="n">
        <v>7.9</v>
      </c>
      <c r="O1071" s="56" t="n">
        <f aca="false">IF(D1071=1,"",E1070)</f>
        <v>24</v>
      </c>
      <c r="P1071" s="56" t="n">
        <f aca="false">IF(OR(D1071=1,K1070=""),"",K1070)</f>
        <v>1027.3</v>
      </c>
      <c r="Q1071" s="56" t="n">
        <f aca="false">IF(OR(F1071&lt;&gt;0,AND(I1071&lt;&gt;"",E1071&lt;I1071)),1,0)</f>
        <v>0</v>
      </c>
      <c r="R1071" s="56" t="n">
        <f aca="false">IF(AND(D1071&gt;1,Q1071=0,ISNUMBER(O1071),ISNUMBER(P1071)),IF(Q1070=0,1,0),0)</f>
        <v>1</v>
      </c>
      <c r="S1071" s="56" t="n">
        <f aca="false">R1071*(B1071&gt;=Train_Start)*(B1071&lt;=Train_End)</f>
        <v>1</v>
      </c>
      <c r="T1071" s="84" t="n">
        <f aca="false">IF(AND(ISNUMBER(O1071),ISNUMBER(P1071)),Coef_A+Coef_B1*O1071+Coef_B2*P1071,"")</f>
        <v>23.9774088125168</v>
      </c>
      <c r="U1071" s="84" t="n">
        <f aca="false">IF(AND(R1071=1,ISNUMBER(T1071)),E1071-T1071,"")</f>
        <v>1.02259118748322</v>
      </c>
      <c r="V1071" s="84" t="n">
        <f aca="false">IF(ISNUMBER(T1071),T1071,-99)</f>
        <v>23.9774088125168</v>
      </c>
      <c r="W1071" s="84" t="n">
        <f aca="false">IF(ISNUMBER(U1071),ABS(U1071),"")</f>
        <v>1.02259118748322</v>
      </c>
    </row>
    <row r="1072" customFormat="false" ht="15" hidden="false" customHeight="false" outlineLevel="0" collapsed="false">
      <c r="A1072" s="57" t="n">
        <v>31320</v>
      </c>
      <c r="B1072" s="56" t="n">
        <v>1985</v>
      </c>
      <c r="C1072" s="56" t="n">
        <v>9</v>
      </c>
      <c r="D1072" s="56" t="n">
        <v>153</v>
      </c>
      <c r="E1072" s="56" t="n">
        <v>27</v>
      </c>
      <c r="F1072" s="56" t="n">
        <v>0</v>
      </c>
      <c r="G1072" s="56" t="n">
        <v>12.2</v>
      </c>
      <c r="H1072" s="56" t="n">
        <v>0</v>
      </c>
      <c r="I1072" s="56" t="n">
        <v>18.6</v>
      </c>
      <c r="J1072" s="56" t="n">
        <v>0</v>
      </c>
      <c r="K1072" s="56" t="n">
        <v>1022.9</v>
      </c>
      <c r="L1072" s="56" t="n">
        <v>0</v>
      </c>
      <c r="M1072" s="56" t="n">
        <v>86</v>
      </c>
      <c r="N1072" s="56" t="n">
        <v>4.8</v>
      </c>
      <c r="O1072" s="56" t="n">
        <f aca="false">IF(D1072=1,"",E1071)</f>
        <v>25</v>
      </c>
      <c r="P1072" s="56" t="n">
        <f aca="false">IF(OR(D1072=1,K1071=""),"",K1071)</f>
        <v>1025.4</v>
      </c>
      <c r="Q1072" s="56" t="n">
        <f aca="false">IF(OR(F1072&lt;&gt;0,AND(I1072&lt;&gt;"",E1072&lt;I1072)),1,0)</f>
        <v>0</v>
      </c>
      <c r="R1072" s="56" t="n">
        <f aca="false">IF(AND(D1072&gt;1,Q1072=0,ISNUMBER(O1072),ISNUMBER(P1072)),IF(Q1071=0,1,0),0)</f>
        <v>1</v>
      </c>
      <c r="S1072" s="56" t="n">
        <f aca="false">R1072*(B1072&gt;=Train_Start)*(B1072&lt;=Train_End)</f>
        <v>1</v>
      </c>
      <c r="T1072" s="84" t="n">
        <f aca="false">IF(AND(ISNUMBER(O1072),ISNUMBER(P1072)),Coef_A+Coef_B1*O1072+Coef_B2*P1072,"")</f>
        <v>24.7371452057549</v>
      </c>
      <c r="U1072" s="84" t="n">
        <f aca="false">IF(AND(R1072=1,ISNUMBER(T1072)),E1072-T1072,"")</f>
        <v>2.26285479424514</v>
      </c>
      <c r="V1072" s="84" t="n">
        <f aca="false">IF(ISNUMBER(T1072),T1072,-99)</f>
        <v>24.7371452057549</v>
      </c>
      <c r="W1072" s="84" t="n">
        <f aca="false">IF(ISNUMBER(U1072),ABS(U1072),"")</f>
        <v>2.26285479424514</v>
      </c>
    </row>
    <row r="1073" customFormat="false" ht="15" hidden="false" customHeight="false" outlineLevel="0" collapsed="false">
      <c r="A1073" s="57" t="n">
        <v>31533</v>
      </c>
      <c r="B1073" s="56" t="n">
        <v>1986</v>
      </c>
      <c r="C1073" s="56" t="n">
        <v>5</v>
      </c>
      <c r="D1073" s="56" t="n">
        <v>1</v>
      </c>
      <c r="E1073" s="56" t="n">
        <v>22</v>
      </c>
      <c r="F1073" s="56" t="n">
        <v>0</v>
      </c>
      <c r="G1073" s="56" t="n">
        <v>5</v>
      </c>
      <c r="H1073" s="56" t="n">
        <v>0</v>
      </c>
      <c r="I1073" s="56" t="n">
        <v>12.4</v>
      </c>
      <c r="J1073" s="56" t="n">
        <v>0</v>
      </c>
      <c r="K1073" s="56" t="n">
        <v>1022.5</v>
      </c>
      <c r="L1073" s="56" t="n">
        <v>0</v>
      </c>
      <c r="M1073" s="56" t="n">
        <v>62</v>
      </c>
      <c r="N1073" s="56" t="n">
        <v>13.2</v>
      </c>
      <c r="O1073" s="56" t="str">
        <f aca="false">IF(D1073=1,"",E1072)</f>
        <v/>
      </c>
      <c r="P1073" s="56" t="str">
        <f aca="false">IF(OR(D1073=1,K1072=""),"",K1072)</f>
        <v/>
      </c>
      <c r="Q1073" s="56" t="n">
        <f aca="false">IF(OR(F1073&lt;&gt;0,AND(I1073&lt;&gt;"",E1073&lt;I1073)),1,0)</f>
        <v>0</v>
      </c>
      <c r="R1073" s="56" t="n">
        <f aca="false">IF(AND(D1073&gt;1,Q1073=0,ISNUMBER(O1073),ISNUMBER(P1073)),IF(Q1072=0,1,0),0)</f>
        <v>0</v>
      </c>
      <c r="S1073" s="56" t="n">
        <f aca="false">R1073*(B1073&gt;=Train_Start)*(B1073&lt;=Train_End)</f>
        <v>0</v>
      </c>
      <c r="T1073" s="84" t="str">
        <f aca="false">IF(AND(ISNUMBER(O1073),ISNUMBER(P1073)),Coef_A+Coef_B1*O1073+Coef_B2*P1073,"")</f>
        <v/>
      </c>
      <c r="U1073" s="84" t="str">
        <f aca="false">IF(AND(R1073=1,ISNUMBER(T1073)),E1073-T1073,"")</f>
        <v/>
      </c>
      <c r="V1073" s="84" t="n">
        <f aca="false">IF(ISNUMBER(T1073),T1073,-99)</f>
        <v>-99</v>
      </c>
      <c r="W1073" s="84" t="str">
        <f aca="false">IF(ISNUMBER(U1073),ABS(U1073),"")</f>
        <v/>
      </c>
    </row>
    <row r="1074" customFormat="false" ht="15" hidden="false" customHeight="false" outlineLevel="0" collapsed="false">
      <c r="A1074" s="57" t="n">
        <v>31534</v>
      </c>
      <c r="B1074" s="56" t="n">
        <v>1986</v>
      </c>
      <c r="C1074" s="56" t="n">
        <v>5</v>
      </c>
      <c r="D1074" s="56" t="n">
        <v>2</v>
      </c>
      <c r="E1074" s="56" t="n">
        <v>12.7</v>
      </c>
      <c r="F1074" s="56" t="n">
        <v>1</v>
      </c>
      <c r="G1074" s="56" t="n">
        <v>8</v>
      </c>
      <c r="H1074" s="56" t="n">
        <v>0</v>
      </c>
      <c r="I1074" s="56" t="n">
        <v>15</v>
      </c>
      <c r="J1074" s="56" t="n">
        <v>1</v>
      </c>
      <c r="K1074" s="56" t="n">
        <v>1007.6</v>
      </c>
      <c r="L1074" s="56" t="n">
        <v>0</v>
      </c>
      <c r="M1074" s="56" t="n">
        <v>63</v>
      </c>
      <c r="N1074" s="56" t="n">
        <v>7.7</v>
      </c>
      <c r="O1074" s="56" t="n">
        <f aca="false">IF(D1074=1,"",E1073)</f>
        <v>22</v>
      </c>
      <c r="P1074" s="56" t="n">
        <f aca="false">IF(OR(D1074=1,K1073=""),"",K1073)</f>
        <v>1022.5</v>
      </c>
      <c r="Q1074" s="56" t="n">
        <f aca="false">IF(OR(F1074&lt;&gt;0,AND(I1074&lt;&gt;"",E1074&lt;I1074)),1,0)</f>
        <v>1</v>
      </c>
      <c r="R1074" s="56" t="n">
        <f aca="false">IF(AND(D1074&gt;1,Q1074=0,ISNUMBER(O1074),ISNUMBER(P1074)),IF(Q1073=0,1,0),0)</f>
        <v>0</v>
      </c>
      <c r="S1074" s="56" t="n">
        <f aca="false">R1074*(B1074&gt;=Train_Start)*(B1074&lt;=Train_End)</f>
        <v>0</v>
      </c>
      <c r="T1074" s="84" t="n">
        <f aca="false">IF(AND(ISNUMBER(O1074),ISNUMBER(P1074)),Coef_A+Coef_B1*O1074+Coef_B2*P1074,"")</f>
        <v>22.1881549321883</v>
      </c>
      <c r="U1074" s="84" t="str">
        <f aca="false">IF(AND(R1074=1,ISNUMBER(T1074)),E1074-T1074,"")</f>
        <v/>
      </c>
      <c r="V1074" s="84" t="n">
        <f aca="false">IF(ISNUMBER(T1074),T1074,-99)</f>
        <v>22.1881549321883</v>
      </c>
      <c r="W1074" s="84" t="str">
        <f aca="false">IF(ISNUMBER(U1074),ABS(U1074),"")</f>
        <v/>
      </c>
    </row>
    <row r="1075" customFormat="false" ht="15" hidden="false" customHeight="false" outlineLevel="0" collapsed="false">
      <c r="A1075" s="57" t="n">
        <v>31535</v>
      </c>
      <c r="B1075" s="56" t="n">
        <v>1986</v>
      </c>
      <c r="C1075" s="56" t="n">
        <v>5</v>
      </c>
      <c r="D1075" s="56" t="n">
        <v>3</v>
      </c>
      <c r="E1075" s="56" t="n">
        <v>14.1</v>
      </c>
      <c r="F1075" s="56" t="n">
        <v>0</v>
      </c>
      <c r="G1075" s="56" t="n">
        <v>8.8</v>
      </c>
      <c r="H1075" s="56" t="n">
        <v>0</v>
      </c>
      <c r="I1075" s="56" t="n">
        <v>10.8</v>
      </c>
      <c r="J1075" s="56" t="n">
        <v>0</v>
      </c>
      <c r="K1075" s="56" t="n">
        <v>1007</v>
      </c>
      <c r="L1075" s="56" t="n">
        <v>0</v>
      </c>
      <c r="M1075" s="56" t="n">
        <v>70</v>
      </c>
      <c r="N1075" s="56" t="n">
        <v>4</v>
      </c>
      <c r="O1075" s="56" t="n">
        <f aca="false">IF(D1075=1,"",E1074)</f>
        <v>12.7</v>
      </c>
      <c r="P1075" s="56" t="n">
        <f aca="false">IF(OR(D1075=1,K1074=""),"",K1074)</f>
        <v>1007.6</v>
      </c>
      <c r="Q1075" s="56" t="n">
        <f aca="false">IF(OR(F1075&lt;&gt;0,AND(I1075&lt;&gt;"",E1075&lt;I1075)),1,0)</f>
        <v>0</v>
      </c>
      <c r="R1075" s="56" t="n">
        <f aca="false">IF(AND(D1075&gt;1,Q1075=0,ISNUMBER(O1075),ISNUMBER(P1075)),IF(Q1074=0,1,0),0)</f>
        <v>0</v>
      </c>
      <c r="S1075" s="56" t="n">
        <f aca="false">R1075*(B1075&gt;=Train_Start)*(B1075&lt;=Train_End)</f>
        <v>0</v>
      </c>
      <c r="T1075" s="84" t="n">
        <f aca="false">IF(AND(ISNUMBER(O1075),ISNUMBER(P1075)),Coef_A+Coef_B1*O1075+Coef_B2*P1075,"")</f>
        <v>14.1008890068452</v>
      </c>
      <c r="U1075" s="84" t="str">
        <f aca="false">IF(AND(R1075=1,ISNUMBER(T1075)),E1075-T1075,"")</f>
        <v/>
      </c>
      <c r="V1075" s="84" t="n">
        <f aca="false">IF(ISNUMBER(T1075),T1075,-99)</f>
        <v>14.1008890068452</v>
      </c>
      <c r="W1075" s="84" t="str">
        <f aca="false">IF(ISNUMBER(U1075),ABS(U1075),"")</f>
        <v/>
      </c>
    </row>
    <row r="1076" customFormat="false" ht="15" hidden="false" customHeight="false" outlineLevel="0" collapsed="false">
      <c r="A1076" s="57" t="n">
        <v>31536</v>
      </c>
      <c r="B1076" s="56" t="n">
        <v>1986</v>
      </c>
      <c r="C1076" s="56" t="n">
        <v>5</v>
      </c>
      <c r="D1076" s="56" t="n">
        <v>4</v>
      </c>
      <c r="E1076" s="56" t="n">
        <v>14.5</v>
      </c>
      <c r="F1076" s="56" t="n">
        <v>0</v>
      </c>
      <c r="G1076" s="56" t="n">
        <v>7.9</v>
      </c>
      <c r="H1076" s="56" t="n">
        <v>0</v>
      </c>
      <c r="I1076" s="56" t="n">
        <v>11</v>
      </c>
      <c r="J1076" s="56" t="n">
        <v>0</v>
      </c>
      <c r="K1076" s="56" t="n">
        <v>1005.8</v>
      </c>
      <c r="L1076" s="56" t="n">
        <v>0</v>
      </c>
      <c r="M1076" s="56" t="n">
        <v>66</v>
      </c>
      <c r="N1076" s="56" t="n">
        <v>2.4</v>
      </c>
      <c r="O1076" s="56" t="n">
        <f aca="false">IF(D1076=1,"",E1075)</f>
        <v>14.1</v>
      </c>
      <c r="P1076" s="56" t="n">
        <f aca="false">IF(OR(D1076=1,K1075=""),"",K1075)</f>
        <v>1007</v>
      </c>
      <c r="Q1076" s="56" t="n">
        <f aca="false">IF(OR(F1076&lt;&gt;0,AND(I1076&lt;&gt;"",E1076&lt;I1076)),1,0)</f>
        <v>0</v>
      </c>
      <c r="R1076" s="56" t="n">
        <f aca="false">IF(AND(D1076&gt;1,Q1076=0,ISNUMBER(O1076),ISNUMBER(P1076)),IF(Q1075=0,1,0),0)</f>
        <v>1</v>
      </c>
      <c r="S1076" s="56" t="n">
        <f aca="false">R1076*(B1076&gt;=Train_Start)*(B1076&lt;=Train_End)</f>
        <v>1</v>
      </c>
      <c r="T1076" s="84" t="n">
        <f aca="false">IF(AND(ISNUMBER(O1076),ISNUMBER(P1076)),Coef_A+Coef_B1*O1076+Coef_B2*P1076,"")</f>
        <v>15.2291419403245</v>
      </c>
      <c r="U1076" s="84" t="n">
        <f aca="false">IF(AND(R1076=1,ISNUMBER(T1076)),E1076-T1076,"")</f>
        <v>-0.729141940324489</v>
      </c>
      <c r="V1076" s="84" t="n">
        <f aca="false">IF(ISNUMBER(T1076),T1076,-99)</f>
        <v>15.2291419403245</v>
      </c>
      <c r="W1076" s="84" t="n">
        <f aca="false">IF(ISNUMBER(U1076),ABS(U1076),"")</f>
        <v>0.729141940324489</v>
      </c>
    </row>
    <row r="1077" customFormat="false" ht="15" hidden="false" customHeight="false" outlineLevel="0" collapsed="false">
      <c r="A1077" s="57" t="n">
        <v>31537</v>
      </c>
      <c r="B1077" s="56" t="n">
        <v>1986</v>
      </c>
      <c r="C1077" s="56" t="n">
        <v>5</v>
      </c>
      <c r="D1077" s="56" t="n">
        <v>5</v>
      </c>
      <c r="E1077" s="56" t="n">
        <v>16.8</v>
      </c>
      <c r="F1077" s="56" t="n">
        <v>0</v>
      </c>
      <c r="G1077" s="56" t="n">
        <v>9.7</v>
      </c>
      <c r="H1077" s="56" t="n">
        <v>0</v>
      </c>
      <c r="I1077" s="56" t="n">
        <v>12.1</v>
      </c>
      <c r="J1077" s="56" t="n">
        <v>0</v>
      </c>
      <c r="K1077" s="56" t="n">
        <v>1005.2</v>
      </c>
      <c r="L1077" s="56" t="n">
        <v>0</v>
      </c>
      <c r="M1077" s="56" t="n">
        <v>68</v>
      </c>
      <c r="N1077" s="56" t="n">
        <v>3.6</v>
      </c>
      <c r="O1077" s="56" t="n">
        <f aca="false">IF(D1077=1,"",E1076)</f>
        <v>14.5</v>
      </c>
      <c r="P1077" s="56" t="n">
        <f aca="false">IF(OR(D1077=1,K1076=""),"",K1076)</f>
        <v>1005.8</v>
      </c>
      <c r="Q1077" s="56" t="n">
        <f aca="false">IF(OR(F1077&lt;&gt;0,AND(I1077&lt;&gt;"",E1077&lt;I1077)),1,0)</f>
        <v>0</v>
      </c>
      <c r="R1077" s="56" t="n">
        <f aca="false">IF(AND(D1077&gt;1,Q1077=0,ISNUMBER(O1077),ISNUMBER(P1077)),IF(Q1076=0,1,0),0)</f>
        <v>1</v>
      </c>
      <c r="S1077" s="56" t="n">
        <f aca="false">R1077*(B1077&gt;=Train_Start)*(B1077&lt;=Train_End)</f>
        <v>1</v>
      </c>
      <c r="T1077" s="84" t="n">
        <f aca="false">IF(AND(ISNUMBER(O1077),ISNUMBER(P1077)),Coef_A+Coef_B1*O1077+Coef_B2*P1077,"")</f>
        <v>15.5192337439808</v>
      </c>
      <c r="U1077" s="84" t="n">
        <f aca="false">IF(AND(R1077=1,ISNUMBER(T1077)),E1077-T1077,"")</f>
        <v>1.28076625601924</v>
      </c>
      <c r="V1077" s="84" t="n">
        <f aca="false">IF(ISNUMBER(T1077),T1077,-99)</f>
        <v>15.5192337439808</v>
      </c>
      <c r="W1077" s="84" t="n">
        <f aca="false">IF(ISNUMBER(U1077),ABS(U1077),"")</f>
        <v>1.28076625601924</v>
      </c>
    </row>
    <row r="1078" customFormat="false" ht="15" hidden="false" customHeight="false" outlineLevel="0" collapsed="false">
      <c r="A1078" s="57" t="n">
        <v>31538</v>
      </c>
      <c r="B1078" s="56" t="n">
        <v>1986</v>
      </c>
      <c r="C1078" s="56" t="n">
        <v>5</v>
      </c>
      <c r="D1078" s="56" t="n">
        <v>6</v>
      </c>
      <c r="E1078" s="56" t="n">
        <v>13.1</v>
      </c>
      <c r="F1078" s="56" t="n">
        <v>0</v>
      </c>
      <c r="G1078" s="56" t="n">
        <v>5.8</v>
      </c>
      <c r="H1078" s="56" t="n">
        <v>0</v>
      </c>
      <c r="I1078" s="56" t="n">
        <v>11.3</v>
      </c>
      <c r="J1078" s="56" t="n">
        <v>0</v>
      </c>
      <c r="K1078" s="56" t="n">
        <v>1007.5</v>
      </c>
      <c r="L1078" s="56" t="n">
        <v>0</v>
      </c>
      <c r="M1078" s="56" t="n">
        <v>72</v>
      </c>
      <c r="N1078" s="56" t="n">
        <v>6</v>
      </c>
      <c r="O1078" s="56" t="n">
        <f aca="false">IF(D1078=1,"",E1077)</f>
        <v>16.8</v>
      </c>
      <c r="P1078" s="56" t="n">
        <f aca="false">IF(OR(D1078=1,K1077=""),"",K1077)</f>
        <v>1005.2</v>
      </c>
      <c r="Q1078" s="56" t="n">
        <f aca="false">IF(OR(F1078&lt;&gt;0,AND(I1078&lt;&gt;"",E1078&lt;I1078)),1,0)</f>
        <v>0</v>
      </c>
      <c r="R1078" s="56" t="n">
        <f aca="false">IF(AND(D1078&gt;1,Q1078=0,ISNUMBER(O1078),ISNUMBER(P1078)),IF(Q1077=0,1,0),0)</f>
        <v>1</v>
      </c>
      <c r="S1078" s="56" t="n">
        <f aca="false">R1078*(B1078&gt;=Train_Start)*(B1078&lt;=Train_End)</f>
        <v>1</v>
      </c>
      <c r="T1078" s="84" t="n">
        <f aca="false">IF(AND(ISNUMBER(O1078),ISNUMBER(P1078)),Coef_A+Coef_B1*O1078+Coef_B2*P1078,"")</f>
        <v>17.3848919511985</v>
      </c>
      <c r="U1078" s="84" t="n">
        <f aca="false">IF(AND(R1078=1,ISNUMBER(T1078)),E1078-T1078,"")</f>
        <v>-4.28489195119848</v>
      </c>
      <c r="V1078" s="84" t="n">
        <f aca="false">IF(ISNUMBER(T1078),T1078,-99)</f>
        <v>17.3848919511985</v>
      </c>
      <c r="W1078" s="84" t="n">
        <f aca="false">IF(ISNUMBER(U1078),ABS(U1078),"")</f>
        <v>4.28489195119848</v>
      </c>
    </row>
    <row r="1079" customFormat="false" ht="15" hidden="false" customHeight="false" outlineLevel="0" collapsed="false">
      <c r="A1079" s="57" t="n">
        <v>31539</v>
      </c>
      <c r="B1079" s="56" t="n">
        <v>1986</v>
      </c>
      <c r="C1079" s="56" t="n">
        <v>5</v>
      </c>
      <c r="D1079" s="56" t="n">
        <v>7</v>
      </c>
      <c r="E1079" s="56" t="n">
        <v>13.9</v>
      </c>
      <c r="F1079" s="56" t="n">
        <v>0</v>
      </c>
      <c r="G1079" s="56" t="n">
        <v>7</v>
      </c>
      <c r="H1079" s="56" t="n">
        <v>0</v>
      </c>
      <c r="I1079" s="56" t="n">
        <v>10</v>
      </c>
      <c r="J1079" s="56" t="n">
        <v>0</v>
      </c>
      <c r="K1079" s="56" t="n">
        <v>1006.2</v>
      </c>
      <c r="L1079" s="56" t="n">
        <v>0</v>
      </c>
      <c r="M1079" s="56" t="n">
        <v>77</v>
      </c>
      <c r="N1079" s="56" t="n">
        <v>4</v>
      </c>
      <c r="O1079" s="56" t="n">
        <f aca="false">IF(D1079=1,"",E1078)</f>
        <v>13.1</v>
      </c>
      <c r="P1079" s="56" t="n">
        <f aca="false">IF(OR(D1079=1,K1078=""),"",K1078)</f>
        <v>1007.5</v>
      </c>
      <c r="Q1079" s="56" t="n">
        <f aca="false">IF(OR(F1079&lt;&gt;0,AND(I1079&lt;&gt;"",E1079&lt;I1079)),1,0)</f>
        <v>0</v>
      </c>
      <c r="R1079" s="56" t="n">
        <f aca="false">IF(AND(D1079&gt;1,Q1079=0,ISNUMBER(O1079),ISNUMBER(P1079)),IF(Q1078=0,1,0),0)</f>
        <v>1</v>
      </c>
      <c r="S1079" s="56" t="n">
        <f aca="false">R1079*(B1079&gt;=Train_Start)*(B1079&lt;=Train_End)</f>
        <v>1</v>
      </c>
      <c r="T1079" s="84" t="n">
        <f aca="false">IF(AND(ISNUMBER(O1079),ISNUMBER(P1079)),Coef_A+Coef_B1*O1079+Coef_B2*P1079,"")</f>
        <v>14.4254876945988</v>
      </c>
      <c r="U1079" s="84" t="n">
        <f aca="false">IF(AND(R1079=1,ISNUMBER(T1079)),E1079-T1079,"")</f>
        <v>-0.525487694598825</v>
      </c>
      <c r="V1079" s="84" t="n">
        <f aca="false">IF(ISNUMBER(T1079),T1079,-99)</f>
        <v>14.4254876945988</v>
      </c>
      <c r="W1079" s="84" t="n">
        <f aca="false">IF(ISNUMBER(U1079),ABS(U1079),"")</f>
        <v>0.525487694598825</v>
      </c>
    </row>
    <row r="1080" customFormat="false" ht="15" hidden="false" customHeight="false" outlineLevel="0" collapsed="false">
      <c r="A1080" s="57" t="n">
        <v>31540</v>
      </c>
      <c r="B1080" s="56" t="n">
        <v>1986</v>
      </c>
      <c r="C1080" s="56" t="n">
        <v>5</v>
      </c>
      <c r="D1080" s="56" t="n">
        <v>8</v>
      </c>
      <c r="E1080" s="56" t="n">
        <v>15.6</v>
      </c>
      <c r="F1080" s="56" t="n">
        <v>0</v>
      </c>
      <c r="G1080" s="56" t="n">
        <v>7.7</v>
      </c>
      <c r="H1080" s="56" t="n">
        <v>0</v>
      </c>
      <c r="I1080" s="56" t="n">
        <v>10.8</v>
      </c>
      <c r="J1080" s="56" t="n">
        <v>0</v>
      </c>
      <c r="K1080" s="56" t="n">
        <v>1013.5</v>
      </c>
      <c r="L1080" s="56" t="n">
        <v>0</v>
      </c>
      <c r="M1080" s="56" t="n">
        <v>77</v>
      </c>
      <c r="N1080" s="56" t="n">
        <v>6.2</v>
      </c>
      <c r="O1080" s="56" t="n">
        <f aca="false">IF(D1080=1,"",E1079)</f>
        <v>13.9</v>
      </c>
      <c r="P1080" s="56" t="n">
        <f aca="false">IF(OR(D1080=1,K1079=""),"",K1079)</f>
        <v>1006.2</v>
      </c>
      <c r="Q1080" s="56" t="n">
        <f aca="false">IF(OR(F1080&lt;&gt;0,AND(I1080&lt;&gt;"",E1080&lt;I1080)),1,0)</f>
        <v>0</v>
      </c>
      <c r="R1080" s="56" t="n">
        <f aca="false">IF(AND(D1080&gt;1,Q1080=0,ISNUMBER(O1080),ISNUMBER(P1080)),IF(Q1079=0,1,0),0)</f>
        <v>1</v>
      </c>
      <c r="S1080" s="56" t="n">
        <f aca="false">R1080*(B1080&gt;=Train_Start)*(B1080&lt;=Train_End)</f>
        <v>1</v>
      </c>
      <c r="T1080" s="84" t="n">
        <f aca="false">IF(AND(ISNUMBER(O1080),ISNUMBER(P1080)),Coef_A+Coef_B1*O1080+Coef_B2*P1080,"")</f>
        <v>15.0401781860088</v>
      </c>
      <c r="U1080" s="84" t="n">
        <f aca="false">IF(AND(R1080=1,ISNUMBER(T1080)),E1080-T1080,"")</f>
        <v>0.559821813991233</v>
      </c>
      <c r="V1080" s="84" t="n">
        <f aca="false">IF(ISNUMBER(T1080),T1080,-99)</f>
        <v>15.0401781860088</v>
      </c>
      <c r="W1080" s="84" t="n">
        <f aca="false">IF(ISNUMBER(U1080),ABS(U1080),"")</f>
        <v>0.559821813991233</v>
      </c>
    </row>
    <row r="1081" customFormat="false" ht="15" hidden="false" customHeight="false" outlineLevel="0" collapsed="false">
      <c r="A1081" s="57" t="n">
        <v>31541</v>
      </c>
      <c r="B1081" s="56" t="n">
        <v>1986</v>
      </c>
      <c r="C1081" s="56" t="n">
        <v>5</v>
      </c>
      <c r="D1081" s="56" t="n">
        <v>9</v>
      </c>
      <c r="E1081" s="56" t="n">
        <v>17.9</v>
      </c>
      <c r="F1081" s="56" t="n">
        <v>0</v>
      </c>
      <c r="G1081" s="56" t="n">
        <v>7.4</v>
      </c>
      <c r="H1081" s="56" t="n">
        <v>0</v>
      </c>
      <c r="I1081" s="56" t="n">
        <v>11.5</v>
      </c>
      <c r="J1081" s="56" t="n">
        <v>0</v>
      </c>
      <c r="K1081" s="56" t="n">
        <v>1017.6</v>
      </c>
      <c r="L1081" s="56" t="n">
        <v>0</v>
      </c>
      <c r="M1081" s="56" t="n">
        <v>86</v>
      </c>
      <c r="N1081" s="56" t="n">
        <v>0.3</v>
      </c>
      <c r="O1081" s="56" t="n">
        <f aca="false">IF(D1081=1,"",E1080)</f>
        <v>15.6</v>
      </c>
      <c r="P1081" s="56" t="n">
        <f aca="false">IF(OR(D1081=1,K1080=""),"",K1080)</f>
        <v>1013.5</v>
      </c>
      <c r="Q1081" s="56" t="n">
        <f aca="false">IF(OR(F1081&lt;&gt;0,AND(I1081&lt;&gt;"",E1081&lt;I1081)),1,0)</f>
        <v>0</v>
      </c>
      <c r="R1081" s="56" t="n">
        <f aca="false">IF(AND(D1081&gt;1,Q1081=0,ISNUMBER(O1081),ISNUMBER(P1081)),IF(Q1080=0,1,0),0)</f>
        <v>1</v>
      </c>
      <c r="S1081" s="56" t="n">
        <f aca="false">R1081*(B1081&gt;=Train_Start)*(B1081&lt;=Train_End)</f>
        <v>1</v>
      </c>
      <c r="T1081" s="84" t="n">
        <f aca="false">IF(AND(ISNUMBER(O1081),ISNUMBER(P1081)),Coef_A+Coef_B1*O1081+Coef_B2*P1081,"")</f>
        <v>16.6620550450094</v>
      </c>
      <c r="U1081" s="84" t="n">
        <f aca="false">IF(AND(R1081=1,ISNUMBER(T1081)),E1081-T1081,"")</f>
        <v>1.2379449549906</v>
      </c>
      <c r="V1081" s="84" t="n">
        <f aca="false">IF(ISNUMBER(T1081),T1081,-99)</f>
        <v>16.6620550450094</v>
      </c>
      <c r="W1081" s="84" t="n">
        <f aca="false">IF(ISNUMBER(U1081),ABS(U1081),"")</f>
        <v>1.2379449549906</v>
      </c>
    </row>
    <row r="1082" customFormat="false" ht="15" hidden="false" customHeight="false" outlineLevel="0" collapsed="false">
      <c r="A1082" s="57" t="n">
        <v>31542</v>
      </c>
      <c r="B1082" s="56" t="n">
        <v>1986</v>
      </c>
      <c r="C1082" s="56" t="n">
        <v>5</v>
      </c>
      <c r="D1082" s="56" t="n">
        <v>10</v>
      </c>
      <c r="E1082" s="56" t="n">
        <v>17</v>
      </c>
      <c r="F1082" s="56" t="n">
        <v>0</v>
      </c>
      <c r="G1082" s="56" t="n">
        <v>11.1</v>
      </c>
      <c r="H1082" s="56" t="n">
        <v>0</v>
      </c>
      <c r="I1082" s="56" t="n">
        <v>14.5</v>
      </c>
      <c r="J1082" s="56" t="n">
        <v>0</v>
      </c>
      <c r="K1082" s="56" t="n">
        <v>1013.3</v>
      </c>
      <c r="L1082" s="56" t="n">
        <v>0</v>
      </c>
      <c r="M1082" s="56" t="n">
        <v>80</v>
      </c>
      <c r="N1082" s="56" t="n">
        <v>3.5</v>
      </c>
      <c r="O1082" s="56" t="n">
        <f aca="false">IF(D1082=1,"",E1081)</f>
        <v>17.9</v>
      </c>
      <c r="P1082" s="56" t="n">
        <f aca="false">IF(OR(D1082=1,K1081=""),"",K1081)</f>
        <v>1017.6</v>
      </c>
      <c r="Q1082" s="56" t="n">
        <f aca="false">IF(OR(F1082&lt;&gt;0,AND(I1082&lt;&gt;"",E1082&lt;I1082)),1,0)</f>
        <v>0</v>
      </c>
      <c r="R1082" s="56" t="n">
        <f aca="false">IF(AND(D1082&gt;1,Q1082=0,ISNUMBER(O1082),ISNUMBER(P1082)),IF(Q1081=0,1,0),0)</f>
        <v>1</v>
      </c>
      <c r="S1082" s="56" t="n">
        <f aca="false">R1082*(B1082&gt;=Train_Start)*(B1082&lt;=Train_End)</f>
        <v>1</v>
      </c>
      <c r="T1082" s="84" t="n">
        <f aca="false">IF(AND(ISNUMBER(O1082),ISNUMBER(P1082)),Coef_A+Coef_B1*O1082+Coef_B2*P1082,"")</f>
        <v>18.6751517570069</v>
      </c>
      <c r="U1082" s="84" t="n">
        <f aca="false">IF(AND(R1082=1,ISNUMBER(T1082)),E1082-T1082,"")</f>
        <v>-1.67515175700687</v>
      </c>
      <c r="V1082" s="84" t="n">
        <f aca="false">IF(ISNUMBER(T1082),T1082,-99)</f>
        <v>18.6751517570069</v>
      </c>
      <c r="W1082" s="84" t="n">
        <f aca="false">IF(ISNUMBER(U1082),ABS(U1082),"")</f>
        <v>1.67515175700687</v>
      </c>
    </row>
    <row r="1083" customFormat="false" ht="15" hidden="false" customHeight="false" outlineLevel="0" collapsed="false">
      <c r="A1083" s="57" t="n">
        <v>31543</v>
      </c>
      <c r="B1083" s="56" t="n">
        <v>1986</v>
      </c>
      <c r="C1083" s="56" t="n">
        <v>5</v>
      </c>
      <c r="D1083" s="56" t="n">
        <v>11</v>
      </c>
      <c r="E1083" s="56" t="n">
        <v>15.1</v>
      </c>
      <c r="F1083" s="56" t="n">
        <v>0</v>
      </c>
      <c r="G1083" s="56" t="n">
        <v>9.9</v>
      </c>
      <c r="H1083" s="56" t="n">
        <v>0</v>
      </c>
      <c r="I1083" s="56" t="n">
        <v>13.4</v>
      </c>
      <c r="J1083" s="56" t="n">
        <v>0</v>
      </c>
      <c r="K1083" s="56" t="n">
        <v>1014.7</v>
      </c>
      <c r="L1083" s="56" t="n">
        <v>0</v>
      </c>
      <c r="M1083" s="56" t="n">
        <v>71</v>
      </c>
      <c r="N1083" s="56" t="n">
        <v>1.7</v>
      </c>
      <c r="O1083" s="56" t="n">
        <f aca="false">IF(D1083=1,"",E1082)</f>
        <v>17</v>
      </c>
      <c r="P1083" s="56" t="n">
        <f aca="false">IF(OR(D1083=1,K1082=""),"",K1082)</f>
        <v>1013.3</v>
      </c>
      <c r="Q1083" s="56" t="n">
        <f aca="false">IF(OR(F1083&lt;&gt;0,AND(I1083&lt;&gt;"",E1083&lt;I1083)),1,0)</f>
        <v>0</v>
      </c>
      <c r="R1083" s="56" t="n">
        <f aca="false">IF(AND(D1083&gt;1,Q1083=0,ISNUMBER(O1083),ISNUMBER(P1083)),IF(Q1082=0,1,0),0)</f>
        <v>1</v>
      </c>
      <c r="S1083" s="56" t="n">
        <f aca="false">R1083*(B1083&gt;=Train_Start)*(B1083&lt;=Train_End)</f>
        <v>1</v>
      </c>
      <c r="T1083" s="84" t="n">
        <f aca="false">IF(AND(ISNUMBER(O1083),ISNUMBER(P1083)),Coef_A+Coef_B1*O1083+Coef_B2*P1083,"")</f>
        <v>17.8028559363423</v>
      </c>
      <c r="U1083" s="84" t="n">
        <f aca="false">IF(AND(R1083=1,ISNUMBER(T1083)),E1083-T1083,"")</f>
        <v>-2.70285593634233</v>
      </c>
      <c r="V1083" s="84" t="n">
        <f aca="false">IF(ISNUMBER(T1083),T1083,-99)</f>
        <v>17.8028559363423</v>
      </c>
      <c r="W1083" s="84" t="n">
        <f aca="false">IF(ISNUMBER(U1083),ABS(U1083),"")</f>
        <v>2.70285593634233</v>
      </c>
    </row>
    <row r="1084" customFormat="false" ht="15" hidden="false" customHeight="false" outlineLevel="0" collapsed="false">
      <c r="A1084" s="57" t="n">
        <v>31544</v>
      </c>
      <c r="B1084" s="56" t="n">
        <v>1986</v>
      </c>
      <c r="C1084" s="56" t="n">
        <v>5</v>
      </c>
      <c r="D1084" s="56" t="n">
        <v>12</v>
      </c>
      <c r="E1084" s="56" t="n">
        <v>15.5</v>
      </c>
      <c r="F1084" s="56" t="n">
        <v>0</v>
      </c>
      <c r="G1084" s="56" t="n">
        <v>9.8</v>
      </c>
      <c r="H1084" s="56" t="n">
        <v>0</v>
      </c>
      <c r="I1084" s="56" t="n">
        <v>12.4</v>
      </c>
      <c r="J1084" s="56" t="n">
        <v>0</v>
      </c>
      <c r="K1084" s="56" t="n">
        <v>1010.5</v>
      </c>
      <c r="L1084" s="56" t="n">
        <v>0</v>
      </c>
      <c r="M1084" s="56" t="n">
        <v>83</v>
      </c>
      <c r="N1084" s="56" t="n">
        <v>4.1</v>
      </c>
      <c r="O1084" s="56" t="n">
        <f aca="false">IF(D1084=1,"",E1083)</f>
        <v>15.1</v>
      </c>
      <c r="P1084" s="56" t="n">
        <f aca="false">IF(OR(D1084=1,K1083=""),"",K1083)</f>
        <v>1014.7</v>
      </c>
      <c r="Q1084" s="56" t="n">
        <f aca="false">IF(OR(F1084&lt;&gt;0,AND(I1084&lt;&gt;"",E1084&lt;I1084)),1,0)</f>
        <v>0</v>
      </c>
      <c r="R1084" s="56" t="n">
        <f aca="false">IF(AND(D1084&gt;1,Q1084=0,ISNUMBER(O1084),ISNUMBER(P1084)),IF(Q1083=0,1,0),0)</f>
        <v>1</v>
      </c>
      <c r="S1084" s="56" t="n">
        <f aca="false">R1084*(B1084&gt;=Train_Start)*(B1084&lt;=Train_End)</f>
        <v>1</v>
      </c>
      <c r="T1084" s="84" t="n">
        <f aca="false">IF(AND(ISNUMBER(O1084),ISNUMBER(P1084)),Coef_A+Coef_B1*O1084+Coef_B2*P1084,"")</f>
        <v>16.2900293220489</v>
      </c>
      <c r="U1084" s="84" t="n">
        <f aca="false">IF(AND(R1084=1,ISNUMBER(T1084)),E1084-T1084,"")</f>
        <v>-0.790029322048866</v>
      </c>
      <c r="V1084" s="84" t="n">
        <f aca="false">IF(ISNUMBER(T1084),T1084,-99)</f>
        <v>16.2900293220489</v>
      </c>
      <c r="W1084" s="84" t="n">
        <f aca="false">IF(ISNUMBER(U1084),ABS(U1084),"")</f>
        <v>0.790029322048866</v>
      </c>
    </row>
    <row r="1085" customFormat="false" ht="15" hidden="false" customHeight="false" outlineLevel="0" collapsed="false">
      <c r="A1085" s="57" t="n">
        <v>31545</v>
      </c>
      <c r="B1085" s="56" t="n">
        <v>1986</v>
      </c>
      <c r="C1085" s="56" t="n">
        <v>5</v>
      </c>
      <c r="D1085" s="56" t="n">
        <v>13</v>
      </c>
      <c r="E1085" s="56" t="n">
        <v>15.2</v>
      </c>
      <c r="F1085" s="56" t="n">
        <v>0</v>
      </c>
      <c r="G1085" s="56" t="n">
        <v>7.7</v>
      </c>
      <c r="H1085" s="56" t="n">
        <v>0</v>
      </c>
      <c r="I1085" s="56" t="n">
        <v>11.6</v>
      </c>
      <c r="J1085" s="56" t="n">
        <v>0</v>
      </c>
      <c r="K1085" s="56" t="n">
        <v>1010.3</v>
      </c>
      <c r="L1085" s="56" t="n">
        <v>0</v>
      </c>
      <c r="M1085" s="56" t="n">
        <v>70</v>
      </c>
      <c r="N1085" s="56" t="n">
        <v>8.7</v>
      </c>
      <c r="O1085" s="56" t="n">
        <f aca="false">IF(D1085=1,"",E1084)</f>
        <v>15.5</v>
      </c>
      <c r="P1085" s="56" t="n">
        <f aca="false">IF(OR(D1085=1,K1084=""),"",K1084)</f>
        <v>1010.5</v>
      </c>
      <c r="Q1085" s="56" t="n">
        <f aca="false">IF(OR(F1085&lt;&gt;0,AND(I1085&lt;&gt;"",E1085&lt;I1085)),1,0)</f>
        <v>0</v>
      </c>
      <c r="R1085" s="56" t="n">
        <f aca="false">IF(AND(D1085&gt;1,Q1085=0,ISNUMBER(O1085),ISNUMBER(P1085)),IF(Q1084=0,1,0),0)</f>
        <v>1</v>
      </c>
      <c r="S1085" s="56" t="n">
        <f aca="false">R1085*(B1085&gt;=Train_Start)*(B1085&lt;=Train_End)</f>
        <v>1</v>
      </c>
      <c r="T1085" s="84" t="n">
        <f aca="false">IF(AND(ISNUMBER(O1085),ISNUMBER(P1085)),Coef_A+Coef_B1*O1085+Coef_B2*P1085,"")</f>
        <v>16.4860114418032</v>
      </c>
      <c r="U1085" s="84" t="n">
        <f aca="false">IF(AND(R1085=1,ISNUMBER(T1085)),E1085-T1085,"")</f>
        <v>-1.28601144180317</v>
      </c>
      <c r="V1085" s="84" t="n">
        <f aca="false">IF(ISNUMBER(T1085),T1085,-99)</f>
        <v>16.4860114418032</v>
      </c>
      <c r="W1085" s="84" t="n">
        <f aca="false">IF(ISNUMBER(U1085),ABS(U1085),"")</f>
        <v>1.28601144180317</v>
      </c>
    </row>
    <row r="1086" customFormat="false" ht="15" hidden="false" customHeight="false" outlineLevel="0" collapsed="false">
      <c r="A1086" s="57" t="n">
        <v>31546</v>
      </c>
      <c r="B1086" s="56" t="n">
        <v>1986</v>
      </c>
      <c r="C1086" s="56" t="n">
        <v>5</v>
      </c>
      <c r="D1086" s="56" t="n">
        <v>14</v>
      </c>
      <c r="E1086" s="56" t="n">
        <v>15</v>
      </c>
      <c r="F1086" s="56" t="n">
        <v>0</v>
      </c>
      <c r="G1086" s="56" t="n">
        <v>7.5</v>
      </c>
      <c r="H1086" s="56" t="n">
        <v>0</v>
      </c>
      <c r="I1086" s="56" t="n">
        <v>11.4</v>
      </c>
      <c r="J1086" s="56" t="n">
        <v>0</v>
      </c>
      <c r="K1086" s="56" t="n">
        <v>1009.4</v>
      </c>
      <c r="L1086" s="56" t="n">
        <v>0</v>
      </c>
      <c r="M1086" s="56" t="n">
        <v>68</v>
      </c>
      <c r="N1086" s="56" t="n">
        <v>9.3</v>
      </c>
      <c r="O1086" s="56" t="n">
        <f aca="false">IF(D1086=1,"",E1085)</f>
        <v>15.2</v>
      </c>
      <c r="P1086" s="56" t="n">
        <f aca="false">IF(OR(D1086=1,K1085=""),"",K1085)</f>
        <v>1010.3</v>
      </c>
      <c r="Q1086" s="56" t="n">
        <f aca="false">IF(OR(F1086&lt;&gt;0,AND(I1086&lt;&gt;"",E1086&lt;I1086)),1,0)</f>
        <v>0</v>
      </c>
      <c r="R1086" s="56" t="n">
        <f aca="false">IF(AND(D1086&gt;1,Q1086=0,ISNUMBER(O1086),ISNUMBER(P1086)),IF(Q1085=0,1,0),0)</f>
        <v>1</v>
      </c>
      <c r="S1086" s="56" t="n">
        <f aca="false">R1086*(B1086&gt;=Train_Start)*(B1086&lt;=Train_End)</f>
        <v>1</v>
      </c>
      <c r="T1086" s="84" t="n">
        <f aca="false">IF(AND(ISNUMBER(O1086),ISNUMBER(P1086)),Coef_A+Coef_B1*O1086+Coef_B2*P1086,"")</f>
        <v>16.2339357049636</v>
      </c>
      <c r="U1086" s="84" t="n">
        <f aca="false">IF(AND(R1086=1,ISNUMBER(T1086)),E1086-T1086,"")</f>
        <v>-1.23393570496357</v>
      </c>
      <c r="V1086" s="84" t="n">
        <f aca="false">IF(ISNUMBER(T1086),T1086,-99)</f>
        <v>16.2339357049636</v>
      </c>
      <c r="W1086" s="84" t="n">
        <f aca="false">IF(ISNUMBER(U1086),ABS(U1086),"")</f>
        <v>1.23393570496357</v>
      </c>
    </row>
    <row r="1087" customFormat="false" ht="15" hidden="false" customHeight="false" outlineLevel="0" collapsed="false">
      <c r="A1087" s="57" t="n">
        <v>31547</v>
      </c>
      <c r="B1087" s="56" t="n">
        <v>1986</v>
      </c>
      <c r="C1087" s="56" t="n">
        <v>5</v>
      </c>
      <c r="D1087" s="56" t="n">
        <v>15</v>
      </c>
      <c r="E1087" s="56" t="n">
        <v>17</v>
      </c>
      <c r="F1087" s="56" t="n">
        <v>0</v>
      </c>
      <c r="G1087" s="56" t="n">
        <v>6</v>
      </c>
      <c r="H1087" s="56" t="n">
        <v>0</v>
      </c>
      <c r="I1087" s="56" t="n">
        <v>10.5</v>
      </c>
      <c r="J1087" s="56" t="n">
        <v>0</v>
      </c>
      <c r="K1087" s="56" t="n">
        <v>1008.2</v>
      </c>
      <c r="L1087" s="56" t="n">
        <v>0</v>
      </c>
      <c r="M1087" s="56" t="n">
        <v>67</v>
      </c>
      <c r="N1087" s="56" t="n">
        <v>12.2</v>
      </c>
      <c r="O1087" s="56" t="n">
        <f aca="false">IF(D1087=1,"",E1086)</f>
        <v>15</v>
      </c>
      <c r="P1087" s="56" t="n">
        <f aca="false">IF(OR(D1087=1,K1086=""),"",K1086)</f>
        <v>1009.4</v>
      </c>
      <c r="Q1087" s="56" t="n">
        <f aca="false">IF(OR(F1087&lt;&gt;0,AND(I1087&lt;&gt;"",E1087&lt;I1087)),1,0)</f>
        <v>0</v>
      </c>
      <c r="R1087" s="56" t="n">
        <f aca="false">IF(AND(D1087&gt;1,Q1087=0,ISNUMBER(O1087),ISNUMBER(P1087)),IF(Q1086=0,1,0),0)</f>
        <v>1</v>
      </c>
      <c r="S1087" s="56" t="n">
        <f aca="false">R1087*(B1087&gt;=Train_Start)*(B1087&lt;=Train_End)</f>
        <v>1</v>
      </c>
      <c r="T1087" s="84" t="n">
        <f aca="false">IF(AND(ISNUMBER(O1087),ISNUMBER(P1087)),Coef_A+Coef_B1*O1087+Coef_B2*P1087,"")</f>
        <v>16.0418349611845</v>
      </c>
      <c r="U1087" s="84" t="n">
        <f aca="false">IF(AND(R1087=1,ISNUMBER(T1087)),E1087-T1087,"")</f>
        <v>0.958165038815547</v>
      </c>
      <c r="V1087" s="84" t="n">
        <f aca="false">IF(ISNUMBER(T1087),T1087,-99)</f>
        <v>16.0418349611845</v>
      </c>
      <c r="W1087" s="84" t="n">
        <f aca="false">IF(ISNUMBER(U1087),ABS(U1087),"")</f>
        <v>0.958165038815547</v>
      </c>
    </row>
    <row r="1088" customFormat="false" ht="15" hidden="false" customHeight="false" outlineLevel="0" collapsed="false">
      <c r="A1088" s="57" t="n">
        <v>31548</v>
      </c>
      <c r="B1088" s="56" t="n">
        <v>1986</v>
      </c>
      <c r="C1088" s="56" t="n">
        <v>5</v>
      </c>
      <c r="D1088" s="56" t="n">
        <v>16</v>
      </c>
      <c r="E1088" s="56" t="n">
        <v>15.4</v>
      </c>
      <c r="F1088" s="56" t="n">
        <v>0</v>
      </c>
      <c r="G1088" s="56" t="n">
        <v>3.2</v>
      </c>
      <c r="H1088" s="56" t="n">
        <v>0</v>
      </c>
      <c r="I1088" s="56" t="n">
        <v>10.1</v>
      </c>
      <c r="J1088" s="56" t="n">
        <v>0</v>
      </c>
      <c r="K1088" s="56" t="n">
        <v>1017</v>
      </c>
      <c r="L1088" s="56" t="n">
        <v>0</v>
      </c>
      <c r="M1088" s="56" t="n">
        <v>65</v>
      </c>
      <c r="N1088" s="56" t="n">
        <v>11.6</v>
      </c>
      <c r="O1088" s="56" t="n">
        <f aca="false">IF(D1088=1,"",E1087)</f>
        <v>17</v>
      </c>
      <c r="P1088" s="56" t="n">
        <f aca="false">IF(OR(D1088=1,K1087=""),"",K1087)</f>
        <v>1008.2</v>
      </c>
      <c r="Q1088" s="56" t="n">
        <f aca="false">IF(OR(F1088&lt;&gt;0,AND(I1088&lt;&gt;"",E1088&lt;I1088)),1,0)</f>
        <v>0</v>
      </c>
      <c r="R1088" s="56" t="n">
        <f aca="false">IF(AND(D1088&gt;1,Q1088=0,ISNUMBER(O1088),ISNUMBER(P1088)),IF(Q1087=0,1,0),0)</f>
        <v>1</v>
      </c>
      <c r="S1088" s="56" t="n">
        <f aca="false">R1088*(B1088&gt;=Train_Start)*(B1088&lt;=Train_End)</f>
        <v>1</v>
      </c>
      <c r="T1088" s="84" t="n">
        <f aca="false">IF(AND(ISNUMBER(O1088),ISNUMBER(P1088)),Coef_A+Coef_B1*O1088+Coef_B2*P1088,"")</f>
        <v>17.642869473709</v>
      </c>
      <c r="U1088" s="84" t="n">
        <f aca="false">IF(AND(R1088=1,ISNUMBER(T1088)),E1088-T1088,"")</f>
        <v>-2.24286947370898</v>
      </c>
      <c r="V1088" s="84" t="n">
        <f aca="false">IF(ISNUMBER(T1088),T1088,-99)</f>
        <v>17.642869473709</v>
      </c>
      <c r="W1088" s="84" t="n">
        <f aca="false">IF(ISNUMBER(U1088),ABS(U1088),"")</f>
        <v>2.24286947370898</v>
      </c>
    </row>
    <row r="1089" customFormat="false" ht="15" hidden="false" customHeight="false" outlineLevel="0" collapsed="false">
      <c r="A1089" s="57" t="n">
        <v>31549</v>
      </c>
      <c r="B1089" s="56" t="n">
        <v>1986</v>
      </c>
      <c r="C1089" s="56" t="n">
        <v>5</v>
      </c>
      <c r="D1089" s="56" t="n">
        <v>17</v>
      </c>
      <c r="E1089" s="56" t="n">
        <v>17.2</v>
      </c>
      <c r="F1089" s="56" t="n">
        <v>0</v>
      </c>
      <c r="G1089" s="56" t="n">
        <v>7.2</v>
      </c>
      <c r="H1089" s="56" t="n">
        <v>0</v>
      </c>
      <c r="I1089" s="56" t="n">
        <v>11.3</v>
      </c>
      <c r="J1089" s="56" t="n">
        <v>0</v>
      </c>
      <c r="K1089" s="56" t="n">
        <v>1015.6</v>
      </c>
      <c r="L1089" s="56" t="n">
        <v>0</v>
      </c>
      <c r="M1089" s="56" t="n">
        <v>81</v>
      </c>
      <c r="N1089" s="56" t="n">
        <v>0</v>
      </c>
      <c r="O1089" s="56" t="n">
        <f aca="false">IF(D1089=1,"",E1088)</f>
        <v>15.4</v>
      </c>
      <c r="P1089" s="56" t="n">
        <f aca="false">IF(OR(D1089=1,K1088=""),"",K1088)</f>
        <v>1017</v>
      </c>
      <c r="Q1089" s="56" t="n">
        <f aca="false">IF(OR(F1089&lt;&gt;0,AND(I1089&lt;&gt;"",E1089&lt;I1089)),1,0)</f>
        <v>0</v>
      </c>
      <c r="R1089" s="56" t="n">
        <f aca="false">IF(AND(D1089&gt;1,Q1089=0,ISNUMBER(O1089),ISNUMBER(P1089)),IF(Q1088=0,1,0),0)</f>
        <v>1</v>
      </c>
      <c r="S1089" s="56" t="n">
        <f aca="false">R1089*(B1089&gt;=Train_Start)*(B1089&lt;=Train_End)</f>
        <v>1</v>
      </c>
      <c r="T1089" s="84" t="n">
        <f aca="false">IF(AND(ISNUMBER(O1089),ISNUMBER(P1089)),Coef_A+Coef_B1*O1089+Coef_B2*P1089,"")</f>
        <v>16.6079818376198</v>
      </c>
      <c r="U1089" s="84" t="n">
        <f aca="false">IF(AND(R1089=1,ISNUMBER(T1089)),E1089-T1089,"")</f>
        <v>0.59201816238016</v>
      </c>
      <c r="V1089" s="84" t="n">
        <f aca="false">IF(ISNUMBER(T1089),T1089,-99)</f>
        <v>16.6079818376198</v>
      </c>
      <c r="W1089" s="84" t="n">
        <f aca="false">IF(ISNUMBER(U1089),ABS(U1089),"")</f>
        <v>0.59201816238016</v>
      </c>
    </row>
    <row r="1090" customFormat="false" ht="15" hidden="false" customHeight="false" outlineLevel="0" collapsed="false">
      <c r="A1090" s="57" t="n">
        <v>31550</v>
      </c>
      <c r="B1090" s="56" t="n">
        <v>1986</v>
      </c>
      <c r="C1090" s="56" t="n">
        <v>5</v>
      </c>
      <c r="D1090" s="56" t="n">
        <v>18</v>
      </c>
      <c r="E1090" s="56" t="n">
        <v>21.2</v>
      </c>
      <c r="F1090" s="56" t="n">
        <v>0</v>
      </c>
      <c r="G1090" s="56" t="n">
        <v>10.6</v>
      </c>
      <c r="H1090" s="56" t="n">
        <v>0</v>
      </c>
      <c r="I1090" s="56" t="n">
        <v>13.9</v>
      </c>
      <c r="J1090" s="56" t="n">
        <v>0</v>
      </c>
      <c r="K1090" s="56" t="n">
        <v>1019</v>
      </c>
      <c r="L1090" s="56" t="n">
        <v>0</v>
      </c>
      <c r="M1090" s="56" t="n">
        <v>68</v>
      </c>
      <c r="N1090" s="56" t="n">
        <v>5.9</v>
      </c>
      <c r="O1090" s="56" t="n">
        <f aca="false">IF(D1090=1,"",E1089)</f>
        <v>17.2</v>
      </c>
      <c r="P1090" s="56" t="n">
        <f aca="false">IF(OR(D1090=1,K1089=""),"",K1089)</f>
        <v>1015.6</v>
      </c>
      <c r="Q1090" s="56" t="n">
        <f aca="false">IF(OR(F1090&lt;&gt;0,AND(I1090&lt;&gt;"",E1090&lt;I1090)),1,0)</f>
        <v>0</v>
      </c>
      <c r="R1090" s="56" t="n">
        <f aca="false">IF(AND(D1090&gt;1,Q1090=0,ISNUMBER(O1090),ISNUMBER(P1090)),IF(Q1089=0,1,0),0)</f>
        <v>1</v>
      </c>
      <c r="S1090" s="56" t="n">
        <f aca="false">R1090*(B1090&gt;=Train_Start)*(B1090&lt;=Train_End)</f>
        <v>1</v>
      </c>
      <c r="T1090" s="84" t="n">
        <f aca="false">IF(AND(ISNUMBER(O1090),ISNUMBER(P1090)),Coef_A+Coef_B1*O1090+Coef_B2*P1090,"")</f>
        <v>18.038874532609</v>
      </c>
      <c r="U1090" s="84" t="n">
        <f aca="false">IF(AND(R1090=1,ISNUMBER(T1090)),E1090-T1090,"")</f>
        <v>3.16112546739096</v>
      </c>
      <c r="V1090" s="84" t="n">
        <f aca="false">IF(ISNUMBER(T1090),T1090,-99)</f>
        <v>18.038874532609</v>
      </c>
      <c r="W1090" s="84" t="n">
        <f aca="false">IF(ISNUMBER(U1090),ABS(U1090),"")</f>
        <v>3.16112546739096</v>
      </c>
    </row>
    <row r="1091" customFormat="false" ht="15" hidden="false" customHeight="false" outlineLevel="0" collapsed="false">
      <c r="A1091" s="57" t="n">
        <v>31551</v>
      </c>
      <c r="B1091" s="56" t="n">
        <v>1986</v>
      </c>
      <c r="C1091" s="56" t="n">
        <v>5</v>
      </c>
      <c r="D1091" s="56" t="n">
        <v>19</v>
      </c>
      <c r="E1091" s="56" t="n">
        <v>18.2</v>
      </c>
      <c r="F1091" s="56" t="n">
        <v>0</v>
      </c>
      <c r="G1091" s="56" t="n">
        <v>6.4</v>
      </c>
      <c r="H1091" s="56" t="n">
        <v>0</v>
      </c>
      <c r="I1091" s="56" t="n">
        <v>13.8</v>
      </c>
      <c r="J1091" s="56" t="n">
        <v>0</v>
      </c>
      <c r="K1091" s="56" t="n">
        <v>1022.5</v>
      </c>
      <c r="L1091" s="56" t="n">
        <v>0</v>
      </c>
      <c r="M1091" s="56" t="n">
        <v>67</v>
      </c>
      <c r="N1091" s="56" t="n">
        <v>12.7</v>
      </c>
      <c r="O1091" s="56" t="n">
        <f aca="false">IF(D1091=1,"",E1090)</f>
        <v>21.2</v>
      </c>
      <c r="P1091" s="56" t="n">
        <f aca="false">IF(OR(D1091=1,K1090=""),"",K1090)</f>
        <v>1019</v>
      </c>
      <c r="Q1091" s="56" t="n">
        <f aca="false">IF(OR(F1091&lt;&gt;0,AND(I1091&lt;&gt;"",E1091&lt;I1091)),1,0)</f>
        <v>0</v>
      </c>
      <c r="R1091" s="56" t="n">
        <f aca="false">IF(AND(D1091&gt;1,Q1091=0,ISNUMBER(O1091),ISNUMBER(P1091)),IF(Q1090=0,1,0),0)</f>
        <v>1</v>
      </c>
      <c r="S1091" s="56" t="n">
        <f aca="false">R1091*(B1091&gt;=Train_Start)*(B1091&lt;=Train_End)</f>
        <v>1</v>
      </c>
      <c r="T1091" s="84" t="n">
        <f aca="false">IF(AND(ISNUMBER(O1091),ISNUMBER(P1091)),Coef_A+Coef_B1*O1091+Coef_B2*P1091,"")</f>
        <v>21.4228889465352</v>
      </c>
      <c r="U1091" s="84" t="n">
        <f aca="false">IF(AND(R1091=1,ISNUMBER(T1091)),E1091-T1091,"")</f>
        <v>-3.22288894653523</v>
      </c>
      <c r="V1091" s="84" t="n">
        <f aca="false">IF(ISNUMBER(T1091),T1091,-99)</f>
        <v>21.4228889465352</v>
      </c>
      <c r="W1091" s="84" t="n">
        <f aca="false">IF(ISNUMBER(U1091),ABS(U1091),"")</f>
        <v>3.22288894653523</v>
      </c>
    </row>
    <row r="1092" customFormat="false" ht="15" hidden="false" customHeight="false" outlineLevel="0" collapsed="false">
      <c r="A1092" s="57" t="n">
        <v>31552</v>
      </c>
      <c r="B1092" s="56" t="n">
        <v>1986</v>
      </c>
      <c r="C1092" s="56" t="n">
        <v>5</v>
      </c>
      <c r="D1092" s="56" t="n">
        <v>20</v>
      </c>
      <c r="E1092" s="56" t="n">
        <v>13.7</v>
      </c>
      <c r="F1092" s="56" t="n">
        <v>1</v>
      </c>
      <c r="G1092" s="56" t="n">
        <v>12.3</v>
      </c>
      <c r="H1092" s="56" t="n">
        <v>0</v>
      </c>
      <c r="I1092" s="56" t="n">
        <v>15.2</v>
      </c>
      <c r="J1092" s="56" t="n">
        <v>1</v>
      </c>
      <c r="K1092" s="56" t="n">
        <v>1011.2</v>
      </c>
      <c r="L1092" s="56" t="n">
        <v>0</v>
      </c>
      <c r="M1092" s="56" t="n">
        <v>88</v>
      </c>
      <c r="N1092" s="56" t="n">
        <v>0</v>
      </c>
      <c r="O1092" s="56" t="n">
        <f aca="false">IF(D1092=1,"",E1091)</f>
        <v>18.2</v>
      </c>
      <c r="P1092" s="56" t="n">
        <f aca="false">IF(OR(D1092=1,K1091=""),"",K1091)</f>
        <v>1022.5</v>
      </c>
      <c r="Q1092" s="56" t="n">
        <f aca="false">IF(OR(F1092&lt;&gt;0,AND(I1092&lt;&gt;"",E1092&lt;I1092)),1,0)</f>
        <v>1</v>
      </c>
      <c r="R1092" s="56" t="n">
        <f aca="false">IF(AND(D1092&gt;1,Q1092=0,ISNUMBER(O1092),ISNUMBER(P1092)),IF(Q1091=0,1,0),0)</f>
        <v>0</v>
      </c>
      <c r="S1092" s="56" t="n">
        <f aca="false">R1092*(B1092&gt;=Train_Start)*(B1092&lt;=Train_End)</f>
        <v>0</v>
      </c>
      <c r="T1092" s="84" t="n">
        <f aca="false">IF(AND(ISNUMBER(O1092),ISNUMBER(P1092)),Coef_A+Coef_B1*O1092+Coef_B2*P1092,"")</f>
        <v>19.0746659986262</v>
      </c>
      <c r="U1092" s="84" t="str">
        <f aca="false">IF(AND(R1092=1,ISNUMBER(T1092)),E1092-T1092,"")</f>
        <v/>
      </c>
      <c r="V1092" s="84" t="n">
        <f aca="false">IF(ISNUMBER(T1092),T1092,-99)</f>
        <v>19.0746659986262</v>
      </c>
      <c r="W1092" s="84" t="str">
        <f aca="false">IF(ISNUMBER(U1092),ABS(U1092),"")</f>
        <v/>
      </c>
    </row>
    <row r="1093" customFormat="false" ht="15" hidden="false" customHeight="false" outlineLevel="0" collapsed="false">
      <c r="A1093" s="57" t="n">
        <v>31553</v>
      </c>
      <c r="B1093" s="56" t="n">
        <v>1986</v>
      </c>
      <c r="C1093" s="56" t="n">
        <v>5</v>
      </c>
      <c r="D1093" s="56" t="n">
        <v>21</v>
      </c>
      <c r="E1093" s="56" t="n">
        <v>16.7</v>
      </c>
      <c r="F1093" s="56" t="n">
        <v>0</v>
      </c>
      <c r="G1093" s="56" t="n">
        <v>8.9</v>
      </c>
      <c r="H1093" s="56" t="n">
        <v>0</v>
      </c>
      <c r="I1093" s="56" t="n">
        <v>11.3</v>
      </c>
      <c r="J1093" s="56" t="n">
        <v>0</v>
      </c>
      <c r="K1093" s="56" t="n">
        <v>1008.2</v>
      </c>
      <c r="L1093" s="56" t="n">
        <v>0</v>
      </c>
      <c r="M1093" s="56" t="n">
        <v>80</v>
      </c>
      <c r="N1093" s="56" t="n">
        <v>2</v>
      </c>
      <c r="O1093" s="56" t="n">
        <f aca="false">IF(D1093=1,"",E1092)</f>
        <v>13.7</v>
      </c>
      <c r="P1093" s="56" t="n">
        <f aca="false">IF(OR(D1093=1,K1092=""),"",K1092)</f>
        <v>1011.2</v>
      </c>
      <c r="Q1093" s="56" t="n">
        <f aca="false">IF(OR(F1093&lt;&gt;0,AND(I1093&lt;&gt;"",E1093&lt;I1093)),1,0)</f>
        <v>0</v>
      </c>
      <c r="R1093" s="56" t="n">
        <f aca="false">IF(AND(D1093&gt;1,Q1093=0,ISNUMBER(O1093),ISNUMBER(P1093)),IF(Q1092=0,1,0),0)</f>
        <v>0</v>
      </c>
      <c r="S1093" s="56" t="n">
        <f aca="false">R1093*(B1093&gt;=Train_Start)*(B1093&lt;=Train_End)</f>
        <v>0</v>
      </c>
      <c r="T1093" s="84" t="n">
        <f aca="false">IF(AND(ISNUMBER(O1093),ISNUMBER(P1093)),Coef_A+Coef_B1*O1093+Coef_B2*P1093,"")</f>
        <v>15.0331598205702</v>
      </c>
      <c r="U1093" s="84" t="str">
        <f aca="false">IF(AND(R1093=1,ISNUMBER(T1093)),E1093-T1093,"")</f>
        <v/>
      </c>
      <c r="V1093" s="84" t="n">
        <f aca="false">IF(ISNUMBER(T1093),T1093,-99)</f>
        <v>15.0331598205702</v>
      </c>
      <c r="W1093" s="84" t="str">
        <f aca="false">IF(ISNUMBER(U1093),ABS(U1093),"")</f>
        <v/>
      </c>
    </row>
    <row r="1094" customFormat="false" ht="15" hidden="false" customHeight="false" outlineLevel="0" collapsed="false">
      <c r="A1094" s="57" t="n">
        <v>31554</v>
      </c>
      <c r="B1094" s="56" t="n">
        <v>1986</v>
      </c>
      <c r="C1094" s="56" t="n">
        <v>5</v>
      </c>
      <c r="D1094" s="56" t="n">
        <v>22</v>
      </c>
      <c r="E1094" s="56" t="n">
        <v>16.3</v>
      </c>
      <c r="F1094" s="56" t="n">
        <v>0</v>
      </c>
      <c r="G1094" s="56" t="n">
        <v>6.9</v>
      </c>
      <c r="H1094" s="56" t="n">
        <v>0</v>
      </c>
      <c r="I1094" s="56" t="n">
        <v>11.8</v>
      </c>
      <c r="J1094" s="56" t="n">
        <v>0</v>
      </c>
      <c r="K1094" s="56" t="n">
        <v>1018.1</v>
      </c>
      <c r="L1094" s="56" t="n">
        <v>0</v>
      </c>
      <c r="M1094" s="56" t="n">
        <v>66</v>
      </c>
      <c r="N1094" s="56" t="n">
        <v>6.9</v>
      </c>
      <c r="O1094" s="56" t="n">
        <f aca="false">IF(D1094=1,"",E1093)</f>
        <v>16.7</v>
      </c>
      <c r="P1094" s="56" t="n">
        <f aca="false">IF(OR(D1094=1,K1093=""),"",K1093)</f>
        <v>1008.2</v>
      </c>
      <c r="Q1094" s="56" t="n">
        <f aca="false">IF(OR(F1094&lt;&gt;0,AND(I1094&lt;&gt;"",E1094&lt;I1094)),1,0)</f>
        <v>0</v>
      </c>
      <c r="R1094" s="56" t="n">
        <f aca="false">IF(AND(D1094&gt;1,Q1094=0,ISNUMBER(O1094),ISNUMBER(P1094)),IF(Q1093=0,1,0),0)</f>
        <v>1</v>
      </c>
      <c r="S1094" s="56" t="n">
        <f aca="false">R1094*(B1094&gt;=Train_Start)*(B1094&lt;=Train_End)</f>
        <v>1</v>
      </c>
      <c r="T1094" s="84" t="n">
        <f aca="false">IF(AND(ISNUMBER(O1094),ISNUMBER(P1094)),Coef_A+Coef_B1*O1094+Coef_B2*P1094,"")</f>
        <v>17.3970677157962</v>
      </c>
      <c r="U1094" s="84" t="n">
        <f aca="false">IF(AND(R1094=1,ISNUMBER(T1094)),E1094-T1094,"")</f>
        <v>-1.09706771579619</v>
      </c>
      <c r="V1094" s="84" t="n">
        <f aca="false">IF(ISNUMBER(T1094),T1094,-99)</f>
        <v>17.3970677157962</v>
      </c>
      <c r="W1094" s="84" t="n">
        <f aca="false">IF(ISNUMBER(U1094),ABS(U1094),"")</f>
        <v>1.09706771579619</v>
      </c>
    </row>
    <row r="1095" customFormat="false" ht="15" hidden="false" customHeight="false" outlineLevel="0" collapsed="false">
      <c r="A1095" s="57" t="n">
        <v>31555</v>
      </c>
      <c r="B1095" s="56" t="n">
        <v>1986</v>
      </c>
      <c r="C1095" s="56" t="n">
        <v>5</v>
      </c>
      <c r="D1095" s="56" t="n">
        <v>23</v>
      </c>
      <c r="E1095" s="56" t="n">
        <v>17.1</v>
      </c>
      <c r="F1095" s="56" t="n">
        <v>0</v>
      </c>
      <c r="G1095" s="56" t="n">
        <v>9</v>
      </c>
      <c r="H1095" s="56" t="n">
        <v>0</v>
      </c>
      <c r="I1095" s="56" t="n">
        <v>12.6</v>
      </c>
      <c r="J1095" s="56" t="n">
        <v>0</v>
      </c>
      <c r="K1095" s="56" t="n">
        <v>1019.1</v>
      </c>
      <c r="L1095" s="56" t="n">
        <v>0</v>
      </c>
      <c r="M1095" s="56" t="n">
        <v>77</v>
      </c>
      <c r="N1095" s="56" t="n">
        <v>3.8</v>
      </c>
      <c r="O1095" s="56" t="n">
        <f aca="false">IF(D1095=1,"",E1094)</f>
        <v>16.3</v>
      </c>
      <c r="P1095" s="56" t="n">
        <f aca="false">IF(OR(D1095=1,K1094=""),"",K1094)</f>
        <v>1018.1</v>
      </c>
      <c r="Q1095" s="56" t="n">
        <f aca="false">IF(OR(F1095&lt;&gt;0,AND(I1095&lt;&gt;"",E1095&lt;I1095)),1,0)</f>
        <v>0</v>
      </c>
      <c r="R1095" s="56" t="n">
        <f aca="false">IF(AND(D1095&gt;1,Q1095=0,ISNUMBER(O1095),ISNUMBER(P1095)),IF(Q1094=0,1,0),0)</f>
        <v>1</v>
      </c>
      <c r="S1095" s="56" t="n">
        <f aca="false">R1095*(B1095&gt;=Train_Start)*(B1095&lt;=Train_End)</f>
        <v>1</v>
      </c>
      <c r="T1095" s="84" t="n">
        <f aca="false">IF(AND(ISNUMBER(O1095),ISNUMBER(P1095)),Coef_A+Coef_B1*O1095+Coef_B2*P1095,"")</f>
        <v>17.3798939954556</v>
      </c>
      <c r="U1095" s="84" t="n">
        <f aca="false">IF(AND(R1095=1,ISNUMBER(T1095)),E1095-T1095,"")</f>
        <v>-0.279893995455616</v>
      </c>
      <c r="V1095" s="84" t="n">
        <f aca="false">IF(ISNUMBER(T1095),T1095,-99)</f>
        <v>17.3798939954556</v>
      </c>
      <c r="W1095" s="84" t="n">
        <f aca="false">IF(ISNUMBER(U1095),ABS(U1095),"")</f>
        <v>0.279893995455616</v>
      </c>
    </row>
    <row r="1096" customFormat="false" ht="15" hidden="false" customHeight="false" outlineLevel="0" collapsed="false">
      <c r="A1096" s="57" t="n">
        <v>31556</v>
      </c>
      <c r="B1096" s="56" t="n">
        <v>1986</v>
      </c>
      <c r="C1096" s="56" t="n">
        <v>5</v>
      </c>
      <c r="D1096" s="56" t="n">
        <v>24</v>
      </c>
      <c r="E1096" s="56" t="n">
        <v>16.1</v>
      </c>
      <c r="F1096" s="56" t="n">
        <v>0</v>
      </c>
      <c r="G1096" s="56" t="n">
        <v>8</v>
      </c>
      <c r="H1096" s="56" t="n">
        <v>0</v>
      </c>
      <c r="I1096" s="56" t="n">
        <v>12.6</v>
      </c>
      <c r="J1096" s="56" t="n">
        <v>0</v>
      </c>
      <c r="K1096" s="56" t="n">
        <v>1023.2</v>
      </c>
      <c r="L1096" s="56" t="n">
        <v>0</v>
      </c>
      <c r="M1096" s="56" t="n">
        <v>69</v>
      </c>
      <c r="N1096" s="56" t="n">
        <v>9.5</v>
      </c>
      <c r="O1096" s="56" t="n">
        <f aca="false">IF(D1096=1,"",E1095)</f>
        <v>17.1</v>
      </c>
      <c r="P1096" s="56" t="n">
        <f aca="false">IF(OR(D1096=1,K1095=""),"",K1095)</f>
        <v>1019.1</v>
      </c>
      <c r="Q1096" s="56" t="n">
        <f aca="false">IF(OR(F1096&lt;&gt;0,AND(I1096&lt;&gt;"",E1096&lt;I1096)),1,0)</f>
        <v>0</v>
      </c>
      <c r="R1096" s="56" t="n">
        <f aca="false">IF(AND(D1096&gt;1,Q1096=0,ISNUMBER(O1096),ISNUMBER(P1096)),IF(Q1095=0,1,0),0)</f>
        <v>1</v>
      </c>
      <c r="S1096" s="56" t="n">
        <f aca="false">R1096*(B1096&gt;=Train_Start)*(B1096&lt;=Train_End)</f>
        <v>1</v>
      </c>
      <c r="T1096" s="84" t="n">
        <f aca="false">IF(AND(ISNUMBER(O1096),ISNUMBER(P1096)),Coef_A+Coef_B1*O1096+Coef_B2*P1096,"")</f>
        <v>18.0667352445237</v>
      </c>
      <c r="U1096" s="84" t="n">
        <f aca="false">IF(AND(R1096=1,ISNUMBER(T1096)),E1096-T1096,"")</f>
        <v>-1.96673524452373</v>
      </c>
      <c r="V1096" s="84" t="n">
        <f aca="false">IF(ISNUMBER(T1096),T1096,-99)</f>
        <v>18.0667352445237</v>
      </c>
      <c r="W1096" s="84" t="n">
        <f aca="false">IF(ISNUMBER(U1096),ABS(U1096),"")</f>
        <v>1.96673524452373</v>
      </c>
    </row>
    <row r="1097" customFormat="false" ht="15" hidden="false" customHeight="false" outlineLevel="0" collapsed="false">
      <c r="A1097" s="57" t="n">
        <v>31557</v>
      </c>
      <c r="B1097" s="56" t="n">
        <v>1986</v>
      </c>
      <c r="C1097" s="56" t="n">
        <v>5</v>
      </c>
      <c r="D1097" s="56" t="n">
        <v>25</v>
      </c>
      <c r="E1097" s="56" t="n">
        <v>18.8</v>
      </c>
      <c r="F1097" s="56" t="n">
        <v>0</v>
      </c>
      <c r="G1097" s="56" t="n">
        <v>9.9</v>
      </c>
      <c r="H1097" s="56" t="n">
        <v>0</v>
      </c>
      <c r="I1097" s="56" t="n">
        <v>13</v>
      </c>
      <c r="J1097" s="56" t="n">
        <v>0</v>
      </c>
      <c r="K1097" s="56" t="n">
        <v>1022.9</v>
      </c>
      <c r="L1097" s="56" t="n">
        <v>0</v>
      </c>
      <c r="M1097" s="56" t="n">
        <v>76</v>
      </c>
      <c r="N1097" s="56" t="n">
        <v>0.2</v>
      </c>
      <c r="O1097" s="56" t="n">
        <f aca="false">IF(D1097=1,"",E1096)</f>
        <v>16.1</v>
      </c>
      <c r="P1097" s="56" t="n">
        <f aca="false">IF(OR(D1097=1,K1096=""),"",K1096)</f>
        <v>1023.2</v>
      </c>
      <c r="Q1097" s="56" t="n">
        <f aca="false">IF(OR(F1097&lt;&gt;0,AND(I1097&lt;&gt;"",E1097&lt;I1097)),1,0)</f>
        <v>0</v>
      </c>
      <c r="R1097" s="56" t="n">
        <f aca="false">IF(AND(D1097&gt;1,Q1097=0,ISNUMBER(O1097),ISNUMBER(P1097)),IF(Q1096=0,1,0),0)</f>
        <v>1</v>
      </c>
      <c r="S1097" s="56" t="n">
        <f aca="false">R1097*(B1097&gt;=Train_Start)*(B1097&lt;=Train_End)</f>
        <v>1</v>
      </c>
      <c r="T1097" s="84" t="n">
        <f aca="false">IF(AND(ISNUMBER(O1097),ISNUMBER(P1097)),Coef_A+Coef_B1*O1097+Coef_B2*P1097,"")</f>
        <v>17.3760126194804</v>
      </c>
      <c r="U1097" s="84" t="n">
        <f aca="false">IF(AND(R1097=1,ISNUMBER(T1097)),E1097-T1097,"")</f>
        <v>1.42398738051957</v>
      </c>
      <c r="V1097" s="84" t="n">
        <f aca="false">IF(ISNUMBER(T1097),T1097,-99)</f>
        <v>17.3760126194804</v>
      </c>
      <c r="W1097" s="84" t="n">
        <f aca="false">IF(ISNUMBER(U1097),ABS(U1097),"")</f>
        <v>1.42398738051957</v>
      </c>
    </row>
    <row r="1098" customFormat="false" ht="15" hidden="false" customHeight="false" outlineLevel="0" collapsed="false">
      <c r="A1098" s="57" t="n">
        <v>31558</v>
      </c>
      <c r="B1098" s="56" t="n">
        <v>1986</v>
      </c>
      <c r="C1098" s="56" t="n">
        <v>5</v>
      </c>
      <c r="D1098" s="56" t="n">
        <v>26</v>
      </c>
      <c r="E1098" s="56" t="n">
        <v>17</v>
      </c>
      <c r="F1098" s="56" t="n">
        <v>0</v>
      </c>
      <c r="G1098" s="56" t="n">
        <v>9</v>
      </c>
      <c r="H1098" s="56" t="n">
        <v>0</v>
      </c>
      <c r="I1098" s="56" t="n">
        <v>13.9</v>
      </c>
      <c r="J1098" s="56" t="n">
        <v>0</v>
      </c>
      <c r="K1098" s="56" t="n">
        <v>1019.2</v>
      </c>
      <c r="L1098" s="56" t="n">
        <v>0</v>
      </c>
      <c r="M1098" s="56" t="n">
        <v>80</v>
      </c>
      <c r="N1098" s="56" t="n">
        <v>6</v>
      </c>
      <c r="O1098" s="56" t="n">
        <f aca="false">IF(D1098=1,"",E1097)</f>
        <v>18.8</v>
      </c>
      <c r="P1098" s="56" t="n">
        <f aca="false">IF(OR(D1098=1,K1097=""),"",K1097)</f>
        <v>1022.9</v>
      </c>
      <c r="Q1098" s="56" t="n">
        <f aca="false">IF(OR(F1098&lt;&gt;0,AND(I1098&lt;&gt;"",E1098&lt;I1098)),1,0)</f>
        <v>0</v>
      </c>
      <c r="R1098" s="56" t="n">
        <f aca="false">IF(AND(D1098&gt;1,Q1098=0,ISNUMBER(O1098),ISNUMBER(P1098)),IF(Q1097=0,1,0),0)</f>
        <v>1</v>
      </c>
      <c r="S1098" s="56" t="n">
        <f aca="false">R1098*(B1098&gt;=Train_Start)*(B1098&lt;=Train_End)</f>
        <v>1</v>
      </c>
      <c r="T1098" s="84" t="n">
        <f aca="false">IF(AND(ISNUMBER(O1098),ISNUMBER(P1098)),Coef_A+Coef_B1*O1098+Coef_B2*P1098,"")</f>
        <v>19.5788174723054</v>
      </c>
      <c r="U1098" s="84" t="n">
        <f aca="false">IF(AND(R1098=1,ISNUMBER(T1098)),E1098-T1098,"")</f>
        <v>-2.57881747230541</v>
      </c>
      <c r="V1098" s="84" t="n">
        <f aca="false">IF(ISNUMBER(T1098),T1098,-99)</f>
        <v>19.5788174723054</v>
      </c>
      <c r="W1098" s="84" t="n">
        <f aca="false">IF(ISNUMBER(U1098),ABS(U1098),"")</f>
        <v>2.57881747230541</v>
      </c>
    </row>
    <row r="1099" customFormat="false" ht="15" hidden="false" customHeight="false" outlineLevel="0" collapsed="false">
      <c r="A1099" s="57" t="n">
        <v>31559</v>
      </c>
      <c r="B1099" s="56" t="n">
        <v>1986</v>
      </c>
      <c r="C1099" s="56" t="n">
        <v>5</v>
      </c>
      <c r="D1099" s="56" t="n">
        <v>27</v>
      </c>
      <c r="E1099" s="56" t="n">
        <v>15</v>
      </c>
      <c r="F1099" s="56" t="n">
        <v>0</v>
      </c>
      <c r="G1099" s="56" t="n">
        <v>8.6</v>
      </c>
      <c r="H1099" s="56" t="n">
        <v>0</v>
      </c>
      <c r="I1099" s="56" t="n">
        <v>12.8</v>
      </c>
      <c r="J1099" s="56" t="n">
        <v>0</v>
      </c>
      <c r="K1099" s="56" t="n">
        <v>1015.7</v>
      </c>
      <c r="L1099" s="56" t="n">
        <v>0</v>
      </c>
      <c r="M1099" s="56" t="n">
        <v>68</v>
      </c>
      <c r="N1099" s="56" t="n">
        <v>7.5</v>
      </c>
      <c r="O1099" s="56" t="n">
        <f aca="false">IF(D1099=1,"",E1098)</f>
        <v>17</v>
      </c>
      <c r="P1099" s="56" t="n">
        <f aca="false">IF(OR(D1099=1,K1098=""),"",K1098)</f>
        <v>1019.2</v>
      </c>
      <c r="Q1099" s="56" t="n">
        <f aca="false">IF(OR(F1099&lt;&gt;0,AND(I1099&lt;&gt;"",E1099&lt;I1099)),1,0)</f>
        <v>0</v>
      </c>
      <c r="R1099" s="56" t="n">
        <f aca="false">IF(AND(D1099&gt;1,Q1099=0,ISNUMBER(O1099),ISNUMBER(P1099)),IF(Q1098=0,1,0),0)</f>
        <v>1</v>
      </c>
      <c r="S1099" s="56" t="n">
        <f aca="false">R1099*(B1099&gt;=Train_Start)*(B1099&lt;=Train_End)</f>
        <v>1</v>
      </c>
      <c r="T1099" s="84" t="n">
        <f aca="false">IF(AND(ISNUMBER(O1099),ISNUMBER(P1099)),Coef_A+Coef_B1*O1099+Coef_B2*P1099,"")</f>
        <v>17.9879383146829</v>
      </c>
      <c r="U1099" s="84" t="n">
        <f aca="false">IF(AND(R1099=1,ISNUMBER(T1099)),E1099-T1099,"")</f>
        <v>-2.98793831468286</v>
      </c>
      <c r="V1099" s="84" t="n">
        <f aca="false">IF(ISNUMBER(T1099),T1099,-99)</f>
        <v>17.9879383146829</v>
      </c>
      <c r="W1099" s="84" t="n">
        <f aca="false">IF(ISNUMBER(U1099),ABS(U1099),"")</f>
        <v>2.98793831468286</v>
      </c>
    </row>
    <row r="1100" customFormat="false" ht="15" hidden="false" customHeight="false" outlineLevel="0" collapsed="false">
      <c r="A1100" s="57" t="n">
        <v>31560</v>
      </c>
      <c r="B1100" s="56" t="n">
        <v>1986</v>
      </c>
      <c r="C1100" s="56" t="n">
        <v>5</v>
      </c>
      <c r="D1100" s="56" t="n">
        <v>28</v>
      </c>
      <c r="E1100" s="56" t="n">
        <v>15.6</v>
      </c>
      <c r="F1100" s="56" t="n">
        <v>0</v>
      </c>
      <c r="G1100" s="56" t="n">
        <v>6.7</v>
      </c>
      <c r="H1100" s="56" t="n">
        <v>0</v>
      </c>
      <c r="I1100" s="56" t="n">
        <v>10.8</v>
      </c>
      <c r="J1100" s="56" t="n">
        <v>0</v>
      </c>
      <c r="K1100" s="56" t="n">
        <v>1019.2</v>
      </c>
      <c r="L1100" s="56" t="n">
        <v>0</v>
      </c>
      <c r="M1100" s="56" t="n">
        <v>71</v>
      </c>
      <c r="N1100" s="56" t="n">
        <v>7.3</v>
      </c>
      <c r="O1100" s="56" t="n">
        <f aca="false">IF(D1100=1,"",E1099)</f>
        <v>15</v>
      </c>
      <c r="P1100" s="56" t="n">
        <f aca="false">IF(OR(D1100=1,K1099=""),"",K1099)</f>
        <v>1015.7</v>
      </c>
      <c r="Q1100" s="56" t="n">
        <f aca="false">IF(OR(F1100&lt;&gt;0,AND(I1100&lt;&gt;"",E1100&lt;I1100)),1,0)</f>
        <v>0</v>
      </c>
      <c r="R1100" s="56" t="n">
        <f aca="false">IF(AND(D1100&gt;1,Q1100=0,ISNUMBER(O1100),ISNUMBER(P1100)),IF(Q1099=0,1,0),0)</f>
        <v>1</v>
      </c>
      <c r="S1100" s="56" t="n">
        <f aca="false">R1100*(B1100&gt;=Train_Start)*(B1100&lt;=Train_End)</f>
        <v>1</v>
      </c>
      <c r="T1100" s="84" t="n">
        <f aca="false">IF(AND(ISNUMBER(O1100),ISNUMBER(P1100)),Coef_A+Coef_B1*O1100+Coef_B2*P1100,"")</f>
        <v>16.2394652973786</v>
      </c>
      <c r="U1100" s="84" t="n">
        <f aca="false">IF(AND(R1100=1,ISNUMBER(T1100)),E1100-T1100,"")</f>
        <v>-0.639465297378591</v>
      </c>
      <c r="V1100" s="84" t="n">
        <f aca="false">IF(ISNUMBER(T1100),T1100,-99)</f>
        <v>16.2394652973786</v>
      </c>
      <c r="W1100" s="84" t="n">
        <f aca="false">IF(ISNUMBER(U1100),ABS(U1100),"")</f>
        <v>0.639465297378591</v>
      </c>
    </row>
    <row r="1101" customFormat="false" ht="15" hidden="false" customHeight="false" outlineLevel="0" collapsed="false">
      <c r="A1101" s="57" t="n">
        <v>31561</v>
      </c>
      <c r="B1101" s="56" t="n">
        <v>1986</v>
      </c>
      <c r="C1101" s="56" t="n">
        <v>5</v>
      </c>
      <c r="D1101" s="56" t="n">
        <v>29</v>
      </c>
      <c r="E1101" s="56" t="n">
        <v>16.1</v>
      </c>
      <c r="F1101" s="56" t="n">
        <v>0</v>
      </c>
      <c r="G1101" s="56" t="n">
        <v>4.7</v>
      </c>
      <c r="H1101" s="56" t="n">
        <v>0</v>
      </c>
      <c r="I1101" s="56" t="n">
        <v>10.2</v>
      </c>
      <c r="J1101" s="56" t="n">
        <v>0</v>
      </c>
      <c r="K1101" s="56" t="n">
        <v>1024.6</v>
      </c>
      <c r="L1101" s="56" t="n">
        <v>0</v>
      </c>
      <c r="M1101" s="56" t="n">
        <v>70</v>
      </c>
      <c r="N1101" s="56" t="n">
        <v>8</v>
      </c>
      <c r="O1101" s="56" t="n">
        <f aca="false">IF(D1101=1,"",E1100)</f>
        <v>15.6</v>
      </c>
      <c r="P1101" s="56" t="n">
        <f aca="false">IF(OR(D1101=1,K1100=""),"",K1100)</f>
        <v>1019.2</v>
      </c>
      <c r="Q1101" s="56" t="n">
        <f aca="false">IF(OR(F1101&lt;&gt;0,AND(I1101&lt;&gt;"",E1101&lt;I1101)),1,0)</f>
        <v>0</v>
      </c>
      <c r="R1101" s="56" t="n">
        <f aca="false">IF(AND(D1101&gt;1,Q1101=0,ISNUMBER(O1101),ISNUMBER(P1101)),IF(Q1100=0,1,0),0)</f>
        <v>1</v>
      </c>
      <c r="S1101" s="56" t="n">
        <f aca="false">R1101*(B1101&gt;=Train_Start)*(B1101&lt;=Train_End)</f>
        <v>1</v>
      </c>
      <c r="T1101" s="84" t="n">
        <f aca="false">IF(AND(ISNUMBER(O1101),ISNUMBER(P1101)),Coef_A+Coef_B1*O1101+Coef_B2*P1101,"")</f>
        <v>16.8408634444231</v>
      </c>
      <c r="U1101" s="84" t="n">
        <f aca="false">IF(AND(R1101=1,ISNUMBER(T1101)),E1101-T1101,"")</f>
        <v>-0.740863444423141</v>
      </c>
      <c r="V1101" s="84" t="n">
        <f aca="false">IF(ISNUMBER(T1101),T1101,-99)</f>
        <v>16.8408634444231</v>
      </c>
      <c r="W1101" s="84" t="n">
        <f aca="false">IF(ISNUMBER(U1101),ABS(U1101),"")</f>
        <v>0.740863444423141</v>
      </c>
    </row>
    <row r="1102" customFormat="false" ht="15" hidden="false" customHeight="false" outlineLevel="0" collapsed="false">
      <c r="A1102" s="57" t="n">
        <v>31562</v>
      </c>
      <c r="B1102" s="56" t="n">
        <v>1986</v>
      </c>
      <c r="C1102" s="56" t="n">
        <v>5</v>
      </c>
      <c r="D1102" s="56" t="n">
        <v>30</v>
      </c>
      <c r="E1102" s="56" t="n">
        <v>13.9</v>
      </c>
      <c r="F1102" s="56" t="n">
        <v>0</v>
      </c>
      <c r="G1102" s="56" t="n">
        <v>4.8</v>
      </c>
      <c r="H1102" s="56" t="n">
        <v>0</v>
      </c>
      <c r="I1102" s="56" t="n">
        <v>10.4</v>
      </c>
      <c r="J1102" s="56" t="n">
        <v>0</v>
      </c>
      <c r="K1102" s="56" t="n">
        <v>1027.4</v>
      </c>
      <c r="L1102" s="56" t="n">
        <v>0</v>
      </c>
      <c r="M1102" s="56" t="n">
        <v>70</v>
      </c>
      <c r="N1102" s="56" t="n">
        <v>4</v>
      </c>
      <c r="O1102" s="56" t="n">
        <f aca="false">IF(D1102=1,"",E1101)</f>
        <v>16.1</v>
      </c>
      <c r="P1102" s="56" t="n">
        <f aca="false">IF(OR(D1102=1,K1101=""),"",K1101)</f>
        <v>1024.6</v>
      </c>
      <c r="Q1102" s="56" t="n">
        <f aca="false">IF(OR(F1102&lt;&gt;0,AND(I1102&lt;&gt;"",E1102&lt;I1102)),1,0)</f>
        <v>0</v>
      </c>
      <c r="R1102" s="56" t="n">
        <f aca="false">IF(AND(D1102&gt;1,Q1102=0,ISNUMBER(O1102),ISNUMBER(P1102)),IF(Q1101=0,1,0),0)</f>
        <v>1</v>
      </c>
      <c r="S1102" s="56" t="n">
        <f aca="false">R1102*(B1102&gt;=Train_Start)*(B1102&lt;=Train_End)</f>
        <v>1</v>
      </c>
      <c r="T1102" s="84" t="n">
        <f aca="false">IF(AND(ISNUMBER(O1102),ISNUMBER(P1102)),Coef_A+Coef_B1*O1102+Coef_B2*P1102,"")</f>
        <v>17.419930471968</v>
      </c>
      <c r="U1102" s="84" t="n">
        <f aca="false">IF(AND(R1102=1,ISNUMBER(T1102)),E1102-T1102,"")</f>
        <v>-3.51993047196802</v>
      </c>
      <c r="V1102" s="84" t="n">
        <f aca="false">IF(ISNUMBER(T1102),T1102,-99)</f>
        <v>17.419930471968</v>
      </c>
      <c r="W1102" s="84" t="n">
        <f aca="false">IF(ISNUMBER(U1102),ABS(U1102),"")</f>
        <v>3.51993047196802</v>
      </c>
    </row>
    <row r="1103" customFormat="false" ht="15" hidden="false" customHeight="false" outlineLevel="0" collapsed="false">
      <c r="A1103" s="57" t="n">
        <v>31563</v>
      </c>
      <c r="B1103" s="56" t="n">
        <v>1986</v>
      </c>
      <c r="C1103" s="56" t="n">
        <v>5</v>
      </c>
      <c r="D1103" s="56" t="n">
        <v>31</v>
      </c>
      <c r="E1103" s="56" t="n">
        <v>17.6</v>
      </c>
      <c r="F1103" s="56" t="n">
        <v>0</v>
      </c>
      <c r="G1103" s="56" t="n">
        <v>8.5</v>
      </c>
      <c r="H1103" s="56" t="n">
        <v>0</v>
      </c>
      <c r="I1103" s="56" t="n">
        <v>11.2</v>
      </c>
      <c r="J1103" s="56" t="n">
        <v>0</v>
      </c>
      <c r="K1103" s="56" t="n">
        <v>1019.8</v>
      </c>
      <c r="L1103" s="56" t="n">
        <v>0</v>
      </c>
      <c r="M1103" s="56" t="n">
        <v>89</v>
      </c>
      <c r="N1103" s="56" t="n">
        <v>0</v>
      </c>
      <c r="O1103" s="56" t="n">
        <f aca="false">IF(D1103=1,"",E1102)</f>
        <v>13.9</v>
      </c>
      <c r="P1103" s="56" t="n">
        <f aca="false">IF(OR(D1103=1,K1102=""),"",K1102)</f>
        <v>1027.4</v>
      </c>
      <c r="Q1103" s="56" t="n">
        <f aca="false">IF(OR(F1103&lt;&gt;0,AND(I1103&lt;&gt;"",E1103&lt;I1103)),1,0)</f>
        <v>0</v>
      </c>
      <c r="R1103" s="56" t="n">
        <f aca="false">IF(AND(D1103&gt;1,Q1103=0,ISNUMBER(O1103),ISNUMBER(P1103)),IF(Q1102=0,1,0),0)</f>
        <v>1</v>
      </c>
      <c r="S1103" s="56" t="n">
        <f aca="false">R1103*(B1103&gt;=Train_Start)*(B1103&lt;=Train_End)</f>
        <v>1</v>
      </c>
      <c r="T1103" s="84" t="n">
        <f aca="false">IF(AND(ISNUMBER(O1103),ISNUMBER(P1103)),Coef_A+Coef_B1*O1103+Coef_B2*P1103,"")</f>
        <v>15.7052199522493</v>
      </c>
      <c r="U1103" s="84" t="n">
        <f aca="false">IF(AND(R1103=1,ISNUMBER(T1103)),E1103-T1103,"")</f>
        <v>1.89478004775066</v>
      </c>
      <c r="V1103" s="84" t="n">
        <f aca="false">IF(ISNUMBER(T1103),T1103,-99)</f>
        <v>15.7052199522493</v>
      </c>
      <c r="W1103" s="84" t="n">
        <f aca="false">IF(ISNUMBER(U1103),ABS(U1103),"")</f>
        <v>1.89478004775066</v>
      </c>
    </row>
    <row r="1104" customFormat="false" ht="15" hidden="false" customHeight="false" outlineLevel="0" collapsed="false">
      <c r="A1104" s="57" t="n">
        <v>31564</v>
      </c>
      <c r="B1104" s="56" t="n">
        <v>1986</v>
      </c>
      <c r="C1104" s="56" t="n">
        <v>6</v>
      </c>
      <c r="D1104" s="56" t="n">
        <v>32</v>
      </c>
      <c r="E1104" s="56" t="n">
        <v>20.4</v>
      </c>
      <c r="F1104" s="56" t="n">
        <v>0</v>
      </c>
      <c r="G1104" s="56" t="n">
        <v>9.9</v>
      </c>
      <c r="H1104" s="56" t="n">
        <v>0</v>
      </c>
      <c r="I1104" s="56" t="n">
        <v>13.8</v>
      </c>
      <c r="J1104" s="56" t="n">
        <v>0</v>
      </c>
      <c r="K1104" s="56" t="n">
        <v>1016.3</v>
      </c>
      <c r="L1104" s="56" t="n">
        <v>0</v>
      </c>
      <c r="M1104" s="56" t="n">
        <v>90</v>
      </c>
      <c r="N1104" s="56" t="n">
        <v>0.1</v>
      </c>
      <c r="O1104" s="56" t="n">
        <f aca="false">IF(D1104=1,"",E1103)</f>
        <v>17.6</v>
      </c>
      <c r="P1104" s="56" t="n">
        <f aca="false">IF(OR(D1104=1,K1103=""),"",K1103)</f>
        <v>1019.8</v>
      </c>
      <c r="Q1104" s="56" t="n">
        <f aca="false">IF(OR(F1104&lt;&gt;0,AND(I1104&lt;&gt;"",E1104&lt;I1104)),1,0)</f>
        <v>0</v>
      </c>
      <c r="R1104" s="56" t="n">
        <f aca="false">IF(AND(D1104&gt;1,Q1104=0,ISNUMBER(O1104),ISNUMBER(P1104)),IF(Q1103=0,1,0),0)</f>
        <v>1</v>
      </c>
      <c r="S1104" s="56" t="n">
        <f aca="false">R1104*(B1104&gt;=Train_Start)*(B1104&lt;=Train_End)</f>
        <v>1</v>
      </c>
      <c r="T1104" s="84" t="n">
        <f aca="false">IF(AND(ISNUMBER(O1104),ISNUMBER(P1104)),Coef_A+Coef_B1*O1104+Coef_B2*P1104,"")</f>
        <v>18.4983637672889</v>
      </c>
      <c r="U1104" s="84" t="n">
        <f aca="false">IF(AND(R1104=1,ISNUMBER(T1104)),E1104-T1104,"")</f>
        <v>1.90163623271115</v>
      </c>
      <c r="V1104" s="84" t="n">
        <f aca="false">IF(ISNUMBER(T1104),T1104,-99)</f>
        <v>18.4983637672889</v>
      </c>
      <c r="W1104" s="84" t="n">
        <f aca="false">IF(ISNUMBER(U1104),ABS(U1104),"")</f>
        <v>1.90163623271115</v>
      </c>
    </row>
    <row r="1105" customFormat="false" ht="15" hidden="false" customHeight="false" outlineLevel="0" collapsed="false">
      <c r="A1105" s="57" t="n">
        <v>31565</v>
      </c>
      <c r="B1105" s="56" t="n">
        <v>1986</v>
      </c>
      <c r="C1105" s="56" t="n">
        <v>6</v>
      </c>
      <c r="D1105" s="56" t="n">
        <v>33</v>
      </c>
      <c r="E1105" s="56" t="n">
        <v>15.7</v>
      </c>
      <c r="F1105" s="56" t="n">
        <v>1</v>
      </c>
      <c r="G1105" s="56" t="n">
        <v>11.6</v>
      </c>
      <c r="H1105" s="56" t="n">
        <v>0</v>
      </c>
      <c r="I1105" s="56" t="n">
        <v>16</v>
      </c>
      <c r="J1105" s="56" t="n">
        <v>1</v>
      </c>
      <c r="K1105" s="56" t="n">
        <v>1018.2</v>
      </c>
      <c r="L1105" s="56" t="n">
        <v>0</v>
      </c>
      <c r="M1105" s="56" t="n">
        <v>82</v>
      </c>
      <c r="N1105" s="56" t="n">
        <v>0.6</v>
      </c>
      <c r="O1105" s="56" t="n">
        <f aca="false">IF(D1105=1,"",E1104)</f>
        <v>20.4</v>
      </c>
      <c r="P1105" s="56" t="n">
        <f aca="false">IF(OR(D1105=1,K1104=""),"",K1104)</f>
        <v>1016.3</v>
      </c>
      <c r="Q1105" s="56" t="n">
        <f aca="false">IF(OR(F1105&lt;&gt;0,AND(I1105&lt;&gt;"",E1105&lt;I1105)),1,0)</f>
        <v>1</v>
      </c>
      <c r="R1105" s="56" t="n">
        <f aca="false">IF(AND(D1105&gt;1,Q1105=0,ISNUMBER(O1105),ISNUMBER(P1105)),IF(Q1104=0,1,0),0)</f>
        <v>0</v>
      </c>
      <c r="S1105" s="56" t="n">
        <f aca="false">R1105*(B1105&gt;=Train_Start)*(B1105&lt;=Train_End)</f>
        <v>0</v>
      </c>
      <c r="T1105" s="84" t="n">
        <f aca="false">IF(AND(ISNUMBER(O1105),ISNUMBER(P1105)),Coef_A+Coef_B1*O1105+Coef_B2*P1105,"")</f>
        <v>20.6827188765893</v>
      </c>
      <c r="U1105" s="84" t="str">
        <f aca="false">IF(AND(R1105=1,ISNUMBER(T1105)),E1105-T1105,"")</f>
        <v/>
      </c>
      <c r="V1105" s="84" t="n">
        <f aca="false">IF(ISNUMBER(T1105),T1105,-99)</f>
        <v>20.6827188765893</v>
      </c>
      <c r="W1105" s="84" t="str">
        <f aca="false">IF(ISNUMBER(U1105),ABS(U1105),"")</f>
        <v/>
      </c>
    </row>
    <row r="1106" customFormat="false" ht="15" hidden="false" customHeight="false" outlineLevel="0" collapsed="false">
      <c r="A1106" s="57" t="n">
        <v>31566</v>
      </c>
      <c r="B1106" s="56" t="n">
        <v>1986</v>
      </c>
      <c r="C1106" s="56" t="n">
        <v>6</v>
      </c>
      <c r="D1106" s="56" t="n">
        <v>34</v>
      </c>
      <c r="E1106" s="56" t="n">
        <v>15</v>
      </c>
      <c r="F1106" s="56" t="n">
        <v>0</v>
      </c>
      <c r="G1106" s="56" t="n">
        <v>10.5</v>
      </c>
      <c r="H1106" s="56" t="n">
        <v>0</v>
      </c>
      <c r="I1106" s="56" t="n">
        <v>13.1</v>
      </c>
      <c r="J1106" s="56" t="n">
        <v>0</v>
      </c>
      <c r="K1106" s="56" t="n">
        <v>1013.5</v>
      </c>
      <c r="L1106" s="56" t="n">
        <v>0</v>
      </c>
      <c r="M1106" s="56" t="n">
        <v>88</v>
      </c>
      <c r="N1106" s="56" t="n">
        <v>1.1</v>
      </c>
      <c r="O1106" s="56" t="n">
        <f aca="false">IF(D1106=1,"",E1105)</f>
        <v>15.7</v>
      </c>
      <c r="P1106" s="56" t="n">
        <f aca="false">IF(OR(D1106=1,K1105=""),"",K1105)</f>
        <v>1018.2</v>
      </c>
      <c r="Q1106" s="56" t="n">
        <f aca="false">IF(OR(F1106&lt;&gt;0,AND(I1106&lt;&gt;"",E1106&lt;I1106)),1,0)</f>
        <v>0</v>
      </c>
      <c r="R1106" s="56" t="n">
        <f aca="false">IF(AND(D1106&gt;1,Q1106=0,ISNUMBER(O1106),ISNUMBER(P1106)),IF(Q1105=0,1,0),0)</f>
        <v>0</v>
      </c>
      <c r="S1106" s="56" t="n">
        <f aca="false">R1106*(B1106&gt;=Train_Start)*(B1106&lt;=Train_End)</f>
        <v>0</v>
      </c>
      <c r="T1106" s="84" t="n">
        <f aca="false">IF(AND(ISNUMBER(O1106),ISNUMBER(P1106)),Coef_A+Coef_B1*O1106+Coef_B2*P1106,"")</f>
        <v>16.8914274690934</v>
      </c>
      <c r="U1106" s="84" t="str">
        <f aca="false">IF(AND(R1106=1,ISNUMBER(T1106)),E1106-T1106,"")</f>
        <v/>
      </c>
      <c r="V1106" s="84" t="n">
        <f aca="false">IF(ISNUMBER(T1106),T1106,-99)</f>
        <v>16.8914274690934</v>
      </c>
      <c r="W1106" s="84" t="str">
        <f aca="false">IF(ISNUMBER(U1106),ABS(U1106),"")</f>
        <v/>
      </c>
    </row>
    <row r="1107" customFormat="false" ht="15" hidden="false" customHeight="false" outlineLevel="0" collapsed="false">
      <c r="A1107" s="57" t="n">
        <v>31567</v>
      </c>
      <c r="B1107" s="56" t="n">
        <v>1986</v>
      </c>
      <c r="C1107" s="56" t="n">
        <v>6</v>
      </c>
      <c r="D1107" s="56" t="n">
        <v>35</v>
      </c>
      <c r="E1107" s="56" t="n">
        <v>14.7</v>
      </c>
      <c r="F1107" s="56" t="n">
        <v>0</v>
      </c>
      <c r="G1107" s="56" t="n">
        <v>7.2</v>
      </c>
      <c r="H1107" s="56" t="n">
        <v>0</v>
      </c>
      <c r="I1107" s="56" t="n">
        <v>11.1</v>
      </c>
      <c r="J1107" s="56" t="n">
        <v>0</v>
      </c>
      <c r="K1107" s="56" t="n">
        <v>1012.1</v>
      </c>
      <c r="L1107" s="56" t="n">
        <v>0</v>
      </c>
      <c r="M1107" s="56" t="n">
        <v>62</v>
      </c>
      <c r="N1107" s="56" t="n">
        <v>8.3</v>
      </c>
      <c r="O1107" s="56" t="n">
        <f aca="false">IF(D1107=1,"",E1106)</f>
        <v>15</v>
      </c>
      <c r="P1107" s="56" t="n">
        <f aca="false">IF(OR(D1107=1,K1106=""),"",K1106)</f>
        <v>1013.5</v>
      </c>
      <c r="Q1107" s="56" t="n">
        <f aca="false">IF(OR(F1107&lt;&gt;0,AND(I1107&lt;&gt;"",E1107&lt;I1107)),1,0)</f>
        <v>0</v>
      </c>
      <c r="R1107" s="56" t="n">
        <f aca="false">IF(AND(D1107&gt;1,Q1107=0,ISNUMBER(O1107),ISNUMBER(P1107)),IF(Q1106=0,1,0),0)</f>
        <v>1</v>
      </c>
      <c r="S1107" s="56" t="n">
        <f aca="false">R1107*(B1107&gt;=Train_Start)*(B1107&lt;=Train_End)</f>
        <v>1</v>
      </c>
      <c r="T1107" s="84" t="n">
        <f aca="false">IF(AND(ISNUMBER(O1107),ISNUMBER(P1107)),Coef_A+Coef_B1*O1107+Coef_B2*P1107,"")</f>
        <v>16.1704515291838</v>
      </c>
      <c r="U1107" s="84" t="n">
        <f aca="false">IF(AND(R1107=1,ISNUMBER(T1107)),E1107-T1107,"")</f>
        <v>-1.47045152918381</v>
      </c>
      <c r="V1107" s="84" t="n">
        <f aca="false">IF(ISNUMBER(T1107),T1107,-99)</f>
        <v>16.1704515291838</v>
      </c>
      <c r="W1107" s="84" t="n">
        <f aca="false">IF(ISNUMBER(U1107),ABS(U1107),"")</f>
        <v>1.47045152918381</v>
      </c>
    </row>
    <row r="1108" customFormat="false" ht="15" hidden="false" customHeight="false" outlineLevel="0" collapsed="false">
      <c r="A1108" s="57" t="n">
        <v>31568</v>
      </c>
      <c r="B1108" s="56" t="n">
        <v>1986</v>
      </c>
      <c r="C1108" s="56" t="n">
        <v>6</v>
      </c>
      <c r="D1108" s="56" t="n">
        <v>36</v>
      </c>
      <c r="E1108" s="56" t="n">
        <v>15.3</v>
      </c>
      <c r="F1108" s="56" t="n">
        <v>0</v>
      </c>
      <c r="G1108" s="56" t="n">
        <v>6.4</v>
      </c>
      <c r="H1108" s="56" t="n">
        <v>0</v>
      </c>
      <c r="I1108" s="56" t="n">
        <v>10.6</v>
      </c>
      <c r="J1108" s="56" t="n">
        <v>0</v>
      </c>
      <c r="K1108" s="56" t="n">
        <v>1011.4</v>
      </c>
      <c r="L1108" s="56" t="n">
        <v>0</v>
      </c>
      <c r="M1108" s="56" t="n">
        <v>62</v>
      </c>
      <c r="N1108" s="56" t="n">
        <v>8.5</v>
      </c>
      <c r="O1108" s="56" t="n">
        <f aca="false">IF(D1108=1,"",E1107)</f>
        <v>14.7</v>
      </c>
      <c r="P1108" s="56" t="n">
        <f aca="false">IF(OR(D1108=1,K1107=""),"",K1107)</f>
        <v>1012.1</v>
      </c>
      <c r="Q1108" s="56" t="n">
        <f aca="false">IF(OR(F1108&lt;&gt;0,AND(I1108&lt;&gt;"",E1108&lt;I1108)),1,0)</f>
        <v>0</v>
      </c>
      <c r="R1108" s="56" t="n">
        <f aca="false">IF(AND(D1108&gt;1,Q1108=0,ISNUMBER(O1108),ISNUMBER(P1108)),IF(Q1107=0,1,0),0)</f>
        <v>1</v>
      </c>
      <c r="S1108" s="56" t="n">
        <f aca="false">R1108*(B1108&gt;=Train_Start)*(B1108&lt;=Train_End)</f>
        <v>1</v>
      </c>
      <c r="T1108" s="84" t="n">
        <f aca="false">IF(AND(ISNUMBER(O1108),ISNUMBER(P1108)),Coef_A+Coef_B1*O1108+Coef_B2*P1108,"")</f>
        <v>15.8807319187834</v>
      </c>
      <c r="U1108" s="84" t="n">
        <f aca="false">IF(AND(R1108=1,ISNUMBER(T1108)),E1108-T1108,"")</f>
        <v>-0.580731918783426</v>
      </c>
      <c r="V1108" s="84" t="n">
        <f aca="false">IF(ISNUMBER(T1108),T1108,-99)</f>
        <v>15.8807319187834</v>
      </c>
      <c r="W1108" s="84" t="n">
        <f aca="false">IF(ISNUMBER(U1108),ABS(U1108),"")</f>
        <v>0.580731918783426</v>
      </c>
    </row>
    <row r="1109" customFormat="false" ht="15" hidden="false" customHeight="false" outlineLevel="0" collapsed="false">
      <c r="A1109" s="57" t="n">
        <v>31569</v>
      </c>
      <c r="B1109" s="56" t="n">
        <v>1986</v>
      </c>
      <c r="C1109" s="56" t="n">
        <v>6</v>
      </c>
      <c r="D1109" s="56" t="n">
        <v>37</v>
      </c>
      <c r="E1109" s="56" t="n">
        <v>19.4</v>
      </c>
      <c r="F1109" s="56" t="n">
        <v>0</v>
      </c>
      <c r="G1109" s="56" t="n">
        <v>8</v>
      </c>
      <c r="H1109" s="56" t="n">
        <v>0</v>
      </c>
      <c r="I1109" s="56" t="n">
        <v>11.6</v>
      </c>
      <c r="J1109" s="56" t="n">
        <v>0</v>
      </c>
      <c r="K1109" s="56" t="n">
        <v>1012.9</v>
      </c>
      <c r="L1109" s="56" t="n">
        <v>0</v>
      </c>
      <c r="M1109" s="56" t="n">
        <v>69</v>
      </c>
      <c r="N1109" s="56" t="n">
        <v>3</v>
      </c>
      <c r="O1109" s="56" t="n">
        <f aca="false">IF(D1109=1,"",E1108)</f>
        <v>15.3</v>
      </c>
      <c r="P1109" s="56" t="n">
        <f aca="false">IF(OR(D1109=1,K1108=""),"",K1108)</f>
        <v>1011.4</v>
      </c>
      <c r="Q1109" s="56" t="n">
        <f aca="false">IF(OR(F1109&lt;&gt;0,AND(I1109&lt;&gt;"",E1109&lt;I1109)),1,0)</f>
        <v>0</v>
      </c>
      <c r="R1109" s="56" t="n">
        <f aca="false">IF(AND(D1109&gt;1,Q1109=0,ISNUMBER(O1109),ISNUMBER(P1109)),IF(Q1108=0,1,0),0)</f>
        <v>1</v>
      </c>
      <c r="S1109" s="56" t="n">
        <f aca="false">R1109*(B1109&gt;=Train_Start)*(B1109&lt;=Train_End)</f>
        <v>1</v>
      </c>
      <c r="T1109" s="84" t="n">
        <f aca="false">IF(AND(ISNUMBER(O1109),ISNUMBER(P1109)),Coef_A+Coef_B1*O1109+Coef_B2*P1109,"")</f>
        <v>16.3503765083652</v>
      </c>
      <c r="U1109" s="84" t="n">
        <f aca="false">IF(AND(R1109=1,ISNUMBER(T1109)),E1109-T1109,"")</f>
        <v>3.04962349163477</v>
      </c>
      <c r="V1109" s="84" t="n">
        <f aca="false">IF(ISNUMBER(T1109),T1109,-99)</f>
        <v>16.3503765083652</v>
      </c>
      <c r="W1109" s="84" t="n">
        <f aca="false">IF(ISNUMBER(U1109),ABS(U1109),"")</f>
        <v>3.04962349163477</v>
      </c>
    </row>
    <row r="1110" customFormat="false" ht="15" hidden="false" customHeight="false" outlineLevel="0" collapsed="false">
      <c r="A1110" s="57" t="n">
        <v>31570</v>
      </c>
      <c r="B1110" s="56" t="n">
        <v>1986</v>
      </c>
      <c r="C1110" s="56" t="n">
        <v>6</v>
      </c>
      <c r="D1110" s="56" t="n">
        <v>38</v>
      </c>
      <c r="E1110" s="56" t="n">
        <v>17.6</v>
      </c>
      <c r="F1110" s="56" t="n">
        <v>0</v>
      </c>
      <c r="G1110" s="56" t="n">
        <v>7.1</v>
      </c>
      <c r="H1110" s="56" t="n">
        <v>0</v>
      </c>
      <c r="I1110" s="56" t="n">
        <v>13.2</v>
      </c>
      <c r="J1110" s="56" t="n">
        <v>0</v>
      </c>
      <c r="K1110" s="56" t="n">
        <v>1012.1</v>
      </c>
      <c r="L1110" s="56" t="n">
        <v>0</v>
      </c>
      <c r="M1110" s="56" t="n">
        <v>66</v>
      </c>
      <c r="N1110" s="56" t="n">
        <v>8.8</v>
      </c>
      <c r="O1110" s="56" t="n">
        <f aca="false">IF(D1110=1,"",E1109)</f>
        <v>19.4</v>
      </c>
      <c r="P1110" s="56" t="n">
        <f aca="false">IF(OR(D1110=1,K1109=""),"",K1109)</f>
        <v>1012.9</v>
      </c>
      <c r="Q1110" s="56" t="n">
        <f aca="false">IF(OR(F1110&lt;&gt;0,AND(I1110&lt;&gt;"",E1110&lt;I1110)),1,0)</f>
        <v>0</v>
      </c>
      <c r="R1110" s="56" t="n">
        <f aca="false">IF(AND(D1110&gt;1,Q1110=0,ISNUMBER(O1110),ISNUMBER(P1110)),IF(Q1109=0,1,0),0)</f>
        <v>1</v>
      </c>
      <c r="S1110" s="56" t="n">
        <f aca="false">R1110*(B1110&gt;=Train_Start)*(B1110&lt;=Train_End)</f>
        <v>1</v>
      </c>
      <c r="T1110" s="84" t="n">
        <f aca="false">IF(AND(ISNUMBER(O1110),ISNUMBER(P1110)),Coef_A+Coef_B1*O1110+Coef_B2*P1110,"")</f>
        <v>19.7567220417911</v>
      </c>
      <c r="U1110" s="84" t="n">
        <f aca="false">IF(AND(R1110=1,ISNUMBER(T1110)),E1110-T1110,"")</f>
        <v>-2.15672204179111</v>
      </c>
      <c r="V1110" s="84" t="n">
        <f aca="false">IF(ISNUMBER(T1110),T1110,-99)</f>
        <v>19.7567220417911</v>
      </c>
      <c r="W1110" s="84" t="n">
        <f aca="false">IF(ISNUMBER(U1110),ABS(U1110),"")</f>
        <v>2.15672204179111</v>
      </c>
    </row>
    <row r="1111" customFormat="false" ht="15" hidden="false" customHeight="false" outlineLevel="0" collapsed="false">
      <c r="A1111" s="57" t="n">
        <v>31571</v>
      </c>
      <c r="B1111" s="56" t="n">
        <v>1986</v>
      </c>
      <c r="C1111" s="56" t="n">
        <v>6</v>
      </c>
      <c r="D1111" s="56" t="n">
        <v>39</v>
      </c>
      <c r="E1111" s="56" t="n">
        <v>18</v>
      </c>
      <c r="F1111" s="56" t="n">
        <v>0</v>
      </c>
      <c r="G1111" s="56" t="n">
        <v>9.9</v>
      </c>
      <c r="H1111" s="56" t="n">
        <v>0</v>
      </c>
      <c r="I1111" s="56" t="n">
        <v>13.8</v>
      </c>
      <c r="J1111" s="56" t="n">
        <v>0</v>
      </c>
      <c r="K1111" s="56" t="n">
        <v>1016.4</v>
      </c>
      <c r="L1111" s="56" t="n">
        <v>0</v>
      </c>
      <c r="M1111" s="56" t="n">
        <v>60</v>
      </c>
      <c r="N1111" s="56" t="n">
        <v>3</v>
      </c>
      <c r="O1111" s="56" t="n">
        <f aca="false">IF(D1111=1,"",E1110)</f>
        <v>17.6</v>
      </c>
      <c r="P1111" s="56" t="n">
        <f aca="false">IF(OR(D1111=1,K1110=""),"",K1110)</f>
        <v>1012.1</v>
      </c>
      <c r="Q1111" s="56" t="n">
        <f aca="false">IF(OR(F1111&lt;&gt;0,AND(I1111&lt;&gt;"",E1111&lt;I1111)),1,0)</f>
        <v>0</v>
      </c>
      <c r="R1111" s="56" t="n">
        <f aca="false">IF(AND(D1111&gt;1,Q1111=0,ISNUMBER(O1111),ISNUMBER(P1111)),IF(Q1110=0,1,0),0)</f>
        <v>1</v>
      </c>
      <c r="S1111" s="56" t="n">
        <f aca="false">R1111*(B1111&gt;=Train_Start)*(B1111&lt;=Train_End)</f>
        <v>1</v>
      </c>
      <c r="T1111" s="84" t="n">
        <f aca="false">IF(AND(ISNUMBER(O1111),ISNUMBER(P1111)),Coef_A+Coef_B1*O1111+Coef_B2*P1111,"")</f>
        <v>18.2568155786071</v>
      </c>
      <c r="U1111" s="84" t="n">
        <f aca="false">IF(AND(R1111=1,ISNUMBER(T1111)),E1111-T1111,"")</f>
        <v>-0.256815578607139</v>
      </c>
      <c r="V1111" s="84" t="n">
        <f aca="false">IF(ISNUMBER(T1111),T1111,-99)</f>
        <v>18.2568155786071</v>
      </c>
      <c r="W1111" s="84" t="n">
        <f aca="false">IF(ISNUMBER(U1111),ABS(U1111),"")</f>
        <v>0.256815578607139</v>
      </c>
    </row>
    <row r="1112" customFormat="false" ht="15" hidden="false" customHeight="false" outlineLevel="0" collapsed="false">
      <c r="A1112" s="57" t="n">
        <v>31572</v>
      </c>
      <c r="B1112" s="56" t="n">
        <v>1986</v>
      </c>
      <c r="C1112" s="56" t="n">
        <v>6</v>
      </c>
      <c r="D1112" s="56" t="n">
        <v>40</v>
      </c>
      <c r="E1112" s="56" t="n">
        <v>18.4</v>
      </c>
      <c r="F1112" s="56" t="n">
        <v>0</v>
      </c>
      <c r="G1112" s="56" t="n">
        <v>9.7</v>
      </c>
      <c r="H1112" s="56" t="n">
        <v>0</v>
      </c>
      <c r="I1112" s="56" t="n">
        <v>13.8</v>
      </c>
      <c r="J1112" s="56" t="n">
        <v>0</v>
      </c>
      <c r="K1112" s="56" t="n">
        <v>1014.8</v>
      </c>
      <c r="L1112" s="56" t="n">
        <v>0</v>
      </c>
      <c r="M1112" s="56" t="n">
        <v>77</v>
      </c>
      <c r="N1112" s="56" t="n">
        <v>0.3</v>
      </c>
      <c r="O1112" s="56" t="n">
        <f aca="false">IF(D1112=1,"",E1111)</f>
        <v>18</v>
      </c>
      <c r="P1112" s="56" t="n">
        <f aca="false">IF(OR(D1112=1,K1111=""),"",K1111)</f>
        <v>1016.4</v>
      </c>
      <c r="Q1112" s="56" t="n">
        <f aca="false">IF(OR(F1112&lt;&gt;0,AND(I1112&lt;&gt;"",E1112&lt;I1112)),1,0)</f>
        <v>0</v>
      </c>
      <c r="R1112" s="56" t="n">
        <f aca="false">IF(AND(D1112&gt;1,Q1112=0,ISNUMBER(O1112),ISNUMBER(P1112)),IF(Q1111=0,1,0),0)</f>
        <v>1</v>
      </c>
      <c r="S1112" s="56" t="n">
        <f aca="false">R1112*(B1112&gt;=Train_Start)*(B1112&lt;=Train_End)</f>
        <v>1</v>
      </c>
      <c r="T1112" s="84" t="n">
        <f aca="false">IF(AND(ISNUMBER(O1112),ISNUMBER(P1112)),Coef_A+Coef_B1*O1112+Coef_B2*P1112,"")</f>
        <v>18.7194418027504</v>
      </c>
      <c r="U1112" s="84" t="n">
        <f aca="false">IF(AND(R1112=1,ISNUMBER(T1112)),E1112-T1112,"")</f>
        <v>-0.319441802750355</v>
      </c>
      <c r="V1112" s="84" t="n">
        <f aca="false">IF(ISNUMBER(T1112),T1112,-99)</f>
        <v>18.7194418027504</v>
      </c>
      <c r="W1112" s="84" t="n">
        <f aca="false">IF(ISNUMBER(U1112),ABS(U1112),"")</f>
        <v>0.319441802750355</v>
      </c>
    </row>
    <row r="1113" customFormat="false" ht="15" hidden="false" customHeight="false" outlineLevel="0" collapsed="false">
      <c r="A1113" s="57" t="n">
        <v>31573</v>
      </c>
      <c r="B1113" s="56" t="n">
        <v>1986</v>
      </c>
      <c r="C1113" s="56" t="n">
        <v>6</v>
      </c>
      <c r="D1113" s="56" t="n">
        <v>41</v>
      </c>
      <c r="E1113" s="56" t="n">
        <v>16.4</v>
      </c>
      <c r="F1113" s="56" t="n">
        <v>0</v>
      </c>
      <c r="G1113" s="56" t="n">
        <v>11.5</v>
      </c>
      <c r="H1113" s="56" t="n">
        <v>0</v>
      </c>
      <c r="I1113" s="56" t="n">
        <v>15</v>
      </c>
      <c r="J1113" s="56" t="n">
        <v>0</v>
      </c>
      <c r="K1113" s="56" t="n">
        <v>1011</v>
      </c>
      <c r="L1113" s="56" t="n">
        <v>0</v>
      </c>
      <c r="M1113" s="56" t="n">
        <v>68</v>
      </c>
      <c r="N1113" s="56" t="n">
        <v>5.3</v>
      </c>
      <c r="O1113" s="56" t="n">
        <f aca="false">IF(D1113=1,"",E1112)</f>
        <v>18.4</v>
      </c>
      <c r="P1113" s="56" t="n">
        <f aca="false">IF(OR(D1113=1,K1112=""),"",K1112)</f>
        <v>1014.8</v>
      </c>
      <c r="Q1113" s="56" t="n">
        <f aca="false">IF(OR(F1113&lt;&gt;0,AND(I1113&lt;&gt;"",E1113&lt;I1113)),1,0)</f>
        <v>0</v>
      </c>
      <c r="R1113" s="56" t="n">
        <f aca="false">IF(AND(D1113&gt;1,Q1113=0,ISNUMBER(O1113),ISNUMBER(P1113)),IF(Q1112=0,1,0),0)</f>
        <v>1</v>
      </c>
      <c r="S1113" s="56" t="n">
        <f aca="false">R1113*(B1113&gt;=Train_Start)*(B1113&lt;=Train_End)</f>
        <v>1</v>
      </c>
      <c r="T1113" s="84" t="n">
        <f aca="false">IF(AND(ISNUMBER(O1113),ISNUMBER(P1113)),Coef_A+Coef_B1*O1113+Coef_B2*P1113,"")</f>
        <v>18.996985648553</v>
      </c>
      <c r="U1113" s="84" t="n">
        <f aca="false">IF(AND(R1113=1,ISNUMBER(T1113)),E1113-T1113,"")</f>
        <v>-2.59698564855303</v>
      </c>
      <c r="V1113" s="84" t="n">
        <f aca="false">IF(ISNUMBER(T1113),T1113,-99)</f>
        <v>18.996985648553</v>
      </c>
      <c r="W1113" s="84" t="n">
        <f aca="false">IF(ISNUMBER(U1113),ABS(U1113),"")</f>
        <v>2.59698564855303</v>
      </c>
    </row>
    <row r="1114" customFormat="false" ht="15" hidden="false" customHeight="false" outlineLevel="0" collapsed="false">
      <c r="A1114" s="57" t="n">
        <v>31574</v>
      </c>
      <c r="B1114" s="56" t="n">
        <v>1986</v>
      </c>
      <c r="C1114" s="56" t="n">
        <v>6</v>
      </c>
      <c r="D1114" s="56" t="n">
        <v>42</v>
      </c>
      <c r="E1114" s="56" t="n">
        <v>20.1</v>
      </c>
      <c r="F1114" s="56" t="n">
        <v>0</v>
      </c>
      <c r="G1114" s="56" t="n">
        <v>8.8</v>
      </c>
      <c r="H1114" s="56" t="n">
        <v>0</v>
      </c>
      <c r="I1114" s="56" t="n">
        <v>12.6</v>
      </c>
      <c r="J1114" s="56" t="n">
        <v>0</v>
      </c>
      <c r="K1114" s="56" t="n">
        <v>1016.6</v>
      </c>
      <c r="L1114" s="56" t="n">
        <v>0</v>
      </c>
      <c r="M1114" s="56" t="n">
        <v>74</v>
      </c>
      <c r="N1114" s="56" t="n">
        <v>5.9</v>
      </c>
      <c r="O1114" s="56" t="n">
        <f aca="false">IF(D1114=1,"",E1113)</f>
        <v>16.4</v>
      </c>
      <c r="P1114" s="56" t="n">
        <f aca="false">IF(OR(D1114=1,K1113=""),"",K1113)</f>
        <v>1011</v>
      </c>
      <c r="Q1114" s="56" t="n">
        <f aca="false">IF(OR(F1114&lt;&gt;0,AND(I1114&lt;&gt;"",E1114&lt;I1114)),1,0)</f>
        <v>0</v>
      </c>
      <c r="R1114" s="56" t="n">
        <f aca="false">IF(AND(D1114&gt;1,Q1114=0,ISNUMBER(O1114),ISNUMBER(P1114)),IF(Q1113=0,1,0),0)</f>
        <v>1</v>
      </c>
      <c r="S1114" s="56" t="n">
        <f aca="false">R1114*(B1114&gt;=Train_Start)*(B1114&lt;=Train_End)</f>
        <v>1</v>
      </c>
      <c r="T1114" s="84" t="n">
        <f aca="false">IF(AND(ISNUMBER(O1114),ISNUMBER(P1114)),Coef_A+Coef_B1*O1114+Coef_B2*P1114,"")</f>
        <v>17.2391016628586</v>
      </c>
      <c r="U1114" s="84" t="n">
        <f aca="false">IF(AND(R1114=1,ISNUMBER(T1114)),E1114-T1114,"")</f>
        <v>2.86089833714145</v>
      </c>
      <c r="V1114" s="84" t="n">
        <f aca="false">IF(ISNUMBER(T1114),T1114,-99)</f>
        <v>17.2391016628586</v>
      </c>
      <c r="W1114" s="84" t="n">
        <f aca="false">IF(ISNUMBER(U1114),ABS(U1114),"")</f>
        <v>2.86089833714145</v>
      </c>
    </row>
    <row r="1115" customFormat="false" ht="15" hidden="false" customHeight="false" outlineLevel="0" collapsed="false">
      <c r="A1115" s="57" t="n">
        <v>31575</v>
      </c>
      <c r="B1115" s="56" t="n">
        <v>1986</v>
      </c>
      <c r="C1115" s="56" t="n">
        <v>6</v>
      </c>
      <c r="D1115" s="56" t="n">
        <v>43</v>
      </c>
      <c r="E1115" s="56" t="n">
        <v>23.6</v>
      </c>
      <c r="F1115" s="56" t="n">
        <v>0</v>
      </c>
      <c r="G1115" s="56" t="n">
        <v>6.5</v>
      </c>
      <c r="H1115" s="56" t="n">
        <v>0</v>
      </c>
      <c r="I1115" s="56" t="n">
        <v>13.3</v>
      </c>
      <c r="J1115" s="56" t="n">
        <v>0</v>
      </c>
      <c r="K1115" s="56" t="n">
        <v>1027.8</v>
      </c>
      <c r="L1115" s="56" t="n">
        <v>0</v>
      </c>
      <c r="M1115" s="56" t="n">
        <v>64</v>
      </c>
      <c r="N1115" s="56" t="n">
        <v>13</v>
      </c>
      <c r="O1115" s="56" t="n">
        <f aca="false">IF(D1115=1,"",E1114)</f>
        <v>20.1</v>
      </c>
      <c r="P1115" s="56" t="n">
        <f aca="false">IF(OR(D1115=1,K1114=""),"",K1114)</f>
        <v>1016.6</v>
      </c>
      <c r="Q1115" s="56" t="n">
        <f aca="false">IF(OR(F1115&lt;&gt;0,AND(I1115&lt;&gt;"",E1115&lt;I1115)),1,0)</f>
        <v>0</v>
      </c>
      <c r="R1115" s="56" t="n">
        <f aca="false">IF(AND(D1115&gt;1,Q1115=0,ISNUMBER(O1115),ISNUMBER(P1115)),IF(Q1114=0,1,0),0)</f>
        <v>1</v>
      </c>
      <c r="S1115" s="56" t="n">
        <f aca="false">R1115*(B1115&gt;=Train_Start)*(B1115&lt;=Train_End)</f>
        <v>1</v>
      </c>
      <c r="T1115" s="84" t="n">
        <f aca="false">IF(AND(ISNUMBER(O1115),ISNUMBER(P1115)),Coef_A+Coef_B1*O1115+Coef_B2*P1115,"")</f>
        <v>20.4463280870667</v>
      </c>
      <c r="U1115" s="84" t="n">
        <f aca="false">IF(AND(R1115=1,ISNUMBER(T1115)),E1115-T1115,"")</f>
        <v>3.15367191293327</v>
      </c>
      <c r="V1115" s="84" t="n">
        <f aca="false">IF(ISNUMBER(T1115),T1115,-99)</f>
        <v>20.4463280870667</v>
      </c>
      <c r="W1115" s="84" t="n">
        <f aca="false">IF(ISNUMBER(U1115),ABS(U1115),"")</f>
        <v>3.15367191293327</v>
      </c>
    </row>
    <row r="1116" customFormat="false" ht="15" hidden="false" customHeight="false" outlineLevel="0" collapsed="false">
      <c r="A1116" s="57" t="n">
        <v>31576</v>
      </c>
      <c r="B1116" s="56" t="n">
        <v>1986</v>
      </c>
      <c r="C1116" s="56" t="n">
        <v>6</v>
      </c>
      <c r="D1116" s="56" t="n">
        <v>44</v>
      </c>
      <c r="E1116" s="56" t="n">
        <v>25</v>
      </c>
      <c r="F1116" s="56" t="n">
        <v>0</v>
      </c>
      <c r="G1116" s="56" t="n">
        <v>8.9</v>
      </c>
      <c r="H1116" s="56" t="n">
        <v>0</v>
      </c>
      <c r="I1116" s="56" t="n">
        <v>16.2</v>
      </c>
      <c r="J1116" s="56" t="n">
        <v>0</v>
      </c>
      <c r="K1116" s="56" t="n">
        <v>1030</v>
      </c>
      <c r="L1116" s="56" t="n">
        <v>0</v>
      </c>
      <c r="M1116" s="56" t="n">
        <v>59</v>
      </c>
      <c r="N1116" s="56" t="n">
        <v>12.6</v>
      </c>
      <c r="O1116" s="56" t="n">
        <f aca="false">IF(D1116=1,"",E1115)</f>
        <v>23.6</v>
      </c>
      <c r="P1116" s="56" t="n">
        <f aca="false">IF(OR(D1116=1,K1115=""),"",K1115)</f>
        <v>1027.8</v>
      </c>
      <c r="Q1116" s="56" t="n">
        <f aca="false">IF(OR(F1116&lt;&gt;0,AND(I1116&lt;&gt;"",E1116&lt;I1116)),1,0)</f>
        <v>0</v>
      </c>
      <c r="R1116" s="56" t="n">
        <f aca="false">IF(AND(D1116&gt;1,Q1116=0,ISNUMBER(O1116),ISNUMBER(P1116)),IF(Q1115=0,1,0),0)</f>
        <v>1</v>
      </c>
      <c r="S1116" s="56" t="n">
        <f aca="false">R1116*(B1116&gt;=Train_Start)*(B1116&lt;=Train_End)</f>
        <v>1</v>
      </c>
      <c r="T1116" s="84" t="n">
        <f aca="false">IF(AND(ISNUMBER(O1116),ISNUMBER(P1116)),Coef_A+Coef_B1*O1116+Coef_B2*P1116,"")</f>
        <v>23.6653580826167</v>
      </c>
      <c r="U1116" s="84" t="n">
        <f aca="false">IF(AND(R1116=1,ISNUMBER(T1116)),E1116-T1116,"")</f>
        <v>1.33464191738328</v>
      </c>
      <c r="V1116" s="84" t="n">
        <f aca="false">IF(ISNUMBER(T1116),T1116,-99)</f>
        <v>23.6653580826167</v>
      </c>
      <c r="W1116" s="84" t="n">
        <f aca="false">IF(ISNUMBER(U1116),ABS(U1116),"")</f>
        <v>1.33464191738328</v>
      </c>
    </row>
    <row r="1117" customFormat="false" ht="15" hidden="false" customHeight="false" outlineLevel="0" collapsed="false">
      <c r="A1117" s="57" t="n">
        <v>31577</v>
      </c>
      <c r="B1117" s="56" t="n">
        <v>1986</v>
      </c>
      <c r="C1117" s="56" t="n">
        <v>6</v>
      </c>
      <c r="D1117" s="56" t="n">
        <v>45</v>
      </c>
      <c r="E1117" s="56" t="n">
        <v>26.3</v>
      </c>
      <c r="F1117" s="56" t="n">
        <v>0</v>
      </c>
      <c r="G1117" s="56" t="n">
        <v>12.3</v>
      </c>
      <c r="H1117" s="56" t="n">
        <v>0</v>
      </c>
      <c r="I1117" s="56" t="n">
        <v>18.6</v>
      </c>
      <c r="J1117" s="56" t="n">
        <v>0</v>
      </c>
      <c r="K1117" s="56" t="n">
        <v>1028.2</v>
      </c>
      <c r="L1117" s="56" t="n">
        <v>0</v>
      </c>
      <c r="M1117" s="56" t="n">
        <v>52</v>
      </c>
      <c r="N1117" s="56" t="n">
        <v>13.3</v>
      </c>
      <c r="O1117" s="56" t="n">
        <f aca="false">IF(D1117=1,"",E1116)</f>
        <v>25</v>
      </c>
      <c r="P1117" s="56" t="n">
        <f aca="false">IF(OR(D1117=1,K1116=""),"",K1116)</f>
        <v>1030</v>
      </c>
      <c r="Q1117" s="56" t="n">
        <f aca="false">IF(OR(F1117&lt;&gt;0,AND(I1117&lt;&gt;"",E1117&lt;I1117)),1,0)</f>
        <v>0</v>
      </c>
      <c r="R1117" s="56" t="n">
        <f aca="false">IF(AND(D1117&gt;1,Q1117=0,ISNUMBER(O1117),ISNUMBER(P1117)),IF(Q1116=0,1,0),0)</f>
        <v>1</v>
      </c>
      <c r="S1117" s="56" t="n">
        <f aca="false">R1117*(B1117&gt;=Train_Start)*(B1117&lt;=Train_End)</f>
        <v>1</v>
      </c>
      <c r="T1117" s="84" t="n">
        <f aca="false">IF(AND(ISNUMBER(O1117),ISNUMBER(P1117)),Coef_A+Coef_B1*O1117+Coef_B2*P1117,"")</f>
        <v>24.8814467210712</v>
      </c>
      <c r="U1117" s="84" t="n">
        <f aca="false">IF(AND(R1117=1,ISNUMBER(T1117)),E1117-T1117,"")</f>
        <v>1.41855327892879</v>
      </c>
      <c r="V1117" s="84" t="n">
        <f aca="false">IF(ISNUMBER(T1117),T1117,-99)</f>
        <v>24.8814467210712</v>
      </c>
      <c r="W1117" s="84" t="n">
        <f aca="false">IF(ISNUMBER(U1117),ABS(U1117),"")</f>
        <v>1.41855327892879</v>
      </c>
    </row>
    <row r="1118" customFormat="false" ht="15" hidden="false" customHeight="false" outlineLevel="0" collapsed="false">
      <c r="A1118" s="57" t="n">
        <v>31578</v>
      </c>
      <c r="B1118" s="56" t="n">
        <v>1986</v>
      </c>
      <c r="C1118" s="56" t="n">
        <v>6</v>
      </c>
      <c r="D1118" s="56" t="n">
        <v>46</v>
      </c>
      <c r="E1118" s="56" t="n">
        <v>28.6</v>
      </c>
      <c r="F1118" s="56" t="n">
        <v>0</v>
      </c>
      <c r="G1118" s="56" t="n">
        <v>11.6</v>
      </c>
      <c r="H1118" s="56" t="n">
        <v>0</v>
      </c>
      <c r="I1118" s="56" t="n">
        <v>19</v>
      </c>
      <c r="J1118" s="56" t="n">
        <v>0</v>
      </c>
      <c r="K1118" s="56" t="n">
        <v>1020.9</v>
      </c>
      <c r="L1118" s="56" t="n">
        <v>0</v>
      </c>
      <c r="M1118" s="56" t="n">
        <v>57</v>
      </c>
      <c r="N1118" s="56" t="n">
        <v>14.5</v>
      </c>
      <c r="O1118" s="56" t="n">
        <f aca="false">IF(D1118=1,"",E1117)</f>
        <v>26.3</v>
      </c>
      <c r="P1118" s="56" t="n">
        <f aca="false">IF(OR(D1118=1,K1117=""),"",K1117)</f>
        <v>1028.2</v>
      </c>
      <c r="Q1118" s="56" t="n">
        <f aca="false">IF(OR(F1118&lt;&gt;0,AND(I1118&lt;&gt;"",E1118&lt;I1118)),1,0)</f>
        <v>0</v>
      </c>
      <c r="R1118" s="56" t="n">
        <f aca="false">IF(AND(D1118&gt;1,Q1118=0,ISNUMBER(O1118),ISNUMBER(P1118)),IF(Q1117=0,1,0),0)</f>
        <v>1</v>
      </c>
      <c r="S1118" s="56" t="n">
        <f aca="false">R1118*(B1118&gt;=Train_Start)*(B1118&lt;=Train_End)</f>
        <v>1</v>
      </c>
      <c r="T1118" s="84" t="n">
        <f aca="false">IF(AND(ISNUMBER(O1118),ISNUMBER(P1118)),Coef_A+Coef_B1*O1118+Coef_B2*P1118,"")</f>
        <v>25.8901218616855</v>
      </c>
      <c r="U1118" s="84" t="n">
        <f aca="false">IF(AND(R1118=1,ISNUMBER(T1118)),E1118-T1118,"")</f>
        <v>2.70987813831451</v>
      </c>
      <c r="V1118" s="84" t="n">
        <f aca="false">IF(ISNUMBER(T1118),T1118,-99)</f>
        <v>25.8901218616855</v>
      </c>
      <c r="W1118" s="84" t="n">
        <f aca="false">IF(ISNUMBER(U1118),ABS(U1118),"")</f>
        <v>2.70987813831451</v>
      </c>
    </row>
    <row r="1119" customFormat="false" ht="15" hidden="false" customHeight="false" outlineLevel="0" collapsed="false">
      <c r="A1119" s="57" t="n">
        <v>31579</v>
      </c>
      <c r="B1119" s="56" t="n">
        <v>1986</v>
      </c>
      <c r="C1119" s="56" t="n">
        <v>6</v>
      </c>
      <c r="D1119" s="56" t="n">
        <v>47</v>
      </c>
      <c r="E1119" s="56" t="n">
        <v>22.4</v>
      </c>
      <c r="F1119" s="56" t="n">
        <v>0</v>
      </c>
      <c r="G1119" s="56" t="n">
        <v>15.8</v>
      </c>
      <c r="H1119" s="56" t="n">
        <v>0</v>
      </c>
      <c r="I1119" s="56" t="n">
        <v>22.2</v>
      </c>
      <c r="J1119" s="56" t="n">
        <v>0</v>
      </c>
      <c r="K1119" s="56" t="n">
        <v>1013.8</v>
      </c>
      <c r="L1119" s="56" t="n">
        <v>0</v>
      </c>
      <c r="M1119" s="56" t="n">
        <v>65</v>
      </c>
      <c r="N1119" s="56" t="n">
        <v>12.2</v>
      </c>
      <c r="O1119" s="56" t="n">
        <f aca="false">IF(D1119=1,"",E1118)</f>
        <v>28.6</v>
      </c>
      <c r="P1119" s="56" t="n">
        <f aca="false">IF(OR(D1119=1,K1118=""),"",K1118)</f>
        <v>1020.9</v>
      </c>
      <c r="Q1119" s="56" t="n">
        <f aca="false">IF(OR(F1119&lt;&gt;0,AND(I1119&lt;&gt;"",E1119&lt;I1119)),1,0)</f>
        <v>0</v>
      </c>
      <c r="R1119" s="56" t="n">
        <f aca="false">IF(AND(D1119&gt;1,Q1119=0,ISNUMBER(O1119),ISNUMBER(P1119)),IF(Q1118=0,1,0),0)</f>
        <v>1</v>
      </c>
      <c r="S1119" s="56" t="n">
        <f aca="false">R1119*(B1119&gt;=Train_Start)*(B1119&lt;=Train_End)</f>
        <v>1</v>
      </c>
      <c r="T1119" s="84" t="n">
        <f aca="false">IF(AND(ISNUMBER(O1119),ISNUMBER(P1119)),Coef_A+Coef_B1*O1119+Coef_B2*P1119,"")</f>
        <v>27.5456017748555</v>
      </c>
      <c r="U1119" s="84" t="n">
        <f aca="false">IF(AND(R1119=1,ISNUMBER(T1119)),E1119-T1119,"")</f>
        <v>-5.14560177485548</v>
      </c>
      <c r="V1119" s="84" t="n">
        <f aca="false">IF(ISNUMBER(T1119),T1119,-99)</f>
        <v>27.5456017748555</v>
      </c>
      <c r="W1119" s="84" t="n">
        <f aca="false">IF(ISNUMBER(U1119),ABS(U1119),"")</f>
        <v>5.14560177485548</v>
      </c>
    </row>
    <row r="1120" customFormat="false" ht="15" hidden="false" customHeight="false" outlineLevel="0" collapsed="false">
      <c r="A1120" s="57" t="n">
        <v>31580</v>
      </c>
      <c r="B1120" s="56" t="n">
        <v>1986</v>
      </c>
      <c r="C1120" s="56" t="n">
        <v>6</v>
      </c>
      <c r="D1120" s="56" t="n">
        <v>48</v>
      </c>
      <c r="E1120" s="56" t="n">
        <v>20.6</v>
      </c>
      <c r="F1120" s="56" t="n">
        <v>0</v>
      </c>
      <c r="G1120" s="56" t="n">
        <v>16.4</v>
      </c>
      <c r="H1120" s="56" t="n">
        <v>0</v>
      </c>
      <c r="I1120" s="56" t="n">
        <v>19.4</v>
      </c>
      <c r="J1120" s="56" t="n">
        <v>0</v>
      </c>
      <c r="K1120" s="56" t="n">
        <v>1013.5</v>
      </c>
      <c r="L1120" s="56" t="n">
        <v>0</v>
      </c>
      <c r="M1120" s="56" t="n">
        <v>74</v>
      </c>
      <c r="N1120" s="56" t="n">
        <v>5.9</v>
      </c>
      <c r="O1120" s="56" t="n">
        <f aca="false">IF(D1120=1,"",E1119)</f>
        <v>22.4</v>
      </c>
      <c r="P1120" s="56" t="n">
        <f aca="false">IF(OR(D1120=1,K1119=""),"",K1119)</f>
        <v>1013.8</v>
      </c>
      <c r="Q1120" s="56" t="n">
        <f aca="false">IF(OR(F1120&lt;&gt;0,AND(I1120&lt;&gt;"",E1120&lt;I1120)),1,0)</f>
        <v>0</v>
      </c>
      <c r="R1120" s="56" t="n">
        <f aca="false">IF(AND(D1120&gt;1,Q1120=0,ISNUMBER(O1120),ISNUMBER(P1120)),IF(Q1119=0,1,0),0)</f>
        <v>1</v>
      </c>
      <c r="S1120" s="56" t="n">
        <f aca="false">R1120*(B1120&gt;=Train_Start)*(B1120&lt;=Train_End)</f>
        <v>1</v>
      </c>
      <c r="T1120" s="84" t="n">
        <f aca="false">IF(AND(ISNUMBER(O1120),ISNUMBER(P1120)),Coef_A+Coef_B1*O1120+Coef_B2*P1120,"")</f>
        <v>22.2429725260897</v>
      </c>
      <c r="U1120" s="84" t="n">
        <f aca="false">IF(AND(R1120=1,ISNUMBER(T1120)),E1120-T1120,"")</f>
        <v>-1.64297252608967</v>
      </c>
      <c r="V1120" s="84" t="n">
        <f aca="false">IF(ISNUMBER(T1120),T1120,-99)</f>
        <v>22.2429725260897</v>
      </c>
      <c r="W1120" s="84" t="n">
        <f aca="false">IF(ISNUMBER(U1120),ABS(U1120),"")</f>
        <v>1.64297252608967</v>
      </c>
    </row>
    <row r="1121" customFormat="false" ht="15" hidden="false" customHeight="false" outlineLevel="0" collapsed="false">
      <c r="A1121" s="57" t="n">
        <v>31581</v>
      </c>
      <c r="B1121" s="56" t="n">
        <v>1986</v>
      </c>
      <c r="C1121" s="56" t="n">
        <v>6</v>
      </c>
      <c r="D1121" s="56" t="n">
        <v>49</v>
      </c>
      <c r="E1121" s="56" t="n">
        <v>23.6</v>
      </c>
      <c r="F1121" s="56" t="n">
        <v>0</v>
      </c>
      <c r="G1121" s="56" t="n">
        <v>8.2</v>
      </c>
      <c r="H1121" s="56" t="n">
        <v>0</v>
      </c>
      <c r="I1121" s="56" t="n">
        <v>14.4</v>
      </c>
      <c r="J1121" s="56" t="n">
        <v>0</v>
      </c>
      <c r="K1121" s="56" t="n">
        <v>1019.3</v>
      </c>
      <c r="L1121" s="56" t="n">
        <v>0</v>
      </c>
      <c r="M1121" s="56" t="n">
        <v>62</v>
      </c>
      <c r="N1121" s="56" t="n">
        <v>14.3</v>
      </c>
      <c r="O1121" s="56" t="n">
        <f aca="false">IF(D1121=1,"",E1120)</f>
        <v>20.6</v>
      </c>
      <c r="P1121" s="56" t="n">
        <f aca="false">IF(OR(D1121=1,K1120=""),"",K1120)</f>
        <v>1013.5</v>
      </c>
      <c r="Q1121" s="56" t="n">
        <f aca="false">IF(OR(F1121&lt;&gt;0,AND(I1121&lt;&gt;"",E1121&lt;I1121)),1,0)</f>
        <v>0</v>
      </c>
      <c r="R1121" s="56" t="n">
        <f aca="false">IF(AND(D1121&gt;1,Q1121=0,ISNUMBER(O1121),ISNUMBER(P1121)),IF(Q1120=0,1,0),0)</f>
        <v>1</v>
      </c>
      <c r="S1121" s="56" t="n">
        <f aca="false">R1121*(B1121&gt;=Train_Start)*(B1121&lt;=Train_End)</f>
        <v>1</v>
      </c>
      <c r="T1121" s="84" t="n">
        <f aca="false">IF(AND(ISNUMBER(O1121),ISNUMBER(P1121)),Coef_A+Coef_B1*O1121+Coef_B2*P1121,"")</f>
        <v>20.7587510102227</v>
      </c>
      <c r="U1121" s="84" t="n">
        <f aca="false">IF(AND(R1121=1,ISNUMBER(T1121)),E1121-T1121,"")</f>
        <v>2.84124898977731</v>
      </c>
      <c r="V1121" s="84" t="n">
        <f aca="false">IF(ISNUMBER(T1121),T1121,-99)</f>
        <v>20.7587510102227</v>
      </c>
      <c r="W1121" s="84" t="n">
        <f aca="false">IF(ISNUMBER(U1121),ABS(U1121),"")</f>
        <v>2.84124898977731</v>
      </c>
    </row>
    <row r="1122" customFormat="false" ht="15" hidden="false" customHeight="false" outlineLevel="0" collapsed="false">
      <c r="A1122" s="57" t="n">
        <v>31582</v>
      </c>
      <c r="B1122" s="56" t="n">
        <v>1986</v>
      </c>
      <c r="C1122" s="56" t="n">
        <v>6</v>
      </c>
      <c r="D1122" s="56" t="n">
        <v>50</v>
      </c>
      <c r="E1122" s="56" t="n">
        <v>20.4</v>
      </c>
      <c r="F1122" s="56" t="n">
        <v>0</v>
      </c>
      <c r="G1122" s="56" t="n">
        <v>10.3</v>
      </c>
      <c r="H1122" s="56" t="n">
        <v>0</v>
      </c>
      <c r="I1122" s="56" t="n">
        <v>17</v>
      </c>
      <c r="J1122" s="56" t="n">
        <v>0</v>
      </c>
      <c r="K1122" s="56" t="n">
        <v>1017.5</v>
      </c>
      <c r="L1122" s="56" t="n">
        <v>0</v>
      </c>
      <c r="M1122" s="56" t="n">
        <v>64</v>
      </c>
      <c r="N1122" s="56" t="n">
        <v>14.3</v>
      </c>
      <c r="O1122" s="56" t="n">
        <f aca="false">IF(D1122=1,"",E1121)</f>
        <v>23.6</v>
      </c>
      <c r="P1122" s="56" t="n">
        <f aca="false">IF(OR(D1122=1,K1121=""),"",K1121)</f>
        <v>1019.3</v>
      </c>
      <c r="Q1122" s="56" t="n">
        <f aca="false">IF(OR(F1122&lt;&gt;0,AND(I1122&lt;&gt;"",E1122&lt;I1122)),1,0)</f>
        <v>0</v>
      </c>
      <c r="R1122" s="56" t="n">
        <f aca="false">IF(AND(D1122&gt;1,Q1122=0,ISNUMBER(O1122),ISNUMBER(P1122)),IF(Q1121=0,1,0),0)</f>
        <v>1</v>
      </c>
      <c r="S1122" s="56" t="n">
        <f aca="false">R1122*(B1122&gt;=Train_Start)*(B1122&lt;=Train_End)</f>
        <v>1</v>
      </c>
      <c r="T1122" s="84" t="n">
        <f aca="false">IF(AND(ISNUMBER(O1122),ISNUMBER(P1122)),Coef_A+Coef_B1*O1122+Coef_B2*P1122,"")</f>
        <v>23.3987139782278</v>
      </c>
      <c r="U1122" s="84" t="n">
        <f aca="false">IF(AND(R1122=1,ISNUMBER(T1122)),E1122-T1122,"")</f>
        <v>-2.99871397822781</v>
      </c>
      <c r="V1122" s="84" t="n">
        <f aca="false">IF(ISNUMBER(T1122),T1122,-99)</f>
        <v>23.3987139782278</v>
      </c>
      <c r="W1122" s="84" t="n">
        <f aca="false">IF(ISNUMBER(U1122),ABS(U1122),"")</f>
        <v>2.99871397822781</v>
      </c>
    </row>
    <row r="1123" customFormat="false" ht="15" hidden="false" customHeight="false" outlineLevel="0" collapsed="false">
      <c r="A1123" s="57" t="n">
        <v>31583</v>
      </c>
      <c r="B1123" s="56" t="n">
        <v>1986</v>
      </c>
      <c r="C1123" s="56" t="n">
        <v>6</v>
      </c>
      <c r="D1123" s="56" t="n">
        <v>51</v>
      </c>
      <c r="E1123" s="56" t="n">
        <v>23</v>
      </c>
      <c r="F1123" s="56" t="n">
        <v>0</v>
      </c>
      <c r="G1123" s="56" t="n">
        <v>13.1</v>
      </c>
      <c r="H1123" s="56" t="n">
        <v>0</v>
      </c>
      <c r="I1123" s="56" t="n">
        <v>16.8</v>
      </c>
      <c r="J1123" s="56" t="n">
        <v>0</v>
      </c>
      <c r="K1123" s="56" t="n">
        <v>1018.6</v>
      </c>
      <c r="L1123" s="56" t="n">
        <v>0</v>
      </c>
      <c r="M1123" s="56" t="n">
        <v>69</v>
      </c>
      <c r="N1123" s="56" t="n">
        <v>3.3</v>
      </c>
      <c r="O1123" s="56" t="n">
        <f aca="false">IF(D1123=1,"",E1122)</f>
        <v>20.4</v>
      </c>
      <c r="P1123" s="56" t="n">
        <f aca="false">IF(OR(D1123=1,K1122=""),"",K1122)</f>
        <v>1017.5</v>
      </c>
      <c r="Q1123" s="56" t="n">
        <f aca="false">IF(OR(F1123&lt;&gt;0,AND(I1123&lt;&gt;"",E1123&lt;I1123)),1,0)</f>
        <v>0</v>
      </c>
      <c r="R1123" s="56" t="n">
        <f aca="false">IF(AND(D1123&gt;1,Q1123=0,ISNUMBER(O1123),ISNUMBER(P1123)),IF(Q1122=0,1,0),0)</f>
        <v>1</v>
      </c>
      <c r="S1123" s="56" t="n">
        <f aca="false">R1123*(B1123&gt;=Train_Start)*(B1123&lt;=Train_End)</f>
        <v>1</v>
      </c>
      <c r="T1123" s="84" t="n">
        <f aca="false">IF(AND(ISNUMBER(O1123),ISNUMBER(P1123)),Coef_A+Coef_B1*O1123+Coef_B2*P1123,"")</f>
        <v>20.7203627501501</v>
      </c>
      <c r="U1123" s="84" t="n">
        <f aca="false">IF(AND(R1123=1,ISNUMBER(T1123)),E1123-T1123,"")</f>
        <v>2.27963724984988</v>
      </c>
      <c r="V1123" s="84" t="n">
        <f aca="false">IF(ISNUMBER(T1123),T1123,-99)</f>
        <v>20.7203627501501</v>
      </c>
      <c r="W1123" s="84" t="n">
        <f aca="false">IF(ISNUMBER(U1123),ABS(U1123),"")</f>
        <v>2.27963724984988</v>
      </c>
    </row>
    <row r="1124" customFormat="false" ht="15" hidden="false" customHeight="false" outlineLevel="0" collapsed="false">
      <c r="A1124" s="57" t="n">
        <v>31584</v>
      </c>
      <c r="B1124" s="56" t="n">
        <v>1986</v>
      </c>
      <c r="C1124" s="56" t="n">
        <v>6</v>
      </c>
      <c r="D1124" s="56" t="n">
        <v>52</v>
      </c>
      <c r="E1124" s="56" t="n">
        <v>18.5</v>
      </c>
      <c r="F1124" s="56" t="n">
        <v>0</v>
      </c>
      <c r="G1124" s="56" t="n">
        <v>10</v>
      </c>
      <c r="H1124" s="56" t="n">
        <v>0</v>
      </c>
      <c r="I1124" s="56" t="n">
        <v>16.5</v>
      </c>
      <c r="J1124" s="56" t="n">
        <v>0</v>
      </c>
      <c r="K1124" s="56" t="n">
        <v>1018</v>
      </c>
      <c r="L1124" s="56" t="n">
        <v>0</v>
      </c>
      <c r="M1124" s="56" t="n">
        <v>64</v>
      </c>
      <c r="N1124" s="56" t="n">
        <v>9.3</v>
      </c>
      <c r="O1124" s="56" t="n">
        <f aca="false">IF(D1124=1,"",E1123)</f>
        <v>23</v>
      </c>
      <c r="P1124" s="56" t="n">
        <f aca="false">IF(OR(D1124=1,K1123=""),"",K1123)</f>
        <v>1018.6</v>
      </c>
      <c r="Q1124" s="56" t="n">
        <f aca="false">IF(OR(F1124&lt;&gt;0,AND(I1124&lt;&gt;"",E1124&lt;I1124)),1,0)</f>
        <v>0</v>
      </c>
      <c r="R1124" s="56" t="n">
        <f aca="false">IF(AND(D1124&gt;1,Q1124=0,ISNUMBER(O1124),ISNUMBER(P1124)),IF(Q1123=0,1,0),0)</f>
        <v>1</v>
      </c>
      <c r="S1124" s="56" t="n">
        <f aca="false">R1124*(B1124&gt;=Train_Start)*(B1124&lt;=Train_End)</f>
        <v>1</v>
      </c>
      <c r="T1124" s="84" t="n">
        <f aca="false">IF(AND(ISNUMBER(O1124),ISNUMBER(P1124)),Coef_A+Coef_B1*O1124+Coef_B2*P1124,"")</f>
        <v>22.8851515361584</v>
      </c>
      <c r="U1124" s="84" t="n">
        <f aca="false">IF(AND(R1124=1,ISNUMBER(T1124)),E1124-T1124,"")</f>
        <v>-4.38515153615842</v>
      </c>
      <c r="V1124" s="84" t="n">
        <f aca="false">IF(ISNUMBER(T1124),T1124,-99)</f>
        <v>22.8851515361584</v>
      </c>
      <c r="W1124" s="84" t="n">
        <f aca="false">IF(ISNUMBER(U1124),ABS(U1124),"")</f>
        <v>4.38515153615842</v>
      </c>
    </row>
    <row r="1125" customFormat="false" ht="15" hidden="false" customHeight="false" outlineLevel="0" collapsed="false">
      <c r="A1125" s="57" t="n">
        <v>31585</v>
      </c>
      <c r="B1125" s="56" t="n">
        <v>1986</v>
      </c>
      <c r="C1125" s="56" t="n">
        <v>6</v>
      </c>
      <c r="D1125" s="56" t="n">
        <v>53</v>
      </c>
      <c r="E1125" s="56" t="n">
        <v>17.6</v>
      </c>
      <c r="F1125" s="56" t="n">
        <v>0</v>
      </c>
      <c r="G1125" s="56" t="n">
        <v>11.4</v>
      </c>
      <c r="H1125" s="56" t="n">
        <v>0</v>
      </c>
      <c r="I1125" s="56" t="n">
        <v>15</v>
      </c>
      <c r="J1125" s="56" t="n">
        <v>0</v>
      </c>
      <c r="K1125" s="56" t="n">
        <v>1015.6</v>
      </c>
      <c r="L1125" s="56" t="n">
        <v>0</v>
      </c>
      <c r="M1125" s="56" t="n">
        <v>90</v>
      </c>
      <c r="N1125" s="56" t="n">
        <v>0</v>
      </c>
      <c r="O1125" s="56" t="n">
        <f aca="false">IF(D1125=1,"",E1124)</f>
        <v>18.5</v>
      </c>
      <c r="P1125" s="56" t="n">
        <f aca="false">IF(OR(D1125=1,K1124=""),"",K1124)</f>
        <v>1018</v>
      </c>
      <c r="Q1125" s="56" t="n">
        <f aca="false">IF(OR(F1125&lt;&gt;0,AND(I1125&lt;&gt;"",E1125&lt;I1125)),1,0)</f>
        <v>0</v>
      </c>
      <c r="R1125" s="56" t="n">
        <f aca="false">IF(AND(D1125&gt;1,Q1125=0,ISNUMBER(O1125),ISNUMBER(P1125)),IF(Q1124=0,1,0),0)</f>
        <v>1</v>
      </c>
      <c r="S1125" s="56" t="n">
        <f aca="false">R1125*(B1125&gt;=Train_Start)*(B1125&lt;=Train_End)</f>
        <v>1</v>
      </c>
      <c r="T1125" s="84" t="n">
        <f aca="false">IF(AND(ISNUMBER(O1125),ISNUMBER(P1125)),Coef_A+Coef_B1*O1125+Coef_B2*P1125,"")</f>
        <v>19.1793032306861</v>
      </c>
      <c r="U1125" s="84" t="n">
        <f aca="false">IF(AND(R1125=1,ISNUMBER(T1125)),E1125-T1125,"")</f>
        <v>-1.57930323068607</v>
      </c>
      <c r="V1125" s="84" t="n">
        <f aca="false">IF(ISNUMBER(T1125),T1125,-99)</f>
        <v>19.1793032306861</v>
      </c>
      <c r="W1125" s="84" t="n">
        <f aca="false">IF(ISNUMBER(U1125),ABS(U1125),"")</f>
        <v>1.57930323068607</v>
      </c>
    </row>
    <row r="1126" customFormat="false" ht="15" hidden="false" customHeight="false" outlineLevel="0" collapsed="false">
      <c r="A1126" s="57" t="n">
        <v>31586</v>
      </c>
      <c r="B1126" s="56" t="n">
        <v>1986</v>
      </c>
      <c r="C1126" s="56" t="n">
        <v>6</v>
      </c>
      <c r="D1126" s="56" t="n">
        <v>54</v>
      </c>
      <c r="E1126" s="56" t="n">
        <v>20.6</v>
      </c>
      <c r="F1126" s="56" t="n">
        <v>0</v>
      </c>
      <c r="G1126" s="56" t="n">
        <v>12.4</v>
      </c>
      <c r="H1126" s="56" t="n">
        <v>0</v>
      </c>
      <c r="I1126" s="56" t="n">
        <v>15</v>
      </c>
      <c r="J1126" s="56" t="n">
        <v>0</v>
      </c>
      <c r="K1126" s="56" t="n">
        <v>1010.8</v>
      </c>
      <c r="L1126" s="56" t="n">
        <v>0</v>
      </c>
      <c r="M1126" s="56" t="n">
        <v>85</v>
      </c>
      <c r="N1126" s="56" t="n">
        <v>0</v>
      </c>
      <c r="O1126" s="56" t="n">
        <f aca="false">IF(D1126=1,"",E1125)</f>
        <v>17.6</v>
      </c>
      <c r="P1126" s="56" t="n">
        <f aca="false">IF(OR(D1126=1,K1125=""),"",K1125)</f>
        <v>1015.6</v>
      </c>
      <c r="Q1126" s="56" t="n">
        <f aca="false">IF(OR(F1126&lt;&gt;0,AND(I1126&lt;&gt;"",E1126&lt;I1126)),1,0)</f>
        <v>0</v>
      </c>
      <c r="R1126" s="56" t="n">
        <f aca="false">IF(AND(D1126&gt;1,Q1126=0,ISNUMBER(O1126),ISNUMBER(P1126)),IF(Q1125=0,1,0),0)</f>
        <v>1</v>
      </c>
      <c r="S1126" s="56" t="n">
        <f aca="false">R1126*(B1126&gt;=Train_Start)*(B1126&lt;=Train_End)</f>
        <v>1</v>
      </c>
      <c r="T1126" s="84" t="n">
        <f aca="false">IF(AND(ISNUMBER(O1126),ISNUMBER(P1126)),Coef_A+Coef_B1*O1126+Coef_B2*P1126,"")</f>
        <v>18.3666102098261</v>
      </c>
      <c r="U1126" s="84" t="n">
        <f aca="false">IF(AND(R1126=1,ISNUMBER(T1126)),E1126-T1126,"")</f>
        <v>2.2333897901739</v>
      </c>
      <c r="V1126" s="84" t="n">
        <f aca="false">IF(ISNUMBER(T1126),T1126,-99)</f>
        <v>18.3666102098261</v>
      </c>
      <c r="W1126" s="84" t="n">
        <f aca="false">IF(ISNUMBER(U1126),ABS(U1126),"")</f>
        <v>2.2333897901739</v>
      </c>
    </row>
    <row r="1127" customFormat="false" ht="15" hidden="false" customHeight="false" outlineLevel="0" collapsed="false">
      <c r="A1127" s="57" t="n">
        <v>31587</v>
      </c>
      <c r="B1127" s="56" t="n">
        <v>1986</v>
      </c>
      <c r="C1127" s="56" t="n">
        <v>6</v>
      </c>
      <c r="D1127" s="56" t="n">
        <v>55</v>
      </c>
      <c r="E1127" s="56" t="n">
        <v>26.6</v>
      </c>
      <c r="F1127" s="56" t="n">
        <v>0</v>
      </c>
      <c r="G1127" s="56" t="n">
        <v>12.9</v>
      </c>
      <c r="H1127" s="56" t="n">
        <v>0</v>
      </c>
      <c r="I1127" s="56" t="n">
        <v>16.8</v>
      </c>
      <c r="J1127" s="56" t="n">
        <v>0</v>
      </c>
      <c r="K1127" s="56" t="n">
        <v>1014.9</v>
      </c>
      <c r="L1127" s="56" t="n">
        <v>0</v>
      </c>
      <c r="M1127" s="56" t="n">
        <v>74</v>
      </c>
      <c r="N1127" s="56" t="n">
        <v>4.5</v>
      </c>
      <c r="O1127" s="56" t="n">
        <f aca="false">IF(D1127=1,"",E1126)</f>
        <v>20.6</v>
      </c>
      <c r="P1127" s="56" t="n">
        <f aca="false">IF(OR(D1127=1,K1126=""),"",K1126)</f>
        <v>1010.8</v>
      </c>
      <c r="Q1127" s="56" t="n">
        <f aca="false">IF(OR(F1127&lt;&gt;0,AND(I1127&lt;&gt;"",E1127&lt;I1127)),1,0)</f>
        <v>0</v>
      </c>
      <c r="R1127" s="56" t="n">
        <f aca="false">IF(AND(D1127&gt;1,Q1127=0,ISNUMBER(O1127),ISNUMBER(P1127)),IF(Q1126=0,1,0),0)</f>
        <v>1</v>
      </c>
      <c r="S1127" s="56" t="n">
        <f aca="false">R1127*(B1127&gt;=Train_Start)*(B1127&lt;=Train_End)</f>
        <v>1</v>
      </c>
      <c r="T1127" s="84" t="n">
        <f aca="false">IF(AND(ISNUMBER(O1127),ISNUMBER(P1127)),Coef_A+Coef_B1*O1127+Coef_B2*P1127,"")</f>
        <v>20.6740522947109</v>
      </c>
      <c r="U1127" s="84" t="n">
        <f aca="false">IF(AND(R1127=1,ISNUMBER(T1127)),E1127-T1127,"")</f>
        <v>5.92594770528908</v>
      </c>
      <c r="V1127" s="84" t="n">
        <f aca="false">IF(ISNUMBER(T1127),T1127,-99)</f>
        <v>20.6740522947109</v>
      </c>
      <c r="W1127" s="84" t="n">
        <f aca="false">IF(ISNUMBER(U1127),ABS(U1127),"")</f>
        <v>5.92594770528908</v>
      </c>
    </row>
    <row r="1128" customFormat="false" ht="15" hidden="false" customHeight="false" outlineLevel="0" collapsed="false">
      <c r="A1128" s="57" t="n">
        <v>31588</v>
      </c>
      <c r="B1128" s="56" t="n">
        <v>1986</v>
      </c>
      <c r="C1128" s="56" t="n">
        <v>6</v>
      </c>
      <c r="D1128" s="56" t="n">
        <v>56</v>
      </c>
      <c r="E1128" s="56" t="n">
        <v>27.1</v>
      </c>
      <c r="F1128" s="56" t="n">
        <v>0</v>
      </c>
      <c r="G1128" s="56" t="n">
        <v>11.1</v>
      </c>
      <c r="H1128" s="56" t="n">
        <v>0</v>
      </c>
      <c r="I1128" s="56" t="n">
        <v>18.8</v>
      </c>
      <c r="J1128" s="56" t="n">
        <v>0</v>
      </c>
      <c r="K1128" s="56" t="n">
        <v>1022.1</v>
      </c>
      <c r="L1128" s="56" t="n">
        <v>0</v>
      </c>
      <c r="M1128" s="56" t="n">
        <v>62</v>
      </c>
      <c r="N1128" s="56" t="n">
        <v>10.8</v>
      </c>
      <c r="O1128" s="56" t="n">
        <f aca="false">IF(D1128=1,"",E1127)</f>
        <v>26.6</v>
      </c>
      <c r="P1128" s="56" t="n">
        <f aca="false">IF(OR(D1128=1,K1127=""),"",K1127)</f>
        <v>1014.9</v>
      </c>
      <c r="Q1128" s="56" t="n">
        <f aca="false">IF(OR(F1128&lt;&gt;0,AND(I1128&lt;&gt;"",E1128&lt;I1128)),1,0)</f>
        <v>0</v>
      </c>
      <c r="R1128" s="56" t="n">
        <f aca="false">IF(AND(D1128&gt;1,Q1128=0,ISNUMBER(O1128),ISNUMBER(P1128)),IF(Q1127=0,1,0),0)</f>
        <v>1</v>
      </c>
      <c r="S1128" s="56" t="n">
        <f aca="false">R1128*(B1128&gt;=Train_Start)*(B1128&lt;=Train_End)</f>
        <v>1</v>
      </c>
      <c r="T1128" s="84" t="n">
        <f aca="false">IF(AND(ISNUMBER(O1128),ISNUMBER(P1128)),Coef_A+Coef_B1*O1128+Coef_B2*P1128,"")</f>
        <v>25.7187040209662</v>
      </c>
      <c r="U1128" s="84" t="n">
        <f aca="false">IF(AND(R1128=1,ISNUMBER(T1128)),E1128-T1128,"")</f>
        <v>1.38129597903378</v>
      </c>
      <c r="V1128" s="84" t="n">
        <f aca="false">IF(ISNUMBER(T1128),T1128,-99)</f>
        <v>25.7187040209662</v>
      </c>
      <c r="W1128" s="84" t="n">
        <f aca="false">IF(ISNUMBER(U1128),ABS(U1128),"")</f>
        <v>1.38129597903378</v>
      </c>
    </row>
    <row r="1129" customFormat="false" ht="15" hidden="false" customHeight="false" outlineLevel="0" collapsed="false">
      <c r="A1129" s="57" t="n">
        <v>31589</v>
      </c>
      <c r="B1129" s="56" t="n">
        <v>1986</v>
      </c>
      <c r="C1129" s="56" t="n">
        <v>6</v>
      </c>
      <c r="D1129" s="56" t="n">
        <v>57</v>
      </c>
      <c r="E1129" s="56" t="n">
        <v>30.3</v>
      </c>
      <c r="F1129" s="56" t="n">
        <v>0</v>
      </c>
      <c r="G1129" s="56" t="n">
        <v>15.4</v>
      </c>
      <c r="H1129" s="56" t="n">
        <v>0</v>
      </c>
      <c r="I1129" s="56" t="n">
        <v>21.2</v>
      </c>
      <c r="J1129" s="56" t="n">
        <v>0</v>
      </c>
      <c r="K1129" s="56" t="n">
        <v>1024</v>
      </c>
      <c r="L1129" s="56" t="n">
        <v>0</v>
      </c>
      <c r="M1129" s="56" t="n">
        <v>64</v>
      </c>
      <c r="N1129" s="56" t="n">
        <v>10.5</v>
      </c>
      <c r="O1129" s="56" t="n">
        <f aca="false">IF(D1129=1,"",E1128)</f>
        <v>27.1</v>
      </c>
      <c r="P1129" s="56" t="n">
        <f aca="false">IF(OR(D1129=1,K1128=""),"",K1128)</f>
        <v>1022.1</v>
      </c>
      <c r="Q1129" s="56" t="n">
        <f aca="false">IF(OR(F1129&lt;&gt;0,AND(I1129&lt;&gt;"",E1129&lt;I1129)),1,0)</f>
        <v>0</v>
      </c>
      <c r="R1129" s="56" t="n">
        <f aca="false">IF(AND(D1129&gt;1,Q1129=0,ISNUMBER(O1129),ISNUMBER(P1129)),IF(Q1128=0,1,0),0)</f>
        <v>1</v>
      </c>
      <c r="S1129" s="56" t="n">
        <f aca="false">R1129*(B1129&gt;=Train_Start)*(B1129&lt;=Train_End)</f>
        <v>1</v>
      </c>
      <c r="T1129" s="84" t="n">
        <f aca="false">IF(AND(ISNUMBER(O1129),ISNUMBER(P1129)),Coef_A+Coef_B1*O1129+Coef_B2*P1129,"")</f>
        <v>26.3542368588523</v>
      </c>
      <c r="U1129" s="84" t="n">
        <f aca="false">IF(AND(R1129=1,ISNUMBER(T1129)),E1129-T1129,"")</f>
        <v>3.94576314114772</v>
      </c>
      <c r="V1129" s="84" t="n">
        <f aca="false">IF(ISNUMBER(T1129),T1129,-99)</f>
        <v>26.3542368588523</v>
      </c>
      <c r="W1129" s="84" t="n">
        <f aca="false">IF(ISNUMBER(U1129),ABS(U1129),"")</f>
        <v>3.94576314114772</v>
      </c>
    </row>
    <row r="1130" customFormat="false" ht="15" hidden="false" customHeight="false" outlineLevel="0" collapsed="false">
      <c r="A1130" s="57" t="n">
        <v>31590</v>
      </c>
      <c r="B1130" s="56" t="n">
        <v>1986</v>
      </c>
      <c r="C1130" s="56" t="n">
        <v>6</v>
      </c>
      <c r="D1130" s="56" t="n">
        <v>58</v>
      </c>
      <c r="E1130" s="56" t="n">
        <v>30.2</v>
      </c>
      <c r="F1130" s="56" t="n">
        <v>0</v>
      </c>
      <c r="G1130" s="56" t="n">
        <v>16.4</v>
      </c>
      <c r="H1130" s="56" t="n">
        <v>0</v>
      </c>
      <c r="I1130" s="56" t="n">
        <v>23.4</v>
      </c>
      <c r="J1130" s="56" t="n">
        <v>0</v>
      </c>
      <c r="K1130" s="56" t="n">
        <v>1022</v>
      </c>
      <c r="L1130" s="56" t="n">
        <v>0</v>
      </c>
      <c r="M1130" s="56" t="n">
        <v>60</v>
      </c>
      <c r="N1130" s="56" t="n">
        <v>12.4</v>
      </c>
      <c r="O1130" s="56" t="n">
        <f aca="false">IF(D1130=1,"",E1129)</f>
        <v>30.3</v>
      </c>
      <c r="P1130" s="56" t="n">
        <f aca="false">IF(OR(D1130=1,K1129=""),"",K1129)</f>
        <v>1024</v>
      </c>
      <c r="Q1130" s="56" t="n">
        <f aca="false">IF(OR(F1130&lt;&gt;0,AND(I1130&lt;&gt;"",E1130&lt;I1130)),1,0)</f>
        <v>0</v>
      </c>
      <c r="R1130" s="56" t="n">
        <f aca="false">IF(AND(D1130&gt;1,Q1130=0,ISNUMBER(O1130),ISNUMBER(P1130)),IF(Q1129=0,1,0),0)</f>
        <v>1</v>
      </c>
      <c r="S1130" s="56" t="n">
        <f aca="false">R1130*(B1130&gt;=Train_Start)*(B1130&lt;=Train_End)</f>
        <v>1</v>
      </c>
      <c r="T1130" s="84" t="n">
        <f aca="false">IF(AND(ISNUMBER(O1130),ISNUMBER(P1130)),Coef_A+Coef_B1*O1130+Coef_B2*P1130,"")</f>
        <v>29.0357250763934</v>
      </c>
      <c r="U1130" s="84" t="n">
        <f aca="false">IF(AND(R1130=1,ISNUMBER(T1130)),E1130-T1130,"")</f>
        <v>1.16427492360664</v>
      </c>
      <c r="V1130" s="84" t="n">
        <f aca="false">IF(ISNUMBER(T1130),T1130,-99)</f>
        <v>29.0357250763934</v>
      </c>
      <c r="W1130" s="84" t="n">
        <f aca="false">IF(ISNUMBER(U1130),ABS(U1130),"")</f>
        <v>1.16427492360664</v>
      </c>
    </row>
    <row r="1131" customFormat="false" ht="15" hidden="false" customHeight="false" outlineLevel="0" collapsed="false">
      <c r="A1131" s="57" t="n">
        <v>31591</v>
      </c>
      <c r="B1131" s="56" t="n">
        <v>1986</v>
      </c>
      <c r="C1131" s="56" t="n">
        <v>6</v>
      </c>
      <c r="D1131" s="56" t="n">
        <v>59</v>
      </c>
      <c r="E1131" s="56" t="n">
        <v>28.8</v>
      </c>
      <c r="F1131" s="56" t="n">
        <v>0</v>
      </c>
      <c r="G1131" s="56" t="n">
        <v>17.9</v>
      </c>
      <c r="H1131" s="56" t="n">
        <v>0</v>
      </c>
      <c r="I1131" s="56" t="n">
        <v>24</v>
      </c>
      <c r="J1131" s="56" t="n">
        <v>0</v>
      </c>
      <c r="K1131" s="56" t="n">
        <v>1022.4</v>
      </c>
      <c r="L1131" s="56" t="n">
        <v>0</v>
      </c>
      <c r="M1131" s="56" t="n">
        <v>57</v>
      </c>
      <c r="N1131" s="56" t="n">
        <v>12.1</v>
      </c>
      <c r="O1131" s="56" t="n">
        <f aca="false">IF(D1131=1,"",E1130)</f>
        <v>30.2</v>
      </c>
      <c r="P1131" s="56" t="n">
        <f aca="false">IF(OR(D1131=1,K1130=""),"",K1130)</f>
        <v>1022</v>
      </c>
      <c r="Q1131" s="56" t="n">
        <f aca="false">IF(OR(F1131&lt;&gt;0,AND(I1131&lt;&gt;"",E1131&lt;I1131)),1,0)</f>
        <v>0</v>
      </c>
      <c r="R1131" s="56" t="n">
        <f aca="false">IF(AND(D1131&gt;1,Q1131=0,ISNUMBER(O1131),ISNUMBER(P1131)),IF(Q1130=0,1,0),0)</f>
        <v>1</v>
      </c>
      <c r="S1131" s="56" t="n">
        <f aca="false">R1131*(B1131&gt;=Train_Start)*(B1131&lt;=Train_End)</f>
        <v>1</v>
      </c>
      <c r="T1131" s="84" t="n">
        <f aca="false">IF(AND(ISNUMBER(O1131),ISNUMBER(P1131)),Coef_A+Coef_B1*O1131+Coef_B2*P1131,"")</f>
        <v>28.8910513678211</v>
      </c>
      <c r="U1131" s="84" t="n">
        <f aca="false">IF(AND(R1131=1,ISNUMBER(T1131)),E1131-T1131,"")</f>
        <v>-0.0910513678211125</v>
      </c>
      <c r="V1131" s="84" t="n">
        <f aca="false">IF(ISNUMBER(T1131),T1131,-99)</f>
        <v>28.8910513678211</v>
      </c>
      <c r="W1131" s="84" t="n">
        <f aca="false">IF(ISNUMBER(U1131),ABS(U1131),"")</f>
        <v>0.0910513678211125</v>
      </c>
    </row>
    <row r="1132" customFormat="false" ht="15" hidden="false" customHeight="false" outlineLevel="0" collapsed="false">
      <c r="A1132" s="57" t="n">
        <v>31592</v>
      </c>
      <c r="B1132" s="56" t="n">
        <v>1986</v>
      </c>
      <c r="C1132" s="56" t="n">
        <v>6</v>
      </c>
      <c r="D1132" s="56" t="n">
        <v>60</v>
      </c>
      <c r="E1132" s="56" t="n">
        <v>30.6</v>
      </c>
      <c r="F1132" s="56" t="n">
        <v>0</v>
      </c>
      <c r="G1132" s="56" t="n">
        <v>16.5</v>
      </c>
      <c r="H1132" s="56" t="n">
        <v>0</v>
      </c>
      <c r="I1132" s="56" t="n">
        <v>22.6</v>
      </c>
      <c r="J1132" s="56" t="n">
        <v>0</v>
      </c>
      <c r="K1132" s="56" t="n">
        <v>1020.5</v>
      </c>
      <c r="L1132" s="56" t="n">
        <v>0</v>
      </c>
      <c r="M1132" s="56" t="n">
        <v>51</v>
      </c>
      <c r="N1132" s="56" t="n">
        <v>8.9</v>
      </c>
      <c r="O1132" s="56" t="n">
        <f aca="false">IF(D1132=1,"",E1131)</f>
        <v>28.8</v>
      </c>
      <c r="P1132" s="56" t="n">
        <f aca="false">IF(OR(D1132=1,K1131=""),"",K1131)</f>
        <v>1022.4</v>
      </c>
      <c r="Q1132" s="56" t="n">
        <f aca="false">IF(OR(F1132&lt;&gt;0,AND(I1132&lt;&gt;"",E1132&lt;I1132)),1,0)</f>
        <v>0</v>
      </c>
      <c r="R1132" s="56" t="n">
        <f aca="false">IF(AND(D1132&gt;1,Q1132=0,ISNUMBER(O1132),ISNUMBER(P1132)),IF(Q1131=0,1,0),0)</f>
        <v>1</v>
      </c>
      <c r="S1132" s="56" t="n">
        <f aca="false">R1132*(B1132&gt;=Train_Start)*(B1132&lt;=Train_End)</f>
        <v>1</v>
      </c>
      <c r="T1132" s="84" t="n">
        <f aca="false">IF(AND(ISNUMBER(O1132),ISNUMBER(P1132)),Coef_A+Coef_B1*O1132+Coef_B2*P1132,"")</f>
        <v>27.756524455415</v>
      </c>
      <c r="U1132" s="84" t="n">
        <f aca="false">IF(AND(R1132=1,ISNUMBER(T1132)),E1132-T1132,"")</f>
        <v>2.84347554458501</v>
      </c>
      <c r="V1132" s="84" t="n">
        <f aca="false">IF(ISNUMBER(T1132),T1132,-99)</f>
        <v>27.756524455415</v>
      </c>
      <c r="W1132" s="84" t="n">
        <f aca="false">IF(ISNUMBER(U1132),ABS(U1132),"")</f>
        <v>2.84347554458501</v>
      </c>
    </row>
    <row r="1133" customFormat="false" ht="15" hidden="false" customHeight="false" outlineLevel="0" collapsed="false">
      <c r="A1133" s="57" t="n">
        <v>31593</v>
      </c>
      <c r="B1133" s="56" t="n">
        <v>1986</v>
      </c>
      <c r="C1133" s="56" t="n">
        <v>6</v>
      </c>
      <c r="D1133" s="56" t="n">
        <v>61</v>
      </c>
      <c r="E1133" s="56" t="n">
        <v>26.5</v>
      </c>
      <c r="F1133" s="56" t="n">
        <v>0</v>
      </c>
      <c r="G1133" s="56" t="n">
        <v>13.9</v>
      </c>
      <c r="H1133" s="56" t="n">
        <v>0</v>
      </c>
      <c r="I1133" s="56" t="n">
        <v>22.2</v>
      </c>
      <c r="J1133" s="56" t="n">
        <v>0</v>
      </c>
      <c r="K1133" s="56" t="n">
        <v>1018.9</v>
      </c>
      <c r="L1133" s="56" t="n">
        <v>0</v>
      </c>
      <c r="M1133" s="56" t="n">
        <v>62</v>
      </c>
      <c r="N1133" s="56" t="n">
        <v>9</v>
      </c>
      <c r="O1133" s="56" t="n">
        <f aca="false">IF(D1133=1,"",E1132)</f>
        <v>30.6</v>
      </c>
      <c r="P1133" s="56" t="n">
        <f aca="false">IF(OR(D1133=1,K1132=""),"",K1132)</f>
        <v>1020.5</v>
      </c>
      <c r="Q1133" s="56" t="n">
        <f aca="false">IF(OR(F1133&lt;&gt;0,AND(I1133&lt;&gt;"",E1133&lt;I1133)),1,0)</f>
        <v>0</v>
      </c>
      <c r="R1133" s="56" t="n">
        <f aca="false">IF(AND(D1133&gt;1,Q1133=0,ISNUMBER(O1133),ISNUMBER(P1133)),IF(Q1132=0,1,0),0)</f>
        <v>1</v>
      </c>
      <c r="S1133" s="56" t="n">
        <f aca="false">R1133*(B1133&gt;=Train_Start)*(B1133&lt;=Train_End)</f>
        <v>1</v>
      </c>
      <c r="T1133" s="84" t="n">
        <f aca="false">IF(AND(ISNUMBER(O1133),ISNUMBER(P1133)),Coef_A+Coef_B1*O1133+Coef_B2*P1133,"")</f>
        <v>29.1717322030872</v>
      </c>
      <c r="U1133" s="84" t="n">
        <f aca="false">IF(AND(R1133=1,ISNUMBER(T1133)),E1133-T1133,"")</f>
        <v>-2.6717322030872</v>
      </c>
      <c r="V1133" s="84" t="n">
        <f aca="false">IF(ISNUMBER(T1133),T1133,-99)</f>
        <v>29.1717322030872</v>
      </c>
      <c r="W1133" s="84" t="n">
        <f aca="false">IF(ISNUMBER(U1133),ABS(U1133),"")</f>
        <v>2.6717322030872</v>
      </c>
    </row>
    <row r="1134" customFormat="false" ht="15" hidden="false" customHeight="false" outlineLevel="0" collapsed="false">
      <c r="A1134" s="57" t="n">
        <v>31594</v>
      </c>
      <c r="B1134" s="56" t="n">
        <v>1986</v>
      </c>
      <c r="C1134" s="56" t="n">
        <v>7</v>
      </c>
      <c r="D1134" s="56" t="n">
        <v>62</v>
      </c>
      <c r="E1134" s="56" t="n">
        <v>27.1</v>
      </c>
      <c r="F1134" s="56" t="n">
        <v>0</v>
      </c>
      <c r="G1134" s="56" t="n">
        <v>12.7</v>
      </c>
      <c r="H1134" s="56" t="n">
        <v>0</v>
      </c>
      <c r="I1134" s="56" t="n">
        <v>19.6</v>
      </c>
      <c r="J1134" s="56" t="n">
        <v>0</v>
      </c>
      <c r="K1134" s="56" t="n">
        <v>1023.1</v>
      </c>
      <c r="L1134" s="56" t="n">
        <v>0</v>
      </c>
      <c r="M1134" s="56" t="n">
        <v>60</v>
      </c>
      <c r="N1134" s="56" t="n">
        <v>11.3</v>
      </c>
      <c r="O1134" s="56" t="n">
        <f aca="false">IF(D1134=1,"",E1133)</f>
        <v>26.5</v>
      </c>
      <c r="P1134" s="56" t="n">
        <f aca="false">IF(OR(D1134=1,K1133=""),"",K1133)</f>
        <v>1018.9</v>
      </c>
      <c r="Q1134" s="56" t="n">
        <f aca="false">IF(OR(F1134&lt;&gt;0,AND(I1134&lt;&gt;"",E1134&lt;I1134)),1,0)</f>
        <v>0</v>
      </c>
      <c r="R1134" s="56" t="n">
        <f aca="false">IF(AND(D1134&gt;1,Q1134=0,ISNUMBER(O1134),ISNUMBER(P1134)),IF(Q1133=0,1,0),0)</f>
        <v>1</v>
      </c>
      <c r="S1134" s="56" t="n">
        <f aca="false">R1134*(B1134&gt;=Train_Start)*(B1134&lt;=Train_End)</f>
        <v>1</v>
      </c>
      <c r="T1134" s="84" t="n">
        <f aca="false">IF(AND(ISNUMBER(O1134),ISNUMBER(P1134)),Coef_A+Coef_B1*O1134+Coef_B2*P1134,"")</f>
        <v>25.7622496801979</v>
      </c>
      <c r="U1134" s="84" t="n">
        <f aca="false">IF(AND(R1134=1,ISNUMBER(T1134)),E1134-T1134,"")</f>
        <v>1.33775031980208</v>
      </c>
      <c r="V1134" s="84" t="n">
        <f aca="false">IF(ISNUMBER(T1134),T1134,-99)</f>
        <v>25.7622496801979</v>
      </c>
      <c r="W1134" s="84" t="n">
        <f aca="false">IF(ISNUMBER(U1134),ABS(U1134),"")</f>
        <v>1.33775031980208</v>
      </c>
    </row>
    <row r="1135" customFormat="false" ht="15" hidden="false" customHeight="false" outlineLevel="0" collapsed="false">
      <c r="A1135" s="57" t="n">
        <v>31595</v>
      </c>
      <c r="B1135" s="56" t="n">
        <v>1986</v>
      </c>
      <c r="C1135" s="56" t="n">
        <v>7</v>
      </c>
      <c r="D1135" s="56" t="n">
        <v>63</v>
      </c>
      <c r="E1135" s="56" t="n">
        <v>25</v>
      </c>
      <c r="F1135" s="56" t="n">
        <v>0</v>
      </c>
      <c r="G1135" s="56" t="n">
        <v>12.9</v>
      </c>
      <c r="H1135" s="56" t="n">
        <v>0</v>
      </c>
      <c r="I1135" s="56" t="n">
        <v>20</v>
      </c>
      <c r="J1135" s="56" t="n">
        <v>0</v>
      </c>
      <c r="K1135" s="56" t="n">
        <v>1019.6</v>
      </c>
      <c r="L1135" s="56" t="n">
        <v>0</v>
      </c>
      <c r="M1135" s="56" t="n">
        <v>58</v>
      </c>
      <c r="N1135" s="56" t="n">
        <v>11.9</v>
      </c>
      <c r="O1135" s="56" t="n">
        <f aca="false">IF(D1135=1,"",E1134)</f>
        <v>27.1</v>
      </c>
      <c r="P1135" s="56" t="n">
        <f aca="false">IF(OR(D1135=1,K1134=""),"",K1134)</f>
        <v>1023.1</v>
      </c>
      <c r="Q1135" s="56" t="n">
        <f aca="false">IF(OR(F1135&lt;&gt;0,AND(I1135&lt;&gt;"",E1135&lt;I1135)),1,0)</f>
        <v>0</v>
      </c>
      <c r="R1135" s="56" t="n">
        <f aca="false">IF(AND(D1135&gt;1,Q1135=0,ISNUMBER(O1135),ISNUMBER(P1135)),IF(Q1134=0,1,0),0)</f>
        <v>1</v>
      </c>
      <c r="S1135" s="56" t="n">
        <f aca="false">R1135*(B1135&gt;=Train_Start)*(B1135&lt;=Train_End)</f>
        <v>1</v>
      </c>
      <c r="T1135" s="84" t="n">
        <f aca="false">IF(AND(ISNUMBER(O1135),ISNUMBER(P1135)),Coef_A+Coef_B1*O1135+Coef_B2*P1135,"")</f>
        <v>26.3856067534863</v>
      </c>
      <c r="U1135" s="84" t="n">
        <f aca="false">IF(AND(R1135=1,ISNUMBER(T1135)),E1135-T1135,"")</f>
        <v>-1.38560675348627</v>
      </c>
      <c r="V1135" s="84" t="n">
        <f aca="false">IF(ISNUMBER(T1135),T1135,-99)</f>
        <v>26.3856067534863</v>
      </c>
      <c r="W1135" s="84" t="n">
        <f aca="false">IF(ISNUMBER(U1135),ABS(U1135),"")</f>
        <v>1.38560675348627</v>
      </c>
    </row>
    <row r="1136" customFormat="false" ht="15" hidden="false" customHeight="false" outlineLevel="0" collapsed="false">
      <c r="A1136" s="57" t="n">
        <v>31596</v>
      </c>
      <c r="B1136" s="56" t="n">
        <v>1986</v>
      </c>
      <c r="C1136" s="56" t="n">
        <v>7</v>
      </c>
      <c r="D1136" s="56" t="n">
        <v>64</v>
      </c>
      <c r="E1136" s="56" t="n">
        <v>25.6</v>
      </c>
      <c r="F1136" s="56" t="n">
        <v>0</v>
      </c>
      <c r="G1136" s="56" t="n">
        <v>15.6</v>
      </c>
      <c r="H1136" s="56" t="n">
        <v>0</v>
      </c>
      <c r="I1136" s="56" t="n">
        <v>20.3</v>
      </c>
      <c r="J1136" s="56" t="n">
        <v>0</v>
      </c>
      <c r="K1136" s="56" t="n">
        <v>1019.3</v>
      </c>
      <c r="L1136" s="56" t="n">
        <v>0</v>
      </c>
      <c r="M1136" s="56" t="n">
        <v>58</v>
      </c>
      <c r="N1136" s="56" t="n">
        <v>13.4</v>
      </c>
      <c r="O1136" s="56" t="n">
        <f aca="false">IF(D1136=1,"",E1135)</f>
        <v>25</v>
      </c>
      <c r="P1136" s="56" t="n">
        <f aca="false">IF(OR(D1136=1,K1135=""),"",K1135)</f>
        <v>1019.6</v>
      </c>
      <c r="Q1136" s="56" t="n">
        <f aca="false">IF(OR(F1136&lt;&gt;0,AND(I1136&lt;&gt;"",E1136&lt;I1136)),1,0)</f>
        <v>0</v>
      </c>
      <c r="R1136" s="56" t="n">
        <f aca="false">IF(AND(D1136&gt;1,Q1136=0,ISNUMBER(O1136),ISNUMBER(P1136)),IF(Q1135=0,1,0),0)</f>
        <v>1</v>
      </c>
      <c r="S1136" s="56" t="n">
        <f aca="false">R1136*(B1136&gt;=Train_Start)*(B1136&lt;=Train_End)</f>
        <v>1</v>
      </c>
      <c r="T1136" s="84" t="n">
        <f aca="false">IF(AND(ISNUMBER(O1136),ISNUMBER(P1136)),Coef_A+Coef_B1*O1136+Coef_B2*P1136,"")</f>
        <v>24.5551998168777</v>
      </c>
      <c r="U1136" s="84" t="n">
        <f aca="false">IF(AND(R1136=1,ISNUMBER(T1136)),E1136-T1136,"")</f>
        <v>1.04480018312228</v>
      </c>
      <c r="V1136" s="84" t="n">
        <f aca="false">IF(ISNUMBER(T1136),T1136,-99)</f>
        <v>24.5551998168777</v>
      </c>
      <c r="W1136" s="84" t="n">
        <f aca="false">IF(ISNUMBER(U1136),ABS(U1136),"")</f>
        <v>1.04480018312228</v>
      </c>
    </row>
    <row r="1137" customFormat="false" ht="15" hidden="false" customHeight="false" outlineLevel="0" collapsed="false">
      <c r="A1137" s="57" t="n">
        <v>31597</v>
      </c>
      <c r="B1137" s="56" t="n">
        <v>1986</v>
      </c>
      <c r="C1137" s="56" t="n">
        <v>7</v>
      </c>
      <c r="D1137" s="56" t="n">
        <v>65</v>
      </c>
      <c r="E1137" s="56" t="n">
        <v>19</v>
      </c>
      <c r="F1137" s="56" t="n">
        <v>1</v>
      </c>
      <c r="G1137" s="56" t="n">
        <v>13.4</v>
      </c>
      <c r="H1137" s="56" t="n">
        <v>0</v>
      </c>
      <c r="I1137" s="56" t="n">
        <v>19.5</v>
      </c>
      <c r="J1137" s="56" t="n">
        <v>1</v>
      </c>
      <c r="K1137" s="56" t="n">
        <v>1018.9</v>
      </c>
      <c r="L1137" s="56" t="n">
        <v>0</v>
      </c>
      <c r="M1137" s="56" t="n">
        <v>74</v>
      </c>
      <c r="N1137" s="56" t="n">
        <v>3.7</v>
      </c>
      <c r="O1137" s="56" t="n">
        <f aca="false">IF(D1137=1,"",E1136)</f>
        <v>25.6</v>
      </c>
      <c r="P1137" s="56" t="n">
        <f aca="false">IF(OR(D1137=1,K1136=""),"",K1136)</f>
        <v>1019.3</v>
      </c>
      <c r="Q1137" s="56" t="n">
        <f aca="false">IF(OR(F1137&lt;&gt;0,AND(I1137&lt;&gt;"",E1137&lt;I1137)),1,0)</f>
        <v>1</v>
      </c>
      <c r="R1137" s="56" t="n">
        <f aca="false">IF(AND(D1137&gt;1,Q1137=0,ISNUMBER(O1137),ISNUMBER(P1137)),IF(Q1136=0,1,0),0)</f>
        <v>0</v>
      </c>
      <c r="S1137" s="56" t="n">
        <f aca="false">R1137*(B1137&gt;=Train_Start)*(B1137&lt;=Train_End)</f>
        <v>0</v>
      </c>
      <c r="T1137" s="84" t="n">
        <f aca="false">IF(AND(ISNUMBER(O1137),ISNUMBER(P1137)),Coef_A+Coef_B1*O1137+Coef_B2*P1137,"")</f>
        <v>25.0373923643131</v>
      </c>
      <c r="U1137" s="84" t="str">
        <f aca="false">IF(AND(R1137=1,ISNUMBER(T1137)),E1137-T1137,"")</f>
        <v/>
      </c>
      <c r="V1137" s="84" t="n">
        <f aca="false">IF(ISNUMBER(T1137),T1137,-99)</f>
        <v>25.0373923643131</v>
      </c>
      <c r="W1137" s="84" t="str">
        <f aca="false">IF(ISNUMBER(U1137),ABS(U1137),"")</f>
        <v/>
      </c>
    </row>
    <row r="1138" customFormat="false" ht="15" hidden="false" customHeight="false" outlineLevel="0" collapsed="false">
      <c r="A1138" s="57" t="n">
        <v>31598</v>
      </c>
      <c r="B1138" s="56" t="n">
        <v>1986</v>
      </c>
      <c r="C1138" s="56" t="n">
        <v>7</v>
      </c>
      <c r="D1138" s="56" t="n">
        <v>66</v>
      </c>
      <c r="E1138" s="56" t="n">
        <v>21.3</v>
      </c>
      <c r="F1138" s="56" t="n">
        <v>0</v>
      </c>
      <c r="G1138" s="56" t="n">
        <v>15.4</v>
      </c>
      <c r="H1138" s="56" t="n">
        <v>0</v>
      </c>
      <c r="I1138" s="56" t="n">
        <v>17.2</v>
      </c>
      <c r="J1138" s="56" t="n">
        <v>0</v>
      </c>
      <c r="K1138" s="56" t="n">
        <v>1010.2</v>
      </c>
      <c r="L1138" s="56" t="n">
        <v>0</v>
      </c>
      <c r="M1138" s="56" t="n">
        <v>91</v>
      </c>
      <c r="N1138" s="56" t="n">
        <v>0.2</v>
      </c>
      <c r="O1138" s="56" t="n">
        <f aca="false">IF(D1138=1,"",E1137)</f>
        <v>19</v>
      </c>
      <c r="P1138" s="56" t="n">
        <f aca="false">IF(OR(D1138=1,K1137=""),"",K1137)</f>
        <v>1018.9</v>
      </c>
      <c r="Q1138" s="56" t="n">
        <f aca="false">IF(OR(F1138&lt;&gt;0,AND(I1138&lt;&gt;"",E1138&lt;I1138)),1,0)</f>
        <v>0</v>
      </c>
      <c r="R1138" s="56" t="n">
        <f aca="false">IF(AND(D1138&gt;1,Q1138=0,ISNUMBER(O1138),ISNUMBER(P1138)),IF(Q1137=0,1,0),0)</f>
        <v>0</v>
      </c>
      <c r="S1138" s="56" t="n">
        <f aca="false">R1138*(B1138&gt;=Train_Start)*(B1138&lt;=Train_End)</f>
        <v>0</v>
      </c>
      <c r="T1138" s="84" t="n">
        <f aca="false">IF(AND(ISNUMBER(O1138),ISNUMBER(P1138)),Coef_A+Coef_B1*O1138+Coef_B2*P1138,"")</f>
        <v>19.617205732378</v>
      </c>
      <c r="U1138" s="84" t="str">
        <f aca="false">IF(AND(R1138=1,ISNUMBER(T1138)),E1138-T1138,"")</f>
        <v/>
      </c>
      <c r="V1138" s="84" t="n">
        <f aca="false">IF(ISNUMBER(T1138),T1138,-99)</f>
        <v>19.617205732378</v>
      </c>
      <c r="W1138" s="84" t="str">
        <f aca="false">IF(ISNUMBER(U1138),ABS(U1138),"")</f>
        <v/>
      </c>
    </row>
    <row r="1139" customFormat="false" ht="15" hidden="false" customHeight="false" outlineLevel="0" collapsed="false">
      <c r="A1139" s="57" t="n">
        <v>31599</v>
      </c>
      <c r="B1139" s="56" t="n">
        <v>1986</v>
      </c>
      <c r="C1139" s="56" t="n">
        <v>7</v>
      </c>
      <c r="D1139" s="56" t="n">
        <v>67</v>
      </c>
      <c r="E1139" s="56" t="n">
        <v>20.5</v>
      </c>
      <c r="F1139" s="56" t="n">
        <v>0</v>
      </c>
      <c r="G1139" s="56" t="n">
        <v>13.4</v>
      </c>
      <c r="H1139" s="56" t="n">
        <v>0</v>
      </c>
      <c r="I1139" s="56" t="n">
        <v>17.4</v>
      </c>
      <c r="J1139" s="56" t="n">
        <v>0</v>
      </c>
      <c r="K1139" s="56" t="n">
        <v>1009.2</v>
      </c>
      <c r="L1139" s="56" t="n">
        <v>0</v>
      </c>
      <c r="M1139" s="56" t="n">
        <v>68</v>
      </c>
      <c r="N1139" s="56" t="n">
        <v>6.8</v>
      </c>
      <c r="O1139" s="56" t="n">
        <f aca="false">IF(D1139=1,"",E1138)</f>
        <v>21.3</v>
      </c>
      <c r="P1139" s="56" t="n">
        <f aca="false">IF(OR(D1139=1,K1138=""),"",K1138)</f>
        <v>1010.2</v>
      </c>
      <c r="Q1139" s="56" t="n">
        <f aca="false">IF(OR(F1139&lt;&gt;0,AND(I1139&lt;&gt;"",E1139&lt;I1139)),1,0)</f>
        <v>0</v>
      </c>
      <c r="R1139" s="56" t="n">
        <f aca="false">IF(AND(D1139&gt;1,Q1139=0,ISNUMBER(O1139),ISNUMBER(P1139)),IF(Q1138=0,1,0),0)</f>
        <v>1</v>
      </c>
      <c r="S1139" s="56" t="n">
        <f aca="false">R1139*(B1139&gt;=Train_Start)*(B1139&lt;=Train_End)</f>
        <v>1</v>
      </c>
      <c r="T1139" s="84" t="n">
        <f aca="false">IF(AND(ISNUMBER(O1139),ISNUMBER(P1139)),Coef_A+Coef_B1*O1139+Coef_B2*P1139,"")</f>
        <v>21.2287677930604</v>
      </c>
      <c r="U1139" s="84" t="n">
        <f aca="false">IF(AND(R1139=1,ISNUMBER(T1139)),E1139-T1139,"")</f>
        <v>-0.728767793060388</v>
      </c>
      <c r="V1139" s="84" t="n">
        <f aca="false">IF(ISNUMBER(T1139),T1139,-99)</f>
        <v>21.2287677930604</v>
      </c>
      <c r="W1139" s="84" t="n">
        <f aca="false">IF(ISNUMBER(U1139),ABS(U1139),"")</f>
        <v>0.728767793060388</v>
      </c>
    </row>
    <row r="1140" customFormat="false" ht="15" hidden="false" customHeight="false" outlineLevel="0" collapsed="false">
      <c r="A1140" s="57" t="n">
        <v>31600</v>
      </c>
      <c r="B1140" s="56" t="n">
        <v>1986</v>
      </c>
      <c r="C1140" s="56" t="n">
        <v>7</v>
      </c>
      <c r="D1140" s="56" t="n">
        <v>68</v>
      </c>
      <c r="E1140" s="56" t="n">
        <v>22.3</v>
      </c>
      <c r="F1140" s="56" t="n">
        <v>0</v>
      </c>
      <c r="G1140" s="56" t="n">
        <v>11.4</v>
      </c>
      <c r="H1140" s="56" t="n">
        <v>0</v>
      </c>
      <c r="I1140" s="56" t="n">
        <v>16</v>
      </c>
      <c r="J1140" s="56" t="n">
        <v>0</v>
      </c>
      <c r="K1140" s="56" t="n">
        <v>1016.6</v>
      </c>
      <c r="L1140" s="56" t="n">
        <v>0</v>
      </c>
      <c r="M1140" s="56" t="n">
        <v>67</v>
      </c>
      <c r="N1140" s="56" t="n">
        <v>5.1</v>
      </c>
      <c r="O1140" s="56" t="n">
        <f aca="false">IF(D1140=1,"",E1139)</f>
        <v>20.5</v>
      </c>
      <c r="P1140" s="56" t="n">
        <f aca="false">IF(OR(D1140=1,K1139=""),"",K1139)</f>
        <v>1009.2</v>
      </c>
      <c r="Q1140" s="56" t="n">
        <f aca="false">IF(OR(F1140&lt;&gt;0,AND(I1140&lt;&gt;"",E1140&lt;I1140)),1,0)</f>
        <v>0</v>
      </c>
      <c r="R1140" s="56" t="n">
        <f aca="false">IF(AND(D1140&gt;1,Q1140=0,ISNUMBER(O1140),ISNUMBER(P1140)),IF(Q1139=0,1,0),0)</f>
        <v>1</v>
      </c>
      <c r="S1140" s="56" t="n">
        <f aca="false">R1140*(B1140&gt;=Train_Start)*(B1140&lt;=Train_End)</f>
        <v>1</v>
      </c>
      <c r="T1140" s="84" t="n">
        <f aca="false">IF(AND(ISNUMBER(O1140),ISNUMBER(P1140)),Coef_A+Coef_B1*O1140+Coef_B2*P1140,"")</f>
        <v>20.5419265439923</v>
      </c>
      <c r="U1140" s="84" t="n">
        <f aca="false">IF(AND(R1140=1,ISNUMBER(T1140)),E1140-T1140,"")</f>
        <v>1.75807345600773</v>
      </c>
      <c r="V1140" s="84" t="n">
        <f aca="false">IF(ISNUMBER(T1140),T1140,-99)</f>
        <v>20.5419265439923</v>
      </c>
      <c r="W1140" s="84" t="n">
        <f aca="false">IF(ISNUMBER(U1140),ABS(U1140),"")</f>
        <v>1.75807345600773</v>
      </c>
    </row>
    <row r="1141" customFormat="false" ht="15" hidden="false" customHeight="false" outlineLevel="0" collapsed="false">
      <c r="A1141" s="57" t="n">
        <v>31601</v>
      </c>
      <c r="B1141" s="56" t="n">
        <v>1986</v>
      </c>
      <c r="C1141" s="56" t="n">
        <v>7</v>
      </c>
      <c r="D1141" s="56" t="n">
        <v>69</v>
      </c>
      <c r="E1141" s="56" t="n">
        <v>20.7</v>
      </c>
      <c r="F1141" s="56" t="n">
        <v>0</v>
      </c>
      <c r="G1141" s="56" t="n">
        <v>13</v>
      </c>
      <c r="H1141" s="56" t="n">
        <v>0</v>
      </c>
      <c r="I1141" s="56" t="n">
        <v>17.6</v>
      </c>
      <c r="J1141" s="56" t="n">
        <v>0</v>
      </c>
      <c r="K1141" s="56" t="n">
        <v>1018.4</v>
      </c>
      <c r="L1141" s="56" t="n">
        <v>0</v>
      </c>
      <c r="M1141" s="56" t="n">
        <v>72</v>
      </c>
      <c r="N1141" s="56" t="n">
        <v>4.4</v>
      </c>
      <c r="O1141" s="56" t="n">
        <f aca="false">IF(D1141=1,"",E1140)</f>
        <v>22.3</v>
      </c>
      <c r="P1141" s="56" t="n">
        <f aca="false">IF(OR(D1141=1,K1140=""),"",K1140)</f>
        <v>1016.6</v>
      </c>
      <c r="Q1141" s="56" t="n">
        <f aca="false">IF(OR(F1141&lt;&gt;0,AND(I1141&lt;&gt;"",E1141&lt;I1141)),1,0)</f>
        <v>0</v>
      </c>
      <c r="R1141" s="56" t="n">
        <f aca="false">IF(AND(D1141&gt;1,Q1141=0,ISNUMBER(O1141),ISNUMBER(P1141)),IF(Q1140=0,1,0),0)</f>
        <v>1</v>
      </c>
      <c r="S1141" s="56" t="n">
        <f aca="false">R1141*(B1141&gt;=Train_Start)*(B1141&lt;=Train_End)</f>
        <v>1</v>
      </c>
      <c r="T1141" s="84" t="n">
        <f aca="false">IF(AND(ISNUMBER(O1141),ISNUMBER(P1141)),Coef_A+Coef_B1*O1141+Coef_B2*P1141,"")</f>
        <v>22.2488743117606</v>
      </c>
      <c r="U1141" s="84" t="n">
        <f aca="false">IF(AND(R1141=1,ISNUMBER(T1141)),E1141-T1141,"")</f>
        <v>-1.54887431176058</v>
      </c>
      <c r="V1141" s="84" t="n">
        <f aca="false">IF(ISNUMBER(T1141),T1141,-99)</f>
        <v>22.2488743117606</v>
      </c>
      <c r="W1141" s="84" t="n">
        <f aca="false">IF(ISNUMBER(U1141),ABS(U1141),"")</f>
        <v>1.54887431176058</v>
      </c>
    </row>
    <row r="1142" customFormat="false" ht="15" hidden="false" customHeight="false" outlineLevel="0" collapsed="false">
      <c r="A1142" s="57" t="n">
        <v>31602</v>
      </c>
      <c r="B1142" s="56" t="n">
        <v>1986</v>
      </c>
      <c r="C1142" s="56" t="n">
        <v>7</v>
      </c>
      <c r="D1142" s="56" t="n">
        <v>70</v>
      </c>
      <c r="E1142" s="56" t="n">
        <v>23.3</v>
      </c>
      <c r="F1142" s="56" t="n">
        <v>0</v>
      </c>
      <c r="G1142" s="56" t="n">
        <v>8.2</v>
      </c>
      <c r="H1142" s="56" t="n">
        <v>0</v>
      </c>
      <c r="I1142" s="56" t="n">
        <v>14.4</v>
      </c>
      <c r="J1142" s="56" t="n">
        <v>0</v>
      </c>
      <c r="K1142" s="56" t="n">
        <v>1021.2</v>
      </c>
      <c r="L1142" s="56" t="n">
        <v>0</v>
      </c>
      <c r="M1142" s="56" t="n">
        <v>62</v>
      </c>
      <c r="N1142" s="56" t="n">
        <v>7.7</v>
      </c>
      <c r="O1142" s="56" t="n">
        <f aca="false">IF(D1142=1,"",E1141)</f>
        <v>20.7</v>
      </c>
      <c r="P1142" s="56" t="n">
        <f aca="false">IF(OR(D1142=1,K1141=""),"",K1141)</f>
        <v>1018.4</v>
      </c>
      <c r="Q1142" s="56" t="n">
        <f aca="false">IF(OR(F1142&lt;&gt;0,AND(I1142&lt;&gt;"",E1142&lt;I1142)),1,0)</f>
        <v>0</v>
      </c>
      <c r="R1142" s="56" t="n">
        <f aca="false">IF(AND(D1142&gt;1,Q1142=0,ISNUMBER(O1142),ISNUMBER(P1142)),IF(Q1141=0,1,0),0)</f>
        <v>1</v>
      </c>
      <c r="S1142" s="56" t="n">
        <f aca="false">R1142*(B1142&gt;=Train_Start)*(B1142&lt;=Train_End)</f>
        <v>1</v>
      </c>
      <c r="T1142" s="84" t="n">
        <f aca="false">IF(AND(ISNUMBER(O1142),ISNUMBER(P1142)),Coef_A+Coef_B1*O1142+Coef_B2*P1142,"")</f>
        <v>20.9943974132335</v>
      </c>
      <c r="U1142" s="84" t="n">
        <f aca="false">IF(AND(R1142=1,ISNUMBER(T1142)),E1142-T1142,"")</f>
        <v>2.30560258676649</v>
      </c>
      <c r="V1142" s="84" t="n">
        <f aca="false">IF(ISNUMBER(T1142),T1142,-99)</f>
        <v>20.9943974132335</v>
      </c>
      <c r="W1142" s="84" t="n">
        <f aca="false">IF(ISNUMBER(U1142),ABS(U1142),"")</f>
        <v>2.30560258676649</v>
      </c>
    </row>
    <row r="1143" customFormat="false" ht="15" hidden="false" customHeight="false" outlineLevel="0" collapsed="false">
      <c r="A1143" s="57" t="n">
        <v>31603</v>
      </c>
      <c r="B1143" s="56" t="n">
        <v>1986</v>
      </c>
      <c r="C1143" s="56" t="n">
        <v>7</v>
      </c>
      <c r="D1143" s="56" t="n">
        <v>71</v>
      </c>
      <c r="E1143" s="56" t="n">
        <v>21.5</v>
      </c>
      <c r="F1143" s="56" t="n">
        <v>0</v>
      </c>
      <c r="G1143" s="56" t="n">
        <v>13.5</v>
      </c>
      <c r="H1143" s="56" t="n">
        <v>0</v>
      </c>
      <c r="I1143" s="56" t="n">
        <v>18.4</v>
      </c>
      <c r="J1143" s="56" t="n">
        <v>0</v>
      </c>
      <c r="K1143" s="56" t="n">
        <v>1020</v>
      </c>
      <c r="L1143" s="56" t="n">
        <v>0</v>
      </c>
      <c r="M1143" s="56" t="n">
        <v>69</v>
      </c>
      <c r="N1143" s="56" t="n">
        <v>5.6</v>
      </c>
      <c r="O1143" s="56" t="n">
        <f aca="false">IF(D1143=1,"",E1142)</f>
        <v>23.3</v>
      </c>
      <c r="P1143" s="56" t="n">
        <f aca="false">IF(OR(D1143=1,K1142=""),"",K1142)</f>
        <v>1021.2</v>
      </c>
      <c r="Q1143" s="56" t="n">
        <f aca="false">IF(OR(F1143&lt;&gt;0,AND(I1143&lt;&gt;"",E1143&lt;I1143)),1,0)</f>
        <v>0</v>
      </c>
      <c r="R1143" s="56" t="n">
        <f aca="false">IF(AND(D1143&gt;1,Q1143=0,ISNUMBER(O1143),ISNUMBER(P1143)),IF(Q1142=0,1,0),0)</f>
        <v>1</v>
      </c>
      <c r="S1143" s="56" t="n">
        <f aca="false">R1143*(B1143&gt;=Train_Start)*(B1143&lt;=Train_End)</f>
        <v>1</v>
      </c>
      <c r="T1143" s="84" t="n">
        <f aca="false">IF(AND(ISNUMBER(O1143),ISNUMBER(P1143)),Coef_A+Coef_B1*O1143+Coef_B2*P1143,"")</f>
        <v>23.2125150201196</v>
      </c>
      <c r="U1143" s="84" t="n">
        <f aca="false">IF(AND(R1143=1,ISNUMBER(T1143)),E1143-T1143,"")</f>
        <v>-1.71251502011959</v>
      </c>
      <c r="V1143" s="84" t="n">
        <f aca="false">IF(ISNUMBER(T1143),T1143,-99)</f>
        <v>23.2125150201196</v>
      </c>
      <c r="W1143" s="84" t="n">
        <f aca="false">IF(ISNUMBER(U1143),ABS(U1143),"")</f>
        <v>1.71251502011959</v>
      </c>
    </row>
    <row r="1144" customFormat="false" ht="15" hidden="false" customHeight="false" outlineLevel="0" collapsed="false">
      <c r="A1144" s="57" t="n">
        <v>31604</v>
      </c>
      <c r="B1144" s="56" t="n">
        <v>1986</v>
      </c>
      <c r="C1144" s="56" t="n">
        <v>7</v>
      </c>
      <c r="D1144" s="56" t="n">
        <v>72</v>
      </c>
      <c r="E1144" s="56" t="n">
        <v>20</v>
      </c>
      <c r="F1144" s="56" t="n">
        <v>0</v>
      </c>
      <c r="G1144" s="56" t="n">
        <v>12.9</v>
      </c>
      <c r="H1144" s="56" t="n">
        <v>0</v>
      </c>
      <c r="I1144" s="56" t="n">
        <v>17.2</v>
      </c>
      <c r="J1144" s="56" t="n">
        <v>0</v>
      </c>
      <c r="K1144" s="56" t="n">
        <v>1021.9</v>
      </c>
      <c r="L1144" s="56" t="n">
        <v>0</v>
      </c>
      <c r="M1144" s="56" t="n">
        <v>72</v>
      </c>
      <c r="N1144" s="56" t="n">
        <v>3.6</v>
      </c>
      <c r="O1144" s="56" t="n">
        <f aca="false">IF(D1144=1,"",E1143)</f>
        <v>21.5</v>
      </c>
      <c r="P1144" s="56" t="n">
        <f aca="false">IF(OR(D1144=1,K1143=""),"",K1143)</f>
        <v>1020</v>
      </c>
      <c r="Q1144" s="56" t="n">
        <f aca="false">IF(OR(F1144&lt;&gt;0,AND(I1144&lt;&gt;"",E1144&lt;I1144)),1,0)</f>
        <v>0</v>
      </c>
      <c r="R1144" s="56" t="n">
        <f aca="false">IF(AND(D1144&gt;1,Q1144=0,ISNUMBER(O1144),ISNUMBER(P1144)),IF(Q1143=0,1,0),0)</f>
        <v>1</v>
      </c>
      <c r="S1144" s="56" t="n">
        <f aca="false">R1144*(B1144&gt;=Train_Start)*(B1144&lt;=Train_End)</f>
        <v>1</v>
      </c>
      <c r="T1144" s="84" t="n">
        <f aca="false">IF(AND(ISNUMBER(O1144),ISNUMBER(P1144)),Coef_A+Coef_B1*O1144+Coef_B2*P1144,"")</f>
        <v>21.700060599082</v>
      </c>
      <c r="U1144" s="84" t="n">
        <f aca="false">IF(AND(R1144=1,ISNUMBER(T1144)),E1144-T1144,"")</f>
        <v>-1.70006059908201</v>
      </c>
      <c r="V1144" s="84" t="n">
        <f aca="false">IF(ISNUMBER(T1144),T1144,-99)</f>
        <v>21.700060599082</v>
      </c>
      <c r="W1144" s="84" t="n">
        <f aca="false">IF(ISNUMBER(U1144),ABS(U1144),"")</f>
        <v>1.70006059908201</v>
      </c>
    </row>
    <row r="1145" customFormat="false" ht="15" hidden="false" customHeight="false" outlineLevel="0" collapsed="false">
      <c r="A1145" s="57" t="n">
        <v>31605</v>
      </c>
      <c r="B1145" s="56" t="n">
        <v>1986</v>
      </c>
      <c r="C1145" s="56" t="n">
        <v>7</v>
      </c>
      <c r="D1145" s="56" t="n">
        <v>73</v>
      </c>
      <c r="E1145" s="56" t="n">
        <v>21.9</v>
      </c>
      <c r="F1145" s="56" t="n">
        <v>0</v>
      </c>
      <c r="G1145" s="56" t="n">
        <v>13.7</v>
      </c>
      <c r="H1145" s="56" t="n">
        <v>0</v>
      </c>
      <c r="I1145" s="56" t="n">
        <v>16.8</v>
      </c>
      <c r="J1145" s="56" t="n">
        <v>0</v>
      </c>
      <c r="K1145" s="56" t="n">
        <v>1021.5</v>
      </c>
      <c r="L1145" s="56" t="n">
        <v>0</v>
      </c>
      <c r="M1145" s="56" t="n">
        <v>83</v>
      </c>
      <c r="N1145" s="56" t="n">
        <v>0.2</v>
      </c>
      <c r="O1145" s="56" t="n">
        <f aca="false">IF(D1145=1,"",E1144)</f>
        <v>20</v>
      </c>
      <c r="P1145" s="56" t="n">
        <f aca="false">IF(OR(D1145=1,K1144=""),"",K1144)</f>
        <v>1021.9</v>
      </c>
      <c r="Q1145" s="56" t="n">
        <f aca="false">IF(OR(F1145&lt;&gt;0,AND(I1145&lt;&gt;"",E1145&lt;I1145)),1,0)</f>
        <v>0</v>
      </c>
      <c r="R1145" s="56" t="n">
        <f aca="false">IF(AND(D1145&gt;1,Q1145=0,ISNUMBER(O1145),ISNUMBER(P1145)),IF(Q1144=0,1,0),0)</f>
        <v>1</v>
      </c>
      <c r="S1145" s="56" t="n">
        <f aca="false">R1145*(B1145&gt;=Train_Start)*(B1145&lt;=Train_End)</f>
        <v>1</v>
      </c>
      <c r="T1145" s="84" t="n">
        <f aca="false">IF(AND(ISNUMBER(O1145),ISNUMBER(P1145)),Coef_A+Coef_B1*O1145+Coef_B2*P1145,"")</f>
        <v>20.5306546093226</v>
      </c>
      <c r="U1145" s="84" t="n">
        <f aca="false">IF(AND(R1145=1,ISNUMBER(T1145)),E1145-T1145,"")</f>
        <v>1.36934539067739</v>
      </c>
      <c r="V1145" s="84" t="n">
        <f aca="false">IF(ISNUMBER(T1145),T1145,-99)</f>
        <v>20.5306546093226</v>
      </c>
      <c r="W1145" s="84" t="n">
        <f aca="false">IF(ISNUMBER(U1145),ABS(U1145),"")</f>
        <v>1.36934539067739</v>
      </c>
    </row>
    <row r="1146" customFormat="false" ht="15" hidden="false" customHeight="false" outlineLevel="0" collapsed="false">
      <c r="A1146" s="57" t="n">
        <v>31606</v>
      </c>
      <c r="B1146" s="56" t="n">
        <v>1986</v>
      </c>
      <c r="C1146" s="56" t="n">
        <v>7</v>
      </c>
      <c r="D1146" s="56" t="n">
        <v>74</v>
      </c>
      <c r="E1146" s="56" t="n">
        <v>25.3</v>
      </c>
      <c r="F1146" s="56" t="n">
        <v>0</v>
      </c>
      <c r="G1146" s="56" t="n">
        <v>13.2</v>
      </c>
      <c r="H1146" s="56" t="n">
        <v>0</v>
      </c>
      <c r="I1146" s="56" t="n">
        <v>17.6</v>
      </c>
      <c r="J1146" s="56" t="n">
        <v>0</v>
      </c>
      <c r="K1146" s="56" t="n">
        <v>1023.1</v>
      </c>
      <c r="L1146" s="56" t="n">
        <v>0</v>
      </c>
      <c r="M1146" s="56" t="n">
        <v>76</v>
      </c>
      <c r="N1146" s="56" t="n">
        <v>3.6</v>
      </c>
      <c r="O1146" s="56" t="n">
        <f aca="false">IF(D1146=1,"",E1145)</f>
        <v>21.9</v>
      </c>
      <c r="P1146" s="56" t="n">
        <f aca="false">IF(OR(D1146=1,K1145=""),"",K1145)</f>
        <v>1021.5</v>
      </c>
      <c r="Q1146" s="56" t="n">
        <f aca="false">IF(OR(F1146&lt;&gt;0,AND(I1146&lt;&gt;"",E1146&lt;I1146)),1,0)</f>
        <v>0</v>
      </c>
      <c r="R1146" s="56" t="n">
        <f aca="false">IF(AND(D1146&gt;1,Q1146=0,ISNUMBER(O1146),ISNUMBER(P1146)),IF(Q1145=0,1,0),0)</f>
        <v>1</v>
      </c>
      <c r="S1146" s="56" t="n">
        <f aca="false">R1146*(B1146&gt;=Train_Start)*(B1146&lt;=Train_End)</f>
        <v>1</v>
      </c>
      <c r="T1146" s="84" t="n">
        <f aca="false">IF(AND(ISNUMBER(O1146),ISNUMBER(P1146)),Coef_A+Coef_B1*O1146+Coef_B2*P1146,"")</f>
        <v>22.0748511182501</v>
      </c>
      <c r="U1146" s="84" t="n">
        <f aca="false">IF(AND(R1146=1,ISNUMBER(T1146)),E1146-T1146,"")</f>
        <v>3.22514888174993</v>
      </c>
      <c r="V1146" s="84" t="n">
        <f aca="false">IF(ISNUMBER(T1146),T1146,-99)</f>
        <v>22.0748511182501</v>
      </c>
      <c r="W1146" s="84" t="n">
        <f aca="false">IF(ISNUMBER(U1146),ABS(U1146),"")</f>
        <v>3.22514888174993</v>
      </c>
    </row>
    <row r="1147" customFormat="false" ht="15" hidden="false" customHeight="false" outlineLevel="0" collapsed="false">
      <c r="A1147" s="57" t="n">
        <v>31607</v>
      </c>
      <c r="B1147" s="56" t="n">
        <v>1986</v>
      </c>
      <c r="C1147" s="56" t="n">
        <v>7</v>
      </c>
      <c r="D1147" s="56" t="n">
        <v>75</v>
      </c>
      <c r="E1147" s="56" t="n">
        <v>29.1</v>
      </c>
      <c r="F1147" s="56" t="n">
        <v>0</v>
      </c>
      <c r="G1147" s="56" t="n">
        <v>15</v>
      </c>
      <c r="H1147" s="56" t="n">
        <v>0</v>
      </c>
      <c r="I1147" s="56" t="n">
        <v>20.2</v>
      </c>
      <c r="J1147" s="56" t="n">
        <v>0</v>
      </c>
      <c r="K1147" s="56" t="n">
        <v>1022.6</v>
      </c>
      <c r="L1147" s="56" t="n">
        <v>0</v>
      </c>
      <c r="M1147" s="56" t="n">
        <v>80</v>
      </c>
      <c r="N1147" s="56" t="n">
        <v>1.4</v>
      </c>
      <c r="O1147" s="56" t="n">
        <f aca="false">IF(D1147=1,"",E1146)</f>
        <v>25.3</v>
      </c>
      <c r="P1147" s="56" t="n">
        <f aca="false">IF(OR(D1147=1,K1146=""),"",K1146)</f>
        <v>1023.1</v>
      </c>
      <c r="Q1147" s="56" t="n">
        <f aca="false">IF(OR(F1147&lt;&gt;0,AND(I1147&lt;&gt;"",E1147&lt;I1147)),1,0)</f>
        <v>0</v>
      </c>
      <c r="R1147" s="56" t="n">
        <f aca="false">IF(AND(D1147&gt;1,Q1147=0,ISNUMBER(O1147),ISNUMBER(P1147)),IF(Q1146=0,1,0),0)</f>
        <v>1</v>
      </c>
      <c r="S1147" s="56" t="n">
        <f aca="false">R1147*(B1147&gt;=Train_Start)*(B1147&lt;=Train_End)</f>
        <v>1</v>
      </c>
      <c r="T1147" s="84" t="n">
        <f aca="false">IF(AND(ISNUMBER(O1147),ISNUMBER(P1147)),Coef_A+Coef_B1*O1147+Coef_B2*P1147,"")</f>
        <v>24.9107962060095</v>
      </c>
      <c r="U1147" s="84" t="n">
        <f aca="false">IF(AND(R1147=1,ISNUMBER(T1147)),E1147-T1147,"")</f>
        <v>4.18920379399052</v>
      </c>
      <c r="V1147" s="84" t="n">
        <f aca="false">IF(ISNUMBER(T1147),T1147,-99)</f>
        <v>24.9107962060095</v>
      </c>
      <c r="W1147" s="84" t="n">
        <f aca="false">IF(ISNUMBER(U1147),ABS(U1147),"")</f>
        <v>4.18920379399052</v>
      </c>
    </row>
    <row r="1148" customFormat="false" ht="15" hidden="false" customHeight="false" outlineLevel="0" collapsed="false">
      <c r="A1148" s="57" t="n">
        <v>31608</v>
      </c>
      <c r="B1148" s="56" t="n">
        <v>1986</v>
      </c>
      <c r="C1148" s="56" t="n">
        <v>7</v>
      </c>
      <c r="D1148" s="56" t="n">
        <v>76</v>
      </c>
      <c r="E1148" s="56" t="n">
        <v>28</v>
      </c>
      <c r="F1148" s="56" t="n">
        <v>0</v>
      </c>
      <c r="G1148" s="56" t="n">
        <v>17.3</v>
      </c>
      <c r="H1148" s="56" t="n">
        <v>0</v>
      </c>
      <c r="I1148" s="56" t="n">
        <v>23.2</v>
      </c>
      <c r="J1148" s="56" t="n">
        <v>0</v>
      </c>
      <c r="K1148" s="56" t="n">
        <v>1023.6</v>
      </c>
      <c r="L1148" s="56" t="n">
        <v>0</v>
      </c>
      <c r="M1148" s="56" t="n">
        <v>70</v>
      </c>
      <c r="N1148" s="56" t="n">
        <v>9.9</v>
      </c>
      <c r="O1148" s="56" t="n">
        <f aca="false">IF(D1148=1,"",E1147)</f>
        <v>29.1</v>
      </c>
      <c r="P1148" s="56" t="n">
        <f aca="false">IF(OR(D1148=1,K1147=""),"",K1147)</f>
        <v>1022.6</v>
      </c>
      <c r="Q1148" s="56" t="n">
        <f aca="false">IF(OR(F1148&lt;&gt;0,AND(I1148&lt;&gt;"",E1148&lt;I1148)),1,0)</f>
        <v>0</v>
      </c>
      <c r="R1148" s="56" t="n">
        <f aca="false">IF(AND(D1148&gt;1,Q1148=0,ISNUMBER(O1148),ISNUMBER(P1148)),IF(Q1147=0,1,0),0)</f>
        <v>1</v>
      </c>
      <c r="S1148" s="56" t="n">
        <f aca="false">R1148*(B1148&gt;=Train_Start)*(B1148&lt;=Train_End)</f>
        <v>1</v>
      </c>
      <c r="T1148" s="84" t="n">
        <f aca="false">IF(AND(ISNUMBER(O1148),ISNUMBER(P1148)),Coef_A+Coef_B1*O1148+Coef_B2*P1148,"")</f>
        <v>28.0086001922546</v>
      </c>
      <c r="U1148" s="84" t="n">
        <f aca="false">IF(AND(R1148=1,ISNUMBER(T1148)),E1148-T1148,"")</f>
        <v>-0.00860019225459041</v>
      </c>
      <c r="V1148" s="84" t="n">
        <f aca="false">IF(ISNUMBER(T1148),T1148,-99)</f>
        <v>28.0086001922546</v>
      </c>
      <c r="W1148" s="84" t="n">
        <f aca="false">IF(ISNUMBER(U1148),ABS(U1148),"")</f>
        <v>0.00860019225459041</v>
      </c>
    </row>
    <row r="1149" customFormat="false" ht="15" hidden="false" customHeight="false" outlineLevel="0" collapsed="false">
      <c r="A1149" s="57" t="n">
        <v>31609</v>
      </c>
      <c r="B1149" s="56" t="n">
        <v>1986</v>
      </c>
      <c r="C1149" s="56" t="n">
        <v>7</v>
      </c>
      <c r="D1149" s="56" t="n">
        <v>77</v>
      </c>
      <c r="E1149" s="56" t="n">
        <v>21.9</v>
      </c>
      <c r="F1149" s="56" t="n">
        <v>1</v>
      </c>
      <c r="G1149" s="56" t="n">
        <v>18.3</v>
      </c>
      <c r="H1149" s="56" t="n">
        <v>0</v>
      </c>
      <c r="I1149" s="56" t="n">
        <v>23.2</v>
      </c>
      <c r="J1149" s="56" t="n">
        <v>1</v>
      </c>
      <c r="K1149" s="56" t="n">
        <v>1021.2</v>
      </c>
      <c r="L1149" s="56" t="n">
        <v>0</v>
      </c>
      <c r="M1149" s="56" t="n">
        <v>69</v>
      </c>
      <c r="N1149" s="56" t="n">
        <v>13</v>
      </c>
      <c r="O1149" s="56" t="n">
        <f aca="false">IF(D1149=1,"",E1148)</f>
        <v>28</v>
      </c>
      <c r="P1149" s="56" t="n">
        <f aca="false">IF(OR(D1149=1,K1148=""),"",K1148)</f>
        <v>1023.6</v>
      </c>
      <c r="Q1149" s="56" t="n">
        <f aca="false">IF(OR(F1149&lt;&gt;0,AND(I1149&lt;&gt;"",E1149&lt;I1149)),1,0)</f>
        <v>1</v>
      </c>
      <c r="R1149" s="56" t="n">
        <f aca="false">IF(AND(D1149&gt;1,Q1149=0,ISNUMBER(O1149),ISNUMBER(P1149)),IF(Q1148=0,1,0),0)</f>
        <v>0</v>
      </c>
      <c r="S1149" s="56" t="n">
        <f aca="false">R1149*(B1149&gt;=Train_Start)*(B1149&lt;=Train_End)</f>
        <v>0</v>
      </c>
      <c r="T1149" s="84" t="n">
        <f aca="false">IF(AND(ISNUMBER(O1149),ISNUMBER(P1149)),Coef_A+Coef_B1*O1149+Coef_B2*P1149,"")</f>
        <v>27.1386969745417</v>
      </c>
      <c r="U1149" s="84" t="str">
        <f aca="false">IF(AND(R1149=1,ISNUMBER(T1149)),E1149-T1149,"")</f>
        <v/>
      </c>
      <c r="V1149" s="84" t="n">
        <f aca="false">IF(ISNUMBER(T1149),T1149,-99)</f>
        <v>27.1386969745417</v>
      </c>
      <c r="W1149" s="84" t="str">
        <f aca="false">IF(ISNUMBER(U1149),ABS(U1149),"")</f>
        <v/>
      </c>
    </row>
    <row r="1150" customFormat="false" ht="15" hidden="false" customHeight="false" outlineLevel="0" collapsed="false">
      <c r="A1150" s="57" t="n">
        <v>31610</v>
      </c>
      <c r="B1150" s="56" t="n">
        <v>1986</v>
      </c>
      <c r="C1150" s="56" t="n">
        <v>7</v>
      </c>
      <c r="D1150" s="56" t="n">
        <v>78</v>
      </c>
      <c r="E1150" s="56" t="n">
        <v>19.6</v>
      </c>
      <c r="F1150" s="56" t="n">
        <v>0</v>
      </c>
      <c r="G1150" s="56" t="n">
        <v>15.2</v>
      </c>
      <c r="H1150" s="56" t="n">
        <v>0</v>
      </c>
      <c r="I1150" s="56" t="n">
        <v>18.6</v>
      </c>
      <c r="J1150" s="56" t="n">
        <v>0</v>
      </c>
      <c r="K1150" s="56" t="n">
        <v>1023.1</v>
      </c>
      <c r="L1150" s="56" t="n">
        <v>0</v>
      </c>
      <c r="M1150" s="56" t="n">
        <v>60</v>
      </c>
      <c r="N1150" s="56" t="n">
        <v>12.7</v>
      </c>
      <c r="O1150" s="56" t="n">
        <f aca="false">IF(D1150=1,"",E1149)</f>
        <v>21.9</v>
      </c>
      <c r="P1150" s="56" t="n">
        <f aca="false">IF(OR(D1150=1,K1149=""),"",K1149)</f>
        <v>1021.2</v>
      </c>
      <c r="Q1150" s="56" t="n">
        <f aca="false">IF(OR(F1150&lt;&gt;0,AND(I1150&lt;&gt;"",E1150&lt;I1150)),1,0)</f>
        <v>0</v>
      </c>
      <c r="R1150" s="56" t="n">
        <f aca="false">IF(AND(D1150&gt;1,Q1150=0,ISNUMBER(O1150),ISNUMBER(P1150)),IF(Q1149=0,1,0),0)</f>
        <v>0</v>
      </c>
      <c r="S1150" s="56" t="n">
        <f aca="false">R1150*(B1150&gt;=Train_Start)*(B1150&lt;=Train_End)</f>
        <v>0</v>
      </c>
      <c r="T1150" s="84" t="n">
        <f aca="false">IF(AND(ISNUMBER(O1150),ISNUMBER(P1150)),Coef_A+Coef_B1*O1150+Coef_B2*P1150,"")</f>
        <v>22.0654401498599</v>
      </c>
      <c r="U1150" s="84" t="str">
        <f aca="false">IF(AND(R1150=1,ISNUMBER(T1150)),E1150-T1150,"")</f>
        <v/>
      </c>
      <c r="V1150" s="84" t="n">
        <f aca="false">IF(ISNUMBER(T1150),T1150,-99)</f>
        <v>22.0654401498599</v>
      </c>
      <c r="W1150" s="84" t="str">
        <f aca="false">IF(ISNUMBER(U1150),ABS(U1150),"")</f>
        <v/>
      </c>
    </row>
    <row r="1151" customFormat="false" ht="15" hidden="false" customHeight="false" outlineLevel="0" collapsed="false">
      <c r="A1151" s="57" t="n">
        <v>31611</v>
      </c>
      <c r="B1151" s="56" t="n">
        <v>1986</v>
      </c>
      <c r="C1151" s="56" t="n">
        <v>7</v>
      </c>
      <c r="D1151" s="56" t="n">
        <v>79</v>
      </c>
      <c r="E1151" s="56" t="n">
        <v>20.4</v>
      </c>
      <c r="F1151" s="56" t="n">
        <v>0</v>
      </c>
      <c r="G1151" s="56" t="n">
        <v>10.6</v>
      </c>
      <c r="H1151" s="56" t="n">
        <v>0</v>
      </c>
      <c r="I1151" s="56" t="n">
        <v>15.1</v>
      </c>
      <c r="J1151" s="56" t="n">
        <v>0</v>
      </c>
      <c r="K1151" s="56" t="n">
        <v>1028.5</v>
      </c>
      <c r="L1151" s="56" t="n">
        <v>0</v>
      </c>
      <c r="M1151" s="56" t="n">
        <v>61</v>
      </c>
      <c r="N1151" s="56" t="n">
        <v>5.2</v>
      </c>
      <c r="O1151" s="56" t="n">
        <f aca="false">IF(D1151=1,"",E1150)</f>
        <v>19.6</v>
      </c>
      <c r="P1151" s="56" t="n">
        <f aca="false">IF(OR(D1151=1,K1150=""),"",K1150)</f>
        <v>1023.1</v>
      </c>
      <c r="Q1151" s="56" t="n">
        <f aca="false">IF(OR(F1151&lt;&gt;0,AND(I1151&lt;&gt;"",E1151&lt;I1151)),1,0)</f>
        <v>0</v>
      </c>
      <c r="R1151" s="56" t="n">
        <f aca="false">IF(AND(D1151&gt;1,Q1151=0,ISNUMBER(O1151),ISNUMBER(P1151)),IF(Q1150=0,1,0),0)</f>
        <v>1</v>
      </c>
      <c r="S1151" s="56" t="n">
        <f aca="false">R1151*(B1151&gt;=Train_Start)*(B1151&lt;=Train_End)</f>
        <v>1</v>
      </c>
      <c r="T1151" s="84" t="n">
        <f aca="false">IF(AND(ISNUMBER(O1151),ISNUMBER(P1151)),Coef_A+Coef_B1*O1151+Coef_B2*P1151,"")</f>
        <v>20.2405628056663</v>
      </c>
      <c r="U1151" s="84" t="n">
        <f aca="false">IF(AND(R1151=1,ISNUMBER(T1151)),E1151-T1151,"")</f>
        <v>0.159437194333663</v>
      </c>
      <c r="V1151" s="84" t="n">
        <f aca="false">IF(ISNUMBER(T1151),T1151,-99)</f>
        <v>20.2405628056663</v>
      </c>
      <c r="W1151" s="84" t="n">
        <f aca="false">IF(ISNUMBER(U1151),ABS(U1151),"")</f>
        <v>0.159437194333663</v>
      </c>
    </row>
    <row r="1152" customFormat="false" ht="15" hidden="false" customHeight="false" outlineLevel="0" collapsed="false">
      <c r="A1152" s="57" t="n">
        <v>31612</v>
      </c>
      <c r="B1152" s="56" t="n">
        <v>1986</v>
      </c>
      <c r="C1152" s="56" t="n">
        <v>7</v>
      </c>
      <c r="D1152" s="56" t="n">
        <v>80</v>
      </c>
      <c r="E1152" s="56" t="n">
        <v>23.8</v>
      </c>
      <c r="F1152" s="56" t="n">
        <v>0</v>
      </c>
      <c r="G1152" s="56" t="n">
        <v>11.1</v>
      </c>
      <c r="H1152" s="56" t="n">
        <v>0</v>
      </c>
      <c r="I1152" s="56" t="n">
        <v>15.8</v>
      </c>
      <c r="J1152" s="56" t="n">
        <v>0</v>
      </c>
      <c r="K1152" s="56" t="n">
        <v>1026.9</v>
      </c>
      <c r="L1152" s="56" t="n">
        <v>0</v>
      </c>
      <c r="M1152" s="56" t="n">
        <v>60</v>
      </c>
      <c r="N1152" s="56" t="n">
        <v>3.5</v>
      </c>
      <c r="O1152" s="56" t="n">
        <f aca="false">IF(D1152=1,"",E1151)</f>
        <v>20.4</v>
      </c>
      <c r="P1152" s="56" t="n">
        <f aca="false">IF(OR(D1152=1,K1151=""),"",K1151)</f>
        <v>1028.5</v>
      </c>
      <c r="Q1152" s="56" t="n">
        <f aca="false">IF(OR(F1152&lt;&gt;0,AND(I1152&lt;&gt;"",E1152&lt;I1152)),1,0)</f>
        <v>0</v>
      </c>
      <c r="R1152" s="56" t="n">
        <f aca="false">IF(AND(D1152&gt;1,Q1152=0,ISNUMBER(O1152),ISNUMBER(P1152)),IF(Q1151=0,1,0),0)</f>
        <v>1</v>
      </c>
      <c r="S1152" s="56" t="n">
        <f aca="false">R1152*(B1152&gt;=Train_Start)*(B1152&lt;=Train_End)</f>
        <v>1</v>
      </c>
      <c r="T1152" s="84" t="n">
        <f aca="false">IF(AND(ISNUMBER(O1152),ISNUMBER(P1152)),Coef_A+Coef_B1*O1152+Coef_B2*P1152,"")</f>
        <v>21.065431591124</v>
      </c>
      <c r="U1152" s="84" t="n">
        <f aca="false">IF(AND(R1152=1,ISNUMBER(T1152)),E1152-T1152,"")</f>
        <v>2.734568408876</v>
      </c>
      <c r="V1152" s="84" t="n">
        <f aca="false">IF(ISNUMBER(T1152),T1152,-99)</f>
        <v>21.065431591124</v>
      </c>
      <c r="W1152" s="84" t="n">
        <f aca="false">IF(ISNUMBER(U1152),ABS(U1152),"")</f>
        <v>2.734568408876</v>
      </c>
    </row>
    <row r="1153" customFormat="false" ht="15" hidden="false" customHeight="false" outlineLevel="0" collapsed="false">
      <c r="A1153" s="57" t="n">
        <v>31613</v>
      </c>
      <c r="B1153" s="56" t="n">
        <v>1986</v>
      </c>
      <c r="C1153" s="56" t="n">
        <v>7</v>
      </c>
      <c r="D1153" s="56" t="n">
        <v>81</v>
      </c>
      <c r="E1153" s="56" t="n">
        <v>22.1</v>
      </c>
      <c r="F1153" s="56" t="n">
        <v>0</v>
      </c>
      <c r="G1153" s="56" t="n">
        <v>13.1</v>
      </c>
      <c r="H1153" s="56" t="n">
        <v>0</v>
      </c>
      <c r="I1153" s="56" t="n">
        <v>18.4</v>
      </c>
      <c r="J1153" s="56" t="n">
        <v>0</v>
      </c>
      <c r="K1153" s="56" t="n">
        <v>1020.1</v>
      </c>
      <c r="L1153" s="56" t="n">
        <v>0</v>
      </c>
      <c r="M1153" s="56" t="n">
        <v>72</v>
      </c>
      <c r="N1153" s="56" t="n">
        <v>3.5</v>
      </c>
      <c r="O1153" s="56" t="n">
        <f aca="false">IF(D1153=1,"",E1152)</f>
        <v>23.8</v>
      </c>
      <c r="P1153" s="56" t="n">
        <f aca="false">IF(OR(D1153=1,K1152=""),"",K1152)</f>
        <v>1026.9</v>
      </c>
      <c r="Q1153" s="56" t="n">
        <f aca="false">IF(OR(F1153&lt;&gt;0,AND(I1153&lt;&gt;"",E1153&lt;I1153)),1,0)</f>
        <v>0</v>
      </c>
      <c r="R1153" s="56" t="n">
        <f aca="false">IF(AND(D1153&gt;1,Q1153=0,ISNUMBER(O1153),ISNUMBER(P1153)),IF(Q1152=0,1,0),0)</f>
        <v>1</v>
      </c>
      <c r="S1153" s="56" t="n">
        <f aca="false">R1153*(B1153&gt;=Train_Start)*(B1153&lt;=Train_End)</f>
        <v>1</v>
      </c>
      <c r="T1153" s="84" t="n">
        <f aca="false">IF(AND(ISNUMBER(O1153),ISNUMBER(P1153)),Coef_A+Coef_B1*O1153+Coef_B2*P1153,"")</f>
        <v>23.8009930160547</v>
      </c>
      <c r="U1153" s="84" t="n">
        <f aca="false">IF(AND(R1153=1,ISNUMBER(T1153)),E1153-T1153,"")</f>
        <v>-1.70099301605465</v>
      </c>
      <c r="V1153" s="84" t="n">
        <f aca="false">IF(ISNUMBER(T1153),T1153,-99)</f>
        <v>23.8009930160547</v>
      </c>
      <c r="W1153" s="84" t="n">
        <f aca="false">IF(ISNUMBER(U1153),ABS(U1153),"")</f>
        <v>1.70099301605465</v>
      </c>
    </row>
    <row r="1154" customFormat="false" ht="15" hidden="false" customHeight="false" outlineLevel="0" collapsed="false">
      <c r="A1154" s="57" t="n">
        <v>31614</v>
      </c>
      <c r="B1154" s="56" t="n">
        <v>1986</v>
      </c>
      <c r="C1154" s="56" t="n">
        <v>7</v>
      </c>
      <c r="D1154" s="56" t="n">
        <v>82</v>
      </c>
      <c r="E1154" s="56" t="n">
        <v>20.6</v>
      </c>
      <c r="F1154" s="56" t="n">
        <v>0</v>
      </c>
      <c r="G1154" s="56" t="n">
        <v>12.7</v>
      </c>
      <c r="H1154" s="56" t="n">
        <v>0</v>
      </c>
      <c r="I1154" s="56" t="n">
        <v>17.4</v>
      </c>
      <c r="J1154" s="56" t="n">
        <v>0</v>
      </c>
      <c r="K1154" s="56" t="n">
        <v>1017</v>
      </c>
      <c r="L1154" s="56" t="n">
        <v>0</v>
      </c>
      <c r="M1154" s="56" t="n">
        <v>76</v>
      </c>
      <c r="N1154" s="56" t="n">
        <v>5.6</v>
      </c>
      <c r="O1154" s="56" t="n">
        <f aca="false">IF(D1154=1,"",E1153)</f>
        <v>22.1</v>
      </c>
      <c r="P1154" s="56" t="n">
        <f aca="false">IF(OR(D1154=1,K1153=""),"",K1153)</f>
        <v>1020.1</v>
      </c>
      <c r="Q1154" s="56" t="n">
        <f aca="false">IF(OR(F1154&lt;&gt;0,AND(I1154&lt;&gt;"",E1154&lt;I1154)),1,0)</f>
        <v>0</v>
      </c>
      <c r="R1154" s="56" t="n">
        <f aca="false">IF(AND(D1154&gt;1,Q1154=0,ISNUMBER(O1154),ISNUMBER(P1154)),IF(Q1153=0,1,0),0)</f>
        <v>1</v>
      </c>
      <c r="S1154" s="56" t="n">
        <f aca="false">R1154*(B1154&gt;=Train_Start)*(B1154&lt;=Train_End)</f>
        <v>1</v>
      </c>
      <c r="T1154" s="84" t="n">
        <f aca="false">IF(AND(ISNUMBER(O1154),ISNUMBER(P1154)),Coef_A+Coef_B1*O1154+Coef_B2*P1154,"")</f>
        <v>22.194801104371</v>
      </c>
      <c r="U1154" s="84" t="n">
        <f aca="false">IF(AND(R1154=1,ISNUMBER(T1154)),E1154-T1154,"")</f>
        <v>-1.59480110437101</v>
      </c>
      <c r="V1154" s="84" t="n">
        <f aca="false">IF(ISNUMBER(T1154),T1154,-99)</f>
        <v>22.194801104371</v>
      </c>
      <c r="W1154" s="84" t="n">
        <f aca="false">IF(ISNUMBER(U1154),ABS(U1154),"")</f>
        <v>1.59480110437101</v>
      </c>
    </row>
    <row r="1155" customFormat="false" ht="15" hidden="false" customHeight="false" outlineLevel="0" collapsed="false">
      <c r="A1155" s="57" t="n">
        <v>31615</v>
      </c>
      <c r="B1155" s="56" t="n">
        <v>1986</v>
      </c>
      <c r="C1155" s="56" t="n">
        <v>7</v>
      </c>
      <c r="D1155" s="56" t="n">
        <v>83</v>
      </c>
      <c r="E1155" s="56" t="n">
        <v>17.4</v>
      </c>
      <c r="F1155" s="56" t="n">
        <v>0</v>
      </c>
      <c r="G1155" s="56" t="n">
        <v>14.2</v>
      </c>
      <c r="H1155" s="56" t="n">
        <v>0</v>
      </c>
      <c r="I1155" s="56" t="n">
        <v>17.4</v>
      </c>
      <c r="J1155" s="56" t="n">
        <v>0</v>
      </c>
      <c r="K1155" s="56" t="n">
        <v>1013.2</v>
      </c>
      <c r="L1155" s="56" t="n">
        <v>0</v>
      </c>
      <c r="M1155" s="56" t="n">
        <v>67</v>
      </c>
      <c r="N1155" s="56" t="n">
        <v>6.1</v>
      </c>
      <c r="O1155" s="56" t="n">
        <f aca="false">IF(D1155=1,"",E1154)</f>
        <v>20.6</v>
      </c>
      <c r="P1155" s="56" t="n">
        <f aca="false">IF(OR(D1155=1,K1154=""),"",K1154)</f>
        <v>1017</v>
      </c>
      <c r="Q1155" s="56" t="n">
        <f aca="false">IF(OR(F1155&lt;&gt;0,AND(I1155&lt;&gt;"",E1155&lt;I1155)),1,0)</f>
        <v>0</v>
      </c>
      <c r="R1155" s="56" t="n">
        <f aca="false">IF(AND(D1155&gt;1,Q1155=0,ISNUMBER(O1155),ISNUMBER(P1155)),IF(Q1154=0,1,0),0)</f>
        <v>1</v>
      </c>
      <c r="S1155" s="56" t="n">
        <f aca="false">R1155*(B1155&gt;=Train_Start)*(B1155&lt;=Train_End)</f>
        <v>1</v>
      </c>
      <c r="T1155" s="84" t="n">
        <f aca="false">IF(AND(ISNUMBER(O1155),ISNUMBER(P1155)),Coef_A+Coef_B1*O1155+Coef_B2*P1155,"")</f>
        <v>20.8685456414417</v>
      </c>
      <c r="U1155" s="84" t="n">
        <f aca="false">IF(AND(R1155=1,ISNUMBER(T1155)),E1155-T1155,"")</f>
        <v>-3.46854564144166</v>
      </c>
      <c r="V1155" s="84" t="n">
        <f aca="false">IF(ISNUMBER(T1155),T1155,-99)</f>
        <v>20.8685456414417</v>
      </c>
      <c r="W1155" s="84" t="n">
        <f aca="false">IF(ISNUMBER(U1155),ABS(U1155),"")</f>
        <v>3.46854564144166</v>
      </c>
    </row>
    <row r="1156" customFormat="false" ht="15" hidden="false" customHeight="false" outlineLevel="0" collapsed="false">
      <c r="A1156" s="57" t="n">
        <v>31616</v>
      </c>
      <c r="B1156" s="56" t="n">
        <v>1986</v>
      </c>
      <c r="C1156" s="56" t="n">
        <v>7</v>
      </c>
      <c r="D1156" s="56" t="n">
        <v>84</v>
      </c>
      <c r="E1156" s="56" t="n">
        <v>22.5</v>
      </c>
      <c r="F1156" s="56" t="n">
        <v>0</v>
      </c>
      <c r="G1156" s="56" t="n">
        <v>10</v>
      </c>
      <c r="H1156" s="56" t="n">
        <v>0</v>
      </c>
      <c r="I1156" s="56" t="n">
        <v>13.7</v>
      </c>
      <c r="J1156" s="56" t="n">
        <v>0</v>
      </c>
      <c r="K1156" s="56" t="n">
        <v>1010.2</v>
      </c>
      <c r="L1156" s="56" t="n">
        <v>0</v>
      </c>
      <c r="M1156" s="56" t="n">
        <v>72</v>
      </c>
      <c r="N1156" s="56" t="n">
        <v>3.2</v>
      </c>
      <c r="O1156" s="56" t="n">
        <f aca="false">IF(D1156=1,"",E1155)</f>
        <v>17.4</v>
      </c>
      <c r="P1156" s="56" t="n">
        <f aca="false">IF(OR(D1156=1,K1155=""),"",K1155)</f>
        <v>1013.2</v>
      </c>
      <c r="Q1156" s="56" t="n">
        <f aca="false">IF(OR(F1156&lt;&gt;0,AND(I1156&lt;&gt;"",E1156&lt;I1156)),1,0)</f>
        <v>0</v>
      </c>
      <c r="R1156" s="56" t="n">
        <f aca="false">IF(AND(D1156&gt;1,Q1156=0,ISNUMBER(O1156),ISNUMBER(P1156)),IF(Q1155=0,1,0),0)</f>
        <v>1</v>
      </c>
      <c r="S1156" s="56" t="n">
        <f aca="false">R1156*(B1156&gt;=Train_Start)*(B1156&lt;=Train_End)</f>
        <v>1</v>
      </c>
      <c r="T1156" s="84" t="n">
        <f aca="false">IF(AND(ISNUMBER(O1156),ISNUMBER(P1156)),Coef_A+Coef_B1*O1156+Coef_B2*P1156,"")</f>
        <v>18.127454624096</v>
      </c>
      <c r="U1156" s="84" t="n">
        <f aca="false">IF(AND(R1156=1,ISNUMBER(T1156)),E1156-T1156,"")</f>
        <v>4.37254537590401</v>
      </c>
      <c r="V1156" s="84" t="n">
        <f aca="false">IF(ISNUMBER(T1156),T1156,-99)</f>
        <v>18.127454624096</v>
      </c>
      <c r="W1156" s="84" t="n">
        <f aca="false">IF(ISNUMBER(U1156),ABS(U1156),"")</f>
        <v>4.37254537590401</v>
      </c>
    </row>
    <row r="1157" customFormat="false" ht="15" hidden="false" customHeight="false" outlineLevel="0" collapsed="false">
      <c r="A1157" s="57" t="n">
        <v>31617</v>
      </c>
      <c r="B1157" s="56" t="n">
        <v>1986</v>
      </c>
      <c r="C1157" s="56" t="n">
        <v>7</v>
      </c>
      <c r="D1157" s="56" t="n">
        <v>85</v>
      </c>
      <c r="E1157" s="56" t="n">
        <v>21.9</v>
      </c>
      <c r="F1157" s="56" t="n">
        <v>0</v>
      </c>
      <c r="G1157" s="56" t="n">
        <v>7.4</v>
      </c>
      <c r="H1157" s="56" t="n">
        <v>0</v>
      </c>
      <c r="I1157" s="56" t="n">
        <v>15</v>
      </c>
      <c r="J1157" s="56" t="n">
        <v>0</v>
      </c>
      <c r="K1157" s="56" t="n">
        <v>1015.5</v>
      </c>
      <c r="L1157" s="56" t="n">
        <v>0</v>
      </c>
      <c r="M1157" s="56" t="n">
        <v>66</v>
      </c>
      <c r="N1157" s="56" t="n">
        <v>11.9</v>
      </c>
      <c r="O1157" s="56" t="n">
        <f aca="false">IF(D1157=1,"",E1156)</f>
        <v>22.5</v>
      </c>
      <c r="P1157" s="56" t="n">
        <f aca="false">IF(OR(D1157=1,K1156=""),"",K1156)</f>
        <v>1010.2</v>
      </c>
      <c r="Q1157" s="56" t="n">
        <f aca="false">IF(OR(F1157&lt;&gt;0,AND(I1157&lt;&gt;"",E1157&lt;I1157)),1,0)</f>
        <v>0</v>
      </c>
      <c r="R1157" s="56" t="n">
        <f aca="false">IF(AND(D1157&gt;1,Q1157=0,ISNUMBER(O1157),ISNUMBER(P1157)),IF(Q1156=0,1,0),0)</f>
        <v>1</v>
      </c>
      <c r="S1157" s="56" t="n">
        <f aca="false">R1157*(B1157&gt;=Train_Start)*(B1157&lt;=Train_End)</f>
        <v>1</v>
      </c>
      <c r="T1157" s="84" t="n">
        <f aca="false">IF(AND(ISNUMBER(O1157),ISNUMBER(P1157)),Coef_A+Coef_B1*O1157+Coef_B2*P1157,"")</f>
        <v>22.2119748247116</v>
      </c>
      <c r="U1157" s="84" t="n">
        <f aca="false">IF(AND(R1157=1,ISNUMBER(T1157)),E1157-T1157,"")</f>
        <v>-0.31197482471158</v>
      </c>
      <c r="V1157" s="84" t="n">
        <f aca="false">IF(ISNUMBER(T1157),T1157,-99)</f>
        <v>22.2119748247116</v>
      </c>
      <c r="W1157" s="84" t="n">
        <f aca="false">IF(ISNUMBER(U1157),ABS(U1157),"")</f>
        <v>0.31197482471158</v>
      </c>
    </row>
    <row r="1158" customFormat="false" ht="15" hidden="false" customHeight="false" outlineLevel="0" collapsed="false">
      <c r="A1158" s="57" t="n">
        <v>31618</v>
      </c>
      <c r="B1158" s="56" t="n">
        <v>1986</v>
      </c>
      <c r="C1158" s="56" t="n">
        <v>7</v>
      </c>
      <c r="D1158" s="56" t="n">
        <v>86</v>
      </c>
      <c r="E1158" s="56" t="n">
        <v>23.3</v>
      </c>
      <c r="F1158" s="56" t="n">
        <v>0</v>
      </c>
      <c r="G1158" s="56" t="n">
        <v>14.6</v>
      </c>
      <c r="H1158" s="56" t="n">
        <v>0</v>
      </c>
      <c r="I1158" s="56" t="n">
        <v>18.2</v>
      </c>
      <c r="J1158" s="56" t="n">
        <v>0</v>
      </c>
      <c r="K1158" s="56" t="n">
        <v>1012.1</v>
      </c>
      <c r="L1158" s="56" t="n">
        <v>0</v>
      </c>
      <c r="M1158" s="56" t="n">
        <v>76</v>
      </c>
      <c r="N1158" s="56" t="n">
        <v>3.2</v>
      </c>
      <c r="O1158" s="56" t="n">
        <f aca="false">IF(D1158=1,"",E1157)</f>
        <v>21.9</v>
      </c>
      <c r="P1158" s="56" t="n">
        <f aca="false">IF(OR(D1158=1,K1157=""),"",K1157)</f>
        <v>1015.5</v>
      </c>
      <c r="Q1158" s="56" t="n">
        <f aca="false">IF(OR(F1158&lt;&gt;0,AND(I1158&lt;&gt;"",E1158&lt;I1158)),1,0)</f>
        <v>0</v>
      </c>
      <c r="R1158" s="56" t="n">
        <f aca="false">IF(AND(D1158&gt;1,Q1158=0,ISNUMBER(O1158),ISNUMBER(P1158)),IF(Q1157=0,1,0),0)</f>
        <v>1</v>
      </c>
      <c r="S1158" s="56" t="n">
        <f aca="false">R1158*(B1158&gt;=Train_Start)*(B1158&lt;=Train_End)</f>
        <v>1</v>
      </c>
      <c r="T1158" s="84" t="n">
        <f aca="false">IF(AND(ISNUMBER(O1158),ISNUMBER(P1158)),Coef_A+Coef_B1*O1158+Coef_B2*P1158,"")</f>
        <v>21.8866317504461</v>
      </c>
      <c r="U1158" s="84" t="n">
        <f aca="false">IF(AND(R1158=1,ISNUMBER(T1158)),E1158-T1158,"")</f>
        <v>1.41336824955387</v>
      </c>
      <c r="V1158" s="84" t="n">
        <f aca="false">IF(ISNUMBER(T1158),T1158,-99)</f>
        <v>21.8866317504461</v>
      </c>
      <c r="W1158" s="84" t="n">
        <f aca="false">IF(ISNUMBER(U1158),ABS(U1158),"")</f>
        <v>1.41336824955387</v>
      </c>
    </row>
    <row r="1159" customFormat="false" ht="15" hidden="false" customHeight="false" outlineLevel="0" collapsed="false">
      <c r="A1159" s="57" t="n">
        <v>31619</v>
      </c>
      <c r="B1159" s="56" t="n">
        <v>1986</v>
      </c>
      <c r="C1159" s="56" t="n">
        <v>7</v>
      </c>
      <c r="D1159" s="56" t="n">
        <v>87</v>
      </c>
      <c r="E1159" s="56" t="n">
        <v>23</v>
      </c>
      <c r="F1159" s="56" t="n">
        <v>0</v>
      </c>
      <c r="G1159" s="56" t="n">
        <v>15.8</v>
      </c>
      <c r="H1159" s="56" t="n">
        <v>0</v>
      </c>
      <c r="I1159" s="56" t="n">
        <v>19.6</v>
      </c>
      <c r="J1159" s="56" t="n">
        <v>0</v>
      </c>
      <c r="K1159" s="56" t="n">
        <v>1012.3</v>
      </c>
      <c r="L1159" s="56" t="n">
        <v>0</v>
      </c>
      <c r="M1159" s="56" t="n">
        <v>78</v>
      </c>
      <c r="N1159" s="56" t="n">
        <v>2.7</v>
      </c>
      <c r="O1159" s="56" t="n">
        <f aca="false">IF(D1159=1,"",E1158)</f>
        <v>23.3</v>
      </c>
      <c r="P1159" s="56" t="n">
        <f aca="false">IF(OR(D1159=1,K1158=""),"",K1158)</f>
        <v>1012.1</v>
      </c>
      <c r="Q1159" s="56" t="n">
        <f aca="false">IF(OR(F1159&lt;&gt;0,AND(I1159&lt;&gt;"",E1159&lt;I1159)),1,0)</f>
        <v>0</v>
      </c>
      <c r="R1159" s="56" t="n">
        <f aca="false">IF(AND(D1159&gt;1,Q1159=0,ISNUMBER(O1159),ISNUMBER(P1159)),IF(Q1158=0,1,0),0)</f>
        <v>1</v>
      </c>
      <c r="S1159" s="56" t="n">
        <f aca="false">R1159*(B1159&gt;=Train_Start)*(B1159&lt;=Train_End)</f>
        <v>1</v>
      </c>
      <c r="T1159" s="84" t="n">
        <f aca="false">IF(AND(ISNUMBER(O1159),ISNUMBER(P1159)),Coef_A+Coef_B1*O1159+Coef_B2*P1159,"")</f>
        <v>22.9270489789503</v>
      </c>
      <c r="U1159" s="84" t="n">
        <f aca="false">IF(AND(R1159=1,ISNUMBER(T1159)),E1159-T1159,"")</f>
        <v>0.0729510210497146</v>
      </c>
      <c r="V1159" s="84" t="n">
        <f aca="false">IF(ISNUMBER(T1159),T1159,-99)</f>
        <v>22.9270489789503</v>
      </c>
      <c r="W1159" s="84" t="n">
        <f aca="false">IF(ISNUMBER(U1159),ABS(U1159),"")</f>
        <v>0.0729510210497146</v>
      </c>
    </row>
    <row r="1160" customFormat="false" ht="15" hidden="false" customHeight="false" outlineLevel="0" collapsed="false">
      <c r="A1160" s="57" t="n">
        <v>31620</v>
      </c>
      <c r="B1160" s="56" t="n">
        <v>1986</v>
      </c>
      <c r="C1160" s="56" t="n">
        <v>7</v>
      </c>
      <c r="D1160" s="56" t="n">
        <v>88</v>
      </c>
      <c r="E1160" s="56" t="n">
        <v>21.2</v>
      </c>
      <c r="F1160" s="56" t="n">
        <v>0</v>
      </c>
      <c r="G1160" s="56" t="n">
        <v>12.5</v>
      </c>
      <c r="H1160" s="56" t="n">
        <v>0</v>
      </c>
      <c r="I1160" s="56" t="n">
        <v>17.8</v>
      </c>
      <c r="J1160" s="56" t="n">
        <v>0</v>
      </c>
      <c r="K1160" s="56" t="n">
        <v>1016.4</v>
      </c>
      <c r="L1160" s="56" t="n">
        <v>0</v>
      </c>
      <c r="M1160" s="56" t="n">
        <v>74</v>
      </c>
      <c r="N1160" s="56" t="n">
        <v>5.6</v>
      </c>
      <c r="O1160" s="56" t="n">
        <f aca="false">IF(D1160=1,"",E1159)</f>
        <v>23</v>
      </c>
      <c r="P1160" s="56" t="n">
        <f aca="false">IF(OR(D1160=1,K1159=""),"",K1159)</f>
        <v>1012.3</v>
      </c>
      <c r="Q1160" s="56" t="n">
        <f aca="false">IF(OR(F1160&lt;&gt;0,AND(I1160&lt;&gt;"",E1160&lt;I1160)),1,0)</f>
        <v>0</v>
      </c>
      <c r="R1160" s="56" t="n">
        <f aca="false">IF(AND(D1160&gt;1,Q1160=0,ISNUMBER(O1160),ISNUMBER(P1160)),IF(Q1159=0,1,0),0)</f>
        <v>1</v>
      </c>
      <c r="S1160" s="56" t="n">
        <f aca="false">R1160*(B1160&gt;=Train_Start)*(B1160&lt;=Train_End)</f>
        <v>1</v>
      </c>
      <c r="T1160" s="84" t="n">
        <f aca="false">IF(AND(ISNUMBER(O1160),ISNUMBER(P1160)),Coef_A+Coef_B1*O1160+Coef_B2*P1160,"")</f>
        <v>22.6875211999643</v>
      </c>
      <c r="U1160" s="84" t="n">
        <f aca="false">IF(AND(R1160=1,ISNUMBER(T1160)),E1160-T1160,"")</f>
        <v>-1.48752119996428</v>
      </c>
      <c r="V1160" s="84" t="n">
        <f aca="false">IF(ISNUMBER(T1160),T1160,-99)</f>
        <v>22.6875211999643</v>
      </c>
      <c r="W1160" s="84" t="n">
        <f aca="false">IF(ISNUMBER(U1160),ABS(U1160),"")</f>
        <v>1.48752119996428</v>
      </c>
    </row>
    <row r="1161" customFormat="false" ht="15" hidden="false" customHeight="false" outlineLevel="0" collapsed="false">
      <c r="A1161" s="57" t="n">
        <v>31621</v>
      </c>
      <c r="B1161" s="56" t="n">
        <v>1986</v>
      </c>
      <c r="C1161" s="56" t="n">
        <v>7</v>
      </c>
      <c r="D1161" s="56" t="n">
        <v>89</v>
      </c>
      <c r="E1161" s="56" t="n">
        <v>22</v>
      </c>
      <c r="F1161" s="56" t="n">
        <v>0</v>
      </c>
      <c r="G1161" s="56" t="n">
        <v>16.9</v>
      </c>
      <c r="H1161" s="56" t="n">
        <v>0</v>
      </c>
      <c r="I1161" s="56" t="n">
        <v>19</v>
      </c>
      <c r="J1161" s="56" t="n">
        <v>0</v>
      </c>
      <c r="K1161" s="56" t="n">
        <v>1015.8</v>
      </c>
      <c r="L1161" s="56" t="n">
        <v>0</v>
      </c>
      <c r="M1161" s="56" t="n">
        <v>85</v>
      </c>
      <c r="N1161" s="56" t="n">
        <v>0.1</v>
      </c>
      <c r="O1161" s="56" t="n">
        <f aca="false">IF(D1161=1,"",E1160)</f>
        <v>21.2</v>
      </c>
      <c r="P1161" s="56" t="n">
        <f aca="false">IF(OR(D1161=1,K1160=""),"",K1160)</f>
        <v>1016.4</v>
      </c>
      <c r="Q1161" s="56" t="n">
        <f aca="false">IF(OR(F1161&lt;&gt;0,AND(I1161&lt;&gt;"",E1161&lt;I1161)),1,0)</f>
        <v>0</v>
      </c>
      <c r="R1161" s="56" t="n">
        <f aca="false">IF(AND(D1161&gt;1,Q1161=0,ISNUMBER(O1161),ISNUMBER(P1161)),IF(Q1160=0,1,0),0)</f>
        <v>1</v>
      </c>
      <c r="S1161" s="56" t="n">
        <f aca="false">R1161*(B1161&gt;=Train_Start)*(B1161&lt;=Train_End)</f>
        <v>1</v>
      </c>
      <c r="T1161" s="84" t="n">
        <f aca="false">IF(AND(ISNUMBER(O1161),ISNUMBER(P1161)),Coef_A+Coef_B1*O1161+Coef_B2*P1161,"")</f>
        <v>21.3413272204869</v>
      </c>
      <c r="U1161" s="84" t="n">
        <f aca="false">IF(AND(R1161=1,ISNUMBER(T1161)),E1161-T1161,"")</f>
        <v>0.658672779513143</v>
      </c>
      <c r="V1161" s="84" t="n">
        <f aca="false">IF(ISNUMBER(T1161),T1161,-99)</f>
        <v>21.3413272204869</v>
      </c>
      <c r="W1161" s="84" t="n">
        <f aca="false">IF(ISNUMBER(U1161),ABS(U1161),"")</f>
        <v>0.658672779513143</v>
      </c>
    </row>
    <row r="1162" customFormat="false" ht="15" hidden="false" customHeight="false" outlineLevel="0" collapsed="false">
      <c r="A1162" s="57" t="n">
        <v>31622</v>
      </c>
      <c r="B1162" s="56" t="n">
        <v>1986</v>
      </c>
      <c r="C1162" s="56" t="n">
        <v>7</v>
      </c>
      <c r="D1162" s="56" t="n">
        <v>90</v>
      </c>
      <c r="E1162" s="56" t="n">
        <v>20.6</v>
      </c>
      <c r="F1162" s="56" t="n">
        <v>0</v>
      </c>
      <c r="G1162" s="56" t="n">
        <v>15.2</v>
      </c>
      <c r="H1162" s="56" t="n">
        <v>0</v>
      </c>
      <c r="I1162" s="56" t="n">
        <v>18.6</v>
      </c>
      <c r="J1162" s="56" t="n">
        <v>0</v>
      </c>
      <c r="K1162" s="56" t="n">
        <v>1013.5</v>
      </c>
      <c r="L1162" s="56" t="n">
        <v>0</v>
      </c>
      <c r="M1162" s="56" t="n">
        <v>73</v>
      </c>
      <c r="N1162" s="56" t="n">
        <v>7.1</v>
      </c>
      <c r="O1162" s="56" t="n">
        <f aca="false">IF(D1162=1,"",E1161)</f>
        <v>22</v>
      </c>
      <c r="P1162" s="56" t="n">
        <f aca="false">IF(OR(D1162=1,K1161=""),"",K1161)</f>
        <v>1015.8</v>
      </c>
      <c r="Q1162" s="56" t="n">
        <f aca="false">IF(OR(F1162&lt;&gt;0,AND(I1162&lt;&gt;"",E1162&lt;I1162)),1,0)</f>
        <v>0</v>
      </c>
      <c r="R1162" s="56" t="n">
        <f aca="false">IF(AND(D1162&gt;1,Q1162=0,ISNUMBER(O1162),ISNUMBER(P1162)),IF(Q1161=0,1,0),0)</f>
        <v>1</v>
      </c>
      <c r="S1162" s="56" t="n">
        <f aca="false">R1162*(B1162&gt;=Train_Start)*(B1162&lt;=Train_End)</f>
        <v>1</v>
      </c>
      <c r="T1162" s="84" t="n">
        <f aca="false">IF(AND(ISNUMBER(O1162),ISNUMBER(P1162)),Coef_A+Coef_B1*O1162+Coef_B2*P1162,"")</f>
        <v>21.9779766381406</v>
      </c>
      <c r="U1162" s="84" t="n">
        <f aca="false">IF(AND(R1162=1,ISNUMBER(T1162)),E1162-T1162,"")</f>
        <v>-1.37797663814059</v>
      </c>
      <c r="V1162" s="84" t="n">
        <f aca="false">IF(ISNUMBER(T1162),T1162,-99)</f>
        <v>21.9779766381406</v>
      </c>
      <c r="W1162" s="84" t="n">
        <f aca="false">IF(ISNUMBER(U1162),ABS(U1162),"")</f>
        <v>1.37797663814059</v>
      </c>
    </row>
    <row r="1163" customFormat="false" ht="15" hidden="false" customHeight="false" outlineLevel="0" collapsed="false">
      <c r="A1163" s="57" t="n">
        <v>31623</v>
      </c>
      <c r="B1163" s="56" t="n">
        <v>1986</v>
      </c>
      <c r="C1163" s="56" t="n">
        <v>7</v>
      </c>
      <c r="D1163" s="56" t="n">
        <v>91</v>
      </c>
      <c r="E1163" s="56" t="n">
        <v>21.6</v>
      </c>
      <c r="F1163" s="56" t="n">
        <v>0</v>
      </c>
      <c r="G1163" s="56" t="n">
        <v>10.3</v>
      </c>
      <c r="H1163" s="56" t="n">
        <v>0</v>
      </c>
      <c r="I1163" s="56" t="n">
        <v>15.4</v>
      </c>
      <c r="J1163" s="56" t="n">
        <v>0</v>
      </c>
      <c r="K1163" s="56" t="n">
        <v>1013</v>
      </c>
      <c r="L1163" s="56" t="n">
        <v>0</v>
      </c>
      <c r="M1163" s="56" t="n">
        <v>70</v>
      </c>
      <c r="N1163" s="56" t="n">
        <v>2.9</v>
      </c>
      <c r="O1163" s="56" t="n">
        <f aca="false">IF(D1163=1,"",E1162)</f>
        <v>20.6</v>
      </c>
      <c r="P1163" s="56" t="n">
        <f aca="false">IF(OR(D1163=1,K1162=""),"",K1162)</f>
        <v>1013.5</v>
      </c>
      <c r="Q1163" s="56" t="n">
        <f aca="false">IF(OR(F1163&lt;&gt;0,AND(I1163&lt;&gt;"",E1163&lt;I1163)),1,0)</f>
        <v>0</v>
      </c>
      <c r="R1163" s="56" t="n">
        <f aca="false">IF(AND(D1163&gt;1,Q1163=0,ISNUMBER(O1163),ISNUMBER(P1163)),IF(Q1162=0,1,0),0)</f>
        <v>1</v>
      </c>
      <c r="S1163" s="56" t="n">
        <f aca="false">R1163*(B1163&gt;=Train_Start)*(B1163&lt;=Train_End)</f>
        <v>1</v>
      </c>
      <c r="T1163" s="84" t="n">
        <f aca="false">IF(AND(ISNUMBER(O1163),ISNUMBER(P1163)),Coef_A+Coef_B1*O1163+Coef_B2*P1163,"")</f>
        <v>20.7587510102227</v>
      </c>
      <c r="U1163" s="84" t="n">
        <f aca="false">IF(AND(R1163=1,ISNUMBER(T1163)),E1163-T1163,"")</f>
        <v>0.841248989777306</v>
      </c>
      <c r="V1163" s="84" t="n">
        <f aca="false">IF(ISNUMBER(T1163),T1163,-99)</f>
        <v>20.7587510102227</v>
      </c>
      <c r="W1163" s="84" t="n">
        <f aca="false">IF(ISNUMBER(U1163),ABS(U1163),"")</f>
        <v>0.841248989777306</v>
      </c>
    </row>
    <row r="1164" customFormat="false" ht="15" hidden="false" customHeight="false" outlineLevel="0" collapsed="false">
      <c r="A1164" s="57" t="n">
        <v>31624</v>
      </c>
      <c r="B1164" s="56" t="n">
        <v>1986</v>
      </c>
      <c r="C1164" s="56" t="n">
        <v>7</v>
      </c>
      <c r="D1164" s="56" t="n">
        <v>92</v>
      </c>
      <c r="E1164" s="56" t="n">
        <v>21.5</v>
      </c>
      <c r="F1164" s="56" t="n">
        <v>0</v>
      </c>
      <c r="G1164" s="56" t="n">
        <v>14</v>
      </c>
      <c r="H1164" s="56" t="n">
        <v>0</v>
      </c>
      <c r="I1164" s="56" t="n">
        <v>17.8</v>
      </c>
      <c r="J1164" s="56" t="n">
        <v>0</v>
      </c>
      <c r="K1164" s="56" t="n">
        <v>1007.9</v>
      </c>
      <c r="L1164" s="56" t="n">
        <v>0</v>
      </c>
      <c r="M1164" s="56" t="n">
        <v>69</v>
      </c>
      <c r="N1164" s="56" t="n">
        <v>5.4</v>
      </c>
      <c r="O1164" s="56" t="n">
        <f aca="false">IF(D1164=1,"",E1163)</f>
        <v>21.6</v>
      </c>
      <c r="P1164" s="56" t="n">
        <f aca="false">IF(OR(D1164=1,K1163=""),"",K1163)</f>
        <v>1013</v>
      </c>
      <c r="Q1164" s="56" t="n">
        <f aca="false">IF(OR(F1164&lt;&gt;0,AND(I1164&lt;&gt;"",E1164&lt;I1164)),1,0)</f>
        <v>0</v>
      </c>
      <c r="R1164" s="56" t="n">
        <f aca="false">IF(AND(D1164&gt;1,Q1164=0,ISNUMBER(O1164),ISNUMBER(P1164)),IF(Q1163=0,1,0),0)</f>
        <v>1</v>
      </c>
      <c r="S1164" s="56" t="n">
        <f aca="false">R1164*(B1164&gt;=Train_Start)*(B1164&lt;=Train_End)</f>
        <v>1</v>
      </c>
      <c r="T1164" s="84" t="n">
        <f aca="false">IF(AND(ISNUMBER(O1164),ISNUMBER(P1164)),Coef_A+Coef_B1*O1164+Coef_B2*P1164,"")</f>
        <v>21.5624052559484</v>
      </c>
      <c r="U1164" s="84" t="n">
        <f aca="false">IF(AND(R1164=1,ISNUMBER(T1164)),E1164-T1164,"")</f>
        <v>-0.0624052559483559</v>
      </c>
      <c r="V1164" s="84" t="n">
        <f aca="false">IF(ISNUMBER(T1164),T1164,-99)</f>
        <v>21.5624052559484</v>
      </c>
      <c r="W1164" s="84" t="n">
        <f aca="false">IF(ISNUMBER(U1164),ABS(U1164),"")</f>
        <v>0.0624052559483559</v>
      </c>
    </row>
    <row r="1165" customFormat="false" ht="15" hidden="false" customHeight="false" outlineLevel="0" collapsed="false">
      <c r="A1165" s="57" t="n">
        <v>31625</v>
      </c>
      <c r="B1165" s="56" t="n">
        <v>1986</v>
      </c>
      <c r="C1165" s="56" t="n">
        <v>8</v>
      </c>
      <c r="D1165" s="56" t="n">
        <v>93</v>
      </c>
      <c r="E1165" s="56" t="n">
        <v>22.6</v>
      </c>
      <c r="F1165" s="56" t="n">
        <v>0</v>
      </c>
      <c r="G1165" s="56" t="n">
        <v>9.7</v>
      </c>
      <c r="H1165" s="56" t="n">
        <v>0</v>
      </c>
      <c r="I1165" s="56" t="n">
        <v>15.6</v>
      </c>
      <c r="J1165" s="56" t="n">
        <v>0</v>
      </c>
      <c r="K1165" s="56" t="n">
        <v>1015.8</v>
      </c>
      <c r="L1165" s="56" t="n">
        <v>0</v>
      </c>
      <c r="M1165" s="56" t="n">
        <v>66</v>
      </c>
      <c r="N1165" s="56" t="n">
        <v>9.2</v>
      </c>
      <c r="O1165" s="56" t="n">
        <f aca="false">IF(D1165=1,"",E1164)</f>
        <v>21.5</v>
      </c>
      <c r="P1165" s="56" t="n">
        <f aca="false">IF(OR(D1165=1,K1164=""),"",K1164)</f>
        <v>1007.9</v>
      </c>
      <c r="Q1165" s="56" t="n">
        <f aca="false">IF(OR(F1165&lt;&gt;0,AND(I1165&lt;&gt;"",E1165&lt;I1165)),1,0)</f>
        <v>0</v>
      </c>
      <c r="R1165" s="56" t="n">
        <f aca="false">IF(AND(D1165&gt;1,Q1165=0,ISNUMBER(O1165),ISNUMBER(P1165)),IF(Q1164=0,1,0),0)</f>
        <v>1</v>
      </c>
      <c r="S1165" s="56" t="n">
        <f aca="false">R1165*(B1165&gt;=Train_Start)*(B1165&lt;=Train_End)</f>
        <v>1</v>
      </c>
      <c r="T1165" s="84" t="n">
        <f aca="false">IF(AND(ISNUMBER(O1165),ISNUMBER(P1165)),Coef_A+Coef_B1*O1165+Coef_B2*P1165,"")</f>
        <v>21.3204848740107</v>
      </c>
      <c r="U1165" s="84" t="n">
        <f aca="false">IF(AND(R1165=1,ISNUMBER(T1165)),E1165-T1165,"")</f>
        <v>1.27951512598926</v>
      </c>
      <c r="V1165" s="84" t="n">
        <f aca="false">IF(ISNUMBER(T1165),T1165,-99)</f>
        <v>21.3204848740107</v>
      </c>
      <c r="W1165" s="84" t="n">
        <f aca="false">IF(ISNUMBER(U1165),ABS(U1165),"")</f>
        <v>1.27951512598926</v>
      </c>
    </row>
    <row r="1166" customFormat="false" ht="15" hidden="false" customHeight="false" outlineLevel="0" collapsed="false">
      <c r="A1166" s="57" t="n">
        <v>31626</v>
      </c>
      <c r="B1166" s="56" t="n">
        <v>1986</v>
      </c>
      <c r="C1166" s="56" t="n">
        <v>8</v>
      </c>
      <c r="D1166" s="56" t="n">
        <v>94</v>
      </c>
      <c r="E1166" s="56" t="n">
        <v>15.2</v>
      </c>
      <c r="F1166" s="56" t="n">
        <v>1</v>
      </c>
      <c r="G1166" s="56" t="n">
        <v>15</v>
      </c>
      <c r="H1166" s="56" t="n">
        <v>0</v>
      </c>
      <c r="I1166" s="56" t="n">
        <v>18.8</v>
      </c>
      <c r="J1166" s="56" t="n">
        <v>1</v>
      </c>
      <c r="K1166" s="56" t="n">
        <v>1014.7</v>
      </c>
      <c r="L1166" s="56" t="n">
        <v>0</v>
      </c>
      <c r="M1166" s="56" t="n">
        <v>62</v>
      </c>
      <c r="N1166" s="56" t="n">
        <v>10.4</v>
      </c>
      <c r="O1166" s="56" t="n">
        <f aca="false">IF(D1166=1,"",E1165)</f>
        <v>22.6</v>
      </c>
      <c r="P1166" s="56" t="n">
        <f aca="false">IF(OR(D1166=1,K1165=""),"",K1165)</f>
        <v>1015.8</v>
      </c>
      <c r="Q1166" s="56" t="n">
        <f aca="false">IF(OR(F1166&lt;&gt;0,AND(I1166&lt;&gt;"",E1166&lt;I1166)),1,0)</f>
        <v>1</v>
      </c>
      <c r="R1166" s="56" t="n">
        <f aca="false">IF(AND(D1166&gt;1,Q1166=0,ISNUMBER(O1166),ISNUMBER(P1166)),IF(Q1165=0,1,0),0)</f>
        <v>0</v>
      </c>
      <c r="S1166" s="56" t="n">
        <f aca="false">R1166*(B1166&gt;=Train_Start)*(B1166&lt;=Train_End)</f>
        <v>0</v>
      </c>
      <c r="T1166" s="84" t="n">
        <f aca="false">IF(AND(ISNUMBER(O1166),ISNUMBER(P1166)),Coef_A+Coef_B1*O1166+Coef_B2*P1166,"")</f>
        <v>22.4695801539662</v>
      </c>
      <c r="U1166" s="84" t="str">
        <f aca="false">IF(AND(R1166=1,ISNUMBER(T1166)),E1166-T1166,"")</f>
        <v/>
      </c>
      <c r="V1166" s="84" t="n">
        <f aca="false">IF(ISNUMBER(T1166),T1166,-99)</f>
        <v>22.4695801539662</v>
      </c>
      <c r="W1166" s="84" t="str">
        <f aca="false">IF(ISNUMBER(U1166),ABS(U1166),"")</f>
        <v/>
      </c>
    </row>
    <row r="1167" customFormat="false" ht="15" hidden="false" customHeight="false" outlineLevel="0" collapsed="false">
      <c r="A1167" s="57" t="n">
        <v>31627</v>
      </c>
      <c r="B1167" s="56" t="n">
        <v>1986</v>
      </c>
      <c r="C1167" s="56" t="n">
        <v>8</v>
      </c>
      <c r="D1167" s="56" t="n">
        <v>95</v>
      </c>
      <c r="E1167" s="56" t="n">
        <v>19.3</v>
      </c>
      <c r="F1167" s="56" t="n">
        <v>0</v>
      </c>
      <c r="G1167" s="56" t="n">
        <v>11.9</v>
      </c>
      <c r="H1167" s="56" t="n">
        <v>0</v>
      </c>
      <c r="I1167" s="56" t="n">
        <v>13.6</v>
      </c>
      <c r="J1167" s="56" t="n">
        <v>0</v>
      </c>
      <c r="K1167" s="56" t="n">
        <v>1014.8</v>
      </c>
      <c r="L1167" s="56" t="n">
        <v>0</v>
      </c>
      <c r="M1167" s="56" t="n">
        <v>88</v>
      </c>
      <c r="N1167" s="56" t="n">
        <v>0.1</v>
      </c>
      <c r="O1167" s="56" t="n">
        <f aca="false">IF(D1167=1,"",E1166)</f>
        <v>15.2</v>
      </c>
      <c r="P1167" s="56" t="n">
        <f aca="false">IF(OR(D1167=1,K1166=""),"",K1166)</f>
        <v>1014.7</v>
      </c>
      <c r="Q1167" s="56" t="n">
        <f aca="false">IF(OR(F1167&lt;&gt;0,AND(I1167&lt;&gt;"",E1167&lt;I1167)),1,0)</f>
        <v>0</v>
      </c>
      <c r="R1167" s="56" t="n">
        <f aca="false">IF(AND(D1167&gt;1,Q1167=0,ISNUMBER(O1167),ISNUMBER(P1167)),IF(Q1166=0,1,0),0)</f>
        <v>0</v>
      </c>
      <c r="S1167" s="56" t="n">
        <f aca="false">R1167*(B1167&gt;=Train_Start)*(B1167&lt;=Train_End)</f>
        <v>0</v>
      </c>
      <c r="T1167" s="84" t="n">
        <f aca="false">IF(AND(ISNUMBER(O1167),ISNUMBER(P1167)),Coef_A+Coef_B1*O1167+Coef_B2*P1167,"")</f>
        <v>16.3719632413531</v>
      </c>
      <c r="U1167" s="84" t="str">
        <f aca="false">IF(AND(R1167=1,ISNUMBER(T1167)),E1167-T1167,"")</f>
        <v/>
      </c>
      <c r="V1167" s="84" t="n">
        <f aca="false">IF(ISNUMBER(T1167),T1167,-99)</f>
        <v>16.3719632413531</v>
      </c>
      <c r="W1167" s="84" t="str">
        <f aca="false">IF(ISNUMBER(U1167),ABS(U1167),"")</f>
        <v/>
      </c>
    </row>
    <row r="1168" customFormat="false" ht="15" hidden="false" customHeight="false" outlineLevel="0" collapsed="false">
      <c r="A1168" s="57" t="n">
        <v>31628</v>
      </c>
      <c r="B1168" s="56" t="n">
        <v>1986</v>
      </c>
      <c r="C1168" s="56" t="n">
        <v>8</v>
      </c>
      <c r="D1168" s="56" t="n">
        <v>96</v>
      </c>
      <c r="E1168" s="56" t="n">
        <v>21.2</v>
      </c>
      <c r="F1168" s="56" t="n">
        <v>0</v>
      </c>
      <c r="G1168" s="56" t="n">
        <v>10.9</v>
      </c>
      <c r="H1168" s="56" t="n">
        <v>0</v>
      </c>
      <c r="I1168" s="56" t="n">
        <v>15.1</v>
      </c>
      <c r="J1168" s="56" t="n">
        <v>0</v>
      </c>
      <c r="K1168" s="56" t="n">
        <v>1014.2</v>
      </c>
      <c r="L1168" s="56" t="n">
        <v>0</v>
      </c>
      <c r="M1168" s="56" t="n">
        <v>82</v>
      </c>
      <c r="N1168" s="56" t="n">
        <v>3.5</v>
      </c>
      <c r="O1168" s="56" t="n">
        <f aca="false">IF(D1168=1,"",E1167)</f>
        <v>19.3</v>
      </c>
      <c r="P1168" s="56" t="n">
        <f aca="false">IF(OR(D1168=1,K1167=""),"",K1167)</f>
        <v>1014.8</v>
      </c>
      <c r="Q1168" s="56" t="n">
        <f aca="false">IF(OR(F1168&lt;&gt;0,AND(I1168&lt;&gt;"",E1168&lt;I1168)),1,0)</f>
        <v>0</v>
      </c>
      <c r="R1168" s="56" t="n">
        <f aca="false">IF(AND(D1168&gt;1,Q1168=0,ISNUMBER(O1168),ISNUMBER(P1168)),IF(Q1167=0,1,0),0)</f>
        <v>1</v>
      </c>
      <c r="S1168" s="56" t="n">
        <f aca="false">R1168*(B1168&gt;=Train_Start)*(B1168&lt;=Train_End)</f>
        <v>1</v>
      </c>
      <c r="T1168" s="84" t="n">
        <f aca="false">IF(AND(ISNUMBER(O1168),ISNUMBER(P1168)),Coef_A+Coef_B1*O1168+Coef_B2*P1168,"")</f>
        <v>19.7343909222914</v>
      </c>
      <c r="U1168" s="84" t="n">
        <f aca="false">IF(AND(R1168=1,ISNUMBER(T1168)),E1168-T1168,"")</f>
        <v>1.46560907770857</v>
      </c>
      <c r="V1168" s="84" t="n">
        <f aca="false">IF(ISNUMBER(T1168),T1168,-99)</f>
        <v>19.7343909222914</v>
      </c>
      <c r="W1168" s="84" t="n">
        <f aca="false">IF(ISNUMBER(U1168),ABS(U1168),"")</f>
        <v>1.46560907770857</v>
      </c>
    </row>
    <row r="1169" customFormat="false" ht="15" hidden="false" customHeight="false" outlineLevel="0" collapsed="false">
      <c r="A1169" s="57" t="n">
        <v>31629</v>
      </c>
      <c r="B1169" s="56" t="n">
        <v>1986</v>
      </c>
      <c r="C1169" s="56" t="n">
        <v>8</v>
      </c>
      <c r="D1169" s="56" t="n">
        <v>97</v>
      </c>
      <c r="E1169" s="56" t="n">
        <v>24.5</v>
      </c>
      <c r="F1169" s="56" t="n">
        <v>0</v>
      </c>
      <c r="G1169" s="56" t="n">
        <v>9.6</v>
      </c>
      <c r="H1169" s="56" t="n">
        <v>0</v>
      </c>
      <c r="I1169" s="56" t="n">
        <v>15.4</v>
      </c>
      <c r="J1169" s="56" t="n">
        <v>0</v>
      </c>
      <c r="K1169" s="56" t="n">
        <v>1022.2</v>
      </c>
      <c r="L1169" s="56" t="n">
        <v>0</v>
      </c>
      <c r="M1169" s="56" t="n">
        <v>68</v>
      </c>
      <c r="N1169" s="56" t="n">
        <v>10.2</v>
      </c>
      <c r="O1169" s="56" t="n">
        <f aca="false">IF(D1169=1,"",E1168)</f>
        <v>21.2</v>
      </c>
      <c r="P1169" s="56" t="n">
        <f aca="false">IF(OR(D1169=1,K1168=""),"",K1168)</f>
        <v>1014.2</v>
      </c>
      <c r="Q1169" s="56" t="n">
        <f aca="false">IF(OR(F1169&lt;&gt;0,AND(I1169&lt;&gt;"",E1169&lt;I1169)),1,0)</f>
        <v>0</v>
      </c>
      <c r="R1169" s="56" t="n">
        <f aca="false">IF(AND(D1169&gt;1,Q1169=0,ISNUMBER(O1169),ISNUMBER(P1169)),IF(Q1168=0,1,0),0)</f>
        <v>1</v>
      </c>
      <c r="S1169" s="56" t="n">
        <f aca="false">R1169*(B1169&gt;=Train_Start)*(B1169&lt;=Train_End)</f>
        <v>1</v>
      </c>
      <c r="T1169" s="84" t="n">
        <f aca="false">IF(AND(ISNUMBER(O1169),ISNUMBER(P1169)),Coef_A+Coef_B1*O1169+Coef_B2*P1169,"")</f>
        <v>21.2723134522921</v>
      </c>
      <c r="U1169" s="84" t="n">
        <f aca="false">IF(AND(R1169=1,ISNUMBER(T1169)),E1169-T1169,"")</f>
        <v>3.22768654770792</v>
      </c>
      <c r="V1169" s="84" t="n">
        <f aca="false">IF(ISNUMBER(T1169),T1169,-99)</f>
        <v>21.2723134522921</v>
      </c>
      <c r="W1169" s="84" t="n">
        <f aca="false">IF(ISNUMBER(U1169),ABS(U1169),"")</f>
        <v>3.22768654770792</v>
      </c>
    </row>
    <row r="1170" customFormat="false" ht="15" hidden="false" customHeight="false" outlineLevel="0" collapsed="false">
      <c r="A1170" s="57" t="n">
        <v>31630</v>
      </c>
      <c r="B1170" s="56" t="n">
        <v>1986</v>
      </c>
      <c r="C1170" s="56" t="n">
        <v>8</v>
      </c>
      <c r="D1170" s="56" t="n">
        <v>98</v>
      </c>
      <c r="E1170" s="56" t="n">
        <v>20.6</v>
      </c>
      <c r="F1170" s="56" t="n">
        <v>0</v>
      </c>
      <c r="G1170" s="56" t="n">
        <v>11</v>
      </c>
      <c r="H1170" s="56" t="n">
        <v>0</v>
      </c>
      <c r="I1170" s="56" t="n">
        <v>17.8</v>
      </c>
      <c r="J1170" s="56" t="n">
        <v>0</v>
      </c>
      <c r="K1170" s="56" t="n">
        <v>1016.8</v>
      </c>
      <c r="L1170" s="56" t="n">
        <v>0</v>
      </c>
      <c r="M1170" s="56" t="n">
        <v>67</v>
      </c>
      <c r="N1170" s="56" t="n">
        <v>9.8</v>
      </c>
      <c r="O1170" s="56" t="n">
        <f aca="false">IF(D1170=1,"",E1169)</f>
        <v>24.5</v>
      </c>
      <c r="P1170" s="56" t="n">
        <f aca="false">IF(OR(D1170=1,K1169=""),"",K1169)</f>
        <v>1022.2</v>
      </c>
      <c r="Q1170" s="56" t="n">
        <f aca="false">IF(OR(F1170&lt;&gt;0,AND(I1170&lt;&gt;"",E1170&lt;I1170)),1,0)</f>
        <v>0</v>
      </c>
      <c r="R1170" s="56" t="n">
        <f aca="false">IF(AND(D1170&gt;1,Q1170=0,ISNUMBER(O1170),ISNUMBER(P1170)),IF(Q1169=0,1,0),0)</f>
        <v>1</v>
      </c>
      <c r="S1170" s="56" t="n">
        <f aca="false">R1170*(B1170&gt;=Train_Start)*(B1170&lt;=Train_End)</f>
        <v>1</v>
      </c>
      <c r="T1170" s="84" t="n">
        <f aca="false">IF(AND(ISNUMBER(O1170),ISNUMBER(P1170)),Coef_A+Coef_B1*O1170+Coef_B2*P1170,"")</f>
        <v>24.2270919464048</v>
      </c>
      <c r="U1170" s="84" t="n">
        <f aca="false">IF(AND(R1170=1,ISNUMBER(T1170)),E1170-T1170,"")</f>
        <v>-3.62709194640476</v>
      </c>
      <c r="V1170" s="84" t="n">
        <f aca="false">IF(ISNUMBER(T1170),T1170,-99)</f>
        <v>24.2270919464048</v>
      </c>
      <c r="W1170" s="84" t="n">
        <f aca="false">IF(ISNUMBER(U1170),ABS(U1170),"")</f>
        <v>3.62709194640476</v>
      </c>
    </row>
    <row r="1171" customFormat="false" ht="15" hidden="false" customHeight="false" outlineLevel="0" collapsed="false">
      <c r="A1171" s="57" t="n">
        <v>31631</v>
      </c>
      <c r="B1171" s="56" t="n">
        <v>1986</v>
      </c>
      <c r="C1171" s="56" t="n">
        <v>8</v>
      </c>
      <c r="D1171" s="56" t="n">
        <v>99</v>
      </c>
      <c r="E1171" s="56" t="n">
        <v>22.4</v>
      </c>
      <c r="F1171" s="56" t="n">
        <v>0</v>
      </c>
      <c r="G1171" s="56" t="n">
        <v>13.5</v>
      </c>
      <c r="H1171" s="56" t="n">
        <v>0</v>
      </c>
      <c r="I1171" s="56" t="n">
        <v>17</v>
      </c>
      <c r="J1171" s="56" t="n">
        <v>0</v>
      </c>
      <c r="K1171" s="56" t="n">
        <v>1011.3</v>
      </c>
      <c r="L1171" s="56" t="n">
        <v>0</v>
      </c>
      <c r="M1171" s="56" t="n">
        <v>71</v>
      </c>
      <c r="N1171" s="56" t="n">
        <v>1.5</v>
      </c>
      <c r="O1171" s="56" t="n">
        <f aca="false">IF(D1171=1,"",E1170)</f>
        <v>20.6</v>
      </c>
      <c r="P1171" s="56" t="n">
        <f aca="false">IF(OR(D1171=1,K1170=""),"",K1170)</f>
        <v>1016.8</v>
      </c>
      <c r="Q1171" s="56" t="n">
        <f aca="false">IF(OR(F1171&lt;&gt;0,AND(I1171&lt;&gt;"",E1171&lt;I1171)),1,0)</f>
        <v>0</v>
      </c>
      <c r="R1171" s="56" t="n">
        <f aca="false">IF(AND(D1171&gt;1,Q1171=0,ISNUMBER(O1171),ISNUMBER(P1171)),IF(Q1170=0,1,0),0)</f>
        <v>1</v>
      </c>
      <c r="S1171" s="56" t="n">
        <f aca="false">R1171*(B1171&gt;=Train_Start)*(B1171&lt;=Train_End)</f>
        <v>1</v>
      </c>
      <c r="T1171" s="84" t="n">
        <f aca="false">IF(AND(ISNUMBER(O1171),ISNUMBER(P1171)),Coef_A+Coef_B1*O1171+Coef_B2*P1171,"")</f>
        <v>20.8622716625149</v>
      </c>
      <c r="U1171" s="84" t="n">
        <f aca="false">IF(AND(R1171=1,ISNUMBER(T1171)),E1171-T1171,"")</f>
        <v>1.53772833748514</v>
      </c>
      <c r="V1171" s="84" t="n">
        <f aca="false">IF(ISNUMBER(T1171),T1171,-99)</f>
        <v>20.8622716625149</v>
      </c>
      <c r="W1171" s="84" t="n">
        <f aca="false">IF(ISNUMBER(U1171),ABS(U1171),"")</f>
        <v>1.53772833748514</v>
      </c>
    </row>
    <row r="1172" customFormat="false" ht="15" hidden="false" customHeight="false" outlineLevel="0" collapsed="false">
      <c r="A1172" s="57" t="n">
        <v>31632</v>
      </c>
      <c r="B1172" s="56" t="n">
        <v>1986</v>
      </c>
      <c r="C1172" s="56" t="n">
        <v>8</v>
      </c>
      <c r="D1172" s="56" t="n">
        <v>100</v>
      </c>
      <c r="E1172" s="56" t="n">
        <v>22.3</v>
      </c>
      <c r="F1172" s="56" t="n">
        <v>0</v>
      </c>
      <c r="G1172" s="56" t="n">
        <v>11.5</v>
      </c>
      <c r="H1172" s="56" t="n">
        <v>0</v>
      </c>
      <c r="I1172" s="56" t="n">
        <v>17</v>
      </c>
      <c r="J1172" s="56" t="n">
        <v>0</v>
      </c>
      <c r="K1172" s="56" t="n">
        <v>1015.9</v>
      </c>
      <c r="L1172" s="56" t="n">
        <v>0</v>
      </c>
      <c r="M1172" s="56" t="n">
        <v>67</v>
      </c>
      <c r="N1172" s="56" t="n">
        <v>8.6</v>
      </c>
      <c r="O1172" s="56" t="n">
        <f aca="false">IF(D1172=1,"",E1171)</f>
        <v>22.4</v>
      </c>
      <c r="P1172" s="56" t="n">
        <f aca="false">IF(OR(D1172=1,K1171=""),"",K1171)</f>
        <v>1011.3</v>
      </c>
      <c r="Q1172" s="56" t="n">
        <f aca="false">IF(OR(F1172&lt;&gt;0,AND(I1172&lt;&gt;"",E1172&lt;I1172)),1,0)</f>
        <v>0</v>
      </c>
      <c r="R1172" s="56" t="n">
        <f aca="false">IF(AND(D1172&gt;1,Q1172=0,ISNUMBER(O1172),ISNUMBER(P1172)),IF(Q1171=0,1,0),0)</f>
        <v>1</v>
      </c>
      <c r="S1172" s="56" t="n">
        <f aca="false">R1172*(B1172&gt;=Train_Start)*(B1172&lt;=Train_End)</f>
        <v>1</v>
      </c>
      <c r="T1172" s="84" t="n">
        <f aca="false">IF(AND(ISNUMBER(O1172),ISNUMBER(P1172)),Coef_A+Coef_B1*O1172+Coef_B2*P1172,"")</f>
        <v>22.1645477895047</v>
      </c>
      <c r="U1172" s="84" t="n">
        <f aca="false">IF(AND(R1172=1,ISNUMBER(T1172)),E1172-T1172,"")</f>
        <v>0.135452210495306</v>
      </c>
      <c r="V1172" s="84" t="n">
        <f aca="false">IF(ISNUMBER(T1172),T1172,-99)</f>
        <v>22.1645477895047</v>
      </c>
      <c r="W1172" s="84" t="n">
        <f aca="false">IF(ISNUMBER(U1172),ABS(U1172),"")</f>
        <v>0.135452210495306</v>
      </c>
    </row>
    <row r="1173" customFormat="false" ht="15" hidden="false" customHeight="false" outlineLevel="0" collapsed="false">
      <c r="A1173" s="57" t="n">
        <v>31633</v>
      </c>
      <c r="B1173" s="56" t="n">
        <v>1986</v>
      </c>
      <c r="C1173" s="56" t="n">
        <v>8</v>
      </c>
      <c r="D1173" s="56" t="n">
        <v>101</v>
      </c>
      <c r="E1173" s="56" t="n">
        <v>25</v>
      </c>
      <c r="F1173" s="56" t="n">
        <v>0</v>
      </c>
      <c r="G1173" s="56" t="n">
        <v>11.5</v>
      </c>
      <c r="H1173" s="56" t="n">
        <v>0</v>
      </c>
      <c r="I1173" s="56" t="n">
        <v>16.9</v>
      </c>
      <c r="J1173" s="56" t="n">
        <v>0</v>
      </c>
      <c r="K1173" s="56" t="n">
        <v>1017.9</v>
      </c>
      <c r="L1173" s="56" t="n">
        <v>0</v>
      </c>
      <c r="M1173" s="56" t="n">
        <v>67</v>
      </c>
      <c r="N1173" s="56" t="n">
        <v>6.6</v>
      </c>
      <c r="O1173" s="56" t="n">
        <f aca="false">IF(D1173=1,"",E1172)</f>
        <v>22.3</v>
      </c>
      <c r="P1173" s="56" t="n">
        <f aca="false">IF(OR(D1173=1,K1172=""),"",K1172)</f>
        <v>1015.9</v>
      </c>
      <c r="Q1173" s="56" t="n">
        <f aca="false">IF(OR(F1173&lt;&gt;0,AND(I1173&lt;&gt;"",E1173&lt;I1173)),1,0)</f>
        <v>0</v>
      </c>
      <c r="R1173" s="56" t="n">
        <f aca="false">IF(AND(D1173&gt;1,Q1173=0,ISNUMBER(O1173),ISNUMBER(P1173)),IF(Q1172=0,1,0),0)</f>
        <v>1</v>
      </c>
      <c r="S1173" s="56" t="n">
        <f aca="false">R1173*(B1173&gt;=Train_Start)*(B1173&lt;=Train_End)</f>
        <v>1</v>
      </c>
      <c r="T1173" s="84" t="n">
        <f aca="false">IF(AND(ISNUMBER(O1173),ISNUMBER(P1173)),Coef_A+Coef_B1*O1173+Coef_B2*P1173,"")</f>
        <v>22.2269153855168</v>
      </c>
      <c r="U1173" s="84" t="n">
        <f aca="false">IF(AND(R1173=1,ISNUMBER(T1173)),E1173-T1173,"")</f>
        <v>2.77308461448321</v>
      </c>
      <c r="V1173" s="84" t="n">
        <f aca="false">IF(ISNUMBER(T1173),T1173,-99)</f>
        <v>22.2269153855168</v>
      </c>
      <c r="W1173" s="84" t="n">
        <f aca="false">IF(ISNUMBER(U1173),ABS(U1173),"")</f>
        <v>2.77308461448321</v>
      </c>
    </row>
    <row r="1174" customFormat="false" ht="15" hidden="false" customHeight="false" outlineLevel="0" collapsed="false">
      <c r="A1174" s="57" t="n">
        <v>31634</v>
      </c>
      <c r="B1174" s="56" t="n">
        <v>1986</v>
      </c>
      <c r="C1174" s="56" t="n">
        <v>8</v>
      </c>
      <c r="D1174" s="56" t="n">
        <v>102</v>
      </c>
      <c r="E1174" s="56" t="n">
        <v>20.9</v>
      </c>
      <c r="F1174" s="56" t="n">
        <v>0</v>
      </c>
      <c r="G1174" s="56" t="n">
        <v>13.6</v>
      </c>
      <c r="H1174" s="56" t="n">
        <v>0</v>
      </c>
      <c r="I1174" s="56" t="n">
        <v>19.3</v>
      </c>
      <c r="J1174" s="56" t="n">
        <v>0</v>
      </c>
      <c r="K1174" s="56" t="n">
        <v>1018.4</v>
      </c>
      <c r="L1174" s="56" t="n">
        <v>0</v>
      </c>
      <c r="M1174" s="56" t="n">
        <v>66</v>
      </c>
      <c r="N1174" s="56" t="n">
        <v>3.2</v>
      </c>
      <c r="O1174" s="56" t="n">
        <f aca="false">IF(D1174=1,"",E1173)</f>
        <v>25</v>
      </c>
      <c r="P1174" s="56" t="n">
        <f aca="false">IF(OR(D1174=1,K1173=""),"",K1173)</f>
        <v>1017.9</v>
      </c>
      <c r="Q1174" s="56" t="n">
        <f aca="false">IF(OR(F1174&lt;&gt;0,AND(I1174&lt;&gt;"",E1174&lt;I1174)),1,0)</f>
        <v>0</v>
      </c>
      <c r="R1174" s="56" t="n">
        <f aca="false">IF(AND(D1174&gt;1,Q1174=0,ISNUMBER(O1174),ISNUMBER(P1174)),IF(Q1173=0,1,0),0)</f>
        <v>1</v>
      </c>
      <c r="S1174" s="56" t="n">
        <f aca="false">R1174*(B1174&gt;=Train_Start)*(B1174&lt;=Train_End)</f>
        <v>1</v>
      </c>
      <c r="T1174" s="84" t="n">
        <f aca="false">IF(AND(ISNUMBER(O1174),ISNUMBER(P1174)),Coef_A+Coef_B1*O1174+Coef_B2*P1174,"")</f>
        <v>24.5018709959999</v>
      </c>
      <c r="U1174" s="84" t="n">
        <f aca="false">IF(AND(R1174=1,ISNUMBER(T1174)),E1174-T1174,"")</f>
        <v>-3.60187099599994</v>
      </c>
      <c r="V1174" s="84" t="n">
        <f aca="false">IF(ISNUMBER(T1174),T1174,-99)</f>
        <v>24.5018709959999</v>
      </c>
      <c r="W1174" s="84" t="n">
        <f aca="false">IF(ISNUMBER(U1174),ABS(U1174),"")</f>
        <v>3.60187099599994</v>
      </c>
    </row>
    <row r="1175" customFormat="false" ht="15" hidden="false" customHeight="false" outlineLevel="0" collapsed="false">
      <c r="A1175" s="57" t="n">
        <v>31635</v>
      </c>
      <c r="B1175" s="56" t="n">
        <v>1986</v>
      </c>
      <c r="C1175" s="56" t="n">
        <v>8</v>
      </c>
      <c r="D1175" s="56" t="n">
        <v>103</v>
      </c>
      <c r="E1175" s="56" t="n">
        <v>20</v>
      </c>
      <c r="F1175" s="56" t="n">
        <v>0</v>
      </c>
      <c r="G1175" s="56" t="n">
        <v>15.6</v>
      </c>
      <c r="H1175" s="56" t="n">
        <v>0</v>
      </c>
      <c r="I1175" s="56" t="n">
        <v>18.2</v>
      </c>
      <c r="J1175" s="56" t="n">
        <v>0</v>
      </c>
      <c r="K1175" s="56" t="n">
        <v>1016.8</v>
      </c>
      <c r="L1175" s="56" t="n">
        <v>0</v>
      </c>
      <c r="M1175" s="56" t="n">
        <v>81</v>
      </c>
      <c r="N1175" s="56" t="n">
        <v>1.8</v>
      </c>
      <c r="O1175" s="56" t="n">
        <f aca="false">IF(D1175=1,"",E1174)</f>
        <v>20.9</v>
      </c>
      <c r="P1175" s="56" t="n">
        <f aca="false">IF(OR(D1175=1,K1174=""),"",K1174)</f>
        <v>1018.4</v>
      </c>
      <c r="Q1175" s="56" t="n">
        <f aca="false">IF(OR(F1175&lt;&gt;0,AND(I1175&lt;&gt;"",E1175&lt;I1175)),1,0)</f>
        <v>0</v>
      </c>
      <c r="R1175" s="56" t="n">
        <f aca="false">IF(AND(D1175&gt;1,Q1175=0,ISNUMBER(O1175),ISNUMBER(P1175)),IF(Q1174=0,1,0),0)</f>
        <v>1</v>
      </c>
      <c r="S1175" s="56" t="n">
        <f aca="false">R1175*(B1175&gt;=Train_Start)*(B1175&lt;=Train_End)</f>
        <v>1</v>
      </c>
      <c r="T1175" s="84" t="n">
        <f aca="false">IF(AND(ISNUMBER(O1175),ISNUMBER(P1175)),Coef_A+Coef_B1*O1175+Coef_B2*P1175,"")</f>
        <v>21.158265251842</v>
      </c>
      <c r="U1175" s="84" t="n">
        <f aca="false">IF(AND(R1175=1,ISNUMBER(T1175)),E1175-T1175,"")</f>
        <v>-1.15826525184204</v>
      </c>
      <c r="V1175" s="84" t="n">
        <f aca="false">IF(ISNUMBER(T1175),T1175,-99)</f>
        <v>21.158265251842</v>
      </c>
      <c r="W1175" s="84" t="n">
        <f aca="false">IF(ISNUMBER(U1175),ABS(U1175),"")</f>
        <v>1.15826525184204</v>
      </c>
    </row>
    <row r="1176" customFormat="false" ht="15" hidden="false" customHeight="false" outlineLevel="0" collapsed="false">
      <c r="A1176" s="57" t="n">
        <v>31636</v>
      </c>
      <c r="B1176" s="56" t="n">
        <v>1986</v>
      </c>
      <c r="C1176" s="56" t="n">
        <v>8</v>
      </c>
      <c r="D1176" s="56" t="n">
        <v>104</v>
      </c>
      <c r="E1176" s="56" t="n">
        <v>22.9</v>
      </c>
      <c r="F1176" s="56" t="n">
        <v>0</v>
      </c>
      <c r="G1176" s="56" t="n">
        <v>14.5</v>
      </c>
      <c r="H1176" s="56" t="n">
        <v>0</v>
      </c>
      <c r="I1176" s="56" t="n">
        <v>17.2</v>
      </c>
      <c r="J1176" s="56" t="n">
        <v>0</v>
      </c>
      <c r="K1176" s="56" t="n">
        <v>1018.8</v>
      </c>
      <c r="L1176" s="56" t="n">
        <v>0</v>
      </c>
      <c r="M1176" s="56" t="n">
        <v>72</v>
      </c>
      <c r="N1176" s="56" t="n">
        <v>0.2</v>
      </c>
      <c r="O1176" s="56" t="n">
        <f aca="false">IF(D1176=1,"",E1175)</f>
        <v>20</v>
      </c>
      <c r="P1176" s="56" t="n">
        <f aca="false">IF(OR(D1176=1,K1175=""),"",K1175)</f>
        <v>1016.8</v>
      </c>
      <c r="Q1176" s="56" t="n">
        <f aca="false">IF(OR(F1176&lt;&gt;0,AND(I1176&lt;&gt;"",E1176&lt;I1176)),1,0)</f>
        <v>0</v>
      </c>
      <c r="R1176" s="56" t="n">
        <f aca="false">IF(AND(D1176&gt;1,Q1176=0,ISNUMBER(O1176),ISNUMBER(P1176)),IF(Q1175=0,1,0),0)</f>
        <v>1</v>
      </c>
      <c r="S1176" s="56" t="n">
        <f aca="false">R1176*(B1176&gt;=Train_Start)*(B1176&lt;=Train_End)</f>
        <v>1</v>
      </c>
      <c r="T1176" s="84" t="n">
        <f aca="false">IF(AND(ISNUMBER(O1176),ISNUMBER(P1176)),Coef_A+Coef_B1*O1176+Coef_B2*P1176,"")</f>
        <v>20.3706681466893</v>
      </c>
      <c r="U1176" s="84" t="n">
        <f aca="false">IF(AND(R1176=1,ISNUMBER(T1176)),E1176-T1176,"")</f>
        <v>2.52933185331074</v>
      </c>
      <c r="V1176" s="84" t="n">
        <f aca="false">IF(ISNUMBER(T1176),T1176,-99)</f>
        <v>20.3706681466893</v>
      </c>
      <c r="W1176" s="84" t="n">
        <f aca="false">IF(ISNUMBER(U1176),ABS(U1176),"")</f>
        <v>2.52933185331074</v>
      </c>
    </row>
    <row r="1177" customFormat="false" ht="15" hidden="false" customHeight="false" outlineLevel="0" collapsed="false">
      <c r="A1177" s="57" t="n">
        <v>31637</v>
      </c>
      <c r="B1177" s="56" t="n">
        <v>1986</v>
      </c>
      <c r="C1177" s="56" t="n">
        <v>8</v>
      </c>
      <c r="D1177" s="56" t="n">
        <v>105</v>
      </c>
      <c r="E1177" s="56" t="n">
        <v>22.6</v>
      </c>
      <c r="F1177" s="56" t="n">
        <v>0</v>
      </c>
      <c r="G1177" s="56" t="n">
        <v>13.6</v>
      </c>
      <c r="H1177" s="56" t="n">
        <v>0</v>
      </c>
      <c r="I1177" s="56" t="n">
        <v>18.2</v>
      </c>
      <c r="J1177" s="56" t="n">
        <v>0</v>
      </c>
      <c r="K1177" s="56" t="n">
        <v>1015</v>
      </c>
      <c r="L1177" s="56" t="n">
        <v>0</v>
      </c>
      <c r="M1177" s="56" t="n">
        <v>72</v>
      </c>
      <c r="N1177" s="56" t="n">
        <v>3.2</v>
      </c>
      <c r="O1177" s="56" t="n">
        <f aca="false">IF(D1177=1,"",E1176)</f>
        <v>22.9</v>
      </c>
      <c r="P1177" s="56" t="n">
        <f aca="false">IF(OR(D1177=1,K1176=""),"",K1176)</f>
        <v>1018.8</v>
      </c>
      <c r="Q1177" s="56" t="n">
        <f aca="false">IF(OR(F1177&lt;&gt;0,AND(I1177&lt;&gt;"",E1177&lt;I1177)),1,0)</f>
        <v>0</v>
      </c>
      <c r="R1177" s="56" t="n">
        <f aca="false">IF(AND(D1177&gt;1,Q1177=0,ISNUMBER(O1177),ISNUMBER(P1177)),IF(Q1176=0,1,0),0)</f>
        <v>1</v>
      </c>
      <c r="S1177" s="56" t="n">
        <f aca="false">R1177*(B1177&gt;=Train_Start)*(B1177&lt;=Train_End)</f>
        <v>1</v>
      </c>
      <c r="T1177" s="84" t="n">
        <f aca="false">IF(AND(ISNUMBER(O1177),ISNUMBER(P1177)),Coef_A+Coef_B1*O1177+Coef_B2*P1177,"")</f>
        <v>22.8094915957809</v>
      </c>
      <c r="U1177" s="84" t="n">
        <f aca="false">IF(AND(R1177=1,ISNUMBER(T1177)),E1177-T1177,"")</f>
        <v>-0.209491595780946</v>
      </c>
      <c r="V1177" s="84" t="n">
        <f aca="false">IF(ISNUMBER(T1177),T1177,-99)</f>
        <v>22.8094915957809</v>
      </c>
      <c r="W1177" s="84" t="n">
        <f aca="false">IF(ISNUMBER(U1177),ABS(U1177),"")</f>
        <v>0.209491595780946</v>
      </c>
    </row>
    <row r="1178" customFormat="false" ht="15" hidden="false" customHeight="false" outlineLevel="0" collapsed="false">
      <c r="A1178" s="57" t="n">
        <v>31638</v>
      </c>
      <c r="B1178" s="56" t="n">
        <v>1986</v>
      </c>
      <c r="C1178" s="56" t="n">
        <v>8</v>
      </c>
      <c r="D1178" s="56" t="n">
        <v>106</v>
      </c>
      <c r="E1178" s="56" t="n">
        <v>22.3</v>
      </c>
      <c r="F1178" s="56" t="n">
        <v>0</v>
      </c>
      <c r="G1178" s="56" t="n">
        <v>15.5</v>
      </c>
      <c r="H1178" s="56" t="n">
        <v>0</v>
      </c>
      <c r="I1178" s="56" t="n">
        <v>19</v>
      </c>
      <c r="J1178" s="56" t="n">
        <v>0</v>
      </c>
      <c r="K1178" s="56" t="n">
        <v>1012.3</v>
      </c>
      <c r="L1178" s="56" t="n">
        <v>0</v>
      </c>
      <c r="M1178" s="56" t="n">
        <v>71</v>
      </c>
      <c r="N1178" s="56" t="n">
        <v>0.9</v>
      </c>
      <c r="O1178" s="56" t="n">
        <f aca="false">IF(D1178=1,"",E1177)</f>
        <v>22.6</v>
      </c>
      <c r="P1178" s="56" t="n">
        <f aca="false">IF(OR(D1178=1,K1177=""),"",K1177)</f>
        <v>1015</v>
      </c>
      <c r="Q1178" s="56" t="n">
        <f aca="false">IF(OR(F1178&lt;&gt;0,AND(I1178&lt;&gt;"",E1178&lt;I1178)),1,0)</f>
        <v>0</v>
      </c>
      <c r="R1178" s="56" t="n">
        <f aca="false">IF(AND(D1178&gt;1,Q1178=0,ISNUMBER(O1178),ISNUMBER(P1178)),IF(Q1177=0,1,0),0)</f>
        <v>1</v>
      </c>
      <c r="S1178" s="56" t="n">
        <f aca="false">R1178*(B1178&gt;=Train_Start)*(B1178&lt;=Train_End)</f>
        <v>1</v>
      </c>
      <c r="T1178" s="84" t="n">
        <f aca="false">IF(AND(ISNUMBER(O1178),ISNUMBER(P1178)),Coef_A+Coef_B1*O1178+Coef_B2*P1178,"")</f>
        <v>22.444484238259</v>
      </c>
      <c r="U1178" s="84" t="n">
        <f aca="false">IF(AND(R1178=1,ISNUMBER(T1178)),E1178-T1178,"")</f>
        <v>-0.144484238258993</v>
      </c>
      <c r="V1178" s="84" t="n">
        <f aca="false">IF(ISNUMBER(T1178),T1178,-99)</f>
        <v>22.444484238259</v>
      </c>
      <c r="W1178" s="84" t="n">
        <f aca="false">IF(ISNUMBER(U1178),ABS(U1178),"")</f>
        <v>0.144484238258993</v>
      </c>
    </row>
    <row r="1179" customFormat="false" ht="15" hidden="false" customHeight="false" outlineLevel="0" collapsed="false">
      <c r="A1179" s="57" t="n">
        <v>31639</v>
      </c>
      <c r="B1179" s="56" t="n">
        <v>1986</v>
      </c>
      <c r="C1179" s="56" t="n">
        <v>8</v>
      </c>
      <c r="D1179" s="56" t="n">
        <v>107</v>
      </c>
      <c r="E1179" s="56" t="n">
        <v>21.7</v>
      </c>
      <c r="F1179" s="56" t="n">
        <v>0</v>
      </c>
      <c r="G1179" s="56" t="n">
        <v>12.2</v>
      </c>
      <c r="H1179" s="56" t="n">
        <v>0</v>
      </c>
      <c r="I1179" s="56" t="n">
        <v>17.2</v>
      </c>
      <c r="J1179" s="56" t="n">
        <v>0</v>
      </c>
      <c r="K1179" s="56" t="n">
        <v>1012.1</v>
      </c>
      <c r="L1179" s="56" t="n">
        <v>0</v>
      </c>
      <c r="M1179" s="56" t="n">
        <v>63</v>
      </c>
      <c r="N1179" s="56" t="n">
        <v>10.9</v>
      </c>
      <c r="O1179" s="56" t="n">
        <f aca="false">IF(D1179=1,"",E1178)</f>
        <v>22.3</v>
      </c>
      <c r="P1179" s="56" t="n">
        <f aca="false">IF(OR(D1179=1,K1178=""),"",K1178)</f>
        <v>1012.3</v>
      </c>
      <c r="Q1179" s="56" t="n">
        <f aca="false">IF(OR(F1179&lt;&gt;0,AND(I1179&lt;&gt;"",E1179&lt;I1179)),1,0)</f>
        <v>0</v>
      </c>
      <c r="R1179" s="56" t="n">
        <f aca="false">IF(AND(D1179&gt;1,Q1179=0,ISNUMBER(O1179),ISNUMBER(P1179)),IF(Q1178=0,1,0),0)</f>
        <v>1</v>
      </c>
      <c r="S1179" s="56" t="n">
        <f aca="false">R1179*(B1179&gt;=Train_Start)*(B1179&lt;=Train_End)</f>
        <v>1</v>
      </c>
      <c r="T1179" s="84" t="n">
        <f aca="false">IF(AND(ISNUMBER(O1179),ISNUMBER(P1179)),Coef_A+Coef_B1*O1179+Coef_B2*P1179,"")</f>
        <v>22.1139837648344</v>
      </c>
      <c r="U1179" s="84" t="n">
        <f aca="false">IF(AND(R1179=1,ISNUMBER(T1179)),E1179-T1179,"")</f>
        <v>-0.413983764834423</v>
      </c>
      <c r="V1179" s="84" t="n">
        <f aca="false">IF(ISNUMBER(T1179),T1179,-99)</f>
        <v>22.1139837648344</v>
      </c>
      <c r="W1179" s="84" t="n">
        <f aca="false">IF(ISNUMBER(U1179),ABS(U1179),"")</f>
        <v>0.413983764834423</v>
      </c>
    </row>
    <row r="1180" customFormat="false" ht="15" hidden="false" customHeight="false" outlineLevel="0" collapsed="false">
      <c r="A1180" s="57" t="n">
        <v>31640</v>
      </c>
      <c r="B1180" s="56" t="n">
        <v>1986</v>
      </c>
      <c r="C1180" s="56" t="n">
        <v>8</v>
      </c>
      <c r="D1180" s="56" t="n">
        <v>108</v>
      </c>
      <c r="E1180" s="56" t="n">
        <v>21.2</v>
      </c>
      <c r="F1180" s="56" t="n">
        <v>0</v>
      </c>
      <c r="G1180" s="56" t="n">
        <v>9.5</v>
      </c>
      <c r="H1180" s="56" t="n">
        <v>0</v>
      </c>
      <c r="I1180" s="56" t="n">
        <v>15.6</v>
      </c>
      <c r="J1180" s="56" t="n">
        <v>0</v>
      </c>
      <c r="K1180" s="56" t="n">
        <v>1014.7</v>
      </c>
      <c r="L1180" s="56" t="n">
        <v>0</v>
      </c>
      <c r="M1180" s="56" t="n">
        <v>64</v>
      </c>
      <c r="N1180" s="56" t="n">
        <v>12</v>
      </c>
      <c r="O1180" s="56" t="n">
        <f aca="false">IF(D1180=1,"",E1179)</f>
        <v>21.7</v>
      </c>
      <c r="P1180" s="56" t="n">
        <f aca="false">IF(OR(D1180=1,K1179=""),"",K1179)</f>
        <v>1012.1</v>
      </c>
      <c r="Q1180" s="56" t="n">
        <f aca="false">IF(OR(F1180&lt;&gt;0,AND(I1180&lt;&gt;"",E1180&lt;I1180)),1,0)</f>
        <v>0</v>
      </c>
      <c r="R1180" s="56" t="n">
        <f aca="false">IF(AND(D1180&gt;1,Q1180=0,ISNUMBER(O1180),ISNUMBER(P1180)),IF(Q1179=0,1,0),0)</f>
        <v>1</v>
      </c>
      <c r="S1180" s="56" t="n">
        <f aca="false">R1180*(B1180&gt;=Train_Start)*(B1180&lt;=Train_End)</f>
        <v>1</v>
      </c>
      <c r="T1180" s="84" t="n">
        <f aca="false">IF(AND(ISNUMBER(O1180),ISNUMBER(P1180)),Coef_A+Coef_B1*O1180+Coef_B2*P1180,"")</f>
        <v>21.616106270082</v>
      </c>
      <c r="U1180" s="84" t="n">
        <f aca="false">IF(AND(R1180=1,ISNUMBER(T1180)),E1180-T1180,"")</f>
        <v>-0.416106270082032</v>
      </c>
      <c r="V1180" s="84" t="n">
        <f aca="false">IF(ISNUMBER(T1180),T1180,-99)</f>
        <v>21.616106270082</v>
      </c>
      <c r="W1180" s="84" t="n">
        <f aca="false">IF(ISNUMBER(U1180),ABS(U1180),"")</f>
        <v>0.416106270082032</v>
      </c>
    </row>
    <row r="1181" customFormat="false" ht="15" hidden="false" customHeight="false" outlineLevel="0" collapsed="false">
      <c r="A1181" s="57" t="n">
        <v>31641</v>
      </c>
      <c r="B1181" s="56" t="n">
        <v>1986</v>
      </c>
      <c r="C1181" s="56" t="n">
        <v>8</v>
      </c>
      <c r="D1181" s="56" t="n">
        <v>109</v>
      </c>
      <c r="E1181" s="56" t="n">
        <v>17</v>
      </c>
      <c r="F1181" s="56" t="n">
        <v>0</v>
      </c>
      <c r="G1181" s="56" t="n">
        <v>12</v>
      </c>
      <c r="H1181" s="56" t="n">
        <v>0</v>
      </c>
      <c r="I1181" s="56" t="n">
        <v>16.6</v>
      </c>
      <c r="J1181" s="56" t="n">
        <v>0</v>
      </c>
      <c r="K1181" s="56" t="n">
        <v>1014.1</v>
      </c>
      <c r="L1181" s="56" t="n">
        <v>0</v>
      </c>
      <c r="M1181" s="56" t="n">
        <v>67</v>
      </c>
      <c r="N1181" s="56" t="n">
        <v>1.9</v>
      </c>
      <c r="O1181" s="56" t="n">
        <f aca="false">IF(D1181=1,"",E1180)</f>
        <v>21.2</v>
      </c>
      <c r="P1181" s="56" t="n">
        <f aca="false">IF(OR(D1181=1,K1180=""),"",K1180)</f>
        <v>1014.7</v>
      </c>
      <c r="Q1181" s="56" t="n">
        <f aca="false">IF(OR(F1181&lt;&gt;0,AND(I1181&lt;&gt;"",E1181&lt;I1181)),1,0)</f>
        <v>0</v>
      </c>
      <c r="R1181" s="56" t="n">
        <f aca="false">IF(AND(D1181&gt;1,Q1181=0,ISNUMBER(O1181),ISNUMBER(P1181)),IF(Q1180=0,1,0),0)</f>
        <v>1</v>
      </c>
      <c r="S1181" s="56" t="n">
        <f aca="false">R1181*(B1181&gt;=Train_Start)*(B1181&lt;=Train_End)</f>
        <v>1</v>
      </c>
      <c r="T1181" s="84" t="n">
        <f aca="false">IF(AND(ISNUMBER(O1181),ISNUMBER(P1181)),Coef_A+Coef_B1*O1181+Coef_B2*P1181,"")</f>
        <v>21.2879983996091</v>
      </c>
      <c r="U1181" s="84" t="n">
        <f aca="false">IF(AND(R1181=1,ISNUMBER(T1181)),E1181-T1181,"")</f>
        <v>-4.28799839960908</v>
      </c>
      <c r="V1181" s="84" t="n">
        <f aca="false">IF(ISNUMBER(T1181),T1181,-99)</f>
        <v>21.2879983996091</v>
      </c>
      <c r="W1181" s="84" t="n">
        <f aca="false">IF(ISNUMBER(U1181),ABS(U1181),"")</f>
        <v>4.28799839960908</v>
      </c>
    </row>
    <row r="1182" customFormat="false" ht="15" hidden="false" customHeight="false" outlineLevel="0" collapsed="false">
      <c r="A1182" s="57" t="n">
        <v>31642</v>
      </c>
      <c r="B1182" s="56" t="n">
        <v>1986</v>
      </c>
      <c r="C1182" s="56" t="n">
        <v>8</v>
      </c>
      <c r="D1182" s="56" t="n">
        <v>110</v>
      </c>
      <c r="E1182" s="56" t="n">
        <v>18.8</v>
      </c>
      <c r="F1182" s="56" t="n">
        <v>0</v>
      </c>
      <c r="G1182" s="56" t="n">
        <v>14</v>
      </c>
      <c r="H1182" s="56" t="n">
        <v>0</v>
      </c>
      <c r="I1182" s="56" t="n">
        <v>15.5</v>
      </c>
      <c r="J1182" s="56" t="n">
        <v>0</v>
      </c>
      <c r="K1182" s="56" t="n">
        <v>1011.9</v>
      </c>
      <c r="L1182" s="56" t="n">
        <v>0</v>
      </c>
      <c r="M1182" s="56" t="n">
        <v>86</v>
      </c>
      <c r="N1182" s="56" t="n">
        <v>0</v>
      </c>
      <c r="O1182" s="56" t="n">
        <f aca="false">IF(D1182=1,"",E1181)</f>
        <v>17</v>
      </c>
      <c r="P1182" s="56" t="n">
        <f aca="false">IF(OR(D1182=1,K1181=""),"",K1181)</f>
        <v>1014.1</v>
      </c>
      <c r="Q1182" s="56" t="n">
        <f aca="false">IF(OR(F1182&lt;&gt;0,AND(I1182&lt;&gt;"",E1182&lt;I1182)),1,0)</f>
        <v>0</v>
      </c>
      <c r="R1182" s="56" t="n">
        <f aca="false">IF(AND(D1182&gt;1,Q1182=0,ISNUMBER(O1182),ISNUMBER(P1182)),IF(Q1181=0,1,0),0)</f>
        <v>1</v>
      </c>
      <c r="S1182" s="56" t="n">
        <f aca="false">R1182*(B1182&gt;=Train_Start)*(B1182&lt;=Train_End)</f>
        <v>1</v>
      </c>
      <c r="T1182" s="84" t="n">
        <f aca="false">IF(AND(ISNUMBER(O1182),ISNUMBER(P1182)),Coef_A+Coef_B1*O1182+Coef_B2*P1182,"")</f>
        <v>17.8279518520495</v>
      </c>
      <c r="U1182" s="84" t="n">
        <f aca="false">IF(AND(R1182=1,ISNUMBER(T1182)),E1182-T1182,"")</f>
        <v>0.972048147950481</v>
      </c>
      <c r="V1182" s="84" t="n">
        <f aca="false">IF(ISNUMBER(T1182),T1182,-99)</f>
        <v>17.8279518520495</v>
      </c>
      <c r="W1182" s="84" t="n">
        <f aca="false">IF(ISNUMBER(U1182),ABS(U1182),"")</f>
        <v>0.972048147950481</v>
      </c>
    </row>
    <row r="1183" customFormat="false" ht="15" hidden="false" customHeight="false" outlineLevel="0" collapsed="false">
      <c r="A1183" s="57" t="n">
        <v>31643</v>
      </c>
      <c r="B1183" s="56" t="n">
        <v>1986</v>
      </c>
      <c r="C1183" s="56" t="n">
        <v>8</v>
      </c>
      <c r="D1183" s="56" t="n">
        <v>111</v>
      </c>
      <c r="E1183" s="56" t="n">
        <v>20.5</v>
      </c>
      <c r="F1183" s="56" t="n">
        <v>0</v>
      </c>
      <c r="G1183" s="56" t="n">
        <v>12.1</v>
      </c>
      <c r="H1183" s="56" t="n">
        <v>0</v>
      </c>
      <c r="I1183" s="56" t="n">
        <v>15.4</v>
      </c>
      <c r="J1183" s="56" t="n">
        <v>0</v>
      </c>
      <c r="K1183" s="56" t="n">
        <v>1015.9</v>
      </c>
      <c r="L1183" s="56" t="n">
        <v>0</v>
      </c>
      <c r="M1183" s="56" t="n">
        <v>77</v>
      </c>
      <c r="N1183" s="56" t="n">
        <v>2.4</v>
      </c>
      <c r="O1183" s="56" t="n">
        <f aca="false">IF(D1183=1,"",E1182)</f>
        <v>18.8</v>
      </c>
      <c r="P1183" s="56" t="n">
        <f aca="false">IF(OR(D1183=1,K1182=""),"",K1182)</f>
        <v>1011.9</v>
      </c>
      <c r="Q1183" s="56" t="n">
        <f aca="false">IF(OR(F1183&lt;&gt;0,AND(I1183&lt;&gt;"",E1183&lt;I1183)),1,0)</f>
        <v>0</v>
      </c>
      <c r="R1183" s="56" t="n">
        <f aca="false">IF(AND(D1183&gt;1,Q1183=0,ISNUMBER(O1183),ISNUMBER(P1183)),IF(Q1182=0,1,0),0)</f>
        <v>1</v>
      </c>
      <c r="S1183" s="56" t="n">
        <f aca="false">R1183*(B1183&gt;=Train_Start)*(B1183&lt;=Train_End)</f>
        <v>1</v>
      </c>
      <c r="T1183" s="84" t="n">
        <f aca="false">IF(AND(ISNUMBER(O1183),ISNUMBER(P1183)),Coef_A+Coef_B1*O1183+Coef_B2*P1183,"")</f>
        <v>19.2337486313315</v>
      </c>
      <c r="U1183" s="84" t="n">
        <f aca="false">IF(AND(R1183=1,ISNUMBER(T1183)),E1183-T1183,"")</f>
        <v>1.26625136866847</v>
      </c>
      <c r="V1183" s="84" t="n">
        <f aca="false">IF(ISNUMBER(T1183),T1183,-99)</f>
        <v>19.2337486313315</v>
      </c>
      <c r="W1183" s="84" t="n">
        <f aca="false">IF(ISNUMBER(U1183),ABS(U1183),"")</f>
        <v>1.26625136866847</v>
      </c>
    </row>
    <row r="1184" customFormat="false" ht="15" hidden="false" customHeight="false" outlineLevel="0" collapsed="false">
      <c r="A1184" s="57" t="n">
        <v>31644</v>
      </c>
      <c r="B1184" s="56" t="n">
        <v>1986</v>
      </c>
      <c r="C1184" s="56" t="n">
        <v>8</v>
      </c>
      <c r="D1184" s="56" t="n">
        <v>112</v>
      </c>
      <c r="E1184" s="56" t="n">
        <v>19.4</v>
      </c>
      <c r="F1184" s="56" t="n">
        <v>0</v>
      </c>
      <c r="G1184" s="56" t="n">
        <v>8.6</v>
      </c>
      <c r="H1184" s="56" t="n">
        <v>0</v>
      </c>
      <c r="I1184" s="56" t="n">
        <v>14.6</v>
      </c>
      <c r="J1184" s="56" t="n">
        <v>0</v>
      </c>
      <c r="K1184" s="56" t="n">
        <v>1021.4</v>
      </c>
      <c r="L1184" s="56" t="n">
        <v>0</v>
      </c>
      <c r="M1184" s="56" t="n">
        <v>62</v>
      </c>
      <c r="N1184" s="56" t="n">
        <v>11.9</v>
      </c>
      <c r="O1184" s="56" t="n">
        <f aca="false">IF(D1184=1,"",E1183)</f>
        <v>20.5</v>
      </c>
      <c r="P1184" s="56" t="n">
        <f aca="false">IF(OR(D1184=1,K1183=""),"",K1183)</f>
        <v>1015.9</v>
      </c>
      <c r="Q1184" s="56" t="n">
        <f aca="false">IF(OR(F1184&lt;&gt;0,AND(I1184&lt;&gt;"",E1184&lt;I1184)),1,0)</f>
        <v>0</v>
      </c>
      <c r="R1184" s="56" t="n">
        <f aca="false">IF(AND(D1184&gt;1,Q1184=0,ISNUMBER(O1184),ISNUMBER(P1184)),IF(Q1183=0,1,0),0)</f>
        <v>1</v>
      </c>
      <c r="S1184" s="56" t="n">
        <f aca="false">R1184*(B1184&gt;=Train_Start)*(B1184&lt;=Train_End)</f>
        <v>1</v>
      </c>
      <c r="T1184" s="84" t="n">
        <f aca="false">IF(AND(ISNUMBER(O1184),ISNUMBER(P1184)),Coef_A+Coef_B1*O1184+Coef_B2*P1184,"")</f>
        <v>20.75210483804</v>
      </c>
      <c r="U1184" s="84" t="n">
        <f aca="false">IF(AND(R1184=1,ISNUMBER(T1184)),E1184-T1184,"")</f>
        <v>-1.35210483804</v>
      </c>
      <c r="V1184" s="84" t="n">
        <f aca="false">IF(ISNUMBER(T1184),T1184,-99)</f>
        <v>20.75210483804</v>
      </c>
      <c r="W1184" s="84" t="n">
        <f aca="false">IF(ISNUMBER(U1184),ABS(U1184),"")</f>
        <v>1.35210483804</v>
      </c>
    </row>
    <row r="1185" customFormat="false" ht="15" hidden="false" customHeight="false" outlineLevel="0" collapsed="false">
      <c r="A1185" s="57" t="n">
        <v>31645</v>
      </c>
      <c r="B1185" s="56" t="n">
        <v>1986</v>
      </c>
      <c r="C1185" s="56" t="n">
        <v>8</v>
      </c>
      <c r="D1185" s="56" t="n">
        <v>113</v>
      </c>
      <c r="E1185" s="56" t="n">
        <v>19.7</v>
      </c>
      <c r="F1185" s="56" t="n">
        <v>0</v>
      </c>
      <c r="G1185" s="56" t="n">
        <v>9.2</v>
      </c>
      <c r="H1185" s="56" t="n">
        <v>0</v>
      </c>
      <c r="I1185" s="56" t="n">
        <v>14.3</v>
      </c>
      <c r="J1185" s="56" t="n">
        <v>0</v>
      </c>
      <c r="K1185" s="56" t="n">
        <v>1016.2</v>
      </c>
      <c r="L1185" s="56" t="n">
        <v>0</v>
      </c>
      <c r="M1185" s="56" t="n">
        <v>78</v>
      </c>
      <c r="N1185" s="56" t="n">
        <v>0.2</v>
      </c>
      <c r="O1185" s="56" t="n">
        <f aca="false">IF(D1185=1,"",E1184)</f>
        <v>19.4</v>
      </c>
      <c r="P1185" s="56" t="n">
        <f aca="false">IF(OR(D1185=1,K1184=""),"",K1184)</f>
        <v>1021.4</v>
      </c>
      <c r="Q1185" s="56" t="n">
        <f aca="false">IF(OR(F1185&lt;&gt;0,AND(I1185&lt;&gt;"",E1185&lt;I1185)),1,0)</f>
        <v>0</v>
      </c>
      <c r="R1185" s="56" t="n">
        <f aca="false">IF(AND(D1185&gt;1,Q1185=0,ISNUMBER(O1185),ISNUMBER(P1185)),IF(Q1184=0,1,0),0)</f>
        <v>1</v>
      </c>
      <c r="S1185" s="56" t="n">
        <f aca="false">R1185*(B1185&gt;=Train_Start)*(B1185&lt;=Train_End)</f>
        <v>1</v>
      </c>
      <c r="T1185" s="84" t="n">
        <f aca="false">IF(AND(ISNUMBER(O1185),ISNUMBER(P1185)),Coef_A+Coef_B1*O1185+Coef_B2*P1185,"")</f>
        <v>20.02336614618</v>
      </c>
      <c r="U1185" s="84" t="n">
        <f aca="false">IF(AND(R1185=1,ISNUMBER(T1185)),E1185-T1185,"")</f>
        <v>-0.323366146180021</v>
      </c>
      <c r="V1185" s="84" t="n">
        <f aca="false">IF(ISNUMBER(T1185),T1185,-99)</f>
        <v>20.02336614618</v>
      </c>
      <c r="W1185" s="84" t="n">
        <f aca="false">IF(ISNUMBER(U1185),ABS(U1185),"")</f>
        <v>0.323366146180021</v>
      </c>
    </row>
    <row r="1186" customFormat="false" ht="15" hidden="false" customHeight="false" outlineLevel="0" collapsed="false">
      <c r="A1186" s="57" t="n">
        <v>31646</v>
      </c>
      <c r="B1186" s="56" t="n">
        <v>1986</v>
      </c>
      <c r="C1186" s="56" t="n">
        <v>8</v>
      </c>
      <c r="D1186" s="56" t="n">
        <v>114</v>
      </c>
      <c r="E1186" s="56" t="n">
        <v>17.9</v>
      </c>
      <c r="F1186" s="56" t="n">
        <v>0</v>
      </c>
      <c r="G1186" s="56" t="n">
        <v>12.7</v>
      </c>
      <c r="H1186" s="56" t="n">
        <v>0</v>
      </c>
      <c r="I1186" s="56" t="n">
        <v>16.2</v>
      </c>
      <c r="J1186" s="56" t="n">
        <v>0</v>
      </c>
      <c r="K1186" s="56" t="n">
        <v>1005.6</v>
      </c>
      <c r="L1186" s="56" t="n">
        <v>0</v>
      </c>
      <c r="M1186" s="56" t="n">
        <v>86</v>
      </c>
      <c r="N1186" s="56" t="n">
        <v>5.1</v>
      </c>
      <c r="O1186" s="56" t="n">
        <f aca="false">IF(D1186=1,"",E1185)</f>
        <v>19.7</v>
      </c>
      <c r="P1186" s="56" t="n">
        <f aca="false">IF(OR(D1186=1,K1185=""),"",K1185)</f>
        <v>1016.2</v>
      </c>
      <c r="Q1186" s="56" t="n">
        <f aca="false">IF(OR(F1186&lt;&gt;0,AND(I1186&lt;&gt;"",E1186&lt;I1186)),1,0)</f>
        <v>0</v>
      </c>
      <c r="R1186" s="56" t="n">
        <f aca="false">IF(AND(D1186&gt;1,Q1186=0,ISNUMBER(O1186),ISNUMBER(P1186)),IF(Q1185=0,1,0),0)</f>
        <v>1</v>
      </c>
      <c r="S1186" s="56" t="n">
        <f aca="false">R1186*(B1186&gt;=Train_Start)*(B1186&lt;=Train_End)</f>
        <v>1</v>
      </c>
      <c r="T1186" s="84" t="n">
        <f aca="false">IF(AND(ISNUMBER(O1186),ISNUMBER(P1186)),Coef_A+Coef_B1*O1186+Coef_B2*P1186,"")</f>
        <v>20.1060444519961</v>
      </c>
      <c r="U1186" s="84" t="n">
        <f aca="false">IF(AND(R1186=1,ISNUMBER(T1186)),E1186-T1186,"")</f>
        <v>-2.20604445199607</v>
      </c>
      <c r="V1186" s="84" t="n">
        <f aca="false">IF(ISNUMBER(T1186),T1186,-99)</f>
        <v>20.1060444519961</v>
      </c>
      <c r="W1186" s="84" t="n">
        <f aca="false">IF(ISNUMBER(U1186),ABS(U1186),"")</f>
        <v>2.20604445199607</v>
      </c>
    </row>
    <row r="1187" customFormat="false" ht="15" hidden="false" customHeight="false" outlineLevel="0" collapsed="false">
      <c r="A1187" s="57" t="n">
        <v>31647</v>
      </c>
      <c r="B1187" s="56" t="n">
        <v>1986</v>
      </c>
      <c r="C1187" s="56" t="n">
        <v>8</v>
      </c>
      <c r="D1187" s="56" t="n">
        <v>115</v>
      </c>
      <c r="E1187" s="56" t="n">
        <v>19.1</v>
      </c>
      <c r="F1187" s="56" t="n">
        <v>0</v>
      </c>
      <c r="G1187" s="56" t="n">
        <v>11.3</v>
      </c>
      <c r="H1187" s="56" t="n">
        <v>0</v>
      </c>
      <c r="I1187" s="56" t="n">
        <v>14.6</v>
      </c>
      <c r="J1187" s="56" t="n">
        <v>0</v>
      </c>
      <c r="K1187" s="56" t="n">
        <v>1009.4</v>
      </c>
      <c r="L1187" s="56" t="n">
        <v>0</v>
      </c>
      <c r="M1187" s="56" t="n">
        <v>72</v>
      </c>
      <c r="N1187" s="56" t="n">
        <v>5.9</v>
      </c>
      <c r="O1187" s="56" t="n">
        <f aca="false">IF(D1187=1,"",E1186)</f>
        <v>17.9</v>
      </c>
      <c r="P1187" s="56" t="n">
        <f aca="false">IF(OR(D1187=1,K1186=""),"",K1186)</f>
        <v>1005.6</v>
      </c>
      <c r="Q1187" s="56" t="n">
        <f aca="false">IF(OR(F1187&lt;&gt;0,AND(I1187&lt;&gt;"",E1187&lt;I1187)),1,0)</f>
        <v>0</v>
      </c>
      <c r="R1187" s="56" t="n">
        <f aca="false">IF(AND(D1187&gt;1,Q1187=0,ISNUMBER(O1187),ISNUMBER(P1187)),IF(Q1186=0,1,0),0)</f>
        <v>1</v>
      </c>
      <c r="S1187" s="56" t="n">
        <f aca="false">R1187*(B1187&gt;=Train_Start)*(B1187&lt;=Train_End)</f>
        <v>1</v>
      </c>
      <c r="T1187" s="84" t="n">
        <f aca="false">IF(AND(ISNUMBER(O1187),ISNUMBER(P1187)),Coef_A+Coef_B1*O1187+Coef_B2*P1187,"")</f>
        <v>18.298713021399</v>
      </c>
      <c r="U1187" s="84" t="n">
        <f aca="false">IF(AND(R1187=1,ISNUMBER(T1187)),E1187-T1187,"")</f>
        <v>0.801286978600999</v>
      </c>
      <c r="V1187" s="84" t="n">
        <f aca="false">IF(ISNUMBER(T1187),T1187,-99)</f>
        <v>18.298713021399</v>
      </c>
      <c r="W1187" s="84" t="n">
        <f aca="false">IF(ISNUMBER(U1187),ABS(U1187),"")</f>
        <v>0.801286978600999</v>
      </c>
    </row>
    <row r="1188" customFormat="false" ht="15" hidden="false" customHeight="false" outlineLevel="0" collapsed="false">
      <c r="A1188" s="57" t="n">
        <v>31648</v>
      </c>
      <c r="B1188" s="56" t="n">
        <v>1986</v>
      </c>
      <c r="C1188" s="56" t="n">
        <v>8</v>
      </c>
      <c r="D1188" s="56" t="n">
        <v>116</v>
      </c>
      <c r="E1188" s="56" t="n">
        <v>16.6</v>
      </c>
      <c r="F1188" s="56" t="n">
        <v>0</v>
      </c>
      <c r="G1188" s="56" t="n">
        <v>11.3</v>
      </c>
      <c r="H1188" s="56" t="n">
        <v>0</v>
      </c>
      <c r="I1188" s="56" t="n">
        <v>15.2</v>
      </c>
      <c r="J1188" s="56" t="n">
        <v>0</v>
      </c>
      <c r="K1188" s="56" t="n">
        <v>1015.4</v>
      </c>
      <c r="L1188" s="56" t="n">
        <v>0</v>
      </c>
      <c r="M1188" s="56" t="n">
        <v>68</v>
      </c>
      <c r="N1188" s="56" t="n">
        <v>7.9</v>
      </c>
      <c r="O1188" s="56" t="n">
        <f aca="false">IF(D1188=1,"",E1187)</f>
        <v>19.1</v>
      </c>
      <c r="P1188" s="56" t="n">
        <f aca="false">IF(OR(D1188=1,K1187=""),"",K1187)</f>
        <v>1009.4</v>
      </c>
      <c r="Q1188" s="56" t="n">
        <f aca="false">IF(OR(F1188&lt;&gt;0,AND(I1188&lt;&gt;"",E1188&lt;I1188)),1,0)</f>
        <v>0</v>
      </c>
      <c r="R1188" s="56" t="n">
        <f aca="false">IF(AND(D1188&gt;1,Q1188=0,ISNUMBER(O1188),ISNUMBER(P1188)),IF(Q1187=0,1,0),0)</f>
        <v>1</v>
      </c>
      <c r="S1188" s="56" t="n">
        <f aca="false">R1188*(B1188&gt;=Train_Start)*(B1188&lt;=Train_End)</f>
        <v>1</v>
      </c>
      <c r="T1188" s="84" t="n">
        <f aca="false">IF(AND(ISNUMBER(O1188),ISNUMBER(P1188)),Coef_A+Coef_B1*O1188+Coef_B2*P1188,"")</f>
        <v>19.4011256526594</v>
      </c>
      <c r="U1188" s="84" t="n">
        <f aca="false">IF(AND(R1188=1,ISNUMBER(T1188)),E1188-T1188,"")</f>
        <v>-2.80112565265935</v>
      </c>
      <c r="V1188" s="84" t="n">
        <f aca="false">IF(ISNUMBER(T1188),T1188,-99)</f>
        <v>19.4011256526594</v>
      </c>
      <c r="W1188" s="84" t="n">
        <f aca="false">IF(ISNUMBER(U1188),ABS(U1188),"")</f>
        <v>2.80112565265935</v>
      </c>
    </row>
    <row r="1189" customFormat="false" ht="15" hidden="false" customHeight="false" outlineLevel="0" collapsed="false">
      <c r="A1189" s="57" t="n">
        <v>31649</v>
      </c>
      <c r="B1189" s="56" t="n">
        <v>1986</v>
      </c>
      <c r="C1189" s="56" t="n">
        <v>8</v>
      </c>
      <c r="D1189" s="56" t="n">
        <v>117</v>
      </c>
      <c r="E1189" s="56" t="n">
        <v>16.6</v>
      </c>
      <c r="F1189" s="56" t="n">
        <v>0</v>
      </c>
      <c r="G1189" s="56" t="n">
        <v>11.5</v>
      </c>
      <c r="H1189" s="56" t="n">
        <v>0</v>
      </c>
      <c r="I1189" s="56" t="n">
        <v>14</v>
      </c>
      <c r="J1189" s="56" t="n">
        <v>0</v>
      </c>
      <c r="K1189" s="56" t="n">
        <v>1011.1</v>
      </c>
      <c r="L1189" s="56" t="n">
        <v>0</v>
      </c>
      <c r="M1189" s="56" t="n">
        <v>86</v>
      </c>
      <c r="N1189" s="56" t="n">
        <v>0</v>
      </c>
      <c r="O1189" s="56" t="n">
        <f aca="false">IF(D1189=1,"",E1188)</f>
        <v>16.6</v>
      </c>
      <c r="P1189" s="56" t="n">
        <f aca="false">IF(OR(D1189=1,K1188=""),"",K1188)</f>
        <v>1015.4</v>
      </c>
      <c r="Q1189" s="56" t="n">
        <f aca="false">IF(OR(F1189&lt;&gt;0,AND(I1189&lt;&gt;"",E1189&lt;I1189)),1,0)</f>
        <v>0</v>
      </c>
      <c r="R1189" s="56" t="n">
        <f aca="false">IF(AND(D1189&gt;1,Q1189=0,ISNUMBER(O1189),ISNUMBER(P1189)),IF(Q1188=0,1,0),0)</f>
        <v>1</v>
      </c>
      <c r="S1189" s="56" t="n">
        <f aca="false">R1189*(B1189&gt;=Train_Start)*(B1189&lt;=Train_End)</f>
        <v>1</v>
      </c>
      <c r="T1189" s="84" t="n">
        <f aca="false">IF(AND(ISNUMBER(O1189),ISNUMBER(P1189)),Coef_A+Coef_B1*O1189+Coef_B2*P1189,"")</f>
        <v>17.5409970378566</v>
      </c>
      <c r="U1189" s="84" t="n">
        <f aca="false">IF(AND(R1189=1,ISNUMBER(T1189)),E1189-T1189,"")</f>
        <v>-0.94099703785664</v>
      </c>
      <c r="V1189" s="84" t="n">
        <f aca="false">IF(ISNUMBER(T1189),T1189,-99)</f>
        <v>17.5409970378566</v>
      </c>
      <c r="W1189" s="84" t="n">
        <f aca="false">IF(ISNUMBER(U1189),ABS(U1189),"")</f>
        <v>0.94099703785664</v>
      </c>
    </row>
    <row r="1190" customFormat="false" ht="15" hidden="false" customHeight="false" outlineLevel="0" collapsed="false">
      <c r="A1190" s="57" t="n">
        <v>31650</v>
      </c>
      <c r="B1190" s="56" t="n">
        <v>1986</v>
      </c>
      <c r="C1190" s="56" t="n">
        <v>8</v>
      </c>
      <c r="D1190" s="56" t="n">
        <v>118</v>
      </c>
      <c r="E1190" s="56" t="n">
        <v>17.9</v>
      </c>
      <c r="F1190" s="56" t="n">
        <v>0</v>
      </c>
      <c r="G1190" s="56" t="n">
        <v>12.6</v>
      </c>
      <c r="H1190" s="56" t="n">
        <v>0</v>
      </c>
      <c r="I1190" s="56" t="n">
        <v>14.6</v>
      </c>
      <c r="J1190" s="56" t="n">
        <v>0</v>
      </c>
      <c r="K1190" s="56" t="n">
        <v>989.2</v>
      </c>
      <c r="L1190" s="56" t="n">
        <v>0</v>
      </c>
      <c r="M1190" s="56" t="n">
        <v>87</v>
      </c>
      <c r="N1190" s="56" t="n">
        <v>0.3</v>
      </c>
      <c r="O1190" s="56" t="n">
        <f aca="false">IF(D1190=1,"",E1189)</f>
        <v>16.6</v>
      </c>
      <c r="P1190" s="56" t="n">
        <f aca="false">IF(OR(D1190=1,K1189=""),"",K1189)</f>
        <v>1011.1</v>
      </c>
      <c r="Q1190" s="56" t="n">
        <f aca="false">IF(OR(F1190&lt;&gt;0,AND(I1190&lt;&gt;"",E1190&lt;I1190)),1,0)</f>
        <v>0</v>
      </c>
      <c r="R1190" s="56" t="n">
        <f aca="false">IF(AND(D1190&gt;1,Q1190=0,ISNUMBER(O1190),ISNUMBER(P1190)),IF(Q1189=0,1,0),0)</f>
        <v>1</v>
      </c>
      <c r="S1190" s="56" t="n">
        <f aca="false">R1190*(B1190&gt;=Train_Start)*(B1190&lt;=Train_End)</f>
        <v>1</v>
      </c>
      <c r="T1190" s="84" t="n">
        <f aca="false">IF(AND(ISNUMBER(O1190),ISNUMBER(P1190)),Coef_A+Coef_B1*O1190+Coef_B2*P1190,"")</f>
        <v>17.4061064909305</v>
      </c>
      <c r="U1190" s="84" t="n">
        <f aca="false">IF(AND(R1190=1,ISNUMBER(T1190)),E1190-T1190,"")</f>
        <v>0.493893509069508</v>
      </c>
      <c r="V1190" s="84" t="n">
        <f aca="false">IF(ISNUMBER(T1190),T1190,-99)</f>
        <v>17.4061064909305</v>
      </c>
      <c r="W1190" s="84" t="n">
        <f aca="false">IF(ISNUMBER(U1190),ABS(U1190),"")</f>
        <v>0.493893509069508</v>
      </c>
    </row>
    <row r="1191" customFormat="false" ht="15" hidden="false" customHeight="false" outlineLevel="0" collapsed="false">
      <c r="A1191" s="57" t="n">
        <v>31651</v>
      </c>
      <c r="B1191" s="56" t="n">
        <v>1986</v>
      </c>
      <c r="C1191" s="56" t="n">
        <v>8</v>
      </c>
      <c r="D1191" s="56" t="n">
        <v>119</v>
      </c>
      <c r="E1191" s="56" t="n">
        <v>17.4</v>
      </c>
      <c r="F1191" s="56" t="n">
        <v>0</v>
      </c>
      <c r="G1191" s="56" t="n">
        <v>8.8</v>
      </c>
      <c r="H1191" s="56" t="n">
        <v>0</v>
      </c>
      <c r="I1191" s="56" t="n">
        <v>13.4</v>
      </c>
      <c r="J1191" s="56" t="n">
        <v>0</v>
      </c>
      <c r="K1191" s="56" t="n">
        <v>1005.3</v>
      </c>
      <c r="L1191" s="56" t="n">
        <v>0</v>
      </c>
      <c r="M1191" s="56" t="n">
        <v>71</v>
      </c>
      <c r="N1191" s="56" t="n">
        <v>7.6</v>
      </c>
      <c r="O1191" s="56" t="n">
        <f aca="false">IF(D1191=1,"",E1190)</f>
        <v>17.9</v>
      </c>
      <c r="P1191" s="56" t="n">
        <f aca="false">IF(OR(D1191=1,K1190=""),"",K1190)</f>
        <v>989.2</v>
      </c>
      <c r="Q1191" s="56" t="n">
        <f aca="false">IF(OR(F1191&lt;&gt;0,AND(I1191&lt;&gt;"",E1191&lt;I1191)),1,0)</f>
        <v>0</v>
      </c>
      <c r="R1191" s="56" t="n">
        <f aca="false">IF(AND(D1191&gt;1,Q1191=0,ISNUMBER(O1191),ISNUMBER(P1191)),IF(Q1190=0,1,0),0)</f>
        <v>1</v>
      </c>
      <c r="S1191" s="56" t="n">
        <f aca="false">R1191*(B1191&gt;=Train_Start)*(B1191&lt;=Train_End)</f>
        <v>1</v>
      </c>
      <c r="T1191" s="84" t="n">
        <f aca="false">IF(AND(ISNUMBER(O1191),ISNUMBER(P1191)),Coef_A+Coef_B1*O1191+Coef_B2*P1191,"")</f>
        <v>17.7842467494016</v>
      </c>
      <c r="U1191" s="84" t="n">
        <f aca="false">IF(AND(R1191=1,ISNUMBER(T1191)),E1191-T1191,"")</f>
        <v>-0.384246749401576</v>
      </c>
      <c r="V1191" s="84" t="n">
        <f aca="false">IF(ISNUMBER(T1191),T1191,-99)</f>
        <v>17.7842467494016</v>
      </c>
      <c r="W1191" s="84" t="n">
        <f aca="false">IF(ISNUMBER(U1191),ABS(U1191),"")</f>
        <v>0.384246749401576</v>
      </c>
    </row>
    <row r="1192" customFormat="false" ht="15" hidden="false" customHeight="false" outlineLevel="0" collapsed="false">
      <c r="A1192" s="57" t="n">
        <v>31652</v>
      </c>
      <c r="B1192" s="56" t="n">
        <v>1986</v>
      </c>
      <c r="C1192" s="56" t="n">
        <v>8</v>
      </c>
      <c r="D1192" s="56" t="n">
        <v>120</v>
      </c>
      <c r="E1192" s="56" t="n">
        <v>17.6</v>
      </c>
      <c r="F1192" s="56" t="n">
        <v>0</v>
      </c>
      <c r="G1192" s="56" t="n">
        <v>7.8</v>
      </c>
      <c r="H1192" s="56" t="n">
        <v>0</v>
      </c>
      <c r="I1192" s="56" t="n">
        <v>12.6</v>
      </c>
      <c r="J1192" s="56" t="n">
        <v>0</v>
      </c>
      <c r="K1192" s="56" t="n">
        <v>1010.3</v>
      </c>
      <c r="L1192" s="56" t="n">
        <v>0</v>
      </c>
      <c r="M1192" s="56" t="n">
        <v>75</v>
      </c>
      <c r="N1192" s="56" t="n">
        <v>4</v>
      </c>
      <c r="O1192" s="56" t="n">
        <f aca="false">IF(D1192=1,"",E1191)</f>
        <v>17.4</v>
      </c>
      <c r="P1192" s="56" t="n">
        <f aca="false">IF(OR(D1192=1,K1191=""),"",K1191)</f>
        <v>1005.3</v>
      </c>
      <c r="Q1192" s="56" t="n">
        <f aca="false">IF(OR(F1192&lt;&gt;0,AND(I1192&lt;&gt;"",E1192&lt;I1192)),1,0)</f>
        <v>0</v>
      </c>
      <c r="R1192" s="56" t="n">
        <f aca="false">IF(AND(D1192&gt;1,Q1192=0,ISNUMBER(O1192),ISNUMBER(P1192)),IF(Q1191=0,1,0),0)</f>
        <v>1</v>
      </c>
      <c r="S1192" s="56" t="n">
        <f aca="false">R1192*(B1192&gt;=Train_Start)*(B1192&lt;=Train_End)</f>
        <v>1</v>
      </c>
      <c r="T1192" s="84" t="n">
        <f aca="false">IF(AND(ISNUMBER(O1192),ISNUMBER(P1192)),Coef_A+Coef_B1*O1192+Coef_B2*P1192,"")</f>
        <v>17.8796324564875</v>
      </c>
      <c r="U1192" s="84" t="n">
        <f aca="false">IF(AND(R1192=1,ISNUMBER(T1192)),E1192-T1192,"")</f>
        <v>-0.279632456487473</v>
      </c>
      <c r="V1192" s="84" t="n">
        <f aca="false">IF(ISNUMBER(T1192),T1192,-99)</f>
        <v>17.8796324564875</v>
      </c>
      <c r="W1192" s="84" t="n">
        <f aca="false">IF(ISNUMBER(U1192),ABS(U1192),"")</f>
        <v>0.279632456487473</v>
      </c>
    </row>
    <row r="1193" customFormat="false" ht="15" hidden="false" customHeight="false" outlineLevel="0" collapsed="false">
      <c r="A1193" s="57" t="n">
        <v>31653</v>
      </c>
      <c r="B1193" s="56" t="n">
        <v>1986</v>
      </c>
      <c r="C1193" s="56" t="n">
        <v>8</v>
      </c>
      <c r="D1193" s="56" t="n">
        <v>121</v>
      </c>
      <c r="E1193" s="56" t="n">
        <v>15.8</v>
      </c>
      <c r="F1193" s="56" t="n">
        <v>0</v>
      </c>
      <c r="G1193" s="56" t="n">
        <v>5.9</v>
      </c>
      <c r="H1193" s="56" t="n">
        <v>0</v>
      </c>
      <c r="I1193" s="56" t="n">
        <v>11.8</v>
      </c>
      <c r="J1193" s="56" t="n">
        <v>0</v>
      </c>
      <c r="K1193" s="56" t="n">
        <v>1016.2</v>
      </c>
      <c r="L1193" s="56" t="n">
        <v>0</v>
      </c>
      <c r="M1193" s="56" t="n">
        <v>70</v>
      </c>
      <c r="N1193" s="56" t="n">
        <v>8.1</v>
      </c>
      <c r="O1193" s="56" t="n">
        <f aca="false">IF(D1193=1,"",E1192)</f>
        <v>17.6</v>
      </c>
      <c r="P1193" s="56" t="n">
        <f aca="false">IF(OR(D1193=1,K1192=""),"",K1192)</f>
        <v>1010.3</v>
      </c>
      <c r="Q1193" s="56" t="n">
        <f aca="false">IF(OR(F1193&lt;&gt;0,AND(I1193&lt;&gt;"",E1193&lt;I1193)),1,0)</f>
        <v>0</v>
      </c>
      <c r="R1193" s="56" t="n">
        <f aca="false">IF(AND(D1193&gt;1,Q1193=0,ISNUMBER(O1193),ISNUMBER(P1193)),IF(Q1192=0,1,0),0)</f>
        <v>1</v>
      </c>
      <c r="S1193" s="56" t="n">
        <f aca="false">R1193*(B1193&gt;=Train_Start)*(B1193&lt;=Train_End)</f>
        <v>1</v>
      </c>
      <c r="T1193" s="84" t="n">
        <f aca="false">IF(AND(ISNUMBER(O1193),ISNUMBER(P1193)),Coef_A+Coef_B1*O1193+Coef_B2*P1193,"")</f>
        <v>18.200349768266</v>
      </c>
      <c r="U1193" s="84" t="n">
        <f aca="false">IF(AND(R1193=1,ISNUMBER(T1193)),E1193-T1193,"")</f>
        <v>-2.40034976826595</v>
      </c>
      <c r="V1193" s="84" t="n">
        <f aca="false">IF(ISNUMBER(T1193),T1193,-99)</f>
        <v>18.200349768266</v>
      </c>
      <c r="W1193" s="84" t="n">
        <f aca="false">IF(ISNUMBER(U1193),ABS(U1193),"")</f>
        <v>2.40034976826595</v>
      </c>
    </row>
    <row r="1194" customFormat="false" ht="15" hidden="false" customHeight="false" outlineLevel="0" collapsed="false">
      <c r="A1194" s="57" t="n">
        <v>31654</v>
      </c>
      <c r="B1194" s="56" t="n">
        <v>1986</v>
      </c>
      <c r="C1194" s="56" t="n">
        <v>8</v>
      </c>
      <c r="D1194" s="56" t="n">
        <v>122</v>
      </c>
      <c r="E1194" s="56" t="n">
        <v>18.4</v>
      </c>
      <c r="F1194" s="56" t="n">
        <v>0</v>
      </c>
      <c r="G1194" s="56" t="n">
        <v>11</v>
      </c>
      <c r="H1194" s="56" t="n">
        <v>0</v>
      </c>
      <c r="I1194" s="56" t="n">
        <v>13.4</v>
      </c>
      <c r="J1194" s="56" t="n">
        <v>0</v>
      </c>
      <c r="K1194" s="56" t="n">
        <v>1023</v>
      </c>
      <c r="L1194" s="56" t="n">
        <v>0</v>
      </c>
      <c r="M1194" s="56" t="n">
        <v>78</v>
      </c>
      <c r="N1194" s="56" t="n">
        <v>0.1</v>
      </c>
      <c r="O1194" s="56" t="n">
        <f aca="false">IF(D1194=1,"",E1193)</f>
        <v>15.8</v>
      </c>
      <c r="P1194" s="56" t="n">
        <f aca="false">IF(OR(D1194=1,K1193=""),"",K1193)</f>
        <v>1016.2</v>
      </c>
      <c r="Q1194" s="56" t="n">
        <f aca="false">IF(OR(F1194&lt;&gt;0,AND(I1194&lt;&gt;"",E1194&lt;I1194)),1,0)</f>
        <v>0</v>
      </c>
      <c r="R1194" s="56" t="n">
        <f aca="false">IF(AND(D1194&gt;1,Q1194=0,ISNUMBER(O1194),ISNUMBER(P1194)),IF(Q1193=0,1,0),0)</f>
        <v>1</v>
      </c>
      <c r="S1194" s="56" t="n">
        <f aca="false">R1194*(B1194&gt;=Train_Start)*(B1194&lt;=Train_End)</f>
        <v>1</v>
      </c>
      <c r="T1194" s="84" t="n">
        <f aca="false">IF(AND(ISNUMBER(O1194),ISNUMBER(P1194)),Coef_A+Coef_B1*O1194+Coef_B2*P1194,"")</f>
        <v>16.9106215991297</v>
      </c>
      <c r="U1194" s="84" t="n">
        <f aca="false">IF(AND(R1194=1,ISNUMBER(T1194)),E1194-T1194,"")</f>
        <v>1.48937840087029</v>
      </c>
      <c r="V1194" s="84" t="n">
        <f aca="false">IF(ISNUMBER(T1194),T1194,-99)</f>
        <v>16.9106215991297</v>
      </c>
      <c r="W1194" s="84" t="n">
        <f aca="false">IF(ISNUMBER(U1194),ABS(U1194),"")</f>
        <v>1.48937840087029</v>
      </c>
    </row>
    <row r="1195" customFormat="false" ht="15" hidden="false" customHeight="false" outlineLevel="0" collapsed="false">
      <c r="A1195" s="57" t="n">
        <v>31655</v>
      </c>
      <c r="B1195" s="56" t="n">
        <v>1986</v>
      </c>
      <c r="C1195" s="56" t="n">
        <v>8</v>
      </c>
      <c r="D1195" s="56" t="n">
        <v>123</v>
      </c>
      <c r="E1195" s="56" t="n">
        <v>16.9</v>
      </c>
      <c r="F1195" s="56" t="n">
        <v>0</v>
      </c>
      <c r="G1195" s="56" t="n">
        <v>8.8</v>
      </c>
      <c r="H1195" s="56" t="n">
        <v>0</v>
      </c>
      <c r="I1195" s="56" t="n">
        <v>13.6</v>
      </c>
      <c r="J1195" s="56" t="n">
        <v>0</v>
      </c>
      <c r="K1195" s="56" t="n">
        <v>1026.8</v>
      </c>
      <c r="L1195" s="56" t="n">
        <v>0</v>
      </c>
      <c r="M1195" s="56" t="n">
        <v>70</v>
      </c>
      <c r="N1195" s="56" t="n">
        <v>10.8</v>
      </c>
      <c r="O1195" s="56" t="n">
        <f aca="false">IF(D1195=1,"",E1194)</f>
        <v>18.4</v>
      </c>
      <c r="P1195" s="56" t="n">
        <f aca="false">IF(OR(D1195=1,K1194=""),"",K1194)</f>
        <v>1023</v>
      </c>
      <c r="Q1195" s="56" t="n">
        <f aca="false">IF(OR(F1195&lt;&gt;0,AND(I1195&lt;&gt;"",E1195&lt;I1195)),1,0)</f>
        <v>0</v>
      </c>
      <c r="R1195" s="56" t="n">
        <f aca="false">IF(AND(D1195&gt;1,Q1195=0,ISNUMBER(O1195),ISNUMBER(P1195)),IF(Q1194=0,1,0),0)</f>
        <v>1</v>
      </c>
      <c r="S1195" s="56" t="n">
        <f aca="false">R1195*(B1195&gt;=Train_Start)*(B1195&lt;=Train_End)</f>
        <v>1</v>
      </c>
      <c r="T1195" s="84" t="n">
        <f aca="false">IF(AND(ISNUMBER(O1195),ISNUMBER(P1195)),Coef_A+Coef_B1*O1195+Coef_B2*P1195,"")</f>
        <v>19.2542187845517</v>
      </c>
      <c r="U1195" s="84" t="n">
        <f aca="false">IF(AND(R1195=1,ISNUMBER(T1195)),E1195-T1195,"")</f>
        <v>-2.35421878455175</v>
      </c>
      <c r="V1195" s="84" t="n">
        <f aca="false">IF(ISNUMBER(T1195),T1195,-99)</f>
        <v>19.2542187845517</v>
      </c>
      <c r="W1195" s="84" t="n">
        <f aca="false">IF(ISNUMBER(U1195),ABS(U1195),"")</f>
        <v>2.35421878455175</v>
      </c>
    </row>
    <row r="1196" customFormat="false" ht="15" hidden="false" customHeight="false" outlineLevel="0" collapsed="false">
      <c r="A1196" s="57" t="n">
        <v>31656</v>
      </c>
      <c r="B1196" s="56" t="n">
        <v>1986</v>
      </c>
      <c r="C1196" s="56" t="n">
        <v>9</v>
      </c>
      <c r="D1196" s="56" t="n">
        <v>124</v>
      </c>
      <c r="E1196" s="56" t="n">
        <v>21.5</v>
      </c>
      <c r="F1196" s="56" t="n">
        <v>0</v>
      </c>
      <c r="G1196" s="56" t="n">
        <v>10</v>
      </c>
      <c r="H1196" s="56" t="n">
        <v>0</v>
      </c>
      <c r="I1196" s="56" t="n">
        <v>13.4</v>
      </c>
      <c r="J1196" s="56" t="n">
        <v>0</v>
      </c>
      <c r="K1196" s="56" t="n">
        <v>1022.1</v>
      </c>
      <c r="L1196" s="56" t="n">
        <v>0</v>
      </c>
      <c r="M1196" s="56" t="n">
        <v>83</v>
      </c>
      <c r="N1196" s="56" t="n">
        <v>0</v>
      </c>
      <c r="O1196" s="56" t="n">
        <f aca="false">IF(D1196=1,"",E1195)</f>
        <v>16.9</v>
      </c>
      <c r="P1196" s="56" t="n">
        <f aca="false">IF(OR(D1196=1,K1195=""),"",K1195)</f>
        <v>1026.8</v>
      </c>
      <c r="Q1196" s="56" t="n">
        <f aca="false">IF(OR(F1196&lt;&gt;0,AND(I1196&lt;&gt;"",E1196&lt;I1196)),1,0)</f>
        <v>0</v>
      </c>
      <c r="R1196" s="56" t="n">
        <f aca="false">IF(AND(D1196&gt;1,Q1196=0,ISNUMBER(O1196),ISNUMBER(P1196)),IF(Q1195=0,1,0),0)</f>
        <v>1</v>
      </c>
      <c r="S1196" s="56" t="n">
        <f aca="false">R1196*(B1196&gt;=Train_Start)*(B1196&lt;=Train_End)</f>
        <v>1</v>
      </c>
      <c r="T1196" s="84" t="n">
        <f aca="false">IF(AND(ISNUMBER(O1196),ISNUMBER(P1196)),Coef_A+Coef_B1*O1196+Coef_B2*P1196,"")</f>
        <v>18.1444155945969</v>
      </c>
      <c r="U1196" s="84" t="n">
        <f aca="false">IF(AND(R1196=1,ISNUMBER(T1196)),E1196-T1196,"")</f>
        <v>3.35558440540308</v>
      </c>
      <c r="V1196" s="84" t="n">
        <f aca="false">IF(ISNUMBER(T1196),T1196,-99)</f>
        <v>18.1444155945969</v>
      </c>
      <c r="W1196" s="84" t="n">
        <f aca="false">IF(ISNUMBER(U1196),ABS(U1196),"")</f>
        <v>3.35558440540308</v>
      </c>
    </row>
    <row r="1197" customFormat="false" ht="15" hidden="false" customHeight="false" outlineLevel="0" collapsed="false">
      <c r="A1197" s="57" t="n">
        <v>31657</v>
      </c>
      <c r="B1197" s="56" t="n">
        <v>1986</v>
      </c>
      <c r="C1197" s="56" t="n">
        <v>9</v>
      </c>
      <c r="D1197" s="56" t="n">
        <v>125</v>
      </c>
      <c r="E1197" s="56" t="n">
        <v>16.5</v>
      </c>
      <c r="F1197" s="56" t="n">
        <v>0</v>
      </c>
      <c r="G1197" s="56" t="n">
        <v>11</v>
      </c>
      <c r="H1197" s="56" t="n">
        <v>0</v>
      </c>
      <c r="I1197" s="56" t="n">
        <v>16.2</v>
      </c>
      <c r="J1197" s="56" t="n">
        <v>0</v>
      </c>
      <c r="K1197" s="56" t="n">
        <v>1017.5</v>
      </c>
      <c r="L1197" s="56" t="n">
        <v>0</v>
      </c>
      <c r="M1197" s="56" t="n">
        <v>72</v>
      </c>
      <c r="N1197" s="56" t="n">
        <v>10.2</v>
      </c>
      <c r="O1197" s="56" t="n">
        <f aca="false">IF(D1197=1,"",E1196)</f>
        <v>21.5</v>
      </c>
      <c r="P1197" s="56" t="n">
        <f aca="false">IF(OR(D1197=1,K1196=""),"",K1196)</f>
        <v>1022.1</v>
      </c>
      <c r="Q1197" s="56" t="n">
        <f aca="false">IF(OR(F1197&lt;&gt;0,AND(I1197&lt;&gt;"",E1197&lt;I1197)),1,0)</f>
        <v>0</v>
      </c>
      <c r="R1197" s="56" t="n">
        <f aca="false">IF(AND(D1197&gt;1,Q1197=0,ISNUMBER(O1197),ISNUMBER(P1197)),IF(Q1196=0,1,0),0)</f>
        <v>1</v>
      </c>
      <c r="S1197" s="56" t="n">
        <f aca="false">R1197*(B1197&gt;=Train_Start)*(B1197&lt;=Train_End)</f>
        <v>1</v>
      </c>
      <c r="T1197" s="84" t="n">
        <f aca="false">IF(AND(ISNUMBER(O1197),ISNUMBER(P1197)),Coef_A+Coef_B1*O1197+Coef_B2*P1197,"")</f>
        <v>21.7659373778134</v>
      </c>
      <c r="U1197" s="84" t="n">
        <f aca="false">IF(AND(R1197=1,ISNUMBER(T1197)),E1197-T1197,"")</f>
        <v>-5.26593737781339</v>
      </c>
      <c r="V1197" s="84" t="n">
        <f aca="false">IF(ISNUMBER(T1197),T1197,-99)</f>
        <v>21.7659373778134</v>
      </c>
      <c r="W1197" s="84" t="n">
        <f aca="false">IF(ISNUMBER(U1197),ABS(U1197),"")</f>
        <v>5.26593737781339</v>
      </c>
    </row>
    <row r="1198" customFormat="false" ht="15" hidden="false" customHeight="false" outlineLevel="0" collapsed="false">
      <c r="A1198" s="57" t="n">
        <v>31658</v>
      </c>
      <c r="B1198" s="56" t="n">
        <v>1986</v>
      </c>
      <c r="C1198" s="56" t="n">
        <v>9</v>
      </c>
      <c r="D1198" s="56" t="n">
        <v>126</v>
      </c>
      <c r="E1198" s="56" t="n">
        <v>19.6</v>
      </c>
      <c r="F1198" s="56" t="n">
        <v>0</v>
      </c>
      <c r="G1198" s="56" t="n">
        <v>11.6</v>
      </c>
      <c r="H1198" s="56" t="n">
        <v>0</v>
      </c>
      <c r="I1198" s="56" t="n">
        <v>14</v>
      </c>
      <c r="J1198" s="56" t="n">
        <v>0</v>
      </c>
      <c r="K1198" s="56" t="n">
        <v>1016.5</v>
      </c>
      <c r="L1198" s="56" t="n">
        <v>0</v>
      </c>
      <c r="M1198" s="56" t="n">
        <v>68</v>
      </c>
      <c r="N1198" s="56" t="n">
        <v>3.9</v>
      </c>
      <c r="O1198" s="56" t="n">
        <f aca="false">IF(D1198=1,"",E1197)</f>
        <v>16.5</v>
      </c>
      <c r="P1198" s="56" t="n">
        <f aca="false">IF(OR(D1198=1,K1197=""),"",K1197)</f>
        <v>1017.5</v>
      </c>
      <c r="Q1198" s="56" t="n">
        <f aca="false">IF(OR(F1198&lt;&gt;0,AND(I1198&lt;&gt;"",E1198&lt;I1198)),1,0)</f>
        <v>0</v>
      </c>
      <c r="R1198" s="56" t="n">
        <f aca="false">IF(AND(D1198&gt;1,Q1198=0,ISNUMBER(O1198),ISNUMBER(P1198)),IF(Q1197=0,1,0),0)</f>
        <v>1</v>
      </c>
      <c r="S1198" s="56" t="n">
        <f aca="false">R1198*(B1198&gt;=Train_Start)*(B1198&lt;=Train_End)</f>
        <v>1</v>
      </c>
      <c r="T1198" s="84" t="n">
        <f aca="false">IF(AND(ISNUMBER(O1198),ISNUMBER(P1198)),Coef_A+Coef_B1*O1198+Coef_B2*P1198,"")</f>
        <v>17.5249398972838</v>
      </c>
      <c r="U1198" s="84" t="n">
        <f aca="false">IF(AND(R1198=1,ISNUMBER(T1198)),E1198-T1198,"")</f>
        <v>2.07506010271624</v>
      </c>
      <c r="V1198" s="84" t="n">
        <f aca="false">IF(ISNUMBER(T1198),T1198,-99)</f>
        <v>17.5249398972838</v>
      </c>
      <c r="W1198" s="84" t="n">
        <f aca="false">IF(ISNUMBER(U1198),ABS(U1198),"")</f>
        <v>2.07506010271624</v>
      </c>
    </row>
    <row r="1199" customFormat="false" ht="15" hidden="false" customHeight="false" outlineLevel="0" collapsed="false">
      <c r="A1199" s="57" t="n">
        <v>31659</v>
      </c>
      <c r="B1199" s="56" t="n">
        <v>1986</v>
      </c>
      <c r="C1199" s="56" t="n">
        <v>9</v>
      </c>
      <c r="D1199" s="56" t="n">
        <v>127</v>
      </c>
      <c r="E1199" s="56" t="n">
        <v>19.3</v>
      </c>
      <c r="F1199" s="56" t="n">
        <v>0</v>
      </c>
      <c r="G1199" s="56" t="n">
        <v>6</v>
      </c>
      <c r="H1199" s="56" t="n">
        <v>0</v>
      </c>
      <c r="I1199" s="56" t="n">
        <v>12.8</v>
      </c>
      <c r="J1199" s="56" t="n">
        <v>0</v>
      </c>
      <c r="K1199" s="56" t="n">
        <v>1029.1</v>
      </c>
      <c r="L1199" s="56" t="n">
        <v>0</v>
      </c>
      <c r="M1199" s="56" t="n">
        <v>68</v>
      </c>
      <c r="N1199" s="56" t="n">
        <v>10.6</v>
      </c>
      <c r="O1199" s="56" t="n">
        <f aca="false">IF(D1199=1,"",E1198)</f>
        <v>19.6</v>
      </c>
      <c r="P1199" s="56" t="n">
        <f aca="false">IF(OR(D1199=1,K1198=""),"",K1198)</f>
        <v>1016.5</v>
      </c>
      <c r="Q1199" s="56" t="n">
        <f aca="false">IF(OR(F1199&lt;&gt;0,AND(I1199&lt;&gt;"",E1199&lt;I1199)),1,0)</f>
        <v>0</v>
      </c>
      <c r="R1199" s="56" t="n">
        <f aca="false">IF(AND(D1199&gt;1,Q1199=0,ISNUMBER(O1199),ISNUMBER(P1199)),IF(Q1198=0,1,0),0)</f>
        <v>1</v>
      </c>
      <c r="S1199" s="56" t="n">
        <f aca="false">R1199*(B1199&gt;=Train_Start)*(B1199&lt;=Train_End)</f>
        <v>1</v>
      </c>
      <c r="T1199" s="84" t="n">
        <f aca="false">IF(AND(ISNUMBER(O1199),ISNUMBER(P1199)),Coef_A+Coef_B1*O1199+Coef_B2*P1199,"")</f>
        <v>20.033521501082</v>
      </c>
      <c r="U1199" s="84" t="n">
        <f aca="false">IF(AND(R1199=1,ISNUMBER(T1199)),E1199-T1199,"")</f>
        <v>-0.733521501082006</v>
      </c>
      <c r="V1199" s="84" t="n">
        <f aca="false">IF(ISNUMBER(T1199),T1199,-99)</f>
        <v>20.033521501082</v>
      </c>
      <c r="W1199" s="84" t="n">
        <f aca="false">IF(ISNUMBER(U1199),ABS(U1199),"")</f>
        <v>0.733521501082006</v>
      </c>
    </row>
    <row r="1200" customFormat="false" ht="15" hidden="false" customHeight="false" outlineLevel="0" collapsed="false">
      <c r="A1200" s="57" t="n">
        <v>31660</v>
      </c>
      <c r="B1200" s="56" t="n">
        <v>1986</v>
      </c>
      <c r="C1200" s="56" t="n">
        <v>9</v>
      </c>
      <c r="D1200" s="56" t="n">
        <v>128</v>
      </c>
      <c r="E1200" s="56" t="n">
        <v>17.3</v>
      </c>
      <c r="F1200" s="56" t="n">
        <v>0</v>
      </c>
      <c r="G1200" s="56" t="n">
        <v>6.8</v>
      </c>
      <c r="H1200" s="56" t="n">
        <v>0</v>
      </c>
      <c r="I1200" s="56" t="n">
        <v>13</v>
      </c>
      <c r="J1200" s="56" t="n">
        <v>0</v>
      </c>
      <c r="K1200" s="56" t="n">
        <v>1025.4</v>
      </c>
      <c r="L1200" s="56" t="n">
        <v>0</v>
      </c>
      <c r="M1200" s="56" t="n">
        <v>72</v>
      </c>
      <c r="N1200" s="56" t="n">
        <v>8.6</v>
      </c>
      <c r="O1200" s="56" t="n">
        <f aca="false">IF(D1200=1,"",E1199)</f>
        <v>19.3</v>
      </c>
      <c r="P1200" s="56" t="n">
        <f aca="false">IF(OR(D1200=1,K1199=""),"",K1199)</f>
        <v>1029.1</v>
      </c>
      <c r="Q1200" s="56" t="n">
        <f aca="false">IF(OR(F1200&lt;&gt;0,AND(I1200&lt;&gt;"",E1200&lt;I1200)),1,0)</f>
        <v>0</v>
      </c>
      <c r="R1200" s="56" t="n">
        <f aca="false">IF(AND(D1200&gt;1,Q1200=0,ISNUMBER(O1200),ISNUMBER(P1200)),IF(Q1199=0,1,0),0)</f>
        <v>1</v>
      </c>
      <c r="S1200" s="56" t="n">
        <f aca="false">R1200*(B1200&gt;=Train_Start)*(B1200&lt;=Train_End)</f>
        <v>1</v>
      </c>
      <c r="T1200" s="84" t="n">
        <f aca="false">IF(AND(ISNUMBER(O1200),ISNUMBER(P1200)),Coef_A+Coef_B1*O1200+Coef_B2*P1200,"")</f>
        <v>20.1829804155575</v>
      </c>
      <c r="U1200" s="84" t="n">
        <f aca="false">IF(AND(R1200=1,ISNUMBER(T1200)),E1200-T1200,"")</f>
        <v>-2.88298041555747</v>
      </c>
      <c r="V1200" s="84" t="n">
        <f aca="false">IF(ISNUMBER(T1200),T1200,-99)</f>
        <v>20.1829804155575</v>
      </c>
      <c r="W1200" s="84" t="n">
        <f aca="false">IF(ISNUMBER(U1200),ABS(U1200),"")</f>
        <v>2.88298041555747</v>
      </c>
    </row>
    <row r="1201" customFormat="false" ht="15" hidden="false" customHeight="false" outlineLevel="0" collapsed="false">
      <c r="A1201" s="57" t="n">
        <v>31661</v>
      </c>
      <c r="B1201" s="56" t="n">
        <v>1986</v>
      </c>
      <c r="C1201" s="56" t="n">
        <v>9</v>
      </c>
      <c r="D1201" s="56" t="n">
        <v>129</v>
      </c>
      <c r="E1201" s="56" t="n">
        <v>19.8</v>
      </c>
      <c r="F1201" s="56" t="n">
        <v>0</v>
      </c>
      <c r="G1201" s="56" t="n">
        <v>9</v>
      </c>
      <c r="H1201" s="56" t="n">
        <v>0</v>
      </c>
      <c r="I1201" s="56" t="n">
        <v>13.2</v>
      </c>
      <c r="J1201" s="56" t="n">
        <v>0</v>
      </c>
      <c r="K1201" s="56" t="n">
        <v>1021.1</v>
      </c>
      <c r="L1201" s="56" t="n">
        <v>0</v>
      </c>
      <c r="M1201" s="56" t="n">
        <v>76</v>
      </c>
      <c r="N1201" s="56" t="n">
        <v>1.6</v>
      </c>
      <c r="O1201" s="56" t="n">
        <f aca="false">IF(D1201=1,"",E1200)</f>
        <v>17.3</v>
      </c>
      <c r="P1201" s="56" t="n">
        <f aca="false">IF(OR(D1201=1,K1200=""),"",K1200)</f>
        <v>1025.4</v>
      </c>
      <c r="Q1201" s="56" t="n">
        <f aca="false">IF(OR(F1201&lt;&gt;0,AND(I1201&lt;&gt;"",E1201&lt;I1201)),1,0)</f>
        <v>0</v>
      </c>
      <c r="R1201" s="56" t="n">
        <f aca="false">IF(AND(D1201&gt;1,Q1201=0,ISNUMBER(O1201),ISNUMBER(P1201)),IF(Q1200=0,1,0),0)</f>
        <v>1</v>
      </c>
      <c r="S1201" s="56" t="n">
        <f aca="false">R1201*(B1201&gt;=Train_Start)*(B1201&lt;=Train_End)</f>
        <v>1</v>
      </c>
      <c r="T1201" s="84" t="n">
        <f aca="false">IF(AND(ISNUMBER(O1201),ISNUMBER(P1201)),Coef_A+Coef_B1*O1201+Coef_B2*P1201,"")</f>
        <v>18.4282334193264</v>
      </c>
      <c r="U1201" s="84" t="n">
        <f aca="false">IF(AND(R1201=1,ISNUMBER(T1201)),E1201-T1201,"")</f>
        <v>1.3717665806736</v>
      </c>
      <c r="V1201" s="84" t="n">
        <f aca="false">IF(ISNUMBER(T1201),T1201,-99)</f>
        <v>18.4282334193264</v>
      </c>
      <c r="W1201" s="84" t="n">
        <f aca="false">IF(ISNUMBER(U1201),ABS(U1201),"")</f>
        <v>1.3717665806736</v>
      </c>
    </row>
    <row r="1202" customFormat="false" ht="15" hidden="false" customHeight="false" outlineLevel="0" collapsed="false">
      <c r="A1202" s="57" t="n">
        <v>31662</v>
      </c>
      <c r="B1202" s="56" t="n">
        <v>1986</v>
      </c>
      <c r="C1202" s="56" t="n">
        <v>9</v>
      </c>
      <c r="D1202" s="56" t="n">
        <v>130</v>
      </c>
      <c r="E1202" s="56" t="n">
        <v>16.5</v>
      </c>
      <c r="F1202" s="56" t="n">
        <v>0</v>
      </c>
      <c r="G1202" s="56" t="n">
        <v>8.1</v>
      </c>
      <c r="H1202" s="56" t="n">
        <v>0</v>
      </c>
      <c r="I1202" s="56" t="n">
        <v>14</v>
      </c>
      <c r="J1202" s="56" t="n">
        <v>0</v>
      </c>
      <c r="K1202" s="56" t="n">
        <v>1020.6</v>
      </c>
      <c r="L1202" s="56" t="n">
        <v>0</v>
      </c>
      <c r="M1202" s="56" t="n">
        <v>69</v>
      </c>
      <c r="N1202" s="56" t="n">
        <v>10.8</v>
      </c>
      <c r="O1202" s="56" t="n">
        <f aca="false">IF(D1202=1,"",E1201)</f>
        <v>19.8</v>
      </c>
      <c r="P1202" s="56" t="n">
        <f aca="false">IF(OR(D1202=1,K1201=""),"",K1201)</f>
        <v>1021.1</v>
      </c>
      <c r="Q1202" s="56" t="n">
        <f aca="false">IF(OR(F1202&lt;&gt;0,AND(I1202&lt;&gt;"",E1202&lt;I1202)),1,0)</f>
        <v>0</v>
      </c>
      <c r="R1202" s="56" t="n">
        <f aca="false">IF(AND(D1202&gt;1,Q1202=0,ISNUMBER(O1202),ISNUMBER(P1202)),IF(Q1201=0,1,0),0)</f>
        <v>1</v>
      </c>
      <c r="S1202" s="56" t="n">
        <f aca="false">R1202*(B1202&gt;=Train_Start)*(B1202&lt;=Train_End)</f>
        <v>1</v>
      </c>
      <c r="T1202" s="84" t="n">
        <f aca="false">IF(AND(ISNUMBER(O1202),ISNUMBER(P1202)),Coef_A+Coef_B1*O1202+Coef_B2*P1202,"")</f>
        <v>20.3416908550069</v>
      </c>
      <c r="U1202" s="84" t="n">
        <f aca="false">IF(AND(R1202=1,ISNUMBER(T1202)),E1202-T1202,"")</f>
        <v>-3.84169085500689</v>
      </c>
      <c r="V1202" s="84" t="n">
        <f aca="false">IF(ISNUMBER(T1202),T1202,-99)</f>
        <v>20.3416908550069</v>
      </c>
      <c r="W1202" s="84" t="n">
        <f aca="false">IF(ISNUMBER(U1202),ABS(U1202),"")</f>
        <v>3.84169085500689</v>
      </c>
    </row>
    <row r="1203" customFormat="false" ht="15" hidden="false" customHeight="false" outlineLevel="0" collapsed="false">
      <c r="A1203" s="57" t="n">
        <v>31663</v>
      </c>
      <c r="B1203" s="56" t="n">
        <v>1986</v>
      </c>
      <c r="C1203" s="56" t="n">
        <v>9</v>
      </c>
      <c r="D1203" s="56" t="n">
        <v>131</v>
      </c>
      <c r="E1203" s="56" t="n">
        <v>17.2</v>
      </c>
      <c r="F1203" s="56" t="n">
        <v>0</v>
      </c>
      <c r="G1203" s="56" t="n">
        <v>8.1</v>
      </c>
      <c r="H1203" s="56" t="n">
        <v>0</v>
      </c>
      <c r="I1203" s="56" t="n">
        <v>12.3</v>
      </c>
      <c r="J1203" s="56" t="n">
        <v>0</v>
      </c>
      <c r="K1203" s="56" t="n">
        <v>1019.8</v>
      </c>
      <c r="L1203" s="56" t="n">
        <v>0</v>
      </c>
      <c r="M1203" s="56" t="n">
        <v>70</v>
      </c>
      <c r="N1203" s="56" t="n">
        <v>1.7</v>
      </c>
      <c r="O1203" s="56" t="n">
        <f aca="false">IF(D1203=1,"",E1202)</f>
        <v>16.5</v>
      </c>
      <c r="P1203" s="56" t="n">
        <f aca="false">IF(OR(D1203=1,K1202=""),"",K1202)</f>
        <v>1020.6</v>
      </c>
      <c r="Q1203" s="56" t="n">
        <f aca="false">IF(OR(F1203&lt;&gt;0,AND(I1203&lt;&gt;"",E1203&lt;I1203)),1,0)</f>
        <v>0</v>
      </c>
      <c r="R1203" s="56" t="n">
        <f aca="false">IF(AND(D1203&gt;1,Q1203=0,ISNUMBER(O1203),ISNUMBER(P1203)),IF(Q1202=0,1,0),0)</f>
        <v>1</v>
      </c>
      <c r="S1203" s="56" t="n">
        <f aca="false">R1203*(B1203&gt;=Train_Start)*(B1203&lt;=Train_End)</f>
        <v>1</v>
      </c>
      <c r="T1203" s="84" t="n">
        <f aca="false">IF(AND(ISNUMBER(O1203),ISNUMBER(P1203)),Coef_A+Coef_B1*O1203+Coef_B2*P1203,"")</f>
        <v>17.6221865706491</v>
      </c>
      <c r="U1203" s="84" t="n">
        <f aca="false">IF(AND(R1203=1,ISNUMBER(T1203)),E1203-T1203,"")</f>
        <v>-0.422186570649128</v>
      </c>
      <c r="V1203" s="84" t="n">
        <f aca="false">IF(ISNUMBER(T1203),T1203,-99)</f>
        <v>17.6221865706491</v>
      </c>
      <c r="W1203" s="84" t="n">
        <f aca="false">IF(ISNUMBER(U1203),ABS(U1203),"")</f>
        <v>0.422186570649128</v>
      </c>
    </row>
    <row r="1204" customFormat="false" ht="15" hidden="false" customHeight="false" outlineLevel="0" collapsed="false">
      <c r="A1204" s="57" t="n">
        <v>31664</v>
      </c>
      <c r="B1204" s="56" t="n">
        <v>1986</v>
      </c>
      <c r="C1204" s="56" t="n">
        <v>9</v>
      </c>
      <c r="D1204" s="56" t="n">
        <v>132</v>
      </c>
      <c r="E1204" s="56" t="n">
        <v>17</v>
      </c>
      <c r="F1204" s="56" t="n">
        <v>0</v>
      </c>
      <c r="G1204" s="56" t="n">
        <v>5.1</v>
      </c>
      <c r="H1204" s="56" t="n">
        <v>0</v>
      </c>
      <c r="I1204" s="56" t="n">
        <v>11.2</v>
      </c>
      <c r="J1204" s="56" t="n">
        <v>0</v>
      </c>
      <c r="K1204" s="56" t="n">
        <v>1023.1</v>
      </c>
      <c r="L1204" s="56" t="n">
        <v>0</v>
      </c>
      <c r="M1204" s="56" t="n">
        <v>68</v>
      </c>
      <c r="N1204" s="56" t="n">
        <v>9.3</v>
      </c>
      <c r="O1204" s="56" t="n">
        <f aca="false">IF(D1204=1,"",E1203)</f>
        <v>17.2</v>
      </c>
      <c r="P1204" s="56" t="n">
        <f aca="false">IF(OR(D1204=1,K1203=""),"",K1203)</f>
        <v>1019.8</v>
      </c>
      <c r="Q1204" s="56" t="n">
        <f aca="false">IF(OR(F1204&lt;&gt;0,AND(I1204&lt;&gt;"",E1204&lt;I1204)),1,0)</f>
        <v>0</v>
      </c>
      <c r="R1204" s="56" t="n">
        <f aca="false">IF(AND(D1204&gt;1,Q1204=0,ISNUMBER(O1204),ISNUMBER(P1204)),IF(Q1203=0,1,0),0)</f>
        <v>1</v>
      </c>
      <c r="S1204" s="56" t="n">
        <f aca="false">R1204*(B1204&gt;=Train_Start)*(B1204&lt;=Train_End)</f>
        <v>1</v>
      </c>
      <c r="T1204" s="84" t="n">
        <f aca="false">IF(AND(ISNUMBER(O1204),ISNUMBER(P1204)),Coef_A+Coef_B1*O1204+Coef_B2*P1204,"")</f>
        <v>18.1706280900718</v>
      </c>
      <c r="U1204" s="84" t="n">
        <f aca="false">IF(AND(R1204=1,ISNUMBER(T1204)),E1204-T1204,"")</f>
        <v>-1.17062809007179</v>
      </c>
      <c r="V1204" s="84" t="n">
        <f aca="false">IF(ISNUMBER(T1204),T1204,-99)</f>
        <v>18.1706280900718</v>
      </c>
      <c r="W1204" s="84" t="n">
        <f aca="false">IF(ISNUMBER(U1204),ABS(U1204),"")</f>
        <v>1.17062809007179</v>
      </c>
    </row>
    <row r="1205" customFormat="false" ht="15" hidden="false" customHeight="false" outlineLevel="0" collapsed="false">
      <c r="A1205" s="57" t="n">
        <v>31665</v>
      </c>
      <c r="B1205" s="56" t="n">
        <v>1986</v>
      </c>
      <c r="C1205" s="56" t="n">
        <v>9</v>
      </c>
      <c r="D1205" s="56" t="n">
        <v>133</v>
      </c>
      <c r="E1205" s="56" t="n">
        <v>18</v>
      </c>
      <c r="F1205" s="56" t="n">
        <v>0</v>
      </c>
      <c r="G1205" s="56" t="n">
        <v>4.5</v>
      </c>
      <c r="H1205" s="56" t="n">
        <v>0</v>
      </c>
      <c r="I1205" s="56" t="n">
        <v>10.8</v>
      </c>
      <c r="J1205" s="56" t="n">
        <v>0</v>
      </c>
      <c r="K1205" s="56" t="n">
        <v>1021</v>
      </c>
      <c r="L1205" s="56" t="n">
        <v>0</v>
      </c>
      <c r="M1205" s="56" t="n">
        <v>70</v>
      </c>
      <c r="N1205" s="56" t="n">
        <v>6.4</v>
      </c>
      <c r="O1205" s="56" t="n">
        <f aca="false">IF(D1205=1,"",E1204)</f>
        <v>17</v>
      </c>
      <c r="P1205" s="56" t="n">
        <f aca="false">IF(OR(D1205=1,K1204=""),"",K1204)</f>
        <v>1023.1</v>
      </c>
      <c r="Q1205" s="56" t="n">
        <f aca="false">IF(OR(F1205&lt;&gt;0,AND(I1205&lt;&gt;"",E1205&lt;I1205)),1,0)</f>
        <v>0</v>
      </c>
      <c r="R1205" s="56" t="n">
        <f aca="false">IF(AND(D1205&gt;1,Q1205=0,ISNUMBER(O1205),ISNUMBER(P1205)),IF(Q1204=0,1,0),0)</f>
        <v>1</v>
      </c>
      <c r="S1205" s="56" t="n">
        <f aca="false">R1205*(B1205&gt;=Train_Start)*(B1205&lt;=Train_End)</f>
        <v>1</v>
      </c>
      <c r="T1205" s="84" t="n">
        <f aca="false">IF(AND(ISNUMBER(O1205),ISNUMBER(P1205)),Coef_A+Coef_B1*O1205+Coef_B2*P1205,"")</f>
        <v>18.1102809037554</v>
      </c>
      <c r="U1205" s="84" t="n">
        <f aca="false">IF(AND(R1205=1,ISNUMBER(T1205)),E1205-T1205,"")</f>
        <v>-0.110280903755424</v>
      </c>
      <c r="V1205" s="84" t="n">
        <f aca="false">IF(ISNUMBER(T1205),T1205,-99)</f>
        <v>18.1102809037554</v>
      </c>
      <c r="W1205" s="84" t="n">
        <f aca="false">IF(ISNUMBER(U1205),ABS(U1205),"")</f>
        <v>0.110280903755424</v>
      </c>
    </row>
    <row r="1206" customFormat="false" ht="15" hidden="false" customHeight="false" outlineLevel="0" collapsed="false">
      <c r="A1206" s="57" t="n">
        <v>31666</v>
      </c>
      <c r="B1206" s="56" t="n">
        <v>1986</v>
      </c>
      <c r="C1206" s="56" t="n">
        <v>9</v>
      </c>
      <c r="D1206" s="56" t="n">
        <v>134</v>
      </c>
      <c r="E1206" s="56" t="n">
        <v>16.4</v>
      </c>
      <c r="F1206" s="56" t="n">
        <v>0</v>
      </c>
      <c r="G1206" s="56" t="n">
        <v>6.6</v>
      </c>
      <c r="H1206" s="56" t="n">
        <v>0</v>
      </c>
      <c r="I1206" s="56" t="n">
        <v>12.3</v>
      </c>
      <c r="J1206" s="56" t="n">
        <v>0</v>
      </c>
      <c r="K1206" s="56" t="n">
        <v>1018.7</v>
      </c>
      <c r="L1206" s="56" t="n">
        <v>0</v>
      </c>
      <c r="M1206" s="56" t="n">
        <v>74</v>
      </c>
      <c r="N1206" s="56" t="n">
        <v>6</v>
      </c>
      <c r="O1206" s="56" t="n">
        <f aca="false">IF(D1206=1,"",E1205)</f>
        <v>18</v>
      </c>
      <c r="P1206" s="56" t="n">
        <f aca="false">IF(OR(D1206=1,K1205=""),"",K1205)</f>
        <v>1021</v>
      </c>
      <c r="Q1206" s="56" t="n">
        <f aca="false">IF(OR(F1206&lt;&gt;0,AND(I1206&lt;&gt;"",E1206&lt;I1206)),1,0)</f>
        <v>0</v>
      </c>
      <c r="R1206" s="56" t="n">
        <f aca="false">IF(AND(D1206&gt;1,Q1206=0,ISNUMBER(O1206),ISNUMBER(P1206)),IF(Q1205=0,1,0),0)</f>
        <v>1</v>
      </c>
      <c r="S1206" s="56" t="n">
        <f aca="false">R1206*(B1206&gt;=Train_Start)*(B1206&lt;=Train_End)</f>
        <v>1</v>
      </c>
      <c r="T1206" s="84" t="n">
        <f aca="false">IF(AND(ISNUMBER(O1206),ISNUMBER(P1206)),Coef_A+Coef_B1*O1206+Coef_B2*P1206,"")</f>
        <v>18.8637433180667</v>
      </c>
      <c r="U1206" s="84" t="n">
        <f aca="false">IF(AND(R1206=1,ISNUMBER(T1206)),E1206-T1206,"")</f>
        <v>-2.4637433180667</v>
      </c>
      <c r="V1206" s="84" t="n">
        <f aca="false">IF(ISNUMBER(T1206),T1206,-99)</f>
        <v>18.8637433180667</v>
      </c>
      <c r="W1206" s="84" t="n">
        <f aca="false">IF(ISNUMBER(U1206),ABS(U1206),"")</f>
        <v>2.4637433180667</v>
      </c>
    </row>
    <row r="1207" customFormat="false" ht="15" hidden="false" customHeight="false" outlineLevel="0" collapsed="false">
      <c r="A1207" s="57" t="n">
        <v>31667</v>
      </c>
      <c r="B1207" s="56" t="n">
        <v>1986</v>
      </c>
      <c r="C1207" s="56" t="n">
        <v>9</v>
      </c>
      <c r="D1207" s="56" t="n">
        <v>135</v>
      </c>
      <c r="E1207" s="56" t="n">
        <v>14.9</v>
      </c>
      <c r="F1207" s="56" t="n">
        <v>0</v>
      </c>
      <c r="G1207" s="56" t="n">
        <v>7.9</v>
      </c>
      <c r="H1207" s="56" t="n">
        <v>0</v>
      </c>
      <c r="I1207" s="56" t="n">
        <v>12.2</v>
      </c>
      <c r="J1207" s="56" t="n">
        <v>0</v>
      </c>
      <c r="K1207" s="56" t="n">
        <v>1017.2</v>
      </c>
      <c r="L1207" s="56" t="n">
        <v>0</v>
      </c>
      <c r="M1207" s="56" t="n">
        <v>65</v>
      </c>
      <c r="N1207" s="56" t="n">
        <v>5.9</v>
      </c>
      <c r="O1207" s="56" t="n">
        <f aca="false">IF(D1207=1,"",E1206)</f>
        <v>16.4</v>
      </c>
      <c r="P1207" s="56" t="n">
        <f aca="false">IF(OR(D1207=1,K1206=""),"",K1206)</f>
        <v>1018.7</v>
      </c>
      <c r="Q1207" s="56" t="n">
        <f aca="false">IF(OR(F1207&lt;&gt;0,AND(I1207&lt;&gt;"",E1207&lt;I1207)),1,0)</f>
        <v>0</v>
      </c>
      <c r="R1207" s="56" t="n">
        <f aca="false">IF(AND(D1207&gt;1,Q1207=0,ISNUMBER(O1207),ISNUMBER(P1207)),IF(Q1206=0,1,0),0)</f>
        <v>1</v>
      </c>
      <c r="S1207" s="56" t="n">
        <f aca="false">R1207*(B1207&gt;=Train_Start)*(B1207&lt;=Train_End)</f>
        <v>1</v>
      </c>
      <c r="T1207" s="84" t="n">
        <f aca="false">IF(AND(ISNUMBER(O1207),ISNUMBER(P1207)),Coef_A+Coef_B1*O1207+Coef_B2*P1207,"")</f>
        <v>17.4806498515403</v>
      </c>
      <c r="U1207" s="84" t="n">
        <f aca="false">IF(AND(R1207=1,ISNUMBER(T1207)),E1207-T1207,"")</f>
        <v>-2.58064985154028</v>
      </c>
      <c r="V1207" s="84" t="n">
        <f aca="false">IF(ISNUMBER(T1207),T1207,-99)</f>
        <v>17.4806498515403</v>
      </c>
      <c r="W1207" s="84" t="n">
        <f aca="false">IF(ISNUMBER(U1207),ABS(U1207),"")</f>
        <v>2.58064985154028</v>
      </c>
    </row>
    <row r="1208" customFormat="false" ht="15" hidden="false" customHeight="false" outlineLevel="0" collapsed="false">
      <c r="A1208" s="57" t="n">
        <v>31668</v>
      </c>
      <c r="B1208" s="56" t="n">
        <v>1986</v>
      </c>
      <c r="C1208" s="56" t="n">
        <v>9</v>
      </c>
      <c r="D1208" s="56" t="n">
        <v>136</v>
      </c>
      <c r="E1208" s="56" t="n">
        <v>16</v>
      </c>
      <c r="F1208" s="56" t="n">
        <v>0</v>
      </c>
      <c r="G1208" s="56" t="n">
        <v>7.9</v>
      </c>
      <c r="H1208" s="56" t="n">
        <v>0</v>
      </c>
      <c r="I1208" s="56" t="n">
        <v>11.4</v>
      </c>
      <c r="J1208" s="56" t="n">
        <v>0</v>
      </c>
      <c r="K1208" s="56" t="n">
        <v>1012.3</v>
      </c>
      <c r="L1208" s="56" t="n">
        <v>0</v>
      </c>
      <c r="M1208" s="56" t="n">
        <v>83</v>
      </c>
      <c r="N1208" s="56" t="n">
        <v>1.5</v>
      </c>
      <c r="O1208" s="56" t="n">
        <f aca="false">IF(D1208=1,"",E1207)</f>
        <v>14.9</v>
      </c>
      <c r="P1208" s="56" t="n">
        <f aca="false">IF(OR(D1208=1,K1207=""),"",K1207)</f>
        <v>1017.2</v>
      </c>
      <c r="Q1208" s="56" t="n">
        <f aca="false">IF(OR(F1208&lt;&gt;0,AND(I1208&lt;&gt;"",E1208&lt;I1208)),1,0)</f>
        <v>0</v>
      </c>
      <c r="R1208" s="56" t="n">
        <f aca="false">IF(AND(D1208&gt;1,Q1208=0,ISNUMBER(O1208),ISNUMBER(P1208)),IF(Q1207=0,1,0),0)</f>
        <v>1</v>
      </c>
      <c r="S1208" s="56" t="n">
        <f aca="false">R1208*(B1208&gt;=Train_Start)*(B1208&lt;=Train_End)</f>
        <v>1</v>
      </c>
      <c r="T1208" s="84" t="n">
        <f aca="false">IF(AND(ISNUMBER(O1208),ISNUMBER(P1208)),Coef_A+Coef_B1*O1208+Coef_B2*P1208,"")</f>
        <v>16.2045862200253</v>
      </c>
      <c r="U1208" s="84" t="n">
        <f aca="false">IF(AND(R1208=1,ISNUMBER(T1208)),E1208-T1208,"")</f>
        <v>-0.204586220025309</v>
      </c>
      <c r="V1208" s="84" t="n">
        <f aca="false">IF(ISNUMBER(T1208),T1208,-99)</f>
        <v>16.2045862200253</v>
      </c>
      <c r="W1208" s="84" t="n">
        <f aca="false">IF(ISNUMBER(U1208),ABS(U1208),"")</f>
        <v>0.204586220025309</v>
      </c>
    </row>
    <row r="1209" customFormat="false" ht="15" hidden="false" customHeight="false" outlineLevel="0" collapsed="false">
      <c r="A1209" s="57" t="n">
        <v>31669</v>
      </c>
      <c r="B1209" s="56" t="n">
        <v>1986</v>
      </c>
      <c r="C1209" s="56" t="n">
        <v>9</v>
      </c>
      <c r="D1209" s="56" t="n">
        <v>137</v>
      </c>
      <c r="E1209" s="56" t="n">
        <v>11.2</v>
      </c>
      <c r="F1209" s="56" t="n">
        <v>1</v>
      </c>
      <c r="G1209" s="56" t="n">
        <v>10.8</v>
      </c>
      <c r="H1209" s="56" t="n">
        <v>0</v>
      </c>
      <c r="I1209" s="56" t="n">
        <v>13.4</v>
      </c>
      <c r="J1209" s="56" t="n">
        <v>1</v>
      </c>
      <c r="K1209" s="56" t="n">
        <v>1009.9</v>
      </c>
      <c r="L1209" s="56" t="n">
        <v>0</v>
      </c>
      <c r="M1209" s="56" t="n">
        <v>81</v>
      </c>
      <c r="N1209" s="56" t="n">
        <v>1.1</v>
      </c>
      <c r="O1209" s="56" t="n">
        <f aca="false">IF(D1209=1,"",E1208)</f>
        <v>16</v>
      </c>
      <c r="P1209" s="56" t="n">
        <f aca="false">IF(OR(D1209=1,K1208=""),"",K1208)</f>
        <v>1012.3</v>
      </c>
      <c r="Q1209" s="56" t="n">
        <f aca="false">IF(OR(F1209&lt;&gt;0,AND(I1209&lt;&gt;"",E1209&lt;I1209)),1,0)</f>
        <v>1</v>
      </c>
      <c r="R1209" s="56" t="n">
        <f aca="false">IF(AND(D1209&gt;1,Q1209=0,ISNUMBER(O1209),ISNUMBER(P1209)),IF(Q1208=0,1,0),0)</f>
        <v>0</v>
      </c>
      <c r="S1209" s="56" t="n">
        <f aca="false">R1209*(B1209&gt;=Train_Start)*(B1209&lt;=Train_End)</f>
        <v>0</v>
      </c>
      <c r="T1209" s="84" t="n">
        <f aca="false">IF(AND(ISNUMBER(O1209),ISNUMBER(P1209)),Coef_A+Coef_B1*O1209+Coef_B2*P1209,"")</f>
        <v>16.9521468486657</v>
      </c>
      <c r="U1209" s="84" t="str">
        <f aca="false">IF(AND(R1209=1,ISNUMBER(T1209)),E1209-T1209,"")</f>
        <v/>
      </c>
      <c r="V1209" s="84" t="n">
        <f aca="false">IF(ISNUMBER(T1209),T1209,-99)</f>
        <v>16.9521468486657</v>
      </c>
      <c r="W1209" s="84" t="str">
        <f aca="false">IF(ISNUMBER(U1209),ABS(U1209),"")</f>
        <v/>
      </c>
    </row>
    <row r="1210" customFormat="false" ht="15" hidden="false" customHeight="false" outlineLevel="0" collapsed="false">
      <c r="A1210" s="57" t="n">
        <v>31670</v>
      </c>
      <c r="B1210" s="56" t="n">
        <v>1986</v>
      </c>
      <c r="C1210" s="56" t="n">
        <v>9</v>
      </c>
      <c r="D1210" s="56" t="n">
        <v>138</v>
      </c>
      <c r="E1210" s="56" t="n">
        <v>15</v>
      </c>
      <c r="F1210" s="56" t="n">
        <v>0</v>
      </c>
      <c r="G1210" s="56" t="n">
        <v>9.2</v>
      </c>
      <c r="H1210" s="56" t="n">
        <v>0</v>
      </c>
      <c r="I1210" s="56" t="n">
        <v>10.2</v>
      </c>
      <c r="J1210" s="56" t="n">
        <v>0</v>
      </c>
      <c r="K1210" s="56" t="n">
        <v>1013.4</v>
      </c>
      <c r="L1210" s="56" t="n">
        <v>0</v>
      </c>
      <c r="M1210" s="56" t="n">
        <v>79</v>
      </c>
      <c r="N1210" s="56" t="n">
        <v>0</v>
      </c>
      <c r="O1210" s="56" t="n">
        <f aca="false">IF(D1210=1,"",E1209)</f>
        <v>11.2</v>
      </c>
      <c r="P1210" s="56" t="n">
        <f aca="false">IF(OR(D1210=1,K1209=""),"",K1209)</f>
        <v>1009.9</v>
      </c>
      <c r="Q1210" s="56" t="n">
        <f aca="false">IF(OR(F1210&lt;&gt;0,AND(I1210&lt;&gt;"",E1210&lt;I1210)),1,0)</f>
        <v>0</v>
      </c>
      <c r="R1210" s="56" t="n">
        <f aca="false">IF(AND(D1210&gt;1,Q1210=0,ISNUMBER(O1210),ISNUMBER(P1210)),IF(Q1209=0,1,0),0)</f>
        <v>0</v>
      </c>
      <c r="S1210" s="56" t="n">
        <f aca="false">R1210*(B1210&gt;=Train_Start)*(B1210&lt;=Train_End)</f>
        <v>0</v>
      </c>
      <c r="T1210" s="84" t="n">
        <f aca="false">IF(AND(ISNUMBER(O1210),ISNUMBER(P1210)),Coef_A+Coef_B1*O1210+Coef_B2*P1210,"")</f>
        <v>12.9440309749393</v>
      </c>
      <c r="U1210" s="84" t="str">
        <f aca="false">IF(AND(R1210=1,ISNUMBER(T1210)),E1210-T1210,"")</f>
        <v/>
      </c>
      <c r="V1210" s="84" t="n">
        <f aca="false">IF(ISNUMBER(T1210),T1210,-99)</f>
        <v>12.9440309749393</v>
      </c>
      <c r="W1210" s="84" t="str">
        <f aca="false">IF(ISNUMBER(U1210),ABS(U1210),"")</f>
        <v/>
      </c>
    </row>
    <row r="1211" customFormat="false" ht="15" hidden="false" customHeight="false" outlineLevel="0" collapsed="false">
      <c r="A1211" s="57" t="n">
        <v>31671</v>
      </c>
      <c r="B1211" s="56" t="n">
        <v>1986</v>
      </c>
      <c r="C1211" s="56" t="n">
        <v>9</v>
      </c>
      <c r="D1211" s="56" t="n">
        <v>139</v>
      </c>
      <c r="E1211" s="56" t="n">
        <v>14</v>
      </c>
      <c r="F1211" s="56" t="n">
        <v>0</v>
      </c>
      <c r="G1211" s="56" t="n">
        <v>7.5</v>
      </c>
      <c r="H1211" s="56" t="n">
        <v>0</v>
      </c>
      <c r="I1211" s="56" t="n">
        <v>11.2</v>
      </c>
      <c r="J1211" s="56" t="n">
        <v>0</v>
      </c>
      <c r="K1211" s="56" t="n">
        <v>1019.2</v>
      </c>
      <c r="L1211" s="56" t="n">
        <v>0</v>
      </c>
      <c r="M1211" s="56" t="n">
        <v>72</v>
      </c>
      <c r="N1211" s="56" t="n">
        <v>4.6</v>
      </c>
      <c r="O1211" s="56" t="n">
        <f aca="false">IF(D1211=1,"",E1210)</f>
        <v>15</v>
      </c>
      <c r="P1211" s="56" t="n">
        <f aca="false">IF(OR(D1211=1,K1210=""),"",K1210)</f>
        <v>1013.4</v>
      </c>
      <c r="Q1211" s="56" t="n">
        <f aca="false">IF(OR(F1211&lt;&gt;0,AND(I1211&lt;&gt;"",E1211&lt;I1211)),1,0)</f>
        <v>0</v>
      </c>
      <c r="R1211" s="56" t="n">
        <f aca="false">IF(AND(D1211&gt;1,Q1211=0,ISNUMBER(O1211),ISNUMBER(P1211)),IF(Q1210=0,1,0),0)</f>
        <v>1</v>
      </c>
      <c r="S1211" s="56" t="n">
        <f aca="false">R1211*(B1211&gt;=Train_Start)*(B1211&lt;=Train_End)</f>
        <v>1</v>
      </c>
      <c r="T1211" s="84" t="n">
        <f aca="false">IF(AND(ISNUMBER(O1211),ISNUMBER(P1211)),Coef_A+Coef_B1*O1211+Coef_B2*P1211,"")</f>
        <v>16.1673145397204</v>
      </c>
      <c r="U1211" s="84" t="n">
        <f aca="false">IF(AND(R1211=1,ISNUMBER(T1211)),E1211-T1211,"")</f>
        <v>-2.16731453972041</v>
      </c>
      <c r="V1211" s="84" t="n">
        <f aca="false">IF(ISNUMBER(T1211),T1211,-99)</f>
        <v>16.1673145397204</v>
      </c>
      <c r="W1211" s="84" t="n">
        <f aca="false">IF(ISNUMBER(U1211),ABS(U1211),"")</f>
        <v>2.16731453972041</v>
      </c>
    </row>
    <row r="1212" customFormat="false" ht="15" hidden="false" customHeight="false" outlineLevel="0" collapsed="false">
      <c r="A1212" s="57" t="n">
        <v>31672</v>
      </c>
      <c r="B1212" s="56" t="n">
        <v>1986</v>
      </c>
      <c r="C1212" s="56" t="n">
        <v>9</v>
      </c>
      <c r="D1212" s="56" t="n">
        <v>140</v>
      </c>
      <c r="E1212" s="56" t="n">
        <v>16</v>
      </c>
      <c r="F1212" s="56" t="n">
        <v>0</v>
      </c>
      <c r="G1212" s="56" t="n">
        <v>6.9</v>
      </c>
      <c r="H1212" s="56" t="n">
        <v>0</v>
      </c>
      <c r="I1212" s="56" t="n">
        <v>10.4</v>
      </c>
      <c r="J1212" s="56" t="n">
        <v>0</v>
      </c>
      <c r="K1212" s="56" t="n">
        <v>1022.8</v>
      </c>
      <c r="L1212" s="56" t="n">
        <v>0</v>
      </c>
      <c r="M1212" s="56" t="n">
        <v>75</v>
      </c>
      <c r="N1212" s="56" t="n">
        <v>0</v>
      </c>
      <c r="O1212" s="56" t="n">
        <f aca="false">IF(D1212=1,"",E1211)</f>
        <v>14</v>
      </c>
      <c r="P1212" s="56" t="n">
        <f aca="false">IF(OR(D1212=1,K1211=""),"",K1211)</f>
        <v>1019.2</v>
      </c>
      <c r="Q1212" s="56" t="n">
        <f aca="false">IF(OR(F1212&lt;&gt;0,AND(I1212&lt;&gt;"",E1212&lt;I1212)),1,0)</f>
        <v>0</v>
      </c>
      <c r="R1212" s="56" t="n">
        <f aca="false">IF(AND(D1212&gt;1,Q1212=0,ISNUMBER(O1212),ISNUMBER(P1212)),IF(Q1211=0,1,0),0)</f>
        <v>1</v>
      </c>
      <c r="S1212" s="56" t="n">
        <f aca="false">R1212*(B1212&gt;=Train_Start)*(B1212&lt;=Train_End)</f>
        <v>1</v>
      </c>
      <c r="T1212" s="84" t="n">
        <f aca="false">IF(AND(ISNUMBER(O1212),ISNUMBER(P1212)),Coef_A+Coef_B1*O1212+Coef_B2*P1212,"")</f>
        <v>15.5299207355549</v>
      </c>
      <c r="U1212" s="84" t="n">
        <f aca="false">IF(AND(R1212=1,ISNUMBER(T1212)),E1212-T1212,"")</f>
        <v>0.470079264445108</v>
      </c>
      <c r="V1212" s="84" t="n">
        <f aca="false">IF(ISNUMBER(T1212),T1212,-99)</f>
        <v>15.5299207355549</v>
      </c>
      <c r="W1212" s="84" t="n">
        <f aca="false">IF(ISNUMBER(U1212),ABS(U1212),"")</f>
        <v>0.470079264445108</v>
      </c>
    </row>
    <row r="1213" customFormat="false" ht="15" hidden="false" customHeight="false" outlineLevel="0" collapsed="false">
      <c r="A1213" s="57" t="n">
        <v>31673</v>
      </c>
      <c r="B1213" s="56" t="n">
        <v>1986</v>
      </c>
      <c r="C1213" s="56" t="n">
        <v>9</v>
      </c>
      <c r="D1213" s="56" t="n">
        <v>141</v>
      </c>
      <c r="E1213" s="56" t="n">
        <v>16.9</v>
      </c>
      <c r="F1213" s="56" t="n">
        <v>0</v>
      </c>
      <c r="G1213" s="56" t="n">
        <v>5.7</v>
      </c>
      <c r="H1213" s="56" t="n">
        <v>0</v>
      </c>
      <c r="I1213" s="56" t="n">
        <v>10.8</v>
      </c>
      <c r="J1213" s="56" t="n">
        <v>0</v>
      </c>
      <c r="K1213" s="56" t="n">
        <v>1033.8</v>
      </c>
      <c r="L1213" s="56" t="n">
        <v>0</v>
      </c>
      <c r="M1213" s="56" t="n">
        <v>70</v>
      </c>
      <c r="N1213" s="56" t="n">
        <v>9.4</v>
      </c>
      <c r="O1213" s="56" t="n">
        <f aca="false">IF(D1213=1,"",E1212)</f>
        <v>16</v>
      </c>
      <c r="P1213" s="56" t="n">
        <f aca="false">IF(OR(D1213=1,K1212=""),"",K1212)</f>
        <v>1022.8</v>
      </c>
      <c r="Q1213" s="56" t="n">
        <f aca="false">IF(OR(F1213&lt;&gt;0,AND(I1213&lt;&gt;"",E1213&lt;I1213)),1,0)</f>
        <v>0</v>
      </c>
      <c r="R1213" s="56" t="n">
        <f aca="false">IF(AND(D1213&gt;1,Q1213=0,ISNUMBER(O1213),ISNUMBER(P1213)),IF(Q1212=0,1,0),0)</f>
        <v>1</v>
      </c>
      <c r="S1213" s="56" t="n">
        <f aca="false">R1213*(B1213&gt;=Train_Start)*(B1213&lt;=Train_End)</f>
        <v>1</v>
      </c>
      <c r="T1213" s="84" t="n">
        <f aca="false">IF(AND(ISNUMBER(O1213),ISNUMBER(P1213)),Coef_A+Coef_B1*O1213+Coef_B2*P1213,"")</f>
        <v>17.2815307423226</v>
      </c>
      <c r="U1213" s="84" t="n">
        <f aca="false">IF(AND(R1213=1,ISNUMBER(T1213)),E1213-T1213,"")</f>
        <v>-0.381530742322568</v>
      </c>
      <c r="V1213" s="84" t="n">
        <f aca="false">IF(ISNUMBER(T1213),T1213,-99)</f>
        <v>17.2815307423226</v>
      </c>
      <c r="W1213" s="84" t="n">
        <f aca="false">IF(ISNUMBER(U1213),ABS(U1213),"")</f>
        <v>0.381530742322568</v>
      </c>
    </row>
    <row r="1214" customFormat="false" ht="15" hidden="false" customHeight="false" outlineLevel="0" collapsed="false">
      <c r="A1214" s="57" t="n">
        <v>31674</v>
      </c>
      <c r="B1214" s="56" t="n">
        <v>1986</v>
      </c>
      <c r="C1214" s="56" t="n">
        <v>9</v>
      </c>
      <c r="D1214" s="56" t="n">
        <v>142</v>
      </c>
      <c r="E1214" s="56" t="n">
        <v>20.2</v>
      </c>
      <c r="F1214" s="56" t="n">
        <v>0</v>
      </c>
      <c r="G1214" s="56" t="n">
        <v>5.2</v>
      </c>
      <c r="H1214" s="56" t="n">
        <v>0</v>
      </c>
      <c r="I1214" s="56" t="n">
        <v>11</v>
      </c>
      <c r="J1214" s="56" t="n">
        <v>0</v>
      </c>
      <c r="K1214" s="56" t="n">
        <v>1037.8</v>
      </c>
      <c r="L1214" s="56" t="n">
        <v>0</v>
      </c>
      <c r="M1214" s="56" t="n">
        <v>75</v>
      </c>
      <c r="N1214" s="56" t="n">
        <v>10</v>
      </c>
      <c r="O1214" s="56" t="n">
        <f aca="false">IF(D1214=1,"",E1213)</f>
        <v>16.9</v>
      </c>
      <c r="P1214" s="56" t="n">
        <f aca="false">IF(OR(D1214=1,K1213=""),"",K1213)</f>
        <v>1033.8</v>
      </c>
      <c r="Q1214" s="56" t="n">
        <f aca="false">IF(OR(F1214&lt;&gt;0,AND(I1214&lt;&gt;"",E1214&lt;I1214)),1,0)</f>
        <v>0</v>
      </c>
      <c r="R1214" s="56" t="n">
        <f aca="false">IF(AND(D1214&gt;1,Q1214=0,ISNUMBER(O1214),ISNUMBER(P1214)),IF(Q1213=0,1,0),0)</f>
        <v>1</v>
      </c>
      <c r="S1214" s="56" t="n">
        <f aca="false">R1214*(B1214&gt;=Train_Start)*(B1214&lt;=Train_End)</f>
        <v>1</v>
      </c>
      <c r="T1214" s="84" t="n">
        <f aca="false">IF(AND(ISNUMBER(O1214),ISNUMBER(P1214)),Coef_A+Coef_B1*O1214+Coef_B2*P1214,"")</f>
        <v>18.3640048570348</v>
      </c>
      <c r="U1214" s="84" t="n">
        <f aca="false">IF(AND(R1214=1,ISNUMBER(T1214)),E1214-T1214,"")</f>
        <v>1.83599514296515</v>
      </c>
      <c r="V1214" s="84" t="n">
        <f aca="false">IF(ISNUMBER(T1214),T1214,-99)</f>
        <v>18.3640048570348</v>
      </c>
      <c r="W1214" s="84" t="n">
        <f aca="false">IF(ISNUMBER(U1214),ABS(U1214),"")</f>
        <v>1.83599514296515</v>
      </c>
    </row>
    <row r="1215" customFormat="false" ht="15" hidden="false" customHeight="false" outlineLevel="0" collapsed="false">
      <c r="A1215" s="57" t="n">
        <v>31675</v>
      </c>
      <c r="B1215" s="56" t="n">
        <v>1986</v>
      </c>
      <c r="C1215" s="56" t="n">
        <v>9</v>
      </c>
      <c r="D1215" s="56" t="n">
        <v>143</v>
      </c>
      <c r="E1215" s="56" t="n">
        <v>20.5</v>
      </c>
      <c r="F1215" s="56" t="n">
        <v>0</v>
      </c>
      <c r="G1215" s="56" t="n">
        <v>3.9</v>
      </c>
      <c r="H1215" s="56" t="n">
        <v>0</v>
      </c>
      <c r="I1215" s="56" t="n">
        <v>12</v>
      </c>
      <c r="J1215" s="56" t="n">
        <v>0</v>
      </c>
      <c r="K1215" s="56" t="n">
        <v>1033.1</v>
      </c>
      <c r="L1215" s="56" t="n">
        <v>0</v>
      </c>
      <c r="M1215" s="56" t="n">
        <v>78</v>
      </c>
      <c r="N1215" s="56" t="n">
        <v>10.4</v>
      </c>
      <c r="O1215" s="56" t="n">
        <f aca="false">IF(D1215=1,"",E1214)</f>
        <v>20.2</v>
      </c>
      <c r="P1215" s="56" t="n">
        <f aca="false">IF(OR(D1215=1,K1214=""),"",K1214)</f>
        <v>1037.8</v>
      </c>
      <c r="Q1215" s="56" t="n">
        <f aca="false">IF(OR(F1215&lt;&gt;0,AND(I1215&lt;&gt;"",E1215&lt;I1215)),1,0)</f>
        <v>0</v>
      </c>
      <c r="R1215" s="56" t="n">
        <f aca="false">IF(AND(D1215&gt;1,Q1215=0,ISNUMBER(O1215),ISNUMBER(P1215)),IF(Q1214=0,1,0),0)</f>
        <v>1</v>
      </c>
      <c r="S1215" s="56" t="n">
        <f aca="false">R1215*(B1215&gt;=Train_Start)*(B1215&lt;=Train_End)</f>
        <v>1</v>
      </c>
      <c r="T1215" s="84" t="n">
        <f aca="false">IF(AND(ISNUMBER(O1215),ISNUMBER(P1215)),Coef_A+Coef_B1*O1215+Coef_B2*P1215,"")</f>
        <v>21.1933037726116</v>
      </c>
      <c r="U1215" s="84" t="n">
        <f aca="false">IF(AND(R1215=1,ISNUMBER(T1215)),E1215-T1215,"")</f>
        <v>-0.693303772611568</v>
      </c>
      <c r="V1215" s="84" t="n">
        <f aca="false">IF(ISNUMBER(T1215),T1215,-99)</f>
        <v>21.1933037726116</v>
      </c>
      <c r="W1215" s="84" t="n">
        <f aca="false">IF(ISNUMBER(U1215),ABS(U1215),"")</f>
        <v>0.693303772611568</v>
      </c>
    </row>
    <row r="1216" customFormat="false" ht="15" hidden="false" customHeight="false" outlineLevel="0" collapsed="false">
      <c r="A1216" s="57" t="n">
        <v>31676</v>
      </c>
      <c r="B1216" s="56" t="n">
        <v>1986</v>
      </c>
      <c r="C1216" s="56" t="n">
        <v>9</v>
      </c>
      <c r="D1216" s="56" t="n">
        <v>144</v>
      </c>
      <c r="E1216" s="56" t="n">
        <v>20.3</v>
      </c>
      <c r="F1216" s="56" t="n">
        <v>0</v>
      </c>
      <c r="G1216" s="56" t="n">
        <v>5.5</v>
      </c>
      <c r="H1216" s="56" t="n">
        <v>0</v>
      </c>
      <c r="I1216" s="56" t="n">
        <v>13</v>
      </c>
      <c r="J1216" s="56" t="n">
        <v>0</v>
      </c>
      <c r="K1216" s="56" t="n">
        <v>1027.7</v>
      </c>
      <c r="L1216" s="56" t="n">
        <v>0</v>
      </c>
      <c r="M1216" s="56" t="n">
        <v>69</v>
      </c>
      <c r="N1216" s="56" t="n">
        <v>9.8</v>
      </c>
      <c r="O1216" s="56" t="n">
        <f aca="false">IF(D1216=1,"",E1215)</f>
        <v>20.5</v>
      </c>
      <c r="P1216" s="56" t="n">
        <f aca="false">IF(OR(D1216=1,K1215=""),"",K1215)</f>
        <v>1033.1</v>
      </c>
      <c r="Q1216" s="56" t="n">
        <f aca="false">IF(OR(F1216&lt;&gt;0,AND(I1216&lt;&gt;"",E1216&lt;I1216)),1,0)</f>
        <v>0</v>
      </c>
      <c r="R1216" s="56" t="n">
        <f aca="false">IF(AND(D1216&gt;1,Q1216=0,ISNUMBER(O1216),ISNUMBER(P1216)),IF(Q1215=0,1,0),0)</f>
        <v>1</v>
      </c>
      <c r="S1216" s="56" t="n">
        <f aca="false">R1216*(B1216&gt;=Train_Start)*(B1216&lt;=Train_End)</f>
        <v>1</v>
      </c>
      <c r="T1216" s="84" t="n">
        <f aca="false">IF(AND(ISNUMBER(O1216),ISNUMBER(P1216)),Coef_A+Coef_B1*O1216+Coef_B2*P1216,"")</f>
        <v>21.2916670257446</v>
      </c>
      <c r="U1216" s="84" t="n">
        <f aca="false">IF(AND(R1216=1,ISNUMBER(T1216)),E1216-T1216,"")</f>
        <v>-0.991667025744615</v>
      </c>
      <c r="V1216" s="84" t="n">
        <f aca="false">IF(ISNUMBER(T1216),T1216,-99)</f>
        <v>21.2916670257446</v>
      </c>
      <c r="W1216" s="84" t="n">
        <f aca="false">IF(ISNUMBER(U1216),ABS(U1216),"")</f>
        <v>0.991667025744615</v>
      </c>
    </row>
    <row r="1217" customFormat="false" ht="15" hidden="false" customHeight="false" outlineLevel="0" collapsed="false">
      <c r="A1217" s="57" t="n">
        <v>31677</v>
      </c>
      <c r="B1217" s="56" t="n">
        <v>1986</v>
      </c>
      <c r="C1217" s="56" t="n">
        <v>9</v>
      </c>
      <c r="D1217" s="56" t="n">
        <v>145</v>
      </c>
      <c r="E1217" s="56" t="n">
        <v>20.1</v>
      </c>
      <c r="F1217" s="56" t="n">
        <v>0</v>
      </c>
      <c r="G1217" s="56" t="n">
        <v>5.7</v>
      </c>
      <c r="H1217" s="56" t="n">
        <v>0</v>
      </c>
      <c r="I1217" s="56" t="n">
        <v>13</v>
      </c>
      <c r="J1217" s="56" t="n">
        <v>0</v>
      </c>
      <c r="K1217" s="56" t="n">
        <v>1024.7</v>
      </c>
      <c r="L1217" s="56" t="n">
        <v>0</v>
      </c>
      <c r="M1217" s="56" t="n">
        <v>83</v>
      </c>
      <c r="N1217" s="56" t="n">
        <v>7.7</v>
      </c>
      <c r="O1217" s="56" t="n">
        <f aca="false">IF(D1217=1,"",E1216)</f>
        <v>20.3</v>
      </c>
      <c r="P1217" s="56" t="n">
        <f aca="false">IF(OR(D1217=1,K1216=""),"",K1216)</f>
        <v>1027.7</v>
      </c>
      <c r="Q1217" s="56" t="n">
        <f aca="false">IF(OR(F1217&lt;&gt;0,AND(I1217&lt;&gt;"",E1217&lt;I1217)),1,0)</f>
        <v>0</v>
      </c>
      <c r="R1217" s="56" t="n">
        <f aca="false">IF(AND(D1217&gt;1,Q1217=0,ISNUMBER(O1217),ISNUMBER(P1217)),IF(Q1216=0,1,0),0)</f>
        <v>1</v>
      </c>
      <c r="S1217" s="56" t="n">
        <f aca="false">R1217*(B1217&gt;=Train_Start)*(B1217&lt;=Train_End)</f>
        <v>1</v>
      </c>
      <c r="T1217" s="84" t="n">
        <f aca="false">IF(AND(ISNUMBER(O1217),ISNUMBER(P1217)),Coef_A+Coef_B1*O1217+Coef_B2*P1217,"")</f>
        <v>20.9584017561125</v>
      </c>
      <c r="U1217" s="84" t="n">
        <f aca="false">IF(AND(R1217=1,ISNUMBER(T1217)),E1217-T1217,"")</f>
        <v>-0.858401756112542</v>
      </c>
      <c r="V1217" s="84" t="n">
        <f aca="false">IF(ISNUMBER(T1217),T1217,-99)</f>
        <v>20.9584017561125</v>
      </c>
      <c r="W1217" s="84" t="n">
        <f aca="false">IF(ISNUMBER(U1217),ABS(U1217),"")</f>
        <v>0.858401756112542</v>
      </c>
    </row>
    <row r="1218" customFormat="false" ht="15" hidden="false" customHeight="false" outlineLevel="0" collapsed="false">
      <c r="A1218" s="57" t="n">
        <v>31678</v>
      </c>
      <c r="B1218" s="56" t="n">
        <v>1986</v>
      </c>
      <c r="C1218" s="56" t="n">
        <v>9</v>
      </c>
      <c r="D1218" s="56" t="n">
        <v>146</v>
      </c>
      <c r="E1218" s="56" t="n">
        <v>14.9</v>
      </c>
      <c r="F1218" s="56" t="n">
        <v>0</v>
      </c>
      <c r="G1218" s="56" t="n">
        <v>8.2</v>
      </c>
      <c r="H1218" s="56" t="n">
        <v>0</v>
      </c>
      <c r="I1218" s="56" t="n">
        <v>14.2</v>
      </c>
      <c r="J1218" s="56" t="n">
        <v>0</v>
      </c>
      <c r="K1218" s="56" t="n">
        <v>1022.7</v>
      </c>
      <c r="L1218" s="56" t="n">
        <v>0</v>
      </c>
      <c r="M1218" s="56" t="n">
        <v>80</v>
      </c>
      <c r="N1218" s="56" t="n">
        <v>4.5</v>
      </c>
      <c r="O1218" s="56" t="n">
        <f aca="false">IF(D1218=1,"",E1217)</f>
        <v>20.1</v>
      </c>
      <c r="P1218" s="56" t="n">
        <f aca="false">IF(OR(D1218=1,K1217=""),"",K1217)</f>
        <v>1024.7</v>
      </c>
      <c r="Q1218" s="56" t="n">
        <f aca="false">IF(OR(F1218&lt;&gt;0,AND(I1218&lt;&gt;"",E1218&lt;I1218)),1,0)</f>
        <v>0</v>
      </c>
      <c r="R1218" s="56" t="n">
        <f aca="false">IF(AND(D1218&gt;1,Q1218=0,ISNUMBER(O1218),ISNUMBER(P1218)),IF(Q1217=0,1,0),0)</f>
        <v>1</v>
      </c>
      <c r="S1218" s="56" t="n">
        <f aca="false">R1218*(B1218&gt;=Train_Start)*(B1218&lt;=Train_End)</f>
        <v>1</v>
      </c>
      <c r="T1218" s="84" t="n">
        <f aca="false">IF(AND(ISNUMBER(O1218),ISNUMBER(P1218)),Coef_A+Coef_B1*O1218+Coef_B2*P1218,"")</f>
        <v>20.700424233602</v>
      </c>
      <c r="U1218" s="84" t="n">
        <f aca="false">IF(AND(R1218=1,ISNUMBER(T1218)),E1218-T1218,"")</f>
        <v>-5.80042423360205</v>
      </c>
      <c r="V1218" s="84" t="n">
        <f aca="false">IF(ISNUMBER(T1218),T1218,-99)</f>
        <v>20.700424233602</v>
      </c>
      <c r="W1218" s="84" t="n">
        <f aca="false">IF(ISNUMBER(U1218),ABS(U1218),"")</f>
        <v>5.80042423360205</v>
      </c>
    </row>
    <row r="1219" customFormat="false" ht="15" hidden="false" customHeight="false" outlineLevel="0" collapsed="false">
      <c r="A1219" s="57" t="n">
        <v>31679</v>
      </c>
      <c r="B1219" s="56" t="n">
        <v>1986</v>
      </c>
      <c r="C1219" s="56" t="n">
        <v>9</v>
      </c>
      <c r="D1219" s="56" t="n">
        <v>147</v>
      </c>
      <c r="E1219" s="56" t="n">
        <v>16.9</v>
      </c>
      <c r="F1219" s="56" t="n">
        <v>0</v>
      </c>
      <c r="G1219" s="56" t="n">
        <v>11.4</v>
      </c>
      <c r="H1219" s="56" t="n">
        <v>0</v>
      </c>
      <c r="I1219" s="56" t="n">
        <v>13.2</v>
      </c>
      <c r="J1219" s="56" t="n">
        <v>0</v>
      </c>
      <c r="K1219" s="56" t="n">
        <v>1024.7</v>
      </c>
      <c r="L1219" s="56" t="n">
        <v>0</v>
      </c>
      <c r="M1219" s="56" t="n">
        <v>77</v>
      </c>
      <c r="N1219" s="56" t="n">
        <v>0.1</v>
      </c>
      <c r="O1219" s="56" t="n">
        <f aca="false">IF(D1219=1,"",E1218)</f>
        <v>14.9</v>
      </c>
      <c r="P1219" s="56" t="n">
        <f aca="false">IF(OR(D1219=1,K1218=""),"",K1218)</f>
        <v>1022.7</v>
      </c>
      <c r="Q1219" s="56" t="n">
        <f aca="false">IF(OR(F1219&lt;&gt;0,AND(I1219&lt;&gt;"",E1219&lt;I1219)),1,0)</f>
        <v>0</v>
      </c>
      <c r="R1219" s="56" t="n">
        <f aca="false">IF(AND(D1219&gt;1,Q1219=0,ISNUMBER(O1219),ISNUMBER(P1219)),IF(Q1218=0,1,0),0)</f>
        <v>1</v>
      </c>
      <c r="S1219" s="56" t="n">
        <f aca="false">R1219*(B1219&gt;=Train_Start)*(B1219&lt;=Train_End)</f>
        <v>1</v>
      </c>
      <c r="T1219" s="84" t="n">
        <f aca="false">IF(AND(ISNUMBER(O1219),ISNUMBER(P1219)),Coef_A+Coef_B1*O1219+Coef_B2*P1219,"")</f>
        <v>16.3771206405123</v>
      </c>
      <c r="U1219" s="84" t="n">
        <f aca="false">IF(AND(R1219=1,ISNUMBER(T1219)),E1219-T1219,"")</f>
        <v>0.522879359487746</v>
      </c>
      <c r="V1219" s="84" t="n">
        <f aca="false">IF(ISNUMBER(T1219),T1219,-99)</f>
        <v>16.3771206405123</v>
      </c>
      <c r="W1219" s="84" t="n">
        <f aca="false">IF(ISNUMBER(U1219),ABS(U1219),"")</f>
        <v>0.522879359487746</v>
      </c>
    </row>
    <row r="1220" customFormat="false" ht="15" hidden="false" customHeight="false" outlineLevel="0" collapsed="false">
      <c r="A1220" s="57" t="n">
        <v>31680</v>
      </c>
      <c r="B1220" s="56" t="n">
        <v>1986</v>
      </c>
      <c r="C1220" s="56" t="n">
        <v>9</v>
      </c>
      <c r="D1220" s="56" t="n">
        <v>148</v>
      </c>
      <c r="E1220" s="56" t="n">
        <v>17</v>
      </c>
      <c r="F1220" s="56" t="n">
        <v>0</v>
      </c>
      <c r="G1220" s="56" t="n">
        <v>9.8</v>
      </c>
      <c r="H1220" s="56" t="n">
        <v>0</v>
      </c>
      <c r="I1220" s="56" t="n">
        <v>13.4</v>
      </c>
      <c r="J1220" s="56" t="n">
        <v>0</v>
      </c>
      <c r="K1220" s="56" t="n">
        <v>1025.2</v>
      </c>
      <c r="L1220" s="56" t="n">
        <v>0</v>
      </c>
      <c r="M1220" s="56" t="n">
        <v>68</v>
      </c>
      <c r="N1220" s="56" t="n">
        <v>7.1</v>
      </c>
      <c r="O1220" s="56" t="n">
        <f aca="false">IF(D1220=1,"",E1219)</f>
        <v>16.9</v>
      </c>
      <c r="P1220" s="56" t="n">
        <f aca="false">IF(OR(D1220=1,K1219=""),"",K1219)</f>
        <v>1024.7</v>
      </c>
      <c r="Q1220" s="56" t="n">
        <f aca="false">IF(OR(F1220&lt;&gt;0,AND(I1220&lt;&gt;"",E1220&lt;I1220)),1,0)</f>
        <v>0</v>
      </c>
      <c r="R1220" s="56" t="n">
        <f aca="false">IF(AND(D1220&gt;1,Q1220=0,ISNUMBER(O1220),ISNUMBER(P1220)),IF(Q1219=0,1,0),0)</f>
        <v>1</v>
      </c>
      <c r="S1220" s="56" t="n">
        <f aca="false">R1220*(B1220&gt;=Train_Start)*(B1220&lt;=Train_End)</f>
        <v>1</v>
      </c>
      <c r="T1220" s="84" t="n">
        <f aca="false">IF(AND(ISNUMBER(O1220),ISNUMBER(P1220)),Coef_A+Coef_B1*O1220+Coef_B2*P1220,"")</f>
        <v>18.0785388158655</v>
      </c>
      <c r="U1220" s="84" t="n">
        <f aca="false">IF(AND(R1220=1,ISNUMBER(T1220)),E1220-T1220,"")</f>
        <v>-1.07853881586554</v>
      </c>
      <c r="V1220" s="84" t="n">
        <f aca="false">IF(ISNUMBER(T1220),T1220,-99)</f>
        <v>18.0785388158655</v>
      </c>
      <c r="W1220" s="84" t="n">
        <f aca="false">IF(ISNUMBER(U1220),ABS(U1220),"")</f>
        <v>1.07853881586554</v>
      </c>
    </row>
    <row r="1221" customFormat="false" ht="15" hidden="false" customHeight="false" outlineLevel="0" collapsed="false">
      <c r="A1221" s="57" t="n">
        <v>31681</v>
      </c>
      <c r="B1221" s="56" t="n">
        <v>1986</v>
      </c>
      <c r="C1221" s="56" t="n">
        <v>9</v>
      </c>
      <c r="D1221" s="56" t="n">
        <v>149</v>
      </c>
      <c r="E1221" s="56" t="n">
        <v>19.2</v>
      </c>
      <c r="F1221" s="56" t="n">
        <v>0</v>
      </c>
      <c r="G1221" s="56" t="n">
        <v>5.8</v>
      </c>
      <c r="H1221" s="56" t="n">
        <v>0</v>
      </c>
      <c r="I1221" s="56" t="n">
        <v>11.4</v>
      </c>
      <c r="J1221" s="56" t="n">
        <v>0</v>
      </c>
      <c r="K1221" s="56" t="n">
        <v>1023.4</v>
      </c>
      <c r="L1221" s="56" t="n">
        <v>0</v>
      </c>
      <c r="M1221" s="56" t="n">
        <v>77</v>
      </c>
      <c r="N1221" s="56" t="n">
        <v>6.8</v>
      </c>
      <c r="O1221" s="56" t="n">
        <f aca="false">IF(D1221=1,"",E1220)</f>
        <v>17</v>
      </c>
      <c r="P1221" s="56" t="n">
        <f aca="false">IF(OR(D1221=1,K1220=""),"",K1220)</f>
        <v>1025.2</v>
      </c>
      <c r="Q1221" s="56" t="n">
        <f aca="false">IF(OR(F1221&lt;&gt;0,AND(I1221&lt;&gt;"",E1221&lt;I1221)),1,0)</f>
        <v>0</v>
      </c>
      <c r="R1221" s="56" t="n">
        <f aca="false">IF(AND(D1221&gt;1,Q1221=0,ISNUMBER(O1221),ISNUMBER(P1221)),IF(Q1220=0,1,0),0)</f>
        <v>1</v>
      </c>
      <c r="S1221" s="56" t="n">
        <f aca="false">R1221*(B1221&gt;=Train_Start)*(B1221&lt;=Train_End)</f>
        <v>1</v>
      </c>
      <c r="T1221" s="84" t="n">
        <f aca="false">IF(AND(ISNUMBER(O1221),ISNUMBER(P1221)),Coef_A+Coef_B1*O1221+Coef_B2*P1221,"")</f>
        <v>18.1761576824868</v>
      </c>
      <c r="U1221" s="84" t="n">
        <f aca="false">IF(AND(R1221=1,ISNUMBER(T1221)),E1221-T1221,"")</f>
        <v>1.0238423175132</v>
      </c>
      <c r="V1221" s="84" t="n">
        <f aca="false">IF(ISNUMBER(T1221),T1221,-99)</f>
        <v>18.1761576824868</v>
      </c>
      <c r="W1221" s="84" t="n">
        <f aca="false">IF(ISNUMBER(U1221),ABS(U1221),"")</f>
        <v>1.0238423175132</v>
      </c>
    </row>
    <row r="1222" customFormat="false" ht="15" hidden="false" customHeight="false" outlineLevel="0" collapsed="false">
      <c r="A1222" s="57" t="n">
        <v>31682</v>
      </c>
      <c r="B1222" s="56" t="n">
        <v>1986</v>
      </c>
      <c r="C1222" s="56" t="n">
        <v>9</v>
      </c>
      <c r="D1222" s="56" t="n">
        <v>150</v>
      </c>
      <c r="E1222" s="56" t="n">
        <v>19.6</v>
      </c>
      <c r="F1222" s="56" t="n">
        <v>0</v>
      </c>
      <c r="G1222" s="56" t="n">
        <v>8.5</v>
      </c>
      <c r="H1222" s="56" t="n">
        <v>0</v>
      </c>
      <c r="I1222" s="56" t="n">
        <v>13.8</v>
      </c>
      <c r="J1222" s="56" t="n">
        <v>0</v>
      </c>
      <c r="K1222" s="56" t="n">
        <v>1025</v>
      </c>
      <c r="L1222" s="56" t="n">
        <v>0</v>
      </c>
      <c r="M1222" s="56" t="n">
        <v>76</v>
      </c>
      <c r="N1222" s="56" t="n">
        <v>6.9</v>
      </c>
      <c r="O1222" s="56" t="n">
        <f aca="false">IF(D1222=1,"",E1221)</f>
        <v>19.2</v>
      </c>
      <c r="P1222" s="56" t="n">
        <f aca="false">IF(OR(D1222=1,K1221=""),"",K1221)</f>
        <v>1023.4</v>
      </c>
      <c r="Q1222" s="56" t="n">
        <f aca="false">IF(OR(F1222&lt;&gt;0,AND(I1222&lt;&gt;"",E1222&lt;I1222)),1,0)</f>
        <v>0</v>
      </c>
      <c r="R1222" s="56" t="n">
        <f aca="false">IF(AND(D1222&gt;1,Q1222=0,ISNUMBER(O1222),ISNUMBER(P1222)),IF(Q1221=0,1,0),0)</f>
        <v>1</v>
      </c>
      <c r="S1222" s="56" t="n">
        <f aca="false">R1222*(B1222&gt;=Train_Start)*(B1222&lt;=Train_End)</f>
        <v>1</v>
      </c>
      <c r="T1222" s="84" t="n">
        <f aca="false">IF(AND(ISNUMBER(O1222),ISNUMBER(P1222)),Coef_A+Coef_B1*O1222+Coef_B2*P1222,"")</f>
        <v>19.9222380968395</v>
      </c>
      <c r="U1222" s="84" t="n">
        <f aca="false">IF(AND(R1222=1,ISNUMBER(T1222)),E1222-T1222,"")</f>
        <v>-0.32223809683947</v>
      </c>
      <c r="V1222" s="84" t="n">
        <f aca="false">IF(ISNUMBER(T1222),T1222,-99)</f>
        <v>19.9222380968395</v>
      </c>
      <c r="W1222" s="84" t="n">
        <f aca="false">IF(ISNUMBER(U1222),ABS(U1222),"")</f>
        <v>0.32223809683947</v>
      </c>
    </row>
    <row r="1223" customFormat="false" ht="15" hidden="false" customHeight="false" outlineLevel="0" collapsed="false">
      <c r="A1223" s="57" t="n">
        <v>31683</v>
      </c>
      <c r="B1223" s="56" t="n">
        <v>1986</v>
      </c>
      <c r="C1223" s="56" t="n">
        <v>9</v>
      </c>
      <c r="D1223" s="56" t="n">
        <v>151</v>
      </c>
      <c r="E1223" s="56" t="n">
        <v>16.7</v>
      </c>
      <c r="F1223" s="56" t="n">
        <v>0</v>
      </c>
      <c r="G1223" s="56" t="n">
        <v>11.7</v>
      </c>
      <c r="H1223" s="56" t="n">
        <v>0</v>
      </c>
      <c r="I1223" s="56" t="n">
        <v>15.6</v>
      </c>
      <c r="J1223" s="56" t="n">
        <v>0</v>
      </c>
      <c r="K1223" s="56" t="n">
        <v>1030.8</v>
      </c>
      <c r="L1223" s="56" t="n">
        <v>0</v>
      </c>
      <c r="M1223" s="56" t="n">
        <v>84</v>
      </c>
      <c r="N1223" s="56" t="n">
        <v>2.6</v>
      </c>
      <c r="O1223" s="56" t="n">
        <f aca="false">IF(D1223=1,"",E1222)</f>
        <v>19.6</v>
      </c>
      <c r="P1223" s="56" t="n">
        <f aca="false">IF(OR(D1223=1,K1222=""),"",K1222)</f>
        <v>1025</v>
      </c>
      <c r="Q1223" s="56" t="n">
        <f aca="false">IF(OR(F1223&lt;&gt;0,AND(I1223&lt;&gt;"",E1223&lt;I1223)),1,0)</f>
        <v>0</v>
      </c>
      <c r="R1223" s="56" t="n">
        <f aca="false">IF(AND(D1223&gt;1,Q1223=0,ISNUMBER(O1223),ISNUMBER(P1223)),IF(Q1222=0,1,0),0)</f>
        <v>1</v>
      </c>
      <c r="S1223" s="56" t="n">
        <f aca="false">R1223*(B1223&gt;=Train_Start)*(B1223&lt;=Train_End)</f>
        <v>1</v>
      </c>
      <c r="T1223" s="84" t="n">
        <f aca="false">IF(AND(ISNUMBER(O1223),ISNUMBER(P1223)),Coef_A+Coef_B1*O1223+Coef_B2*P1223,"")</f>
        <v>20.3001656054709</v>
      </c>
      <c r="U1223" s="84" t="n">
        <f aca="false">IF(AND(R1223=1,ISNUMBER(T1223)),E1223-T1223,"")</f>
        <v>-3.60016560547092</v>
      </c>
      <c r="V1223" s="84" t="n">
        <f aca="false">IF(ISNUMBER(T1223),T1223,-99)</f>
        <v>20.3001656054709</v>
      </c>
      <c r="W1223" s="84" t="n">
        <f aca="false">IF(ISNUMBER(U1223),ABS(U1223),"")</f>
        <v>3.60016560547092</v>
      </c>
    </row>
    <row r="1224" customFormat="false" ht="15" hidden="false" customHeight="false" outlineLevel="0" collapsed="false">
      <c r="A1224" s="57" t="n">
        <v>31684</v>
      </c>
      <c r="B1224" s="56" t="n">
        <v>1986</v>
      </c>
      <c r="C1224" s="56" t="n">
        <v>9</v>
      </c>
      <c r="D1224" s="56" t="n">
        <v>152</v>
      </c>
      <c r="E1224" s="56" t="n">
        <v>15.8</v>
      </c>
      <c r="F1224" s="56" t="n">
        <v>0</v>
      </c>
      <c r="G1224" s="56" t="n">
        <v>12.4</v>
      </c>
      <c r="H1224" s="56" t="n">
        <v>0</v>
      </c>
      <c r="I1224" s="56" t="n">
        <v>14.6</v>
      </c>
      <c r="J1224" s="56" t="n">
        <v>0</v>
      </c>
      <c r="K1224" s="56" t="n">
        <v>1034</v>
      </c>
      <c r="L1224" s="56" t="n">
        <v>0</v>
      </c>
      <c r="M1224" s="56" t="n">
        <v>87</v>
      </c>
      <c r="N1224" s="56" t="n">
        <v>0</v>
      </c>
      <c r="O1224" s="56" t="n">
        <f aca="false">IF(D1224=1,"",E1223)</f>
        <v>16.7</v>
      </c>
      <c r="P1224" s="56" t="n">
        <f aca="false">IF(OR(D1224=1,K1223=""),"",K1223)</f>
        <v>1030.8</v>
      </c>
      <c r="Q1224" s="56" t="n">
        <f aca="false">IF(OR(F1224&lt;&gt;0,AND(I1224&lt;&gt;"",E1224&lt;I1224)),1,0)</f>
        <v>0</v>
      </c>
      <c r="R1224" s="56" t="n">
        <f aca="false">IF(AND(D1224&gt;1,Q1224=0,ISNUMBER(O1224),ISNUMBER(P1224)),IF(Q1223=0,1,0),0)</f>
        <v>1</v>
      </c>
      <c r="S1224" s="56" t="n">
        <f aca="false">R1224*(B1224&gt;=Train_Start)*(B1224&lt;=Train_End)</f>
        <v>1</v>
      </c>
      <c r="T1224" s="84" t="n">
        <f aca="false">IF(AND(ISNUMBER(O1224),ISNUMBER(P1224)),Coef_A+Coef_B1*O1224+Coef_B2*P1224,"")</f>
        <v>18.1060273345243</v>
      </c>
      <c r="U1224" s="84" t="n">
        <f aca="false">IF(AND(R1224=1,ISNUMBER(T1224)),E1224-T1224,"")</f>
        <v>-2.30602733452434</v>
      </c>
      <c r="V1224" s="84" t="n">
        <f aca="false">IF(ISNUMBER(T1224),T1224,-99)</f>
        <v>18.1060273345243</v>
      </c>
      <c r="W1224" s="84" t="n">
        <f aca="false">IF(ISNUMBER(U1224),ABS(U1224),"")</f>
        <v>2.30602733452434</v>
      </c>
    </row>
    <row r="1225" customFormat="false" ht="15" hidden="false" customHeight="false" outlineLevel="0" collapsed="false">
      <c r="A1225" s="57" t="n">
        <v>31685</v>
      </c>
      <c r="B1225" s="56" t="n">
        <v>1986</v>
      </c>
      <c r="C1225" s="56" t="n">
        <v>9</v>
      </c>
      <c r="D1225" s="56" t="n">
        <v>153</v>
      </c>
      <c r="E1225" s="56" t="n">
        <v>15.7</v>
      </c>
      <c r="F1225" s="56" t="n">
        <v>0</v>
      </c>
      <c r="G1225" s="56" t="n">
        <v>12.4</v>
      </c>
      <c r="H1225" s="56" t="n">
        <v>0</v>
      </c>
      <c r="I1225" s="56" t="n">
        <v>14.1</v>
      </c>
      <c r="J1225" s="56" t="n">
        <v>0</v>
      </c>
      <c r="K1225" s="56" t="n">
        <v>1031.4</v>
      </c>
      <c r="L1225" s="56" t="n">
        <v>0</v>
      </c>
      <c r="M1225" s="56" t="n">
        <v>88</v>
      </c>
      <c r="N1225" s="56" t="n">
        <v>0</v>
      </c>
      <c r="O1225" s="56" t="n">
        <f aca="false">IF(D1225=1,"",E1224)</f>
        <v>15.8</v>
      </c>
      <c r="P1225" s="56" t="n">
        <f aca="false">IF(OR(D1225=1,K1224=""),"",K1224)</f>
        <v>1034</v>
      </c>
      <c r="Q1225" s="56" t="n">
        <f aca="false">IF(OR(F1225&lt;&gt;0,AND(I1225&lt;&gt;"",E1225&lt;I1225)),1,0)</f>
        <v>0</v>
      </c>
      <c r="R1225" s="56" t="n">
        <f aca="false">IF(AND(D1225&gt;1,Q1225=0,ISNUMBER(O1225),ISNUMBER(P1225)),IF(Q1224=0,1,0),0)</f>
        <v>1</v>
      </c>
      <c r="S1225" s="56" t="n">
        <f aca="false">R1225*(B1225&gt;=Train_Start)*(B1225&lt;=Train_End)</f>
        <v>1</v>
      </c>
      <c r="T1225" s="84" t="n">
        <f aca="false">IF(AND(ISNUMBER(O1225),ISNUMBER(P1225)),Coef_A+Coef_B1*O1225+Coef_B2*P1225,"")</f>
        <v>17.4690057236147</v>
      </c>
      <c r="U1225" s="84" t="n">
        <f aca="false">IF(AND(R1225=1,ISNUMBER(T1225)),E1225-T1225,"")</f>
        <v>-1.76900572361471</v>
      </c>
      <c r="V1225" s="84" t="n">
        <f aca="false">IF(ISNUMBER(T1225),T1225,-99)</f>
        <v>17.4690057236147</v>
      </c>
      <c r="W1225" s="84" t="n">
        <f aca="false">IF(ISNUMBER(U1225),ABS(U1225),"")</f>
        <v>1.76900572361471</v>
      </c>
    </row>
    <row r="1226" customFormat="false" ht="15" hidden="false" customHeight="false" outlineLevel="0" collapsed="false">
      <c r="A1226" s="57" t="n">
        <v>31898</v>
      </c>
      <c r="B1226" s="56" t="n">
        <v>1987</v>
      </c>
      <c r="C1226" s="56" t="n">
        <v>5</v>
      </c>
      <c r="D1226" s="56" t="n">
        <v>1</v>
      </c>
      <c r="E1226" s="56" t="n">
        <v>14.5</v>
      </c>
      <c r="F1226" s="56" t="n">
        <v>1</v>
      </c>
      <c r="G1226" s="56" t="n">
        <v>12</v>
      </c>
      <c r="H1226" s="56" t="n">
        <v>0</v>
      </c>
      <c r="I1226" s="56" t="n">
        <v>14.6</v>
      </c>
      <c r="J1226" s="56" t="n">
        <v>1</v>
      </c>
      <c r="K1226" s="56" t="n">
        <v>1016.5</v>
      </c>
      <c r="L1226" s="56" t="n">
        <v>0</v>
      </c>
      <c r="M1226" s="56" t="n">
        <v>85</v>
      </c>
      <c r="N1226" s="56" t="n">
        <v>0.2</v>
      </c>
      <c r="O1226" s="56" t="str">
        <f aca="false">IF(D1226=1,"",E1225)</f>
        <v/>
      </c>
      <c r="P1226" s="56" t="str">
        <f aca="false">IF(OR(D1226=1,K1225=""),"",K1225)</f>
        <v/>
      </c>
      <c r="Q1226" s="56" t="n">
        <f aca="false">IF(OR(F1226&lt;&gt;0,AND(I1226&lt;&gt;"",E1226&lt;I1226)),1,0)</f>
        <v>1</v>
      </c>
      <c r="R1226" s="56" t="n">
        <f aca="false">IF(AND(D1226&gt;1,Q1226=0,ISNUMBER(O1226),ISNUMBER(P1226)),IF(Q1225=0,1,0),0)</f>
        <v>0</v>
      </c>
      <c r="S1226" s="56" t="n">
        <f aca="false">R1226*(B1226&gt;=Train_Start)*(B1226&lt;=Train_End)</f>
        <v>0</v>
      </c>
      <c r="T1226" s="84" t="str">
        <f aca="false">IF(AND(ISNUMBER(O1226),ISNUMBER(P1226)),Coef_A+Coef_B1*O1226+Coef_B2*P1226,"")</f>
        <v/>
      </c>
      <c r="U1226" s="84" t="str">
        <f aca="false">IF(AND(R1226=1,ISNUMBER(T1226)),E1226-T1226,"")</f>
        <v/>
      </c>
      <c r="V1226" s="84" t="n">
        <f aca="false">IF(ISNUMBER(T1226),T1226,-99)</f>
        <v>-99</v>
      </c>
      <c r="W1226" s="84" t="str">
        <f aca="false">IF(ISNUMBER(U1226),ABS(U1226),"")</f>
        <v/>
      </c>
    </row>
    <row r="1227" customFormat="false" ht="15" hidden="false" customHeight="false" outlineLevel="0" collapsed="false">
      <c r="A1227" s="57" t="n">
        <v>31899</v>
      </c>
      <c r="B1227" s="56" t="n">
        <v>1987</v>
      </c>
      <c r="C1227" s="56" t="n">
        <v>5</v>
      </c>
      <c r="D1227" s="56" t="n">
        <v>2</v>
      </c>
      <c r="E1227" s="56" t="n">
        <v>10.1</v>
      </c>
      <c r="F1227" s="56" t="n">
        <v>0</v>
      </c>
      <c r="G1227" s="56" t="n">
        <v>3</v>
      </c>
      <c r="H1227" s="56" t="n">
        <v>0</v>
      </c>
      <c r="I1227" s="56" t="n">
        <v>8.8</v>
      </c>
      <c r="J1227" s="56" t="n">
        <v>0</v>
      </c>
      <c r="K1227" s="56" t="n">
        <v>1013.8</v>
      </c>
      <c r="L1227" s="56" t="n">
        <v>0</v>
      </c>
      <c r="M1227" s="56" t="n">
        <v>70</v>
      </c>
      <c r="N1227" s="56" t="n">
        <v>11.7</v>
      </c>
      <c r="O1227" s="56" t="n">
        <f aca="false">IF(D1227=1,"",E1226)</f>
        <v>14.5</v>
      </c>
      <c r="P1227" s="56" t="n">
        <f aca="false">IF(OR(D1227=1,K1226=""),"",K1226)</f>
        <v>1016.5</v>
      </c>
      <c r="Q1227" s="56" t="n">
        <f aca="false">IF(OR(F1227&lt;&gt;0,AND(I1227&lt;&gt;"",E1227&lt;I1227)),1,0)</f>
        <v>0</v>
      </c>
      <c r="R1227" s="56" t="n">
        <f aca="false">IF(AND(D1227&gt;1,Q1227=0,ISNUMBER(O1227),ISNUMBER(P1227)),IF(Q1226=0,1,0),0)</f>
        <v>0</v>
      </c>
      <c r="S1227" s="56" t="n">
        <f aca="false">R1227*(B1227&gt;=Train_Start)*(B1227&lt;=Train_End)</f>
        <v>0</v>
      </c>
      <c r="T1227" s="84" t="n">
        <f aca="false">IF(AND(ISNUMBER(O1227),ISNUMBER(P1227)),Coef_A+Coef_B1*O1227+Coef_B2*P1227,"")</f>
        <v>15.8548916165645</v>
      </c>
      <c r="U1227" s="84" t="str">
        <f aca="false">IF(AND(R1227=1,ISNUMBER(T1227)),E1227-T1227,"")</f>
        <v/>
      </c>
      <c r="V1227" s="84" t="n">
        <f aca="false">IF(ISNUMBER(T1227),T1227,-99)</f>
        <v>15.8548916165645</v>
      </c>
      <c r="W1227" s="84" t="str">
        <f aca="false">IF(ISNUMBER(U1227),ABS(U1227),"")</f>
        <v/>
      </c>
    </row>
    <row r="1228" customFormat="false" ht="15" hidden="false" customHeight="false" outlineLevel="0" collapsed="false">
      <c r="A1228" s="57" t="n">
        <v>31900</v>
      </c>
      <c r="B1228" s="56" t="n">
        <v>1987</v>
      </c>
      <c r="C1228" s="56" t="n">
        <v>5</v>
      </c>
      <c r="D1228" s="56" t="n">
        <v>3</v>
      </c>
      <c r="E1228" s="56" t="n">
        <v>12.3</v>
      </c>
      <c r="F1228" s="56" t="n">
        <v>0</v>
      </c>
      <c r="G1228" s="56" t="n">
        <v>4.3</v>
      </c>
      <c r="H1228" s="56" t="n">
        <v>0</v>
      </c>
      <c r="I1228" s="56" t="n">
        <v>7.2</v>
      </c>
      <c r="J1228" s="56" t="n">
        <v>0</v>
      </c>
      <c r="K1228" s="56" t="n">
        <v>1023.3</v>
      </c>
      <c r="L1228" s="56" t="n">
        <v>0</v>
      </c>
      <c r="M1228" s="56" t="n">
        <v>70</v>
      </c>
      <c r="N1228" s="56" t="n">
        <v>6.2</v>
      </c>
      <c r="O1228" s="56" t="n">
        <f aca="false">IF(D1228=1,"",E1227)</f>
        <v>10.1</v>
      </c>
      <c r="P1228" s="56" t="n">
        <f aca="false">IF(OR(D1228=1,K1227=""),"",K1227)</f>
        <v>1013.8</v>
      </c>
      <c r="Q1228" s="56" t="n">
        <f aca="false">IF(OR(F1228&lt;&gt;0,AND(I1228&lt;&gt;"",E1228&lt;I1228)),1,0)</f>
        <v>0</v>
      </c>
      <c r="R1228" s="56" t="n">
        <f aca="false">IF(AND(D1228&gt;1,Q1228=0,ISNUMBER(O1228),ISNUMBER(P1228)),IF(Q1227=0,1,0),0)</f>
        <v>1</v>
      </c>
      <c r="S1228" s="56" t="n">
        <f aca="false">R1228*(B1228&gt;=Train_Start)*(B1228&lt;=Train_End)</f>
        <v>1</v>
      </c>
      <c r="T1228" s="84" t="n">
        <f aca="false">IF(AND(ISNUMBER(O1228),ISNUMBER(P1228)),Coef_A+Coef_B1*O1228+Coef_B2*P1228,"")</f>
        <v>12.165100451665</v>
      </c>
      <c r="U1228" s="84" t="n">
        <f aca="false">IF(AND(R1228=1,ISNUMBER(T1228)),E1228-T1228,"")</f>
        <v>0.134899548335017</v>
      </c>
      <c r="V1228" s="84" t="n">
        <f aca="false">IF(ISNUMBER(T1228),T1228,-99)</f>
        <v>12.165100451665</v>
      </c>
      <c r="W1228" s="84" t="n">
        <f aca="false">IF(ISNUMBER(U1228),ABS(U1228),"")</f>
        <v>0.134899548335017</v>
      </c>
    </row>
    <row r="1229" customFormat="false" ht="15" hidden="false" customHeight="false" outlineLevel="0" collapsed="false">
      <c r="A1229" s="57" t="n">
        <v>31901</v>
      </c>
      <c r="B1229" s="56" t="n">
        <v>1987</v>
      </c>
      <c r="C1229" s="56" t="n">
        <v>5</v>
      </c>
      <c r="D1229" s="56" t="n">
        <v>4</v>
      </c>
      <c r="E1229" s="56" t="n">
        <v>14.2</v>
      </c>
      <c r="F1229" s="56" t="n">
        <v>0</v>
      </c>
      <c r="G1229" s="56" t="n">
        <v>2.2</v>
      </c>
      <c r="H1229" s="56" t="n">
        <v>0</v>
      </c>
      <c r="I1229" s="56" t="n">
        <v>7.2</v>
      </c>
      <c r="J1229" s="56" t="n">
        <v>0</v>
      </c>
      <c r="K1229" s="56" t="n">
        <v>1031.8</v>
      </c>
      <c r="L1229" s="56" t="n">
        <v>0</v>
      </c>
      <c r="M1229" s="56" t="n">
        <v>61</v>
      </c>
      <c r="N1229" s="56" t="n">
        <v>12.1</v>
      </c>
      <c r="O1229" s="56" t="n">
        <f aca="false">IF(D1229=1,"",E1228)</f>
        <v>12.3</v>
      </c>
      <c r="P1229" s="56" t="n">
        <f aca="false">IF(OR(D1229=1,K1228=""),"",K1228)</f>
        <v>1023.3</v>
      </c>
      <c r="Q1229" s="56" t="n">
        <f aca="false">IF(OR(F1229&lt;&gt;0,AND(I1229&lt;&gt;"",E1229&lt;I1229)),1,0)</f>
        <v>0</v>
      </c>
      <c r="R1229" s="56" t="n">
        <f aca="false">IF(AND(D1229&gt;1,Q1229=0,ISNUMBER(O1229),ISNUMBER(P1229)),IF(Q1228=0,1,0),0)</f>
        <v>1</v>
      </c>
      <c r="S1229" s="56" t="n">
        <f aca="false">R1229*(B1229&gt;=Train_Start)*(B1229&lt;=Train_End)</f>
        <v>1</v>
      </c>
      <c r="T1229" s="84" t="n">
        <f aca="false">IF(AND(ISNUMBER(O1229),ISNUMBER(P1229)),Coef_A+Coef_B1*O1229+Coef_B2*P1229,"")</f>
        <v>14.2656606753817</v>
      </c>
      <c r="U1229" s="84" t="n">
        <f aca="false">IF(AND(R1229=1,ISNUMBER(T1229)),E1229-T1229,"")</f>
        <v>-0.0656606753817322</v>
      </c>
      <c r="V1229" s="84" t="n">
        <f aca="false">IF(ISNUMBER(T1229),T1229,-99)</f>
        <v>14.2656606753817</v>
      </c>
      <c r="W1229" s="84" t="n">
        <f aca="false">IF(ISNUMBER(U1229),ABS(U1229),"")</f>
        <v>0.0656606753817322</v>
      </c>
    </row>
    <row r="1230" customFormat="false" ht="15" hidden="false" customHeight="false" outlineLevel="0" collapsed="false">
      <c r="A1230" s="57" t="n">
        <v>31902</v>
      </c>
      <c r="B1230" s="56" t="n">
        <v>1987</v>
      </c>
      <c r="C1230" s="56" t="n">
        <v>5</v>
      </c>
      <c r="D1230" s="56" t="n">
        <v>5</v>
      </c>
      <c r="E1230" s="56" t="n">
        <v>17.7</v>
      </c>
      <c r="F1230" s="56" t="n">
        <v>0</v>
      </c>
      <c r="G1230" s="56" t="n">
        <v>6</v>
      </c>
      <c r="H1230" s="56" t="n">
        <v>0</v>
      </c>
      <c r="I1230" s="56" t="n">
        <v>10.1</v>
      </c>
      <c r="J1230" s="56" t="n">
        <v>0</v>
      </c>
      <c r="K1230" s="56" t="n">
        <v>1033.1</v>
      </c>
      <c r="L1230" s="56" t="n">
        <v>0</v>
      </c>
      <c r="M1230" s="56" t="n">
        <v>66</v>
      </c>
      <c r="N1230" s="56" t="n">
        <v>3.1</v>
      </c>
      <c r="O1230" s="56" t="n">
        <f aca="false">IF(D1230=1,"",E1229)</f>
        <v>14.2</v>
      </c>
      <c r="P1230" s="56" t="n">
        <f aca="false">IF(OR(D1230=1,K1229=""),"",K1229)</f>
        <v>1031.8</v>
      </c>
      <c r="Q1230" s="56" t="n">
        <f aca="false">IF(OR(F1230&lt;&gt;0,AND(I1230&lt;&gt;"",E1230&lt;I1230)),1,0)</f>
        <v>0</v>
      </c>
      <c r="R1230" s="56" t="n">
        <f aca="false">IF(AND(D1230&gt;1,Q1230=0,ISNUMBER(O1230),ISNUMBER(P1230)),IF(Q1229=0,1,0),0)</f>
        <v>1</v>
      </c>
      <c r="S1230" s="56" t="n">
        <f aca="false">R1230*(B1230&gt;=Train_Start)*(B1230&lt;=Train_End)</f>
        <v>1</v>
      </c>
      <c r="T1230" s="84" t="n">
        <f aca="false">IF(AND(ISNUMBER(O1230),ISNUMBER(P1230)),Coef_A+Coef_B1*O1230+Coef_B2*P1230,"")</f>
        <v>16.0890492465517</v>
      </c>
      <c r="U1230" s="84" t="n">
        <f aca="false">IF(AND(R1230=1,ISNUMBER(T1230)),E1230-T1230,"")</f>
        <v>1.61095075344831</v>
      </c>
      <c r="V1230" s="84" t="n">
        <f aca="false">IF(ISNUMBER(T1230),T1230,-99)</f>
        <v>16.0890492465517</v>
      </c>
      <c r="W1230" s="84" t="n">
        <f aca="false">IF(ISNUMBER(U1230),ABS(U1230),"")</f>
        <v>1.61095075344831</v>
      </c>
    </row>
    <row r="1231" customFormat="false" ht="15" hidden="false" customHeight="false" outlineLevel="0" collapsed="false">
      <c r="A1231" s="57" t="n">
        <v>31903</v>
      </c>
      <c r="B1231" s="56" t="n">
        <v>1987</v>
      </c>
      <c r="C1231" s="56" t="n">
        <v>5</v>
      </c>
      <c r="D1231" s="56" t="n">
        <v>6</v>
      </c>
      <c r="E1231" s="56" t="n">
        <v>17.6</v>
      </c>
      <c r="F1231" s="56" t="n">
        <v>0</v>
      </c>
      <c r="G1231" s="56" t="n">
        <v>6</v>
      </c>
      <c r="H1231" s="56" t="n">
        <v>0</v>
      </c>
      <c r="I1231" s="56" t="n">
        <v>11.8</v>
      </c>
      <c r="J1231" s="56" t="n">
        <v>0</v>
      </c>
      <c r="K1231" s="56" t="n">
        <v>1032.3</v>
      </c>
      <c r="L1231" s="56" t="n">
        <v>0</v>
      </c>
      <c r="M1231" s="56" t="n">
        <v>71</v>
      </c>
      <c r="N1231" s="56" t="n">
        <v>5.3</v>
      </c>
      <c r="O1231" s="56" t="n">
        <f aca="false">IF(D1231=1,"",E1230)</f>
        <v>17.7</v>
      </c>
      <c r="P1231" s="56" t="n">
        <f aca="false">IF(OR(D1231=1,K1230=""),"",K1230)</f>
        <v>1033.1</v>
      </c>
      <c r="Q1231" s="56" t="n">
        <f aca="false">IF(OR(F1231&lt;&gt;0,AND(I1231&lt;&gt;"",E1231&lt;I1231)),1,0)</f>
        <v>0</v>
      </c>
      <c r="R1231" s="56" t="n">
        <f aca="false">IF(AND(D1231&gt;1,Q1231=0,ISNUMBER(O1231),ISNUMBER(P1231)),IF(Q1230=0,1,0),0)</f>
        <v>1</v>
      </c>
      <c r="S1231" s="56" t="n">
        <f aca="false">R1231*(B1231&gt;=Train_Start)*(B1231&lt;=Train_End)</f>
        <v>1</v>
      </c>
      <c r="T1231" s="84" t="n">
        <f aca="false">IF(AND(ISNUMBER(O1231),ISNUMBER(P1231)),Coef_A+Coef_B1*O1231+Coef_B2*P1231,"")</f>
        <v>18.9975172852252</v>
      </c>
      <c r="U1231" s="84" t="n">
        <f aca="false">IF(AND(R1231=1,ISNUMBER(T1231)),E1231-T1231,"")</f>
        <v>-1.39751728522517</v>
      </c>
      <c r="V1231" s="84" t="n">
        <f aca="false">IF(ISNUMBER(T1231),T1231,-99)</f>
        <v>18.9975172852252</v>
      </c>
      <c r="W1231" s="84" t="n">
        <f aca="false">IF(ISNUMBER(U1231),ABS(U1231),"")</f>
        <v>1.39751728522517</v>
      </c>
    </row>
    <row r="1232" customFormat="false" ht="15" hidden="false" customHeight="false" outlineLevel="0" collapsed="false">
      <c r="A1232" s="57" t="n">
        <v>31904</v>
      </c>
      <c r="B1232" s="56" t="n">
        <v>1987</v>
      </c>
      <c r="C1232" s="56" t="n">
        <v>5</v>
      </c>
      <c r="D1232" s="56" t="n">
        <v>7</v>
      </c>
      <c r="E1232" s="56" t="n">
        <v>20.4</v>
      </c>
      <c r="F1232" s="56" t="n">
        <v>0</v>
      </c>
      <c r="G1232" s="56" t="n">
        <v>6.7</v>
      </c>
      <c r="H1232" s="56" t="n">
        <v>0</v>
      </c>
      <c r="I1232" s="56" t="n">
        <v>12.2</v>
      </c>
      <c r="J1232" s="56" t="n">
        <v>0</v>
      </c>
      <c r="K1232" s="56" t="n">
        <v>1031</v>
      </c>
      <c r="L1232" s="56" t="n">
        <v>0</v>
      </c>
      <c r="M1232" s="56" t="n">
        <v>65</v>
      </c>
      <c r="N1232" s="56" t="n">
        <v>13.7</v>
      </c>
      <c r="O1232" s="56" t="n">
        <f aca="false">IF(D1232=1,"",E1231)</f>
        <v>17.6</v>
      </c>
      <c r="P1232" s="56" t="n">
        <f aca="false">IF(OR(D1232=1,K1231=""),"",K1231)</f>
        <v>1032.3</v>
      </c>
      <c r="Q1232" s="56" t="n">
        <f aca="false">IF(OR(F1232&lt;&gt;0,AND(I1232&lt;&gt;"",E1232&lt;I1232)),1,0)</f>
        <v>0</v>
      </c>
      <c r="R1232" s="56" t="n">
        <f aca="false">IF(AND(D1232&gt;1,Q1232=0,ISNUMBER(O1232),ISNUMBER(P1232)),IF(Q1231=0,1,0),0)</f>
        <v>1</v>
      </c>
      <c r="S1232" s="56" t="n">
        <f aca="false">R1232*(B1232&gt;=Train_Start)*(B1232&lt;=Train_End)</f>
        <v>1</v>
      </c>
      <c r="T1232" s="84" t="n">
        <f aca="false">IF(AND(ISNUMBER(O1232),ISNUMBER(P1232)),Coef_A+Coef_B1*O1232+Coef_B2*P1232,"")</f>
        <v>18.8904874502137</v>
      </c>
      <c r="U1232" s="84" t="n">
        <f aca="false">IF(AND(R1232=1,ISNUMBER(T1232)),E1232-T1232,"")</f>
        <v>1.50951254978628</v>
      </c>
      <c r="V1232" s="84" t="n">
        <f aca="false">IF(ISNUMBER(T1232),T1232,-99)</f>
        <v>18.8904874502137</v>
      </c>
      <c r="W1232" s="84" t="n">
        <f aca="false">IF(ISNUMBER(U1232),ABS(U1232),"")</f>
        <v>1.50951254978628</v>
      </c>
    </row>
    <row r="1233" customFormat="false" ht="15" hidden="false" customHeight="false" outlineLevel="0" collapsed="false">
      <c r="A1233" s="57" t="n">
        <v>31905</v>
      </c>
      <c r="B1233" s="56" t="n">
        <v>1987</v>
      </c>
      <c r="C1233" s="56" t="n">
        <v>5</v>
      </c>
      <c r="D1233" s="56" t="n">
        <v>8</v>
      </c>
      <c r="E1233" s="56" t="n">
        <v>23.7</v>
      </c>
      <c r="F1233" s="56" t="n">
        <v>0</v>
      </c>
      <c r="G1233" s="56" t="n">
        <v>3.8</v>
      </c>
      <c r="H1233" s="56" t="n">
        <v>0</v>
      </c>
      <c r="I1233" s="56" t="n">
        <v>12.1</v>
      </c>
      <c r="J1233" s="56" t="n">
        <v>0</v>
      </c>
      <c r="K1233" s="56" t="n">
        <v>1025.7</v>
      </c>
      <c r="L1233" s="56" t="n">
        <v>0</v>
      </c>
      <c r="M1233" s="56" t="n">
        <v>66</v>
      </c>
      <c r="N1233" s="56" t="n">
        <v>14.1</v>
      </c>
      <c r="O1233" s="56" t="n">
        <f aca="false">IF(D1233=1,"",E1232)</f>
        <v>20.4</v>
      </c>
      <c r="P1233" s="56" t="n">
        <f aca="false">IF(OR(D1233=1,K1232=""),"",K1232)</f>
        <v>1031</v>
      </c>
      <c r="Q1233" s="56" t="n">
        <f aca="false">IF(OR(F1233&lt;&gt;0,AND(I1233&lt;&gt;"",E1233&lt;I1233)),1,0)</f>
        <v>0</v>
      </c>
      <c r="R1233" s="56" t="n">
        <f aca="false">IF(AND(D1233&gt;1,Q1233=0,ISNUMBER(O1233),ISNUMBER(P1233)),IF(Q1232=0,1,0),0)</f>
        <v>1</v>
      </c>
      <c r="S1233" s="56" t="n">
        <f aca="false">R1233*(B1233&gt;=Train_Start)*(B1233&lt;=Train_End)</f>
        <v>1</v>
      </c>
      <c r="T1233" s="84" t="n">
        <f aca="false">IF(AND(ISNUMBER(O1233),ISNUMBER(P1233)),Coef_A+Coef_B1*O1233+Coef_B2*P1233,"")</f>
        <v>21.143856327709</v>
      </c>
      <c r="U1233" s="84" t="n">
        <f aca="false">IF(AND(R1233=1,ISNUMBER(T1233)),E1233-T1233,"")</f>
        <v>2.55614367229102</v>
      </c>
      <c r="V1233" s="84" t="n">
        <f aca="false">IF(ISNUMBER(T1233),T1233,-99)</f>
        <v>21.143856327709</v>
      </c>
      <c r="W1233" s="84" t="n">
        <f aca="false">IF(ISNUMBER(U1233),ABS(U1233),"")</f>
        <v>2.55614367229102</v>
      </c>
    </row>
    <row r="1234" customFormat="false" ht="15" hidden="false" customHeight="false" outlineLevel="0" collapsed="false">
      <c r="A1234" s="57" t="n">
        <v>31906</v>
      </c>
      <c r="B1234" s="56" t="n">
        <v>1987</v>
      </c>
      <c r="C1234" s="56" t="n">
        <v>5</v>
      </c>
      <c r="D1234" s="56" t="n">
        <v>9</v>
      </c>
      <c r="E1234" s="56" t="n">
        <v>14.9</v>
      </c>
      <c r="F1234" s="56" t="n">
        <v>1</v>
      </c>
      <c r="G1234" s="56" t="n">
        <v>6.6</v>
      </c>
      <c r="H1234" s="56" t="n">
        <v>0</v>
      </c>
      <c r="I1234" s="56" t="n">
        <v>15.2</v>
      </c>
      <c r="J1234" s="56" t="n">
        <v>1</v>
      </c>
      <c r="K1234" s="56" t="n">
        <v>1015.8</v>
      </c>
      <c r="L1234" s="56" t="n">
        <v>0</v>
      </c>
      <c r="M1234" s="56" t="n">
        <v>60</v>
      </c>
      <c r="N1234" s="56" t="n">
        <v>13.9</v>
      </c>
      <c r="O1234" s="56" t="n">
        <f aca="false">IF(D1234=1,"",E1233)</f>
        <v>23.7</v>
      </c>
      <c r="P1234" s="56" t="n">
        <f aca="false">IF(OR(D1234=1,K1233=""),"",K1233)</f>
        <v>1025.7</v>
      </c>
      <c r="Q1234" s="56" t="n">
        <f aca="false">IF(OR(F1234&lt;&gt;0,AND(I1234&lt;&gt;"",E1234&lt;I1234)),1,0)</f>
        <v>1</v>
      </c>
      <c r="R1234" s="56" t="n">
        <f aca="false">IF(AND(D1234&gt;1,Q1234=0,ISNUMBER(O1234),ISNUMBER(P1234)),IF(Q1233=0,1,0),0)</f>
        <v>0</v>
      </c>
      <c r="S1234" s="56" t="n">
        <f aca="false">R1234*(B1234&gt;=Train_Start)*(B1234&lt;=Train_End)</f>
        <v>0</v>
      </c>
      <c r="T1234" s="84" t="n">
        <f aca="false">IF(AND(ISNUMBER(O1234),ISNUMBER(P1234)),Coef_A+Coef_B1*O1234+Coef_B2*P1234,"")</f>
        <v>23.6814152231896</v>
      </c>
      <c r="U1234" s="84" t="str">
        <f aca="false">IF(AND(R1234=1,ISNUMBER(T1234)),E1234-T1234,"")</f>
        <v/>
      </c>
      <c r="V1234" s="84" t="n">
        <f aca="false">IF(ISNUMBER(T1234),T1234,-99)</f>
        <v>23.6814152231896</v>
      </c>
      <c r="W1234" s="84" t="str">
        <f aca="false">IF(ISNUMBER(U1234),ABS(U1234),"")</f>
        <v/>
      </c>
    </row>
    <row r="1235" customFormat="false" ht="15" hidden="false" customHeight="false" outlineLevel="0" collapsed="false">
      <c r="A1235" s="57" t="n">
        <v>31907</v>
      </c>
      <c r="B1235" s="56" t="n">
        <v>1987</v>
      </c>
      <c r="C1235" s="56" t="n">
        <v>5</v>
      </c>
      <c r="D1235" s="56" t="n">
        <v>10</v>
      </c>
      <c r="E1235" s="56" t="n">
        <v>15.2</v>
      </c>
      <c r="F1235" s="56" t="n">
        <v>0</v>
      </c>
      <c r="G1235" s="56" t="n">
        <v>7.2</v>
      </c>
      <c r="H1235" s="56" t="n">
        <v>0</v>
      </c>
      <c r="I1235" s="56" t="n">
        <v>11</v>
      </c>
      <c r="J1235" s="56" t="n">
        <v>0</v>
      </c>
      <c r="K1235" s="56" t="n">
        <v>1015.2</v>
      </c>
      <c r="L1235" s="56" t="n">
        <v>0</v>
      </c>
      <c r="M1235" s="56" t="n">
        <v>58</v>
      </c>
      <c r="N1235" s="56" t="n">
        <v>8.2</v>
      </c>
      <c r="O1235" s="56" t="n">
        <f aca="false">IF(D1235=1,"",E1234)</f>
        <v>14.9</v>
      </c>
      <c r="P1235" s="56" t="n">
        <f aca="false">IF(OR(D1235=1,K1234=""),"",K1234)</f>
        <v>1015.8</v>
      </c>
      <c r="Q1235" s="56" t="n">
        <f aca="false">IF(OR(F1235&lt;&gt;0,AND(I1235&lt;&gt;"",E1235&lt;I1235)),1,0)</f>
        <v>0</v>
      </c>
      <c r="R1235" s="56" t="n">
        <f aca="false">IF(AND(D1235&gt;1,Q1235=0,ISNUMBER(O1235),ISNUMBER(P1235)),IF(Q1234=0,1,0),0)</f>
        <v>0</v>
      </c>
      <c r="S1235" s="56" t="n">
        <f aca="false">R1235*(B1235&gt;=Train_Start)*(B1235&lt;=Train_End)</f>
        <v>0</v>
      </c>
      <c r="T1235" s="84" t="n">
        <f aca="false">IF(AND(ISNUMBER(O1235),ISNUMBER(P1235)),Coef_A+Coef_B1*O1235+Coef_B2*P1235,"")</f>
        <v>16.1606683675377</v>
      </c>
      <c r="U1235" s="84" t="str">
        <f aca="false">IF(AND(R1235=1,ISNUMBER(T1235)),E1235-T1235,"")</f>
        <v/>
      </c>
      <c r="V1235" s="84" t="n">
        <f aca="false">IF(ISNUMBER(T1235),T1235,-99)</f>
        <v>16.1606683675377</v>
      </c>
      <c r="W1235" s="84" t="str">
        <f aca="false">IF(ISNUMBER(U1235),ABS(U1235),"")</f>
        <v/>
      </c>
    </row>
    <row r="1236" customFormat="false" ht="15" hidden="false" customHeight="false" outlineLevel="0" collapsed="false">
      <c r="A1236" s="57" t="n">
        <v>31908</v>
      </c>
      <c r="B1236" s="56" t="n">
        <v>1987</v>
      </c>
      <c r="C1236" s="56" t="n">
        <v>5</v>
      </c>
      <c r="D1236" s="56" t="n">
        <v>11</v>
      </c>
      <c r="E1236" s="56" t="n">
        <v>14.8</v>
      </c>
      <c r="F1236" s="56" t="n">
        <v>0</v>
      </c>
      <c r="G1236" s="56" t="n">
        <v>5.9</v>
      </c>
      <c r="H1236" s="56" t="n">
        <v>0</v>
      </c>
      <c r="I1236" s="56" t="n">
        <v>10.6</v>
      </c>
      <c r="J1236" s="56" t="n">
        <v>0</v>
      </c>
      <c r="K1236" s="56" t="n">
        <v>1011.5</v>
      </c>
      <c r="L1236" s="56" t="n">
        <v>0</v>
      </c>
      <c r="M1236" s="56" t="n">
        <v>75</v>
      </c>
      <c r="N1236" s="56" t="n">
        <v>0.1</v>
      </c>
      <c r="O1236" s="56" t="n">
        <f aca="false">IF(D1236=1,"",E1235)</f>
        <v>15.2</v>
      </c>
      <c r="P1236" s="56" t="n">
        <f aca="false">IF(OR(D1236=1,K1235=""),"",K1235)</f>
        <v>1015.2</v>
      </c>
      <c r="Q1236" s="56" t="n">
        <f aca="false">IF(OR(F1236&lt;&gt;0,AND(I1236&lt;&gt;"",E1236&lt;I1236)),1,0)</f>
        <v>0</v>
      </c>
      <c r="R1236" s="56" t="n">
        <f aca="false">IF(AND(D1236&gt;1,Q1236=0,ISNUMBER(O1236),ISNUMBER(P1236)),IF(Q1235=0,1,0),0)</f>
        <v>1</v>
      </c>
      <c r="S1236" s="56" t="n">
        <f aca="false">R1236*(B1236&gt;=Train_Start)*(B1236&lt;=Train_End)</f>
        <v>1</v>
      </c>
      <c r="T1236" s="84" t="n">
        <f aca="false">IF(AND(ISNUMBER(O1236),ISNUMBER(P1236)),Coef_A+Coef_B1*O1236+Coef_B2*P1236,"")</f>
        <v>16.3876481886701</v>
      </c>
      <c r="U1236" s="84" t="n">
        <f aca="false">IF(AND(R1236=1,ISNUMBER(T1236)),E1236-T1236,"")</f>
        <v>-1.58764818867013</v>
      </c>
      <c r="V1236" s="84" t="n">
        <f aca="false">IF(ISNUMBER(T1236),T1236,-99)</f>
        <v>16.3876481886701</v>
      </c>
      <c r="W1236" s="84" t="n">
        <f aca="false">IF(ISNUMBER(U1236),ABS(U1236),"")</f>
        <v>1.58764818867013</v>
      </c>
    </row>
    <row r="1237" customFormat="false" ht="15" hidden="false" customHeight="false" outlineLevel="0" collapsed="false">
      <c r="A1237" s="57" t="n">
        <v>31909</v>
      </c>
      <c r="B1237" s="56" t="n">
        <v>1987</v>
      </c>
      <c r="C1237" s="56" t="n">
        <v>5</v>
      </c>
      <c r="D1237" s="56" t="n">
        <v>12</v>
      </c>
      <c r="E1237" s="56" t="n">
        <v>13.8</v>
      </c>
      <c r="F1237" s="56" t="n">
        <v>0</v>
      </c>
      <c r="G1237" s="56" t="n">
        <v>10.5</v>
      </c>
      <c r="H1237" s="56" t="n">
        <v>0</v>
      </c>
      <c r="I1237" s="56" t="n">
        <v>12.6</v>
      </c>
      <c r="J1237" s="56" t="n">
        <v>0</v>
      </c>
      <c r="K1237" s="56" t="n">
        <v>1001.7</v>
      </c>
      <c r="L1237" s="56" t="n">
        <v>0</v>
      </c>
      <c r="M1237" s="56" t="n">
        <v>79</v>
      </c>
      <c r="N1237" s="56" t="n">
        <v>6.3</v>
      </c>
      <c r="O1237" s="56" t="n">
        <f aca="false">IF(D1237=1,"",E1236)</f>
        <v>14.8</v>
      </c>
      <c r="P1237" s="56" t="n">
        <f aca="false">IF(OR(D1237=1,K1236=""),"",K1236)</f>
        <v>1011.5</v>
      </c>
      <c r="Q1237" s="56" t="n">
        <f aca="false">IF(OR(F1237&lt;&gt;0,AND(I1237&lt;&gt;"",E1237&lt;I1237)),1,0)</f>
        <v>0</v>
      </c>
      <c r="R1237" s="56" t="n">
        <f aca="false">IF(AND(D1237&gt;1,Q1237=0,ISNUMBER(O1237),ISNUMBER(P1237)),IF(Q1236=0,1,0),0)</f>
        <v>1</v>
      </c>
      <c r="S1237" s="56" t="n">
        <f aca="false">R1237*(B1237&gt;=Train_Start)*(B1237&lt;=Train_End)</f>
        <v>1</v>
      </c>
      <c r="T1237" s="84" t="n">
        <f aca="false">IF(AND(ISNUMBER(O1237),ISNUMBER(P1237)),Coef_A+Coef_B1*O1237+Coef_B2*P1237,"")</f>
        <v>15.9438439013073</v>
      </c>
      <c r="U1237" s="84" t="n">
        <f aca="false">IF(AND(R1237=1,ISNUMBER(T1237)),E1237-T1237,"")</f>
        <v>-2.1438439013073</v>
      </c>
      <c r="V1237" s="84" t="n">
        <f aca="false">IF(ISNUMBER(T1237),T1237,-99)</f>
        <v>15.9438439013073</v>
      </c>
      <c r="W1237" s="84" t="n">
        <f aca="false">IF(ISNUMBER(U1237),ABS(U1237),"")</f>
        <v>2.1438439013073</v>
      </c>
    </row>
    <row r="1238" customFormat="false" ht="15" hidden="false" customHeight="false" outlineLevel="0" collapsed="false">
      <c r="A1238" s="57" t="n">
        <v>31910</v>
      </c>
      <c r="B1238" s="56" t="n">
        <v>1987</v>
      </c>
      <c r="C1238" s="56" t="n">
        <v>5</v>
      </c>
      <c r="D1238" s="56" t="n">
        <v>13</v>
      </c>
      <c r="E1238" s="56" t="n">
        <v>14.5</v>
      </c>
      <c r="F1238" s="56" t="n">
        <v>0</v>
      </c>
      <c r="G1238" s="56" t="n">
        <v>4</v>
      </c>
      <c r="H1238" s="56" t="n">
        <v>0</v>
      </c>
      <c r="I1238" s="56" t="n">
        <v>8.9</v>
      </c>
      <c r="J1238" s="56" t="n">
        <v>0</v>
      </c>
      <c r="K1238" s="56" t="n">
        <v>1010.9</v>
      </c>
      <c r="L1238" s="56" t="n">
        <v>0</v>
      </c>
      <c r="M1238" s="56" t="n">
        <v>68</v>
      </c>
      <c r="N1238" s="56" t="n">
        <v>8.6</v>
      </c>
      <c r="O1238" s="56" t="n">
        <f aca="false">IF(D1238=1,"",E1237)</f>
        <v>13.8</v>
      </c>
      <c r="P1238" s="56" t="n">
        <f aca="false">IF(OR(D1238=1,K1237=""),"",K1237)</f>
        <v>1001.7</v>
      </c>
      <c r="Q1238" s="56" t="n">
        <f aca="false">IF(OR(F1238&lt;&gt;0,AND(I1238&lt;&gt;"",E1238&lt;I1238)),1,0)</f>
        <v>0</v>
      </c>
      <c r="R1238" s="56" t="n">
        <f aca="false">IF(AND(D1238&gt;1,Q1238=0,ISNUMBER(O1238),ISNUMBER(P1238)),IF(Q1237=0,1,0),0)</f>
        <v>1</v>
      </c>
      <c r="S1238" s="56" t="n">
        <f aca="false">R1238*(B1238&gt;=Train_Start)*(B1238&lt;=Train_End)</f>
        <v>1</v>
      </c>
      <c r="T1238" s="84" t="n">
        <f aca="false">IF(AND(ISNUMBER(O1238),ISNUMBER(P1238)),Coef_A+Coef_B1*O1238+Coef_B2*P1238,"")</f>
        <v>14.8170797408516</v>
      </c>
      <c r="U1238" s="84" t="n">
        <f aca="false">IF(AND(R1238=1,ISNUMBER(T1238)),E1238-T1238,"")</f>
        <v>-0.31707974085155</v>
      </c>
      <c r="V1238" s="84" t="n">
        <f aca="false">IF(ISNUMBER(T1238),T1238,-99)</f>
        <v>14.8170797408516</v>
      </c>
      <c r="W1238" s="84" t="n">
        <f aca="false">IF(ISNUMBER(U1238),ABS(U1238),"")</f>
        <v>0.31707974085155</v>
      </c>
    </row>
    <row r="1239" customFormat="false" ht="15" hidden="false" customHeight="false" outlineLevel="0" collapsed="false">
      <c r="A1239" s="57" t="n">
        <v>31911</v>
      </c>
      <c r="B1239" s="56" t="n">
        <v>1987</v>
      </c>
      <c r="C1239" s="56" t="n">
        <v>5</v>
      </c>
      <c r="D1239" s="56" t="n">
        <v>14</v>
      </c>
      <c r="E1239" s="56" t="n">
        <v>12.3</v>
      </c>
      <c r="F1239" s="56" t="n">
        <v>0</v>
      </c>
      <c r="G1239" s="56" t="n">
        <v>5.4</v>
      </c>
      <c r="H1239" s="56" t="n">
        <v>0</v>
      </c>
      <c r="I1239" s="56" t="n">
        <v>10</v>
      </c>
      <c r="J1239" s="56" t="n">
        <v>0</v>
      </c>
      <c r="K1239" s="56" t="n">
        <v>1002.3</v>
      </c>
      <c r="L1239" s="56" t="n">
        <v>0</v>
      </c>
      <c r="M1239" s="56" t="n">
        <v>78</v>
      </c>
      <c r="N1239" s="56" t="n">
        <v>5.7</v>
      </c>
      <c r="O1239" s="56" t="n">
        <f aca="false">IF(D1239=1,"",E1238)</f>
        <v>14.5</v>
      </c>
      <c r="P1239" s="56" t="n">
        <f aca="false">IF(OR(D1239=1,K1238=""),"",K1238)</f>
        <v>1010.9</v>
      </c>
      <c r="Q1239" s="56" t="n">
        <f aca="false">IF(OR(F1239&lt;&gt;0,AND(I1239&lt;&gt;"",E1239&lt;I1239)),1,0)</f>
        <v>0</v>
      </c>
      <c r="R1239" s="56" t="n">
        <f aca="false">IF(AND(D1239&gt;1,Q1239=0,ISNUMBER(O1239),ISNUMBER(P1239)),IF(Q1238=0,1,0),0)</f>
        <v>1</v>
      </c>
      <c r="S1239" s="56" t="n">
        <f aca="false">R1239*(B1239&gt;=Train_Start)*(B1239&lt;=Train_End)</f>
        <v>1</v>
      </c>
      <c r="T1239" s="84" t="n">
        <f aca="false">IF(AND(ISNUMBER(O1239),ISNUMBER(P1239)),Coef_A+Coef_B1*O1239+Coef_B2*P1239,"")</f>
        <v>15.6792202066141</v>
      </c>
      <c r="U1239" s="84" t="n">
        <f aca="false">IF(AND(R1239=1,ISNUMBER(T1239)),E1239-T1239,"")</f>
        <v>-3.37922020661411</v>
      </c>
      <c r="V1239" s="84" t="n">
        <f aca="false">IF(ISNUMBER(T1239),T1239,-99)</f>
        <v>15.6792202066141</v>
      </c>
      <c r="W1239" s="84" t="n">
        <f aca="false">IF(ISNUMBER(U1239),ABS(U1239),"")</f>
        <v>3.37922020661411</v>
      </c>
    </row>
    <row r="1240" customFormat="false" ht="15" hidden="false" customHeight="false" outlineLevel="0" collapsed="false">
      <c r="A1240" s="57" t="n">
        <v>31912</v>
      </c>
      <c r="B1240" s="56" t="n">
        <v>1987</v>
      </c>
      <c r="C1240" s="56" t="n">
        <v>5</v>
      </c>
      <c r="D1240" s="56" t="n">
        <v>15</v>
      </c>
      <c r="E1240" s="56" t="n">
        <v>14.6</v>
      </c>
      <c r="F1240" s="56" t="n">
        <v>0</v>
      </c>
      <c r="G1240" s="56" t="n">
        <v>6.6</v>
      </c>
      <c r="H1240" s="56" t="n">
        <v>0</v>
      </c>
      <c r="I1240" s="56" t="n">
        <v>9.4</v>
      </c>
      <c r="J1240" s="56" t="n">
        <v>0</v>
      </c>
      <c r="K1240" s="56" t="n">
        <v>1007.8</v>
      </c>
      <c r="L1240" s="56" t="n">
        <v>0</v>
      </c>
      <c r="M1240" s="56" t="n">
        <v>74</v>
      </c>
      <c r="N1240" s="56" t="n">
        <v>7.5</v>
      </c>
      <c r="O1240" s="56" t="n">
        <f aca="false">IF(D1240=1,"",E1239)</f>
        <v>12.3</v>
      </c>
      <c r="P1240" s="56" t="n">
        <f aca="false">IF(OR(D1240=1,K1239=""),"",K1239)</f>
        <v>1002.3</v>
      </c>
      <c r="Q1240" s="56" t="n">
        <f aca="false">IF(OR(F1240&lt;&gt;0,AND(I1240&lt;&gt;"",E1240&lt;I1240)),1,0)</f>
        <v>0</v>
      </c>
      <c r="R1240" s="56" t="n">
        <f aca="false">IF(AND(D1240&gt;1,Q1240=0,ISNUMBER(O1240),ISNUMBER(P1240)),IF(Q1239=0,1,0),0)</f>
        <v>1</v>
      </c>
      <c r="S1240" s="56" t="n">
        <f aca="false">R1240*(B1240&gt;=Train_Start)*(B1240&lt;=Train_End)</f>
        <v>1</v>
      </c>
      <c r="T1240" s="84" t="n">
        <f aca="false">IF(AND(ISNUMBER(O1240),ISNUMBER(P1240)),Coef_A+Coef_B1*O1240+Coef_B2*P1240,"")</f>
        <v>13.606892888068</v>
      </c>
      <c r="U1240" s="84" t="n">
        <f aca="false">IF(AND(R1240=1,ISNUMBER(T1240)),E1240-T1240,"")</f>
        <v>0.99310711193205</v>
      </c>
      <c r="V1240" s="84" t="n">
        <f aca="false">IF(ISNUMBER(T1240),T1240,-99)</f>
        <v>13.606892888068</v>
      </c>
      <c r="W1240" s="84" t="n">
        <f aca="false">IF(ISNUMBER(U1240),ABS(U1240),"")</f>
        <v>0.99310711193205</v>
      </c>
    </row>
    <row r="1241" customFormat="false" ht="15" hidden="false" customHeight="false" outlineLevel="0" collapsed="false">
      <c r="A1241" s="57" t="n">
        <v>31913</v>
      </c>
      <c r="B1241" s="56" t="n">
        <v>1987</v>
      </c>
      <c r="C1241" s="56" t="n">
        <v>5</v>
      </c>
      <c r="D1241" s="56" t="n">
        <v>16</v>
      </c>
      <c r="E1241" s="56" t="n">
        <v>13.8</v>
      </c>
      <c r="F1241" s="56" t="n">
        <v>0</v>
      </c>
      <c r="G1241" s="56" t="n">
        <v>4</v>
      </c>
      <c r="H1241" s="56" t="n">
        <v>0</v>
      </c>
      <c r="I1241" s="56" t="n">
        <v>9.3</v>
      </c>
      <c r="J1241" s="56" t="n">
        <v>0</v>
      </c>
      <c r="K1241" s="56" t="n">
        <v>1013.9</v>
      </c>
      <c r="L1241" s="56" t="n">
        <v>0</v>
      </c>
      <c r="M1241" s="56" t="n">
        <v>67</v>
      </c>
      <c r="N1241" s="56" t="n">
        <v>4.9</v>
      </c>
      <c r="O1241" s="56" t="n">
        <f aca="false">IF(D1241=1,"",E1240)</f>
        <v>14.6</v>
      </c>
      <c r="P1241" s="56" t="n">
        <f aca="false">IF(OR(D1241=1,K1240=""),"",K1240)</f>
        <v>1007.8</v>
      </c>
      <c r="Q1241" s="56" t="n">
        <f aca="false">IF(OR(F1241&lt;&gt;0,AND(I1241&lt;&gt;"",E1241&lt;I1241)),1,0)</f>
        <v>0</v>
      </c>
      <c r="R1241" s="56" t="n">
        <f aca="false">IF(AND(D1241&gt;1,Q1241=0,ISNUMBER(O1241),ISNUMBER(P1241)),IF(Q1240=0,1,0),0)</f>
        <v>1</v>
      </c>
      <c r="S1241" s="56" t="n">
        <f aca="false">R1241*(B1241&gt;=Train_Start)*(B1241&lt;=Train_End)</f>
        <v>1</v>
      </c>
      <c r="T1241" s="84" t="n">
        <f aca="false">IF(AND(ISNUMBER(O1241),ISNUMBER(P1241)),Coef_A+Coef_B1*O1241+Coef_B2*P1241,"")</f>
        <v>15.663907452553</v>
      </c>
      <c r="U1241" s="84" t="n">
        <f aca="false">IF(AND(R1241=1,ISNUMBER(T1241)),E1241-T1241,"")</f>
        <v>-1.86390745255301</v>
      </c>
      <c r="V1241" s="84" t="n">
        <f aca="false">IF(ISNUMBER(T1241),T1241,-99)</f>
        <v>15.663907452553</v>
      </c>
      <c r="W1241" s="84" t="n">
        <f aca="false">IF(ISNUMBER(U1241),ABS(U1241),"")</f>
        <v>1.86390745255301</v>
      </c>
    </row>
    <row r="1242" customFormat="false" ht="15" hidden="false" customHeight="false" outlineLevel="0" collapsed="false">
      <c r="A1242" s="57" t="n">
        <v>31914</v>
      </c>
      <c r="B1242" s="56" t="n">
        <v>1987</v>
      </c>
      <c r="C1242" s="56" t="n">
        <v>5</v>
      </c>
      <c r="D1242" s="56" t="n">
        <v>17</v>
      </c>
      <c r="E1242" s="56" t="n">
        <v>13.2</v>
      </c>
      <c r="F1242" s="56" t="n">
        <v>0</v>
      </c>
      <c r="G1242" s="56" t="n">
        <v>7.9</v>
      </c>
      <c r="H1242" s="56" t="n">
        <v>0</v>
      </c>
      <c r="I1242" s="56" t="n">
        <v>10.8</v>
      </c>
      <c r="J1242" s="56" t="n">
        <v>0</v>
      </c>
      <c r="K1242" s="56" t="n">
        <v>1012</v>
      </c>
      <c r="L1242" s="56" t="n">
        <v>0</v>
      </c>
      <c r="M1242" s="56" t="n">
        <v>81</v>
      </c>
      <c r="N1242" s="56" t="n">
        <v>0.1</v>
      </c>
      <c r="O1242" s="56" t="n">
        <f aca="false">IF(D1242=1,"",E1241)</f>
        <v>13.8</v>
      </c>
      <c r="P1242" s="56" t="n">
        <f aca="false">IF(OR(D1242=1,K1241=""),"",K1241)</f>
        <v>1013.9</v>
      </c>
      <c r="Q1242" s="56" t="n">
        <f aca="false">IF(OR(F1242&lt;&gt;0,AND(I1242&lt;&gt;"",E1242&lt;I1242)),1,0)</f>
        <v>0</v>
      </c>
      <c r="R1242" s="56" t="n">
        <f aca="false">IF(AND(D1242&gt;1,Q1242=0,ISNUMBER(O1242),ISNUMBER(P1242)),IF(Q1241=0,1,0),0)</f>
        <v>1</v>
      </c>
      <c r="S1242" s="56" t="n">
        <f aca="false">R1242*(B1242&gt;=Train_Start)*(B1242&lt;=Train_End)</f>
        <v>1</v>
      </c>
      <c r="T1242" s="84" t="n">
        <f aca="false">IF(AND(ISNUMBER(O1242),ISNUMBER(P1242)),Coef_A+Coef_B1*O1242+Coef_B2*P1242,"")</f>
        <v>15.1997924553862</v>
      </c>
      <c r="U1242" s="84" t="n">
        <f aca="false">IF(AND(R1242=1,ISNUMBER(T1242)),E1242-T1242,"")</f>
        <v>-1.99979245538622</v>
      </c>
      <c r="V1242" s="84" t="n">
        <f aca="false">IF(ISNUMBER(T1242),T1242,-99)</f>
        <v>15.1997924553862</v>
      </c>
      <c r="W1242" s="84" t="n">
        <f aca="false">IF(ISNUMBER(U1242),ABS(U1242),"")</f>
        <v>1.99979245538622</v>
      </c>
    </row>
    <row r="1243" customFormat="false" ht="15" hidden="false" customHeight="false" outlineLevel="0" collapsed="false">
      <c r="A1243" s="57" t="n">
        <v>31915</v>
      </c>
      <c r="B1243" s="56" t="n">
        <v>1987</v>
      </c>
      <c r="C1243" s="56" t="n">
        <v>5</v>
      </c>
      <c r="D1243" s="56" t="n">
        <v>18</v>
      </c>
      <c r="E1243" s="56" t="n">
        <v>17.2</v>
      </c>
      <c r="F1243" s="56" t="n">
        <v>0</v>
      </c>
      <c r="G1243" s="56" t="n">
        <v>8.1</v>
      </c>
      <c r="H1243" s="56" t="n">
        <v>0</v>
      </c>
      <c r="I1243" s="56" t="n">
        <v>10.6</v>
      </c>
      <c r="J1243" s="56" t="n">
        <v>0</v>
      </c>
      <c r="K1243" s="56" t="n">
        <v>1011.6</v>
      </c>
      <c r="L1243" s="56" t="n">
        <v>0</v>
      </c>
      <c r="M1243" s="56" t="n">
        <v>86</v>
      </c>
      <c r="N1243" s="56" t="n">
        <v>1.2</v>
      </c>
      <c r="O1243" s="56" t="n">
        <f aca="false">IF(D1243=1,"",E1242)</f>
        <v>13.2</v>
      </c>
      <c r="P1243" s="56" t="n">
        <f aca="false">IF(OR(D1243=1,K1242=""),"",K1242)</f>
        <v>1012</v>
      </c>
      <c r="Q1243" s="56" t="n">
        <f aca="false">IF(OR(F1243&lt;&gt;0,AND(I1243&lt;&gt;"",E1243&lt;I1243)),1,0)</f>
        <v>0</v>
      </c>
      <c r="R1243" s="56" t="n">
        <f aca="false">IF(AND(D1243&gt;1,Q1243=0,ISNUMBER(O1243),ISNUMBER(P1243)),IF(Q1242=0,1,0),0)</f>
        <v>1</v>
      </c>
      <c r="S1243" s="56" t="n">
        <f aca="false">R1243*(B1243&gt;=Train_Start)*(B1243&lt;=Train_End)</f>
        <v>1</v>
      </c>
      <c r="T1243" s="84" t="n">
        <f aca="false">IF(AND(ISNUMBER(O1243),ISNUMBER(P1243)),Coef_A+Coef_B1*O1243+Coef_B2*P1243,"")</f>
        <v>14.648586139756</v>
      </c>
      <c r="U1243" s="84" t="n">
        <f aca="false">IF(AND(R1243=1,ISNUMBER(T1243)),E1243-T1243,"")</f>
        <v>2.55141386024396</v>
      </c>
      <c r="V1243" s="84" t="n">
        <f aca="false">IF(ISNUMBER(T1243),T1243,-99)</f>
        <v>14.648586139756</v>
      </c>
      <c r="W1243" s="84" t="n">
        <f aca="false">IF(ISNUMBER(U1243),ABS(U1243),"")</f>
        <v>2.55141386024396</v>
      </c>
    </row>
    <row r="1244" customFormat="false" ht="15" hidden="false" customHeight="false" outlineLevel="0" collapsed="false">
      <c r="A1244" s="57" t="n">
        <v>31916</v>
      </c>
      <c r="B1244" s="56" t="n">
        <v>1987</v>
      </c>
      <c r="C1244" s="56" t="n">
        <v>5</v>
      </c>
      <c r="D1244" s="56" t="n">
        <v>19</v>
      </c>
      <c r="E1244" s="56" t="n">
        <v>13.6</v>
      </c>
      <c r="F1244" s="56" t="n">
        <v>0</v>
      </c>
      <c r="G1244" s="56" t="n">
        <v>6.6</v>
      </c>
      <c r="H1244" s="56" t="n">
        <v>0</v>
      </c>
      <c r="I1244" s="56" t="n">
        <v>11.9</v>
      </c>
      <c r="J1244" s="56" t="n">
        <v>0</v>
      </c>
      <c r="K1244" s="56" t="n">
        <v>1022.3</v>
      </c>
      <c r="L1244" s="56" t="n">
        <v>0</v>
      </c>
      <c r="M1244" s="56" t="n">
        <v>69</v>
      </c>
      <c r="N1244" s="56" t="n">
        <v>7.4</v>
      </c>
      <c r="O1244" s="56" t="n">
        <f aca="false">IF(D1244=1,"",E1243)</f>
        <v>17.2</v>
      </c>
      <c r="P1244" s="56" t="n">
        <f aca="false">IF(OR(D1244=1,K1243=""),"",K1243)</f>
        <v>1011.6</v>
      </c>
      <c r="Q1244" s="56" t="n">
        <f aca="false">IF(OR(F1244&lt;&gt;0,AND(I1244&lt;&gt;"",E1244&lt;I1244)),1,0)</f>
        <v>0</v>
      </c>
      <c r="R1244" s="56" t="n">
        <f aca="false">IF(AND(D1244&gt;1,Q1244=0,ISNUMBER(O1244),ISNUMBER(P1244)),IF(Q1243=0,1,0),0)</f>
        <v>1</v>
      </c>
      <c r="S1244" s="56" t="n">
        <f aca="false">R1244*(B1244&gt;=Train_Start)*(B1244&lt;=Train_End)</f>
        <v>1</v>
      </c>
      <c r="T1244" s="84" t="n">
        <f aca="false">IF(AND(ISNUMBER(O1244),ISNUMBER(P1244)),Coef_A+Coef_B1*O1244+Coef_B2*P1244,"")</f>
        <v>17.9133949540731</v>
      </c>
      <c r="U1244" s="84" t="n">
        <f aca="false">IF(AND(R1244=1,ISNUMBER(T1244)),E1244-T1244,"")</f>
        <v>-4.31339495407308</v>
      </c>
      <c r="V1244" s="84" t="n">
        <f aca="false">IF(ISNUMBER(T1244),T1244,-99)</f>
        <v>17.9133949540731</v>
      </c>
      <c r="W1244" s="84" t="n">
        <f aca="false">IF(ISNUMBER(U1244),ABS(U1244),"")</f>
        <v>4.31339495407308</v>
      </c>
    </row>
    <row r="1245" customFormat="false" ht="15" hidden="false" customHeight="false" outlineLevel="0" collapsed="false">
      <c r="A1245" s="57" t="n">
        <v>31917</v>
      </c>
      <c r="B1245" s="56" t="n">
        <v>1987</v>
      </c>
      <c r="C1245" s="56" t="n">
        <v>5</v>
      </c>
      <c r="D1245" s="56" t="n">
        <v>20</v>
      </c>
      <c r="E1245" s="56" t="n">
        <v>14.6</v>
      </c>
      <c r="F1245" s="56" t="n">
        <v>0</v>
      </c>
      <c r="G1245" s="56" t="n">
        <v>5.3</v>
      </c>
      <c r="H1245" s="56" t="n">
        <v>0</v>
      </c>
      <c r="I1245" s="56" t="n">
        <v>9.4</v>
      </c>
      <c r="J1245" s="56" t="n">
        <v>0</v>
      </c>
      <c r="K1245" s="56" t="n">
        <v>1029.6</v>
      </c>
      <c r="L1245" s="56" t="n">
        <v>0</v>
      </c>
      <c r="M1245" s="56" t="n">
        <v>60</v>
      </c>
      <c r="N1245" s="56" t="n">
        <v>10</v>
      </c>
      <c r="O1245" s="56" t="n">
        <f aca="false">IF(D1245=1,"",E1244)</f>
        <v>13.6</v>
      </c>
      <c r="P1245" s="56" t="n">
        <f aca="false">IF(OR(D1245=1,K1244=""),"",K1244)</f>
        <v>1022.3</v>
      </c>
      <c r="Q1245" s="56" t="n">
        <f aca="false">IF(OR(F1245&lt;&gt;0,AND(I1245&lt;&gt;"",E1245&lt;I1245)),1,0)</f>
        <v>0</v>
      </c>
      <c r="R1245" s="56" t="n">
        <f aca="false">IF(AND(D1245&gt;1,Q1245=0,ISNUMBER(O1245),ISNUMBER(P1245)),IF(Q1244=0,1,0),0)</f>
        <v>1</v>
      </c>
      <c r="S1245" s="56" t="n">
        <f aca="false">R1245*(B1245&gt;=Train_Start)*(B1245&lt;=Train_End)</f>
        <v>1</v>
      </c>
      <c r="T1245" s="84" t="n">
        <f aca="false">IF(AND(ISNUMBER(O1245),ISNUMBER(P1245)),Coef_A+Coef_B1*O1245+Coef_B2*P1245,"")</f>
        <v>15.2994317317032</v>
      </c>
      <c r="U1245" s="84" t="n">
        <f aca="false">IF(AND(R1245=1,ISNUMBER(T1245)),E1245-T1245,"")</f>
        <v>-0.699431731703198</v>
      </c>
      <c r="V1245" s="84" t="n">
        <f aca="false">IF(ISNUMBER(T1245),T1245,-99)</f>
        <v>15.2994317317032</v>
      </c>
      <c r="W1245" s="84" t="n">
        <f aca="false">IF(ISNUMBER(U1245),ABS(U1245),"")</f>
        <v>0.699431731703198</v>
      </c>
    </row>
    <row r="1246" customFormat="false" ht="15" hidden="false" customHeight="false" outlineLevel="0" collapsed="false">
      <c r="A1246" s="57" t="n">
        <v>31918</v>
      </c>
      <c r="B1246" s="56" t="n">
        <v>1987</v>
      </c>
      <c r="C1246" s="56" t="n">
        <v>5</v>
      </c>
      <c r="D1246" s="56" t="n">
        <v>21</v>
      </c>
      <c r="E1246" s="56" t="n">
        <v>13.1</v>
      </c>
      <c r="F1246" s="56" t="n">
        <v>0</v>
      </c>
      <c r="G1246" s="56" t="n">
        <v>6.1</v>
      </c>
      <c r="H1246" s="56" t="n">
        <v>0</v>
      </c>
      <c r="I1246" s="56" t="n">
        <v>10.4</v>
      </c>
      <c r="J1246" s="56" t="n">
        <v>0</v>
      </c>
      <c r="K1246" s="56" t="n">
        <v>1025.6</v>
      </c>
      <c r="L1246" s="56" t="n">
        <v>0</v>
      </c>
      <c r="M1246" s="56" t="n">
        <v>67</v>
      </c>
      <c r="N1246" s="56" t="n">
        <v>3.6</v>
      </c>
      <c r="O1246" s="56" t="n">
        <f aca="false">IF(D1246=1,"",E1245)</f>
        <v>14.6</v>
      </c>
      <c r="P1246" s="56" t="n">
        <f aca="false">IF(OR(D1246=1,K1245=""),"",K1245)</f>
        <v>1029.6</v>
      </c>
      <c r="Q1246" s="56" t="n">
        <f aca="false">IF(OR(F1246&lt;&gt;0,AND(I1246&lt;&gt;"",E1246&lt;I1246)),1,0)</f>
        <v>0</v>
      </c>
      <c r="R1246" s="56" t="n">
        <f aca="false">IF(AND(D1246&gt;1,Q1246=0,ISNUMBER(O1246),ISNUMBER(P1246)),IF(Q1245=0,1,0),0)</f>
        <v>1</v>
      </c>
      <c r="S1246" s="56" t="n">
        <f aca="false">R1246*(B1246&gt;=Train_Start)*(B1246&lt;=Train_End)</f>
        <v>1</v>
      </c>
      <c r="T1246" s="84" t="n">
        <f aca="false">IF(AND(ISNUMBER(O1246),ISNUMBER(P1246)),Coef_A+Coef_B1*O1246+Coef_B2*P1246,"")</f>
        <v>16.347771155574</v>
      </c>
      <c r="U1246" s="84" t="n">
        <f aca="false">IF(AND(R1246=1,ISNUMBER(T1246)),E1246-T1246,"")</f>
        <v>-3.24777115557398</v>
      </c>
      <c r="V1246" s="84" t="n">
        <f aca="false">IF(ISNUMBER(T1246),T1246,-99)</f>
        <v>16.347771155574</v>
      </c>
      <c r="W1246" s="84" t="n">
        <f aca="false">IF(ISNUMBER(U1246),ABS(U1246),"")</f>
        <v>3.24777115557398</v>
      </c>
    </row>
    <row r="1247" customFormat="false" ht="15" hidden="false" customHeight="false" outlineLevel="0" collapsed="false">
      <c r="A1247" s="57" t="n">
        <v>31919</v>
      </c>
      <c r="B1247" s="56" t="n">
        <v>1987</v>
      </c>
      <c r="C1247" s="56" t="n">
        <v>5</v>
      </c>
      <c r="D1247" s="56" t="n">
        <v>22</v>
      </c>
      <c r="E1247" s="56" t="n">
        <v>11.7</v>
      </c>
      <c r="F1247" s="56" t="n">
        <v>0</v>
      </c>
      <c r="G1247" s="56" t="n">
        <v>6.3</v>
      </c>
      <c r="H1247" s="56" t="n">
        <v>0</v>
      </c>
      <c r="I1247" s="56" t="n">
        <v>9.7</v>
      </c>
      <c r="J1247" s="56" t="n">
        <v>0</v>
      </c>
      <c r="K1247" s="56" t="n">
        <v>1021.1</v>
      </c>
      <c r="L1247" s="56" t="n">
        <v>0</v>
      </c>
      <c r="M1247" s="56" t="n">
        <v>76</v>
      </c>
      <c r="N1247" s="56" t="n">
        <v>2.6</v>
      </c>
      <c r="O1247" s="56" t="n">
        <f aca="false">IF(D1247=1,"",E1246)</f>
        <v>13.1</v>
      </c>
      <c r="P1247" s="56" t="n">
        <f aca="false">IF(OR(D1247=1,K1246=""),"",K1246)</f>
        <v>1025.6</v>
      </c>
      <c r="Q1247" s="56" t="n">
        <f aca="false">IF(OR(F1247&lt;&gt;0,AND(I1247&lt;&gt;"",E1247&lt;I1247)),1,0)</f>
        <v>0</v>
      </c>
      <c r="R1247" s="56" t="n">
        <f aca="false">IF(AND(D1247&gt;1,Q1247=0,ISNUMBER(O1247),ISNUMBER(P1247)),IF(Q1246=0,1,0),0)</f>
        <v>1</v>
      </c>
      <c r="S1247" s="56" t="n">
        <f aca="false">R1247*(B1247&gt;=Train_Start)*(B1247&lt;=Train_End)</f>
        <v>1</v>
      </c>
      <c r="T1247" s="84" t="n">
        <f aca="false">IF(AND(ISNUMBER(O1247),ISNUMBER(P1247)),Coef_A+Coef_B1*O1247+Coef_B2*P1247,"")</f>
        <v>14.993282787474</v>
      </c>
      <c r="U1247" s="84" t="n">
        <f aca="false">IF(AND(R1247=1,ISNUMBER(T1247)),E1247-T1247,"")</f>
        <v>-3.29328278747403</v>
      </c>
      <c r="V1247" s="84" t="n">
        <f aca="false">IF(ISNUMBER(T1247),T1247,-99)</f>
        <v>14.993282787474</v>
      </c>
      <c r="W1247" s="84" t="n">
        <f aca="false">IF(ISNUMBER(U1247),ABS(U1247),"")</f>
        <v>3.29328278747403</v>
      </c>
    </row>
    <row r="1248" customFormat="false" ht="15" hidden="false" customHeight="false" outlineLevel="0" collapsed="false">
      <c r="A1248" s="57" t="n">
        <v>31920</v>
      </c>
      <c r="B1248" s="56" t="n">
        <v>1987</v>
      </c>
      <c r="C1248" s="56" t="n">
        <v>5</v>
      </c>
      <c r="D1248" s="56" t="n">
        <v>23</v>
      </c>
      <c r="E1248" s="56" t="n">
        <v>18.9</v>
      </c>
      <c r="F1248" s="56" t="n">
        <v>0</v>
      </c>
      <c r="G1248" s="56" t="n">
        <v>7.9</v>
      </c>
      <c r="H1248" s="56" t="n">
        <v>0</v>
      </c>
      <c r="I1248" s="56" t="n">
        <v>9.8</v>
      </c>
      <c r="J1248" s="56" t="n">
        <v>0</v>
      </c>
      <c r="K1248" s="56" t="n">
        <v>1019.8</v>
      </c>
      <c r="L1248" s="56" t="n">
        <v>0</v>
      </c>
      <c r="M1248" s="56" t="n">
        <v>87</v>
      </c>
      <c r="N1248" s="56" t="n">
        <v>0</v>
      </c>
      <c r="O1248" s="56" t="n">
        <f aca="false">IF(D1248=1,"",E1247)</f>
        <v>11.7</v>
      </c>
      <c r="P1248" s="56" t="n">
        <f aca="false">IF(OR(D1248=1,K1247=""),"",K1247)</f>
        <v>1021.1</v>
      </c>
      <c r="Q1248" s="56" t="n">
        <f aca="false">IF(OR(F1248&lt;&gt;0,AND(I1248&lt;&gt;"",E1248&lt;I1248)),1,0)</f>
        <v>0</v>
      </c>
      <c r="R1248" s="56" t="n">
        <f aca="false">IF(AND(D1248&gt;1,Q1248=0,ISNUMBER(O1248),ISNUMBER(P1248)),IF(Q1247=0,1,0),0)</f>
        <v>1</v>
      </c>
      <c r="S1248" s="56" t="n">
        <f aca="false">R1248*(B1248&gt;=Train_Start)*(B1248&lt;=Train_End)</f>
        <v>1</v>
      </c>
      <c r="T1248" s="84" t="n">
        <f aca="false">IF(AND(ISNUMBER(O1248),ISNUMBER(P1248)),Coef_A+Coef_B1*O1248+Coef_B2*P1248,"")</f>
        <v>13.7050433913614</v>
      </c>
      <c r="U1248" s="84" t="n">
        <f aca="false">IF(AND(R1248=1,ISNUMBER(T1248)),E1248-T1248,"")</f>
        <v>5.19495660863864</v>
      </c>
      <c r="V1248" s="84" t="n">
        <f aca="false">IF(ISNUMBER(T1248),T1248,-99)</f>
        <v>13.7050433913614</v>
      </c>
      <c r="W1248" s="84" t="n">
        <f aca="false">IF(ISNUMBER(U1248),ABS(U1248),"")</f>
        <v>5.19495660863864</v>
      </c>
    </row>
    <row r="1249" customFormat="false" ht="15" hidden="false" customHeight="false" outlineLevel="0" collapsed="false">
      <c r="A1249" s="57" t="n">
        <v>31921</v>
      </c>
      <c r="B1249" s="56" t="n">
        <v>1987</v>
      </c>
      <c r="C1249" s="56" t="n">
        <v>5</v>
      </c>
      <c r="D1249" s="56" t="n">
        <v>24</v>
      </c>
      <c r="E1249" s="56" t="n">
        <v>17.5</v>
      </c>
      <c r="F1249" s="56" t="n">
        <v>0</v>
      </c>
      <c r="G1249" s="56" t="n">
        <v>7.2</v>
      </c>
      <c r="H1249" s="56" t="n">
        <v>0</v>
      </c>
      <c r="I1249" s="56" t="n">
        <v>13</v>
      </c>
      <c r="J1249" s="56" t="n">
        <v>0</v>
      </c>
      <c r="K1249" s="56" t="n">
        <v>1017.3</v>
      </c>
      <c r="L1249" s="56" t="n">
        <v>0</v>
      </c>
      <c r="M1249" s="56" t="n">
        <v>75</v>
      </c>
      <c r="N1249" s="56" t="n">
        <v>5.9</v>
      </c>
      <c r="O1249" s="56" t="n">
        <f aca="false">IF(D1249=1,"",E1248)</f>
        <v>18.9</v>
      </c>
      <c r="P1249" s="56" t="n">
        <f aca="false">IF(OR(D1249=1,K1248=""),"",K1248)</f>
        <v>1019.8</v>
      </c>
      <c r="Q1249" s="56" t="n">
        <f aca="false">IF(OR(F1249&lt;&gt;0,AND(I1249&lt;&gt;"",E1249&lt;I1249)),1,0)</f>
        <v>0</v>
      </c>
      <c r="R1249" s="56" t="n">
        <f aca="false">IF(AND(D1249&gt;1,Q1249=0,ISNUMBER(O1249),ISNUMBER(P1249)),IF(Q1248=0,1,0),0)</f>
        <v>1</v>
      </c>
      <c r="S1249" s="56" t="n">
        <f aca="false">R1249*(B1249&gt;=Train_Start)*(B1249&lt;=Train_End)</f>
        <v>1</v>
      </c>
      <c r="T1249" s="84" t="n">
        <f aca="false">IF(AND(ISNUMBER(O1249),ISNUMBER(P1249)),Coef_A+Coef_B1*O1249+Coef_B2*P1249,"")</f>
        <v>19.5635047182443</v>
      </c>
      <c r="U1249" s="84" t="n">
        <f aca="false">IF(AND(R1249=1,ISNUMBER(T1249)),E1249-T1249,"")</f>
        <v>-2.0635047182443</v>
      </c>
      <c r="V1249" s="84" t="n">
        <f aca="false">IF(ISNUMBER(T1249),T1249,-99)</f>
        <v>19.5635047182443</v>
      </c>
      <c r="W1249" s="84" t="n">
        <f aca="false">IF(ISNUMBER(U1249),ABS(U1249),"")</f>
        <v>2.0635047182443</v>
      </c>
    </row>
    <row r="1250" customFormat="false" ht="15" hidden="false" customHeight="false" outlineLevel="0" collapsed="false">
      <c r="A1250" s="57" t="n">
        <v>31922</v>
      </c>
      <c r="B1250" s="56" t="n">
        <v>1987</v>
      </c>
      <c r="C1250" s="56" t="n">
        <v>5</v>
      </c>
      <c r="D1250" s="56" t="n">
        <v>25</v>
      </c>
      <c r="E1250" s="56" t="n">
        <v>22.6</v>
      </c>
      <c r="F1250" s="56" t="n">
        <v>0</v>
      </c>
      <c r="G1250" s="56" t="n">
        <v>7.6</v>
      </c>
      <c r="H1250" s="56" t="n">
        <v>0</v>
      </c>
      <c r="I1250" s="56" t="n">
        <v>12.6</v>
      </c>
      <c r="J1250" s="56" t="n">
        <v>0</v>
      </c>
      <c r="K1250" s="56" t="n">
        <v>1019.4</v>
      </c>
      <c r="L1250" s="56" t="n">
        <v>0</v>
      </c>
      <c r="M1250" s="56" t="n">
        <v>79</v>
      </c>
      <c r="N1250" s="56" t="n">
        <v>0.9</v>
      </c>
      <c r="O1250" s="56" t="n">
        <f aca="false">IF(D1250=1,"",E1249)</f>
        <v>17.5</v>
      </c>
      <c r="P1250" s="56" t="n">
        <f aca="false">IF(OR(D1250=1,K1249=""),"",K1249)</f>
        <v>1017.3</v>
      </c>
      <c r="Q1250" s="56" t="n">
        <f aca="false">IF(OR(F1250&lt;&gt;0,AND(I1250&lt;&gt;"",E1250&lt;I1250)),1,0)</f>
        <v>0</v>
      </c>
      <c r="R1250" s="56" t="n">
        <f aca="false">IF(AND(D1250&gt;1,Q1250=0,ISNUMBER(O1250),ISNUMBER(P1250)),IF(Q1249=0,1,0),0)</f>
        <v>1</v>
      </c>
      <c r="S1250" s="56" t="n">
        <f aca="false">R1250*(B1250&gt;=Train_Start)*(B1250&lt;=Train_End)</f>
        <v>1</v>
      </c>
      <c r="T1250" s="84" t="n">
        <f aca="false">IF(AND(ISNUMBER(O1250),ISNUMBER(P1250)),Coef_A+Coef_B1*O1250+Coef_B2*P1250,"")</f>
        <v>18.3380051113996</v>
      </c>
      <c r="U1250" s="84" t="n">
        <f aca="false">IF(AND(R1250=1,ISNUMBER(T1250)),E1250-T1250,"")</f>
        <v>4.26199488860039</v>
      </c>
      <c r="V1250" s="84" t="n">
        <f aca="false">IF(ISNUMBER(T1250),T1250,-99)</f>
        <v>18.3380051113996</v>
      </c>
      <c r="W1250" s="84" t="n">
        <f aca="false">IF(ISNUMBER(U1250),ABS(U1250),"")</f>
        <v>4.26199488860039</v>
      </c>
    </row>
    <row r="1251" customFormat="false" ht="15" hidden="false" customHeight="false" outlineLevel="0" collapsed="false">
      <c r="A1251" s="57" t="n">
        <v>31923</v>
      </c>
      <c r="B1251" s="56" t="n">
        <v>1987</v>
      </c>
      <c r="C1251" s="56" t="n">
        <v>5</v>
      </c>
      <c r="D1251" s="56" t="n">
        <v>26</v>
      </c>
      <c r="E1251" s="56" t="n">
        <v>19.9</v>
      </c>
      <c r="F1251" s="56" t="n">
        <v>0</v>
      </c>
      <c r="G1251" s="56" t="n">
        <v>9.1</v>
      </c>
      <c r="H1251" s="56" t="n">
        <v>0</v>
      </c>
      <c r="I1251" s="56" t="n">
        <v>15.8</v>
      </c>
      <c r="J1251" s="56" t="n">
        <v>0</v>
      </c>
      <c r="K1251" s="56" t="n">
        <v>1016.4</v>
      </c>
      <c r="L1251" s="56" t="n">
        <v>0</v>
      </c>
      <c r="M1251" s="56" t="n">
        <v>67</v>
      </c>
      <c r="N1251" s="56" t="n">
        <v>5.1</v>
      </c>
      <c r="O1251" s="56" t="n">
        <f aca="false">IF(D1251=1,"",E1250)</f>
        <v>22.6</v>
      </c>
      <c r="P1251" s="56" t="n">
        <f aca="false">IF(OR(D1251=1,K1250=""),"",K1250)</f>
        <v>1019.4</v>
      </c>
      <c r="Q1251" s="56" t="n">
        <f aca="false">IF(OR(F1251&lt;&gt;0,AND(I1251&lt;&gt;"",E1251&lt;I1251)),1,0)</f>
        <v>0</v>
      </c>
      <c r="R1251" s="56" t="n">
        <f aca="false">IF(AND(D1251&gt;1,Q1251=0,ISNUMBER(O1251),ISNUMBER(P1251)),IF(Q1250=0,1,0),0)</f>
        <v>1</v>
      </c>
      <c r="S1251" s="56" t="n">
        <f aca="false">R1251*(B1251&gt;=Train_Start)*(B1251&lt;=Train_End)</f>
        <v>1</v>
      </c>
      <c r="T1251" s="84" t="n">
        <f aca="false">IF(AND(ISNUMBER(O1251),ISNUMBER(P1251)),Coef_A+Coef_B1*O1251+Coef_B2*P1251,"")</f>
        <v>22.5825117746485</v>
      </c>
      <c r="U1251" s="84" t="n">
        <f aca="false">IF(AND(R1251=1,ISNUMBER(T1251)),E1251-T1251,"")</f>
        <v>-2.68251177464855</v>
      </c>
      <c r="V1251" s="84" t="n">
        <f aca="false">IF(ISNUMBER(T1251),T1251,-99)</f>
        <v>22.5825117746485</v>
      </c>
      <c r="W1251" s="84" t="n">
        <f aca="false">IF(ISNUMBER(U1251),ABS(U1251),"")</f>
        <v>2.68251177464855</v>
      </c>
    </row>
    <row r="1252" customFormat="false" ht="15" hidden="false" customHeight="false" outlineLevel="0" collapsed="false">
      <c r="A1252" s="57" t="n">
        <v>31924</v>
      </c>
      <c r="B1252" s="56" t="n">
        <v>1987</v>
      </c>
      <c r="C1252" s="56" t="n">
        <v>5</v>
      </c>
      <c r="D1252" s="56" t="n">
        <v>27</v>
      </c>
      <c r="E1252" s="56" t="n">
        <v>18.8</v>
      </c>
      <c r="F1252" s="56" t="n">
        <v>0</v>
      </c>
      <c r="G1252" s="56" t="n">
        <v>9.9</v>
      </c>
      <c r="H1252" s="56" t="n">
        <v>0</v>
      </c>
      <c r="I1252" s="56" t="n">
        <v>14.9</v>
      </c>
      <c r="J1252" s="56" t="n">
        <v>0</v>
      </c>
      <c r="K1252" s="56" t="n">
        <v>1014.7</v>
      </c>
      <c r="L1252" s="56" t="n">
        <v>0</v>
      </c>
      <c r="M1252" s="56" t="n">
        <v>60</v>
      </c>
      <c r="N1252" s="56" t="n">
        <v>12.3</v>
      </c>
      <c r="O1252" s="56" t="n">
        <f aca="false">IF(D1252=1,"",E1251)</f>
        <v>19.9</v>
      </c>
      <c r="P1252" s="56" t="n">
        <f aca="false">IF(OR(D1252=1,K1251=""),"",K1251)</f>
        <v>1016.4</v>
      </c>
      <c r="Q1252" s="56" t="n">
        <f aca="false">IF(OR(F1252&lt;&gt;0,AND(I1252&lt;&gt;"",E1252&lt;I1252)),1,0)</f>
        <v>0</v>
      </c>
      <c r="R1252" s="56" t="n">
        <f aca="false">IF(AND(D1252&gt;1,Q1252=0,ISNUMBER(O1252),ISNUMBER(P1252)),IF(Q1251=0,1,0),0)</f>
        <v>1</v>
      </c>
      <c r="S1252" s="56" t="n">
        <f aca="false">R1252*(B1252&gt;=Train_Start)*(B1252&lt;=Train_End)</f>
        <v>1</v>
      </c>
      <c r="T1252" s="84" t="n">
        <f aca="false">IF(AND(ISNUMBER(O1252),ISNUMBER(P1252)),Coef_A+Coef_B1*O1252+Coef_B2*P1252,"")</f>
        <v>20.2761862695314</v>
      </c>
      <c r="U1252" s="84" t="n">
        <f aca="false">IF(AND(R1252=1,ISNUMBER(T1252)),E1252-T1252,"")</f>
        <v>-1.4761862695314</v>
      </c>
      <c r="V1252" s="84" t="n">
        <f aca="false">IF(ISNUMBER(T1252),T1252,-99)</f>
        <v>20.2761862695314</v>
      </c>
      <c r="W1252" s="84" t="n">
        <f aca="false">IF(ISNUMBER(U1252),ABS(U1252),"")</f>
        <v>1.4761862695314</v>
      </c>
    </row>
    <row r="1253" customFormat="false" ht="15" hidden="false" customHeight="false" outlineLevel="0" collapsed="false">
      <c r="A1253" s="57" t="n">
        <v>31925</v>
      </c>
      <c r="B1253" s="56" t="n">
        <v>1987</v>
      </c>
      <c r="C1253" s="56" t="n">
        <v>5</v>
      </c>
      <c r="D1253" s="56" t="n">
        <v>28</v>
      </c>
      <c r="E1253" s="56" t="n">
        <v>19.9</v>
      </c>
      <c r="F1253" s="56" t="n">
        <v>0</v>
      </c>
      <c r="G1253" s="56" t="n">
        <v>8.1</v>
      </c>
      <c r="H1253" s="56" t="n">
        <v>0</v>
      </c>
      <c r="I1253" s="56" t="n">
        <v>13.4</v>
      </c>
      <c r="J1253" s="56" t="n">
        <v>0</v>
      </c>
      <c r="K1253" s="56" t="n">
        <v>1018.3</v>
      </c>
      <c r="L1253" s="56" t="n">
        <v>0</v>
      </c>
      <c r="M1253" s="56" t="n">
        <v>77</v>
      </c>
      <c r="N1253" s="56" t="n">
        <v>3.4</v>
      </c>
      <c r="O1253" s="56" t="n">
        <f aca="false">IF(D1253=1,"",E1252)</f>
        <v>18.8</v>
      </c>
      <c r="P1253" s="56" t="n">
        <f aca="false">IF(OR(D1253=1,K1252=""),"",K1252)</f>
        <v>1014.7</v>
      </c>
      <c r="Q1253" s="56" t="n">
        <f aca="false">IF(OR(F1253&lt;&gt;0,AND(I1253&lt;&gt;"",E1253&lt;I1253)),1,0)</f>
        <v>0</v>
      </c>
      <c r="R1253" s="56" t="n">
        <f aca="false">IF(AND(D1253&gt;1,Q1253=0,ISNUMBER(O1253),ISNUMBER(P1253)),IF(Q1252=0,1,0),0)</f>
        <v>1</v>
      </c>
      <c r="S1253" s="56" t="n">
        <f aca="false">R1253*(B1253&gt;=Train_Start)*(B1253&lt;=Train_End)</f>
        <v>1</v>
      </c>
      <c r="T1253" s="84" t="n">
        <f aca="false">IF(AND(ISNUMBER(O1253),ISNUMBER(P1253)),Coef_A+Coef_B1*O1253+Coef_B2*P1253,"")</f>
        <v>19.3215843363067</v>
      </c>
      <c r="U1253" s="84" t="n">
        <f aca="false">IF(AND(R1253=1,ISNUMBER(T1253)),E1253-T1253,"")</f>
        <v>0.578415663693299</v>
      </c>
      <c r="V1253" s="84" t="n">
        <f aca="false">IF(ISNUMBER(T1253),T1253,-99)</f>
        <v>19.3215843363067</v>
      </c>
      <c r="W1253" s="84" t="n">
        <f aca="false">IF(ISNUMBER(U1253),ABS(U1253),"")</f>
        <v>0.578415663693299</v>
      </c>
    </row>
    <row r="1254" customFormat="false" ht="15" hidden="false" customHeight="false" outlineLevel="0" collapsed="false">
      <c r="A1254" s="57" t="n">
        <v>31926</v>
      </c>
      <c r="B1254" s="56" t="n">
        <v>1987</v>
      </c>
      <c r="C1254" s="56" t="n">
        <v>5</v>
      </c>
      <c r="D1254" s="56" t="n">
        <v>29</v>
      </c>
      <c r="E1254" s="56" t="n">
        <v>20.6</v>
      </c>
      <c r="F1254" s="56" t="n">
        <v>0</v>
      </c>
      <c r="G1254" s="56" t="n">
        <v>8.5</v>
      </c>
      <c r="H1254" s="56" t="n">
        <v>0</v>
      </c>
      <c r="I1254" s="56" t="n">
        <v>14.2</v>
      </c>
      <c r="J1254" s="56" t="n">
        <v>0</v>
      </c>
      <c r="K1254" s="56" t="n">
        <v>1022.8</v>
      </c>
      <c r="L1254" s="56" t="n">
        <v>0</v>
      </c>
      <c r="M1254" s="56" t="n">
        <v>67</v>
      </c>
      <c r="N1254" s="56" t="n">
        <v>10.4</v>
      </c>
      <c r="O1254" s="56" t="n">
        <f aca="false">IF(D1254=1,"",E1253)</f>
        <v>19.9</v>
      </c>
      <c r="P1254" s="56" t="n">
        <f aca="false">IF(OR(D1254=1,K1253=""),"",K1253)</f>
        <v>1018.3</v>
      </c>
      <c r="Q1254" s="56" t="n">
        <f aca="false">IF(OR(F1254&lt;&gt;0,AND(I1254&lt;&gt;"",E1254&lt;I1254)),1,0)</f>
        <v>0</v>
      </c>
      <c r="R1254" s="56" t="n">
        <f aca="false">IF(AND(D1254&gt;1,Q1254=0,ISNUMBER(O1254),ISNUMBER(P1254)),IF(Q1253=0,1,0),0)</f>
        <v>1</v>
      </c>
      <c r="S1254" s="56" t="n">
        <f aca="false">R1254*(B1254&gt;=Train_Start)*(B1254&lt;=Train_End)</f>
        <v>1</v>
      </c>
      <c r="T1254" s="84" t="n">
        <f aca="false">IF(AND(ISNUMBER(O1254),ISNUMBER(P1254)),Coef_A+Coef_B1*O1254+Coef_B2*P1254,"")</f>
        <v>20.335789069336</v>
      </c>
      <c r="U1254" s="84" t="n">
        <f aca="false">IF(AND(R1254=1,ISNUMBER(T1254)),E1254-T1254,"")</f>
        <v>0.264210930664021</v>
      </c>
      <c r="V1254" s="84" t="n">
        <f aca="false">IF(ISNUMBER(T1254),T1254,-99)</f>
        <v>20.335789069336</v>
      </c>
      <c r="W1254" s="84" t="n">
        <f aca="false">IF(ISNUMBER(U1254),ABS(U1254),"")</f>
        <v>0.264210930664021</v>
      </c>
    </row>
    <row r="1255" customFormat="false" ht="15" hidden="false" customHeight="false" outlineLevel="0" collapsed="false">
      <c r="A1255" s="57" t="n">
        <v>31927</v>
      </c>
      <c r="B1255" s="56" t="n">
        <v>1987</v>
      </c>
      <c r="C1255" s="56" t="n">
        <v>5</v>
      </c>
      <c r="D1255" s="56" t="n">
        <v>30</v>
      </c>
      <c r="E1255" s="56" t="n">
        <v>20.9</v>
      </c>
      <c r="F1255" s="56" t="n">
        <v>0</v>
      </c>
      <c r="G1255" s="56" t="n">
        <v>12.9</v>
      </c>
      <c r="H1255" s="56" t="n">
        <v>0</v>
      </c>
      <c r="I1255" s="56" t="n">
        <v>16.8</v>
      </c>
      <c r="J1255" s="56" t="n">
        <v>0</v>
      </c>
      <c r="K1255" s="56" t="n">
        <v>1020.5</v>
      </c>
      <c r="L1255" s="56" t="n">
        <v>0</v>
      </c>
      <c r="M1255" s="56" t="n">
        <v>65</v>
      </c>
      <c r="N1255" s="56" t="n">
        <v>5.8</v>
      </c>
      <c r="O1255" s="56" t="n">
        <f aca="false">IF(D1255=1,"",E1254)</f>
        <v>20.6</v>
      </c>
      <c r="P1255" s="56" t="n">
        <f aca="false">IF(OR(D1255=1,K1254=""),"",K1254)</f>
        <v>1022.8</v>
      </c>
      <c r="Q1255" s="56" t="n">
        <f aca="false">IF(OR(F1255&lt;&gt;0,AND(I1255&lt;&gt;"",E1255&lt;I1255)),1,0)</f>
        <v>0</v>
      </c>
      <c r="R1255" s="56" t="n">
        <f aca="false">IF(AND(D1255&gt;1,Q1255=0,ISNUMBER(O1255),ISNUMBER(P1255)),IF(Q1254=0,1,0),0)</f>
        <v>1</v>
      </c>
      <c r="S1255" s="56" t="n">
        <f aca="false">R1255*(B1255&gt;=Train_Start)*(B1255&lt;=Train_End)</f>
        <v>1</v>
      </c>
      <c r="T1255" s="84" t="n">
        <f aca="false">IF(AND(ISNUMBER(O1255),ISNUMBER(P1255)),Coef_A+Coef_B1*O1255+Coef_B2*P1255,"")</f>
        <v>21.0504910303188</v>
      </c>
      <c r="U1255" s="84" t="n">
        <f aca="false">IF(AND(R1255=1,ISNUMBER(T1255)),E1255-T1255,"")</f>
        <v>-0.150491030318797</v>
      </c>
      <c r="V1255" s="84" t="n">
        <f aca="false">IF(ISNUMBER(T1255),T1255,-99)</f>
        <v>21.0504910303188</v>
      </c>
      <c r="W1255" s="84" t="n">
        <f aca="false">IF(ISNUMBER(U1255),ABS(U1255),"")</f>
        <v>0.150491030318797</v>
      </c>
    </row>
    <row r="1256" customFormat="false" ht="15" hidden="false" customHeight="false" outlineLevel="0" collapsed="false">
      <c r="A1256" s="57" t="n">
        <v>31928</v>
      </c>
      <c r="B1256" s="56" t="n">
        <v>1987</v>
      </c>
      <c r="C1256" s="56" t="n">
        <v>5</v>
      </c>
      <c r="D1256" s="56" t="n">
        <v>31</v>
      </c>
      <c r="E1256" s="56" t="n">
        <v>20.5</v>
      </c>
      <c r="F1256" s="56" t="n">
        <v>0</v>
      </c>
      <c r="G1256" s="56" t="n">
        <v>11.4</v>
      </c>
      <c r="H1256" s="56" t="n">
        <v>0</v>
      </c>
      <c r="I1256" s="56" t="n">
        <v>16.2</v>
      </c>
      <c r="J1256" s="56" t="n">
        <v>0</v>
      </c>
      <c r="K1256" s="56" t="n">
        <v>1019.4</v>
      </c>
      <c r="L1256" s="56" t="n">
        <v>0</v>
      </c>
      <c r="M1256" s="56" t="n">
        <v>75</v>
      </c>
      <c r="N1256" s="56" t="n">
        <v>7.9</v>
      </c>
      <c r="O1256" s="56" t="n">
        <f aca="false">IF(D1256=1,"",E1255)</f>
        <v>20.9</v>
      </c>
      <c r="P1256" s="56" t="n">
        <f aca="false">IF(OR(D1256=1,K1255=""),"",K1255)</f>
        <v>1020.5</v>
      </c>
      <c r="Q1256" s="56" t="n">
        <f aca="false">IF(OR(F1256&lt;&gt;0,AND(I1256&lt;&gt;"",E1256&lt;I1256)),1,0)</f>
        <v>0</v>
      </c>
      <c r="R1256" s="56" t="n">
        <f aca="false">IF(AND(D1256&gt;1,Q1256=0,ISNUMBER(O1256),ISNUMBER(P1256)),IF(Q1255=0,1,0),0)</f>
        <v>1</v>
      </c>
      <c r="S1256" s="56" t="n">
        <f aca="false">R1256*(B1256&gt;=Train_Start)*(B1256&lt;=Train_End)</f>
        <v>1</v>
      </c>
      <c r="T1256" s="84" t="n">
        <f aca="false">IF(AND(ISNUMBER(O1256),ISNUMBER(P1256)),Coef_A+Coef_B1*O1256+Coef_B2*P1256,"")</f>
        <v>21.2241420305734</v>
      </c>
      <c r="U1256" s="84" t="n">
        <f aca="false">IF(AND(R1256=1,ISNUMBER(T1256)),E1256-T1256,"")</f>
        <v>-0.724142030573418</v>
      </c>
      <c r="V1256" s="84" t="n">
        <f aca="false">IF(ISNUMBER(T1256),T1256,-99)</f>
        <v>21.2241420305734</v>
      </c>
      <c r="W1256" s="84" t="n">
        <f aca="false">IF(ISNUMBER(U1256),ABS(U1256),"")</f>
        <v>0.724142030573418</v>
      </c>
    </row>
    <row r="1257" customFormat="false" ht="15" hidden="false" customHeight="false" outlineLevel="0" collapsed="false">
      <c r="A1257" s="57" t="n">
        <v>31929</v>
      </c>
      <c r="B1257" s="56" t="n">
        <v>1987</v>
      </c>
      <c r="C1257" s="56" t="n">
        <v>6</v>
      </c>
      <c r="D1257" s="56" t="n">
        <v>32</v>
      </c>
      <c r="E1257" s="56" t="n">
        <v>15.5</v>
      </c>
      <c r="F1257" s="56" t="n">
        <v>0</v>
      </c>
      <c r="G1257" s="56" t="n">
        <v>10.3</v>
      </c>
      <c r="H1257" s="56" t="n">
        <v>0</v>
      </c>
      <c r="I1257" s="56" t="n">
        <v>15.4</v>
      </c>
      <c r="J1257" s="56" t="n">
        <v>0</v>
      </c>
      <c r="K1257" s="56" t="n">
        <v>1021.1</v>
      </c>
      <c r="L1257" s="56" t="n">
        <v>0</v>
      </c>
      <c r="M1257" s="56" t="n">
        <v>73</v>
      </c>
      <c r="N1257" s="56" t="n">
        <v>7.7</v>
      </c>
      <c r="O1257" s="56" t="n">
        <f aca="false">IF(D1257=1,"",E1256)</f>
        <v>20.5</v>
      </c>
      <c r="P1257" s="56" t="n">
        <f aca="false">IF(OR(D1257=1,K1256=""),"",K1256)</f>
        <v>1019.4</v>
      </c>
      <c r="Q1257" s="56" t="n">
        <f aca="false">IF(OR(F1257&lt;&gt;0,AND(I1257&lt;&gt;"",E1257&lt;I1257)),1,0)</f>
        <v>0</v>
      </c>
      <c r="R1257" s="56" t="n">
        <f aca="false">IF(AND(D1257&gt;1,Q1257=0,ISNUMBER(O1257),ISNUMBER(P1257)),IF(Q1256=0,1,0),0)</f>
        <v>1</v>
      </c>
      <c r="S1257" s="56" t="n">
        <f aca="false">R1257*(B1257&gt;=Train_Start)*(B1257&lt;=Train_End)</f>
        <v>1</v>
      </c>
      <c r="T1257" s="84" t="n">
        <f aca="false">IF(AND(ISNUMBER(O1257),ISNUMBER(P1257)),Coef_A+Coef_B1*O1257+Coef_B2*P1257,"")</f>
        <v>20.861899469259</v>
      </c>
      <c r="U1257" s="84" t="n">
        <f aca="false">IF(AND(R1257=1,ISNUMBER(T1257)),E1257-T1257,"")</f>
        <v>-5.36189946925896</v>
      </c>
      <c r="V1257" s="84" t="n">
        <f aca="false">IF(ISNUMBER(T1257),T1257,-99)</f>
        <v>20.861899469259</v>
      </c>
      <c r="W1257" s="84" t="n">
        <f aca="false">IF(ISNUMBER(U1257),ABS(U1257),"")</f>
        <v>5.36189946925896</v>
      </c>
    </row>
    <row r="1258" customFormat="false" ht="15" hidden="false" customHeight="false" outlineLevel="0" collapsed="false">
      <c r="A1258" s="57" t="n">
        <v>31930</v>
      </c>
      <c r="B1258" s="56" t="n">
        <v>1987</v>
      </c>
      <c r="C1258" s="56" t="n">
        <v>6</v>
      </c>
      <c r="D1258" s="56" t="n">
        <v>33</v>
      </c>
      <c r="E1258" s="56" t="n">
        <v>19</v>
      </c>
      <c r="F1258" s="56" t="n">
        <v>0</v>
      </c>
      <c r="G1258" s="56" t="n">
        <v>11.9</v>
      </c>
      <c r="H1258" s="56" t="n">
        <v>0</v>
      </c>
      <c r="I1258" s="56" t="n">
        <v>13.7</v>
      </c>
      <c r="J1258" s="56" t="n">
        <v>0</v>
      </c>
      <c r="K1258" s="56" t="n">
        <v>1016.3</v>
      </c>
      <c r="L1258" s="56" t="n">
        <v>0</v>
      </c>
      <c r="M1258" s="56" t="n">
        <v>85</v>
      </c>
      <c r="N1258" s="56" t="n">
        <v>0</v>
      </c>
      <c r="O1258" s="56" t="n">
        <f aca="false">IF(D1258=1,"",E1257)</f>
        <v>15.5</v>
      </c>
      <c r="P1258" s="56" t="n">
        <f aca="false">IF(OR(D1258=1,K1257=""),"",K1257)</f>
        <v>1021.1</v>
      </c>
      <c r="Q1258" s="56" t="n">
        <f aca="false">IF(OR(F1258&lt;&gt;0,AND(I1258&lt;&gt;"",E1258&lt;I1258)),1,0)</f>
        <v>0</v>
      </c>
      <c r="R1258" s="56" t="n">
        <f aca="false">IF(AND(D1258&gt;1,Q1258=0,ISNUMBER(O1258),ISNUMBER(P1258)),IF(Q1257=0,1,0),0)</f>
        <v>1</v>
      </c>
      <c r="S1258" s="56" t="n">
        <f aca="false">R1258*(B1258&gt;=Train_Start)*(B1258&lt;=Train_End)</f>
        <v>1</v>
      </c>
      <c r="T1258" s="84" t="n">
        <f aca="false">IF(AND(ISNUMBER(O1258),ISNUMBER(P1258)),Coef_A+Coef_B1*O1258+Coef_B2*P1258,"")</f>
        <v>16.8185323249235</v>
      </c>
      <c r="U1258" s="84" t="n">
        <f aca="false">IF(AND(R1258=1,ISNUMBER(T1258)),E1258-T1258,"")</f>
        <v>2.18146767507654</v>
      </c>
      <c r="V1258" s="84" t="n">
        <f aca="false">IF(ISNUMBER(T1258),T1258,-99)</f>
        <v>16.8185323249235</v>
      </c>
      <c r="W1258" s="84" t="n">
        <f aca="false">IF(ISNUMBER(U1258),ABS(U1258),"")</f>
        <v>2.18146767507654</v>
      </c>
    </row>
    <row r="1259" customFormat="false" ht="15" hidden="false" customHeight="false" outlineLevel="0" collapsed="false">
      <c r="A1259" s="57" t="n">
        <v>31931</v>
      </c>
      <c r="B1259" s="56" t="n">
        <v>1987</v>
      </c>
      <c r="C1259" s="56" t="n">
        <v>6</v>
      </c>
      <c r="D1259" s="56" t="n">
        <v>34</v>
      </c>
      <c r="E1259" s="56" t="n">
        <v>19.1</v>
      </c>
      <c r="F1259" s="56" t="n">
        <v>0</v>
      </c>
      <c r="G1259" s="56" t="n">
        <v>10.5</v>
      </c>
      <c r="H1259" s="56" t="n">
        <v>0</v>
      </c>
      <c r="I1259" s="56" t="n">
        <v>14.8</v>
      </c>
      <c r="J1259" s="56" t="n">
        <v>0</v>
      </c>
      <c r="K1259" s="56" t="n">
        <v>1006.6</v>
      </c>
      <c r="L1259" s="56" t="n">
        <v>0</v>
      </c>
      <c r="M1259" s="56" t="n">
        <v>82</v>
      </c>
      <c r="N1259" s="56" t="n">
        <v>2.7</v>
      </c>
      <c r="O1259" s="56" t="n">
        <f aca="false">IF(D1259=1,"",E1258)</f>
        <v>19</v>
      </c>
      <c r="P1259" s="56" t="n">
        <f aca="false">IF(OR(D1259=1,K1258=""),"",K1258)</f>
        <v>1016.3</v>
      </c>
      <c r="Q1259" s="56" t="n">
        <f aca="false">IF(OR(F1259&lt;&gt;0,AND(I1259&lt;&gt;"",E1259&lt;I1259)),1,0)</f>
        <v>0</v>
      </c>
      <c r="R1259" s="56" t="n">
        <f aca="false">IF(AND(D1259&gt;1,Q1259=0,ISNUMBER(O1259),ISNUMBER(P1259)),IF(Q1258=0,1,0),0)</f>
        <v>1</v>
      </c>
      <c r="S1259" s="56" t="n">
        <f aca="false">R1259*(B1259&gt;=Train_Start)*(B1259&lt;=Train_End)</f>
        <v>1</v>
      </c>
      <c r="T1259" s="84" t="n">
        <f aca="false">IF(AND(ISNUMBER(O1259),ISNUMBER(P1259)),Coef_A+Coef_B1*O1259+Coef_B2*P1259,"")</f>
        <v>19.5356440063296</v>
      </c>
      <c r="U1259" s="84" t="n">
        <f aca="false">IF(AND(R1259=1,ISNUMBER(T1259)),E1259-T1259,"")</f>
        <v>-0.435644006329611</v>
      </c>
      <c r="V1259" s="84" t="n">
        <f aca="false">IF(ISNUMBER(T1259),T1259,-99)</f>
        <v>19.5356440063296</v>
      </c>
      <c r="W1259" s="84" t="n">
        <f aca="false">IF(ISNUMBER(U1259),ABS(U1259),"")</f>
        <v>0.435644006329611</v>
      </c>
    </row>
    <row r="1260" customFormat="false" ht="15" hidden="false" customHeight="false" outlineLevel="0" collapsed="false">
      <c r="A1260" s="57" t="n">
        <v>31932</v>
      </c>
      <c r="B1260" s="56" t="n">
        <v>1987</v>
      </c>
      <c r="C1260" s="56" t="n">
        <v>6</v>
      </c>
      <c r="D1260" s="56" t="n">
        <v>35</v>
      </c>
      <c r="E1260" s="56" t="n">
        <v>15.6</v>
      </c>
      <c r="F1260" s="56" t="n">
        <v>0</v>
      </c>
      <c r="G1260" s="56" t="n">
        <v>11.9</v>
      </c>
      <c r="H1260" s="56" t="n">
        <v>0</v>
      </c>
      <c r="I1260" s="56" t="n">
        <v>15.5</v>
      </c>
      <c r="J1260" s="56" t="n">
        <v>0</v>
      </c>
      <c r="K1260" s="56" t="n">
        <v>1005.4</v>
      </c>
      <c r="L1260" s="56" t="n">
        <v>0</v>
      </c>
      <c r="M1260" s="56" t="n">
        <v>81</v>
      </c>
      <c r="N1260" s="56" t="n">
        <v>6.7</v>
      </c>
      <c r="O1260" s="56" t="n">
        <f aca="false">IF(D1260=1,"",E1259)</f>
        <v>19.1</v>
      </c>
      <c r="P1260" s="56" t="n">
        <f aca="false">IF(OR(D1260=1,K1259=""),"",K1259)</f>
        <v>1006.6</v>
      </c>
      <c r="Q1260" s="56" t="n">
        <f aca="false">IF(OR(F1260&lt;&gt;0,AND(I1260&lt;&gt;"",E1260&lt;I1260)),1,0)</f>
        <v>0</v>
      </c>
      <c r="R1260" s="56" t="n">
        <f aca="false">IF(AND(D1260&gt;1,Q1260=0,ISNUMBER(O1260),ISNUMBER(P1260)),IF(Q1259=0,1,0),0)</f>
        <v>1</v>
      </c>
      <c r="S1260" s="56" t="n">
        <f aca="false">R1260*(B1260&gt;=Train_Start)*(B1260&lt;=Train_End)</f>
        <v>1</v>
      </c>
      <c r="T1260" s="84" t="n">
        <f aca="false">IF(AND(ISNUMBER(O1260),ISNUMBER(P1260)),Coef_A+Coef_B1*O1260+Coef_B2*P1260,"")</f>
        <v>19.3132899476842</v>
      </c>
      <c r="U1260" s="84" t="n">
        <f aca="false">IF(AND(R1260=1,ISNUMBER(T1260)),E1260-T1260,"")</f>
        <v>-3.71328994768418</v>
      </c>
      <c r="V1260" s="84" t="n">
        <f aca="false">IF(ISNUMBER(T1260),T1260,-99)</f>
        <v>19.3132899476842</v>
      </c>
      <c r="W1260" s="84" t="n">
        <f aca="false">IF(ISNUMBER(U1260),ABS(U1260),"")</f>
        <v>3.71328994768418</v>
      </c>
    </row>
    <row r="1261" customFormat="false" ht="15" hidden="false" customHeight="false" outlineLevel="0" collapsed="false">
      <c r="A1261" s="57" t="n">
        <v>31933</v>
      </c>
      <c r="B1261" s="56" t="n">
        <v>1987</v>
      </c>
      <c r="C1261" s="56" t="n">
        <v>6</v>
      </c>
      <c r="D1261" s="56" t="n">
        <v>36</v>
      </c>
      <c r="E1261" s="56" t="n">
        <v>18.3</v>
      </c>
      <c r="F1261" s="56" t="n">
        <v>0</v>
      </c>
      <c r="G1261" s="56" t="n">
        <v>7.8</v>
      </c>
      <c r="H1261" s="56" t="n">
        <v>0</v>
      </c>
      <c r="I1261" s="56" t="n">
        <v>11.7</v>
      </c>
      <c r="J1261" s="56" t="n">
        <v>0</v>
      </c>
      <c r="K1261" s="56" t="n">
        <v>1008.8</v>
      </c>
      <c r="L1261" s="56" t="n">
        <v>0</v>
      </c>
      <c r="M1261" s="56" t="n">
        <v>88</v>
      </c>
      <c r="N1261" s="56" t="n">
        <v>0</v>
      </c>
      <c r="O1261" s="56" t="n">
        <f aca="false">IF(D1261=1,"",E1260)</f>
        <v>15.6</v>
      </c>
      <c r="P1261" s="56" t="n">
        <f aca="false">IF(OR(D1261=1,K1260=""),"",K1260)</f>
        <v>1005.4</v>
      </c>
      <c r="Q1261" s="56" t="n">
        <f aca="false">IF(OR(F1261&lt;&gt;0,AND(I1261&lt;&gt;"",E1261&lt;I1261)),1,0)</f>
        <v>0</v>
      </c>
      <c r="R1261" s="56" t="n">
        <f aca="false">IF(AND(D1261&gt;1,Q1261=0,ISNUMBER(O1261),ISNUMBER(P1261)),IF(Q1260=0,1,0),0)</f>
        <v>1</v>
      </c>
      <c r="S1261" s="56" t="n">
        <f aca="false">R1261*(B1261&gt;=Train_Start)*(B1261&lt;=Train_End)</f>
        <v>1</v>
      </c>
      <c r="T1261" s="84" t="n">
        <f aca="false">IF(AND(ISNUMBER(O1261),ISNUMBER(P1261)),Coef_A+Coef_B1*O1261+Coef_B2*P1261,"")</f>
        <v>16.4079588984741</v>
      </c>
      <c r="U1261" s="84" t="n">
        <f aca="false">IF(AND(R1261=1,ISNUMBER(T1261)),E1261-T1261,"")</f>
        <v>1.89204110152591</v>
      </c>
      <c r="V1261" s="84" t="n">
        <f aca="false">IF(ISNUMBER(T1261),T1261,-99)</f>
        <v>16.4079588984741</v>
      </c>
      <c r="W1261" s="84" t="n">
        <f aca="false">IF(ISNUMBER(U1261),ABS(U1261),"")</f>
        <v>1.89204110152591</v>
      </c>
    </row>
    <row r="1262" customFormat="false" ht="15" hidden="false" customHeight="false" outlineLevel="0" collapsed="false">
      <c r="A1262" s="57" t="n">
        <v>31934</v>
      </c>
      <c r="B1262" s="56" t="n">
        <v>1987</v>
      </c>
      <c r="C1262" s="56" t="n">
        <v>6</v>
      </c>
      <c r="D1262" s="56" t="n">
        <v>37</v>
      </c>
      <c r="E1262" s="56" t="n">
        <v>16.7</v>
      </c>
      <c r="F1262" s="56" t="n">
        <v>0</v>
      </c>
      <c r="G1262" s="56" t="n">
        <v>10.1</v>
      </c>
      <c r="H1262" s="56" t="n">
        <v>0</v>
      </c>
      <c r="I1262" s="56" t="n">
        <v>14.2</v>
      </c>
      <c r="J1262" s="56" t="n">
        <v>0</v>
      </c>
      <c r="K1262" s="56" t="n">
        <v>1003</v>
      </c>
      <c r="L1262" s="56" t="n">
        <v>0</v>
      </c>
      <c r="M1262" s="56" t="n">
        <v>73</v>
      </c>
      <c r="N1262" s="56" t="n">
        <v>7.8</v>
      </c>
      <c r="O1262" s="56" t="n">
        <f aca="false">IF(D1262=1,"",E1261)</f>
        <v>18.3</v>
      </c>
      <c r="P1262" s="56" t="n">
        <f aca="false">IF(OR(D1262=1,K1261=""),"",K1261)</f>
        <v>1008.8</v>
      </c>
      <c r="Q1262" s="56" t="n">
        <f aca="false">IF(OR(F1262&lt;&gt;0,AND(I1262&lt;&gt;"",E1262&lt;I1262)),1,0)</f>
        <v>0</v>
      </c>
      <c r="R1262" s="56" t="n">
        <f aca="false">IF(AND(D1262&gt;1,Q1262=0,ISNUMBER(O1262),ISNUMBER(P1262)),IF(Q1261=0,1,0),0)</f>
        <v>1</v>
      </c>
      <c r="S1262" s="56" t="n">
        <f aca="false">R1262*(B1262&gt;=Train_Start)*(B1262&lt;=Train_End)</f>
        <v>1</v>
      </c>
      <c r="T1262" s="84" t="n">
        <f aca="false">IF(AND(ISNUMBER(O1262),ISNUMBER(P1262)),Coef_A+Coef_B1*O1262+Coef_B2*P1262,"")</f>
        <v>18.7268323614448</v>
      </c>
      <c r="U1262" s="84" t="n">
        <f aca="false">IF(AND(R1262=1,ISNUMBER(T1262)),E1262-T1262,"")</f>
        <v>-2.02683236144483</v>
      </c>
      <c r="V1262" s="84" t="n">
        <f aca="false">IF(ISNUMBER(T1262),T1262,-99)</f>
        <v>18.7268323614448</v>
      </c>
      <c r="W1262" s="84" t="n">
        <f aca="false">IF(ISNUMBER(U1262),ABS(U1262),"")</f>
        <v>2.02683236144483</v>
      </c>
    </row>
    <row r="1263" customFormat="false" ht="15" hidden="false" customHeight="false" outlineLevel="0" collapsed="false">
      <c r="A1263" s="57" t="n">
        <v>31935</v>
      </c>
      <c r="B1263" s="56" t="n">
        <v>1987</v>
      </c>
      <c r="C1263" s="56" t="n">
        <v>6</v>
      </c>
      <c r="D1263" s="56" t="n">
        <v>38</v>
      </c>
      <c r="E1263" s="56" t="n">
        <v>14.2</v>
      </c>
      <c r="F1263" s="56" t="n">
        <v>0</v>
      </c>
      <c r="G1263" s="56" t="n">
        <v>11.2</v>
      </c>
      <c r="H1263" s="56" t="n">
        <v>0</v>
      </c>
      <c r="I1263" s="56" t="n">
        <v>14</v>
      </c>
      <c r="J1263" s="56" t="n">
        <v>0</v>
      </c>
      <c r="K1263" s="56" t="n">
        <v>1004.2</v>
      </c>
      <c r="L1263" s="56" t="n">
        <v>0</v>
      </c>
      <c r="M1263" s="56" t="n">
        <v>67</v>
      </c>
      <c r="N1263" s="56" t="n">
        <v>4.9</v>
      </c>
      <c r="O1263" s="56" t="n">
        <f aca="false">IF(D1263=1,"",E1262)</f>
        <v>16.7</v>
      </c>
      <c r="P1263" s="56" t="n">
        <f aca="false">IF(OR(D1263=1,K1262=""),"",K1262)</f>
        <v>1003</v>
      </c>
      <c r="Q1263" s="56" t="n">
        <f aca="false">IF(OR(F1263&lt;&gt;0,AND(I1263&lt;&gt;"",E1263&lt;I1263)),1,0)</f>
        <v>0</v>
      </c>
      <c r="R1263" s="56" t="n">
        <f aca="false">IF(AND(D1263&gt;1,Q1263=0,ISNUMBER(O1263),ISNUMBER(P1263)),IF(Q1262=0,1,0),0)</f>
        <v>1</v>
      </c>
      <c r="S1263" s="56" t="n">
        <f aca="false">R1263*(B1263&gt;=Train_Start)*(B1263&lt;=Train_End)</f>
        <v>1</v>
      </c>
      <c r="T1263" s="84" t="n">
        <f aca="false">IF(AND(ISNUMBER(O1263),ISNUMBER(P1263)),Coef_A+Coef_B1*O1263+Coef_B2*P1263,"")</f>
        <v>17.2339442636994</v>
      </c>
      <c r="U1263" s="84" t="n">
        <f aca="false">IF(AND(R1263=1,ISNUMBER(T1263)),E1263-T1263,"")</f>
        <v>-3.03394426369944</v>
      </c>
      <c r="V1263" s="84" t="n">
        <f aca="false">IF(ISNUMBER(T1263),T1263,-99)</f>
        <v>17.2339442636994</v>
      </c>
      <c r="W1263" s="84" t="n">
        <f aca="false">IF(ISNUMBER(U1263),ABS(U1263),"")</f>
        <v>3.03394426369944</v>
      </c>
    </row>
    <row r="1264" customFormat="false" ht="15" hidden="false" customHeight="false" outlineLevel="0" collapsed="false">
      <c r="A1264" s="57" t="n">
        <v>31936</v>
      </c>
      <c r="B1264" s="56" t="n">
        <v>1987</v>
      </c>
      <c r="C1264" s="56" t="n">
        <v>6</v>
      </c>
      <c r="D1264" s="56" t="n">
        <v>39</v>
      </c>
      <c r="E1264" s="56" t="n">
        <v>13.4</v>
      </c>
      <c r="F1264" s="56" t="n">
        <v>0</v>
      </c>
      <c r="G1264" s="56" t="n">
        <v>9.9</v>
      </c>
      <c r="H1264" s="56" t="n">
        <v>0</v>
      </c>
      <c r="I1264" s="56" t="n">
        <v>12</v>
      </c>
      <c r="J1264" s="56" t="n">
        <v>0</v>
      </c>
      <c r="K1264" s="56" t="n">
        <v>1003.8</v>
      </c>
      <c r="L1264" s="56" t="n">
        <v>0</v>
      </c>
      <c r="M1264" s="56" t="n">
        <v>88</v>
      </c>
      <c r="N1264" s="56" t="n">
        <v>0.3</v>
      </c>
      <c r="O1264" s="56" t="n">
        <f aca="false">IF(D1264=1,"",E1263)</f>
        <v>14.2</v>
      </c>
      <c r="P1264" s="56" t="n">
        <f aca="false">IF(OR(D1264=1,K1263=""),"",K1263)</f>
        <v>1004.2</v>
      </c>
      <c r="Q1264" s="56" t="n">
        <f aca="false">IF(OR(F1264&lt;&gt;0,AND(I1264&lt;&gt;"",E1264&lt;I1264)),1,0)</f>
        <v>0</v>
      </c>
      <c r="R1264" s="56" t="n">
        <f aca="false">IF(AND(D1264&gt;1,Q1264=0,ISNUMBER(O1264),ISNUMBER(P1264)),IF(Q1263=0,1,0),0)</f>
        <v>1</v>
      </c>
      <c r="S1264" s="56" t="n">
        <f aca="false">R1264*(B1264&gt;=Train_Start)*(B1264&lt;=Train_End)</f>
        <v>1</v>
      </c>
      <c r="T1264" s="84" t="n">
        <f aca="false">IF(AND(ISNUMBER(O1264),ISNUMBER(P1264)),Coef_A+Coef_B1*O1264+Coef_B2*P1264,"")</f>
        <v>15.2232401546536</v>
      </c>
      <c r="U1264" s="84" t="n">
        <f aca="false">IF(AND(R1264=1,ISNUMBER(T1264)),E1264-T1264,"")</f>
        <v>-1.82324015465358</v>
      </c>
      <c r="V1264" s="84" t="n">
        <f aca="false">IF(ISNUMBER(T1264),T1264,-99)</f>
        <v>15.2232401546536</v>
      </c>
      <c r="W1264" s="84" t="n">
        <f aca="false">IF(ISNUMBER(U1264),ABS(U1264),"")</f>
        <v>1.82324015465358</v>
      </c>
    </row>
    <row r="1265" customFormat="false" ht="15" hidden="false" customHeight="false" outlineLevel="0" collapsed="false">
      <c r="A1265" s="57" t="n">
        <v>31937</v>
      </c>
      <c r="B1265" s="56" t="n">
        <v>1987</v>
      </c>
      <c r="C1265" s="56" t="n">
        <v>6</v>
      </c>
      <c r="D1265" s="56" t="n">
        <v>40</v>
      </c>
      <c r="E1265" s="56" t="n">
        <v>17.3</v>
      </c>
      <c r="F1265" s="56" t="n">
        <v>0</v>
      </c>
      <c r="G1265" s="56" t="n">
        <v>9.1</v>
      </c>
      <c r="H1265" s="56" t="n">
        <v>0</v>
      </c>
      <c r="I1265" s="56" t="n">
        <v>11.2</v>
      </c>
      <c r="J1265" s="56" t="n">
        <v>0</v>
      </c>
      <c r="K1265" s="56" t="n">
        <v>1004.3</v>
      </c>
      <c r="L1265" s="56" t="n">
        <v>0</v>
      </c>
      <c r="M1265" s="56" t="n">
        <v>90</v>
      </c>
      <c r="N1265" s="56" t="n">
        <v>0.2</v>
      </c>
      <c r="O1265" s="56" t="n">
        <f aca="false">IF(D1265=1,"",E1264)</f>
        <v>13.4</v>
      </c>
      <c r="P1265" s="56" t="n">
        <f aca="false">IF(OR(D1265=1,K1264=""),"",K1264)</f>
        <v>1003.8</v>
      </c>
      <c r="Q1265" s="56" t="n">
        <f aca="false">IF(OR(F1265&lt;&gt;0,AND(I1265&lt;&gt;"",E1265&lt;I1265)),1,0)</f>
        <v>0</v>
      </c>
      <c r="R1265" s="56" t="n">
        <f aca="false">IF(AND(D1265&gt;1,Q1265=0,ISNUMBER(O1265),ISNUMBER(P1265)),IF(Q1264=0,1,0),0)</f>
        <v>1</v>
      </c>
      <c r="S1265" s="56" t="n">
        <f aca="false">R1265*(B1265&gt;=Train_Start)*(B1265&lt;=Train_End)</f>
        <v>1</v>
      </c>
      <c r="T1265" s="84" t="n">
        <f aca="false">IF(AND(ISNUMBER(O1265),ISNUMBER(P1265)),Coef_A+Coef_B1*O1265+Coef_B2*P1265,"")</f>
        <v>14.5552208423659</v>
      </c>
      <c r="U1265" s="84" t="n">
        <f aca="false">IF(AND(R1265=1,ISNUMBER(T1265)),E1265-T1265,"")</f>
        <v>2.74477915763414</v>
      </c>
      <c r="V1265" s="84" t="n">
        <f aca="false">IF(ISNUMBER(T1265),T1265,-99)</f>
        <v>14.5552208423659</v>
      </c>
      <c r="W1265" s="84" t="n">
        <f aca="false">IF(ISNUMBER(U1265),ABS(U1265),"")</f>
        <v>2.74477915763414</v>
      </c>
    </row>
    <row r="1266" customFormat="false" ht="15" hidden="false" customHeight="false" outlineLevel="0" collapsed="false">
      <c r="A1266" s="57" t="n">
        <v>31938</v>
      </c>
      <c r="B1266" s="56" t="n">
        <v>1987</v>
      </c>
      <c r="C1266" s="56" t="n">
        <v>6</v>
      </c>
      <c r="D1266" s="56" t="n">
        <v>41</v>
      </c>
      <c r="E1266" s="56" t="n">
        <v>17.2</v>
      </c>
      <c r="F1266" s="56" t="n">
        <v>0</v>
      </c>
      <c r="G1266" s="56" t="n">
        <v>5.3</v>
      </c>
      <c r="H1266" s="56" t="n">
        <v>0</v>
      </c>
      <c r="I1266" s="56" t="n">
        <v>11.3</v>
      </c>
      <c r="J1266" s="56" t="n">
        <v>0</v>
      </c>
      <c r="K1266" s="56" t="n">
        <v>1007.2</v>
      </c>
      <c r="L1266" s="56" t="n">
        <v>0</v>
      </c>
      <c r="M1266" s="56" t="n">
        <v>72</v>
      </c>
      <c r="N1266" s="56" t="n">
        <v>8.7</v>
      </c>
      <c r="O1266" s="56" t="n">
        <f aca="false">IF(D1266=1,"",E1265)</f>
        <v>17.3</v>
      </c>
      <c r="P1266" s="56" t="n">
        <f aca="false">IF(OR(D1266=1,K1265=""),"",K1265)</f>
        <v>1004.3</v>
      </c>
      <c r="Q1266" s="56" t="n">
        <f aca="false">IF(OR(F1266&lt;&gt;0,AND(I1266&lt;&gt;"",E1266&lt;I1266)),1,0)</f>
        <v>0</v>
      </c>
      <c r="R1266" s="56" t="n">
        <f aca="false">IF(AND(D1266&gt;1,Q1266=0,ISNUMBER(O1266),ISNUMBER(P1266)),IF(Q1265=0,1,0),0)</f>
        <v>1</v>
      </c>
      <c r="S1266" s="56" t="n">
        <f aca="false">R1266*(B1266&gt;=Train_Start)*(B1266&lt;=Train_End)</f>
        <v>1</v>
      </c>
      <c r="T1266" s="84" t="n">
        <f aca="false">IF(AND(ISNUMBER(O1266),ISNUMBER(P1266)),Coef_A+Coef_B1*O1266+Coef_B2*P1266,"")</f>
        <v>17.7663286425492</v>
      </c>
      <c r="U1266" s="84" t="n">
        <f aca="false">IF(AND(R1266=1,ISNUMBER(T1266)),E1266-T1266,"")</f>
        <v>-0.56632864254922</v>
      </c>
      <c r="V1266" s="84" t="n">
        <f aca="false">IF(ISNUMBER(T1266),T1266,-99)</f>
        <v>17.7663286425492</v>
      </c>
      <c r="W1266" s="84" t="n">
        <f aca="false">IF(ISNUMBER(U1266),ABS(U1266),"")</f>
        <v>0.56632864254922</v>
      </c>
    </row>
    <row r="1267" customFormat="false" ht="15" hidden="false" customHeight="false" outlineLevel="0" collapsed="false">
      <c r="A1267" s="57" t="n">
        <v>31939</v>
      </c>
      <c r="B1267" s="56" t="n">
        <v>1987</v>
      </c>
      <c r="C1267" s="56" t="n">
        <v>6</v>
      </c>
      <c r="D1267" s="56" t="n">
        <v>42</v>
      </c>
      <c r="E1267" s="56" t="n">
        <v>18.2</v>
      </c>
      <c r="F1267" s="56" t="n">
        <v>0</v>
      </c>
      <c r="G1267" s="56" t="n">
        <v>10.5</v>
      </c>
      <c r="H1267" s="56" t="n">
        <v>0</v>
      </c>
      <c r="I1267" s="56" t="n">
        <v>13.8</v>
      </c>
      <c r="J1267" s="56" t="n">
        <v>0</v>
      </c>
      <c r="K1267" s="56" t="n">
        <v>1012.8</v>
      </c>
      <c r="L1267" s="56" t="n">
        <v>0</v>
      </c>
      <c r="M1267" s="56" t="n">
        <v>83</v>
      </c>
      <c r="N1267" s="56" t="n">
        <v>3.3</v>
      </c>
      <c r="O1267" s="56" t="n">
        <f aca="false">IF(D1267=1,"",E1266)</f>
        <v>17.2</v>
      </c>
      <c r="P1267" s="56" t="n">
        <f aca="false">IF(OR(D1267=1,K1266=""),"",K1266)</f>
        <v>1007.2</v>
      </c>
      <c r="Q1267" s="56" t="n">
        <f aca="false">IF(OR(F1267&lt;&gt;0,AND(I1267&lt;&gt;"",E1267&lt;I1267)),1,0)</f>
        <v>0</v>
      </c>
      <c r="R1267" s="56" t="n">
        <f aca="false">IF(AND(D1267&gt;1,Q1267=0,ISNUMBER(O1267),ISNUMBER(P1267)),IF(Q1266=0,1,0),0)</f>
        <v>1</v>
      </c>
      <c r="S1267" s="56" t="n">
        <f aca="false">R1267*(B1267&gt;=Train_Start)*(B1267&lt;=Train_End)</f>
        <v>1</v>
      </c>
      <c r="T1267" s="84" t="n">
        <f aca="false">IF(AND(ISNUMBER(O1267),ISNUMBER(P1267)),Coef_A+Coef_B1*O1267+Coef_B2*P1267,"")</f>
        <v>17.7753674176835</v>
      </c>
      <c r="U1267" s="84" t="n">
        <f aca="false">IF(AND(R1267=1,ISNUMBER(T1267)),E1267-T1267,"")</f>
        <v>0.424632582316473</v>
      </c>
      <c r="V1267" s="84" t="n">
        <f aca="false">IF(ISNUMBER(T1267),T1267,-99)</f>
        <v>17.7753674176835</v>
      </c>
      <c r="W1267" s="84" t="n">
        <f aca="false">IF(ISNUMBER(U1267),ABS(U1267),"")</f>
        <v>0.424632582316473</v>
      </c>
    </row>
    <row r="1268" customFormat="false" ht="15" hidden="false" customHeight="false" outlineLevel="0" collapsed="false">
      <c r="A1268" s="57" t="n">
        <v>31940</v>
      </c>
      <c r="B1268" s="56" t="n">
        <v>1987</v>
      </c>
      <c r="C1268" s="56" t="n">
        <v>6</v>
      </c>
      <c r="D1268" s="56" t="n">
        <v>43</v>
      </c>
      <c r="E1268" s="56" t="n">
        <v>17.1</v>
      </c>
      <c r="F1268" s="56" t="n">
        <v>0</v>
      </c>
      <c r="G1268" s="56" t="n">
        <v>6.7</v>
      </c>
      <c r="H1268" s="56" t="n">
        <v>0</v>
      </c>
      <c r="I1268" s="56" t="n">
        <v>12.4</v>
      </c>
      <c r="J1268" s="56" t="n">
        <v>0</v>
      </c>
      <c r="K1268" s="56" t="n">
        <v>1018.1</v>
      </c>
      <c r="L1268" s="56" t="n">
        <v>0</v>
      </c>
      <c r="M1268" s="56" t="n">
        <v>71</v>
      </c>
      <c r="N1268" s="56" t="n">
        <v>8.7</v>
      </c>
      <c r="O1268" s="56" t="n">
        <f aca="false">IF(D1268=1,"",E1267)</f>
        <v>18.2</v>
      </c>
      <c r="P1268" s="56" t="n">
        <f aca="false">IF(OR(D1268=1,K1267=""),"",K1267)</f>
        <v>1012.8</v>
      </c>
      <c r="Q1268" s="56" t="n">
        <f aca="false">IF(OR(F1268&lt;&gt;0,AND(I1268&lt;&gt;"",E1268&lt;I1268)),1,0)</f>
        <v>0</v>
      </c>
      <c r="R1268" s="56" t="n">
        <f aca="false">IF(AND(D1268&gt;1,Q1268=0,ISNUMBER(O1268),ISNUMBER(P1268)),IF(Q1267=0,1,0),0)</f>
        <v>1</v>
      </c>
      <c r="S1268" s="56" t="n">
        <f aca="false">R1268*(B1268&gt;=Train_Start)*(B1268&lt;=Train_End)</f>
        <v>1</v>
      </c>
      <c r="T1268" s="84" t="n">
        <f aca="false">IF(AND(ISNUMBER(O1268),ISNUMBER(P1268)),Coef_A+Coef_B1*O1268+Coef_B2*P1268,"")</f>
        <v>18.7703780206765</v>
      </c>
      <c r="U1268" s="84" t="n">
        <f aca="false">IF(AND(R1268=1,ISNUMBER(T1268)),E1268-T1268,"")</f>
        <v>-1.67037802067652</v>
      </c>
      <c r="V1268" s="84" t="n">
        <f aca="false">IF(ISNUMBER(T1268),T1268,-99)</f>
        <v>18.7703780206765</v>
      </c>
      <c r="W1268" s="84" t="n">
        <f aca="false">IF(ISNUMBER(U1268),ABS(U1268),"")</f>
        <v>1.67037802067652</v>
      </c>
    </row>
    <row r="1269" customFormat="false" ht="15" hidden="false" customHeight="false" outlineLevel="0" collapsed="false">
      <c r="A1269" s="57" t="n">
        <v>31941</v>
      </c>
      <c r="B1269" s="56" t="n">
        <v>1987</v>
      </c>
      <c r="C1269" s="56" t="n">
        <v>6</v>
      </c>
      <c r="D1269" s="56" t="n">
        <v>44</v>
      </c>
      <c r="E1269" s="56" t="n">
        <v>17.9</v>
      </c>
      <c r="F1269" s="56" t="n">
        <v>0</v>
      </c>
      <c r="G1269" s="56" t="n">
        <v>8.8</v>
      </c>
      <c r="H1269" s="56" t="n">
        <v>0</v>
      </c>
      <c r="I1269" s="56" t="n">
        <v>13</v>
      </c>
      <c r="J1269" s="56" t="n">
        <v>0</v>
      </c>
      <c r="K1269" s="56" t="n">
        <v>1014.4</v>
      </c>
      <c r="L1269" s="56" t="n">
        <v>0</v>
      </c>
      <c r="M1269" s="56" t="n">
        <v>73</v>
      </c>
      <c r="N1269" s="56" t="n">
        <v>6</v>
      </c>
      <c r="O1269" s="56" t="n">
        <f aca="false">IF(D1269=1,"",E1268)</f>
        <v>17.1</v>
      </c>
      <c r="P1269" s="56" t="n">
        <f aca="false">IF(OR(D1269=1,K1268=""),"",K1268)</f>
        <v>1018.1</v>
      </c>
      <c r="Q1269" s="56" t="n">
        <f aca="false">IF(OR(F1269&lt;&gt;0,AND(I1269&lt;&gt;"",E1269&lt;I1269)),1,0)</f>
        <v>0</v>
      </c>
      <c r="R1269" s="56" t="n">
        <f aca="false">IF(AND(D1269&gt;1,Q1269=0,ISNUMBER(O1269),ISNUMBER(P1269)),IF(Q1268=0,1,0),0)</f>
        <v>1</v>
      </c>
      <c r="S1269" s="56" t="n">
        <f aca="false">R1269*(B1269&gt;=Train_Start)*(B1269&lt;=Train_End)</f>
        <v>1</v>
      </c>
      <c r="T1269" s="84" t="n">
        <f aca="false">IF(AND(ISNUMBER(O1269),ISNUMBER(P1269)),Coef_A+Coef_B1*O1269+Coef_B2*P1269,"")</f>
        <v>18.0353653498897</v>
      </c>
      <c r="U1269" s="84" t="n">
        <f aca="false">IF(AND(R1269=1,ISNUMBER(T1269)),E1269-T1269,"")</f>
        <v>-0.135365349889746</v>
      </c>
      <c r="V1269" s="84" t="n">
        <f aca="false">IF(ISNUMBER(T1269),T1269,-99)</f>
        <v>18.0353653498897</v>
      </c>
      <c r="W1269" s="84" t="n">
        <f aca="false">IF(ISNUMBER(U1269),ABS(U1269),"")</f>
        <v>0.135365349889746</v>
      </c>
    </row>
    <row r="1270" customFormat="false" ht="15" hidden="false" customHeight="false" outlineLevel="0" collapsed="false">
      <c r="A1270" s="57" t="n">
        <v>31942</v>
      </c>
      <c r="B1270" s="56" t="n">
        <v>1987</v>
      </c>
      <c r="C1270" s="56" t="n">
        <v>6</v>
      </c>
      <c r="D1270" s="56" t="n">
        <v>45</v>
      </c>
      <c r="E1270" s="56" t="n">
        <v>18</v>
      </c>
      <c r="F1270" s="56" t="n">
        <v>0</v>
      </c>
      <c r="G1270" s="56" t="n">
        <v>9.8</v>
      </c>
      <c r="H1270" s="56" t="n">
        <v>0</v>
      </c>
      <c r="I1270" s="56" t="n">
        <v>13.8</v>
      </c>
      <c r="J1270" s="56" t="n">
        <v>0</v>
      </c>
      <c r="K1270" s="56" t="n">
        <v>1012.2</v>
      </c>
      <c r="L1270" s="56" t="n">
        <v>0</v>
      </c>
      <c r="M1270" s="56" t="n">
        <v>71</v>
      </c>
      <c r="N1270" s="56" t="n">
        <v>5.5</v>
      </c>
      <c r="O1270" s="56" t="n">
        <f aca="false">IF(D1270=1,"",E1269)</f>
        <v>17.9</v>
      </c>
      <c r="P1270" s="56" t="n">
        <f aca="false">IF(OR(D1270=1,K1269=""),"",K1269)</f>
        <v>1014.4</v>
      </c>
      <c r="Q1270" s="56" t="n">
        <f aca="false">IF(OR(F1270&lt;&gt;0,AND(I1270&lt;&gt;"",E1270&lt;I1270)),1,0)</f>
        <v>0</v>
      </c>
      <c r="R1270" s="56" t="n">
        <f aca="false">IF(AND(D1270&gt;1,Q1270=0,ISNUMBER(O1270),ISNUMBER(P1270)),IF(Q1269=0,1,0),0)</f>
        <v>1</v>
      </c>
      <c r="S1270" s="56" t="n">
        <f aca="false">R1270*(B1270&gt;=Train_Start)*(B1270&lt;=Train_End)</f>
        <v>1</v>
      </c>
      <c r="T1270" s="84" t="n">
        <f aca="false">IF(AND(ISNUMBER(O1270),ISNUMBER(P1270)),Coef_A+Coef_B1*O1270+Coef_B2*P1270,"")</f>
        <v>18.5747680941781</v>
      </c>
      <c r="U1270" s="84" t="n">
        <f aca="false">IF(AND(R1270=1,ISNUMBER(T1270)),E1270-T1270,"")</f>
        <v>-0.574768094178104</v>
      </c>
      <c r="V1270" s="84" t="n">
        <f aca="false">IF(ISNUMBER(T1270),T1270,-99)</f>
        <v>18.5747680941781</v>
      </c>
      <c r="W1270" s="84" t="n">
        <f aca="false">IF(ISNUMBER(U1270),ABS(U1270),"")</f>
        <v>0.574768094178104</v>
      </c>
    </row>
    <row r="1271" customFormat="false" ht="15" hidden="false" customHeight="false" outlineLevel="0" collapsed="false">
      <c r="A1271" s="57" t="n">
        <v>31943</v>
      </c>
      <c r="B1271" s="56" t="n">
        <v>1987</v>
      </c>
      <c r="C1271" s="56" t="n">
        <v>6</v>
      </c>
      <c r="D1271" s="56" t="n">
        <v>46</v>
      </c>
      <c r="E1271" s="56" t="n">
        <v>16.5</v>
      </c>
      <c r="F1271" s="56" t="n">
        <v>0</v>
      </c>
      <c r="G1271" s="56" t="n">
        <v>6.3</v>
      </c>
      <c r="H1271" s="56" t="n">
        <v>0</v>
      </c>
      <c r="I1271" s="56" t="n">
        <v>12.2</v>
      </c>
      <c r="J1271" s="56" t="n">
        <v>0</v>
      </c>
      <c r="K1271" s="56" t="n">
        <v>1010.9</v>
      </c>
      <c r="L1271" s="56" t="n">
        <v>0</v>
      </c>
      <c r="M1271" s="56" t="n">
        <v>77</v>
      </c>
      <c r="N1271" s="56" t="n">
        <v>4.2</v>
      </c>
      <c r="O1271" s="56" t="n">
        <f aca="false">IF(D1271=1,"",E1270)</f>
        <v>18</v>
      </c>
      <c r="P1271" s="56" t="n">
        <f aca="false">IF(OR(D1271=1,K1270=""),"",K1270)</f>
        <v>1012.2</v>
      </c>
      <c r="Q1271" s="56" t="n">
        <f aca="false">IF(OR(F1271&lt;&gt;0,AND(I1271&lt;&gt;"",E1271&lt;I1271)),1,0)</f>
        <v>0</v>
      </c>
      <c r="R1271" s="56" t="n">
        <f aca="false">IF(AND(D1271&gt;1,Q1271=0,ISNUMBER(O1271),ISNUMBER(P1271)),IF(Q1270=0,1,0),0)</f>
        <v>1</v>
      </c>
      <c r="S1271" s="56" t="n">
        <f aca="false">R1271*(B1271&gt;=Train_Start)*(B1271&lt;=Train_End)</f>
        <v>1</v>
      </c>
      <c r="T1271" s="84" t="n">
        <f aca="false">IF(AND(ISNUMBER(O1271),ISNUMBER(P1271)),Coef_A+Coef_B1*O1271+Coef_B2*P1271,"")</f>
        <v>18.5876882452876</v>
      </c>
      <c r="U1271" s="84" t="n">
        <f aca="false">IF(AND(R1271=1,ISNUMBER(T1271)),E1271-T1271,"")</f>
        <v>-2.0876882452876</v>
      </c>
      <c r="V1271" s="84" t="n">
        <f aca="false">IF(ISNUMBER(T1271),T1271,-99)</f>
        <v>18.5876882452876</v>
      </c>
      <c r="W1271" s="84" t="n">
        <f aca="false">IF(ISNUMBER(U1271),ABS(U1271),"")</f>
        <v>2.0876882452876</v>
      </c>
    </row>
    <row r="1272" customFormat="false" ht="15" hidden="false" customHeight="false" outlineLevel="0" collapsed="false">
      <c r="A1272" s="57" t="n">
        <v>31944</v>
      </c>
      <c r="B1272" s="56" t="n">
        <v>1987</v>
      </c>
      <c r="C1272" s="56" t="n">
        <v>6</v>
      </c>
      <c r="D1272" s="56" t="n">
        <v>47</v>
      </c>
      <c r="E1272" s="56" t="n">
        <v>16.2</v>
      </c>
      <c r="F1272" s="56" t="n">
        <v>0</v>
      </c>
      <c r="G1272" s="56" t="n">
        <v>6.9</v>
      </c>
      <c r="H1272" s="56" t="n">
        <v>0</v>
      </c>
      <c r="I1272" s="56" t="n">
        <v>11.7</v>
      </c>
      <c r="J1272" s="56" t="n">
        <v>0</v>
      </c>
      <c r="K1272" s="56" t="n">
        <v>1018.1</v>
      </c>
      <c r="L1272" s="56" t="n">
        <v>0</v>
      </c>
      <c r="M1272" s="56" t="n">
        <v>70</v>
      </c>
      <c r="N1272" s="56" t="n">
        <v>10.3</v>
      </c>
      <c r="O1272" s="56" t="n">
        <f aca="false">IF(D1272=1,"",E1271)</f>
        <v>16.5</v>
      </c>
      <c r="P1272" s="56" t="n">
        <f aca="false">IF(OR(D1272=1,K1271=""),"",K1271)</f>
        <v>1010.9</v>
      </c>
      <c r="Q1272" s="56" t="n">
        <f aca="false">IF(OR(F1272&lt;&gt;0,AND(I1272&lt;&gt;"",E1272&lt;I1272)),1,0)</f>
        <v>0</v>
      </c>
      <c r="R1272" s="56" t="n">
        <f aca="false">IF(AND(D1272&gt;1,Q1272=0,ISNUMBER(O1272),ISNUMBER(P1272)),IF(Q1271=0,1,0),0)</f>
        <v>1</v>
      </c>
      <c r="S1272" s="56" t="n">
        <f aca="false">R1272*(B1272&gt;=Train_Start)*(B1272&lt;=Train_End)</f>
        <v>1</v>
      </c>
      <c r="T1272" s="84" t="n">
        <f aca="false">IF(AND(ISNUMBER(O1272),ISNUMBER(P1272)),Coef_A+Coef_B1*O1272+Coef_B2*P1272,"")</f>
        <v>17.3178985926994</v>
      </c>
      <c r="U1272" s="84" t="n">
        <f aca="false">IF(AND(R1272=1,ISNUMBER(T1272)),E1272-T1272,"")</f>
        <v>-1.11789859269942</v>
      </c>
      <c r="V1272" s="84" t="n">
        <f aca="false">IF(ISNUMBER(T1272),T1272,-99)</f>
        <v>17.3178985926994</v>
      </c>
      <c r="W1272" s="84" t="n">
        <f aca="false">IF(ISNUMBER(U1272),ABS(U1272),"")</f>
        <v>1.11789859269942</v>
      </c>
    </row>
    <row r="1273" customFormat="false" ht="15" hidden="false" customHeight="false" outlineLevel="0" collapsed="false">
      <c r="A1273" s="57" t="n">
        <v>31945</v>
      </c>
      <c r="B1273" s="56" t="n">
        <v>1987</v>
      </c>
      <c r="C1273" s="56" t="n">
        <v>6</v>
      </c>
      <c r="D1273" s="56" t="n">
        <v>48</v>
      </c>
      <c r="E1273" s="56" t="n">
        <v>18.2</v>
      </c>
      <c r="F1273" s="56" t="n">
        <v>0</v>
      </c>
      <c r="G1273" s="56" t="n">
        <v>9</v>
      </c>
      <c r="H1273" s="56" t="n">
        <v>0</v>
      </c>
      <c r="I1273" s="56" t="n">
        <v>12.6</v>
      </c>
      <c r="J1273" s="56" t="n">
        <v>0</v>
      </c>
      <c r="K1273" s="56" t="n">
        <v>1015.8</v>
      </c>
      <c r="L1273" s="56" t="n">
        <v>0</v>
      </c>
      <c r="M1273" s="56" t="n">
        <v>84</v>
      </c>
      <c r="N1273" s="56" t="n">
        <v>2.8</v>
      </c>
      <c r="O1273" s="56" t="n">
        <f aca="false">IF(D1273=1,"",E1272)</f>
        <v>16.2</v>
      </c>
      <c r="P1273" s="56" t="n">
        <f aca="false">IF(OR(D1273=1,K1272=""),"",K1272)</f>
        <v>1018.1</v>
      </c>
      <c r="Q1273" s="56" t="n">
        <f aca="false">IF(OR(F1273&lt;&gt;0,AND(I1273&lt;&gt;"",E1273&lt;I1273)),1,0)</f>
        <v>0</v>
      </c>
      <c r="R1273" s="56" t="n">
        <f aca="false">IF(AND(D1273&gt;1,Q1273=0,ISNUMBER(O1273),ISNUMBER(P1273)),IF(Q1272=0,1,0),0)</f>
        <v>1</v>
      </c>
      <c r="S1273" s="56" t="n">
        <f aca="false">R1273*(B1273&gt;=Train_Start)*(B1273&lt;=Train_End)</f>
        <v>1</v>
      </c>
      <c r="T1273" s="84" t="n">
        <f aca="false">IF(AND(ISNUMBER(O1273),ISNUMBER(P1273)),Coef_A+Coef_B1*O1273+Coef_B2*P1273,"")</f>
        <v>17.2979600761514</v>
      </c>
      <c r="U1273" s="84" t="n">
        <f aca="false">IF(AND(R1273=1,ISNUMBER(T1273)),E1273-T1273,"")</f>
        <v>0.902039923848644</v>
      </c>
      <c r="V1273" s="84" t="n">
        <f aca="false">IF(ISNUMBER(T1273),T1273,-99)</f>
        <v>17.2979600761514</v>
      </c>
      <c r="W1273" s="84" t="n">
        <f aca="false">IF(ISNUMBER(U1273),ABS(U1273),"")</f>
        <v>0.902039923848644</v>
      </c>
    </row>
    <row r="1274" customFormat="false" ht="15" hidden="false" customHeight="false" outlineLevel="0" collapsed="false">
      <c r="A1274" s="57" t="n">
        <v>31946</v>
      </c>
      <c r="B1274" s="56" t="n">
        <v>1987</v>
      </c>
      <c r="C1274" s="56" t="n">
        <v>6</v>
      </c>
      <c r="D1274" s="56" t="n">
        <v>49</v>
      </c>
      <c r="E1274" s="56" t="n">
        <v>16.2</v>
      </c>
      <c r="F1274" s="56" t="n">
        <v>0</v>
      </c>
      <c r="G1274" s="56" t="n">
        <v>8.7</v>
      </c>
      <c r="H1274" s="56" t="n">
        <v>0</v>
      </c>
      <c r="I1274" s="56" t="n">
        <v>13.4</v>
      </c>
      <c r="J1274" s="56" t="n">
        <v>0</v>
      </c>
      <c r="K1274" s="56" t="n">
        <v>1012.9</v>
      </c>
      <c r="L1274" s="56" t="n">
        <v>0</v>
      </c>
      <c r="M1274" s="56" t="n">
        <v>82</v>
      </c>
      <c r="N1274" s="56" t="n">
        <v>2.6</v>
      </c>
      <c r="O1274" s="56" t="n">
        <f aca="false">IF(D1274=1,"",E1273)</f>
        <v>18.2</v>
      </c>
      <c r="P1274" s="56" t="n">
        <f aca="false">IF(OR(D1274=1,K1273=""),"",K1273)</f>
        <v>1015.8</v>
      </c>
      <c r="Q1274" s="56" t="n">
        <f aca="false">IF(OR(F1274&lt;&gt;0,AND(I1274&lt;&gt;"",E1274&lt;I1274)),1,0)</f>
        <v>0</v>
      </c>
      <c r="R1274" s="56" t="n">
        <f aca="false">IF(AND(D1274&gt;1,Q1274=0,ISNUMBER(O1274),ISNUMBER(P1274)),IF(Q1273=0,1,0),0)</f>
        <v>1</v>
      </c>
      <c r="S1274" s="56" t="n">
        <f aca="false">R1274*(B1274&gt;=Train_Start)*(B1274&lt;=Train_End)</f>
        <v>1</v>
      </c>
      <c r="T1274" s="84" t="n">
        <f aca="false">IF(AND(ISNUMBER(O1274),ISNUMBER(P1274)),Coef_A+Coef_B1*O1274+Coef_B2*P1274,"")</f>
        <v>18.8644877045785</v>
      </c>
      <c r="U1274" s="84" t="n">
        <f aca="false">IF(AND(R1274=1,ISNUMBER(T1274)),E1274-T1274,"")</f>
        <v>-2.66448770457849</v>
      </c>
      <c r="V1274" s="84" t="n">
        <f aca="false">IF(ISNUMBER(T1274),T1274,-99)</f>
        <v>18.8644877045785</v>
      </c>
      <c r="W1274" s="84" t="n">
        <f aca="false">IF(ISNUMBER(U1274),ABS(U1274),"")</f>
        <v>2.66448770457849</v>
      </c>
    </row>
    <row r="1275" customFormat="false" ht="15" hidden="false" customHeight="false" outlineLevel="0" collapsed="false">
      <c r="A1275" s="57" t="n">
        <v>31947</v>
      </c>
      <c r="B1275" s="56" t="n">
        <v>1987</v>
      </c>
      <c r="C1275" s="56" t="n">
        <v>6</v>
      </c>
      <c r="D1275" s="56" t="n">
        <v>50</v>
      </c>
      <c r="E1275" s="56" t="n">
        <v>20</v>
      </c>
      <c r="F1275" s="56" t="n">
        <v>0</v>
      </c>
      <c r="G1275" s="56" t="n">
        <v>11.4</v>
      </c>
      <c r="H1275" s="56" t="n">
        <v>0</v>
      </c>
      <c r="I1275" s="56" t="n">
        <v>13.8</v>
      </c>
      <c r="J1275" s="56" t="n">
        <v>0</v>
      </c>
      <c r="K1275" s="56" t="n">
        <v>999.8</v>
      </c>
      <c r="L1275" s="56" t="n">
        <v>0</v>
      </c>
      <c r="M1275" s="56" t="n">
        <v>89</v>
      </c>
      <c r="N1275" s="56" t="n">
        <v>0.1</v>
      </c>
      <c r="O1275" s="56" t="n">
        <f aca="false">IF(D1275=1,"",E1274)</f>
        <v>16.2</v>
      </c>
      <c r="P1275" s="56" t="n">
        <f aca="false">IF(OR(D1275=1,K1274=""),"",K1274)</f>
        <v>1012.9</v>
      </c>
      <c r="Q1275" s="56" t="n">
        <f aca="false">IF(OR(F1275&lt;&gt;0,AND(I1275&lt;&gt;"",E1275&lt;I1275)),1,0)</f>
        <v>0</v>
      </c>
      <c r="R1275" s="56" t="n">
        <f aca="false">IF(AND(D1275&gt;1,Q1275=0,ISNUMBER(O1275),ISNUMBER(P1275)),IF(Q1274=0,1,0),0)</f>
        <v>1</v>
      </c>
      <c r="S1275" s="56" t="n">
        <f aca="false">R1275*(B1275&gt;=Train_Start)*(B1275&lt;=Train_End)</f>
        <v>1</v>
      </c>
      <c r="T1275" s="84" t="n">
        <f aca="false">IF(AND(ISNUMBER(O1275),ISNUMBER(P1275)),Coef_A+Coef_B1*O1275+Coef_B2*P1275,"")</f>
        <v>17.1348366240546</v>
      </c>
      <c r="U1275" s="84" t="n">
        <f aca="false">IF(AND(R1275=1,ISNUMBER(T1275)),E1275-T1275,"")</f>
        <v>2.86516337594539</v>
      </c>
      <c r="V1275" s="84" t="n">
        <f aca="false">IF(ISNUMBER(T1275),T1275,-99)</f>
        <v>17.1348366240546</v>
      </c>
      <c r="W1275" s="84" t="n">
        <f aca="false">IF(ISNUMBER(U1275),ABS(U1275),"")</f>
        <v>2.86516337594539</v>
      </c>
    </row>
    <row r="1276" customFormat="false" ht="15" hidden="false" customHeight="false" outlineLevel="0" collapsed="false">
      <c r="A1276" s="57" t="n">
        <v>31948</v>
      </c>
      <c r="B1276" s="56" t="n">
        <v>1987</v>
      </c>
      <c r="C1276" s="56" t="n">
        <v>6</v>
      </c>
      <c r="D1276" s="56" t="n">
        <v>51</v>
      </c>
      <c r="E1276" s="56" t="n">
        <v>19.7</v>
      </c>
      <c r="F1276" s="56" t="n">
        <v>0</v>
      </c>
      <c r="G1276" s="56" t="n">
        <v>8.8</v>
      </c>
      <c r="H1276" s="56" t="n">
        <v>0</v>
      </c>
      <c r="I1276" s="56" t="n">
        <v>14.4</v>
      </c>
      <c r="J1276" s="56" t="n">
        <v>0</v>
      </c>
      <c r="K1276" s="56" t="n">
        <v>1012.3</v>
      </c>
      <c r="L1276" s="56" t="n">
        <v>0</v>
      </c>
      <c r="M1276" s="56" t="n">
        <v>73</v>
      </c>
      <c r="N1276" s="56" t="n">
        <v>8.7</v>
      </c>
      <c r="O1276" s="56" t="n">
        <f aca="false">IF(D1276=1,"",E1275)</f>
        <v>20</v>
      </c>
      <c r="P1276" s="56" t="n">
        <f aca="false">IF(OR(D1276=1,K1275=""),"",K1275)</f>
        <v>999.8</v>
      </c>
      <c r="Q1276" s="56" t="n">
        <f aca="false">IF(OR(F1276&lt;&gt;0,AND(I1276&lt;&gt;"",E1276&lt;I1276)),1,0)</f>
        <v>0</v>
      </c>
      <c r="R1276" s="56" t="n">
        <f aca="false">IF(AND(D1276&gt;1,Q1276=0,ISNUMBER(O1276),ISNUMBER(P1276)),IF(Q1275=0,1,0),0)</f>
        <v>1</v>
      </c>
      <c r="S1276" s="56" t="n">
        <f aca="false">R1276*(B1276&gt;=Train_Start)*(B1276&lt;=Train_End)</f>
        <v>1</v>
      </c>
      <c r="T1276" s="84" t="n">
        <f aca="false">IF(AND(ISNUMBER(O1276),ISNUMBER(P1276)),Coef_A+Coef_B1*O1276+Coef_B2*P1276,"")</f>
        <v>19.8373799379114</v>
      </c>
      <c r="U1276" s="84" t="n">
        <f aca="false">IF(AND(R1276=1,ISNUMBER(T1276)),E1276-T1276,"")</f>
        <v>-0.13737993791144</v>
      </c>
      <c r="V1276" s="84" t="n">
        <f aca="false">IF(ISNUMBER(T1276),T1276,-99)</f>
        <v>19.8373799379114</v>
      </c>
      <c r="W1276" s="84" t="n">
        <f aca="false">IF(ISNUMBER(U1276),ABS(U1276),"")</f>
        <v>0.13737993791144</v>
      </c>
    </row>
    <row r="1277" customFormat="false" ht="15" hidden="false" customHeight="false" outlineLevel="0" collapsed="false">
      <c r="A1277" s="57" t="n">
        <v>31949</v>
      </c>
      <c r="B1277" s="56" t="n">
        <v>1987</v>
      </c>
      <c r="C1277" s="56" t="n">
        <v>6</v>
      </c>
      <c r="D1277" s="56" t="n">
        <v>52</v>
      </c>
      <c r="E1277" s="56" t="n">
        <v>15.9</v>
      </c>
      <c r="F1277" s="56" t="n">
        <v>0</v>
      </c>
      <c r="G1277" s="56" t="n">
        <v>10.1</v>
      </c>
      <c r="H1277" s="56" t="n">
        <v>0</v>
      </c>
      <c r="I1277" s="56" t="n">
        <v>14.9</v>
      </c>
      <c r="J1277" s="56" t="n">
        <v>0</v>
      </c>
      <c r="K1277" s="56" t="n">
        <v>1017.2</v>
      </c>
      <c r="L1277" s="56" t="n">
        <v>0</v>
      </c>
      <c r="M1277" s="56" t="n">
        <v>72</v>
      </c>
      <c r="N1277" s="56" t="n">
        <v>4.6</v>
      </c>
      <c r="O1277" s="56" t="n">
        <f aca="false">IF(D1277=1,"",E1276)</f>
        <v>19.7</v>
      </c>
      <c r="P1277" s="56" t="n">
        <f aca="false">IF(OR(D1277=1,K1276=""),"",K1276)</f>
        <v>1012.3</v>
      </c>
      <c r="Q1277" s="56" t="n">
        <f aca="false">IF(OR(F1277&lt;&gt;0,AND(I1277&lt;&gt;"",E1277&lt;I1277)),1,0)</f>
        <v>0</v>
      </c>
      <c r="R1277" s="56" t="n">
        <f aca="false">IF(AND(D1277&gt;1,Q1277=0,ISNUMBER(O1277),ISNUMBER(P1277)),IF(Q1276=0,1,0),0)</f>
        <v>1</v>
      </c>
      <c r="S1277" s="56" t="n">
        <f aca="false">R1277*(B1277&gt;=Train_Start)*(B1277&lt;=Train_End)</f>
        <v>1</v>
      </c>
      <c r="T1277" s="84" t="n">
        <f aca="false">IF(AND(ISNUMBER(O1277),ISNUMBER(P1277)),Coef_A+Coef_B1*O1277+Coef_B2*P1277,"")</f>
        <v>19.9837018629235</v>
      </c>
      <c r="U1277" s="84" t="n">
        <f aca="false">IF(AND(R1277=1,ISNUMBER(T1277)),E1277-T1277,"")</f>
        <v>-4.08370186292351</v>
      </c>
      <c r="V1277" s="84" t="n">
        <f aca="false">IF(ISNUMBER(T1277),T1277,-99)</f>
        <v>19.9837018629235</v>
      </c>
      <c r="W1277" s="84" t="n">
        <f aca="false">IF(ISNUMBER(U1277),ABS(U1277),"")</f>
        <v>4.08370186292351</v>
      </c>
    </row>
    <row r="1278" customFormat="false" ht="15" hidden="false" customHeight="false" outlineLevel="0" collapsed="false">
      <c r="A1278" s="57" t="n">
        <v>31950</v>
      </c>
      <c r="B1278" s="56" t="n">
        <v>1987</v>
      </c>
      <c r="C1278" s="56" t="n">
        <v>6</v>
      </c>
      <c r="D1278" s="56" t="n">
        <v>53</v>
      </c>
      <c r="E1278" s="56" t="n">
        <v>19.6</v>
      </c>
      <c r="F1278" s="56" t="n">
        <v>0</v>
      </c>
      <c r="G1278" s="56" t="n">
        <v>10.5</v>
      </c>
      <c r="H1278" s="56" t="n">
        <v>0</v>
      </c>
      <c r="I1278" s="56" t="n">
        <v>13.2</v>
      </c>
      <c r="J1278" s="56" t="n">
        <v>0</v>
      </c>
      <c r="K1278" s="56" t="n">
        <v>1019.6</v>
      </c>
      <c r="L1278" s="56" t="n">
        <v>0</v>
      </c>
      <c r="M1278" s="56" t="n">
        <v>89</v>
      </c>
      <c r="N1278" s="56" t="n">
        <v>2.9</v>
      </c>
      <c r="O1278" s="56" t="n">
        <f aca="false">IF(D1278=1,"",E1277)</f>
        <v>15.9</v>
      </c>
      <c r="P1278" s="56" t="n">
        <f aca="false">IF(OR(D1278=1,K1277=""),"",K1277)</f>
        <v>1017.2</v>
      </c>
      <c r="Q1278" s="56" t="n">
        <f aca="false">IF(OR(F1278&lt;&gt;0,AND(I1278&lt;&gt;"",E1278&lt;I1278)),1,0)</f>
        <v>0</v>
      </c>
      <c r="R1278" s="56" t="n">
        <f aca="false">IF(AND(D1278&gt;1,Q1278=0,ISNUMBER(O1278),ISNUMBER(P1278)),IF(Q1277=0,1,0),0)</f>
        <v>1</v>
      </c>
      <c r="S1278" s="56" t="n">
        <f aca="false">R1278*(B1278&gt;=Train_Start)*(B1278&lt;=Train_End)</f>
        <v>1</v>
      </c>
      <c r="T1278" s="84" t="n">
        <f aca="false">IF(AND(ISNUMBER(O1278),ISNUMBER(P1278)),Coef_A+Coef_B1*O1278+Coef_B2*P1278,"")</f>
        <v>17.023925413068</v>
      </c>
      <c r="U1278" s="84" t="n">
        <f aca="false">IF(AND(R1278=1,ISNUMBER(T1278)),E1278-T1278,"")</f>
        <v>2.57607458693204</v>
      </c>
      <c r="V1278" s="84" t="n">
        <f aca="false">IF(ISNUMBER(T1278),T1278,-99)</f>
        <v>17.023925413068</v>
      </c>
      <c r="W1278" s="84" t="n">
        <f aca="false">IF(ISNUMBER(U1278),ABS(U1278),"")</f>
        <v>2.57607458693204</v>
      </c>
    </row>
    <row r="1279" customFormat="false" ht="15" hidden="false" customHeight="false" outlineLevel="0" collapsed="false">
      <c r="A1279" s="57" t="n">
        <v>31951</v>
      </c>
      <c r="B1279" s="56" t="n">
        <v>1987</v>
      </c>
      <c r="C1279" s="56" t="n">
        <v>6</v>
      </c>
      <c r="D1279" s="56" t="n">
        <v>54</v>
      </c>
      <c r="E1279" s="56" t="n">
        <v>19.1</v>
      </c>
      <c r="F1279" s="56" t="n">
        <v>0</v>
      </c>
      <c r="G1279" s="56" t="n">
        <v>12</v>
      </c>
      <c r="H1279" s="56" t="n">
        <v>0</v>
      </c>
      <c r="I1279" s="56" t="n">
        <v>15.8</v>
      </c>
      <c r="J1279" s="56" t="n">
        <v>0</v>
      </c>
      <c r="K1279" s="56" t="n">
        <v>1020.7</v>
      </c>
      <c r="L1279" s="56" t="n">
        <v>0</v>
      </c>
      <c r="M1279" s="56" t="n">
        <v>85</v>
      </c>
      <c r="N1279" s="56" t="n">
        <v>0.1</v>
      </c>
      <c r="O1279" s="56" t="n">
        <f aca="false">IF(D1279=1,"",E1278)</f>
        <v>19.6</v>
      </c>
      <c r="P1279" s="56" t="n">
        <f aca="false">IF(OR(D1279=1,K1278=""),"",K1278)</f>
        <v>1019.6</v>
      </c>
      <c r="Q1279" s="56" t="n">
        <f aca="false">IF(OR(F1279&lt;&gt;0,AND(I1279&lt;&gt;"",E1279&lt;I1279)),1,0)</f>
        <v>0</v>
      </c>
      <c r="R1279" s="56" t="n">
        <f aca="false">IF(AND(D1279&gt;1,Q1279=0,ISNUMBER(O1279),ISNUMBER(P1279)),IF(Q1278=0,1,0),0)</f>
        <v>1</v>
      </c>
      <c r="S1279" s="56" t="n">
        <f aca="false">R1279*(B1279&gt;=Train_Start)*(B1279&lt;=Train_End)</f>
        <v>1</v>
      </c>
      <c r="T1279" s="84" t="n">
        <f aca="false">IF(AND(ISNUMBER(O1279),ISNUMBER(P1279)),Coef_A+Coef_B1*O1279+Coef_B2*P1279,"")</f>
        <v>20.1307681744474</v>
      </c>
      <c r="U1279" s="84" t="n">
        <f aca="false">IF(AND(R1279=1,ISNUMBER(T1279)),E1279-T1279,"")</f>
        <v>-1.03076817444737</v>
      </c>
      <c r="V1279" s="84" t="n">
        <f aca="false">IF(ISNUMBER(T1279),T1279,-99)</f>
        <v>20.1307681744474</v>
      </c>
      <c r="W1279" s="84" t="n">
        <f aca="false">IF(ISNUMBER(U1279),ABS(U1279),"")</f>
        <v>1.03076817444737</v>
      </c>
    </row>
    <row r="1280" customFormat="false" ht="15" hidden="false" customHeight="false" outlineLevel="0" collapsed="false">
      <c r="A1280" s="57" t="n">
        <v>31952</v>
      </c>
      <c r="B1280" s="56" t="n">
        <v>1987</v>
      </c>
      <c r="C1280" s="56" t="n">
        <v>6</v>
      </c>
      <c r="D1280" s="56" t="n">
        <v>55</v>
      </c>
      <c r="E1280" s="56" t="n">
        <v>17.6</v>
      </c>
      <c r="F1280" s="56" t="n">
        <v>0</v>
      </c>
      <c r="G1280" s="56" t="n">
        <v>11.9</v>
      </c>
      <c r="H1280" s="56" t="n">
        <v>0</v>
      </c>
      <c r="I1280" s="56" t="n">
        <v>15.5</v>
      </c>
      <c r="J1280" s="56" t="n">
        <v>0</v>
      </c>
      <c r="K1280" s="56" t="n">
        <v>1019.6</v>
      </c>
      <c r="L1280" s="56" t="n">
        <v>0</v>
      </c>
      <c r="M1280" s="56" t="n">
        <v>74</v>
      </c>
      <c r="N1280" s="56" t="n">
        <v>8</v>
      </c>
      <c r="O1280" s="56" t="n">
        <f aca="false">IF(D1280=1,"",E1279)</f>
        <v>19.1</v>
      </c>
      <c r="P1280" s="56" t="n">
        <f aca="false">IF(OR(D1280=1,K1279=""),"",K1279)</f>
        <v>1020.7</v>
      </c>
      <c r="Q1280" s="56" t="n">
        <f aca="false">IF(OR(F1280&lt;&gt;0,AND(I1280&lt;&gt;"",E1280&lt;I1280)),1,0)</f>
        <v>0</v>
      </c>
      <c r="R1280" s="56" t="n">
        <f aca="false">IF(AND(D1280&gt;1,Q1280=0,ISNUMBER(O1280),ISNUMBER(P1280)),IF(Q1279=0,1,0),0)</f>
        <v>1</v>
      </c>
      <c r="S1280" s="56" t="n">
        <f aca="false">R1280*(B1280&gt;=Train_Start)*(B1280&lt;=Train_End)</f>
        <v>1</v>
      </c>
      <c r="T1280" s="84" t="n">
        <f aca="false">IF(AND(ISNUMBER(O1280),ISNUMBER(P1280)),Coef_A+Coef_B1*O1280+Coef_B2*P1280,"")</f>
        <v>19.7556054620234</v>
      </c>
      <c r="U1280" s="84" t="n">
        <f aca="false">IF(AND(R1280=1,ISNUMBER(T1280)),E1280-T1280,"")</f>
        <v>-2.15560546202343</v>
      </c>
      <c r="V1280" s="84" t="n">
        <f aca="false">IF(ISNUMBER(T1280),T1280,-99)</f>
        <v>19.7556054620234</v>
      </c>
      <c r="W1280" s="84" t="n">
        <f aca="false">IF(ISNUMBER(U1280),ABS(U1280),"")</f>
        <v>2.15560546202343</v>
      </c>
    </row>
    <row r="1281" customFormat="false" ht="15" hidden="false" customHeight="false" outlineLevel="0" collapsed="false">
      <c r="A1281" s="57" t="n">
        <v>31953</v>
      </c>
      <c r="B1281" s="56" t="n">
        <v>1987</v>
      </c>
      <c r="C1281" s="56" t="n">
        <v>6</v>
      </c>
      <c r="D1281" s="56" t="n">
        <v>56</v>
      </c>
      <c r="E1281" s="56" t="n">
        <v>21.3</v>
      </c>
      <c r="F1281" s="56" t="n">
        <v>0</v>
      </c>
      <c r="G1281" s="56" t="n">
        <v>11.2</v>
      </c>
      <c r="H1281" s="56" t="n">
        <v>0</v>
      </c>
      <c r="I1281" s="56" t="n">
        <v>14.4</v>
      </c>
      <c r="J1281" s="56" t="n">
        <v>0</v>
      </c>
      <c r="K1281" s="56" t="n">
        <v>1015.8</v>
      </c>
      <c r="L1281" s="56" t="n">
        <v>0</v>
      </c>
      <c r="M1281" s="56" t="n">
        <v>89</v>
      </c>
      <c r="N1281" s="56" t="n">
        <v>0.2</v>
      </c>
      <c r="O1281" s="56" t="n">
        <f aca="false">IF(D1281=1,"",E1280)</f>
        <v>17.6</v>
      </c>
      <c r="P1281" s="56" t="n">
        <f aca="false">IF(OR(D1281=1,K1280=""),"",K1280)</f>
        <v>1019.6</v>
      </c>
      <c r="Q1281" s="56" t="n">
        <f aca="false">IF(OR(F1281&lt;&gt;0,AND(I1281&lt;&gt;"",E1281&lt;I1281)),1,0)</f>
        <v>0</v>
      </c>
      <c r="R1281" s="56" t="n">
        <f aca="false">IF(AND(D1281&gt;1,Q1281=0,ISNUMBER(O1281),ISNUMBER(P1281)),IF(Q1280=0,1,0),0)</f>
        <v>1</v>
      </c>
      <c r="S1281" s="56" t="n">
        <f aca="false">R1281*(B1281&gt;=Train_Start)*(B1281&lt;=Train_End)</f>
        <v>1</v>
      </c>
      <c r="T1281" s="84" t="n">
        <f aca="false">IF(AND(ISNUMBER(O1281),ISNUMBER(P1281)),Coef_A+Coef_B1*O1281+Coef_B2*P1281,"")</f>
        <v>18.4920897883621</v>
      </c>
      <c r="U1281" s="84" t="n">
        <f aca="false">IF(AND(R1281=1,ISNUMBER(T1281)),E1281-T1281,"")</f>
        <v>2.80791021163794</v>
      </c>
      <c r="V1281" s="84" t="n">
        <f aca="false">IF(ISNUMBER(T1281),T1281,-99)</f>
        <v>18.4920897883621</v>
      </c>
      <c r="W1281" s="84" t="n">
        <f aca="false">IF(ISNUMBER(U1281),ABS(U1281),"")</f>
        <v>2.80791021163794</v>
      </c>
    </row>
    <row r="1282" customFormat="false" ht="15" hidden="false" customHeight="false" outlineLevel="0" collapsed="false">
      <c r="A1282" s="57" t="n">
        <v>31954</v>
      </c>
      <c r="B1282" s="56" t="n">
        <v>1987</v>
      </c>
      <c r="C1282" s="56" t="n">
        <v>6</v>
      </c>
      <c r="D1282" s="56" t="n">
        <v>57</v>
      </c>
      <c r="E1282" s="56" t="n">
        <v>22.1</v>
      </c>
      <c r="F1282" s="56" t="n">
        <v>0</v>
      </c>
      <c r="G1282" s="56" t="n">
        <v>12.1</v>
      </c>
      <c r="H1282" s="56" t="n">
        <v>0</v>
      </c>
      <c r="I1282" s="56" t="n">
        <v>16.7</v>
      </c>
      <c r="J1282" s="56" t="n">
        <v>0</v>
      </c>
      <c r="K1282" s="56" t="n">
        <v>1013.2</v>
      </c>
      <c r="L1282" s="56" t="n">
        <v>0</v>
      </c>
      <c r="M1282" s="56" t="n">
        <v>79</v>
      </c>
      <c r="N1282" s="56" t="n">
        <v>3.6</v>
      </c>
      <c r="O1282" s="56" t="n">
        <f aca="false">IF(D1282=1,"",E1281)</f>
        <v>21.3</v>
      </c>
      <c r="P1282" s="56" t="n">
        <f aca="false">IF(OR(D1282=1,K1281=""),"",K1281)</f>
        <v>1015.8</v>
      </c>
      <c r="Q1282" s="56" t="n">
        <f aca="false">IF(OR(F1282&lt;&gt;0,AND(I1282&lt;&gt;"",E1282&lt;I1282)),1,0)</f>
        <v>0</v>
      </c>
      <c r="R1282" s="56" t="n">
        <f aca="false">IF(AND(D1282&gt;1,Q1282=0,ISNUMBER(O1282),ISNUMBER(P1282)),IF(Q1281=0,1,0),0)</f>
        <v>1</v>
      </c>
      <c r="S1282" s="56" t="n">
        <f aca="false">R1282*(B1282&gt;=Train_Start)*(B1282&lt;=Train_End)</f>
        <v>1</v>
      </c>
      <c r="T1282" s="84" t="n">
        <f aca="false">IF(AND(ISNUMBER(O1282),ISNUMBER(P1282)),Coef_A+Coef_B1*O1282+Coef_B2*P1282,"")</f>
        <v>21.4044392030107</v>
      </c>
      <c r="U1282" s="84" t="n">
        <f aca="false">IF(AND(R1282=1,ISNUMBER(T1282)),E1282-T1282,"")</f>
        <v>0.695560796989273</v>
      </c>
      <c r="V1282" s="84" t="n">
        <f aca="false">IF(ISNUMBER(T1282),T1282,-99)</f>
        <v>21.4044392030107</v>
      </c>
      <c r="W1282" s="84" t="n">
        <f aca="false">IF(ISNUMBER(U1282),ABS(U1282),"")</f>
        <v>0.695560796989273</v>
      </c>
    </row>
    <row r="1283" customFormat="false" ht="15" hidden="false" customHeight="false" outlineLevel="0" collapsed="false">
      <c r="A1283" s="57" t="n">
        <v>31955</v>
      </c>
      <c r="B1283" s="56" t="n">
        <v>1987</v>
      </c>
      <c r="C1283" s="56" t="n">
        <v>6</v>
      </c>
      <c r="D1283" s="56" t="n">
        <v>58</v>
      </c>
      <c r="E1283" s="56" t="n">
        <v>25.1</v>
      </c>
      <c r="F1283" s="56" t="n">
        <v>0</v>
      </c>
      <c r="G1283" s="56" t="n">
        <v>13.7</v>
      </c>
      <c r="H1283" s="56" t="n">
        <v>0</v>
      </c>
      <c r="I1283" s="56" t="n">
        <v>17.9</v>
      </c>
      <c r="J1283" s="56" t="n">
        <v>0</v>
      </c>
      <c r="K1283" s="56" t="n">
        <v>1015.2</v>
      </c>
      <c r="L1283" s="56" t="n">
        <v>0</v>
      </c>
      <c r="M1283" s="56" t="n">
        <v>86</v>
      </c>
      <c r="N1283" s="56" t="n">
        <v>0.1</v>
      </c>
      <c r="O1283" s="56" t="n">
        <f aca="false">IF(D1283=1,"",E1282)</f>
        <v>22.1</v>
      </c>
      <c r="P1283" s="56" t="n">
        <f aca="false">IF(OR(D1283=1,K1282=""),"",K1282)</f>
        <v>1013.2</v>
      </c>
      <c r="Q1283" s="56" t="n">
        <f aca="false">IF(OR(F1283&lt;&gt;0,AND(I1283&lt;&gt;"",E1283&lt;I1283)),1,0)</f>
        <v>0</v>
      </c>
      <c r="R1283" s="56" t="n">
        <f aca="false">IF(AND(D1283&gt;1,Q1283=0,ISNUMBER(O1283),ISNUMBER(P1283)),IF(Q1282=0,1,0),0)</f>
        <v>1</v>
      </c>
      <c r="S1283" s="56" t="n">
        <f aca="false">R1283*(B1283&gt;=Train_Start)*(B1283&lt;=Train_End)</f>
        <v>1</v>
      </c>
      <c r="T1283" s="84" t="n">
        <f aca="false">IF(AND(ISNUMBER(O1283),ISNUMBER(P1283)),Coef_A+Coef_B1*O1283+Coef_B2*P1283,"")</f>
        <v>21.9783488313965</v>
      </c>
      <c r="U1283" s="84" t="n">
        <f aca="false">IF(AND(R1283=1,ISNUMBER(T1283)),E1283-T1283,"")</f>
        <v>3.12165116860352</v>
      </c>
      <c r="V1283" s="84" t="n">
        <f aca="false">IF(ISNUMBER(T1283),T1283,-99)</f>
        <v>21.9783488313965</v>
      </c>
      <c r="W1283" s="84" t="n">
        <f aca="false">IF(ISNUMBER(U1283),ABS(U1283),"")</f>
        <v>3.12165116860352</v>
      </c>
    </row>
    <row r="1284" customFormat="false" ht="15" hidden="false" customHeight="false" outlineLevel="0" collapsed="false">
      <c r="A1284" s="57" t="n">
        <v>31956</v>
      </c>
      <c r="B1284" s="56" t="n">
        <v>1987</v>
      </c>
      <c r="C1284" s="56" t="n">
        <v>6</v>
      </c>
      <c r="D1284" s="56" t="n">
        <v>59</v>
      </c>
      <c r="E1284" s="56" t="n">
        <v>28.5</v>
      </c>
      <c r="F1284" s="56" t="n">
        <v>0</v>
      </c>
      <c r="G1284" s="56" t="n">
        <v>16.9</v>
      </c>
      <c r="H1284" s="56" t="n">
        <v>0</v>
      </c>
      <c r="I1284" s="56" t="n">
        <v>21</v>
      </c>
      <c r="J1284" s="56" t="n">
        <v>0</v>
      </c>
      <c r="K1284" s="56" t="n">
        <v>1021.2</v>
      </c>
      <c r="L1284" s="56" t="n">
        <v>0</v>
      </c>
      <c r="M1284" s="56" t="n">
        <v>82</v>
      </c>
      <c r="N1284" s="56" t="n">
        <v>2.5</v>
      </c>
      <c r="O1284" s="56" t="n">
        <f aca="false">IF(D1284=1,"",E1283)</f>
        <v>25.1</v>
      </c>
      <c r="P1284" s="56" t="n">
        <f aca="false">IF(OR(D1284=1,K1283=""),"",K1283)</f>
        <v>1015.2</v>
      </c>
      <c r="Q1284" s="56" t="n">
        <f aca="false">IF(OR(F1284&lt;&gt;0,AND(I1284&lt;&gt;"",E1284&lt;I1284)),1,0)</f>
        <v>0</v>
      </c>
      <c r="R1284" s="56" t="n">
        <f aca="false">IF(AND(D1284&gt;1,Q1284=0,ISNUMBER(O1284),ISNUMBER(P1284)),IF(Q1283=0,1,0),0)</f>
        <v>1</v>
      </c>
      <c r="S1284" s="56" t="n">
        <f aca="false">R1284*(B1284&gt;=Train_Start)*(B1284&lt;=Train_End)</f>
        <v>1</v>
      </c>
      <c r="T1284" s="84" t="n">
        <f aca="false">IF(AND(ISNUMBER(O1284),ISNUMBER(P1284)),Coef_A+Coef_B1*O1284+Coef_B2*P1284,"")</f>
        <v>24.4991061997924</v>
      </c>
      <c r="U1284" s="84" t="n">
        <f aca="false">IF(AND(R1284=1,ISNUMBER(T1284)),E1284-T1284,"")</f>
        <v>4.00089380020756</v>
      </c>
      <c r="V1284" s="84" t="n">
        <f aca="false">IF(ISNUMBER(T1284),T1284,-99)</f>
        <v>24.4991061997924</v>
      </c>
      <c r="W1284" s="84" t="n">
        <f aca="false">IF(ISNUMBER(U1284),ABS(U1284),"")</f>
        <v>4.00089380020756</v>
      </c>
    </row>
    <row r="1285" customFormat="false" ht="15" hidden="false" customHeight="false" outlineLevel="0" collapsed="false">
      <c r="A1285" s="57" t="n">
        <v>31957</v>
      </c>
      <c r="B1285" s="56" t="n">
        <v>1987</v>
      </c>
      <c r="C1285" s="56" t="n">
        <v>6</v>
      </c>
      <c r="D1285" s="56" t="n">
        <v>60</v>
      </c>
      <c r="E1285" s="56" t="n">
        <v>24.4</v>
      </c>
      <c r="F1285" s="56" t="n">
        <v>0</v>
      </c>
      <c r="G1285" s="56" t="n">
        <v>17.8</v>
      </c>
      <c r="H1285" s="56" t="n">
        <v>0</v>
      </c>
      <c r="I1285" s="56" t="n">
        <v>23.2</v>
      </c>
      <c r="J1285" s="56" t="n">
        <v>0</v>
      </c>
      <c r="K1285" s="56" t="n">
        <v>1021.4</v>
      </c>
      <c r="L1285" s="56" t="n">
        <v>0</v>
      </c>
      <c r="M1285" s="56" t="n">
        <v>78</v>
      </c>
      <c r="N1285" s="56" t="n">
        <v>9.4</v>
      </c>
      <c r="O1285" s="56" t="n">
        <f aca="false">IF(D1285=1,"",E1284)</f>
        <v>28.5</v>
      </c>
      <c r="P1285" s="56" t="n">
        <f aca="false">IF(OR(D1285=1,K1284=""),"",K1284)</f>
        <v>1021.2</v>
      </c>
      <c r="Q1285" s="56" t="n">
        <f aca="false">IF(OR(F1285&lt;&gt;0,AND(I1285&lt;&gt;"",E1285&lt;I1285)),1,0)</f>
        <v>0</v>
      </c>
      <c r="R1285" s="56" t="n">
        <f aca="false">IF(AND(D1285&gt;1,Q1285=0,ISNUMBER(O1285),ISNUMBER(P1285)),IF(Q1284=0,1,0),0)</f>
        <v>1</v>
      </c>
      <c r="S1285" s="56" t="n">
        <f aca="false">R1285*(B1285&gt;=Train_Start)*(B1285&lt;=Train_End)</f>
        <v>1</v>
      </c>
      <c r="T1285" s="84" t="n">
        <f aca="false">IF(AND(ISNUMBER(O1285),ISNUMBER(P1285)),Coef_A+Coef_B1*O1285+Coef_B2*P1285,"")</f>
        <v>27.4730788239414</v>
      </c>
      <c r="U1285" s="84" t="n">
        <f aca="false">IF(AND(R1285=1,ISNUMBER(T1285)),E1285-T1285,"")</f>
        <v>-3.07307882394141</v>
      </c>
      <c r="V1285" s="84" t="n">
        <f aca="false">IF(ISNUMBER(T1285),T1285,-99)</f>
        <v>27.4730788239414</v>
      </c>
      <c r="W1285" s="84" t="n">
        <f aca="false">IF(ISNUMBER(U1285),ABS(U1285),"")</f>
        <v>3.07307882394141</v>
      </c>
    </row>
    <row r="1286" customFormat="false" ht="15" hidden="false" customHeight="false" outlineLevel="0" collapsed="false">
      <c r="A1286" s="57" t="n">
        <v>31958</v>
      </c>
      <c r="B1286" s="56" t="n">
        <v>1987</v>
      </c>
      <c r="C1286" s="56" t="n">
        <v>6</v>
      </c>
      <c r="D1286" s="56" t="n">
        <v>61</v>
      </c>
      <c r="E1286" s="56" t="n">
        <v>21</v>
      </c>
      <c r="F1286" s="56" t="n">
        <v>0</v>
      </c>
      <c r="G1286" s="56" t="n">
        <v>17.4</v>
      </c>
      <c r="H1286" s="56" t="n">
        <v>0</v>
      </c>
      <c r="I1286" s="56" t="n">
        <v>20.9</v>
      </c>
      <c r="J1286" s="56" t="n">
        <v>0</v>
      </c>
      <c r="K1286" s="56" t="n">
        <v>1021.1</v>
      </c>
      <c r="L1286" s="56" t="n">
        <v>0</v>
      </c>
      <c r="M1286" s="56" t="n">
        <v>61</v>
      </c>
      <c r="N1286" s="56" t="n">
        <v>10.3</v>
      </c>
      <c r="O1286" s="56" t="n">
        <f aca="false">IF(D1286=1,"",E1285)</f>
        <v>24.4</v>
      </c>
      <c r="P1286" s="56" t="n">
        <f aca="false">IF(OR(D1286=1,K1285=""),"",K1285)</f>
        <v>1021.4</v>
      </c>
      <c r="Q1286" s="56" t="n">
        <f aca="false">IF(OR(F1286&lt;&gt;0,AND(I1286&lt;&gt;"",E1286&lt;I1286)),1,0)</f>
        <v>0</v>
      </c>
      <c r="R1286" s="56" t="n">
        <f aca="false">IF(AND(D1286&gt;1,Q1286=0,ISNUMBER(O1286),ISNUMBER(P1286)),IF(Q1285=0,1,0),0)</f>
        <v>1</v>
      </c>
      <c r="S1286" s="56" t="n">
        <f aca="false">R1286*(B1286&gt;=Train_Start)*(B1286&lt;=Train_End)</f>
        <v>1</v>
      </c>
      <c r="T1286" s="84" t="n">
        <f aca="false">IF(AND(ISNUMBER(O1286),ISNUMBER(P1286)),Coef_A+Coef_B1*O1286+Coef_B2*P1286,"")</f>
        <v>24.1200621113933</v>
      </c>
      <c r="U1286" s="84" t="n">
        <f aca="false">IF(AND(R1286=1,ISNUMBER(T1286)),E1286-T1286,"")</f>
        <v>-3.12006211139331</v>
      </c>
      <c r="V1286" s="84" t="n">
        <f aca="false">IF(ISNUMBER(T1286),T1286,-99)</f>
        <v>24.1200621113933</v>
      </c>
      <c r="W1286" s="84" t="n">
        <f aca="false">IF(ISNUMBER(U1286),ABS(U1286),"")</f>
        <v>3.12006211139331</v>
      </c>
    </row>
    <row r="1287" customFormat="false" ht="15" hidden="false" customHeight="false" outlineLevel="0" collapsed="false">
      <c r="A1287" s="57" t="n">
        <v>31959</v>
      </c>
      <c r="B1287" s="56" t="n">
        <v>1987</v>
      </c>
      <c r="C1287" s="56" t="n">
        <v>7</v>
      </c>
      <c r="D1287" s="56" t="n">
        <v>62</v>
      </c>
      <c r="E1287" s="56" t="n">
        <v>22</v>
      </c>
      <c r="F1287" s="56" t="n">
        <v>0</v>
      </c>
      <c r="G1287" s="56" t="n">
        <v>11.2</v>
      </c>
      <c r="H1287" s="56" t="n">
        <v>0</v>
      </c>
      <c r="I1287" s="56" t="n">
        <v>16.1</v>
      </c>
      <c r="J1287" s="56" t="n">
        <v>0</v>
      </c>
      <c r="K1287" s="56" t="n">
        <v>1022.8</v>
      </c>
      <c r="L1287" s="56" t="n">
        <v>0</v>
      </c>
      <c r="M1287" s="56" t="n">
        <v>60</v>
      </c>
      <c r="N1287" s="56" t="n">
        <v>10.6</v>
      </c>
      <c r="O1287" s="56" t="n">
        <f aca="false">IF(D1287=1,"",E1286)</f>
        <v>21</v>
      </c>
      <c r="P1287" s="56" t="n">
        <f aca="false">IF(OR(D1287=1,K1286=""),"",K1286)</f>
        <v>1021.1</v>
      </c>
      <c r="Q1287" s="56" t="n">
        <f aca="false">IF(OR(F1287&lt;&gt;0,AND(I1287&lt;&gt;"",E1287&lt;I1287)),1,0)</f>
        <v>0</v>
      </c>
      <c r="R1287" s="56" t="n">
        <f aca="false">IF(AND(D1287&gt;1,Q1287=0,ISNUMBER(O1287),ISNUMBER(P1287)),IF(Q1286=0,1,0),0)</f>
        <v>1</v>
      </c>
      <c r="S1287" s="56" t="n">
        <f aca="false">R1287*(B1287&gt;=Train_Start)*(B1287&lt;=Train_End)</f>
        <v>1</v>
      </c>
      <c r="T1287" s="84" t="n">
        <f aca="false">IF(AND(ISNUMBER(O1287),ISNUMBER(P1287)),Coef_A+Coef_B1*O1287+Coef_B2*P1287,"")</f>
        <v>21.3248978866581</v>
      </c>
      <c r="U1287" s="84" t="n">
        <f aca="false">IF(AND(R1287=1,ISNUMBER(T1287)),E1287-T1287,"")</f>
        <v>0.675102113341925</v>
      </c>
      <c r="V1287" s="84" t="n">
        <f aca="false">IF(ISNUMBER(T1287),T1287,-99)</f>
        <v>21.3248978866581</v>
      </c>
      <c r="W1287" s="84" t="n">
        <f aca="false">IF(ISNUMBER(U1287),ABS(U1287),"")</f>
        <v>0.675102113341925</v>
      </c>
    </row>
    <row r="1288" customFormat="false" ht="15" hidden="false" customHeight="false" outlineLevel="0" collapsed="false">
      <c r="A1288" s="57" t="n">
        <v>31960</v>
      </c>
      <c r="B1288" s="56" t="n">
        <v>1987</v>
      </c>
      <c r="C1288" s="56" t="n">
        <v>7</v>
      </c>
      <c r="D1288" s="56" t="n">
        <v>63</v>
      </c>
      <c r="E1288" s="56" t="n">
        <v>23.4</v>
      </c>
      <c r="F1288" s="56" t="n">
        <v>0</v>
      </c>
      <c r="G1288" s="56" t="n">
        <v>11.2</v>
      </c>
      <c r="H1288" s="56" t="n">
        <v>0</v>
      </c>
      <c r="I1288" s="56" t="n">
        <v>16.6</v>
      </c>
      <c r="J1288" s="56" t="n">
        <v>0</v>
      </c>
      <c r="K1288" s="56" t="n">
        <v>1025.5</v>
      </c>
      <c r="L1288" s="56" t="n">
        <v>0</v>
      </c>
      <c r="M1288" s="56" t="n">
        <v>58</v>
      </c>
      <c r="N1288" s="56" t="n">
        <v>9.5</v>
      </c>
      <c r="O1288" s="56" t="n">
        <f aca="false">IF(D1288=1,"",E1287)</f>
        <v>22</v>
      </c>
      <c r="P1288" s="56" t="n">
        <f aca="false">IF(OR(D1288=1,K1287=""),"",K1287)</f>
        <v>1022.8</v>
      </c>
      <c r="Q1288" s="56" t="n">
        <f aca="false">IF(OR(F1288&lt;&gt;0,AND(I1288&lt;&gt;"",E1288&lt;I1288)),1,0)</f>
        <v>0</v>
      </c>
      <c r="R1288" s="56" t="n">
        <f aca="false">IF(AND(D1288&gt;1,Q1288=0,ISNUMBER(O1288),ISNUMBER(P1288)),IF(Q1287=0,1,0),0)</f>
        <v>1</v>
      </c>
      <c r="S1288" s="56" t="n">
        <f aca="false">R1288*(B1288&gt;=Train_Start)*(B1288&lt;=Train_End)</f>
        <v>1</v>
      </c>
      <c r="T1288" s="84" t="n">
        <f aca="false">IF(AND(ISNUMBER(O1288),ISNUMBER(P1288)),Coef_A+Coef_B1*O1288+Coef_B2*P1288,"")</f>
        <v>22.1975659005785</v>
      </c>
      <c r="U1288" s="84" t="n">
        <f aca="false">IF(AND(R1288=1,ISNUMBER(T1288)),E1288-T1288,"")</f>
        <v>1.20243409942148</v>
      </c>
      <c r="V1288" s="84" t="n">
        <f aca="false">IF(ISNUMBER(T1288),T1288,-99)</f>
        <v>22.1975659005785</v>
      </c>
      <c r="W1288" s="84" t="n">
        <f aca="false">IF(ISNUMBER(U1288),ABS(U1288),"")</f>
        <v>1.20243409942148</v>
      </c>
    </row>
    <row r="1289" customFormat="false" ht="15" hidden="false" customHeight="false" outlineLevel="0" collapsed="false">
      <c r="A1289" s="57" t="n">
        <v>31961</v>
      </c>
      <c r="B1289" s="56" t="n">
        <v>1987</v>
      </c>
      <c r="C1289" s="56" t="n">
        <v>7</v>
      </c>
      <c r="D1289" s="56" t="n">
        <v>64</v>
      </c>
      <c r="E1289" s="56" t="n">
        <v>26</v>
      </c>
      <c r="F1289" s="56" t="n">
        <v>0</v>
      </c>
      <c r="G1289" s="56" t="n">
        <v>12.6</v>
      </c>
      <c r="H1289" s="56" t="n">
        <v>0</v>
      </c>
      <c r="I1289" s="56" t="n">
        <v>18</v>
      </c>
      <c r="J1289" s="56" t="n">
        <v>0</v>
      </c>
      <c r="K1289" s="56" t="n">
        <v>1026.6</v>
      </c>
      <c r="L1289" s="56" t="n">
        <v>0</v>
      </c>
      <c r="M1289" s="56" t="n">
        <v>62</v>
      </c>
      <c r="N1289" s="56" t="n">
        <v>13.3</v>
      </c>
      <c r="O1289" s="56" t="n">
        <f aca="false">IF(D1289=1,"",E1288)</f>
        <v>23.4</v>
      </c>
      <c r="P1289" s="56" t="n">
        <f aca="false">IF(OR(D1289=1,K1288=""),"",K1288)</f>
        <v>1025.5</v>
      </c>
      <c r="Q1289" s="56" t="n">
        <f aca="false">IF(OR(F1289&lt;&gt;0,AND(I1289&lt;&gt;"",E1289&lt;I1289)),1,0)</f>
        <v>0</v>
      </c>
      <c r="R1289" s="56" t="n">
        <f aca="false">IF(AND(D1289&gt;1,Q1289=0,ISNUMBER(O1289),ISNUMBER(P1289)),IF(Q1288=0,1,0),0)</f>
        <v>1</v>
      </c>
      <c r="S1289" s="56" t="n">
        <f aca="false">R1289*(B1289&gt;=Train_Start)*(B1289&lt;=Train_End)</f>
        <v>1</v>
      </c>
      <c r="T1289" s="84" t="n">
        <f aca="false">IF(AND(ISNUMBER(O1289),ISNUMBER(P1289)),Coef_A+Coef_B1*O1289+Coef_B2*P1289,"")</f>
        <v>23.42933948635</v>
      </c>
      <c r="U1289" s="84" t="n">
        <f aca="false">IF(AND(R1289=1,ISNUMBER(T1289)),E1289-T1289,"")</f>
        <v>2.57066051365</v>
      </c>
      <c r="V1289" s="84" t="n">
        <f aca="false">IF(ISNUMBER(T1289),T1289,-99)</f>
        <v>23.42933948635</v>
      </c>
      <c r="W1289" s="84" t="n">
        <f aca="false">IF(ISNUMBER(U1289),ABS(U1289),"")</f>
        <v>2.57066051365</v>
      </c>
    </row>
    <row r="1290" customFormat="false" ht="15" hidden="false" customHeight="false" outlineLevel="0" collapsed="false">
      <c r="A1290" s="57" t="n">
        <v>31962</v>
      </c>
      <c r="B1290" s="56" t="n">
        <v>1987</v>
      </c>
      <c r="C1290" s="56" t="n">
        <v>7</v>
      </c>
      <c r="D1290" s="56" t="n">
        <v>65</v>
      </c>
      <c r="E1290" s="56" t="n">
        <v>27.8</v>
      </c>
      <c r="F1290" s="56" t="n">
        <v>0</v>
      </c>
      <c r="G1290" s="56" t="n">
        <v>12.1</v>
      </c>
      <c r="H1290" s="56" t="n">
        <v>0</v>
      </c>
      <c r="I1290" s="56" t="n">
        <v>19</v>
      </c>
      <c r="J1290" s="56" t="n">
        <v>0</v>
      </c>
      <c r="K1290" s="56" t="n">
        <v>1026.3</v>
      </c>
      <c r="L1290" s="56" t="n">
        <v>0</v>
      </c>
      <c r="M1290" s="56" t="n">
        <v>55</v>
      </c>
      <c r="N1290" s="56" t="n">
        <v>14.6</v>
      </c>
      <c r="O1290" s="56" t="n">
        <f aca="false">IF(D1290=1,"",E1289)</f>
        <v>26</v>
      </c>
      <c r="P1290" s="56" t="n">
        <f aca="false">IF(OR(D1290=1,K1289=""),"",K1289)</f>
        <v>1026.6</v>
      </c>
      <c r="Q1290" s="56" t="n">
        <f aca="false">IF(OR(F1290&lt;&gt;0,AND(I1290&lt;&gt;"",E1290&lt;I1290)),1,0)</f>
        <v>0</v>
      </c>
      <c r="R1290" s="56" t="n">
        <f aca="false">IF(AND(D1290&gt;1,Q1290=0,ISNUMBER(O1290),ISNUMBER(P1290)),IF(Q1289=0,1,0),0)</f>
        <v>1</v>
      </c>
      <c r="S1290" s="56" t="n">
        <f aca="false">R1290*(B1290&gt;=Train_Start)*(B1290&lt;=Train_End)</f>
        <v>1</v>
      </c>
      <c r="T1290" s="84" t="n">
        <f aca="false">IF(AND(ISNUMBER(O1290),ISNUMBER(P1290)),Coef_A+Coef_B1*O1290+Coef_B2*P1290,"")</f>
        <v>25.5941282723583</v>
      </c>
      <c r="U1290" s="84" t="n">
        <f aca="false">IF(AND(R1290=1,ISNUMBER(T1290)),E1290-T1290,"")</f>
        <v>2.2058717276417</v>
      </c>
      <c r="V1290" s="84" t="n">
        <f aca="false">IF(ISNUMBER(T1290),T1290,-99)</f>
        <v>25.5941282723583</v>
      </c>
      <c r="W1290" s="84" t="n">
        <f aca="false">IF(ISNUMBER(U1290),ABS(U1290),"")</f>
        <v>2.2058717276417</v>
      </c>
    </row>
    <row r="1291" customFormat="false" ht="15" hidden="false" customHeight="false" outlineLevel="0" collapsed="false">
      <c r="A1291" s="57" t="n">
        <v>31963</v>
      </c>
      <c r="B1291" s="56" t="n">
        <v>1987</v>
      </c>
      <c r="C1291" s="56" t="n">
        <v>7</v>
      </c>
      <c r="D1291" s="56" t="n">
        <v>66</v>
      </c>
      <c r="E1291" s="56" t="n">
        <v>28.3</v>
      </c>
      <c r="F1291" s="56" t="n">
        <v>0</v>
      </c>
      <c r="G1291" s="56" t="n">
        <v>13.1</v>
      </c>
      <c r="H1291" s="56" t="n">
        <v>0</v>
      </c>
      <c r="I1291" s="56" t="n">
        <v>20.4</v>
      </c>
      <c r="J1291" s="56" t="n">
        <v>0</v>
      </c>
      <c r="K1291" s="56" t="n">
        <v>1023.4</v>
      </c>
      <c r="L1291" s="56" t="n">
        <v>0</v>
      </c>
      <c r="M1291" s="56" t="n">
        <v>56</v>
      </c>
      <c r="N1291" s="56" t="n">
        <v>15.1</v>
      </c>
      <c r="O1291" s="56" t="n">
        <f aca="false">IF(D1291=1,"",E1290)</f>
        <v>27.8</v>
      </c>
      <c r="P1291" s="56" t="n">
        <f aca="false">IF(OR(D1291=1,K1290=""),"",K1290)</f>
        <v>1026.3</v>
      </c>
      <c r="Q1291" s="56" t="n">
        <f aca="false">IF(OR(F1291&lt;&gt;0,AND(I1291&lt;&gt;"",E1291&lt;I1291)),1,0)</f>
        <v>0</v>
      </c>
      <c r="R1291" s="56" t="n">
        <f aca="false">IF(AND(D1291&gt;1,Q1291=0,ISNUMBER(O1291),ISNUMBER(P1291)),IF(Q1290=0,1,0),0)</f>
        <v>1</v>
      </c>
      <c r="S1291" s="56" t="n">
        <f aca="false">R1291*(B1291&gt;=Train_Start)*(B1291&lt;=Train_End)</f>
        <v>1</v>
      </c>
      <c r="T1291" s="84" t="n">
        <f aca="false">IF(AND(ISNUMBER(O1291),ISNUMBER(P1291)),Coef_A+Coef_B1*O1291+Coef_B2*P1291,"")</f>
        <v>27.0595278514449</v>
      </c>
      <c r="U1291" s="84" t="n">
        <f aca="false">IF(AND(R1291=1,ISNUMBER(T1291)),E1291-T1291,"")</f>
        <v>1.24047214855511</v>
      </c>
      <c r="V1291" s="84" t="n">
        <f aca="false">IF(ISNUMBER(T1291),T1291,-99)</f>
        <v>27.0595278514449</v>
      </c>
      <c r="W1291" s="84" t="n">
        <f aca="false">IF(ISNUMBER(U1291),ABS(U1291),"")</f>
        <v>1.24047214855511</v>
      </c>
    </row>
    <row r="1292" customFormat="false" ht="15" hidden="false" customHeight="false" outlineLevel="0" collapsed="false">
      <c r="A1292" s="57" t="n">
        <v>31964</v>
      </c>
      <c r="B1292" s="56" t="n">
        <v>1987</v>
      </c>
      <c r="C1292" s="56" t="n">
        <v>7</v>
      </c>
      <c r="D1292" s="56" t="n">
        <v>67</v>
      </c>
      <c r="E1292" s="56" t="n">
        <v>25.3</v>
      </c>
      <c r="F1292" s="56" t="n">
        <v>0</v>
      </c>
      <c r="G1292" s="56" t="n">
        <v>15.3</v>
      </c>
      <c r="H1292" s="56" t="n">
        <v>0</v>
      </c>
      <c r="I1292" s="56" t="n">
        <v>21.8</v>
      </c>
      <c r="J1292" s="56" t="n">
        <v>0</v>
      </c>
      <c r="K1292" s="56" t="n">
        <v>1018</v>
      </c>
      <c r="L1292" s="56" t="n">
        <v>0</v>
      </c>
      <c r="M1292" s="56" t="n">
        <v>61</v>
      </c>
      <c r="N1292" s="56" t="n">
        <v>6.2</v>
      </c>
      <c r="O1292" s="56" t="n">
        <f aca="false">IF(D1292=1,"",E1291)</f>
        <v>28.3</v>
      </c>
      <c r="P1292" s="56" t="n">
        <f aca="false">IF(OR(D1292=1,K1291=""),"",K1291)</f>
        <v>1023.4</v>
      </c>
      <c r="Q1292" s="56" t="n">
        <f aca="false">IF(OR(F1292&lt;&gt;0,AND(I1292&lt;&gt;"",E1292&lt;I1292)),1,0)</f>
        <v>0</v>
      </c>
      <c r="R1292" s="56" t="n">
        <f aca="false">IF(AND(D1292&gt;1,Q1292=0,ISNUMBER(O1292),ISNUMBER(P1292)),IF(Q1291=0,1,0),0)</f>
        <v>1</v>
      </c>
      <c r="S1292" s="56" t="n">
        <f aca="false">R1292*(B1292&gt;=Train_Start)*(B1292&lt;=Train_End)</f>
        <v>1</v>
      </c>
      <c r="T1292" s="84" t="n">
        <f aca="false">IF(AND(ISNUMBER(O1292),ISNUMBER(P1292)),Coef_A+Coef_B1*O1292+Coef_B2*P1292,"")</f>
        <v>27.3782247535277</v>
      </c>
      <c r="U1292" s="84" t="n">
        <f aca="false">IF(AND(R1292=1,ISNUMBER(T1292)),E1292-T1292,"")</f>
        <v>-2.07822475352765</v>
      </c>
      <c r="V1292" s="84" t="n">
        <f aca="false">IF(ISNUMBER(T1292),T1292,-99)</f>
        <v>27.3782247535277</v>
      </c>
      <c r="W1292" s="84" t="n">
        <f aca="false">IF(ISNUMBER(U1292),ABS(U1292),"")</f>
        <v>2.07822475352765</v>
      </c>
    </row>
    <row r="1293" customFormat="false" ht="15" hidden="false" customHeight="false" outlineLevel="0" collapsed="false">
      <c r="A1293" s="57" t="n">
        <v>31965</v>
      </c>
      <c r="B1293" s="56" t="n">
        <v>1987</v>
      </c>
      <c r="C1293" s="56" t="n">
        <v>7</v>
      </c>
      <c r="D1293" s="56" t="n">
        <v>68</v>
      </c>
      <c r="E1293" s="56" t="n">
        <v>23.1</v>
      </c>
      <c r="F1293" s="56" t="n">
        <v>0</v>
      </c>
      <c r="G1293" s="56" t="n">
        <v>16.2</v>
      </c>
      <c r="H1293" s="56" t="n">
        <v>0</v>
      </c>
      <c r="I1293" s="56" t="n">
        <v>20.8</v>
      </c>
      <c r="J1293" s="56" t="n">
        <v>0</v>
      </c>
      <c r="K1293" s="56" t="n">
        <v>1018.2</v>
      </c>
      <c r="L1293" s="56" t="n">
        <v>0</v>
      </c>
      <c r="M1293" s="56" t="n">
        <v>61</v>
      </c>
      <c r="N1293" s="56" t="n">
        <v>8.4</v>
      </c>
      <c r="O1293" s="56" t="n">
        <f aca="false">IF(D1293=1,"",E1292)</f>
        <v>25.3</v>
      </c>
      <c r="P1293" s="56" t="n">
        <f aca="false">IF(OR(D1293=1,K1292=""),"",K1292)</f>
        <v>1018</v>
      </c>
      <c r="Q1293" s="56" t="n">
        <f aca="false">IF(OR(F1293&lt;&gt;0,AND(I1293&lt;&gt;"",E1293&lt;I1293)),1,0)</f>
        <v>0</v>
      </c>
      <c r="R1293" s="56" t="n">
        <f aca="false">IF(AND(D1293&gt;1,Q1293=0,ISNUMBER(O1293),ISNUMBER(P1293)),IF(Q1292=0,1,0),0)</f>
        <v>1</v>
      </c>
      <c r="S1293" s="56" t="n">
        <f aca="false">R1293*(B1293&gt;=Train_Start)*(B1293&lt;=Train_End)</f>
        <v>1</v>
      </c>
      <c r="T1293" s="84" t="n">
        <f aca="false">IF(AND(ISNUMBER(O1293),ISNUMBER(P1293)),Coef_A+Coef_B1*O1293+Coef_B2*P1293,"")</f>
        <v>24.7508097433761</v>
      </c>
      <c r="U1293" s="84" t="n">
        <f aca="false">IF(AND(R1293=1,ISNUMBER(T1293)),E1293-T1293,"")</f>
        <v>-1.65080974337614</v>
      </c>
      <c r="V1293" s="84" t="n">
        <f aca="false">IF(ISNUMBER(T1293),T1293,-99)</f>
        <v>24.7508097433761</v>
      </c>
      <c r="W1293" s="84" t="n">
        <f aca="false">IF(ISNUMBER(U1293),ABS(U1293),"")</f>
        <v>1.65080974337614</v>
      </c>
    </row>
    <row r="1294" customFormat="false" ht="15" hidden="false" customHeight="false" outlineLevel="0" collapsed="false">
      <c r="A1294" s="57" t="n">
        <v>31966</v>
      </c>
      <c r="B1294" s="56" t="n">
        <v>1987</v>
      </c>
      <c r="C1294" s="56" t="n">
        <v>7</v>
      </c>
      <c r="D1294" s="56" t="n">
        <v>69</v>
      </c>
      <c r="E1294" s="56" t="n">
        <v>22.4</v>
      </c>
      <c r="F1294" s="56" t="n">
        <v>0</v>
      </c>
      <c r="G1294" s="56" t="n">
        <v>12.7</v>
      </c>
      <c r="H1294" s="56" t="n">
        <v>0</v>
      </c>
      <c r="I1294" s="56" t="n">
        <v>17.9</v>
      </c>
      <c r="J1294" s="56" t="n">
        <v>0</v>
      </c>
      <c r="K1294" s="56" t="n">
        <v>1021</v>
      </c>
      <c r="L1294" s="56" t="n">
        <v>0</v>
      </c>
      <c r="M1294" s="56" t="n">
        <v>61</v>
      </c>
      <c r="N1294" s="56" t="n">
        <v>13.3</v>
      </c>
      <c r="O1294" s="56" t="n">
        <f aca="false">IF(D1294=1,"",E1293)</f>
        <v>23.1</v>
      </c>
      <c r="P1294" s="56" t="n">
        <f aca="false">IF(OR(D1294=1,K1293=""),"",K1293)</f>
        <v>1018.2</v>
      </c>
      <c r="Q1294" s="56" t="n">
        <f aca="false">IF(OR(F1294&lt;&gt;0,AND(I1294&lt;&gt;"",E1294&lt;I1294)),1,0)</f>
        <v>0</v>
      </c>
      <c r="R1294" s="56" t="n">
        <f aca="false">IF(AND(D1294&gt;1,Q1294=0,ISNUMBER(O1294),ISNUMBER(P1294)),IF(Q1293=0,1,0),0)</f>
        <v>1</v>
      </c>
      <c r="S1294" s="56" t="n">
        <f aca="false">R1294*(B1294&gt;=Train_Start)*(B1294&lt;=Train_End)</f>
        <v>1</v>
      </c>
      <c r="T1294" s="84" t="n">
        <f aca="false">IF(AND(ISNUMBER(O1294),ISNUMBER(P1294)),Coef_A+Coef_B1*O1294+Coef_B2*P1294,"")</f>
        <v>22.9545374976091</v>
      </c>
      <c r="U1294" s="84" t="n">
        <f aca="false">IF(AND(R1294=1,ISNUMBER(T1294)),E1294-T1294,"")</f>
        <v>-0.554537497609093</v>
      </c>
      <c r="V1294" s="84" t="n">
        <f aca="false">IF(ISNUMBER(T1294),T1294,-99)</f>
        <v>22.9545374976091</v>
      </c>
      <c r="W1294" s="84" t="n">
        <f aca="false">IF(ISNUMBER(U1294),ABS(U1294),"")</f>
        <v>0.554537497609093</v>
      </c>
    </row>
    <row r="1295" customFormat="false" ht="15" hidden="false" customHeight="false" outlineLevel="0" collapsed="false">
      <c r="A1295" s="57" t="n">
        <v>31967</v>
      </c>
      <c r="B1295" s="56" t="n">
        <v>1987</v>
      </c>
      <c r="C1295" s="56" t="n">
        <v>7</v>
      </c>
      <c r="D1295" s="56" t="n">
        <v>70</v>
      </c>
      <c r="E1295" s="56" t="n">
        <v>26.6</v>
      </c>
      <c r="F1295" s="56" t="n">
        <v>0</v>
      </c>
      <c r="G1295" s="56" t="n">
        <v>12.9</v>
      </c>
      <c r="H1295" s="56" t="n">
        <v>0</v>
      </c>
      <c r="I1295" s="56" t="n">
        <v>17.6</v>
      </c>
      <c r="J1295" s="56" t="n">
        <v>0</v>
      </c>
      <c r="K1295" s="56" t="n">
        <v>1022.8</v>
      </c>
      <c r="L1295" s="56" t="n">
        <v>0</v>
      </c>
      <c r="M1295" s="56" t="n">
        <v>56</v>
      </c>
      <c r="N1295" s="56" t="n">
        <v>10.1</v>
      </c>
      <c r="O1295" s="56" t="n">
        <f aca="false">IF(D1295=1,"",E1294)</f>
        <v>22.4</v>
      </c>
      <c r="P1295" s="56" t="n">
        <f aca="false">IF(OR(D1295=1,K1294=""),"",K1294)</f>
        <v>1021</v>
      </c>
      <c r="Q1295" s="56" t="n">
        <f aca="false">IF(OR(F1295&lt;&gt;0,AND(I1295&lt;&gt;"",E1295&lt;I1295)),1,0)</f>
        <v>0</v>
      </c>
      <c r="R1295" s="56" t="n">
        <f aca="false">IF(AND(D1295&gt;1,Q1295=0,ISNUMBER(O1295),ISNUMBER(P1295)),IF(Q1294=0,1,0),0)</f>
        <v>1</v>
      </c>
      <c r="S1295" s="56" t="n">
        <f aca="false">R1295*(B1295&gt;=Train_Start)*(B1295&lt;=Train_End)</f>
        <v>1</v>
      </c>
      <c r="T1295" s="84" t="n">
        <f aca="false">IF(AND(ISNUMBER(O1295),ISNUMBER(P1295)),Coef_A+Coef_B1*O1295+Coef_B2*P1295,"")</f>
        <v>22.4688357674544</v>
      </c>
      <c r="U1295" s="84" t="n">
        <f aca="false">IF(AND(R1295=1,ISNUMBER(T1295)),E1295-T1295,"")</f>
        <v>4.13116423254561</v>
      </c>
      <c r="V1295" s="84" t="n">
        <f aca="false">IF(ISNUMBER(T1295),T1295,-99)</f>
        <v>22.4688357674544</v>
      </c>
      <c r="W1295" s="84" t="n">
        <f aca="false">IF(ISNUMBER(U1295),ABS(U1295),"")</f>
        <v>4.13116423254561</v>
      </c>
    </row>
    <row r="1296" customFormat="false" ht="15" hidden="false" customHeight="false" outlineLevel="0" collapsed="false">
      <c r="A1296" s="57" t="n">
        <v>31968</v>
      </c>
      <c r="B1296" s="56" t="n">
        <v>1987</v>
      </c>
      <c r="C1296" s="56" t="n">
        <v>7</v>
      </c>
      <c r="D1296" s="56" t="n">
        <v>71</v>
      </c>
      <c r="E1296" s="56" t="n">
        <v>25.9</v>
      </c>
      <c r="F1296" s="56" t="n">
        <v>0</v>
      </c>
      <c r="G1296" s="56" t="n">
        <v>15.9</v>
      </c>
      <c r="H1296" s="56" t="n">
        <v>0</v>
      </c>
      <c r="I1296" s="56" t="n">
        <v>21.2</v>
      </c>
      <c r="J1296" s="56" t="n">
        <v>0</v>
      </c>
      <c r="K1296" s="56" t="n">
        <v>1021.1</v>
      </c>
      <c r="L1296" s="56" t="n">
        <v>0</v>
      </c>
      <c r="M1296" s="56" t="n">
        <v>63</v>
      </c>
      <c r="N1296" s="56" t="n">
        <v>3.9</v>
      </c>
      <c r="O1296" s="56" t="n">
        <f aca="false">IF(D1296=1,"",E1295)</f>
        <v>26.6</v>
      </c>
      <c r="P1296" s="56" t="n">
        <f aca="false">IF(OR(D1296=1,K1295=""),"",K1295)</f>
        <v>1022.8</v>
      </c>
      <c r="Q1296" s="56" t="n">
        <f aca="false">IF(OR(F1296&lt;&gt;0,AND(I1296&lt;&gt;"",E1296&lt;I1296)),1,0)</f>
        <v>0</v>
      </c>
      <c r="R1296" s="56" t="n">
        <f aca="false">IF(AND(D1296&gt;1,Q1296=0,ISNUMBER(O1296),ISNUMBER(P1296)),IF(Q1295=0,1,0),0)</f>
        <v>1</v>
      </c>
      <c r="S1296" s="56" t="n">
        <f aca="false">R1296*(B1296&gt;=Train_Start)*(B1296&lt;=Train_End)</f>
        <v>1</v>
      </c>
      <c r="T1296" s="84" t="n">
        <f aca="false">IF(AND(ISNUMBER(O1296),ISNUMBER(P1296)),Coef_A+Coef_B1*O1296+Coef_B2*P1296,"")</f>
        <v>25.9665261885747</v>
      </c>
      <c r="U1296" s="84" t="n">
        <f aca="false">IF(AND(R1296=1,ISNUMBER(T1296)),E1296-T1296,"")</f>
        <v>-0.0665261885747412</v>
      </c>
      <c r="V1296" s="84" t="n">
        <f aca="false">IF(ISNUMBER(T1296),T1296,-99)</f>
        <v>25.9665261885747</v>
      </c>
      <c r="W1296" s="84" t="n">
        <f aca="false">IF(ISNUMBER(U1296),ABS(U1296),"")</f>
        <v>0.0665261885747412</v>
      </c>
    </row>
    <row r="1297" customFormat="false" ht="15" hidden="false" customHeight="false" outlineLevel="0" collapsed="false">
      <c r="A1297" s="57" t="n">
        <v>31969</v>
      </c>
      <c r="B1297" s="56" t="n">
        <v>1987</v>
      </c>
      <c r="C1297" s="56" t="n">
        <v>7</v>
      </c>
      <c r="D1297" s="56" t="n">
        <v>72</v>
      </c>
      <c r="E1297" s="56" t="n">
        <v>23.2</v>
      </c>
      <c r="F1297" s="56" t="n">
        <v>0</v>
      </c>
      <c r="G1297" s="56" t="n">
        <v>15.3</v>
      </c>
      <c r="H1297" s="56" t="n">
        <v>0</v>
      </c>
      <c r="I1297" s="56" t="n">
        <v>20.6</v>
      </c>
      <c r="J1297" s="56" t="n">
        <v>0</v>
      </c>
      <c r="K1297" s="56" t="n">
        <v>1014.7</v>
      </c>
      <c r="L1297" s="56" t="n">
        <v>0</v>
      </c>
      <c r="M1297" s="56" t="n">
        <v>55</v>
      </c>
      <c r="N1297" s="56" t="n">
        <v>7</v>
      </c>
      <c r="O1297" s="56" t="n">
        <f aca="false">IF(D1297=1,"",E1296)</f>
        <v>25.9</v>
      </c>
      <c r="P1297" s="56" t="n">
        <f aca="false">IF(OR(D1297=1,K1296=""),"",K1296)</f>
        <v>1021.1</v>
      </c>
      <c r="Q1297" s="56" t="n">
        <f aca="false">IF(OR(F1297&lt;&gt;0,AND(I1297&lt;&gt;"",E1297&lt;I1297)),1,0)</f>
        <v>0</v>
      </c>
      <c r="R1297" s="56" t="n">
        <f aca="false">IF(AND(D1297&gt;1,Q1297=0,ISNUMBER(O1297),ISNUMBER(P1297)),IF(Q1296=0,1,0),0)</f>
        <v>1</v>
      </c>
      <c r="S1297" s="56" t="n">
        <f aca="false">R1297*(B1297&gt;=Train_Start)*(B1297&lt;=Train_End)</f>
        <v>1</v>
      </c>
      <c r="T1297" s="84" t="n">
        <f aca="false">IF(AND(ISNUMBER(O1297),ISNUMBER(P1297)),Coef_A+Coef_B1*O1297+Coef_B2*P1297,"")</f>
        <v>25.3396599325671</v>
      </c>
      <c r="U1297" s="84" t="n">
        <f aca="false">IF(AND(R1297=1,ISNUMBER(T1297)),E1297-T1297,"")</f>
        <v>-2.1396599325671</v>
      </c>
      <c r="V1297" s="84" t="n">
        <f aca="false">IF(ISNUMBER(T1297),T1297,-99)</f>
        <v>25.3396599325671</v>
      </c>
      <c r="W1297" s="84" t="n">
        <f aca="false">IF(ISNUMBER(U1297),ABS(U1297),"")</f>
        <v>2.1396599325671</v>
      </c>
    </row>
    <row r="1298" customFormat="false" ht="15" hidden="false" customHeight="false" outlineLevel="0" collapsed="false">
      <c r="A1298" s="57" t="n">
        <v>31970</v>
      </c>
      <c r="B1298" s="56" t="n">
        <v>1987</v>
      </c>
      <c r="C1298" s="56" t="n">
        <v>7</v>
      </c>
      <c r="D1298" s="56" t="n">
        <v>73</v>
      </c>
      <c r="E1298" s="56" t="n">
        <v>25.8</v>
      </c>
      <c r="F1298" s="56" t="n">
        <v>0</v>
      </c>
      <c r="G1298" s="56" t="n">
        <v>11.1</v>
      </c>
      <c r="H1298" s="56" t="n">
        <v>0</v>
      </c>
      <c r="I1298" s="56" t="n">
        <v>17.2</v>
      </c>
      <c r="J1298" s="56" t="n">
        <v>0</v>
      </c>
      <c r="K1298" s="56" t="n">
        <v>1017.5</v>
      </c>
      <c r="L1298" s="56" t="n">
        <v>0</v>
      </c>
      <c r="M1298" s="56" t="n">
        <v>66</v>
      </c>
      <c r="N1298" s="56" t="n">
        <v>9.6</v>
      </c>
      <c r="O1298" s="56" t="n">
        <f aca="false">IF(D1298=1,"",E1297)</f>
        <v>23.2</v>
      </c>
      <c r="P1298" s="56" t="n">
        <f aca="false">IF(OR(D1298=1,K1297=""),"",K1297)</f>
        <v>1014.7</v>
      </c>
      <c r="Q1298" s="56" t="n">
        <f aca="false">IF(OR(F1298&lt;&gt;0,AND(I1298&lt;&gt;"",E1298&lt;I1298)),1,0)</f>
        <v>0</v>
      </c>
      <c r="R1298" s="56" t="n">
        <f aca="false">IF(AND(D1298&gt;1,Q1298=0,ISNUMBER(O1298),ISNUMBER(P1298)),IF(Q1297=0,1,0),0)</f>
        <v>1</v>
      </c>
      <c r="S1298" s="56" t="n">
        <f aca="false">R1298*(B1298&gt;=Train_Start)*(B1298&lt;=Train_End)</f>
        <v>1</v>
      </c>
      <c r="T1298" s="84" t="n">
        <f aca="false">IF(AND(ISNUMBER(O1298),ISNUMBER(P1298)),Coef_A+Coef_B1*O1298+Coef_B2*P1298,"")</f>
        <v>22.9266767856944</v>
      </c>
      <c r="U1298" s="84" t="n">
        <f aca="false">IF(AND(R1298=1,ISNUMBER(T1298)),E1298-T1298,"")</f>
        <v>2.87332321430561</v>
      </c>
      <c r="V1298" s="84" t="n">
        <f aca="false">IF(ISNUMBER(T1298),T1298,-99)</f>
        <v>22.9266767856944</v>
      </c>
      <c r="W1298" s="84" t="n">
        <f aca="false">IF(ISNUMBER(U1298),ABS(U1298),"")</f>
        <v>2.87332321430561</v>
      </c>
    </row>
    <row r="1299" customFormat="false" ht="15" hidden="false" customHeight="false" outlineLevel="0" collapsed="false">
      <c r="A1299" s="57" t="n">
        <v>31971</v>
      </c>
      <c r="B1299" s="56" t="n">
        <v>1987</v>
      </c>
      <c r="C1299" s="56" t="n">
        <v>7</v>
      </c>
      <c r="D1299" s="56" t="n">
        <v>74</v>
      </c>
      <c r="E1299" s="56" t="n">
        <v>24.9</v>
      </c>
      <c r="F1299" s="56" t="n">
        <v>0</v>
      </c>
      <c r="G1299" s="56" t="n">
        <v>13.2</v>
      </c>
      <c r="H1299" s="56" t="n">
        <v>0</v>
      </c>
      <c r="I1299" s="56" t="n">
        <v>19.5</v>
      </c>
      <c r="J1299" s="56" t="n">
        <v>0</v>
      </c>
      <c r="K1299" s="56" t="n">
        <v>1019.3</v>
      </c>
      <c r="L1299" s="56" t="n">
        <v>0</v>
      </c>
      <c r="M1299" s="56" t="n">
        <v>62</v>
      </c>
      <c r="N1299" s="56" t="n">
        <v>7.8</v>
      </c>
      <c r="O1299" s="56" t="n">
        <f aca="false">IF(D1299=1,"",E1298)</f>
        <v>25.8</v>
      </c>
      <c r="P1299" s="56" t="n">
        <f aca="false">IF(OR(D1299=1,K1298=""),"",K1298)</f>
        <v>1017.5</v>
      </c>
      <c r="Q1299" s="56" t="n">
        <f aca="false">IF(OR(F1299&lt;&gt;0,AND(I1299&lt;&gt;"",E1299&lt;I1299)),1,0)</f>
        <v>0</v>
      </c>
      <c r="R1299" s="56" t="n">
        <f aca="false">IF(AND(D1299&gt;1,Q1299=0,ISNUMBER(O1299),ISNUMBER(P1299)),IF(Q1298=0,1,0),0)</f>
        <v>1</v>
      </c>
      <c r="S1299" s="56" t="n">
        <f aca="false">R1299*(B1299&gt;=Train_Start)*(B1299&lt;=Train_End)</f>
        <v>1</v>
      </c>
      <c r="T1299" s="84" t="n">
        <f aca="false">IF(AND(ISNUMBER(O1299),ISNUMBER(P1299)),Coef_A+Coef_B1*O1299+Coef_B2*P1299,"")</f>
        <v>25.1447943925805</v>
      </c>
      <c r="U1299" s="84" t="n">
        <f aca="false">IF(AND(R1299=1,ISNUMBER(T1299)),E1299-T1299,"")</f>
        <v>-0.244794392580474</v>
      </c>
      <c r="V1299" s="84" t="n">
        <f aca="false">IF(ISNUMBER(T1299),T1299,-99)</f>
        <v>25.1447943925805</v>
      </c>
      <c r="W1299" s="84" t="n">
        <f aca="false">IF(ISNUMBER(U1299),ABS(U1299),"")</f>
        <v>0.244794392580474</v>
      </c>
    </row>
    <row r="1300" customFormat="false" ht="15" hidden="false" customHeight="false" outlineLevel="0" collapsed="false">
      <c r="A1300" s="57" t="n">
        <v>31972</v>
      </c>
      <c r="B1300" s="56" t="n">
        <v>1987</v>
      </c>
      <c r="C1300" s="56" t="n">
        <v>7</v>
      </c>
      <c r="D1300" s="56" t="n">
        <v>75</v>
      </c>
      <c r="E1300" s="56" t="n">
        <v>22.7</v>
      </c>
      <c r="F1300" s="56" t="n">
        <v>0</v>
      </c>
      <c r="G1300" s="56" t="n">
        <v>15.9</v>
      </c>
      <c r="H1300" s="56" t="n">
        <v>0</v>
      </c>
      <c r="I1300" s="56" t="n">
        <v>20.4</v>
      </c>
      <c r="J1300" s="56" t="n">
        <v>0</v>
      </c>
      <c r="K1300" s="56" t="n">
        <v>1014.5</v>
      </c>
      <c r="L1300" s="56" t="n">
        <v>0</v>
      </c>
      <c r="M1300" s="56" t="n">
        <v>63</v>
      </c>
      <c r="N1300" s="56" t="n">
        <v>0.6</v>
      </c>
      <c r="O1300" s="56" t="n">
        <f aca="false">IF(D1300=1,"",E1299)</f>
        <v>24.9</v>
      </c>
      <c r="P1300" s="56" t="n">
        <f aca="false">IF(OR(D1300=1,K1299=""),"",K1299)</f>
        <v>1019.3</v>
      </c>
      <c r="Q1300" s="56" t="n">
        <f aca="false">IF(OR(F1300&lt;&gt;0,AND(I1300&lt;&gt;"",E1300&lt;I1300)),1,0)</f>
        <v>0</v>
      </c>
      <c r="R1300" s="56" t="n">
        <f aca="false">IF(AND(D1300&gt;1,Q1300=0,ISNUMBER(O1300),ISNUMBER(P1300)),IF(Q1299=0,1,0),0)</f>
        <v>1</v>
      </c>
      <c r="S1300" s="56" t="n">
        <f aca="false">R1300*(B1300&gt;=Train_Start)*(B1300&lt;=Train_End)</f>
        <v>1</v>
      </c>
      <c r="T1300" s="84" t="n">
        <f aca="false">IF(AND(ISNUMBER(O1300),ISNUMBER(P1300)),Coef_A+Coef_B1*O1300+Coef_B2*P1300,"")</f>
        <v>24.4638549291833</v>
      </c>
      <c r="U1300" s="84" t="n">
        <f aca="false">IF(AND(R1300=1,ISNUMBER(T1300)),E1300-T1300,"")</f>
        <v>-1.76385492918326</v>
      </c>
      <c r="V1300" s="84" t="n">
        <f aca="false">IF(ISNUMBER(T1300),T1300,-99)</f>
        <v>24.4638549291833</v>
      </c>
      <c r="W1300" s="84" t="n">
        <f aca="false">IF(ISNUMBER(U1300),ABS(U1300),"")</f>
        <v>1.76385492918326</v>
      </c>
    </row>
    <row r="1301" customFormat="false" ht="15" hidden="false" customHeight="false" outlineLevel="0" collapsed="false">
      <c r="A1301" s="57" t="n">
        <v>31973</v>
      </c>
      <c r="B1301" s="56" t="n">
        <v>1987</v>
      </c>
      <c r="C1301" s="56" t="n">
        <v>7</v>
      </c>
      <c r="D1301" s="56" t="n">
        <v>76</v>
      </c>
      <c r="E1301" s="56" t="n">
        <v>19.4</v>
      </c>
      <c r="F1301" s="56" t="n">
        <v>1</v>
      </c>
      <c r="G1301" s="56" t="n">
        <v>16.6</v>
      </c>
      <c r="H1301" s="56" t="n">
        <v>0</v>
      </c>
      <c r="I1301" s="56" t="n">
        <v>19.6</v>
      </c>
      <c r="J1301" s="56" t="n">
        <v>1</v>
      </c>
      <c r="K1301" s="56" t="n">
        <v>1008.6</v>
      </c>
      <c r="L1301" s="56" t="n">
        <v>0</v>
      </c>
      <c r="M1301" s="56" t="n">
        <v>79</v>
      </c>
      <c r="N1301" s="56" t="n">
        <v>2.7</v>
      </c>
      <c r="O1301" s="56" t="n">
        <f aca="false">IF(D1301=1,"",E1300)</f>
        <v>22.7</v>
      </c>
      <c r="P1301" s="56" t="n">
        <f aca="false">IF(OR(D1301=1,K1300=""),"",K1300)</f>
        <v>1014.5</v>
      </c>
      <c r="Q1301" s="56" t="n">
        <f aca="false">IF(OR(F1301&lt;&gt;0,AND(I1301&lt;&gt;"",E1301&lt;I1301)),1,0)</f>
        <v>1</v>
      </c>
      <c r="R1301" s="56" t="n">
        <f aca="false">IF(AND(D1301&gt;1,Q1301=0,ISNUMBER(O1301),ISNUMBER(P1301)),IF(Q1300=0,1,0),0)</f>
        <v>0</v>
      </c>
      <c r="S1301" s="56" t="n">
        <f aca="false">R1301*(B1301&gt;=Train_Start)*(B1301&lt;=Train_End)</f>
        <v>0</v>
      </c>
      <c r="T1301" s="84" t="n">
        <f aca="false">IF(AND(ISNUMBER(O1301),ISNUMBER(P1301)),Coef_A+Coef_B1*O1301+Coef_B2*P1301,"")</f>
        <v>22.5107332102463</v>
      </c>
      <c r="U1301" s="84" t="str">
        <f aca="false">IF(AND(R1301=1,ISNUMBER(T1301)),E1301-T1301,"")</f>
        <v/>
      </c>
      <c r="V1301" s="84" t="n">
        <f aca="false">IF(ISNUMBER(T1301),T1301,-99)</f>
        <v>22.5107332102463</v>
      </c>
      <c r="W1301" s="84" t="str">
        <f aca="false">IF(ISNUMBER(U1301),ABS(U1301),"")</f>
        <v/>
      </c>
    </row>
    <row r="1302" customFormat="false" ht="15" hidden="false" customHeight="false" outlineLevel="0" collapsed="false">
      <c r="A1302" s="57" t="n">
        <v>31974</v>
      </c>
      <c r="B1302" s="56" t="n">
        <v>1987</v>
      </c>
      <c r="C1302" s="56" t="n">
        <v>7</v>
      </c>
      <c r="D1302" s="56" t="n">
        <v>77</v>
      </c>
      <c r="E1302" s="56" t="n">
        <v>16</v>
      </c>
      <c r="F1302" s="56" t="n">
        <v>1</v>
      </c>
      <c r="G1302" s="56" t="n">
        <v>13.4</v>
      </c>
      <c r="H1302" s="56" t="n">
        <v>0</v>
      </c>
      <c r="I1302" s="56" t="n">
        <v>16.4</v>
      </c>
      <c r="J1302" s="56" t="n">
        <v>1</v>
      </c>
      <c r="K1302" s="56" t="n">
        <v>1004.3</v>
      </c>
      <c r="L1302" s="56" t="n">
        <v>0</v>
      </c>
      <c r="M1302" s="56" t="n">
        <v>82</v>
      </c>
      <c r="N1302" s="56" t="n">
        <v>1.9</v>
      </c>
      <c r="O1302" s="56" t="n">
        <f aca="false">IF(D1302=1,"",E1301)</f>
        <v>19.4</v>
      </c>
      <c r="P1302" s="56" t="n">
        <f aca="false">IF(OR(D1302=1,K1301=""),"",K1301)</f>
        <v>1008.6</v>
      </c>
      <c r="Q1302" s="56" t="n">
        <f aca="false">IF(OR(F1302&lt;&gt;0,AND(I1302&lt;&gt;"",E1302&lt;I1302)),1,0)</f>
        <v>1</v>
      </c>
      <c r="R1302" s="56" t="n">
        <f aca="false">IF(AND(D1302&gt;1,Q1302=0,ISNUMBER(O1302),ISNUMBER(P1302)),IF(Q1301=0,1,0),0)</f>
        <v>0</v>
      </c>
      <c r="S1302" s="56" t="n">
        <f aca="false">R1302*(B1302&gt;=Train_Start)*(B1302&lt;=Train_End)</f>
        <v>0</v>
      </c>
      <c r="T1302" s="84" t="n">
        <f aca="false">IF(AND(ISNUMBER(O1302),ISNUMBER(P1302)),Coef_A+Coef_B1*O1302+Coef_B2*P1302,"")</f>
        <v>19.621831494865</v>
      </c>
      <c r="U1302" s="84" t="str">
        <f aca="false">IF(AND(R1302=1,ISNUMBER(T1302)),E1302-T1302,"")</f>
        <v/>
      </c>
      <c r="V1302" s="84" t="n">
        <f aca="false">IF(ISNUMBER(T1302),T1302,-99)</f>
        <v>19.621831494865</v>
      </c>
      <c r="W1302" s="84" t="str">
        <f aca="false">IF(ISNUMBER(U1302),ABS(U1302),"")</f>
        <v/>
      </c>
    </row>
    <row r="1303" customFormat="false" ht="15" hidden="false" customHeight="false" outlineLevel="0" collapsed="false">
      <c r="A1303" s="57" t="n">
        <v>31975</v>
      </c>
      <c r="B1303" s="56" t="n">
        <v>1987</v>
      </c>
      <c r="C1303" s="56" t="n">
        <v>7</v>
      </c>
      <c r="D1303" s="56" t="n">
        <v>78</v>
      </c>
      <c r="E1303" s="56" t="n">
        <v>17.4</v>
      </c>
      <c r="F1303" s="56" t="n">
        <v>0</v>
      </c>
      <c r="G1303" s="56" t="n">
        <v>13.1</v>
      </c>
      <c r="H1303" s="56" t="n">
        <v>0</v>
      </c>
      <c r="I1303" s="56" t="n">
        <v>14.6</v>
      </c>
      <c r="J1303" s="56" t="n">
        <v>0</v>
      </c>
      <c r="K1303" s="56" t="n">
        <v>997.3</v>
      </c>
      <c r="L1303" s="56" t="n">
        <v>0</v>
      </c>
      <c r="M1303" s="56" t="n">
        <v>90</v>
      </c>
      <c r="N1303" s="56" t="n">
        <v>0</v>
      </c>
      <c r="O1303" s="56" t="n">
        <f aca="false">IF(D1303=1,"",E1302)</f>
        <v>16</v>
      </c>
      <c r="P1303" s="56" t="n">
        <f aca="false">IF(OR(D1303=1,K1302=""),"",K1302)</f>
        <v>1004.3</v>
      </c>
      <c r="Q1303" s="56" t="n">
        <f aca="false">IF(OR(F1303&lt;&gt;0,AND(I1303&lt;&gt;"",E1303&lt;I1303)),1,0)</f>
        <v>0</v>
      </c>
      <c r="R1303" s="56" t="n">
        <f aca="false">IF(AND(D1303&gt;1,Q1303=0,ISNUMBER(O1303),ISNUMBER(P1303)),IF(Q1302=0,1,0),0)</f>
        <v>0</v>
      </c>
      <c r="S1303" s="56" t="n">
        <f aca="false">R1303*(B1303&gt;=Train_Start)*(B1303&lt;=Train_End)</f>
        <v>0</v>
      </c>
      <c r="T1303" s="84" t="n">
        <f aca="false">IF(AND(ISNUMBER(O1303),ISNUMBER(P1303)),Coef_A+Coef_B1*O1303+Coef_B2*P1303,"")</f>
        <v>16.7011876915938</v>
      </c>
      <c r="U1303" s="84" t="str">
        <f aca="false">IF(AND(R1303=1,ISNUMBER(T1303)),E1303-T1303,"")</f>
        <v/>
      </c>
      <c r="V1303" s="84" t="n">
        <f aca="false">IF(ISNUMBER(T1303),T1303,-99)</f>
        <v>16.7011876915938</v>
      </c>
      <c r="W1303" s="84" t="str">
        <f aca="false">IF(ISNUMBER(U1303),ABS(U1303),"")</f>
        <v/>
      </c>
    </row>
    <row r="1304" customFormat="false" ht="15" hidden="false" customHeight="false" outlineLevel="0" collapsed="false">
      <c r="A1304" s="57" t="n">
        <v>31976</v>
      </c>
      <c r="B1304" s="56" t="n">
        <v>1987</v>
      </c>
      <c r="C1304" s="56" t="n">
        <v>7</v>
      </c>
      <c r="D1304" s="56" t="n">
        <v>79</v>
      </c>
      <c r="E1304" s="56" t="n">
        <v>17.8</v>
      </c>
      <c r="F1304" s="56" t="n">
        <v>0</v>
      </c>
      <c r="G1304" s="56" t="n">
        <v>12.8</v>
      </c>
      <c r="H1304" s="56" t="n">
        <v>0</v>
      </c>
      <c r="I1304" s="56" t="n">
        <v>15.1</v>
      </c>
      <c r="J1304" s="56" t="n">
        <v>0</v>
      </c>
      <c r="K1304" s="56" t="n">
        <v>1000</v>
      </c>
      <c r="L1304" s="56" t="n">
        <v>0</v>
      </c>
      <c r="M1304" s="56" t="n">
        <v>86</v>
      </c>
      <c r="N1304" s="56" t="n">
        <v>0</v>
      </c>
      <c r="O1304" s="56" t="n">
        <f aca="false">IF(D1304=1,"",E1303)</f>
        <v>17.4</v>
      </c>
      <c r="P1304" s="56" t="n">
        <f aca="false">IF(OR(D1304=1,K1303=""),"",K1303)</f>
        <v>997.3</v>
      </c>
      <c r="Q1304" s="56" t="n">
        <f aca="false">IF(OR(F1304&lt;&gt;0,AND(I1304&lt;&gt;"",E1304&lt;I1304)),1,0)</f>
        <v>0</v>
      </c>
      <c r="R1304" s="56" t="n">
        <f aca="false">IF(AND(D1304&gt;1,Q1304=0,ISNUMBER(O1304),ISNUMBER(P1304)),IF(Q1303=0,1,0),0)</f>
        <v>1</v>
      </c>
      <c r="S1304" s="56" t="n">
        <f aca="false">R1304*(B1304&gt;=Train_Start)*(B1304&lt;=Train_End)</f>
        <v>1</v>
      </c>
      <c r="T1304" s="84" t="n">
        <f aca="false">IF(AND(ISNUMBER(O1304),ISNUMBER(P1304)),Coef_A+Coef_B1*O1304+Coef_B2*P1304,"")</f>
        <v>17.6286732994156</v>
      </c>
      <c r="U1304" s="84" t="n">
        <f aca="false">IF(AND(R1304=1,ISNUMBER(T1304)),E1304-T1304,"")</f>
        <v>0.171326700584441</v>
      </c>
      <c r="V1304" s="84" t="n">
        <f aca="false">IF(ISNUMBER(T1304),T1304,-99)</f>
        <v>17.6286732994156</v>
      </c>
      <c r="W1304" s="84" t="n">
        <f aca="false">IF(ISNUMBER(U1304),ABS(U1304),"")</f>
        <v>0.171326700584441</v>
      </c>
    </row>
    <row r="1305" customFormat="false" ht="15" hidden="false" customHeight="false" outlineLevel="0" collapsed="false">
      <c r="A1305" s="57" t="n">
        <v>31977</v>
      </c>
      <c r="B1305" s="56" t="n">
        <v>1987</v>
      </c>
      <c r="C1305" s="56" t="n">
        <v>7</v>
      </c>
      <c r="D1305" s="56" t="n">
        <v>80</v>
      </c>
      <c r="E1305" s="56" t="n">
        <v>20.3</v>
      </c>
      <c r="F1305" s="56" t="n">
        <v>0</v>
      </c>
      <c r="G1305" s="56" t="n">
        <v>12.8</v>
      </c>
      <c r="H1305" s="56" t="n">
        <v>0</v>
      </c>
      <c r="I1305" s="56" t="n">
        <v>15.3</v>
      </c>
      <c r="J1305" s="56" t="n">
        <v>0</v>
      </c>
      <c r="K1305" s="56" t="n">
        <v>1000.2</v>
      </c>
      <c r="L1305" s="56" t="n">
        <v>0</v>
      </c>
      <c r="M1305" s="56" t="n">
        <v>94</v>
      </c>
      <c r="N1305" s="56" t="n">
        <v>0.6</v>
      </c>
      <c r="O1305" s="56" t="n">
        <f aca="false">IF(D1305=1,"",E1304)</f>
        <v>17.8</v>
      </c>
      <c r="P1305" s="56" t="n">
        <f aca="false">IF(OR(D1305=1,K1304=""),"",K1304)</f>
        <v>1000</v>
      </c>
      <c r="Q1305" s="56" t="n">
        <f aca="false">IF(OR(F1305&lt;&gt;0,AND(I1305&lt;&gt;"",E1305&lt;I1305)),1,0)</f>
        <v>0</v>
      </c>
      <c r="R1305" s="56" t="n">
        <f aca="false">IF(AND(D1305&gt;1,Q1305=0,ISNUMBER(O1305),ISNUMBER(P1305)),IF(Q1304=0,1,0),0)</f>
        <v>1</v>
      </c>
      <c r="S1305" s="56" t="n">
        <f aca="false">R1305*(B1305&gt;=Train_Start)*(B1305&lt;=Train_End)</f>
        <v>1</v>
      </c>
      <c r="T1305" s="84" t="n">
        <f aca="false">IF(AND(ISNUMBER(O1305),ISNUMBER(P1305)),Coef_A+Coef_B1*O1305+Coef_B2*P1305,"")</f>
        <v>18.0411076921444</v>
      </c>
      <c r="U1305" s="84" t="n">
        <f aca="false">IF(AND(R1305=1,ISNUMBER(T1305)),E1305-T1305,"")</f>
        <v>2.25889230785561</v>
      </c>
      <c r="V1305" s="84" t="n">
        <f aca="false">IF(ISNUMBER(T1305),T1305,-99)</f>
        <v>18.0411076921444</v>
      </c>
      <c r="W1305" s="84" t="n">
        <f aca="false">IF(ISNUMBER(U1305),ABS(U1305),"")</f>
        <v>2.25889230785561</v>
      </c>
    </row>
    <row r="1306" customFormat="false" ht="15" hidden="false" customHeight="false" outlineLevel="0" collapsed="false">
      <c r="A1306" s="57" t="n">
        <v>31978</v>
      </c>
      <c r="B1306" s="56" t="n">
        <v>1987</v>
      </c>
      <c r="C1306" s="56" t="n">
        <v>7</v>
      </c>
      <c r="D1306" s="56" t="n">
        <v>81</v>
      </c>
      <c r="E1306" s="56" t="n">
        <v>15.5</v>
      </c>
      <c r="F1306" s="56" t="n">
        <v>1</v>
      </c>
      <c r="G1306" s="56" t="n">
        <v>13.9</v>
      </c>
      <c r="H1306" s="56" t="n">
        <v>0</v>
      </c>
      <c r="I1306" s="56" t="n">
        <v>17.1</v>
      </c>
      <c r="J1306" s="56" t="n">
        <v>1</v>
      </c>
      <c r="K1306" s="56" t="n">
        <v>1009.6</v>
      </c>
      <c r="L1306" s="56" t="n">
        <v>0</v>
      </c>
      <c r="M1306" s="56" t="n">
        <v>86</v>
      </c>
      <c r="N1306" s="56" t="n">
        <v>2.6</v>
      </c>
      <c r="O1306" s="56" t="n">
        <f aca="false">IF(D1306=1,"",E1305)</f>
        <v>20.3</v>
      </c>
      <c r="P1306" s="56" t="n">
        <f aca="false">IF(OR(D1306=1,K1305=""),"",K1305)</f>
        <v>1000.2</v>
      </c>
      <c r="Q1306" s="56" t="n">
        <f aca="false">IF(OR(F1306&lt;&gt;0,AND(I1306&lt;&gt;"",E1306&lt;I1306)),1,0)</f>
        <v>1</v>
      </c>
      <c r="R1306" s="56" t="n">
        <f aca="false">IF(AND(D1306&gt;1,Q1306=0,ISNUMBER(O1306),ISNUMBER(P1306)),IF(Q1305=0,1,0),0)</f>
        <v>0</v>
      </c>
      <c r="S1306" s="56" t="n">
        <f aca="false">R1306*(B1306&gt;=Train_Start)*(B1306&lt;=Train_End)</f>
        <v>0</v>
      </c>
      <c r="T1306" s="84" t="n">
        <f aca="false">IF(AND(ISNUMBER(O1306),ISNUMBER(P1306)),Coef_A+Coef_B1*O1306+Coef_B2*P1306,"")</f>
        <v>20.0957296536778</v>
      </c>
      <c r="U1306" s="84" t="str">
        <f aca="false">IF(AND(R1306=1,ISNUMBER(T1306)),E1306-T1306,"")</f>
        <v/>
      </c>
      <c r="V1306" s="84" t="n">
        <f aca="false">IF(ISNUMBER(T1306),T1306,-99)</f>
        <v>20.0957296536778</v>
      </c>
      <c r="W1306" s="84" t="str">
        <f aca="false">IF(ISNUMBER(U1306),ABS(U1306),"")</f>
        <v/>
      </c>
    </row>
    <row r="1307" customFormat="false" ht="15" hidden="false" customHeight="false" outlineLevel="0" collapsed="false">
      <c r="A1307" s="57" t="n">
        <v>31979</v>
      </c>
      <c r="B1307" s="56" t="n">
        <v>1987</v>
      </c>
      <c r="C1307" s="56" t="n">
        <v>7</v>
      </c>
      <c r="D1307" s="56" t="n">
        <v>82</v>
      </c>
      <c r="E1307" s="56" t="n">
        <v>17.7</v>
      </c>
      <c r="F1307" s="56" t="n">
        <v>0</v>
      </c>
      <c r="G1307" s="56" t="n">
        <v>13.3</v>
      </c>
      <c r="H1307" s="56" t="n">
        <v>0</v>
      </c>
      <c r="I1307" s="56" t="n">
        <v>14.4</v>
      </c>
      <c r="J1307" s="56" t="n">
        <v>0</v>
      </c>
      <c r="K1307" s="56" t="n">
        <v>1016.2</v>
      </c>
      <c r="L1307" s="56" t="n">
        <v>0</v>
      </c>
      <c r="M1307" s="56" t="n">
        <v>89</v>
      </c>
      <c r="N1307" s="56" t="n">
        <v>0</v>
      </c>
      <c r="O1307" s="56" t="n">
        <f aca="false">IF(D1307=1,"",E1306)</f>
        <v>15.5</v>
      </c>
      <c r="P1307" s="56" t="n">
        <f aca="false">IF(OR(D1307=1,K1306=""),"",K1306)</f>
        <v>1009.6</v>
      </c>
      <c r="Q1307" s="56" t="n">
        <f aca="false">IF(OR(F1307&lt;&gt;0,AND(I1307&lt;&gt;"",E1307&lt;I1307)),1,0)</f>
        <v>0</v>
      </c>
      <c r="R1307" s="56" t="n">
        <f aca="false">IF(AND(D1307&gt;1,Q1307=0,ISNUMBER(O1307),ISNUMBER(P1307)),IF(Q1306=0,1,0),0)</f>
        <v>0</v>
      </c>
      <c r="S1307" s="56" t="n">
        <f aca="false">R1307*(B1307&gt;=Train_Start)*(B1307&lt;=Train_End)</f>
        <v>0</v>
      </c>
      <c r="T1307" s="84" t="n">
        <f aca="false">IF(AND(ISNUMBER(O1307),ISNUMBER(P1307)),Coef_A+Coef_B1*O1307+Coef_B2*P1307,"")</f>
        <v>16.4577785366326</v>
      </c>
      <c r="U1307" s="84" t="str">
        <f aca="false">IF(AND(R1307=1,ISNUMBER(T1307)),E1307-T1307,"")</f>
        <v/>
      </c>
      <c r="V1307" s="84" t="n">
        <f aca="false">IF(ISNUMBER(T1307),T1307,-99)</f>
        <v>16.4577785366326</v>
      </c>
      <c r="W1307" s="84" t="str">
        <f aca="false">IF(ISNUMBER(U1307),ABS(U1307),"")</f>
        <v/>
      </c>
    </row>
    <row r="1308" customFormat="false" ht="15" hidden="false" customHeight="false" outlineLevel="0" collapsed="false">
      <c r="A1308" s="57" t="n">
        <v>31980</v>
      </c>
      <c r="B1308" s="56" t="n">
        <v>1987</v>
      </c>
      <c r="C1308" s="56" t="n">
        <v>7</v>
      </c>
      <c r="D1308" s="56" t="n">
        <v>83</v>
      </c>
      <c r="E1308" s="56" t="n">
        <v>15.3</v>
      </c>
      <c r="F1308" s="56" t="n">
        <v>1</v>
      </c>
      <c r="G1308" s="56" t="n">
        <v>13.5</v>
      </c>
      <c r="H1308" s="56" t="n">
        <v>0</v>
      </c>
      <c r="I1308" s="56" t="n">
        <v>15.6</v>
      </c>
      <c r="J1308" s="56" t="n">
        <v>1</v>
      </c>
      <c r="K1308" s="56" t="n">
        <v>1018.6</v>
      </c>
      <c r="L1308" s="56" t="n">
        <v>0</v>
      </c>
      <c r="M1308" s="56" t="n">
        <v>90</v>
      </c>
      <c r="N1308" s="56" t="n">
        <v>0</v>
      </c>
      <c r="O1308" s="56" t="n">
        <f aca="false">IF(D1308=1,"",E1307)</f>
        <v>17.7</v>
      </c>
      <c r="P1308" s="56" t="n">
        <f aca="false">IF(OR(D1308=1,K1307=""),"",K1307)</f>
        <v>1016.2</v>
      </c>
      <c r="Q1308" s="56" t="n">
        <f aca="false">IF(OR(F1308&lt;&gt;0,AND(I1308&lt;&gt;"",E1308&lt;I1308)),1,0)</f>
        <v>1</v>
      </c>
      <c r="R1308" s="56" t="n">
        <f aca="false">IF(AND(D1308&gt;1,Q1308=0,ISNUMBER(O1308),ISNUMBER(P1308)),IF(Q1307=0,1,0),0)</f>
        <v>0</v>
      </c>
      <c r="S1308" s="56" t="n">
        <f aca="false">R1308*(B1308&gt;=Train_Start)*(B1308&lt;=Train_End)</f>
        <v>0</v>
      </c>
      <c r="T1308" s="84" t="n">
        <f aca="false">IF(AND(ISNUMBER(O1308),ISNUMBER(P1308)),Coef_A+Coef_B1*O1308+Coef_B2*P1308,"")</f>
        <v>18.4673660659108</v>
      </c>
      <c r="U1308" s="84" t="str">
        <f aca="false">IF(AND(R1308=1,ISNUMBER(T1308)),E1308-T1308,"")</f>
        <v/>
      </c>
      <c r="V1308" s="84" t="n">
        <f aca="false">IF(ISNUMBER(T1308),T1308,-99)</f>
        <v>18.4673660659108</v>
      </c>
      <c r="W1308" s="84" t="str">
        <f aca="false">IF(ISNUMBER(U1308),ABS(U1308),"")</f>
        <v/>
      </c>
    </row>
    <row r="1309" customFormat="false" ht="15" hidden="false" customHeight="false" outlineLevel="0" collapsed="false">
      <c r="A1309" s="57" t="n">
        <v>31981</v>
      </c>
      <c r="B1309" s="56" t="n">
        <v>1987</v>
      </c>
      <c r="C1309" s="56" t="n">
        <v>7</v>
      </c>
      <c r="D1309" s="56" t="n">
        <v>84</v>
      </c>
      <c r="E1309" s="56" t="n">
        <v>19.9</v>
      </c>
      <c r="F1309" s="56" t="n">
        <v>0</v>
      </c>
      <c r="G1309" s="56" t="n">
        <v>13.1</v>
      </c>
      <c r="H1309" s="56" t="n">
        <v>0</v>
      </c>
      <c r="I1309" s="56" t="n">
        <v>14.2</v>
      </c>
      <c r="J1309" s="56" t="n">
        <v>0</v>
      </c>
      <c r="K1309" s="56" t="n">
        <v>1021.2</v>
      </c>
      <c r="L1309" s="56" t="n">
        <v>0</v>
      </c>
      <c r="M1309" s="56" t="n">
        <v>89</v>
      </c>
      <c r="N1309" s="56" t="n">
        <v>0</v>
      </c>
      <c r="O1309" s="56" t="n">
        <f aca="false">IF(D1309=1,"",E1308)</f>
        <v>15.3</v>
      </c>
      <c r="P1309" s="56" t="n">
        <f aca="false">IF(OR(D1309=1,K1308=""),"",K1308)</f>
        <v>1018.6</v>
      </c>
      <c r="Q1309" s="56" t="n">
        <f aca="false">IF(OR(F1309&lt;&gt;0,AND(I1309&lt;&gt;"",E1309&lt;I1309)),1,0)</f>
        <v>0</v>
      </c>
      <c r="R1309" s="56" t="n">
        <f aca="false">IF(AND(D1309&gt;1,Q1309=0,ISNUMBER(O1309),ISNUMBER(P1309)),IF(Q1308=0,1,0),0)</f>
        <v>0</v>
      </c>
      <c r="S1309" s="56" t="n">
        <f aca="false">R1309*(B1309&gt;=Train_Start)*(B1309&lt;=Train_End)</f>
        <v>0</v>
      </c>
      <c r="T1309" s="84" t="n">
        <f aca="false">IF(AND(ISNUMBER(O1309),ISNUMBER(P1309)),Coef_A+Coef_B1*O1309+Coef_B2*P1309,"")</f>
        <v>16.57623974973</v>
      </c>
      <c r="U1309" s="84" t="str">
        <f aca="false">IF(AND(R1309=1,ISNUMBER(T1309)),E1309-T1309,"")</f>
        <v/>
      </c>
      <c r="V1309" s="84" t="n">
        <f aca="false">IF(ISNUMBER(T1309),T1309,-99)</f>
        <v>16.57623974973</v>
      </c>
      <c r="W1309" s="84" t="str">
        <f aca="false">IF(ISNUMBER(U1309),ABS(U1309),"")</f>
        <v/>
      </c>
    </row>
    <row r="1310" customFormat="false" ht="15" hidden="false" customHeight="false" outlineLevel="0" collapsed="false">
      <c r="A1310" s="57" t="n">
        <v>31982</v>
      </c>
      <c r="B1310" s="56" t="n">
        <v>1987</v>
      </c>
      <c r="C1310" s="56" t="n">
        <v>7</v>
      </c>
      <c r="D1310" s="56" t="n">
        <v>85</v>
      </c>
      <c r="E1310" s="56" t="n">
        <v>18.1</v>
      </c>
      <c r="F1310" s="56" t="n">
        <v>0</v>
      </c>
      <c r="G1310" s="56" t="n">
        <v>10.9</v>
      </c>
      <c r="H1310" s="56" t="n">
        <v>0</v>
      </c>
      <c r="I1310" s="56" t="n">
        <v>15.4</v>
      </c>
      <c r="J1310" s="56" t="n">
        <v>0</v>
      </c>
      <c r="K1310" s="56" t="n">
        <v>1020.6</v>
      </c>
      <c r="L1310" s="56" t="n">
        <v>0</v>
      </c>
      <c r="M1310" s="56" t="n">
        <v>85</v>
      </c>
      <c r="N1310" s="56" t="n">
        <v>0.1</v>
      </c>
      <c r="O1310" s="56" t="n">
        <f aca="false">IF(D1310=1,"",E1309)</f>
        <v>19.9</v>
      </c>
      <c r="P1310" s="56" t="n">
        <f aca="false">IF(OR(D1310=1,K1309=""),"",K1309)</f>
        <v>1021.2</v>
      </c>
      <c r="Q1310" s="56" t="n">
        <f aca="false">IF(OR(F1310&lt;&gt;0,AND(I1310&lt;&gt;"",E1310&lt;I1310)),1,0)</f>
        <v>0</v>
      </c>
      <c r="R1310" s="56" t="n">
        <f aca="false">IF(AND(D1310&gt;1,Q1310=0,ISNUMBER(O1310),ISNUMBER(P1310)),IF(Q1309=0,1,0),0)</f>
        <v>1</v>
      </c>
      <c r="S1310" s="56" t="n">
        <f aca="false">R1310*(B1310&gt;=Train_Start)*(B1310&lt;=Train_End)</f>
        <v>1</v>
      </c>
      <c r="T1310" s="84" t="n">
        <f aca="false">IF(AND(ISNUMBER(O1310),ISNUMBER(P1310)),Coef_A+Coef_B1*O1310+Coef_B2*P1310,"")</f>
        <v>20.4267617637746</v>
      </c>
      <c r="U1310" s="84" t="n">
        <f aca="false">IF(AND(R1310=1,ISNUMBER(T1310)),E1310-T1310,"")</f>
        <v>-2.32676176377455</v>
      </c>
      <c r="V1310" s="84" t="n">
        <f aca="false">IF(ISNUMBER(T1310),T1310,-99)</f>
        <v>20.4267617637746</v>
      </c>
      <c r="W1310" s="84" t="n">
        <f aca="false">IF(ISNUMBER(U1310),ABS(U1310),"")</f>
        <v>2.32676176377455</v>
      </c>
    </row>
    <row r="1311" customFormat="false" ht="15" hidden="false" customHeight="false" outlineLevel="0" collapsed="false">
      <c r="A1311" s="57" t="n">
        <v>31983</v>
      </c>
      <c r="B1311" s="56" t="n">
        <v>1987</v>
      </c>
      <c r="C1311" s="56" t="n">
        <v>7</v>
      </c>
      <c r="D1311" s="56" t="n">
        <v>86</v>
      </c>
      <c r="E1311" s="56" t="n">
        <v>20.8</v>
      </c>
      <c r="F1311" s="56" t="n">
        <v>0</v>
      </c>
      <c r="G1311" s="56" t="n">
        <v>10.3</v>
      </c>
      <c r="H1311" s="56" t="n">
        <v>0</v>
      </c>
      <c r="I1311" s="56" t="n">
        <v>14.2</v>
      </c>
      <c r="J1311" s="56" t="n">
        <v>0</v>
      </c>
      <c r="K1311" s="56" t="n">
        <v>1020.6</v>
      </c>
      <c r="L1311" s="56" t="n">
        <v>0</v>
      </c>
      <c r="M1311" s="56" t="n">
        <v>68</v>
      </c>
      <c r="N1311" s="56" t="n">
        <v>5.5</v>
      </c>
      <c r="O1311" s="56" t="n">
        <f aca="false">IF(D1311=1,"",E1310)</f>
        <v>18.1</v>
      </c>
      <c r="P1311" s="56" t="n">
        <f aca="false">IF(OR(D1311=1,K1310=""),"",K1310)</f>
        <v>1020.6</v>
      </c>
      <c r="Q1311" s="56" t="n">
        <f aca="false">IF(OR(F1311&lt;&gt;0,AND(I1311&lt;&gt;"",E1311&lt;I1311)),1,0)</f>
        <v>0</v>
      </c>
      <c r="R1311" s="56" t="n">
        <f aca="false">IF(AND(D1311&gt;1,Q1311=0,ISNUMBER(O1311),ISNUMBER(P1311)),IF(Q1310=0,1,0),0)</f>
        <v>1</v>
      </c>
      <c r="S1311" s="56" t="n">
        <f aca="false">R1311*(B1311&gt;=Train_Start)*(B1311&lt;=Train_End)</f>
        <v>1</v>
      </c>
      <c r="T1311" s="84" t="n">
        <f aca="false">IF(AND(ISNUMBER(O1311),ISNUMBER(P1311)),Coef_A+Coef_B1*O1311+Coef_B2*P1311,"")</f>
        <v>18.9331292795174</v>
      </c>
      <c r="U1311" s="84" t="n">
        <f aca="false">IF(AND(R1311=1,ISNUMBER(T1311)),E1311-T1311,"")</f>
        <v>1.86687072048262</v>
      </c>
      <c r="V1311" s="84" t="n">
        <f aca="false">IF(ISNUMBER(T1311),T1311,-99)</f>
        <v>18.9331292795174</v>
      </c>
      <c r="W1311" s="84" t="n">
        <f aca="false">IF(ISNUMBER(U1311),ABS(U1311),"")</f>
        <v>1.86687072048262</v>
      </c>
    </row>
    <row r="1312" customFormat="false" ht="15" hidden="false" customHeight="false" outlineLevel="0" collapsed="false">
      <c r="A1312" s="57" t="n">
        <v>31984</v>
      </c>
      <c r="B1312" s="56" t="n">
        <v>1987</v>
      </c>
      <c r="C1312" s="56" t="n">
        <v>7</v>
      </c>
      <c r="D1312" s="56" t="n">
        <v>87</v>
      </c>
      <c r="E1312" s="56" t="n">
        <v>21.3</v>
      </c>
      <c r="F1312" s="56" t="n">
        <v>0</v>
      </c>
      <c r="G1312" s="56" t="n">
        <v>8.2</v>
      </c>
      <c r="H1312" s="56" t="n">
        <v>0</v>
      </c>
      <c r="I1312" s="56" t="n">
        <v>14.5</v>
      </c>
      <c r="J1312" s="56" t="n">
        <v>0</v>
      </c>
      <c r="K1312" s="56" t="n">
        <v>1020.6</v>
      </c>
      <c r="L1312" s="56" t="n">
        <v>0</v>
      </c>
      <c r="M1312" s="56" t="n">
        <v>72</v>
      </c>
      <c r="N1312" s="56" t="n">
        <v>10.2</v>
      </c>
      <c r="O1312" s="56" t="n">
        <f aca="false">IF(D1312=1,"",E1311)</f>
        <v>20.8</v>
      </c>
      <c r="P1312" s="56" t="n">
        <f aca="false">IF(OR(D1312=1,K1311=""),"",K1311)</f>
        <v>1020.6</v>
      </c>
      <c r="Q1312" s="56" t="n">
        <f aca="false">IF(OR(F1312&lt;&gt;0,AND(I1312&lt;&gt;"",E1312&lt;I1312)),1,0)</f>
        <v>0</v>
      </c>
      <c r="R1312" s="56" t="n">
        <f aca="false">IF(AND(D1312&gt;1,Q1312=0,ISNUMBER(O1312),ISNUMBER(P1312)),IF(Q1311=0,1,0),0)</f>
        <v>1</v>
      </c>
      <c r="S1312" s="56" t="n">
        <f aca="false">R1312*(B1312&gt;=Train_Start)*(B1312&lt;=Train_End)</f>
        <v>1</v>
      </c>
      <c r="T1312" s="84" t="n">
        <f aca="false">IF(AND(ISNUMBER(O1312),ISNUMBER(P1312)),Coef_A+Coef_B1*O1312+Coef_B2*P1312,"")</f>
        <v>21.1453451007326</v>
      </c>
      <c r="U1312" s="84" t="n">
        <f aca="false">IF(AND(R1312=1,ISNUMBER(T1312)),E1312-T1312,"")</f>
        <v>0.154654899267449</v>
      </c>
      <c r="V1312" s="84" t="n">
        <f aca="false">IF(ISNUMBER(T1312),T1312,-99)</f>
        <v>21.1453451007326</v>
      </c>
      <c r="W1312" s="84" t="n">
        <f aca="false">IF(ISNUMBER(U1312),ABS(U1312),"")</f>
        <v>0.154654899267449</v>
      </c>
    </row>
    <row r="1313" customFormat="false" ht="15" hidden="false" customHeight="false" outlineLevel="0" collapsed="false">
      <c r="A1313" s="57" t="n">
        <v>31985</v>
      </c>
      <c r="B1313" s="56" t="n">
        <v>1987</v>
      </c>
      <c r="C1313" s="56" t="n">
        <v>7</v>
      </c>
      <c r="D1313" s="56" t="n">
        <v>88</v>
      </c>
      <c r="E1313" s="56" t="n">
        <v>22.7</v>
      </c>
      <c r="F1313" s="56" t="n">
        <v>0</v>
      </c>
      <c r="G1313" s="56" t="n">
        <v>13.4</v>
      </c>
      <c r="H1313" s="56" t="n">
        <v>0</v>
      </c>
      <c r="I1313" s="56" t="n">
        <v>17.4</v>
      </c>
      <c r="J1313" s="56" t="n">
        <v>0</v>
      </c>
      <c r="K1313" s="56" t="n">
        <v>1014.6</v>
      </c>
      <c r="L1313" s="56" t="n">
        <v>0</v>
      </c>
      <c r="M1313" s="56" t="n">
        <v>70</v>
      </c>
      <c r="N1313" s="56" t="n">
        <v>8.9</v>
      </c>
      <c r="O1313" s="56" t="n">
        <f aca="false">IF(D1313=1,"",E1312)</f>
        <v>21.3</v>
      </c>
      <c r="P1313" s="56" t="n">
        <f aca="false">IF(OR(D1313=1,K1312=""),"",K1312)</f>
        <v>1020.6</v>
      </c>
      <c r="Q1313" s="56" t="n">
        <f aca="false">IF(OR(F1313&lt;&gt;0,AND(I1313&lt;&gt;"",E1313&lt;I1313)),1,0)</f>
        <v>0</v>
      </c>
      <c r="R1313" s="56" t="n">
        <f aca="false">IF(AND(D1313&gt;1,Q1313=0,ISNUMBER(O1313),ISNUMBER(P1313)),IF(Q1312=0,1,0),0)</f>
        <v>1</v>
      </c>
      <c r="S1313" s="56" t="n">
        <f aca="false">R1313*(B1313&gt;=Train_Start)*(B1313&lt;=Train_End)</f>
        <v>1</v>
      </c>
      <c r="T1313" s="84" t="n">
        <f aca="false">IF(AND(ISNUMBER(O1313),ISNUMBER(P1313)),Coef_A+Coef_B1*O1313+Coef_B2*P1313,"")</f>
        <v>21.5550146972539</v>
      </c>
      <c r="U1313" s="84" t="n">
        <f aca="false">IF(AND(R1313=1,ISNUMBER(T1313)),E1313-T1313,"")</f>
        <v>1.14498530274612</v>
      </c>
      <c r="V1313" s="84" t="n">
        <f aca="false">IF(ISNUMBER(T1313),T1313,-99)</f>
        <v>21.5550146972539</v>
      </c>
      <c r="W1313" s="84" t="n">
        <f aca="false">IF(ISNUMBER(U1313),ABS(U1313),"")</f>
        <v>1.14498530274612</v>
      </c>
    </row>
    <row r="1314" customFormat="false" ht="15" hidden="false" customHeight="false" outlineLevel="0" collapsed="false">
      <c r="A1314" s="57" t="n">
        <v>31986</v>
      </c>
      <c r="B1314" s="56" t="n">
        <v>1987</v>
      </c>
      <c r="C1314" s="56" t="n">
        <v>7</v>
      </c>
      <c r="D1314" s="56" t="n">
        <v>89</v>
      </c>
      <c r="E1314" s="56" t="n">
        <v>21.9</v>
      </c>
      <c r="F1314" s="56" t="n">
        <v>0</v>
      </c>
      <c r="G1314" s="56" t="n">
        <v>12</v>
      </c>
      <c r="H1314" s="56" t="n">
        <v>0</v>
      </c>
      <c r="I1314" s="56" t="n">
        <v>17.4</v>
      </c>
      <c r="J1314" s="56" t="n">
        <v>0</v>
      </c>
      <c r="K1314" s="56" t="n">
        <v>1017</v>
      </c>
      <c r="L1314" s="56" t="n">
        <v>0</v>
      </c>
      <c r="M1314" s="56" t="n">
        <v>76</v>
      </c>
      <c r="N1314" s="56" t="n">
        <v>4.5</v>
      </c>
      <c r="O1314" s="56" t="n">
        <f aca="false">IF(D1314=1,"",E1313)</f>
        <v>22.7</v>
      </c>
      <c r="P1314" s="56" t="n">
        <f aca="false">IF(OR(D1314=1,K1313=""),"",K1313)</f>
        <v>1014.6</v>
      </c>
      <c r="Q1314" s="56" t="n">
        <f aca="false">IF(OR(F1314&lt;&gt;0,AND(I1314&lt;&gt;"",E1314&lt;I1314)),1,0)</f>
        <v>0</v>
      </c>
      <c r="R1314" s="56" t="n">
        <f aca="false">IF(AND(D1314&gt;1,Q1314=0,ISNUMBER(O1314),ISNUMBER(P1314)),IF(Q1313=0,1,0),0)</f>
        <v>1</v>
      </c>
      <c r="S1314" s="56" t="n">
        <f aca="false">R1314*(B1314&gt;=Train_Start)*(B1314&lt;=Train_End)</f>
        <v>1</v>
      </c>
      <c r="T1314" s="84" t="n">
        <f aca="false">IF(AND(ISNUMBER(O1314),ISNUMBER(P1314)),Coef_A+Coef_B1*O1314+Coef_B2*P1314,"")</f>
        <v>22.5138701997097</v>
      </c>
      <c r="U1314" s="84" t="n">
        <f aca="false">IF(AND(R1314=1,ISNUMBER(T1314)),E1314-T1314,"")</f>
        <v>-0.613870199709663</v>
      </c>
      <c r="V1314" s="84" t="n">
        <f aca="false">IF(ISNUMBER(T1314),T1314,-99)</f>
        <v>22.5138701997097</v>
      </c>
      <c r="W1314" s="84" t="n">
        <f aca="false">IF(ISNUMBER(U1314),ABS(U1314),"")</f>
        <v>0.613870199709663</v>
      </c>
    </row>
    <row r="1315" customFormat="false" ht="15" hidden="false" customHeight="false" outlineLevel="0" collapsed="false">
      <c r="A1315" s="57" t="n">
        <v>31987</v>
      </c>
      <c r="B1315" s="56" t="n">
        <v>1987</v>
      </c>
      <c r="C1315" s="56" t="n">
        <v>7</v>
      </c>
      <c r="D1315" s="56" t="n">
        <v>90</v>
      </c>
      <c r="E1315" s="56" t="n">
        <v>19.3</v>
      </c>
      <c r="F1315" s="56" t="n">
        <v>0</v>
      </c>
      <c r="G1315" s="56" t="n">
        <v>15.5</v>
      </c>
      <c r="H1315" s="56" t="n">
        <v>0</v>
      </c>
      <c r="I1315" s="56" t="n">
        <v>18.7</v>
      </c>
      <c r="J1315" s="56" t="n">
        <v>0</v>
      </c>
      <c r="K1315" s="56" t="n">
        <v>1011</v>
      </c>
      <c r="L1315" s="56" t="n">
        <v>0</v>
      </c>
      <c r="M1315" s="56" t="n">
        <v>89</v>
      </c>
      <c r="N1315" s="56" t="n">
        <v>2.2</v>
      </c>
      <c r="O1315" s="56" t="n">
        <f aca="false">IF(D1315=1,"",E1314)</f>
        <v>21.9</v>
      </c>
      <c r="P1315" s="56" t="n">
        <f aca="false">IF(OR(D1315=1,K1314=""),"",K1314)</f>
        <v>1017</v>
      </c>
      <c r="Q1315" s="56" t="n">
        <f aca="false">IF(OR(F1315&lt;&gt;0,AND(I1315&lt;&gt;"",E1315&lt;I1315)),1,0)</f>
        <v>0</v>
      </c>
      <c r="R1315" s="56" t="n">
        <f aca="false">IF(AND(D1315&gt;1,Q1315=0,ISNUMBER(O1315),ISNUMBER(P1315)),IF(Q1314=0,1,0),0)</f>
        <v>1</v>
      </c>
      <c r="S1315" s="56" t="n">
        <f aca="false">R1315*(B1315&gt;=Train_Start)*(B1315&lt;=Train_End)</f>
        <v>1</v>
      </c>
      <c r="T1315" s="84" t="n">
        <f aca="false">IF(AND(ISNUMBER(O1315),ISNUMBER(P1315)),Coef_A+Coef_B1*O1315+Coef_B2*P1315,"")</f>
        <v>21.9336865923971</v>
      </c>
      <c r="U1315" s="84" t="n">
        <f aca="false">IF(AND(R1315=1,ISNUMBER(T1315)),E1315-T1315,"")</f>
        <v>-2.63368659239711</v>
      </c>
      <c r="V1315" s="84" t="n">
        <f aca="false">IF(ISNUMBER(T1315),T1315,-99)</f>
        <v>21.9336865923971</v>
      </c>
      <c r="W1315" s="84" t="n">
        <f aca="false">IF(ISNUMBER(U1315),ABS(U1315),"")</f>
        <v>2.63368659239711</v>
      </c>
    </row>
    <row r="1316" customFormat="false" ht="15" hidden="false" customHeight="false" outlineLevel="0" collapsed="false">
      <c r="A1316" s="57" t="n">
        <v>31988</v>
      </c>
      <c r="B1316" s="56" t="n">
        <v>1987</v>
      </c>
      <c r="C1316" s="56" t="n">
        <v>7</v>
      </c>
      <c r="D1316" s="56" t="n">
        <v>91</v>
      </c>
      <c r="E1316" s="56" t="n">
        <v>25.1</v>
      </c>
      <c r="F1316" s="56" t="n">
        <v>0</v>
      </c>
      <c r="G1316" s="56" t="n">
        <v>13.8</v>
      </c>
      <c r="H1316" s="56" t="n">
        <v>0</v>
      </c>
      <c r="I1316" s="56" t="n">
        <v>16.6</v>
      </c>
      <c r="J1316" s="56" t="n">
        <v>0</v>
      </c>
      <c r="K1316" s="56" t="n">
        <v>1017.1</v>
      </c>
      <c r="L1316" s="56" t="n">
        <v>0</v>
      </c>
      <c r="M1316" s="56" t="n">
        <v>83</v>
      </c>
      <c r="N1316" s="56" t="n">
        <v>0.2</v>
      </c>
      <c r="O1316" s="56" t="n">
        <f aca="false">IF(D1316=1,"",E1315)</f>
        <v>19.3</v>
      </c>
      <c r="P1316" s="56" t="n">
        <f aca="false">IF(OR(D1316=1,K1315=""),"",K1315)</f>
        <v>1011</v>
      </c>
      <c r="Q1316" s="56" t="n">
        <f aca="false">IF(OR(F1316&lt;&gt;0,AND(I1316&lt;&gt;"",E1316&lt;I1316)),1,0)</f>
        <v>0</v>
      </c>
      <c r="R1316" s="56" t="n">
        <f aca="false">IF(AND(D1316&gt;1,Q1316=0,ISNUMBER(O1316),ISNUMBER(P1316)),IF(Q1315=0,1,0),0)</f>
        <v>1</v>
      </c>
      <c r="S1316" s="56" t="n">
        <f aca="false">R1316*(B1316&gt;=Train_Start)*(B1316&lt;=Train_End)</f>
        <v>1</v>
      </c>
      <c r="T1316" s="84" t="n">
        <f aca="false">IF(AND(ISNUMBER(O1316),ISNUMBER(P1316)),Coef_A+Coef_B1*O1316+Coef_B2*P1316,"")</f>
        <v>19.6151853226823</v>
      </c>
      <c r="U1316" s="84" t="n">
        <f aca="false">IF(AND(R1316=1,ISNUMBER(T1316)),E1316-T1316,"")</f>
        <v>5.48481467731774</v>
      </c>
      <c r="V1316" s="84" t="n">
        <f aca="false">IF(ISNUMBER(T1316),T1316,-99)</f>
        <v>19.6151853226823</v>
      </c>
      <c r="W1316" s="84" t="n">
        <f aca="false">IF(ISNUMBER(U1316),ABS(U1316),"")</f>
        <v>5.48481467731774</v>
      </c>
    </row>
    <row r="1317" customFormat="false" ht="15" hidden="false" customHeight="false" outlineLevel="0" collapsed="false">
      <c r="A1317" s="57" t="n">
        <v>31989</v>
      </c>
      <c r="B1317" s="56" t="n">
        <v>1987</v>
      </c>
      <c r="C1317" s="56" t="n">
        <v>7</v>
      </c>
      <c r="D1317" s="56" t="n">
        <v>92</v>
      </c>
      <c r="E1317" s="56" t="n">
        <v>21.6</v>
      </c>
      <c r="F1317" s="56" t="n">
        <v>0</v>
      </c>
      <c r="G1317" s="56" t="n">
        <v>14.4</v>
      </c>
      <c r="H1317" s="56" t="n">
        <v>0</v>
      </c>
      <c r="I1317" s="56" t="n">
        <v>19.8</v>
      </c>
      <c r="J1317" s="56" t="n">
        <v>0</v>
      </c>
      <c r="K1317" s="56" t="n">
        <v>1016</v>
      </c>
      <c r="L1317" s="56" t="n">
        <v>0</v>
      </c>
      <c r="M1317" s="56" t="n">
        <v>80</v>
      </c>
      <c r="N1317" s="56" t="n">
        <v>6.7</v>
      </c>
      <c r="O1317" s="56" t="n">
        <f aca="false">IF(D1317=1,"",E1316)</f>
        <v>25.1</v>
      </c>
      <c r="P1317" s="56" t="n">
        <f aca="false">IF(OR(D1317=1,K1316=""),"",K1316)</f>
        <v>1017.1</v>
      </c>
      <c r="Q1317" s="56" t="n">
        <f aca="false">IF(OR(F1317&lt;&gt;0,AND(I1317&lt;&gt;"",E1317&lt;I1317)),1,0)</f>
        <v>0</v>
      </c>
      <c r="R1317" s="56" t="n">
        <f aca="false">IF(AND(D1317&gt;1,Q1317=0,ISNUMBER(O1317),ISNUMBER(P1317)),IF(Q1316=0,1,0),0)</f>
        <v>1</v>
      </c>
      <c r="S1317" s="56" t="n">
        <f aca="false">R1317*(B1317&gt;=Train_Start)*(B1317&lt;=Train_End)</f>
        <v>1</v>
      </c>
      <c r="T1317" s="84" t="n">
        <f aca="false">IF(AND(ISNUMBER(O1317),ISNUMBER(P1317)),Coef_A+Coef_B1*O1317+Coef_B2*P1317,"")</f>
        <v>24.558708999597</v>
      </c>
      <c r="U1317" s="84" t="n">
        <f aca="false">IF(AND(R1317=1,ISNUMBER(T1317)),E1317-T1317,"")</f>
        <v>-2.95870899959701</v>
      </c>
      <c r="V1317" s="84" t="n">
        <f aca="false">IF(ISNUMBER(T1317),T1317,-99)</f>
        <v>24.558708999597</v>
      </c>
      <c r="W1317" s="84" t="n">
        <f aca="false">IF(ISNUMBER(U1317),ABS(U1317),"")</f>
        <v>2.95870899959701</v>
      </c>
    </row>
    <row r="1318" customFormat="false" ht="15" hidden="false" customHeight="false" outlineLevel="0" collapsed="false">
      <c r="A1318" s="57" t="n">
        <v>31990</v>
      </c>
      <c r="B1318" s="56" t="n">
        <v>1987</v>
      </c>
      <c r="C1318" s="56" t="n">
        <v>8</v>
      </c>
      <c r="D1318" s="56" t="n">
        <v>93</v>
      </c>
      <c r="E1318" s="56" t="n">
        <v>20.9</v>
      </c>
      <c r="F1318" s="56" t="n">
        <v>0</v>
      </c>
      <c r="G1318" s="56" t="n">
        <v>13.3</v>
      </c>
      <c r="H1318" s="56" t="n">
        <v>0</v>
      </c>
      <c r="I1318" s="56" t="n">
        <v>17.4</v>
      </c>
      <c r="J1318" s="56" t="n">
        <v>0</v>
      </c>
      <c r="K1318" s="56" t="n">
        <v>1015.9</v>
      </c>
      <c r="L1318" s="56" t="n">
        <v>0</v>
      </c>
      <c r="M1318" s="56" t="n">
        <v>66</v>
      </c>
      <c r="N1318" s="56" t="n">
        <v>7.4</v>
      </c>
      <c r="O1318" s="56" t="n">
        <f aca="false">IF(D1318=1,"",E1317)</f>
        <v>21.6</v>
      </c>
      <c r="P1318" s="56" t="n">
        <f aca="false">IF(OR(D1318=1,K1317=""),"",K1317)</f>
        <v>1016</v>
      </c>
      <c r="Q1318" s="56" t="n">
        <f aca="false">IF(OR(F1318&lt;&gt;0,AND(I1318&lt;&gt;"",E1318&lt;I1318)),1,0)</f>
        <v>0</v>
      </c>
      <c r="R1318" s="56" t="n">
        <f aca="false">IF(AND(D1318&gt;1,Q1318=0,ISNUMBER(O1318),ISNUMBER(P1318)),IF(Q1317=0,1,0),0)</f>
        <v>1</v>
      </c>
      <c r="S1318" s="56" t="n">
        <f aca="false">R1318*(B1318&gt;=Train_Start)*(B1318&lt;=Train_End)</f>
        <v>1</v>
      </c>
      <c r="T1318" s="84" t="n">
        <f aca="false">IF(AND(ISNUMBER(O1318),ISNUMBER(P1318)),Coef_A+Coef_B1*O1318+Coef_B2*P1318,"")</f>
        <v>21.6565149398503</v>
      </c>
      <c r="U1318" s="84" t="n">
        <f aca="false">IF(AND(R1318=1,ISNUMBER(T1318)),E1318-T1318,"")</f>
        <v>-0.756514939850327</v>
      </c>
      <c r="V1318" s="84" t="n">
        <f aca="false">IF(ISNUMBER(T1318),T1318,-99)</f>
        <v>21.6565149398503</v>
      </c>
      <c r="W1318" s="84" t="n">
        <f aca="false">IF(ISNUMBER(U1318),ABS(U1318),"")</f>
        <v>0.756514939850327</v>
      </c>
    </row>
    <row r="1319" customFormat="false" ht="15" hidden="false" customHeight="false" outlineLevel="0" collapsed="false">
      <c r="A1319" s="57" t="n">
        <v>31991</v>
      </c>
      <c r="B1319" s="56" t="n">
        <v>1987</v>
      </c>
      <c r="C1319" s="56" t="n">
        <v>8</v>
      </c>
      <c r="D1319" s="56" t="n">
        <v>94</v>
      </c>
      <c r="E1319" s="56" t="n">
        <v>21.2</v>
      </c>
      <c r="F1319" s="56" t="n">
        <v>0</v>
      </c>
      <c r="G1319" s="56" t="n">
        <v>13.9</v>
      </c>
      <c r="H1319" s="56" t="n">
        <v>0</v>
      </c>
      <c r="I1319" s="56" t="n">
        <v>17.4</v>
      </c>
      <c r="J1319" s="56" t="n">
        <v>0</v>
      </c>
      <c r="K1319" s="56" t="n">
        <v>1011.9</v>
      </c>
      <c r="L1319" s="56" t="n">
        <v>0</v>
      </c>
      <c r="M1319" s="56" t="n">
        <v>81</v>
      </c>
      <c r="N1319" s="56" t="n">
        <v>2.1</v>
      </c>
      <c r="O1319" s="56" t="n">
        <f aca="false">IF(D1319=1,"",E1318)</f>
        <v>20.9</v>
      </c>
      <c r="P1319" s="56" t="n">
        <f aca="false">IF(OR(D1319=1,K1318=""),"",K1318)</f>
        <v>1015.9</v>
      </c>
      <c r="Q1319" s="56" t="n">
        <f aca="false">IF(OR(F1319&lt;&gt;0,AND(I1319&lt;&gt;"",E1319&lt;I1319)),1,0)</f>
        <v>0</v>
      </c>
      <c r="R1319" s="56" t="n">
        <f aca="false">IF(AND(D1319&gt;1,Q1319=0,ISNUMBER(O1319),ISNUMBER(P1319)),IF(Q1318=0,1,0),0)</f>
        <v>1</v>
      </c>
      <c r="S1319" s="56" t="n">
        <f aca="false">R1319*(B1319&gt;=Train_Start)*(B1319&lt;=Train_End)</f>
        <v>1</v>
      </c>
      <c r="T1319" s="84" t="n">
        <f aca="false">IF(AND(ISNUMBER(O1319),ISNUMBER(P1319)),Coef_A+Coef_B1*O1319+Coef_B2*P1319,"")</f>
        <v>21.0798405152571</v>
      </c>
      <c r="U1319" s="84" t="n">
        <f aca="false">IF(AND(R1319=1,ISNUMBER(T1319)),E1319-T1319,"")</f>
        <v>0.120159484742935</v>
      </c>
      <c r="V1319" s="84" t="n">
        <f aca="false">IF(ISNUMBER(T1319),T1319,-99)</f>
        <v>21.0798405152571</v>
      </c>
      <c r="W1319" s="84" t="n">
        <f aca="false">IF(ISNUMBER(U1319),ABS(U1319),"")</f>
        <v>0.120159484742935</v>
      </c>
    </row>
    <row r="1320" customFormat="false" ht="15" hidden="false" customHeight="false" outlineLevel="0" collapsed="false">
      <c r="A1320" s="57" t="n">
        <v>31992</v>
      </c>
      <c r="B1320" s="56" t="n">
        <v>1987</v>
      </c>
      <c r="C1320" s="56" t="n">
        <v>8</v>
      </c>
      <c r="D1320" s="56" t="n">
        <v>95</v>
      </c>
      <c r="E1320" s="56" t="n">
        <v>18.5</v>
      </c>
      <c r="F1320" s="56" t="n">
        <v>0</v>
      </c>
      <c r="G1320" s="56" t="n">
        <v>12.5</v>
      </c>
      <c r="H1320" s="56" t="n">
        <v>0</v>
      </c>
      <c r="I1320" s="56" t="n">
        <v>16.8</v>
      </c>
      <c r="J1320" s="56" t="n">
        <v>0</v>
      </c>
      <c r="K1320" s="56" t="n">
        <v>1012.7</v>
      </c>
      <c r="L1320" s="56" t="n">
        <v>0</v>
      </c>
      <c r="M1320" s="56" t="n">
        <v>70</v>
      </c>
      <c r="N1320" s="56" t="n">
        <v>6.4</v>
      </c>
      <c r="O1320" s="56" t="n">
        <f aca="false">IF(D1320=1,"",E1319)</f>
        <v>21.2</v>
      </c>
      <c r="P1320" s="56" t="n">
        <f aca="false">IF(OR(D1320=1,K1319=""),"",K1319)</f>
        <v>1011.9</v>
      </c>
      <c r="Q1320" s="56" t="n">
        <f aca="false">IF(OR(F1320&lt;&gt;0,AND(I1320&lt;&gt;"",E1320&lt;I1320)),1,0)</f>
        <v>0</v>
      </c>
      <c r="R1320" s="56" t="n">
        <f aca="false">IF(AND(D1320&gt;1,Q1320=0,ISNUMBER(O1320),ISNUMBER(P1320)),IF(Q1319=0,1,0),0)</f>
        <v>1</v>
      </c>
      <c r="S1320" s="56" t="n">
        <f aca="false">R1320*(B1320&gt;=Train_Start)*(B1320&lt;=Train_End)</f>
        <v>1</v>
      </c>
      <c r="T1320" s="84" t="n">
        <f aca="false">IF(AND(ISNUMBER(O1320),ISNUMBER(P1320)),Coef_A+Coef_B1*O1320+Coef_B2*P1320,"")</f>
        <v>21.2001626946339</v>
      </c>
      <c r="U1320" s="84" t="n">
        <f aca="false">IF(AND(R1320=1,ISNUMBER(T1320)),E1320-T1320,"")</f>
        <v>-2.7001626946339</v>
      </c>
      <c r="V1320" s="84" t="n">
        <f aca="false">IF(ISNUMBER(T1320),T1320,-99)</f>
        <v>21.2001626946339</v>
      </c>
      <c r="W1320" s="84" t="n">
        <f aca="false">IF(ISNUMBER(U1320),ABS(U1320),"")</f>
        <v>2.7001626946339</v>
      </c>
    </row>
    <row r="1321" customFormat="false" ht="15" hidden="false" customHeight="false" outlineLevel="0" collapsed="false">
      <c r="A1321" s="57" t="n">
        <v>31993</v>
      </c>
      <c r="B1321" s="56" t="n">
        <v>1987</v>
      </c>
      <c r="C1321" s="56" t="n">
        <v>8</v>
      </c>
      <c r="D1321" s="56" t="n">
        <v>96</v>
      </c>
      <c r="E1321" s="56" t="n">
        <v>19.1</v>
      </c>
      <c r="F1321" s="56" t="n">
        <v>0</v>
      </c>
      <c r="G1321" s="56" t="n">
        <v>10.2</v>
      </c>
      <c r="H1321" s="56" t="n">
        <v>0</v>
      </c>
      <c r="I1321" s="56" t="n">
        <v>14.4</v>
      </c>
      <c r="J1321" s="56" t="n">
        <v>0</v>
      </c>
      <c r="K1321" s="56" t="n">
        <v>1020.1</v>
      </c>
      <c r="L1321" s="56" t="n">
        <v>0</v>
      </c>
      <c r="M1321" s="56" t="n">
        <v>71</v>
      </c>
      <c r="N1321" s="56" t="n">
        <v>9.4</v>
      </c>
      <c r="O1321" s="56" t="n">
        <f aca="false">IF(D1321=1,"",E1320)</f>
        <v>18.5</v>
      </c>
      <c r="P1321" s="56" t="n">
        <f aca="false">IF(OR(D1321=1,K1320=""),"",K1320)</f>
        <v>1012.7</v>
      </c>
      <c r="Q1321" s="56" t="n">
        <f aca="false">IF(OR(F1321&lt;&gt;0,AND(I1321&lt;&gt;"",E1321&lt;I1321)),1,0)</f>
        <v>0</v>
      </c>
      <c r="R1321" s="56" t="n">
        <f aca="false">IF(AND(D1321&gt;1,Q1321=0,ISNUMBER(O1321),ISNUMBER(P1321)),IF(Q1320=0,1,0),0)</f>
        <v>1</v>
      </c>
      <c r="S1321" s="56" t="n">
        <f aca="false">R1321*(B1321&gt;=Train_Start)*(B1321&lt;=Train_End)</f>
        <v>1</v>
      </c>
      <c r="T1321" s="84" t="n">
        <f aca="false">IF(AND(ISNUMBER(O1321),ISNUMBER(P1321)),Coef_A+Coef_B1*O1321+Coef_B2*P1321,"")</f>
        <v>19.0130427891259</v>
      </c>
      <c r="U1321" s="84" t="n">
        <f aca="false">IF(AND(R1321=1,ISNUMBER(T1321)),E1321-T1321,"")</f>
        <v>0.086957210874079</v>
      </c>
      <c r="V1321" s="84" t="n">
        <f aca="false">IF(ISNUMBER(T1321),T1321,-99)</f>
        <v>19.0130427891259</v>
      </c>
      <c r="W1321" s="84" t="n">
        <f aca="false">IF(ISNUMBER(U1321),ABS(U1321),"")</f>
        <v>0.086957210874079</v>
      </c>
    </row>
    <row r="1322" customFormat="false" ht="15" hidden="false" customHeight="false" outlineLevel="0" collapsed="false">
      <c r="A1322" s="57" t="n">
        <v>31994</v>
      </c>
      <c r="B1322" s="56" t="n">
        <v>1987</v>
      </c>
      <c r="C1322" s="56" t="n">
        <v>8</v>
      </c>
      <c r="D1322" s="56" t="n">
        <v>97</v>
      </c>
      <c r="E1322" s="56" t="n">
        <v>19.9</v>
      </c>
      <c r="F1322" s="56" t="n">
        <v>0</v>
      </c>
      <c r="G1322" s="56" t="n">
        <v>9.2</v>
      </c>
      <c r="H1322" s="56" t="n">
        <v>0</v>
      </c>
      <c r="I1322" s="56" t="n">
        <v>14.2</v>
      </c>
      <c r="J1322" s="56" t="n">
        <v>0</v>
      </c>
      <c r="K1322" s="56" t="n">
        <v>1022.9</v>
      </c>
      <c r="L1322" s="56" t="n">
        <v>0</v>
      </c>
      <c r="M1322" s="56" t="n">
        <v>65</v>
      </c>
      <c r="N1322" s="56" t="n">
        <v>7.7</v>
      </c>
      <c r="O1322" s="56" t="n">
        <f aca="false">IF(D1322=1,"",E1321)</f>
        <v>19.1</v>
      </c>
      <c r="P1322" s="56" t="n">
        <f aca="false">IF(OR(D1322=1,K1321=""),"",K1321)</f>
        <v>1020.1</v>
      </c>
      <c r="Q1322" s="56" t="n">
        <f aca="false">IF(OR(F1322&lt;&gt;0,AND(I1322&lt;&gt;"",E1322&lt;I1322)),1,0)</f>
        <v>0</v>
      </c>
      <c r="R1322" s="56" t="n">
        <f aca="false">IF(AND(D1322&gt;1,Q1322=0,ISNUMBER(O1322),ISNUMBER(P1322)),IF(Q1321=0,1,0),0)</f>
        <v>1</v>
      </c>
      <c r="S1322" s="56" t="n">
        <f aca="false">R1322*(B1322&gt;=Train_Start)*(B1322&lt;=Train_End)</f>
        <v>1</v>
      </c>
      <c r="T1322" s="84" t="n">
        <f aca="false">IF(AND(ISNUMBER(O1322),ISNUMBER(P1322)),Coef_A+Coef_B1*O1322+Coef_B2*P1322,"")</f>
        <v>19.736783525243</v>
      </c>
      <c r="U1322" s="84" t="n">
        <f aca="false">IF(AND(R1322=1,ISNUMBER(T1322)),E1322-T1322,"")</f>
        <v>0.163216474756961</v>
      </c>
      <c r="V1322" s="84" t="n">
        <f aca="false">IF(ISNUMBER(T1322),T1322,-99)</f>
        <v>19.736783525243</v>
      </c>
      <c r="W1322" s="84" t="n">
        <f aca="false">IF(ISNUMBER(U1322),ABS(U1322),"")</f>
        <v>0.163216474756961</v>
      </c>
    </row>
    <row r="1323" customFormat="false" ht="15" hidden="false" customHeight="false" outlineLevel="0" collapsed="false">
      <c r="A1323" s="57" t="n">
        <v>31995</v>
      </c>
      <c r="B1323" s="56" t="n">
        <v>1987</v>
      </c>
      <c r="C1323" s="56" t="n">
        <v>8</v>
      </c>
      <c r="D1323" s="56" t="n">
        <v>98</v>
      </c>
      <c r="E1323" s="56" t="n">
        <v>19.5</v>
      </c>
      <c r="F1323" s="56" t="n">
        <v>0</v>
      </c>
      <c r="G1323" s="56" t="n">
        <v>9</v>
      </c>
      <c r="H1323" s="56" t="n">
        <v>0</v>
      </c>
      <c r="I1323" s="56" t="n">
        <v>14.4</v>
      </c>
      <c r="J1323" s="56" t="n">
        <v>0</v>
      </c>
      <c r="K1323" s="56" t="n">
        <v>1016.1</v>
      </c>
      <c r="L1323" s="56" t="n">
        <v>0</v>
      </c>
      <c r="M1323" s="56" t="n">
        <v>64</v>
      </c>
      <c r="N1323" s="56" t="n">
        <v>10.6</v>
      </c>
      <c r="O1323" s="56" t="n">
        <f aca="false">IF(D1323=1,"",E1322)</f>
        <v>19.9</v>
      </c>
      <c r="P1323" s="56" t="n">
        <f aca="false">IF(OR(D1323=1,K1322=""),"",K1322)</f>
        <v>1022.9</v>
      </c>
      <c r="Q1323" s="56" t="n">
        <f aca="false">IF(OR(F1323&lt;&gt;0,AND(I1323&lt;&gt;"",E1323&lt;I1323)),1,0)</f>
        <v>0</v>
      </c>
      <c r="R1323" s="56" t="n">
        <f aca="false">IF(AND(D1323&gt;1,Q1323=0,ISNUMBER(O1323),ISNUMBER(P1323)),IF(Q1322=0,1,0),0)</f>
        <v>1</v>
      </c>
      <c r="S1323" s="56" t="n">
        <f aca="false">R1323*(B1323&gt;=Train_Start)*(B1323&lt;=Train_End)</f>
        <v>1</v>
      </c>
      <c r="T1323" s="84" t="n">
        <f aca="false">IF(AND(ISNUMBER(O1323),ISNUMBER(P1323)),Coef_A+Coef_B1*O1323+Coef_B2*P1323,"")</f>
        <v>20.4800905846523</v>
      </c>
      <c r="U1323" s="84" t="n">
        <f aca="false">IF(AND(R1323=1,ISNUMBER(T1323)),E1323-T1323,"")</f>
        <v>-0.980090584652331</v>
      </c>
      <c r="V1323" s="84" t="n">
        <f aca="false">IF(ISNUMBER(T1323),T1323,-99)</f>
        <v>20.4800905846523</v>
      </c>
      <c r="W1323" s="84" t="n">
        <f aca="false">IF(ISNUMBER(U1323),ABS(U1323),"")</f>
        <v>0.980090584652331</v>
      </c>
    </row>
    <row r="1324" customFormat="false" ht="15" hidden="false" customHeight="false" outlineLevel="0" collapsed="false">
      <c r="A1324" s="57" t="n">
        <v>31996</v>
      </c>
      <c r="B1324" s="56" t="n">
        <v>1987</v>
      </c>
      <c r="C1324" s="56" t="n">
        <v>8</v>
      </c>
      <c r="D1324" s="56" t="n">
        <v>99</v>
      </c>
      <c r="E1324" s="56" t="n">
        <v>17.2</v>
      </c>
      <c r="F1324" s="56" t="n">
        <v>0</v>
      </c>
      <c r="G1324" s="56" t="n">
        <v>9.4</v>
      </c>
      <c r="H1324" s="56" t="n">
        <v>0</v>
      </c>
      <c r="I1324" s="56" t="n">
        <v>14.4</v>
      </c>
      <c r="J1324" s="56" t="n">
        <v>0</v>
      </c>
      <c r="K1324" s="56" t="n">
        <v>1011.1</v>
      </c>
      <c r="L1324" s="56" t="n">
        <v>0</v>
      </c>
      <c r="M1324" s="56" t="n">
        <v>62</v>
      </c>
      <c r="N1324" s="56" t="n">
        <v>7.7</v>
      </c>
      <c r="O1324" s="56" t="n">
        <f aca="false">IF(D1324=1,"",E1323)</f>
        <v>19.5</v>
      </c>
      <c r="P1324" s="56" t="n">
        <f aca="false">IF(OR(D1324=1,K1323=""),"",K1323)</f>
        <v>1016.1</v>
      </c>
      <c r="Q1324" s="56" t="n">
        <f aca="false">IF(OR(F1324&lt;&gt;0,AND(I1324&lt;&gt;"",E1324&lt;I1324)),1,0)</f>
        <v>0</v>
      </c>
      <c r="R1324" s="56" t="n">
        <f aca="false">IF(AND(D1324&gt;1,Q1324=0,ISNUMBER(O1324),ISNUMBER(P1324)),IF(Q1323=0,1,0),0)</f>
        <v>1</v>
      </c>
      <c r="S1324" s="56" t="n">
        <f aca="false">R1324*(B1324&gt;=Train_Start)*(B1324&lt;=Train_End)</f>
        <v>1</v>
      </c>
      <c r="T1324" s="84" t="n">
        <f aca="false">IF(AND(ISNUMBER(O1324),ISNUMBER(P1324)),Coef_A+Coef_B1*O1324+Coef_B2*P1324,"")</f>
        <v>19.9390396239241</v>
      </c>
      <c r="U1324" s="84" t="n">
        <f aca="false">IF(AND(R1324=1,ISNUMBER(T1324)),E1324-T1324,"")</f>
        <v>-2.73903962392415</v>
      </c>
      <c r="V1324" s="84" t="n">
        <f aca="false">IF(ISNUMBER(T1324),T1324,-99)</f>
        <v>19.9390396239241</v>
      </c>
      <c r="W1324" s="84" t="n">
        <f aca="false">IF(ISNUMBER(U1324),ABS(U1324),"")</f>
        <v>2.73903962392415</v>
      </c>
    </row>
    <row r="1325" customFormat="false" ht="15" hidden="false" customHeight="false" outlineLevel="0" collapsed="false">
      <c r="A1325" s="57" t="n">
        <v>31997</v>
      </c>
      <c r="B1325" s="56" t="n">
        <v>1987</v>
      </c>
      <c r="C1325" s="56" t="n">
        <v>8</v>
      </c>
      <c r="D1325" s="56" t="n">
        <v>100</v>
      </c>
      <c r="E1325" s="56" t="n">
        <v>19.6</v>
      </c>
      <c r="F1325" s="56" t="n">
        <v>0</v>
      </c>
      <c r="G1325" s="56" t="n">
        <v>11.5</v>
      </c>
      <c r="H1325" s="56" t="n">
        <v>0</v>
      </c>
      <c r="I1325" s="56" t="n">
        <v>14.4</v>
      </c>
      <c r="J1325" s="56" t="n">
        <v>0</v>
      </c>
      <c r="K1325" s="56" t="n">
        <v>1013.8</v>
      </c>
      <c r="L1325" s="56" t="n">
        <v>0</v>
      </c>
      <c r="M1325" s="56" t="n">
        <v>73</v>
      </c>
      <c r="N1325" s="56" t="n">
        <v>0.2</v>
      </c>
      <c r="O1325" s="56" t="n">
        <f aca="false">IF(D1325=1,"",E1324)</f>
        <v>17.2</v>
      </c>
      <c r="P1325" s="56" t="n">
        <f aca="false">IF(OR(D1325=1,K1324=""),"",K1324)</f>
        <v>1011.1</v>
      </c>
      <c r="Q1325" s="56" t="n">
        <f aca="false">IF(OR(F1325&lt;&gt;0,AND(I1325&lt;&gt;"",E1325&lt;I1325)),1,0)</f>
        <v>0</v>
      </c>
      <c r="R1325" s="56" t="n">
        <f aca="false">IF(AND(D1325&gt;1,Q1325=0,ISNUMBER(O1325),ISNUMBER(P1325)),IF(Q1324=0,1,0),0)</f>
        <v>1</v>
      </c>
      <c r="S1325" s="56" t="n">
        <f aca="false">R1325*(B1325&gt;=Train_Start)*(B1325&lt;=Train_End)</f>
        <v>1</v>
      </c>
      <c r="T1325" s="84" t="n">
        <f aca="false">IF(AND(ISNUMBER(O1325),ISNUMBER(P1325)),Coef_A+Coef_B1*O1325+Coef_B2*P1325,"")</f>
        <v>17.8977100067561</v>
      </c>
      <c r="U1325" s="84" t="n">
        <f aca="false">IF(AND(R1325=1,ISNUMBER(T1325)),E1325-T1325,"")</f>
        <v>1.70228999324392</v>
      </c>
      <c r="V1325" s="84" t="n">
        <f aca="false">IF(ISNUMBER(T1325),T1325,-99)</f>
        <v>17.8977100067561</v>
      </c>
      <c r="W1325" s="84" t="n">
        <f aca="false">IF(ISNUMBER(U1325),ABS(U1325),"")</f>
        <v>1.70228999324392</v>
      </c>
    </row>
    <row r="1326" customFormat="false" ht="15" hidden="false" customHeight="false" outlineLevel="0" collapsed="false">
      <c r="A1326" s="57" t="n">
        <v>31998</v>
      </c>
      <c r="B1326" s="56" t="n">
        <v>1987</v>
      </c>
      <c r="C1326" s="56" t="n">
        <v>8</v>
      </c>
      <c r="D1326" s="56" t="n">
        <v>101</v>
      </c>
      <c r="E1326" s="56" t="n">
        <v>20.8</v>
      </c>
      <c r="F1326" s="56" t="n">
        <v>0</v>
      </c>
      <c r="G1326" s="56" t="n">
        <v>13.2</v>
      </c>
      <c r="H1326" s="56" t="n">
        <v>0</v>
      </c>
      <c r="I1326" s="56" t="n">
        <v>16.4</v>
      </c>
      <c r="J1326" s="56" t="n">
        <v>0</v>
      </c>
      <c r="K1326" s="56" t="n">
        <v>1015.2</v>
      </c>
      <c r="L1326" s="56" t="n">
        <v>0</v>
      </c>
      <c r="M1326" s="56" t="n">
        <v>78</v>
      </c>
      <c r="N1326" s="56" t="n">
        <v>1.5</v>
      </c>
      <c r="O1326" s="56" t="n">
        <f aca="false">IF(D1326=1,"",E1325)</f>
        <v>19.6</v>
      </c>
      <c r="P1326" s="56" t="n">
        <f aca="false">IF(OR(D1326=1,K1325=""),"",K1325)</f>
        <v>1013.8</v>
      </c>
      <c r="Q1326" s="56" t="n">
        <f aca="false">IF(OR(F1326&lt;&gt;0,AND(I1326&lt;&gt;"",E1326&lt;I1326)),1,0)</f>
        <v>0</v>
      </c>
      <c r="R1326" s="56" t="n">
        <f aca="false">IF(AND(D1326&gt;1,Q1326=0,ISNUMBER(O1326),ISNUMBER(P1326)),IF(Q1325=0,1,0),0)</f>
        <v>1</v>
      </c>
      <c r="S1326" s="56" t="n">
        <f aca="false">R1326*(B1326&gt;=Train_Start)*(B1326&lt;=Train_End)</f>
        <v>1</v>
      </c>
      <c r="T1326" s="84" t="n">
        <f aca="false">IF(AND(ISNUMBER(O1326),ISNUMBER(P1326)),Coef_A+Coef_B1*O1326+Coef_B2*P1326,"")</f>
        <v>19.9488227855702</v>
      </c>
      <c r="U1326" s="84" t="n">
        <f aca="false">IF(AND(R1326=1,ISNUMBER(T1326)),E1326-T1326,"")</f>
        <v>0.851177214429768</v>
      </c>
      <c r="V1326" s="84" t="n">
        <f aca="false">IF(ISNUMBER(T1326),T1326,-99)</f>
        <v>19.9488227855702</v>
      </c>
      <c r="W1326" s="84" t="n">
        <f aca="false">IF(ISNUMBER(U1326),ABS(U1326),"")</f>
        <v>0.851177214429768</v>
      </c>
    </row>
    <row r="1327" customFormat="false" ht="15" hidden="false" customHeight="false" outlineLevel="0" collapsed="false">
      <c r="A1327" s="57" t="n">
        <v>31999</v>
      </c>
      <c r="B1327" s="56" t="n">
        <v>1987</v>
      </c>
      <c r="C1327" s="56" t="n">
        <v>8</v>
      </c>
      <c r="D1327" s="56" t="n">
        <v>102</v>
      </c>
      <c r="E1327" s="56" t="n">
        <v>19.1</v>
      </c>
      <c r="F1327" s="56" t="n">
        <v>0</v>
      </c>
      <c r="G1327" s="56" t="n">
        <v>9.8</v>
      </c>
      <c r="H1327" s="56" t="n">
        <v>0</v>
      </c>
      <c r="I1327" s="56" t="n">
        <v>15.3</v>
      </c>
      <c r="J1327" s="56" t="n">
        <v>0</v>
      </c>
      <c r="K1327" s="56" t="n">
        <v>1019.6</v>
      </c>
      <c r="L1327" s="56" t="n">
        <v>0</v>
      </c>
      <c r="M1327" s="56" t="n">
        <v>78</v>
      </c>
      <c r="N1327" s="56" t="n">
        <v>8.2</v>
      </c>
      <c r="O1327" s="56" t="n">
        <f aca="false">IF(D1327=1,"",E1326)</f>
        <v>20.8</v>
      </c>
      <c r="P1327" s="56" t="n">
        <f aca="false">IF(OR(D1327=1,K1326=""),"",K1326)</f>
        <v>1015.2</v>
      </c>
      <c r="Q1327" s="56" t="n">
        <f aca="false">IF(OR(F1327&lt;&gt;0,AND(I1327&lt;&gt;"",E1327&lt;I1327)),1,0)</f>
        <v>0</v>
      </c>
      <c r="R1327" s="56" t="n">
        <f aca="false">IF(AND(D1327&gt;1,Q1327=0,ISNUMBER(O1327),ISNUMBER(P1327)),IF(Q1326=0,1,0),0)</f>
        <v>1</v>
      </c>
      <c r="S1327" s="56" t="n">
        <f aca="false">R1327*(B1327&gt;=Train_Start)*(B1327&lt;=Train_End)</f>
        <v>1</v>
      </c>
      <c r="T1327" s="84" t="n">
        <f aca="false">IF(AND(ISNUMBER(O1327),ISNUMBER(P1327)),Coef_A+Coef_B1*O1327+Coef_B2*P1327,"")</f>
        <v>20.975947669709</v>
      </c>
      <c r="U1327" s="84" t="n">
        <f aca="false">IF(AND(R1327=1,ISNUMBER(T1327)),E1327-T1327,"")</f>
        <v>-1.87594766970901</v>
      </c>
      <c r="V1327" s="84" t="n">
        <f aca="false">IF(ISNUMBER(T1327),T1327,-99)</f>
        <v>20.975947669709</v>
      </c>
      <c r="W1327" s="84" t="n">
        <f aca="false">IF(ISNUMBER(U1327),ABS(U1327),"")</f>
        <v>1.87594766970901</v>
      </c>
    </row>
    <row r="1328" customFormat="false" ht="15" hidden="false" customHeight="false" outlineLevel="0" collapsed="false">
      <c r="A1328" s="57" t="n">
        <v>32000</v>
      </c>
      <c r="B1328" s="56" t="n">
        <v>1987</v>
      </c>
      <c r="C1328" s="56" t="n">
        <v>8</v>
      </c>
      <c r="D1328" s="56" t="n">
        <v>103</v>
      </c>
      <c r="E1328" s="56" t="n">
        <v>21.4</v>
      </c>
      <c r="F1328" s="56" t="n">
        <v>0</v>
      </c>
      <c r="G1328" s="56" t="n">
        <v>10.1</v>
      </c>
      <c r="H1328" s="56" t="n">
        <v>0</v>
      </c>
      <c r="I1328" s="56" t="n">
        <v>14.6</v>
      </c>
      <c r="J1328" s="56" t="n">
        <v>0</v>
      </c>
      <c r="K1328" s="56" t="n">
        <v>1018.7</v>
      </c>
      <c r="L1328" s="56" t="n">
        <v>0</v>
      </c>
      <c r="M1328" s="56" t="n">
        <v>80</v>
      </c>
      <c r="N1328" s="56" t="n">
        <v>4.4</v>
      </c>
      <c r="O1328" s="56" t="n">
        <f aca="false">IF(D1328=1,"",E1327)</f>
        <v>19.1</v>
      </c>
      <c r="P1328" s="56" t="n">
        <f aca="false">IF(OR(D1328=1,K1327=""),"",K1327)</f>
        <v>1019.6</v>
      </c>
      <c r="Q1328" s="56" t="n">
        <f aca="false">IF(OR(F1328&lt;&gt;0,AND(I1328&lt;&gt;"",E1328&lt;I1328)),1,0)</f>
        <v>0</v>
      </c>
      <c r="R1328" s="56" t="n">
        <f aca="false">IF(AND(D1328&gt;1,Q1328=0,ISNUMBER(O1328),ISNUMBER(P1328)),IF(Q1327=0,1,0),0)</f>
        <v>1</v>
      </c>
      <c r="S1328" s="56" t="n">
        <f aca="false">R1328*(B1328&gt;=Train_Start)*(B1328&lt;=Train_End)</f>
        <v>1</v>
      </c>
      <c r="T1328" s="84" t="n">
        <f aca="false">IF(AND(ISNUMBER(O1328),ISNUMBER(P1328)),Coef_A+Coef_B1*O1328+Coef_B2*P1328,"")</f>
        <v>19.721098577926</v>
      </c>
      <c r="U1328" s="84" t="n">
        <f aca="false">IF(AND(R1328=1,ISNUMBER(T1328)),E1328-T1328,"")</f>
        <v>1.67890142207396</v>
      </c>
      <c r="V1328" s="84" t="n">
        <f aca="false">IF(ISNUMBER(T1328),T1328,-99)</f>
        <v>19.721098577926</v>
      </c>
      <c r="W1328" s="84" t="n">
        <f aca="false">IF(ISNUMBER(U1328),ABS(U1328),"")</f>
        <v>1.67890142207396</v>
      </c>
    </row>
    <row r="1329" customFormat="false" ht="15" hidden="false" customHeight="false" outlineLevel="0" collapsed="false">
      <c r="A1329" s="57" t="n">
        <v>32001</v>
      </c>
      <c r="B1329" s="56" t="n">
        <v>1987</v>
      </c>
      <c r="C1329" s="56" t="n">
        <v>8</v>
      </c>
      <c r="D1329" s="56" t="n">
        <v>104</v>
      </c>
      <c r="E1329" s="56" t="n">
        <v>22.6</v>
      </c>
      <c r="F1329" s="56" t="n">
        <v>0</v>
      </c>
      <c r="G1329" s="56" t="n">
        <v>12.2</v>
      </c>
      <c r="H1329" s="56" t="n">
        <v>0</v>
      </c>
      <c r="I1329" s="56" t="n">
        <v>16.8</v>
      </c>
      <c r="J1329" s="56" t="n">
        <v>0</v>
      </c>
      <c r="K1329" s="56" t="n">
        <v>1016.8</v>
      </c>
      <c r="L1329" s="56" t="n">
        <v>0</v>
      </c>
      <c r="M1329" s="56" t="n">
        <v>82</v>
      </c>
      <c r="N1329" s="56" t="n">
        <v>1.6</v>
      </c>
      <c r="O1329" s="56" t="n">
        <f aca="false">IF(D1329=1,"",E1328)</f>
        <v>21.4</v>
      </c>
      <c r="P1329" s="56" t="n">
        <f aca="false">IF(OR(D1329=1,K1328=""),"",K1328)</f>
        <v>1018.7</v>
      </c>
      <c r="Q1329" s="56" t="n">
        <f aca="false">IF(OR(F1329&lt;&gt;0,AND(I1329&lt;&gt;"",E1329&lt;I1329)),1,0)</f>
        <v>0</v>
      </c>
      <c r="R1329" s="56" t="n">
        <f aca="false">IF(AND(D1329&gt;1,Q1329=0,ISNUMBER(O1329),ISNUMBER(P1329)),IF(Q1328=0,1,0),0)</f>
        <v>1</v>
      </c>
      <c r="S1329" s="56" t="n">
        <f aca="false">R1329*(B1329&gt;=Train_Start)*(B1329&lt;=Train_End)</f>
        <v>1</v>
      </c>
      <c r="T1329" s="84" t="n">
        <f aca="false">IF(AND(ISNUMBER(O1329),ISNUMBER(P1329)),Coef_A+Coef_B1*O1329+Coef_B2*P1329,"")</f>
        <v>21.5773458167536</v>
      </c>
      <c r="U1329" s="84" t="n">
        <f aca="false">IF(AND(R1329=1,ISNUMBER(T1329)),E1329-T1329,"")</f>
        <v>1.02265418324643</v>
      </c>
      <c r="V1329" s="84" t="n">
        <f aca="false">IF(ISNUMBER(T1329),T1329,-99)</f>
        <v>21.5773458167536</v>
      </c>
      <c r="W1329" s="84" t="n">
        <f aca="false">IF(ISNUMBER(U1329),ABS(U1329),"")</f>
        <v>1.02265418324643</v>
      </c>
    </row>
    <row r="1330" customFormat="false" ht="15" hidden="false" customHeight="false" outlineLevel="0" collapsed="false">
      <c r="A1330" s="57" t="n">
        <v>32002</v>
      </c>
      <c r="B1330" s="56" t="n">
        <v>1987</v>
      </c>
      <c r="C1330" s="56" t="n">
        <v>8</v>
      </c>
      <c r="D1330" s="56" t="n">
        <v>105</v>
      </c>
      <c r="E1330" s="56" t="n">
        <v>23.5</v>
      </c>
      <c r="F1330" s="56" t="n">
        <v>0</v>
      </c>
      <c r="G1330" s="56" t="n">
        <v>15.8</v>
      </c>
      <c r="H1330" s="56" t="n">
        <v>0</v>
      </c>
      <c r="I1330" s="56" t="n">
        <v>19.2</v>
      </c>
      <c r="J1330" s="56" t="n">
        <v>0</v>
      </c>
      <c r="K1330" s="56" t="n">
        <v>1013.1</v>
      </c>
      <c r="L1330" s="56" t="n">
        <v>0</v>
      </c>
      <c r="M1330" s="56" t="n">
        <v>86</v>
      </c>
      <c r="N1330" s="56" t="n">
        <v>0.6</v>
      </c>
      <c r="O1330" s="56" t="n">
        <f aca="false">IF(D1330=1,"",E1329)</f>
        <v>22.6</v>
      </c>
      <c r="P1330" s="56" t="n">
        <f aca="false">IF(OR(D1330=1,K1329=""),"",K1329)</f>
        <v>1016.8</v>
      </c>
      <c r="Q1330" s="56" t="n">
        <f aca="false">IF(OR(F1330&lt;&gt;0,AND(I1330&lt;&gt;"",E1330&lt;I1330)),1,0)</f>
        <v>0</v>
      </c>
      <c r="R1330" s="56" t="n">
        <f aca="false">IF(AND(D1330&gt;1,Q1330=0,ISNUMBER(O1330),ISNUMBER(P1330)),IF(Q1329=0,1,0),0)</f>
        <v>1</v>
      </c>
      <c r="S1330" s="56" t="n">
        <f aca="false">R1330*(B1330&gt;=Train_Start)*(B1330&lt;=Train_End)</f>
        <v>1</v>
      </c>
      <c r="T1330" s="84" t="n">
        <f aca="false">IF(AND(ISNUMBER(O1330),ISNUMBER(P1330)),Coef_A+Coef_B1*O1330+Coef_B2*P1330,"")</f>
        <v>22.5009500486002</v>
      </c>
      <c r="U1330" s="84" t="n">
        <f aca="false">IF(AND(R1330=1,ISNUMBER(T1330)),E1330-T1330,"")</f>
        <v>0.999049951399826</v>
      </c>
      <c r="V1330" s="84" t="n">
        <f aca="false">IF(ISNUMBER(T1330),T1330,-99)</f>
        <v>22.5009500486002</v>
      </c>
      <c r="W1330" s="84" t="n">
        <f aca="false">IF(ISNUMBER(U1330),ABS(U1330),"")</f>
        <v>0.999049951399826</v>
      </c>
    </row>
    <row r="1331" customFormat="false" ht="15" hidden="false" customHeight="false" outlineLevel="0" collapsed="false">
      <c r="A1331" s="57" t="n">
        <v>32003</v>
      </c>
      <c r="B1331" s="56" t="n">
        <v>1987</v>
      </c>
      <c r="C1331" s="56" t="n">
        <v>8</v>
      </c>
      <c r="D1331" s="56" t="n">
        <v>106</v>
      </c>
      <c r="E1331" s="56" t="n">
        <v>26.2</v>
      </c>
      <c r="F1331" s="56" t="n">
        <v>0</v>
      </c>
      <c r="G1331" s="56" t="n">
        <v>12.5</v>
      </c>
      <c r="H1331" s="56" t="n">
        <v>0</v>
      </c>
      <c r="I1331" s="56" t="n">
        <v>18</v>
      </c>
      <c r="J1331" s="56" t="n">
        <v>0</v>
      </c>
      <c r="K1331" s="56" t="n">
        <v>1014.9</v>
      </c>
      <c r="L1331" s="56" t="n">
        <v>0</v>
      </c>
      <c r="M1331" s="56" t="n">
        <v>72</v>
      </c>
      <c r="N1331" s="56" t="n">
        <v>8.3</v>
      </c>
      <c r="O1331" s="56" t="n">
        <f aca="false">IF(D1331=1,"",E1330)</f>
        <v>23.5</v>
      </c>
      <c r="P1331" s="56" t="n">
        <f aca="false">IF(OR(D1331=1,K1330=""),"",K1330)</f>
        <v>1013.1</v>
      </c>
      <c r="Q1331" s="56" t="n">
        <f aca="false">IF(OR(F1331&lt;&gt;0,AND(I1331&lt;&gt;"",E1331&lt;I1331)),1,0)</f>
        <v>0</v>
      </c>
      <c r="R1331" s="56" t="n">
        <f aca="false">IF(AND(D1331&gt;1,Q1331=0,ISNUMBER(O1331),ISNUMBER(P1331)),IF(Q1330=0,1,0),0)</f>
        <v>1</v>
      </c>
      <c r="S1331" s="56" t="n">
        <f aca="false">R1331*(B1331&gt;=Train_Start)*(B1331&lt;=Train_End)</f>
        <v>1</v>
      </c>
      <c r="T1331" s="84" t="n">
        <f aca="false">IF(AND(ISNUMBER(O1331),ISNUMBER(P1331)),Coef_A+Coef_B1*O1331+Coef_B2*P1331,"")</f>
        <v>23.1222867121928</v>
      </c>
      <c r="U1331" s="84" t="n">
        <f aca="false">IF(AND(R1331=1,ISNUMBER(T1331)),E1331-T1331,"")</f>
        <v>3.0777132878072</v>
      </c>
      <c r="V1331" s="84" t="n">
        <f aca="false">IF(ISNUMBER(T1331),T1331,-99)</f>
        <v>23.1222867121928</v>
      </c>
      <c r="W1331" s="84" t="n">
        <f aca="false">IF(ISNUMBER(U1331),ABS(U1331),"")</f>
        <v>3.0777132878072</v>
      </c>
    </row>
    <row r="1332" customFormat="false" ht="15" hidden="false" customHeight="false" outlineLevel="0" collapsed="false">
      <c r="A1332" s="57" t="n">
        <v>32004</v>
      </c>
      <c r="B1332" s="56" t="n">
        <v>1987</v>
      </c>
      <c r="C1332" s="56" t="n">
        <v>8</v>
      </c>
      <c r="D1332" s="56" t="n">
        <v>107</v>
      </c>
      <c r="E1332" s="56" t="n">
        <v>28.1</v>
      </c>
      <c r="F1332" s="56" t="n">
        <v>0</v>
      </c>
      <c r="G1332" s="56" t="n">
        <v>12.7</v>
      </c>
      <c r="H1332" s="56" t="n">
        <v>0</v>
      </c>
      <c r="I1332" s="56" t="n">
        <v>19.4</v>
      </c>
      <c r="J1332" s="56" t="n">
        <v>0</v>
      </c>
      <c r="K1332" s="56" t="n">
        <v>1020</v>
      </c>
      <c r="L1332" s="56" t="n">
        <v>0</v>
      </c>
      <c r="M1332" s="56" t="n">
        <v>66</v>
      </c>
      <c r="N1332" s="56" t="n">
        <v>13.1</v>
      </c>
      <c r="O1332" s="56" t="n">
        <f aca="false">IF(D1332=1,"",E1331)</f>
        <v>26.2</v>
      </c>
      <c r="P1332" s="56" t="n">
        <f aca="false">IF(OR(D1332=1,K1331=""),"",K1331)</f>
        <v>1014.9</v>
      </c>
      <c r="Q1332" s="56" t="n">
        <f aca="false">IF(OR(F1332&lt;&gt;0,AND(I1332&lt;&gt;"",E1332&lt;I1332)),1,0)</f>
        <v>0</v>
      </c>
      <c r="R1332" s="56" t="n">
        <f aca="false">IF(AND(D1332&gt;1,Q1332=0,ISNUMBER(O1332),ISNUMBER(P1332)),IF(Q1331=0,1,0),0)</f>
        <v>1</v>
      </c>
      <c r="S1332" s="56" t="n">
        <f aca="false">R1332*(B1332&gt;=Train_Start)*(B1332&lt;=Train_End)</f>
        <v>1</v>
      </c>
      <c r="T1332" s="84" t="n">
        <f aca="false">IF(AND(ISNUMBER(O1332),ISNUMBER(P1332)),Coef_A+Coef_B1*O1332+Coef_B2*P1332,"")</f>
        <v>25.3909683437492</v>
      </c>
      <c r="U1332" s="84" t="n">
        <f aca="false">IF(AND(R1332=1,ISNUMBER(T1332)),E1332-T1332,"")</f>
        <v>2.70903165625084</v>
      </c>
      <c r="V1332" s="84" t="n">
        <f aca="false">IF(ISNUMBER(T1332),T1332,-99)</f>
        <v>25.3909683437492</v>
      </c>
      <c r="W1332" s="84" t="n">
        <f aca="false">IF(ISNUMBER(U1332),ABS(U1332),"")</f>
        <v>2.70903165625084</v>
      </c>
    </row>
    <row r="1333" customFormat="false" ht="15" hidden="false" customHeight="false" outlineLevel="0" collapsed="false">
      <c r="A1333" s="57" t="n">
        <v>32005</v>
      </c>
      <c r="B1333" s="56" t="n">
        <v>1987</v>
      </c>
      <c r="C1333" s="56" t="n">
        <v>8</v>
      </c>
      <c r="D1333" s="56" t="n">
        <v>108</v>
      </c>
      <c r="E1333" s="56" t="n">
        <v>24.2</v>
      </c>
      <c r="F1333" s="56" t="n">
        <v>0</v>
      </c>
      <c r="G1333" s="56" t="n">
        <v>13.7</v>
      </c>
      <c r="H1333" s="56" t="n">
        <v>0</v>
      </c>
      <c r="I1333" s="56" t="n">
        <v>20.9</v>
      </c>
      <c r="J1333" s="56" t="n">
        <v>0</v>
      </c>
      <c r="K1333" s="56" t="n">
        <v>1017.9</v>
      </c>
      <c r="L1333" s="56" t="n">
        <v>0</v>
      </c>
      <c r="M1333" s="56" t="n">
        <v>58</v>
      </c>
      <c r="N1333" s="56" t="n">
        <v>12.7</v>
      </c>
      <c r="O1333" s="56" t="n">
        <f aca="false">IF(D1333=1,"",E1332)</f>
        <v>28.1</v>
      </c>
      <c r="P1333" s="56" t="n">
        <f aca="false">IF(OR(D1333=1,K1332=""),"",K1332)</f>
        <v>1020</v>
      </c>
      <c r="Q1333" s="56" t="n">
        <f aca="false">IF(OR(F1333&lt;&gt;0,AND(I1333&lt;&gt;"",E1333&lt;I1333)),1,0)</f>
        <v>0</v>
      </c>
      <c r="R1333" s="56" t="n">
        <f aca="false">IF(AND(D1333&gt;1,Q1333=0,ISNUMBER(O1333),ISNUMBER(P1333)),IF(Q1332=0,1,0),0)</f>
        <v>1</v>
      </c>
      <c r="S1333" s="56" t="n">
        <f aca="false">R1333*(B1333&gt;=Train_Start)*(B1333&lt;=Train_End)</f>
        <v>1</v>
      </c>
      <c r="T1333" s="84" t="n">
        <f aca="false">IF(AND(ISNUMBER(O1333),ISNUMBER(P1333)),Coef_A+Coef_B1*O1333+Coef_B2*P1333,"")</f>
        <v>27.1076992731636</v>
      </c>
      <c r="U1333" s="84" t="n">
        <f aca="false">IF(AND(R1333=1,ISNUMBER(T1333)),E1333-T1333,"")</f>
        <v>-2.90769927316356</v>
      </c>
      <c r="V1333" s="84" t="n">
        <f aca="false">IF(ISNUMBER(T1333),T1333,-99)</f>
        <v>27.1076992731636</v>
      </c>
      <c r="W1333" s="84" t="n">
        <f aca="false">IF(ISNUMBER(U1333),ABS(U1333),"")</f>
        <v>2.90769927316356</v>
      </c>
    </row>
    <row r="1334" customFormat="false" ht="15" hidden="false" customHeight="false" outlineLevel="0" collapsed="false">
      <c r="A1334" s="57" t="n">
        <v>32006</v>
      </c>
      <c r="B1334" s="56" t="n">
        <v>1987</v>
      </c>
      <c r="C1334" s="56" t="n">
        <v>8</v>
      </c>
      <c r="D1334" s="56" t="n">
        <v>109</v>
      </c>
      <c r="E1334" s="56" t="n">
        <v>23.7</v>
      </c>
      <c r="F1334" s="56" t="n">
        <v>0</v>
      </c>
      <c r="G1334" s="56" t="n">
        <v>16.2</v>
      </c>
      <c r="H1334" s="56" t="n">
        <v>0</v>
      </c>
      <c r="I1334" s="56" t="n">
        <v>20.2</v>
      </c>
      <c r="J1334" s="56" t="n">
        <v>0</v>
      </c>
      <c r="K1334" s="56" t="n">
        <v>1013.5</v>
      </c>
      <c r="L1334" s="56" t="n">
        <v>0</v>
      </c>
      <c r="M1334" s="56" t="n">
        <v>76</v>
      </c>
      <c r="N1334" s="56" t="n">
        <v>0.4</v>
      </c>
      <c r="O1334" s="56" t="n">
        <f aca="false">IF(D1334=1,"",E1333)</f>
        <v>24.2</v>
      </c>
      <c r="P1334" s="56" t="n">
        <f aca="false">IF(OR(D1334=1,K1333=""),"",K1333)</f>
        <v>1017.9</v>
      </c>
      <c r="Q1334" s="56" t="n">
        <f aca="false">IF(OR(F1334&lt;&gt;0,AND(I1334&lt;&gt;"",E1334&lt;I1334)),1,0)</f>
        <v>0</v>
      </c>
      <c r="R1334" s="56" t="n">
        <f aca="false">IF(AND(D1334&gt;1,Q1334=0,ISNUMBER(O1334),ISNUMBER(P1334)),IF(Q1333=0,1,0),0)</f>
        <v>1</v>
      </c>
      <c r="S1334" s="56" t="n">
        <f aca="false">R1334*(B1334&gt;=Train_Start)*(B1334&lt;=Train_End)</f>
        <v>1</v>
      </c>
      <c r="T1334" s="84" t="n">
        <f aca="false">IF(AND(ISNUMBER(O1334),ISNUMBER(P1334)),Coef_A+Coef_B1*O1334+Coef_B2*P1334,"")</f>
        <v>23.8463996415658</v>
      </c>
      <c r="U1334" s="84" t="n">
        <f aca="false">IF(AND(R1334=1,ISNUMBER(T1334)),E1334-T1334,"")</f>
        <v>-0.146399641565814</v>
      </c>
      <c r="V1334" s="84" t="n">
        <f aca="false">IF(ISNUMBER(T1334),T1334,-99)</f>
        <v>23.8463996415658</v>
      </c>
      <c r="W1334" s="84" t="n">
        <f aca="false">IF(ISNUMBER(U1334),ABS(U1334),"")</f>
        <v>0.146399641565814</v>
      </c>
    </row>
    <row r="1335" customFormat="false" ht="15" hidden="false" customHeight="false" outlineLevel="0" collapsed="false">
      <c r="A1335" s="57" t="n">
        <v>32007</v>
      </c>
      <c r="B1335" s="56" t="n">
        <v>1987</v>
      </c>
      <c r="C1335" s="56" t="n">
        <v>8</v>
      </c>
      <c r="D1335" s="56" t="n">
        <v>110</v>
      </c>
      <c r="E1335" s="56" t="n">
        <v>25.3</v>
      </c>
      <c r="F1335" s="56" t="n">
        <v>0</v>
      </c>
      <c r="G1335" s="56" t="n">
        <v>15.9</v>
      </c>
      <c r="H1335" s="56" t="n">
        <v>0</v>
      </c>
      <c r="I1335" s="56" t="n">
        <v>19.8</v>
      </c>
      <c r="J1335" s="56" t="n">
        <v>0</v>
      </c>
      <c r="K1335" s="56" t="n">
        <v>1015</v>
      </c>
      <c r="L1335" s="56" t="n">
        <v>0</v>
      </c>
      <c r="M1335" s="56" t="n">
        <v>81</v>
      </c>
      <c r="N1335" s="56" t="n">
        <v>3.1</v>
      </c>
      <c r="O1335" s="56" t="n">
        <f aca="false">IF(D1335=1,"",E1334)</f>
        <v>23.7</v>
      </c>
      <c r="P1335" s="56" t="n">
        <f aca="false">IF(OR(D1335=1,K1334=""),"",K1334)</f>
        <v>1013.5</v>
      </c>
      <c r="Q1335" s="56" t="n">
        <f aca="false">IF(OR(F1335&lt;&gt;0,AND(I1335&lt;&gt;"",E1335&lt;I1335)),1,0)</f>
        <v>0</v>
      </c>
      <c r="R1335" s="56" t="n">
        <f aca="false">IF(AND(D1335&gt;1,Q1335=0,ISNUMBER(O1335),ISNUMBER(P1335)),IF(Q1334=0,1,0),0)</f>
        <v>1</v>
      </c>
      <c r="S1335" s="56" t="n">
        <f aca="false">R1335*(B1335&gt;=Train_Start)*(B1335&lt;=Train_End)</f>
        <v>1</v>
      </c>
      <c r="T1335" s="84" t="n">
        <f aca="false">IF(AND(ISNUMBER(O1335),ISNUMBER(P1335)),Coef_A+Coef_B1*O1335+Coef_B2*P1335,"")</f>
        <v>23.2987025086549</v>
      </c>
      <c r="U1335" s="84" t="n">
        <f aca="false">IF(AND(R1335=1,ISNUMBER(T1335)),E1335-T1335,"")</f>
        <v>2.00129749134507</v>
      </c>
      <c r="V1335" s="84" t="n">
        <f aca="false">IF(ISNUMBER(T1335),T1335,-99)</f>
        <v>23.2987025086549</v>
      </c>
      <c r="W1335" s="84" t="n">
        <f aca="false">IF(ISNUMBER(U1335),ABS(U1335),"")</f>
        <v>2.00129749134507</v>
      </c>
    </row>
    <row r="1336" customFormat="false" ht="15" hidden="false" customHeight="false" outlineLevel="0" collapsed="false">
      <c r="A1336" s="57" t="n">
        <v>32008</v>
      </c>
      <c r="B1336" s="56" t="n">
        <v>1987</v>
      </c>
      <c r="C1336" s="56" t="n">
        <v>8</v>
      </c>
      <c r="D1336" s="56" t="n">
        <v>111</v>
      </c>
      <c r="E1336" s="56" t="n">
        <v>29.1</v>
      </c>
      <c r="F1336" s="56" t="n">
        <v>0</v>
      </c>
      <c r="G1336" s="56" t="n">
        <v>12.6</v>
      </c>
      <c r="H1336" s="56" t="n">
        <v>0</v>
      </c>
      <c r="I1336" s="56" t="n">
        <v>19</v>
      </c>
      <c r="J1336" s="56" t="n">
        <v>0</v>
      </c>
      <c r="K1336" s="56" t="n">
        <v>1020.5</v>
      </c>
      <c r="L1336" s="56" t="n">
        <v>0</v>
      </c>
      <c r="M1336" s="56" t="n">
        <v>70</v>
      </c>
      <c r="N1336" s="56" t="n">
        <v>6.6</v>
      </c>
      <c r="O1336" s="56" t="n">
        <f aca="false">IF(D1336=1,"",E1335)</f>
        <v>25.3</v>
      </c>
      <c r="P1336" s="56" t="n">
        <f aca="false">IF(OR(D1336=1,K1335=""),"",K1335)</f>
        <v>1015</v>
      </c>
      <c r="Q1336" s="56" t="n">
        <f aca="false">IF(OR(F1336&lt;&gt;0,AND(I1336&lt;&gt;"",E1336&lt;I1336)),1,0)</f>
        <v>0</v>
      </c>
      <c r="R1336" s="56" t="n">
        <f aca="false">IF(AND(D1336&gt;1,Q1336=0,ISNUMBER(O1336),ISNUMBER(P1336)),IF(Q1335=0,1,0),0)</f>
        <v>1</v>
      </c>
      <c r="S1336" s="56" t="n">
        <f aca="false">R1336*(B1336&gt;=Train_Start)*(B1336&lt;=Train_End)</f>
        <v>1</v>
      </c>
      <c r="T1336" s="84" t="n">
        <f aca="false">IF(AND(ISNUMBER(O1336),ISNUMBER(P1336)),Coef_A+Coef_B1*O1336+Coef_B2*P1336,"")</f>
        <v>24.6567000594742</v>
      </c>
      <c r="U1336" s="84" t="n">
        <f aca="false">IF(AND(R1336=1,ISNUMBER(T1336)),E1336-T1336,"")</f>
        <v>4.44329994052583</v>
      </c>
      <c r="V1336" s="84" t="n">
        <f aca="false">IF(ISNUMBER(T1336),T1336,-99)</f>
        <v>24.6567000594742</v>
      </c>
      <c r="W1336" s="84" t="n">
        <f aca="false">IF(ISNUMBER(U1336),ABS(U1336),"")</f>
        <v>4.44329994052583</v>
      </c>
    </row>
    <row r="1337" customFormat="false" ht="15" hidden="false" customHeight="false" outlineLevel="0" collapsed="false">
      <c r="A1337" s="57" t="n">
        <v>32009</v>
      </c>
      <c r="B1337" s="56" t="n">
        <v>1987</v>
      </c>
      <c r="C1337" s="56" t="n">
        <v>8</v>
      </c>
      <c r="D1337" s="56" t="n">
        <v>112</v>
      </c>
      <c r="E1337" s="56" t="n">
        <v>29.2</v>
      </c>
      <c r="F1337" s="56" t="n">
        <v>0</v>
      </c>
      <c r="G1337" s="56" t="n">
        <v>14.9</v>
      </c>
      <c r="H1337" s="56" t="n">
        <v>0</v>
      </c>
      <c r="I1337" s="56" t="n">
        <v>22</v>
      </c>
      <c r="J1337" s="56" t="n">
        <v>0</v>
      </c>
      <c r="K1337" s="56" t="n">
        <v>1017.7</v>
      </c>
      <c r="L1337" s="56" t="n">
        <v>0</v>
      </c>
      <c r="M1337" s="56" t="n">
        <v>64</v>
      </c>
      <c r="N1337" s="56" t="n">
        <v>12.7</v>
      </c>
      <c r="O1337" s="56" t="n">
        <f aca="false">IF(D1337=1,"",E1336)</f>
        <v>29.1</v>
      </c>
      <c r="P1337" s="56" t="n">
        <f aca="false">IF(OR(D1337=1,K1336=""),"",K1336)</f>
        <v>1020.5</v>
      </c>
      <c r="Q1337" s="56" t="n">
        <f aca="false">IF(OR(F1337&lt;&gt;0,AND(I1337&lt;&gt;"",E1337&lt;I1337)),1,0)</f>
        <v>0</v>
      </c>
      <c r="R1337" s="56" t="n">
        <f aca="false">IF(AND(D1337&gt;1,Q1337=0,ISNUMBER(O1337),ISNUMBER(P1337)),IF(Q1336=0,1,0),0)</f>
        <v>1</v>
      </c>
      <c r="S1337" s="56" t="n">
        <f aca="false">R1337*(B1337&gt;=Train_Start)*(B1337&lt;=Train_End)</f>
        <v>1</v>
      </c>
      <c r="T1337" s="84" t="n">
        <f aca="false">IF(AND(ISNUMBER(O1337),ISNUMBER(P1337)),Coef_A+Coef_B1*O1337+Coef_B2*P1337,"")</f>
        <v>27.9427234135232</v>
      </c>
      <c r="U1337" s="84" t="n">
        <f aca="false">IF(AND(R1337=1,ISNUMBER(T1337)),E1337-T1337,"")</f>
        <v>1.25727658647679</v>
      </c>
      <c r="V1337" s="84" t="n">
        <f aca="false">IF(ISNUMBER(T1337),T1337,-99)</f>
        <v>27.9427234135232</v>
      </c>
      <c r="W1337" s="84" t="n">
        <f aca="false">IF(ISNUMBER(U1337),ABS(U1337),"")</f>
        <v>1.25727658647679</v>
      </c>
    </row>
    <row r="1338" customFormat="false" ht="15" hidden="false" customHeight="false" outlineLevel="0" collapsed="false">
      <c r="A1338" s="57" t="n">
        <v>32010</v>
      </c>
      <c r="B1338" s="56" t="n">
        <v>1987</v>
      </c>
      <c r="C1338" s="56" t="n">
        <v>8</v>
      </c>
      <c r="D1338" s="56" t="n">
        <v>113</v>
      </c>
      <c r="E1338" s="56" t="n">
        <v>24.4</v>
      </c>
      <c r="F1338" s="56" t="n">
        <v>0</v>
      </c>
      <c r="G1338" s="56" t="n">
        <v>17.8</v>
      </c>
      <c r="H1338" s="56" t="n">
        <v>0</v>
      </c>
      <c r="I1338" s="56" t="n">
        <v>23.5</v>
      </c>
      <c r="J1338" s="56" t="n">
        <v>0</v>
      </c>
      <c r="K1338" s="56" t="n">
        <v>1012.9</v>
      </c>
      <c r="L1338" s="56" t="n">
        <v>0</v>
      </c>
      <c r="M1338" s="56" t="n">
        <v>70</v>
      </c>
      <c r="N1338" s="56" t="n">
        <v>7.7</v>
      </c>
      <c r="O1338" s="56" t="n">
        <f aca="false">IF(D1338=1,"",E1337)</f>
        <v>29.2</v>
      </c>
      <c r="P1338" s="56" t="n">
        <f aca="false">IF(OR(D1338=1,K1337=""),"",K1337)</f>
        <v>1017.7</v>
      </c>
      <c r="Q1338" s="56" t="n">
        <f aca="false">IF(OR(F1338&lt;&gt;0,AND(I1338&lt;&gt;"",E1338&lt;I1338)),1,0)</f>
        <v>0</v>
      </c>
      <c r="R1338" s="56" t="n">
        <f aca="false">IF(AND(D1338&gt;1,Q1338=0,ISNUMBER(O1338),ISNUMBER(P1338)),IF(Q1337=0,1,0),0)</f>
        <v>1</v>
      </c>
      <c r="S1338" s="56" t="n">
        <f aca="false">R1338*(B1338&gt;=Train_Start)*(B1338&lt;=Train_End)</f>
        <v>1</v>
      </c>
      <c r="T1338" s="84" t="n">
        <f aca="false">IF(AND(ISNUMBER(O1338),ISNUMBER(P1338)),Coef_A+Coef_B1*O1338+Coef_B2*P1338,"")</f>
        <v>27.9368216278523</v>
      </c>
      <c r="U1338" s="84" t="n">
        <f aca="false">IF(AND(R1338=1,ISNUMBER(T1338)),E1338-T1338,"")</f>
        <v>-3.53682162785231</v>
      </c>
      <c r="V1338" s="84" t="n">
        <f aca="false">IF(ISNUMBER(T1338),T1338,-99)</f>
        <v>27.9368216278523</v>
      </c>
      <c r="W1338" s="84" t="n">
        <f aca="false">IF(ISNUMBER(U1338),ABS(U1338),"")</f>
        <v>3.53682162785231</v>
      </c>
    </row>
    <row r="1339" customFormat="false" ht="15" hidden="false" customHeight="false" outlineLevel="0" collapsed="false">
      <c r="A1339" s="57" t="n">
        <v>32011</v>
      </c>
      <c r="B1339" s="56" t="n">
        <v>1987</v>
      </c>
      <c r="C1339" s="56" t="n">
        <v>8</v>
      </c>
      <c r="D1339" s="56" t="n">
        <v>114</v>
      </c>
      <c r="E1339" s="56" t="n">
        <v>22.1</v>
      </c>
      <c r="F1339" s="56" t="n">
        <v>0</v>
      </c>
      <c r="G1339" s="56" t="n">
        <v>17.6</v>
      </c>
      <c r="H1339" s="56" t="n">
        <v>0</v>
      </c>
      <c r="I1339" s="56" t="n">
        <v>21</v>
      </c>
      <c r="J1339" s="56" t="n">
        <v>0</v>
      </c>
      <c r="K1339" s="56" t="n">
        <v>1007.7</v>
      </c>
      <c r="L1339" s="56" t="n">
        <v>0</v>
      </c>
      <c r="M1339" s="56" t="n">
        <v>86</v>
      </c>
      <c r="N1339" s="56" t="n">
        <v>3.4</v>
      </c>
      <c r="O1339" s="56" t="n">
        <f aca="false">IF(D1339=1,"",E1338)</f>
        <v>24.4</v>
      </c>
      <c r="P1339" s="56" t="n">
        <f aca="false">IF(OR(D1339=1,K1338=""),"",K1338)</f>
        <v>1012.9</v>
      </c>
      <c r="Q1339" s="56" t="n">
        <f aca="false">IF(OR(F1339&lt;&gt;0,AND(I1339&lt;&gt;"",E1339&lt;I1339)),1,0)</f>
        <v>0</v>
      </c>
      <c r="R1339" s="56" t="n">
        <f aca="false">IF(AND(D1339&gt;1,Q1339=0,ISNUMBER(O1339),ISNUMBER(P1339)),IF(Q1338=0,1,0),0)</f>
        <v>1</v>
      </c>
      <c r="S1339" s="56" t="n">
        <f aca="false">R1339*(B1339&gt;=Train_Start)*(B1339&lt;=Train_End)</f>
        <v>1</v>
      </c>
      <c r="T1339" s="84" t="n">
        <f aca="false">IF(AND(ISNUMBER(O1339),ISNUMBER(P1339)),Coef_A+Coef_B1*O1339+Coef_B2*P1339,"")</f>
        <v>23.8534180070044</v>
      </c>
      <c r="U1339" s="84" t="n">
        <f aca="false">IF(AND(R1339=1,ISNUMBER(T1339)),E1339-T1339,"")</f>
        <v>-1.7534180070044</v>
      </c>
      <c r="V1339" s="84" t="n">
        <f aca="false">IF(ISNUMBER(T1339),T1339,-99)</f>
        <v>23.8534180070044</v>
      </c>
      <c r="W1339" s="84" t="n">
        <f aca="false">IF(ISNUMBER(U1339),ABS(U1339),"")</f>
        <v>1.7534180070044</v>
      </c>
    </row>
    <row r="1340" customFormat="false" ht="15" hidden="false" customHeight="false" outlineLevel="0" collapsed="false">
      <c r="A1340" s="57" t="n">
        <v>32012</v>
      </c>
      <c r="B1340" s="56" t="n">
        <v>1987</v>
      </c>
      <c r="C1340" s="56" t="n">
        <v>8</v>
      </c>
      <c r="D1340" s="56" t="n">
        <v>115</v>
      </c>
      <c r="E1340" s="56" t="n">
        <v>19.3</v>
      </c>
      <c r="F1340" s="56" t="n">
        <v>0</v>
      </c>
      <c r="G1340" s="56" t="n">
        <v>12.5</v>
      </c>
      <c r="H1340" s="56" t="n">
        <v>0</v>
      </c>
      <c r="I1340" s="56" t="n">
        <v>17.3</v>
      </c>
      <c r="J1340" s="56" t="n">
        <v>0</v>
      </c>
      <c r="K1340" s="56" t="n">
        <v>1007.9</v>
      </c>
      <c r="L1340" s="56" t="n">
        <v>0</v>
      </c>
      <c r="M1340" s="56" t="n">
        <v>79</v>
      </c>
      <c r="N1340" s="56" t="n">
        <v>9.4</v>
      </c>
      <c r="O1340" s="56" t="n">
        <f aca="false">IF(D1340=1,"",E1339)</f>
        <v>22.1</v>
      </c>
      <c r="P1340" s="56" t="n">
        <f aca="false">IF(OR(D1340=1,K1339=""),"",K1339)</f>
        <v>1007.7</v>
      </c>
      <c r="Q1340" s="56" t="n">
        <f aca="false">IF(OR(F1340&lt;&gt;0,AND(I1340&lt;&gt;"",E1340&lt;I1340)),1,0)</f>
        <v>0</v>
      </c>
      <c r="R1340" s="56" t="n">
        <f aca="false">IF(AND(D1340&gt;1,Q1340=0,ISNUMBER(O1340),ISNUMBER(P1340)),IF(Q1339=0,1,0),0)</f>
        <v>1</v>
      </c>
      <c r="S1340" s="56" t="n">
        <f aca="false">R1340*(B1340&gt;=Train_Start)*(B1340&lt;=Train_End)</f>
        <v>1</v>
      </c>
      <c r="T1340" s="84" t="n">
        <f aca="false">IF(AND(ISNUMBER(O1340),ISNUMBER(P1340)),Coef_A+Coef_B1*O1340+Coef_B2*P1340,"")</f>
        <v>21.8058144109095</v>
      </c>
      <c r="U1340" s="84" t="n">
        <f aca="false">IF(AND(R1340=1,ISNUMBER(T1340)),E1340-T1340,"")</f>
        <v>-2.50581441090954</v>
      </c>
      <c r="V1340" s="84" t="n">
        <f aca="false">IF(ISNUMBER(T1340),T1340,-99)</f>
        <v>21.8058144109095</v>
      </c>
      <c r="W1340" s="84" t="n">
        <f aca="false">IF(ISNUMBER(U1340),ABS(U1340),"")</f>
        <v>2.50581441090954</v>
      </c>
    </row>
    <row r="1341" customFormat="false" ht="15" hidden="false" customHeight="false" outlineLevel="0" collapsed="false">
      <c r="A1341" s="57" t="n">
        <v>32013</v>
      </c>
      <c r="B1341" s="56" t="n">
        <v>1987</v>
      </c>
      <c r="C1341" s="56" t="n">
        <v>8</v>
      </c>
      <c r="D1341" s="56" t="n">
        <v>116</v>
      </c>
      <c r="E1341" s="56" t="n">
        <v>15.4</v>
      </c>
      <c r="F1341" s="56" t="n">
        <v>1</v>
      </c>
      <c r="G1341" s="56" t="n">
        <v>13.1</v>
      </c>
      <c r="H1341" s="56" t="n">
        <v>0</v>
      </c>
      <c r="I1341" s="56" t="n">
        <v>16.2</v>
      </c>
      <c r="J1341" s="56" t="n">
        <v>1</v>
      </c>
      <c r="K1341" s="56" t="n">
        <v>1010.8</v>
      </c>
      <c r="L1341" s="56" t="n">
        <v>0</v>
      </c>
      <c r="M1341" s="56" t="n">
        <v>82</v>
      </c>
      <c r="N1341" s="56" t="n">
        <v>2.2</v>
      </c>
      <c r="O1341" s="56" t="n">
        <f aca="false">IF(D1341=1,"",E1340)</f>
        <v>19.3</v>
      </c>
      <c r="P1341" s="56" t="n">
        <f aca="false">IF(OR(D1341=1,K1340=""),"",K1340)</f>
        <v>1007.9</v>
      </c>
      <c r="Q1341" s="56" t="n">
        <f aca="false">IF(OR(F1341&lt;&gt;0,AND(I1341&lt;&gt;"",E1341&lt;I1341)),1,0)</f>
        <v>1</v>
      </c>
      <c r="R1341" s="56" t="n">
        <f aca="false">IF(AND(D1341&gt;1,Q1341=0,ISNUMBER(O1341),ISNUMBER(P1341)),IF(Q1340=0,1,0),0)</f>
        <v>0</v>
      </c>
      <c r="S1341" s="56" t="n">
        <f aca="false">R1341*(B1341&gt;=Train_Start)*(B1341&lt;=Train_End)</f>
        <v>0</v>
      </c>
      <c r="T1341" s="84" t="n">
        <f aca="false">IF(AND(ISNUMBER(O1341),ISNUMBER(P1341)),Coef_A+Coef_B1*O1341+Coef_B2*P1341,"")</f>
        <v>19.5179386493169</v>
      </c>
      <c r="U1341" s="84" t="str">
        <f aca="false">IF(AND(R1341=1,ISNUMBER(T1341)),E1341-T1341,"")</f>
        <v/>
      </c>
      <c r="V1341" s="84" t="n">
        <f aca="false">IF(ISNUMBER(T1341),T1341,-99)</f>
        <v>19.5179386493169</v>
      </c>
      <c r="W1341" s="84" t="str">
        <f aca="false">IF(ISNUMBER(U1341),ABS(U1341),"")</f>
        <v/>
      </c>
    </row>
    <row r="1342" customFormat="false" ht="15" hidden="false" customHeight="false" outlineLevel="0" collapsed="false">
      <c r="A1342" s="57" t="n">
        <v>32014</v>
      </c>
      <c r="B1342" s="56" t="n">
        <v>1987</v>
      </c>
      <c r="C1342" s="56" t="n">
        <v>8</v>
      </c>
      <c r="D1342" s="56" t="n">
        <v>117</v>
      </c>
      <c r="E1342" s="56" t="n">
        <v>18.1</v>
      </c>
      <c r="F1342" s="56" t="n">
        <v>0</v>
      </c>
      <c r="G1342" s="56" t="n">
        <v>10.9</v>
      </c>
      <c r="H1342" s="56" t="n">
        <v>0</v>
      </c>
      <c r="I1342" s="56" t="n">
        <v>13.2</v>
      </c>
      <c r="J1342" s="56" t="n">
        <v>0</v>
      </c>
      <c r="K1342" s="56" t="n">
        <v>1007.1</v>
      </c>
      <c r="L1342" s="56" t="n">
        <v>0</v>
      </c>
      <c r="M1342" s="56" t="n">
        <v>87</v>
      </c>
      <c r="N1342" s="56" t="n">
        <v>0</v>
      </c>
      <c r="O1342" s="56" t="n">
        <f aca="false">IF(D1342=1,"",E1341)</f>
        <v>15.4</v>
      </c>
      <c r="P1342" s="56" t="n">
        <f aca="false">IF(OR(D1342=1,K1341=""),"",K1341)</f>
        <v>1010.8</v>
      </c>
      <c r="Q1342" s="56" t="n">
        <f aca="false">IF(OR(F1342&lt;&gt;0,AND(I1342&lt;&gt;"",E1342&lt;I1342)),1,0)</f>
        <v>0</v>
      </c>
      <c r="R1342" s="56" t="n">
        <f aca="false">IF(AND(D1342&gt;1,Q1342=0,ISNUMBER(O1342),ISNUMBER(P1342)),IF(Q1341=0,1,0),0)</f>
        <v>0</v>
      </c>
      <c r="S1342" s="56" t="n">
        <f aca="false">R1342*(B1342&gt;=Train_Start)*(B1342&lt;=Train_End)</f>
        <v>0</v>
      </c>
      <c r="T1342" s="84" t="n">
        <f aca="false">IF(AND(ISNUMBER(O1342),ISNUMBER(P1342)),Coef_A+Coef_B1*O1342+Coef_B2*P1342,"")</f>
        <v>16.4134884908891</v>
      </c>
      <c r="U1342" s="84" t="str">
        <f aca="false">IF(AND(R1342=1,ISNUMBER(T1342)),E1342-T1342,"")</f>
        <v/>
      </c>
      <c r="V1342" s="84" t="n">
        <f aca="false">IF(ISNUMBER(T1342),T1342,-99)</f>
        <v>16.4134884908891</v>
      </c>
      <c r="W1342" s="84" t="str">
        <f aca="false">IF(ISNUMBER(U1342),ABS(U1342),"")</f>
        <v/>
      </c>
    </row>
    <row r="1343" customFormat="false" ht="15" hidden="false" customHeight="false" outlineLevel="0" collapsed="false">
      <c r="A1343" s="57" t="n">
        <v>32015</v>
      </c>
      <c r="B1343" s="56" t="n">
        <v>1987</v>
      </c>
      <c r="C1343" s="56" t="n">
        <v>8</v>
      </c>
      <c r="D1343" s="56" t="n">
        <v>118</v>
      </c>
      <c r="E1343" s="56" t="n">
        <v>16.3</v>
      </c>
      <c r="F1343" s="56" t="n">
        <v>0</v>
      </c>
      <c r="G1343" s="56" t="n">
        <v>9.9</v>
      </c>
      <c r="H1343" s="56" t="n">
        <v>0</v>
      </c>
      <c r="I1343" s="56" t="n">
        <v>14</v>
      </c>
      <c r="J1343" s="56" t="n">
        <v>0</v>
      </c>
      <c r="K1343" s="56" t="n">
        <v>1005.3</v>
      </c>
      <c r="L1343" s="56" t="n">
        <v>0</v>
      </c>
      <c r="M1343" s="56" t="n">
        <v>85</v>
      </c>
      <c r="N1343" s="56" t="n">
        <v>2.4</v>
      </c>
      <c r="O1343" s="56" t="n">
        <f aca="false">IF(D1343=1,"",E1342)</f>
        <v>18.1</v>
      </c>
      <c r="P1343" s="56" t="n">
        <f aca="false">IF(OR(D1343=1,K1342=""),"",K1342)</f>
        <v>1007.1</v>
      </c>
      <c r="Q1343" s="56" t="n">
        <f aca="false">IF(OR(F1343&lt;&gt;0,AND(I1343&lt;&gt;"",E1343&lt;I1343)),1,0)</f>
        <v>0</v>
      </c>
      <c r="R1343" s="56" t="n">
        <f aca="false">IF(AND(D1343&gt;1,Q1343=0,ISNUMBER(O1343),ISNUMBER(P1343)),IF(Q1342=0,1,0),0)</f>
        <v>1</v>
      </c>
      <c r="S1343" s="56" t="n">
        <f aca="false">R1343*(B1343&gt;=Train_Start)*(B1343&lt;=Train_End)</f>
        <v>1</v>
      </c>
      <c r="T1343" s="84" t="n">
        <f aca="false">IF(AND(ISNUMBER(O1343),ISNUMBER(P1343)),Coef_A+Coef_B1*O1343+Coef_B2*P1343,"")</f>
        <v>18.5096357019585</v>
      </c>
      <c r="U1343" s="84" t="n">
        <f aca="false">IF(AND(R1343=1,ISNUMBER(T1343)),E1343-T1343,"")</f>
        <v>-2.20963570195852</v>
      </c>
      <c r="V1343" s="84" t="n">
        <f aca="false">IF(ISNUMBER(T1343),T1343,-99)</f>
        <v>18.5096357019585</v>
      </c>
      <c r="W1343" s="84" t="n">
        <f aca="false">IF(ISNUMBER(U1343),ABS(U1343),"")</f>
        <v>2.20963570195852</v>
      </c>
    </row>
    <row r="1344" customFormat="false" ht="15" hidden="false" customHeight="false" outlineLevel="0" collapsed="false">
      <c r="A1344" s="57" t="n">
        <v>32016</v>
      </c>
      <c r="B1344" s="56" t="n">
        <v>1987</v>
      </c>
      <c r="C1344" s="56" t="n">
        <v>8</v>
      </c>
      <c r="D1344" s="56" t="n">
        <v>119</v>
      </c>
      <c r="E1344" s="56" t="n">
        <v>25.1</v>
      </c>
      <c r="F1344" s="56" t="n">
        <v>0</v>
      </c>
      <c r="G1344" s="56" t="n">
        <v>11.2</v>
      </c>
      <c r="H1344" s="56" t="n">
        <v>0</v>
      </c>
      <c r="I1344" s="56" t="n">
        <v>13.8</v>
      </c>
      <c r="J1344" s="56" t="n">
        <v>0</v>
      </c>
      <c r="K1344" s="56" t="n">
        <v>1017.7</v>
      </c>
      <c r="L1344" s="56" t="n">
        <v>0</v>
      </c>
      <c r="M1344" s="56" t="n">
        <v>77</v>
      </c>
      <c r="N1344" s="56" t="n">
        <v>1.2</v>
      </c>
      <c r="O1344" s="56" t="n">
        <f aca="false">IF(D1344=1,"",E1343)</f>
        <v>16.3</v>
      </c>
      <c r="P1344" s="56" t="n">
        <f aca="false">IF(OR(D1344=1,K1343=""),"",K1343)</f>
        <v>1005.3</v>
      </c>
      <c r="Q1344" s="56" t="n">
        <f aca="false">IF(OR(F1344&lt;&gt;0,AND(I1344&lt;&gt;"",E1344&lt;I1344)),1,0)</f>
        <v>0</v>
      </c>
      <c r="R1344" s="56" t="n">
        <f aca="false">IF(AND(D1344&gt;1,Q1344=0,ISNUMBER(O1344),ISNUMBER(P1344)),IF(Q1343=0,1,0),0)</f>
        <v>1</v>
      </c>
      <c r="S1344" s="56" t="n">
        <f aca="false">R1344*(B1344&gt;=Train_Start)*(B1344&lt;=Train_End)</f>
        <v>1</v>
      </c>
      <c r="T1344" s="84" t="n">
        <f aca="false">IF(AND(ISNUMBER(O1344),ISNUMBER(P1344)),Coef_A+Coef_B1*O1344+Coef_B2*P1344,"")</f>
        <v>16.9783593441406</v>
      </c>
      <c r="U1344" s="84" t="n">
        <f aca="false">IF(AND(R1344=1,ISNUMBER(T1344)),E1344-T1344,"")</f>
        <v>8.12164065585945</v>
      </c>
      <c r="V1344" s="84" t="n">
        <f aca="false">IF(ISNUMBER(T1344),T1344,-99)</f>
        <v>16.9783593441406</v>
      </c>
      <c r="W1344" s="84" t="n">
        <f aca="false">IF(ISNUMBER(U1344),ABS(U1344),"")</f>
        <v>8.12164065585945</v>
      </c>
    </row>
    <row r="1345" customFormat="false" ht="15" hidden="false" customHeight="false" outlineLevel="0" collapsed="false">
      <c r="A1345" s="57" t="n">
        <v>32017</v>
      </c>
      <c r="B1345" s="56" t="n">
        <v>1987</v>
      </c>
      <c r="C1345" s="56" t="n">
        <v>8</v>
      </c>
      <c r="D1345" s="56" t="n">
        <v>120</v>
      </c>
      <c r="E1345" s="56" t="n">
        <v>21.1</v>
      </c>
      <c r="F1345" s="56" t="n">
        <v>0</v>
      </c>
      <c r="G1345" s="56" t="n">
        <v>8.5</v>
      </c>
      <c r="H1345" s="56" t="n">
        <v>0</v>
      </c>
      <c r="I1345" s="56" t="n">
        <v>16.8</v>
      </c>
      <c r="J1345" s="56" t="n">
        <v>0</v>
      </c>
      <c r="K1345" s="56" t="n">
        <v>1024.5</v>
      </c>
      <c r="L1345" s="56" t="n">
        <v>0</v>
      </c>
      <c r="M1345" s="56" t="n">
        <v>74</v>
      </c>
      <c r="N1345" s="56" t="n">
        <v>8.2</v>
      </c>
      <c r="O1345" s="56" t="n">
        <f aca="false">IF(D1345=1,"",E1344)</f>
        <v>25.1</v>
      </c>
      <c r="P1345" s="56" t="n">
        <f aca="false">IF(OR(D1345=1,K1344=""),"",K1344)</f>
        <v>1017.7</v>
      </c>
      <c r="Q1345" s="56" t="n">
        <f aca="false">IF(OR(F1345&lt;&gt;0,AND(I1345&lt;&gt;"",E1345&lt;I1345)),1,0)</f>
        <v>0</v>
      </c>
      <c r="R1345" s="56" t="n">
        <f aca="false">IF(AND(D1345&gt;1,Q1345=0,ISNUMBER(O1345),ISNUMBER(P1345)),IF(Q1344=0,1,0),0)</f>
        <v>1</v>
      </c>
      <c r="S1345" s="56" t="n">
        <f aca="false">R1345*(B1345&gt;=Train_Start)*(B1345&lt;=Train_End)</f>
        <v>1</v>
      </c>
      <c r="T1345" s="84" t="n">
        <f aca="false">IF(AND(ISNUMBER(O1345),ISNUMBER(P1345)),Coef_A+Coef_B1*O1345+Coef_B2*P1345,"")</f>
        <v>24.5775309363774</v>
      </c>
      <c r="U1345" s="84" t="n">
        <f aca="false">IF(AND(R1345=1,ISNUMBER(T1345)),E1345-T1345,"")</f>
        <v>-3.47753093637741</v>
      </c>
      <c r="V1345" s="84" t="n">
        <f aca="false">IF(ISNUMBER(T1345),T1345,-99)</f>
        <v>24.5775309363774</v>
      </c>
      <c r="W1345" s="84" t="n">
        <f aca="false">IF(ISNUMBER(U1345),ABS(U1345),"")</f>
        <v>3.47753093637741</v>
      </c>
    </row>
    <row r="1346" customFormat="false" ht="15" hidden="false" customHeight="false" outlineLevel="0" collapsed="false">
      <c r="A1346" s="57" t="n">
        <v>32018</v>
      </c>
      <c r="B1346" s="56" t="n">
        <v>1987</v>
      </c>
      <c r="C1346" s="56" t="n">
        <v>8</v>
      </c>
      <c r="D1346" s="56" t="n">
        <v>121</v>
      </c>
      <c r="E1346" s="56" t="n">
        <v>22.8</v>
      </c>
      <c r="F1346" s="56" t="n">
        <v>0</v>
      </c>
      <c r="G1346" s="56" t="n">
        <v>14</v>
      </c>
      <c r="H1346" s="56" t="n">
        <v>0</v>
      </c>
      <c r="I1346" s="56" t="n">
        <v>17.6</v>
      </c>
      <c r="J1346" s="56" t="n">
        <v>0</v>
      </c>
      <c r="K1346" s="56" t="n">
        <v>1024.9</v>
      </c>
      <c r="L1346" s="56" t="n">
        <v>0</v>
      </c>
      <c r="M1346" s="56" t="n">
        <v>81</v>
      </c>
      <c r="N1346" s="56" t="n">
        <v>1.4</v>
      </c>
      <c r="O1346" s="56" t="n">
        <f aca="false">IF(D1346=1,"",E1345)</f>
        <v>21.1</v>
      </c>
      <c r="P1346" s="56" t="n">
        <f aca="false">IF(OR(D1346=1,K1345=""),"",K1345)</f>
        <v>1024.5</v>
      </c>
      <c r="Q1346" s="56" t="n">
        <f aca="false">IF(OR(F1346&lt;&gt;0,AND(I1346&lt;&gt;"",E1346&lt;I1346)),1,0)</f>
        <v>0</v>
      </c>
      <c r="R1346" s="56" t="n">
        <f aca="false">IF(AND(D1346&gt;1,Q1346=0,ISNUMBER(O1346),ISNUMBER(P1346)),IF(Q1345=0,1,0),0)</f>
        <v>1</v>
      </c>
      <c r="S1346" s="56" t="n">
        <f aca="false">R1346*(B1346&gt;=Train_Start)*(B1346&lt;=Train_End)</f>
        <v>1</v>
      </c>
      <c r="T1346" s="84" t="n">
        <f aca="false">IF(AND(ISNUMBER(O1346),ISNUMBER(P1346)),Coef_A+Coef_B1*O1346+Coef_B2*P1346,"")</f>
        <v>21.5134894477179</v>
      </c>
      <c r="U1346" s="84" t="n">
        <f aca="false">IF(AND(R1346=1,ISNUMBER(T1346)),E1346-T1346,"")</f>
        <v>1.2865105522821</v>
      </c>
      <c r="V1346" s="84" t="n">
        <f aca="false">IF(ISNUMBER(T1346),T1346,-99)</f>
        <v>21.5134894477179</v>
      </c>
      <c r="W1346" s="84" t="n">
        <f aca="false">IF(ISNUMBER(U1346),ABS(U1346),"")</f>
        <v>1.2865105522821</v>
      </c>
    </row>
    <row r="1347" customFormat="false" ht="15" hidden="false" customHeight="false" outlineLevel="0" collapsed="false">
      <c r="A1347" s="57" t="n">
        <v>32019</v>
      </c>
      <c r="B1347" s="56" t="n">
        <v>1987</v>
      </c>
      <c r="C1347" s="56" t="n">
        <v>8</v>
      </c>
      <c r="D1347" s="56" t="n">
        <v>122</v>
      </c>
      <c r="E1347" s="56" t="n">
        <v>19.3</v>
      </c>
      <c r="F1347" s="56" t="n">
        <v>0</v>
      </c>
      <c r="G1347" s="56" t="n">
        <v>11.1</v>
      </c>
      <c r="H1347" s="56" t="n">
        <v>0</v>
      </c>
      <c r="I1347" s="56" t="n">
        <v>17</v>
      </c>
      <c r="J1347" s="56" t="n">
        <v>0</v>
      </c>
      <c r="K1347" s="56" t="n">
        <v>1022.8</v>
      </c>
      <c r="L1347" s="56" t="n">
        <v>0</v>
      </c>
      <c r="M1347" s="56" t="n">
        <v>82</v>
      </c>
      <c r="N1347" s="56" t="n">
        <v>4.9</v>
      </c>
      <c r="O1347" s="56" t="n">
        <f aca="false">IF(D1347=1,"",E1346)</f>
        <v>22.8</v>
      </c>
      <c r="P1347" s="56" t="n">
        <f aca="false">IF(OR(D1347=1,K1346=""),"",K1346)</f>
        <v>1024.9</v>
      </c>
      <c r="Q1347" s="56" t="n">
        <f aca="false">IF(OR(F1347&lt;&gt;0,AND(I1347&lt;&gt;"",E1347&lt;I1347)),1,0)</f>
        <v>0</v>
      </c>
      <c r="R1347" s="56" t="n">
        <f aca="false">IF(AND(D1347&gt;1,Q1347=0,ISNUMBER(O1347),ISNUMBER(P1347)),IF(Q1346=0,1,0),0)</f>
        <v>1</v>
      </c>
      <c r="S1347" s="56" t="n">
        <f aca="false">R1347*(B1347&gt;=Train_Start)*(B1347&lt;=Train_End)</f>
        <v>1</v>
      </c>
      <c r="T1347" s="84" t="n">
        <f aca="false">IF(AND(ISNUMBER(O1347),ISNUMBER(P1347)),Coef_A+Coef_B1*O1347+Coef_B2*P1347,"")</f>
        <v>22.918914033744</v>
      </c>
      <c r="U1347" s="84" t="n">
        <f aca="false">IF(AND(R1347=1,ISNUMBER(T1347)),E1347-T1347,"")</f>
        <v>-3.61891403374402</v>
      </c>
      <c r="V1347" s="84" t="n">
        <f aca="false">IF(ISNUMBER(T1347),T1347,-99)</f>
        <v>22.918914033744</v>
      </c>
      <c r="W1347" s="84" t="n">
        <f aca="false">IF(ISNUMBER(U1347),ABS(U1347),"")</f>
        <v>3.61891403374402</v>
      </c>
    </row>
    <row r="1348" customFormat="false" ht="15" hidden="false" customHeight="false" outlineLevel="0" collapsed="false">
      <c r="A1348" s="57" t="n">
        <v>32020</v>
      </c>
      <c r="B1348" s="56" t="n">
        <v>1987</v>
      </c>
      <c r="C1348" s="56" t="n">
        <v>8</v>
      </c>
      <c r="D1348" s="56" t="n">
        <v>123</v>
      </c>
      <c r="E1348" s="56" t="n">
        <v>24.4</v>
      </c>
      <c r="F1348" s="56" t="n">
        <v>0</v>
      </c>
      <c r="G1348" s="56" t="n">
        <v>13.5</v>
      </c>
      <c r="H1348" s="56" t="n">
        <v>0</v>
      </c>
      <c r="I1348" s="56" t="n">
        <v>16.4</v>
      </c>
      <c r="J1348" s="56" t="n">
        <v>0</v>
      </c>
      <c r="K1348" s="56" t="n">
        <v>1019.8</v>
      </c>
      <c r="L1348" s="56" t="n">
        <v>0</v>
      </c>
      <c r="M1348" s="56" t="n">
        <v>78</v>
      </c>
      <c r="N1348" s="56" t="n">
        <v>6.8</v>
      </c>
      <c r="O1348" s="56" t="n">
        <f aca="false">IF(D1348=1,"",E1347)</f>
        <v>19.3</v>
      </c>
      <c r="P1348" s="56" t="n">
        <f aca="false">IF(OR(D1348=1,K1347=""),"",K1347)</f>
        <v>1022.8</v>
      </c>
      <c r="Q1348" s="56" t="n">
        <f aca="false">IF(OR(F1348&lt;&gt;0,AND(I1348&lt;&gt;"",E1348&lt;I1348)),1,0)</f>
        <v>0</v>
      </c>
      <c r="R1348" s="56" t="n">
        <f aca="false">IF(AND(D1348&gt;1,Q1348=0,ISNUMBER(O1348),ISNUMBER(P1348)),IF(Q1347=0,1,0),0)</f>
        <v>1</v>
      </c>
      <c r="S1348" s="56" t="n">
        <f aca="false">R1348*(B1348&gt;=Train_Start)*(B1348&lt;=Train_End)</f>
        <v>1</v>
      </c>
      <c r="T1348" s="84" t="n">
        <f aca="false">IF(AND(ISNUMBER(O1348),ISNUMBER(P1348)),Coef_A+Coef_B1*O1348+Coef_B2*P1348,"")</f>
        <v>19.9853500793633</v>
      </c>
      <c r="U1348" s="84" t="n">
        <f aca="false">IF(AND(R1348=1,ISNUMBER(T1348)),E1348-T1348,"")</f>
        <v>4.41464992063666</v>
      </c>
      <c r="V1348" s="84" t="n">
        <f aca="false">IF(ISNUMBER(T1348),T1348,-99)</f>
        <v>19.9853500793633</v>
      </c>
      <c r="W1348" s="84" t="n">
        <f aca="false">IF(ISNUMBER(U1348),ABS(U1348),"")</f>
        <v>4.41464992063666</v>
      </c>
    </row>
    <row r="1349" customFormat="false" ht="15" hidden="false" customHeight="false" outlineLevel="0" collapsed="false">
      <c r="A1349" s="57" t="n">
        <v>32021</v>
      </c>
      <c r="B1349" s="56" t="n">
        <v>1987</v>
      </c>
      <c r="C1349" s="56" t="n">
        <v>9</v>
      </c>
      <c r="D1349" s="56" t="n">
        <v>124</v>
      </c>
      <c r="E1349" s="56" t="n">
        <v>20.5</v>
      </c>
      <c r="F1349" s="56" t="n">
        <v>0</v>
      </c>
      <c r="G1349" s="56" t="n">
        <v>11.8</v>
      </c>
      <c r="H1349" s="56" t="n">
        <v>0</v>
      </c>
      <c r="I1349" s="56" t="n">
        <v>18.1</v>
      </c>
      <c r="J1349" s="56" t="n">
        <v>0</v>
      </c>
      <c r="K1349" s="56" t="n">
        <v>1014.2</v>
      </c>
      <c r="L1349" s="56" t="n">
        <v>0</v>
      </c>
      <c r="M1349" s="56" t="n">
        <v>81</v>
      </c>
      <c r="N1349" s="56" t="n">
        <v>3.7</v>
      </c>
      <c r="O1349" s="56" t="n">
        <f aca="false">IF(D1349=1,"",E1348)</f>
        <v>24.4</v>
      </c>
      <c r="P1349" s="56" t="n">
        <f aca="false">IF(OR(D1349=1,K1348=""),"",K1348)</f>
        <v>1019.8</v>
      </c>
      <c r="Q1349" s="56" t="n">
        <f aca="false">IF(OR(F1349&lt;&gt;0,AND(I1349&lt;&gt;"",E1349&lt;I1349)),1,0)</f>
        <v>0</v>
      </c>
      <c r="R1349" s="56" t="n">
        <f aca="false">IF(AND(D1349&gt;1,Q1349=0,ISNUMBER(O1349),ISNUMBER(P1349)),IF(Q1348=0,1,0),0)</f>
        <v>1</v>
      </c>
      <c r="S1349" s="56" t="n">
        <f aca="false">R1349*(B1349&gt;=Train_Start)*(B1349&lt;=Train_End)</f>
        <v>1</v>
      </c>
      <c r="T1349" s="84" t="n">
        <f aca="false">IF(AND(ISNUMBER(O1349),ISNUMBER(P1349)),Coef_A+Coef_B1*O1349+Coef_B2*P1349,"")</f>
        <v>24.0698702799789</v>
      </c>
      <c r="U1349" s="84" t="n">
        <f aca="false">IF(AND(R1349=1,ISNUMBER(T1349)),E1349-T1349,"")</f>
        <v>-3.56987027997892</v>
      </c>
      <c r="V1349" s="84" t="n">
        <f aca="false">IF(ISNUMBER(T1349),T1349,-99)</f>
        <v>24.0698702799789</v>
      </c>
      <c r="W1349" s="84" t="n">
        <f aca="false">IF(ISNUMBER(U1349),ABS(U1349),"")</f>
        <v>3.56987027997892</v>
      </c>
    </row>
    <row r="1350" customFormat="false" ht="15" hidden="false" customHeight="false" outlineLevel="0" collapsed="false">
      <c r="A1350" s="57" t="n">
        <v>32022</v>
      </c>
      <c r="B1350" s="56" t="n">
        <v>1987</v>
      </c>
      <c r="C1350" s="56" t="n">
        <v>9</v>
      </c>
      <c r="D1350" s="56" t="n">
        <v>125</v>
      </c>
      <c r="E1350" s="56" t="n">
        <v>22.2</v>
      </c>
      <c r="F1350" s="56" t="n">
        <v>0</v>
      </c>
      <c r="G1350" s="56" t="n">
        <v>16.9</v>
      </c>
      <c r="H1350" s="56" t="n">
        <v>0</v>
      </c>
      <c r="I1350" s="56" t="n">
        <v>18.7</v>
      </c>
      <c r="J1350" s="56" t="n">
        <v>0</v>
      </c>
      <c r="K1350" s="56" t="n">
        <v>1016.8</v>
      </c>
      <c r="L1350" s="56" t="n">
        <v>0</v>
      </c>
      <c r="M1350" s="56" t="n">
        <v>89</v>
      </c>
      <c r="N1350" s="56" t="n">
        <v>0</v>
      </c>
      <c r="O1350" s="56" t="n">
        <f aca="false">IF(D1350=1,"",E1349)</f>
        <v>20.5</v>
      </c>
      <c r="P1350" s="56" t="n">
        <f aca="false">IF(OR(D1350=1,K1349=""),"",K1349)</f>
        <v>1014.2</v>
      </c>
      <c r="Q1350" s="56" t="n">
        <f aca="false">IF(OR(F1350&lt;&gt;0,AND(I1350&lt;&gt;"",E1350&lt;I1350)),1,0)</f>
        <v>0</v>
      </c>
      <c r="R1350" s="56" t="n">
        <f aca="false">IF(AND(D1350&gt;1,Q1350=0,ISNUMBER(O1350),ISNUMBER(P1350)),IF(Q1349=0,1,0),0)</f>
        <v>1</v>
      </c>
      <c r="S1350" s="56" t="n">
        <f aca="false">R1350*(B1350&gt;=Train_Start)*(B1350&lt;=Train_End)</f>
        <v>1</v>
      </c>
      <c r="T1350" s="84" t="n">
        <f aca="false">IF(AND(ISNUMBER(O1350),ISNUMBER(P1350)),Coef_A+Coef_B1*O1350+Coef_B2*P1350,"")</f>
        <v>20.6987760171622</v>
      </c>
      <c r="U1350" s="84" t="n">
        <f aca="false">IF(AND(R1350=1,ISNUMBER(T1350)),E1350-T1350,"")</f>
        <v>1.50122398283778</v>
      </c>
      <c r="V1350" s="84" t="n">
        <f aca="false">IF(ISNUMBER(T1350),T1350,-99)</f>
        <v>20.6987760171622</v>
      </c>
      <c r="W1350" s="84" t="n">
        <f aca="false">IF(ISNUMBER(U1350),ABS(U1350),"")</f>
        <v>1.50122398283778</v>
      </c>
    </row>
    <row r="1351" customFormat="false" ht="15" hidden="false" customHeight="false" outlineLevel="0" collapsed="false">
      <c r="A1351" s="57" t="n">
        <v>32023</v>
      </c>
      <c r="B1351" s="56" t="n">
        <v>1987</v>
      </c>
      <c r="C1351" s="56" t="n">
        <v>9</v>
      </c>
      <c r="D1351" s="56" t="n">
        <v>126</v>
      </c>
      <c r="E1351" s="56" t="n">
        <v>21</v>
      </c>
      <c r="F1351" s="56" t="n">
        <v>0</v>
      </c>
      <c r="G1351" s="56" t="n">
        <v>15.5</v>
      </c>
      <c r="H1351" s="56" t="n">
        <v>0</v>
      </c>
      <c r="I1351" s="56" t="n">
        <v>18.8</v>
      </c>
      <c r="J1351" s="56" t="n">
        <v>0</v>
      </c>
      <c r="K1351" s="56" t="n">
        <v>1013.9</v>
      </c>
      <c r="L1351" s="56" t="n">
        <v>0</v>
      </c>
      <c r="M1351" s="56" t="n">
        <v>86</v>
      </c>
      <c r="N1351" s="56" t="n">
        <v>1.9</v>
      </c>
      <c r="O1351" s="56" t="n">
        <f aca="false">IF(D1351=1,"",E1350)</f>
        <v>22.2</v>
      </c>
      <c r="P1351" s="56" t="n">
        <f aca="false">IF(OR(D1351=1,K1350=""),"",K1350)</f>
        <v>1016.8</v>
      </c>
      <c r="Q1351" s="56" t="n">
        <f aca="false">IF(OR(F1351&lt;&gt;0,AND(I1351&lt;&gt;"",E1351&lt;I1351)),1,0)</f>
        <v>0</v>
      </c>
      <c r="R1351" s="56" t="n">
        <f aca="false">IF(AND(D1351&gt;1,Q1351=0,ISNUMBER(O1351),ISNUMBER(P1351)),IF(Q1350=0,1,0),0)</f>
        <v>1</v>
      </c>
      <c r="S1351" s="56" t="n">
        <f aca="false">R1351*(B1351&gt;=Train_Start)*(B1351&lt;=Train_End)</f>
        <v>1</v>
      </c>
      <c r="T1351" s="84" t="n">
        <f aca="false">IF(AND(ISNUMBER(O1351),ISNUMBER(P1351)),Coef_A+Coef_B1*O1351+Coef_B2*P1351,"")</f>
        <v>22.1732143713831</v>
      </c>
      <c r="U1351" s="84" t="n">
        <f aca="false">IF(AND(R1351=1,ISNUMBER(T1351)),E1351-T1351,"")</f>
        <v>-1.17321437138311</v>
      </c>
      <c r="V1351" s="84" t="n">
        <f aca="false">IF(ISNUMBER(T1351),T1351,-99)</f>
        <v>22.1732143713831</v>
      </c>
      <c r="W1351" s="84" t="n">
        <f aca="false">IF(ISNUMBER(U1351),ABS(U1351),"")</f>
        <v>1.17321437138311</v>
      </c>
    </row>
    <row r="1352" customFormat="false" ht="15" hidden="false" customHeight="false" outlineLevel="0" collapsed="false">
      <c r="A1352" s="57" t="n">
        <v>32024</v>
      </c>
      <c r="B1352" s="56" t="n">
        <v>1987</v>
      </c>
      <c r="C1352" s="56" t="n">
        <v>9</v>
      </c>
      <c r="D1352" s="56" t="n">
        <v>127</v>
      </c>
      <c r="E1352" s="56" t="n">
        <v>19.8</v>
      </c>
      <c r="F1352" s="56" t="n">
        <v>0</v>
      </c>
      <c r="G1352" s="56" t="n">
        <v>10.5</v>
      </c>
      <c r="H1352" s="56" t="n">
        <v>0</v>
      </c>
      <c r="I1352" s="56" t="n">
        <v>15.8</v>
      </c>
      <c r="J1352" s="56" t="n">
        <v>0</v>
      </c>
      <c r="K1352" s="56" t="n">
        <v>1016.9</v>
      </c>
      <c r="L1352" s="56" t="n">
        <v>0</v>
      </c>
      <c r="M1352" s="56" t="n">
        <v>70</v>
      </c>
      <c r="N1352" s="56" t="n">
        <v>8.4</v>
      </c>
      <c r="O1352" s="56" t="n">
        <f aca="false">IF(D1352=1,"",E1351)</f>
        <v>21</v>
      </c>
      <c r="P1352" s="56" t="n">
        <f aca="false">IF(OR(D1352=1,K1351=""),"",K1351)</f>
        <v>1013.9</v>
      </c>
      <c r="Q1352" s="56" t="n">
        <f aca="false">IF(OR(F1352&lt;&gt;0,AND(I1352&lt;&gt;"",E1352&lt;I1352)),1,0)</f>
        <v>0</v>
      </c>
      <c r="R1352" s="56" t="n">
        <f aca="false">IF(AND(D1352&gt;1,Q1352=0,ISNUMBER(O1352),ISNUMBER(P1352)),IF(Q1351=0,1,0),0)</f>
        <v>1</v>
      </c>
      <c r="S1352" s="56" t="n">
        <f aca="false">R1352*(B1352&gt;=Train_Start)*(B1352&lt;=Train_End)</f>
        <v>1</v>
      </c>
      <c r="T1352" s="84" t="n">
        <f aca="false">IF(AND(ISNUMBER(O1352),ISNUMBER(P1352)),Coef_A+Coef_B1*O1352+Coef_B2*P1352,"")</f>
        <v>21.0990346452934</v>
      </c>
      <c r="U1352" s="84" t="n">
        <f aca="false">IF(AND(R1352=1,ISNUMBER(T1352)),E1352-T1352,"")</f>
        <v>-1.29903464529335</v>
      </c>
      <c r="V1352" s="84" t="n">
        <f aca="false">IF(ISNUMBER(T1352),T1352,-99)</f>
        <v>21.0990346452934</v>
      </c>
      <c r="W1352" s="84" t="n">
        <f aca="false">IF(ISNUMBER(U1352),ABS(U1352),"")</f>
        <v>1.29903464529335</v>
      </c>
    </row>
    <row r="1353" customFormat="false" ht="15" hidden="false" customHeight="false" outlineLevel="0" collapsed="false">
      <c r="A1353" s="57" t="n">
        <v>32025</v>
      </c>
      <c r="B1353" s="56" t="n">
        <v>1987</v>
      </c>
      <c r="C1353" s="56" t="n">
        <v>9</v>
      </c>
      <c r="D1353" s="56" t="n">
        <v>128</v>
      </c>
      <c r="E1353" s="56" t="n">
        <v>19.5</v>
      </c>
      <c r="F1353" s="56" t="n">
        <v>0</v>
      </c>
      <c r="G1353" s="56" t="n">
        <v>12.7</v>
      </c>
      <c r="H1353" s="56" t="n">
        <v>0</v>
      </c>
      <c r="I1353" s="56" t="n">
        <v>16.2</v>
      </c>
      <c r="J1353" s="56" t="n">
        <v>0</v>
      </c>
      <c r="K1353" s="56" t="n">
        <v>1010</v>
      </c>
      <c r="L1353" s="56" t="n">
        <v>0</v>
      </c>
      <c r="M1353" s="56" t="n">
        <v>82</v>
      </c>
      <c r="N1353" s="56" t="n">
        <v>4.8</v>
      </c>
      <c r="O1353" s="56" t="n">
        <f aca="false">IF(D1353=1,"",E1352)</f>
        <v>19.8</v>
      </c>
      <c r="P1353" s="56" t="n">
        <f aca="false">IF(OR(D1353=1,K1352=""),"",K1352)</f>
        <v>1016.9</v>
      </c>
      <c r="Q1353" s="56" t="n">
        <f aca="false">IF(OR(F1353&lt;&gt;0,AND(I1353&lt;&gt;"",E1353&lt;I1353)),1,0)</f>
        <v>0</v>
      </c>
      <c r="R1353" s="56" t="n">
        <f aca="false">IF(AND(D1353&gt;1,Q1353=0,ISNUMBER(O1353),ISNUMBER(P1353)),IF(Q1352=0,1,0),0)</f>
        <v>1</v>
      </c>
      <c r="S1353" s="56" t="n">
        <f aca="false">R1353*(B1353&gt;=Train_Start)*(B1353&lt;=Train_End)</f>
        <v>1</v>
      </c>
      <c r="T1353" s="84" t="n">
        <f aca="false">IF(AND(ISNUMBER(O1353),ISNUMBER(P1353)),Coef_A+Coef_B1*O1353+Coef_B2*P1353,"")</f>
        <v>20.2099372975441</v>
      </c>
      <c r="U1353" s="84" t="n">
        <f aca="false">IF(AND(R1353=1,ISNUMBER(T1353)),E1353-T1353,"")</f>
        <v>-0.709937297544133</v>
      </c>
      <c r="V1353" s="84" t="n">
        <f aca="false">IF(ISNUMBER(T1353),T1353,-99)</f>
        <v>20.2099372975441</v>
      </c>
      <c r="W1353" s="84" t="n">
        <f aca="false">IF(ISNUMBER(U1353),ABS(U1353),"")</f>
        <v>0.709937297544133</v>
      </c>
    </row>
    <row r="1354" customFormat="false" ht="15" hidden="false" customHeight="false" outlineLevel="0" collapsed="false">
      <c r="A1354" s="57" t="n">
        <v>32026</v>
      </c>
      <c r="B1354" s="56" t="n">
        <v>1987</v>
      </c>
      <c r="C1354" s="56" t="n">
        <v>9</v>
      </c>
      <c r="D1354" s="56" t="n">
        <v>129</v>
      </c>
      <c r="E1354" s="56" t="n">
        <v>18.9</v>
      </c>
      <c r="F1354" s="56" t="n">
        <v>0</v>
      </c>
      <c r="G1354" s="56" t="n">
        <v>10</v>
      </c>
      <c r="H1354" s="56" t="n">
        <v>0</v>
      </c>
      <c r="I1354" s="56" t="n">
        <v>14.8</v>
      </c>
      <c r="J1354" s="56" t="n">
        <v>0</v>
      </c>
      <c r="K1354" s="56" t="n">
        <v>1013.7</v>
      </c>
      <c r="L1354" s="56" t="n">
        <v>0</v>
      </c>
      <c r="M1354" s="56" t="n">
        <v>85</v>
      </c>
      <c r="N1354" s="56" t="n">
        <v>0.5</v>
      </c>
      <c r="O1354" s="56" t="n">
        <f aca="false">IF(D1354=1,"",E1353)</f>
        <v>19.5</v>
      </c>
      <c r="P1354" s="56" t="n">
        <f aca="false">IF(OR(D1354=1,K1353=""),"",K1353)</f>
        <v>1010</v>
      </c>
      <c r="Q1354" s="56" t="n">
        <f aca="false">IF(OR(F1354&lt;&gt;0,AND(I1354&lt;&gt;"",E1354&lt;I1354)),1,0)</f>
        <v>0</v>
      </c>
      <c r="R1354" s="56" t="n">
        <f aca="false">IF(AND(D1354&gt;1,Q1354=0,ISNUMBER(O1354),ISNUMBER(P1354)),IF(Q1353=0,1,0),0)</f>
        <v>1</v>
      </c>
      <c r="S1354" s="56" t="n">
        <f aca="false">R1354*(B1354&gt;=Train_Start)*(B1354&lt;=Train_End)</f>
        <v>1</v>
      </c>
      <c r="T1354" s="84" t="n">
        <f aca="false">IF(AND(ISNUMBER(O1354),ISNUMBER(P1354)),Coef_A+Coef_B1*O1354+Coef_B2*P1354,"")</f>
        <v>19.7476832666568</v>
      </c>
      <c r="U1354" s="84" t="n">
        <f aca="false">IF(AND(R1354=1,ISNUMBER(T1354)),E1354-T1354,"")</f>
        <v>-0.847683266656809</v>
      </c>
      <c r="V1354" s="84" t="n">
        <f aca="false">IF(ISNUMBER(T1354),T1354,-99)</f>
        <v>19.7476832666568</v>
      </c>
      <c r="W1354" s="84" t="n">
        <f aca="false">IF(ISNUMBER(U1354),ABS(U1354),"")</f>
        <v>0.847683266656809</v>
      </c>
    </row>
    <row r="1355" customFormat="false" ht="15" hidden="false" customHeight="false" outlineLevel="0" collapsed="false">
      <c r="A1355" s="57" t="n">
        <v>32027</v>
      </c>
      <c r="B1355" s="56" t="n">
        <v>1987</v>
      </c>
      <c r="C1355" s="56" t="n">
        <v>9</v>
      </c>
      <c r="D1355" s="56" t="n">
        <v>130</v>
      </c>
      <c r="E1355" s="56" t="n">
        <v>20.2</v>
      </c>
      <c r="F1355" s="56" t="n">
        <v>0</v>
      </c>
      <c r="G1355" s="56" t="n">
        <v>11.9</v>
      </c>
      <c r="H1355" s="56" t="n">
        <v>0</v>
      </c>
      <c r="I1355" s="56" t="n">
        <v>15.4</v>
      </c>
      <c r="J1355" s="56" t="n">
        <v>0</v>
      </c>
      <c r="K1355" s="56" t="n">
        <v>1017.2</v>
      </c>
      <c r="L1355" s="56" t="n">
        <v>0</v>
      </c>
      <c r="M1355" s="56" t="n">
        <v>80</v>
      </c>
      <c r="N1355" s="56" t="n">
        <v>5.5</v>
      </c>
      <c r="O1355" s="56" t="n">
        <f aca="false">IF(D1355=1,"",E1354)</f>
        <v>18.9</v>
      </c>
      <c r="P1355" s="56" t="n">
        <f aca="false">IF(OR(D1355=1,K1354=""),"",K1354)</f>
        <v>1013.7</v>
      </c>
      <c r="Q1355" s="56" t="n">
        <f aca="false">IF(OR(F1355&lt;&gt;0,AND(I1355&lt;&gt;"",E1355&lt;I1355)),1,0)</f>
        <v>0</v>
      </c>
      <c r="R1355" s="56" t="n">
        <f aca="false">IF(AND(D1355&gt;1,Q1355=0,ISNUMBER(O1355),ISNUMBER(P1355)),IF(Q1354=0,1,0),0)</f>
        <v>1</v>
      </c>
      <c r="S1355" s="56" t="n">
        <f aca="false">R1355*(B1355&gt;=Train_Start)*(B1355&lt;=Train_End)</f>
        <v>1</v>
      </c>
      <c r="T1355" s="84" t="n">
        <f aca="false">IF(AND(ISNUMBER(O1355),ISNUMBER(P1355)),Coef_A+Coef_B1*O1355+Coef_B2*P1355,"")</f>
        <v>19.372148360977</v>
      </c>
      <c r="U1355" s="84" t="n">
        <f aca="false">IF(AND(R1355=1,ISNUMBER(T1355)),E1355-T1355,"")</f>
        <v>0.827851639023027</v>
      </c>
      <c r="V1355" s="84" t="n">
        <f aca="false">IF(ISNUMBER(T1355),T1355,-99)</f>
        <v>19.372148360977</v>
      </c>
      <c r="W1355" s="84" t="n">
        <f aca="false">IF(ISNUMBER(U1355),ABS(U1355),"")</f>
        <v>0.827851639023027</v>
      </c>
    </row>
    <row r="1356" customFormat="false" ht="15" hidden="false" customHeight="false" outlineLevel="0" collapsed="false">
      <c r="A1356" s="57" t="n">
        <v>32028</v>
      </c>
      <c r="B1356" s="56" t="n">
        <v>1987</v>
      </c>
      <c r="C1356" s="56" t="n">
        <v>9</v>
      </c>
      <c r="D1356" s="56" t="n">
        <v>131</v>
      </c>
      <c r="E1356" s="56" t="n">
        <v>20.4</v>
      </c>
      <c r="F1356" s="56" t="n">
        <v>0</v>
      </c>
      <c r="G1356" s="56" t="n">
        <v>8.5</v>
      </c>
      <c r="H1356" s="56" t="n">
        <v>0</v>
      </c>
      <c r="I1356" s="56" t="n">
        <v>14.4</v>
      </c>
      <c r="J1356" s="56" t="n">
        <v>0</v>
      </c>
      <c r="K1356" s="56" t="n">
        <v>1020.5</v>
      </c>
      <c r="L1356" s="56" t="n">
        <v>0</v>
      </c>
      <c r="M1356" s="56" t="n">
        <v>78</v>
      </c>
      <c r="N1356" s="56" t="n">
        <v>9</v>
      </c>
      <c r="O1356" s="56" t="n">
        <f aca="false">IF(D1356=1,"",E1355)</f>
        <v>20.2</v>
      </c>
      <c r="P1356" s="56" t="n">
        <f aca="false">IF(OR(D1356=1,K1355=""),"",K1355)</f>
        <v>1017.2</v>
      </c>
      <c r="Q1356" s="56" t="n">
        <f aca="false">IF(OR(F1356&lt;&gt;0,AND(I1356&lt;&gt;"",E1356&lt;I1356)),1,0)</f>
        <v>0</v>
      </c>
      <c r="R1356" s="56" t="n">
        <f aca="false">IF(AND(D1356&gt;1,Q1356=0,ISNUMBER(O1356),ISNUMBER(P1356)),IF(Q1355=0,1,0),0)</f>
        <v>1</v>
      </c>
      <c r="S1356" s="56" t="n">
        <f aca="false">R1356*(B1356&gt;=Train_Start)*(B1356&lt;=Train_End)</f>
        <v>1</v>
      </c>
      <c r="T1356" s="84" t="n">
        <f aca="false">IF(AND(ISNUMBER(O1356),ISNUMBER(P1356)),Coef_A+Coef_B1*O1356+Coef_B2*P1356,"")</f>
        <v>20.5470839431514</v>
      </c>
      <c r="U1356" s="84" t="n">
        <f aca="false">IF(AND(R1356=1,ISNUMBER(T1356)),E1356-T1356,"")</f>
        <v>-0.147083943151394</v>
      </c>
      <c r="V1356" s="84" t="n">
        <f aca="false">IF(ISNUMBER(T1356),T1356,-99)</f>
        <v>20.5470839431514</v>
      </c>
      <c r="W1356" s="84" t="n">
        <f aca="false">IF(ISNUMBER(U1356),ABS(U1356),"")</f>
        <v>0.147083943151394</v>
      </c>
    </row>
    <row r="1357" customFormat="false" ht="15" hidden="false" customHeight="false" outlineLevel="0" collapsed="false">
      <c r="A1357" s="57" t="n">
        <v>32029</v>
      </c>
      <c r="B1357" s="56" t="n">
        <v>1987</v>
      </c>
      <c r="C1357" s="56" t="n">
        <v>9</v>
      </c>
      <c r="D1357" s="56" t="n">
        <v>132</v>
      </c>
      <c r="E1357" s="56" t="n">
        <v>20.1</v>
      </c>
      <c r="F1357" s="56" t="n">
        <v>0</v>
      </c>
      <c r="G1357" s="56" t="n">
        <v>11.5</v>
      </c>
      <c r="H1357" s="56" t="n">
        <v>0</v>
      </c>
      <c r="I1357" s="56" t="n">
        <v>16</v>
      </c>
      <c r="J1357" s="56" t="n">
        <v>0</v>
      </c>
      <c r="K1357" s="56" t="n">
        <v>1017.7</v>
      </c>
      <c r="L1357" s="56" t="n">
        <v>0</v>
      </c>
      <c r="M1357" s="56" t="n">
        <v>74</v>
      </c>
      <c r="N1357" s="56" t="n">
        <v>6.3</v>
      </c>
      <c r="O1357" s="56" t="n">
        <f aca="false">IF(D1357=1,"",E1356)</f>
        <v>20.4</v>
      </c>
      <c r="P1357" s="56" t="n">
        <f aca="false">IF(OR(D1357=1,K1356=""),"",K1356)</f>
        <v>1020.5</v>
      </c>
      <c r="Q1357" s="56" t="n">
        <f aca="false">IF(OR(F1357&lt;&gt;0,AND(I1357&lt;&gt;"",E1357&lt;I1357)),1,0)</f>
        <v>0</v>
      </c>
      <c r="R1357" s="56" t="n">
        <f aca="false">IF(AND(D1357&gt;1,Q1357=0,ISNUMBER(O1357),ISNUMBER(P1357)),IF(Q1356=0,1,0),0)</f>
        <v>1</v>
      </c>
      <c r="S1357" s="56" t="n">
        <f aca="false">R1357*(B1357&gt;=Train_Start)*(B1357&lt;=Train_End)</f>
        <v>1</v>
      </c>
      <c r="T1357" s="84" t="n">
        <f aca="false">IF(AND(ISNUMBER(O1357),ISNUMBER(P1357)),Coef_A+Coef_B1*O1357+Coef_B2*P1357,"")</f>
        <v>20.8144724340521</v>
      </c>
      <c r="U1357" s="84" t="n">
        <f aca="false">IF(AND(R1357=1,ISNUMBER(T1357)),E1357-T1357,"")</f>
        <v>-0.714472434052087</v>
      </c>
      <c r="V1357" s="84" t="n">
        <f aca="false">IF(ISNUMBER(T1357),T1357,-99)</f>
        <v>20.8144724340521</v>
      </c>
      <c r="W1357" s="84" t="n">
        <f aca="false">IF(ISNUMBER(U1357),ABS(U1357),"")</f>
        <v>0.714472434052087</v>
      </c>
    </row>
    <row r="1358" customFormat="false" ht="15" hidden="false" customHeight="false" outlineLevel="0" collapsed="false">
      <c r="A1358" s="57" t="n">
        <v>32030</v>
      </c>
      <c r="B1358" s="56" t="n">
        <v>1987</v>
      </c>
      <c r="C1358" s="56" t="n">
        <v>9</v>
      </c>
      <c r="D1358" s="56" t="n">
        <v>133</v>
      </c>
      <c r="E1358" s="56" t="n">
        <v>19.6</v>
      </c>
      <c r="F1358" s="56" t="n">
        <v>0</v>
      </c>
      <c r="G1358" s="56" t="n">
        <v>14</v>
      </c>
      <c r="H1358" s="56" t="n">
        <v>0</v>
      </c>
      <c r="I1358" s="56" t="n">
        <v>17</v>
      </c>
      <c r="J1358" s="56" t="n">
        <v>0</v>
      </c>
      <c r="K1358" s="56" t="n">
        <v>1014</v>
      </c>
      <c r="L1358" s="56" t="n">
        <v>0</v>
      </c>
      <c r="M1358" s="56" t="n">
        <v>71</v>
      </c>
      <c r="N1358" s="56" t="n">
        <v>8.3</v>
      </c>
      <c r="O1358" s="56" t="n">
        <f aca="false">IF(D1358=1,"",E1357)</f>
        <v>20.1</v>
      </c>
      <c r="P1358" s="56" t="n">
        <f aca="false">IF(OR(D1358=1,K1357=""),"",K1357)</f>
        <v>1017.7</v>
      </c>
      <c r="Q1358" s="56" t="n">
        <f aca="false">IF(OR(F1358&lt;&gt;0,AND(I1358&lt;&gt;"",E1358&lt;I1358)),1,0)</f>
        <v>0</v>
      </c>
      <c r="R1358" s="56" t="n">
        <f aca="false">IF(AND(D1358&gt;1,Q1358=0,ISNUMBER(O1358),ISNUMBER(P1358)),IF(Q1357=0,1,0),0)</f>
        <v>1</v>
      </c>
      <c r="S1358" s="56" t="n">
        <f aca="false">R1358*(B1358&gt;=Train_Start)*(B1358&lt;=Train_End)</f>
        <v>1</v>
      </c>
      <c r="T1358" s="84" t="n">
        <f aca="false">IF(AND(ISNUMBER(O1358),ISNUMBER(P1358)),Coef_A+Coef_B1*O1358+Coef_B2*P1358,"")</f>
        <v>20.4808349711641</v>
      </c>
      <c r="U1358" s="84" t="n">
        <f aca="false">IF(AND(R1358=1,ISNUMBER(T1358)),E1358-T1358,"")</f>
        <v>-0.880834971164124</v>
      </c>
      <c r="V1358" s="84" t="n">
        <f aca="false">IF(ISNUMBER(T1358),T1358,-99)</f>
        <v>20.4808349711641</v>
      </c>
      <c r="W1358" s="84" t="n">
        <f aca="false">IF(ISNUMBER(U1358),ABS(U1358),"")</f>
        <v>0.880834971164124</v>
      </c>
    </row>
    <row r="1359" customFormat="false" ht="15" hidden="false" customHeight="false" outlineLevel="0" collapsed="false">
      <c r="A1359" s="57" t="n">
        <v>32031</v>
      </c>
      <c r="B1359" s="56" t="n">
        <v>1987</v>
      </c>
      <c r="C1359" s="56" t="n">
        <v>9</v>
      </c>
      <c r="D1359" s="56" t="n">
        <v>134</v>
      </c>
      <c r="E1359" s="56" t="n">
        <v>21.6</v>
      </c>
      <c r="F1359" s="56" t="n">
        <v>0</v>
      </c>
      <c r="G1359" s="56" t="n">
        <v>12.5</v>
      </c>
      <c r="H1359" s="56" t="n">
        <v>0</v>
      </c>
      <c r="I1359" s="56" t="n">
        <v>16</v>
      </c>
      <c r="J1359" s="56" t="n">
        <v>0</v>
      </c>
      <c r="K1359" s="56" t="n">
        <v>1013.4</v>
      </c>
      <c r="L1359" s="56" t="n">
        <v>0</v>
      </c>
      <c r="M1359" s="56" t="n">
        <v>81</v>
      </c>
      <c r="N1359" s="56" t="n">
        <v>4.2</v>
      </c>
      <c r="O1359" s="56" t="n">
        <f aca="false">IF(D1359=1,"",E1358)</f>
        <v>19.6</v>
      </c>
      <c r="P1359" s="56" t="n">
        <f aca="false">IF(OR(D1359=1,K1358=""),"",K1358)</f>
        <v>1014</v>
      </c>
      <c r="Q1359" s="56" t="n">
        <f aca="false">IF(OR(F1359&lt;&gt;0,AND(I1359&lt;&gt;"",E1359&lt;I1359)),1,0)</f>
        <v>0</v>
      </c>
      <c r="R1359" s="56" t="n">
        <f aca="false">IF(AND(D1359&gt;1,Q1359=0,ISNUMBER(O1359),ISNUMBER(P1359)),IF(Q1358=0,1,0),0)</f>
        <v>1</v>
      </c>
      <c r="S1359" s="56" t="n">
        <f aca="false">R1359*(B1359&gt;=Train_Start)*(B1359&lt;=Train_End)</f>
        <v>1</v>
      </c>
      <c r="T1359" s="84" t="n">
        <f aca="false">IF(AND(ISNUMBER(O1359),ISNUMBER(P1359)),Coef_A+Coef_B1*O1359+Coef_B2*P1359,"")</f>
        <v>19.955096764497</v>
      </c>
      <c r="U1359" s="84" t="n">
        <f aca="false">IF(AND(R1359=1,ISNUMBER(T1359)),E1359-T1359,"")</f>
        <v>1.64490323550297</v>
      </c>
      <c r="V1359" s="84" t="n">
        <f aca="false">IF(ISNUMBER(T1359),T1359,-99)</f>
        <v>19.955096764497</v>
      </c>
      <c r="W1359" s="84" t="n">
        <f aca="false">IF(ISNUMBER(U1359),ABS(U1359),"")</f>
        <v>1.64490323550297</v>
      </c>
    </row>
    <row r="1360" customFormat="false" ht="15" hidden="false" customHeight="false" outlineLevel="0" collapsed="false">
      <c r="A1360" s="57" t="n">
        <v>32032</v>
      </c>
      <c r="B1360" s="56" t="n">
        <v>1987</v>
      </c>
      <c r="C1360" s="56" t="n">
        <v>9</v>
      </c>
      <c r="D1360" s="56" t="n">
        <v>135</v>
      </c>
      <c r="E1360" s="56" t="n">
        <v>17.3</v>
      </c>
      <c r="F1360" s="56" t="n">
        <v>1</v>
      </c>
      <c r="G1360" s="56" t="n">
        <v>16.1</v>
      </c>
      <c r="H1360" s="56" t="n">
        <v>0</v>
      </c>
      <c r="I1360" s="56" t="n">
        <v>18.8</v>
      </c>
      <c r="J1360" s="56" t="n">
        <v>1</v>
      </c>
      <c r="K1360" s="56" t="n">
        <v>1006.9</v>
      </c>
      <c r="L1360" s="56" t="n">
        <v>0</v>
      </c>
      <c r="M1360" s="56" t="n">
        <v>83</v>
      </c>
      <c r="N1360" s="56" t="n">
        <v>1</v>
      </c>
      <c r="O1360" s="56" t="n">
        <f aca="false">IF(D1360=1,"",E1359)</f>
        <v>21.6</v>
      </c>
      <c r="P1360" s="56" t="n">
        <f aca="false">IF(OR(D1360=1,K1359=""),"",K1359)</f>
        <v>1013.4</v>
      </c>
      <c r="Q1360" s="56" t="n">
        <f aca="false">IF(OR(F1360&lt;&gt;0,AND(I1360&lt;&gt;"",E1360&lt;I1360)),1,0)</f>
        <v>1</v>
      </c>
      <c r="R1360" s="56" t="n">
        <f aca="false">IF(AND(D1360&gt;1,Q1360=0,ISNUMBER(O1360),ISNUMBER(P1360)),IF(Q1359=0,1,0),0)</f>
        <v>0</v>
      </c>
      <c r="S1360" s="56" t="n">
        <f aca="false">R1360*(B1360&gt;=Train_Start)*(B1360&lt;=Train_End)</f>
        <v>0</v>
      </c>
      <c r="T1360" s="84" t="n">
        <f aca="false">IF(AND(ISNUMBER(O1360),ISNUMBER(P1360)),Coef_A+Coef_B1*O1360+Coef_B2*P1360,"")</f>
        <v>21.574953213802</v>
      </c>
      <c r="U1360" s="84" t="str">
        <f aca="false">IF(AND(R1360=1,ISNUMBER(T1360)),E1360-T1360,"")</f>
        <v/>
      </c>
      <c r="V1360" s="84" t="n">
        <f aca="false">IF(ISNUMBER(T1360),T1360,-99)</f>
        <v>21.574953213802</v>
      </c>
      <c r="W1360" s="84" t="str">
        <f aca="false">IF(ISNUMBER(U1360),ABS(U1360),"")</f>
        <v/>
      </c>
    </row>
    <row r="1361" customFormat="false" ht="15" hidden="false" customHeight="false" outlineLevel="0" collapsed="false">
      <c r="A1361" s="57" t="n">
        <v>32033</v>
      </c>
      <c r="B1361" s="56" t="n">
        <v>1987</v>
      </c>
      <c r="C1361" s="56" t="n">
        <v>9</v>
      </c>
      <c r="D1361" s="56" t="n">
        <v>136</v>
      </c>
      <c r="E1361" s="56" t="n">
        <v>20.9</v>
      </c>
      <c r="F1361" s="56" t="n">
        <v>0</v>
      </c>
      <c r="G1361" s="56" t="n">
        <v>12.4</v>
      </c>
      <c r="H1361" s="56" t="n">
        <v>0</v>
      </c>
      <c r="I1361" s="56" t="n">
        <v>14.8</v>
      </c>
      <c r="J1361" s="56" t="n">
        <v>0</v>
      </c>
      <c r="K1361" s="56" t="n">
        <v>1011.9</v>
      </c>
      <c r="L1361" s="56" t="n">
        <v>0</v>
      </c>
      <c r="M1361" s="56" t="n">
        <v>88</v>
      </c>
      <c r="N1361" s="56" t="n">
        <v>0.5</v>
      </c>
      <c r="O1361" s="56" t="n">
        <f aca="false">IF(D1361=1,"",E1360)</f>
        <v>17.3</v>
      </c>
      <c r="P1361" s="56" t="n">
        <f aca="false">IF(OR(D1361=1,K1360=""),"",K1360)</f>
        <v>1006.9</v>
      </c>
      <c r="Q1361" s="56" t="n">
        <f aca="false">IF(OR(F1361&lt;&gt;0,AND(I1361&lt;&gt;"",E1361&lt;I1361)),1,0)</f>
        <v>0</v>
      </c>
      <c r="R1361" s="56" t="n">
        <f aca="false">IF(AND(D1361&gt;1,Q1361=0,ISNUMBER(O1361),ISNUMBER(P1361)),IF(Q1360=0,1,0),0)</f>
        <v>0</v>
      </c>
      <c r="S1361" s="56" t="n">
        <f aca="false">R1361*(B1361&gt;=Train_Start)*(B1361&lt;=Train_End)</f>
        <v>0</v>
      </c>
      <c r="T1361" s="84" t="n">
        <f aca="false">IF(AND(ISNUMBER(O1361),ISNUMBER(P1361)),Coef_A+Coef_B1*O1361+Coef_B2*P1361,"")</f>
        <v>17.8478903685976</v>
      </c>
      <c r="U1361" s="84" t="str">
        <f aca="false">IF(AND(R1361=1,ISNUMBER(T1361)),E1361-T1361,"")</f>
        <v/>
      </c>
      <c r="V1361" s="84" t="n">
        <f aca="false">IF(ISNUMBER(T1361),T1361,-99)</f>
        <v>17.8478903685976</v>
      </c>
      <c r="W1361" s="84" t="str">
        <f aca="false">IF(ISNUMBER(U1361),ABS(U1361),"")</f>
        <v/>
      </c>
    </row>
    <row r="1362" customFormat="false" ht="15" hidden="false" customHeight="false" outlineLevel="0" collapsed="false">
      <c r="A1362" s="57" t="n">
        <v>32034</v>
      </c>
      <c r="B1362" s="56" t="n">
        <v>1987</v>
      </c>
      <c r="C1362" s="56" t="n">
        <v>9</v>
      </c>
      <c r="D1362" s="56" t="n">
        <v>137</v>
      </c>
      <c r="E1362" s="56" t="n">
        <v>19.7</v>
      </c>
      <c r="F1362" s="56" t="n">
        <v>0</v>
      </c>
      <c r="G1362" s="56" t="n">
        <v>10.3</v>
      </c>
      <c r="H1362" s="56" t="n">
        <v>0</v>
      </c>
      <c r="I1362" s="56" t="n">
        <v>15.6</v>
      </c>
      <c r="J1362" s="56" t="n">
        <v>0</v>
      </c>
      <c r="K1362" s="56" t="n">
        <v>1016.6</v>
      </c>
      <c r="L1362" s="56" t="n">
        <v>0</v>
      </c>
      <c r="M1362" s="56" t="n">
        <v>70</v>
      </c>
      <c r="N1362" s="56" t="n">
        <v>9.3</v>
      </c>
      <c r="O1362" s="56" t="n">
        <f aca="false">IF(D1362=1,"",E1361)</f>
        <v>20.9</v>
      </c>
      <c r="P1362" s="56" t="n">
        <f aca="false">IF(OR(D1362=1,K1361=""),"",K1361)</f>
        <v>1011.9</v>
      </c>
      <c r="Q1362" s="56" t="n">
        <f aca="false">IF(OR(F1362&lt;&gt;0,AND(I1362&lt;&gt;"",E1362&lt;I1362)),1,0)</f>
        <v>0</v>
      </c>
      <c r="R1362" s="56" t="n">
        <f aca="false">IF(AND(D1362&gt;1,Q1362=0,ISNUMBER(O1362),ISNUMBER(P1362)),IF(Q1361=0,1,0),0)</f>
        <v>1</v>
      </c>
      <c r="S1362" s="56" t="n">
        <f aca="false">R1362*(B1362&gt;=Train_Start)*(B1362&lt;=Train_End)</f>
        <v>1</v>
      </c>
      <c r="T1362" s="84" t="n">
        <f aca="false">IF(AND(ISNUMBER(O1362),ISNUMBER(P1362)),Coef_A+Coef_B1*O1362+Coef_B2*P1362,"")</f>
        <v>20.9543609367211</v>
      </c>
      <c r="U1362" s="84" t="n">
        <f aca="false">IF(AND(R1362=1,ISNUMBER(T1362)),E1362-T1362,"")</f>
        <v>-1.25436093672111</v>
      </c>
      <c r="V1362" s="84" t="n">
        <f aca="false">IF(ISNUMBER(T1362),T1362,-99)</f>
        <v>20.9543609367211</v>
      </c>
      <c r="W1362" s="84" t="n">
        <f aca="false">IF(ISNUMBER(U1362),ABS(U1362),"")</f>
        <v>1.25436093672111</v>
      </c>
    </row>
    <row r="1363" customFormat="false" ht="15" hidden="false" customHeight="false" outlineLevel="0" collapsed="false">
      <c r="A1363" s="57" t="n">
        <v>32035</v>
      </c>
      <c r="B1363" s="56" t="n">
        <v>1987</v>
      </c>
      <c r="C1363" s="56" t="n">
        <v>9</v>
      </c>
      <c r="D1363" s="56" t="n">
        <v>138</v>
      </c>
      <c r="E1363" s="56" t="n">
        <v>19.2</v>
      </c>
      <c r="F1363" s="56" t="n">
        <v>0</v>
      </c>
      <c r="G1363" s="56" t="n">
        <v>9</v>
      </c>
      <c r="H1363" s="56" t="n">
        <v>0</v>
      </c>
      <c r="I1363" s="56" t="n">
        <v>14.4</v>
      </c>
      <c r="J1363" s="56" t="n">
        <v>0</v>
      </c>
      <c r="K1363" s="56" t="n">
        <v>1023.7</v>
      </c>
      <c r="L1363" s="56" t="n">
        <v>0</v>
      </c>
      <c r="M1363" s="56" t="n">
        <v>74</v>
      </c>
      <c r="N1363" s="56" t="n">
        <v>4</v>
      </c>
      <c r="O1363" s="56" t="n">
        <f aca="false">IF(D1363=1,"",E1362)</f>
        <v>19.7</v>
      </c>
      <c r="P1363" s="56" t="n">
        <f aca="false">IF(OR(D1363=1,K1362=""),"",K1362)</f>
        <v>1016.6</v>
      </c>
      <c r="Q1363" s="56" t="n">
        <f aca="false">IF(OR(F1363&lt;&gt;0,AND(I1363&lt;&gt;"",E1363&lt;I1363)),1,0)</f>
        <v>0</v>
      </c>
      <c r="R1363" s="56" t="n">
        <f aca="false">IF(AND(D1363&gt;1,Q1363=0,ISNUMBER(O1363),ISNUMBER(P1363)),IF(Q1362=0,1,0),0)</f>
        <v>1</v>
      </c>
      <c r="S1363" s="56" t="n">
        <f aca="false">R1363*(B1363&gt;=Train_Start)*(B1363&lt;=Train_End)</f>
        <v>1</v>
      </c>
      <c r="T1363" s="84" t="n">
        <f aca="false">IF(AND(ISNUMBER(O1363),ISNUMBER(P1363)),Coef_A+Coef_B1*O1363+Coef_B2*P1363,"")</f>
        <v>20.1185924098497</v>
      </c>
      <c r="U1363" s="84" t="n">
        <f aca="false">IF(AND(R1363=1,ISNUMBER(T1363)),E1363-T1363,"")</f>
        <v>-0.918592409849669</v>
      </c>
      <c r="V1363" s="84" t="n">
        <f aca="false">IF(ISNUMBER(T1363),T1363,-99)</f>
        <v>20.1185924098497</v>
      </c>
      <c r="W1363" s="84" t="n">
        <f aca="false">IF(ISNUMBER(U1363),ABS(U1363),"")</f>
        <v>0.918592409849669</v>
      </c>
    </row>
    <row r="1364" customFormat="false" ht="15" hidden="false" customHeight="false" outlineLevel="0" collapsed="false">
      <c r="A1364" s="57" t="n">
        <v>32036</v>
      </c>
      <c r="B1364" s="56" t="n">
        <v>1987</v>
      </c>
      <c r="C1364" s="56" t="n">
        <v>9</v>
      </c>
      <c r="D1364" s="56" t="n">
        <v>139</v>
      </c>
      <c r="E1364" s="56" t="n">
        <v>24.7</v>
      </c>
      <c r="F1364" s="56" t="n">
        <v>0</v>
      </c>
      <c r="G1364" s="56" t="n">
        <v>13</v>
      </c>
      <c r="H1364" s="56" t="n">
        <v>0</v>
      </c>
      <c r="I1364" s="56" t="n">
        <v>16.1</v>
      </c>
      <c r="J1364" s="56" t="n">
        <v>0</v>
      </c>
      <c r="K1364" s="56" t="n">
        <v>1021.8</v>
      </c>
      <c r="L1364" s="56" t="n">
        <v>0</v>
      </c>
      <c r="M1364" s="56" t="n">
        <v>82</v>
      </c>
      <c r="N1364" s="56" t="n">
        <v>0</v>
      </c>
      <c r="O1364" s="56" t="n">
        <f aca="false">IF(D1364=1,"",E1363)</f>
        <v>19.2</v>
      </c>
      <c r="P1364" s="56" t="n">
        <f aca="false">IF(OR(D1364=1,K1363=""),"",K1363)</f>
        <v>1023.7</v>
      </c>
      <c r="Q1364" s="56" t="n">
        <f aca="false">IF(OR(F1364&lt;&gt;0,AND(I1364&lt;&gt;"",E1364&lt;I1364)),1,0)</f>
        <v>0</v>
      </c>
      <c r="R1364" s="56" t="n">
        <f aca="false">IF(AND(D1364&gt;1,Q1364=0,ISNUMBER(O1364),ISNUMBER(P1364)),IF(Q1363=0,1,0),0)</f>
        <v>1</v>
      </c>
      <c r="S1364" s="56" t="n">
        <f aca="false">R1364*(B1364&gt;=Train_Start)*(B1364&lt;=Train_End)</f>
        <v>1</v>
      </c>
      <c r="T1364" s="84" t="n">
        <f aca="false">IF(AND(ISNUMBER(O1364),ISNUMBER(P1364)),Coef_A+Coef_B1*O1364+Coef_B2*P1364,"")</f>
        <v>19.9316490652297</v>
      </c>
      <c r="U1364" s="84" t="n">
        <f aca="false">IF(AND(R1364=1,ISNUMBER(T1364)),E1364-T1364,"")</f>
        <v>4.76835093477033</v>
      </c>
      <c r="V1364" s="84" t="n">
        <f aca="false">IF(ISNUMBER(T1364),T1364,-99)</f>
        <v>19.9316490652297</v>
      </c>
      <c r="W1364" s="84" t="n">
        <f aca="false">IF(ISNUMBER(U1364),ABS(U1364),"")</f>
        <v>4.76835093477033</v>
      </c>
    </row>
    <row r="1365" customFormat="false" ht="15" hidden="false" customHeight="false" outlineLevel="0" collapsed="false">
      <c r="A1365" s="57" t="n">
        <v>32037</v>
      </c>
      <c r="B1365" s="56" t="n">
        <v>1987</v>
      </c>
      <c r="C1365" s="56" t="n">
        <v>9</v>
      </c>
      <c r="D1365" s="56" t="n">
        <v>140</v>
      </c>
      <c r="E1365" s="56" t="n">
        <v>20.6</v>
      </c>
      <c r="F1365" s="56" t="n">
        <v>0</v>
      </c>
      <c r="G1365" s="56" t="n">
        <v>14</v>
      </c>
      <c r="H1365" s="56" t="n">
        <v>0</v>
      </c>
      <c r="I1365" s="56" t="n">
        <v>19.4</v>
      </c>
      <c r="J1365" s="56" t="n">
        <v>0</v>
      </c>
      <c r="K1365" s="56" t="n">
        <v>1017.8</v>
      </c>
      <c r="L1365" s="56" t="n">
        <v>0</v>
      </c>
      <c r="M1365" s="56" t="n">
        <v>83</v>
      </c>
      <c r="N1365" s="56" t="n">
        <v>5.3</v>
      </c>
      <c r="O1365" s="56" t="n">
        <f aca="false">IF(D1365=1,"",E1364)</f>
        <v>24.7</v>
      </c>
      <c r="P1365" s="56" t="n">
        <f aca="false">IF(OR(D1365=1,K1364=""),"",K1364)</f>
        <v>1021.8</v>
      </c>
      <c r="Q1365" s="56" t="n">
        <f aca="false">IF(OR(F1365&lt;&gt;0,AND(I1365&lt;&gt;"",E1365&lt;I1365)),1,0)</f>
        <v>0</v>
      </c>
      <c r="R1365" s="56" t="n">
        <f aca="false">IF(AND(D1365&gt;1,Q1365=0,ISNUMBER(O1365),ISNUMBER(P1365)),IF(Q1364=0,1,0),0)</f>
        <v>1</v>
      </c>
      <c r="S1365" s="56" t="n">
        <f aca="false">R1365*(B1365&gt;=Train_Start)*(B1365&lt;=Train_End)</f>
        <v>1</v>
      </c>
      <c r="T1365" s="84" t="n">
        <f aca="false">IF(AND(ISNUMBER(O1365),ISNUMBER(P1365)),Coef_A+Coef_B1*O1365+Coef_B2*P1365,"")</f>
        <v>24.3784118271597</v>
      </c>
      <c r="U1365" s="84" t="n">
        <f aca="false">IF(AND(R1365=1,ISNUMBER(T1365)),E1365-T1365,"")</f>
        <v>-3.7784118271597</v>
      </c>
      <c r="V1365" s="84" t="n">
        <f aca="false">IF(ISNUMBER(T1365),T1365,-99)</f>
        <v>24.3784118271597</v>
      </c>
      <c r="W1365" s="84" t="n">
        <f aca="false">IF(ISNUMBER(U1365),ABS(U1365),"")</f>
        <v>3.7784118271597</v>
      </c>
    </row>
    <row r="1366" customFormat="false" ht="15" hidden="false" customHeight="false" outlineLevel="0" collapsed="false">
      <c r="A1366" s="57" t="n">
        <v>32038</v>
      </c>
      <c r="B1366" s="56" t="n">
        <v>1987</v>
      </c>
      <c r="C1366" s="56" t="n">
        <v>9</v>
      </c>
      <c r="D1366" s="56" t="n">
        <v>141</v>
      </c>
      <c r="E1366" s="56" t="n">
        <v>16.2</v>
      </c>
      <c r="F1366" s="56" t="n">
        <v>1</v>
      </c>
      <c r="G1366" s="56" t="n">
        <v>15.6</v>
      </c>
      <c r="H1366" s="56" t="n">
        <v>0</v>
      </c>
      <c r="I1366" s="56" t="n">
        <v>18.1</v>
      </c>
      <c r="J1366" s="56" t="n">
        <v>1</v>
      </c>
      <c r="K1366" s="56" t="n">
        <v>1023.9</v>
      </c>
      <c r="L1366" s="56" t="n">
        <v>0</v>
      </c>
      <c r="M1366" s="56" t="n">
        <v>75</v>
      </c>
      <c r="N1366" s="56" t="n">
        <v>8.7</v>
      </c>
      <c r="O1366" s="56" t="n">
        <f aca="false">IF(D1366=1,"",E1365)</f>
        <v>20.6</v>
      </c>
      <c r="P1366" s="56" t="n">
        <f aca="false">IF(OR(D1366=1,K1365=""),"",K1365)</f>
        <v>1017.8</v>
      </c>
      <c r="Q1366" s="56" t="n">
        <f aca="false">IF(OR(F1366&lt;&gt;0,AND(I1366&lt;&gt;"",E1366&lt;I1366)),1,0)</f>
        <v>1</v>
      </c>
      <c r="R1366" s="56" t="n">
        <f aca="false">IF(AND(D1366&gt;1,Q1366=0,ISNUMBER(O1366),ISNUMBER(P1366)),IF(Q1365=0,1,0),0)</f>
        <v>0</v>
      </c>
      <c r="S1366" s="56" t="n">
        <f aca="false">R1366*(B1366&gt;=Train_Start)*(B1366&lt;=Train_End)</f>
        <v>0</v>
      </c>
      <c r="T1366" s="84" t="n">
        <f aca="false">IF(AND(ISNUMBER(O1366),ISNUMBER(P1366)),Coef_A+Coef_B1*O1366+Coef_B2*P1366,"")</f>
        <v>20.8936415571489</v>
      </c>
      <c r="U1366" s="84" t="str">
        <f aca="false">IF(AND(R1366=1,ISNUMBER(T1366)),E1366-T1366,"")</f>
        <v/>
      </c>
      <c r="V1366" s="84" t="n">
        <f aca="false">IF(ISNUMBER(T1366),T1366,-99)</f>
        <v>20.8936415571489</v>
      </c>
      <c r="W1366" s="84" t="str">
        <f aca="false">IF(ISNUMBER(U1366),ABS(U1366),"")</f>
        <v/>
      </c>
    </row>
    <row r="1367" customFormat="false" ht="15" hidden="false" customHeight="false" outlineLevel="0" collapsed="false">
      <c r="A1367" s="57" t="n">
        <v>32039</v>
      </c>
      <c r="B1367" s="56" t="n">
        <v>1987</v>
      </c>
      <c r="C1367" s="56" t="n">
        <v>9</v>
      </c>
      <c r="D1367" s="56" t="n">
        <v>142</v>
      </c>
      <c r="E1367" s="56" t="n">
        <v>23.1</v>
      </c>
      <c r="F1367" s="56" t="n">
        <v>0</v>
      </c>
      <c r="G1367" s="56" t="n">
        <v>13.3</v>
      </c>
      <c r="H1367" s="56" t="n">
        <v>0</v>
      </c>
      <c r="I1367" s="56" t="n">
        <v>14.8</v>
      </c>
      <c r="J1367" s="56" t="n">
        <v>0</v>
      </c>
      <c r="K1367" s="56" t="n">
        <v>1019</v>
      </c>
      <c r="L1367" s="56" t="n">
        <v>0</v>
      </c>
      <c r="M1367" s="56" t="n">
        <v>92</v>
      </c>
      <c r="N1367" s="56" t="n">
        <v>0</v>
      </c>
      <c r="O1367" s="56" t="n">
        <f aca="false">IF(D1367=1,"",E1366)</f>
        <v>16.2</v>
      </c>
      <c r="P1367" s="56" t="n">
        <f aca="false">IF(OR(D1367=1,K1366=""),"",K1366)</f>
        <v>1023.9</v>
      </c>
      <c r="Q1367" s="56" t="n">
        <f aca="false">IF(OR(F1367&lt;&gt;0,AND(I1367&lt;&gt;"",E1367&lt;I1367)),1,0)</f>
        <v>0</v>
      </c>
      <c r="R1367" s="56" t="n">
        <f aca="false">IF(AND(D1367&gt;1,Q1367=0,ISNUMBER(O1367),ISNUMBER(P1367)),IF(Q1366=0,1,0),0)</f>
        <v>0</v>
      </c>
      <c r="S1367" s="56" t="n">
        <f aca="false">R1367*(B1367&gt;=Train_Start)*(B1367&lt;=Train_End)</f>
        <v>0</v>
      </c>
      <c r="T1367" s="84" t="n">
        <f aca="false">IF(AND(ISNUMBER(O1367),ISNUMBER(P1367)),Coef_A+Coef_B1*O1367+Coef_B2*P1367,"")</f>
        <v>17.4799054650285</v>
      </c>
      <c r="U1367" s="84" t="str">
        <f aca="false">IF(AND(R1367=1,ISNUMBER(T1367)),E1367-T1367,"")</f>
        <v/>
      </c>
      <c r="V1367" s="84" t="n">
        <f aca="false">IF(ISNUMBER(T1367),T1367,-99)</f>
        <v>17.4799054650285</v>
      </c>
      <c r="W1367" s="84" t="str">
        <f aca="false">IF(ISNUMBER(U1367),ABS(U1367),"")</f>
        <v/>
      </c>
    </row>
    <row r="1368" customFormat="false" ht="15" hidden="false" customHeight="false" outlineLevel="0" collapsed="false">
      <c r="A1368" s="57" t="n">
        <v>32040</v>
      </c>
      <c r="B1368" s="56" t="n">
        <v>1987</v>
      </c>
      <c r="C1368" s="56" t="n">
        <v>9</v>
      </c>
      <c r="D1368" s="56" t="n">
        <v>143</v>
      </c>
      <c r="E1368" s="56" t="n">
        <v>21.6</v>
      </c>
      <c r="F1368" s="56" t="n">
        <v>0</v>
      </c>
      <c r="G1368" s="56" t="n">
        <v>13.7</v>
      </c>
      <c r="H1368" s="56" t="n">
        <v>0</v>
      </c>
      <c r="I1368" s="56" t="n">
        <v>18.4</v>
      </c>
      <c r="J1368" s="56" t="n">
        <v>0</v>
      </c>
      <c r="K1368" s="56" t="n">
        <v>1013</v>
      </c>
      <c r="L1368" s="56" t="n">
        <v>0</v>
      </c>
      <c r="M1368" s="56" t="n">
        <v>87</v>
      </c>
      <c r="N1368" s="56" t="n">
        <v>6.8</v>
      </c>
      <c r="O1368" s="56" t="n">
        <f aca="false">IF(D1368=1,"",E1367)</f>
        <v>23.1</v>
      </c>
      <c r="P1368" s="56" t="n">
        <f aca="false">IF(OR(D1368=1,K1367=""),"",K1367)</f>
        <v>1019</v>
      </c>
      <c r="Q1368" s="56" t="n">
        <f aca="false">IF(OR(F1368&lt;&gt;0,AND(I1368&lt;&gt;"",E1368&lt;I1368)),1,0)</f>
        <v>0</v>
      </c>
      <c r="R1368" s="56" t="n">
        <f aca="false">IF(AND(D1368&gt;1,Q1368=0,ISNUMBER(O1368),ISNUMBER(P1368)),IF(Q1367=0,1,0),0)</f>
        <v>1</v>
      </c>
      <c r="S1368" s="56" t="n">
        <f aca="false">R1368*(B1368&gt;=Train_Start)*(B1368&lt;=Train_End)</f>
        <v>1</v>
      </c>
      <c r="T1368" s="84" t="n">
        <f aca="false">IF(AND(ISNUMBER(O1368),ISNUMBER(P1368)),Coef_A+Coef_B1*O1368+Coef_B2*P1368,"")</f>
        <v>22.9796334133163</v>
      </c>
      <c r="U1368" s="84" t="n">
        <f aca="false">IF(AND(R1368=1,ISNUMBER(T1368)),E1368-T1368,"")</f>
        <v>-1.37963341331628</v>
      </c>
      <c r="V1368" s="84" t="n">
        <f aca="false">IF(ISNUMBER(T1368),T1368,-99)</f>
        <v>22.9796334133163</v>
      </c>
      <c r="W1368" s="84" t="n">
        <f aca="false">IF(ISNUMBER(U1368),ABS(U1368),"")</f>
        <v>1.37963341331628</v>
      </c>
    </row>
    <row r="1369" customFormat="false" ht="15" hidden="false" customHeight="false" outlineLevel="0" collapsed="false">
      <c r="A1369" s="57" t="n">
        <v>32041</v>
      </c>
      <c r="B1369" s="56" t="n">
        <v>1987</v>
      </c>
      <c r="C1369" s="56" t="n">
        <v>9</v>
      </c>
      <c r="D1369" s="56" t="n">
        <v>144</v>
      </c>
      <c r="E1369" s="56" t="n">
        <v>19</v>
      </c>
      <c r="F1369" s="56" t="n">
        <v>0</v>
      </c>
      <c r="G1369" s="56" t="n">
        <v>15.7</v>
      </c>
      <c r="H1369" s="56" t="n">
        <v>0</v>
      </c>
      <c r="I1369" s="56" t="n">
        <v>18.6</v>
      </c>
      <c r="J1369" s="56" t="n">
        <v>0</v>
      </c>
      <c r="K1369" s="56" t="n">
        <v>1010.3</v>
      </c>
      <c r="L1369" s="56" t="n">
        <v>0</v>
      </c>
      <c r="M1369" s="56" t="n">
        <v>85</v>
      </c>
      <c r="N1369" s="56" t="n">
        <v>3.4</v>
      </c>
      <c r="O1369" s="56" t="n">
        <f aca="false">IF(D1369=1,"",E1368)</f>
        <v>21.6</v>
      </c>
      <c r="P1369" s="56" t="n">
        <f aca="false">IF(OR(D1369=1,K1368=""),"",K1368)</f>
        <v>1013</v>
      </c>
      <c r="Q1369" s="56" t="n">
        <f aca="false">IF(OR(F1369&lt;&gt;0,AND(I1369&lt;&gt;"",E1369&lt;I1369)),1,0)</f>
        <v>0</v>
      </c>
      <c r="R1369" s="56" t="n">
        <f aca="false">IF(AND(D1369&gt;1,Q1369=0,ISNUMBER(O1369),ISNUMBER(P1369)),IF(Q1368=0,1,0),0)</f>
        <v>1</v>
      </c>
      <c r="S1369" s="56" t="n">
        <f aca="false">R1369*(B1369&gt;=Train_Start)*(B1369&lt;=Train_End)</f>
        <v>1</v>
      </c>
      <c r="T1369" s="84" t="n">
        <f aca="false">IF(AND(ISNUMBER(O1369),ISNUMBER(P1369)),Coef_A+Coef_B1*O1369+Coef_B2*P1369,"")</f>
        <v>21.5624052559484</v>
      </c>
      <c r="U1369" s="84" t="n">
        <f aca="false">IF(AND(R1369=1,ISNUMBER(T1369)),E1369-T1369,"")</f>
        <v>-2.56240525594836</v>
      </c>
      <c r="V1369" s="84" t="n">
        <f aca="false">IF(ISNUMBER(T1369),T1369,-99)</f>
        <v>21.5624052559484</v>
      </c>
      <c r="W1369" s="84" t="n">
        <f aca="false">IF(ISNUMBER(U1369),ABS(U1369),"")</f>
        <v>2.56240525594836</v>
      </c>
    </row>
    <row r="1370" customFormat="false" ht="15" hidden="false" customHeight="false" outlineLevel="0" collapsed="false">
      <c r="A1370" s="57" t="n">
        <v>32042</v>
      </c>
      <c r="B1370" s="56" t="n">
        <v>1987</v>
      </c>
      <c r="C1370" s="56" t="n">
        <v>9</v>
      </c>
      <c r="D1370" s="56" t="n">
        <v>145</v>
      </c>
      <c r="E1370" s="56" t="n">
        <v>19.9</v>
      </c>
      <c r="F1370" s="56" t="n">
        <v>0</v>
      </c>
      <c r="G1370" s="56" t="n">
        <v>13</v>
      </c>
      <c r="H1370" s="56" t="n">
        <v>0</v>
      </c>
      <c r="I1370" s="56" t="n">
        <v>16</v>
      </c>
      <c r="J1370" s="56" t="n">
        <v>0</v>
      </c>
      <c r="K1370" s="56" t="n">
        <v>1012.3</v>
      </c>
      <c r="L1370" s="56" t="n">
        <v>0</v>
      </c>
      <c r="M1370" s="56" t="n">
        <v>73</v>
      </c>
      <c r="N1370" s="56" t="n">
        <v>8.1</v>
      </c>
      <c r="O1370" s="56" t="n">
        <f aca="false">IF(D1370=1,"",E1369)</f>
        <v>19</v>
      </c>
      <c r="P1370" s="56" t="n">
        <f aca="false">IF(OR(D1370=1,K1369=""),"",K1369)</f>
        <v>1010.3</v>
      </c>
      <c r="Q1370" s="56" t="n">
        <f aca="false">IF(OR(F1370&lt;&gt;0,AND(I1370&lt;&gt;"",E1370&lt;I1370)),1,0)</f>
        <v>0</v>
      </c>
      <c r="R1370" s="56" t="n">
        <f aca="false">IF(AND(D1370&gt;1,Q1370=0,ISNUMBER(O1370),ISNUMBER(P1370)),IF(Q1369=0,1,0),0)</f>
        <v>1</v>
      </c>
      <c r="S1370" s="56" t="n">
        <f aca="false">R1370*(B1370&gt;=Train_Start)*(B1370&lt;=Train_End)</f>
        <v>1</v>
      </c>
      <c r="T1370" s="84" t="n">
        <f aca="false">IF(AND(ISNUMBER(O1370),ISNUMBER(P1370)),Coef_A+Coef_B1*O1370+Coef_B2*P1370,"")</f>
        <v>19.3474246385257</v>
      </c>
      <c r="U1370" s="84" t="n">
        <f aca="false">IF(AND(R1370=1,ISNUMBER(T1370)),E1370-T1370,"")</f>
        <v>0.552575361474325</v>
      </c>
      <c r="V1370" s="84" t="n">
        <f aca="false">IF(ISNUMBER(T1370),T1370,-99)</f>
        <v>19.3474246385257</v>
      </c>
      <c r="W1370" s="84" t="n">
        <f aca="false">IF(ISNUMBER(U1370),ABS(U1370),"")</f>
        <v>0.552575361474325</v>
      </c>
    </row>
    <row r="1371" customFormat="false" ht="15" hidden="false" customHeight="false" outlineLevel="0" collapsed="false">
      <c r="A1371" s="57" t="n">
        <v>32043</v>
      </c>
      <c r="B1371" s="56" t="n">
        <v>1987</v>
      </c>
      <c r="C1371" s="56" t="n">
        <v>9</v>
      </c>
      <c r="D1371" s="56" t="n">
        <v>146</v>
      </c>
      <c r="E1371" s="56" t="n">
        <v>16.9</v>
      </c>
      <c r="F1371" s="56" t="n">
        <v>0</v>
      </c>
      <c r="G1371" s="56" t="n">
        <v>10.4</v>
      </c>
      <c r="H1371" s="56" t="n">
        <v>0</v>
      </c>
      <c r="I1371" s="56" t="n">
        <v>15.2</v>
      </c>
      <c r="J1371" s="56" t="n">
        <v>0</v>
      </c>
      <c r="K1371" s="56" t="n">
        <v>1008.6</v>
      </c>
      <c r="L1371" s="56" t="n">
        <v>0</v>
      </c>
      <c r="M1371" s="56" t="n">
        <v>85</v>
      </c>
      <c r="N1371" s="56" t="n">
        <v>4.9</v>
      </c>
      <c r="O1371" s="56" t="n">
        <f aca="false">IF(D1371=1,"",E1370)</f>
        <v>19.9</v>
      </c>
      <c r="P1371" s="56" t="n">
        <f aca="false">IF(OR(D1371=1,K1370=""),"",K1370)</f>
        <v>1012.3</v>
      </c>
      <c r="Q1371" s="56" t="n">
        <f aca="false">IF(OR(F1371&lt;&gt;0,AND(I1371&lt;&gt;"",E1371&lt;I1371)),1,0)</f>
        <v>0</v>
      </c>
      <c r="R1371" s="56" t="n">
        <f aca="false">IF(AND(D1371&gt;1,Q1371=0,ISNUMBER(O1371),ISNUMBER(P1371)),IF(Q1370=0,1,0),0)</f>
        <v>1</v>
      </c>
      <c r="S1371" s="56" t="n">
        <f aca="false">R1371*(B1371&gt;=Train_Start)*(B1371&lt;=Train_End)</f>
        <v>1</v>
      </c>
      <c r="T1371" s="84" t="n">
        <f aca="false">IF(AND(ISNUMBER(O1371),ISNUMBER(P1371)),Coef_A+Coef_B1*O1371+Coef_B2*P1371,"")</f>
        <v>20.147569701532</v>
      </c>
      <c r="U1371" s="84" t="n">
        <f aca="false">IF(AND(R1371=1,ISNUMBER(T1371)),E1371-T1371,"")</f>
        <v>-3.24756970153204</v>
      </c>
      <c r="V1371" s="84" t="n">
        <f aca="false">IF(ISNUMBER(T1371),T1371,-99)</f>
        <v>20.147569701532</v>
      </c>
      <c r="W1371" s="84" t="n">
        <f aca="false">IF(ISNUMBER(U1371),ABS(U1371),"")</f>
        <v>3.24756970153204</v>
      </c>
    </row>
    <row r="1372" customFormat="false" ht="15" hidden="false" customHeight="false" outlineLevel="0" collapsed="false">
      <c r="A1372" s="57" t="n">
        <v>32044</v>
      </c>
      <c r="B1372" s="56" t="n">
        <v>1987</v>
      </c>
      <c r="C1372" s="56" t="n">
        <v>9</v>
      </c>
      <c r="D1372" s="56" t="n">
        <v>147</v>
      </c>
      <c r="E1372" s="56" t="n">
        <v>16</v>
      </c>
      <c r="F1372" s="56" t="n">
        <v>0</v>
      </c>
      <c r="G1372" s="56" t="n">
        <v>10.1</v>
      </c>
      <c r="H1372" s="56" t="n">
        <v>0</v>
      </c>
      <c r="I1372" s="56" t="n">
        <v>13.5</v>
      </c>
      <c r="J1372" s="56" t="n">
        <v>0</v>
      </c>
      <c r="K1372" s="56" t="n">
        <v>1005.9</v>
      </c>
      <c r="L1372" s="56" t="n">
        <v>0</v>
      </c>
      <c r="M1372" s="56" t="n">
        <v>80</v>
      </c>
      <c r="N1372" s="56" t="n">
        <v>7.5</v>
      </c>
      <c r="O1372" s="56" t="n">
        <f aca="false">IF(D1372=1,"",E1371)</f>
        <v>16.9</v>
      </c>
      <c r="P1372" s="56" t="n">
        <f aca="false">IF(OR(D1372=1,K1371=""),"",K1371)</f>
        <v>1008.6</v>
      </c>
      <c r="Q1372" s="56" t="n">
        <f aca="false">IF(OR(F1372&lt;&gt;0,AND(I1372&lt;&gt;"",E1372&lt;I1372)),1,0)</f>
        <v>0</v>
      </c>
      <c r="R1372" s="56" t="n">
        <f aca="false">IF(AND(D1372&gt;1,Q1372=0,ISNUMBER(O1372),ISNUMBER(P1372)),IF(Q1371=0,1,0),0)</f>
        <v>1</v>
      </c>
      <c r="S1372" s="56" t="n">
        <f aca="false">R1372*(B1372&gt;=Train_Start)*(B1372&lt;=Train_End)</f>
        <v>1</v>
      </c>
      <c r="T1372" s="84" t="n">
        <f aca="false">IF(AND(ISNUMBER(O1372),ISNUMBER(P1372)),Coef_A+Coef_B1*O1372+Coef_B2*P1372,"")</f>
        <v>17.5734835122583</v>
      </c>
      <c r="U1372" s="84" t="n">
        <f aca="false">IF(AND(R1372=1,ISNUMBER(T1372)),E1372-T1372,"")</f>
        <v>-1.57348351225831</v>
      </c>
      <c r="V1372" s="84" t="n">
        <f aca="false">IF(ISNUMBER(T1372),T1372,-99)</f>
        <v>17.5734835122583</v>
      </c>
      <c r="W1372" s="84" t="n">
        <f aca="false">IF(ISNUMBER(U1372),ABS(U1372),"")</f>
        <v>1.57348351225831</v>
      </c>
    </row>
    <row r="1373" customFormat="false" ht="15" hidden="false" customHeight="false" outlineLevel="0" collapsed="false">
      <c r="A1373" s="57" t="n">
        <v>32045</v>
      </c>
      <c r="B1373" s="56" t="n">
        <v>1987</v>
      </c>
      <c r="C1373" s="56" t="n">
        <v>9</v>
      </c>
      <c r="D1373" s="56" t="n">
        <v>148</v>
      </c>
      <c r="E1373" s="56" t="n">
        <v>15.4</v>
      </c>
      <c r="F1373" s="56" t="n">
        <v>0</v>
      </c>
      <c r="G1373" s="56" t="n">
        <v>5.9</v>
      </c>
      <c r="H1373" s="56" t="n">
        <v>0</v>
      </c>
      <c r="I1373" s="56" t="n">
        <v>11</v>
      </c>
      <c r="J1373" s="56" t="n">
        <v>0</v>
      </c>
      <c r="K1373" s="56" t="n">
        <v>1008</v>
      </c>
      <c r="L1373" s="56" t="n">
        <v>0</v>
      </c>
      <c r="M1373" s="56" t="n">
        <v>76</v>
      </c>
      <c r="N1373" s="56" t="n">
        <v>8.1</v>
      </c>
      <c r="O1373" s="56" t="n">
        <f aca="false">IF(D1373=1,"",E1372)</f>
        <v>16</v>
      </c>
      <c r="P1373" s="56" t="n">
        <f aca="false">IF(OR(D1373=1,K1372=""),"",K1372)</f>
        <v>1005.9</v>
      </c>
      <c r="Q1373" s="56" t="n">
        <f aca="false">IF(OR(F1373&lt;&gt;0,AND(I1373&lt;&gt;"",E1373&lt;I1373)),1,0)</f>
        <v>0</v>
      </c>
      <c r="R1373" s="56" t="n">
        <f aca="false">IF(AND(D1373&gt;1,Q1373=0,ISNUMBER(O1373),ISNUMBER(P1373)),IF(Q1372=0,1,0),0)</f>
        <v>1</v>
      </c>
      <c r="S1373" s="56" t="n">
        <f aca="false">R1373*(B1373&gt;=Train_Start)*(B1373&lt;=Train_End)</f>
        <v>1</v>
      </c>
      <c r="T1373" s="84" t="n">
        <f aca="false">IF(AND(ISNUMBER(O1373),ISNUMBER(P1373)),Coef_A+Coef_B1*O1373+Coef_B2*P1373,"")</f>
        <v>16.7513795230081</v>
      </c>
      <c r="U1373" s="84" t="n">
        <f aca="false">IF(AND(R1373=1,ISNUMBER(T1373)),E1373-T1373,"")</f>
        <v>-1.35137952300815</v>
      </c>
      <c r="V1373" s="84" t="n">
        <f aca="false">IF(ISNUMBER(T1373),T1373,-99)</f>
        <v>16.7513795230081</v>
      </c>
      <c r="W1373" s="84" t="n">
        <f aca="false">IF(ISNUMBER(U1373),ABS(U1373),"")</f>
        <v>1.35137952300815</v>
      </c>
    </row>
    <row r="1374" customFormat="false" ht="15" hidden="false" customHeight="false" outlineLevel="0" collapsed="false">
      <c r="A1374" s="57" t="n">
        <v>32046</v>
      </c>
      <c r="B1374" s="56" t="n">
        <v>1987</v>
      </c>
      <c r="C1374" s="56" t="n">
        <v>9</v>
      </c>
      <c r="D1374" s="56" t="n">
        <v>149</v>
      </c>
      <c r="E1374" s="56" t="n">
        <v>14.5</v>
      </c>
      <c r="F1374" s="56" t="n">
        <v>0</v>
      </c>
      <c r="G1374" s="56" t="n">
        <v>3.6</v>
      </c>
      <c r="H1374" s="56" t="n">
        <v>0</v>
      </c>
      <c r="I1374" s="56" t="n">
        <v>9.5</v>
      </c>
      <c r="J1374" s="56" t="n">
        <v>0</v>
      </c>
      <c r="K1374" s="56" t="n">
        <v>1013.7</v>
      </c>
      <c r="L1374" s="56" t="n">
        <v>0</v>
      </c>
      <c r="M1374" s="56" t="n">
        <v>74</v>
      </c>
      <c r="N1374" s="56" t="n">
        <v>8.4</v>
      </c>
      <c r="O1374" s="56" t="n">
        <f aca="false">IF(D1374=1,"",E1373)</f>
        <v>15.4</v>
      </c>
      <c r="P1374" s="56" t="n">
        <f aca="false">IF(OR(D1374=1,K1373=""),"",K1373)</f>
        <v>1008</v>
      </c>
      <c r="Q1374" s="56" t="n">
        <f aca="false">IF(OR(F1374&lt;&gt;0,AND(I1374&lt;&gt;"",E1374&lt;I1374)),1,0)</f>
        <v>0</v>
      </c>
      <c r="R1374" s="56" t="n">
        <f aca="false">IF(AND(D1374&gt;1,Q1374=0,ISNUMBER(O1374),ISNUMBER(P1374)),IF(Q1373=0,1,0),0)</f>
        <v>1</v>
      </c>
      <c r="S1374" s="56" t="n">
        <f aca="false">R1374*(B1374&gt;=Train_Start)*(B1374&lt;=Train_End)</f>
        <v>1</v>
      </c>
      <c r="T1374" s="84" t="n">
        <f aca="false">IF(AND(ISNUMBER(O1374),ISNUMBER(P1374)),Coef_A+Coef_B1*O1374+Coef_B2*P1374,"")</f>
        <v>16.3256527859139</v>
      </c>
      <c r="U1374" s="84" t="n">
        <f aca="false">IF(AND(R1374=1,ISNUMBER(T1374)),E1374-T1374,"")</f>
        <v>-1.82565278591393</v>
      </c>
      <c r="V1374" s="84" t="n">
        <f aca="false">IF(ISNUMBER(T1374),T1374,-99)</f>
        <v>16.3256527859139</v>
      </c>
      <c r="W1374" s="84" t="n">
        <f aca="false">IF(ISNUMBER(U1374),ABS(U1374),"")</f>
        <v>1.82565278591393</v>
      </c>
    </row>
    <row r="1375" customFormat="false" ht="15" hidden="false" customHeight="false" outlineLevel="0" collapsed="false">
      <c r="A1375" s="57" t="n">
        <v>32047</v>
      </c>
      <c r="B1375" s="56" t="n">
        <v>1987</v>
      </c>
      <c r="C1375" s="56" t="n">
        <v>9</v>
      </c>
      <c r="D1375" s="56" t="n">
        <v>150</v>
      </c>
      <c r="E1375" s="56" t="n">
        <v>13.8</v>
      </c>
      <c r="F1375" s="56" t="n">
        <v>0</v>
      </c>
      <c r="G1375" s="56" t="n">
        <v>5.7</v>
      </c>
      <c r="H1375" s="56" t="n">
        <v>0</v>
      </c>
      <c r="I1375" s="56" t="n">
        <v>10.1</v>
      </c>
      <c r="J1375" s="56" t="n">
        <v>0</v>
      </c>
      <c r="K1375" s="56" t="n">
        <v>1024.5</v>
      </c>
      <c r="L1375" s="56" t="n">
        <v>0</v>
      </c>
      <c r="M1375" s="56" t="n">
        <v>70</v>
      </c>
      <c r="N1375" s="56" t="n">
        <v>5.6</v>
      </c>
      <c r="O1375" s="56" t="n">
        <f aca="false">IF(D1375=1,"",E1374)</f>
        <v>14.5</v>
      </c>
      <c r="P1375" s="56" t="n">
        <f aca="false">IF(OR(D1375=1,K1374=""),"",K1374)</f>
        <v>1013.7</v>
      </c>
      <c r="Q1375" s="56" t="n">
        <f aca="false">IF(OR(F1375&lt;&gt;0,AND(I1375&lt;&gt;"",E1375&lt;I1375)),1,0)</f>
        <v>0</v>
      </c>
      <c r="R1375" s="56" t="n">
        <f aca="false">IF(AND(D1375&gt;1,Q1375=0,ISNUMBER(O1375),ISNUMBER(P1375)),IF(Q1374=0,1,0),0)</f>
        <v>1</v>
      </c>
      <c r="S1375" s="56" t="n">
        <f aca="false">R1375*(B1375&gt;=Train_Start)*(B1375&lt;=Train_End)</f>
        <v>1</v>
      </c>
      <c r="T1375" s="84" t="n">
        <f aca="false">IF(AND(ISNUMBER(O1375),ISNUMBER(P1375)),Coef_A+Coef_B1*O1375+Coef_B2*P1375,"")</f>
        <v>15.7670559115893</v>
      </c>
      <c r="U1375" s="84" t="n">
        <f aca="false">IF(AND(R1375=1,ISNUMBER(T1375)),E1375-T1375,"")</f>
        <v>-1.96705591158928</v>
      </c>
      <c r="V1375" s="84" t="n">
        <f aca="false">IF(ISNUMBER(T1375),T1375,-99)</f>
        <v>15.7670559115893</v>
      </c>
      <c r="W1375" s="84" t="n">
        <f aca="false">IF(ISNUMBER(U1375),ABS(U1375),"")</f>
        <v>1.96705591158928</v>
      </c>
    </row>
    <row r="1376" customFormat="false" ht="15" hidden="false" customHeight="false" outlineLevel="0" collapsed="false">
      <c r="A1376" s="57" t="n">
        <v>32048</v>
      </c>
      <c r="B1376" s="56" t="n">
        <v>1987</v>
      </c>
      <c r="C1376" s="56" t="n">
        <v>9</v>
      </c>
      <c r="D1376" s="56" t="n">
        <v>151</v>
      </c>
      <c r="E1376" s="56" t="n">
        <v>15.1</v>
      </c>
      <c r="F1376" s="56" t="n">
        <v>0</v>
      </c>
      <c r="G1376" s="56" t="n">
        <v>9.4</v>
      </c>
      <c r="H1376" s="56" t="n">
        <v>0</v>
      </c>
      <c r="I1376" s="56" t="n">
        <v>11.6</v>
      </c>
      <c r="J1376" s="56" t="n">
        <v>0</v>
      </c>
      <c r="K1376" s="56" t="n">
        <v>1028.5</v>
      </c>
      <c r="L1376" s="56" t="n">
        <v>0</v>
      </c>
      <c r="M1376" s="56" t="n">
        <v>64</v>
      </c>
      <c r="N1376" s="56" t="n">
        <v>0.8</v>
      </c>
      <c r="O1376" s="56" t="n">
        <f aca="false">IF(D1376=1,"",E1375)</f>
        <v>13.8</v>
      </c>
      <c r="P1376" s="56" t="n">
        <f aca="false">IF(OR(D1376=1,K1375=""),"",K1375)</f>
        <v>1024.5</v>
      </c>
      <c r="Q1376" s="56" t="n">
        <f aca="false">IF(OR(F1376&lt;&gt;0,AND(I1376&lt;&gt;"",E1376&lt;I1376)),1,0)</f>
        <v>0</v>
      </c>
      <c r="R1376" s="56" t="n">
        <f aca="false">IF(AND(D1376&gt;1,Q1376=0,ISNUMBER(O1376),ISNUMBER(P1376)),IF(Q1375=0,1,0),0)</f>
        <v>1</v>
      </c>
      <c r="S1376" s="56" t="n">
        <f aca="false">R1376*(B1376&gt;=Train_Start)*(B1376&lt;=Train_End)</f>
        <v>1</v>
      </c>
      <c r="T1376" s="84" t="n">
        <f aca="false">IF(AND(ISNUMBER(O1376),ISNUMBER(P1376)),Coef_A+Coef_B1*O1376+Coef_B2*P1376,"")</f>
        <v>15.5323133385065</v>
      </c>
      <c r="U1376" s="84" t="n">
        <f aca="false">IF(AND(R1376=1,ISNUMBER(T1376)),E1376-T1376,"")</f>
        <v>-0.432313338506505</v>
      </c>
      <c r="V1376" s="84" t="n">
        <f aca="false">IF(ISNUMBER(T1376),T1376,-99)</f>
        <v>15.5323133385065</v>
      </c>
      <c r="W1376" s="84" t="n">
        <f aca="false">IF(ISNUMBER(U1376),ABS(U1376),"")</f>
        <v>0.432313338506505</v>
      </c>
    </row>
    <row r="1377" customFormat="false" ht="15" hidden="false" customHeight="false" outlineLevel="0" collapsed="false">
      <c r="A1377" s="57" t="n">
        <v>32049</v>
      </c>
      <c r="B1377" s="56" t="n">
        <v>1987</v>
      </c>
      <c r="C1377" s="56" t="n">
        <v>9</v>
      </c>
      <c r="D1377" s="56" t="n">
        <v>152</v>
      </c>
      <c r="E1377" s="56" t="n">
        <v>16.6</v>
      </c>
      <c r="F1377" s="56" t="n">
        <v>0</v>
      </c>
      <c r="G1377" s="56" t="n">
        <v>5.7</v>
      </c>
      <c r="H1377" s="56" t="n">
        <v>0</v>
      </c>
      <c r="I1377" s="56" t="n">
        <v>10.4</v>
      </c>
      <c r="J1377" s="56" t="n">
        <v>0</v>
      </c>
      <c r="K1377" s="56" t="n">
        <v>1028.9</v>
      </c>
      <c r="L1377" s="56" t="n">
        <v>0</v>
      </c>
      <c r="M1377" s="56" t="n">
        <v>72</v>
      </c>
      <c r="N1377" s="56" t="n">
        <v>5.8</v>
      </c>
      <c r="O1377" s="56" t="n">
        <f aca="false">IF(D1377=1,"",E1376)</f>
        <v>15.1</v>
      </c>
      <c r="P1377" s="56" t="n">
        <f aca="false">IF(OR(D1377=1,K1376=""),"",K1376)</f>
        <v>1028.5</v>
      </c>
      <c r="Q1377" s="56" t="n">
        <f aca="false">IF(OR(F1377&lt;&gt;0,AND(I1377&lt;&gt;"",E1377&lt;I1377)),1,0)</f>
        <v>0</v>
      </c>
      <c r="R1377" s="56" t="n">
        <f aca="false">IF(AND(D1377&gt;1,Q1377=0,ISNUMBER(O1377),ISNUMBER(P1377)),IF(Q1376=0,1,0),0)</f>
        <v>1</v>
      </c>
      <c r="S1377" s="56" t="n">
        <f aca="false">R1377*(B1377&gt;=Train_Start)*(B1377&lt;=Train_End)</f>
        <v>1</v>
      </c>
      <c r="T1377" s="84" t="n">
        <f aca="false">IF(AND(ISNUMBER(O1377),ISNUMBER(P1377)),Coef_A+Coef_B1*O1377+Coef_B2*P1377,"")</f>
        <v>16.7229338679979</v>
      </c>
      <c r="U1377" s="84" t="n">
        <f aca="false">IF(AND(R1377=1,ISNUMBER(T1377)),E1377-T1377,"")</f>
        <v>-0.122933867997915</v>
      </c>
      <c r="V1377" s="84" t="n">
        <f aca="false">IF(ISNUMBER(T1377),T1377,-99)</f>
        <v>16.7229338679979</v>
      </c>
      <c r="W1377" s="84" t="n">
        <f aca="false">IF(ISNUMBER(U1377),ABS(U1377),"")</f>
        <v>0.122933867997915</v>
      </c>
    </row>
    <row r="1378" customFormat="false" ht="15" hidden="false" customHeight="false" outlineLevel="0" collapsed="false">
      <c r="A1378" s="57" t="n">
        <v>32050</v>
      </c>
      <c r="B1378" s="56" t="n">
        <v>1987</v>
      </c>
      <c r="C1378" s="56" t="n">
        <v>9</v>
      </c>
      <c r="D1378" s="56" t="n">
        <v>153</v>
      </c>
      <c r="E1378" s="56" t="n">
        <v>17.5</v>
      </c>
      <c r="F1378" s="56" t="n">
        <v>0</v>
      </c>
      <c r="G1378" s="56" t="n">
        <v>8.1</v>
      </c>
      <c r="H1378" s="56" t="n">
        <v>0</v>
      </c>
      <c r="I1378" s="56" t="n">
        <v>12.4</v>
      </c>
      <c r="J1378" s="56" t="n">
        <v>0</v>
      </c>
      <c r="K1378" s="56" t="n">
        <v>1024.3</v>
      </c>
      <c r="L1378" s="56" t="n">
        <v>0</v>
      </c>
      <c r="M1378" s="56" t="n">
        <v>77</v>
      </c>
      <c r="N1378" s="56" t="n">
        <v>6.4</v>
      </c>
      <c r="O1378" s="56" t="n">
        <f aca="false">IF(D1378=1,"",E1377)</f>
        <v>16.6</v>
      </c>
      <c r="P1378" s="56" t="n">
        <f aca="false">IF(OR(D1378=1,K1377=""),"",K1377)</f>
        <v>1028.9</v>
      </c>
      <c r="Q1378" s="56" t="n">
        <f aca="false">IF(OR(F1378&lt;&gt;0,AND(I1378&lt;&gt;"",E1378&lt;I1378)),1,0)</f>
        <v>0</v>
      </c>
      <c r="R1378" s="56" t="n">
        <f aca="false">IF(AND(D1378&gt;1,Q1378=0,ISNUMBER(O1378),ISNUMBER(P1378)),IF(Q1377=0,1,0),0)</f>
        <v>1</v>
      </c>
      <c r="S1378" s="56" t="n">
        <f aca="false">R1378*(B1378&gt;=Train_Start)*(B1378&lt;=Train_End)</f>
        <v>1</v>
      </c>
      <c r="T1378" s="84" t="n">
        <f aca="false">IF(AND(ISNUMBER(O1378),ISNUMBER(P1378)),Coef_A+Coef_B1*O1378+Coef_B2*P1378,"")</f>
        <v>17.9644906154155</v>
      </c>
      <c r="U1378" s="84" t="n">
        <f aca="false">IF(AND(R1378=1,ISNUMBER(T1378)),E1378-T1378,"")</f>
        <v>-0.4644906154155</v>
      </c>
      <c r="V1378" s="84" t="n">
        <f aca="false">IF(ISNUMBER(T1378),T1378,-99)</f>
        <v>17.9644906154155</v>
      </c>
      <c r="W1378" s="84" t="n">
        <f aca="false">IF(ISNUMBER(U1378),ABS(U1378),"")</f>
        <v>0.4644906154155</v>
      </c>
    </row>
    <row r="1379" customFormat="false" ht="15" hidden="false" customHeight="false" outlineLevel="0" collapsed="false">
      <c r="A1379" s="57" t="n">
        <v>32264</v>
      </c>
      <c r="B1379" s="56" t="n">
        <v>1988</v>
      </c>
      <c r="C1379" s="56" t="n">
        <v>5</v>
      </c>
      <c r="D1379" s="56" t="n">
        <v>1</v>
      </c>
      <c r="E1379" s="56" t="n">
        <v>15.8</v>
      </c>
      <c r="F1379" s="56" t="n">
        <v>0</v>
      </c>
      <c r="G1379" s="56" t="n">
        <v>9.6</v>
      </c>
      <c r="H1379" s="56" t="n">
        <v>0</v>
      </c>
      <c r="I1379" s="56" t="n">
        <v>12.8</v>
      </c>
      <c r="J1379" s="56" t="n">
        <v>0</v>
      </c>
      <c r="K1379" s="56" t="n">
        <v>999.7</v>
      </c>
      <c r="L1379" s="56" t="n">
        <v>0</v>
      </c>
      <c r="M1379" s="56" t="n">
        <v>78</v>
      </c>
      <c r="N1379" s="56" t="n">
        <v>5.6</v>
      </c>
      <c r="O1379" s="56" t="str">
        <f aca="false">IF(D1379=1,"",E1378)</f>
        <v/>
      </c>
      <c r="P1379" s="56" t="str">
        <f aca="false">IF(OR(D1379=1,K1378=""),"",K1378)</f>
        <v/>
      </c>
      <c r="Q1379" s="56" t="n">
        <f aca="false">IF(OR(F1379&lt;&gt;0,AND(I1379&lt;&gt;"",E1379&lt;I1379)),1,0)</f>
        <v>0</v>
      </c>
      <c r="R1379" s="56" t="n">
        <f aca="false">IF(AND(D1379&gt;1,Q1379=0,ISNUMBER(O1379),ISNUMBER(P1379)),IF(Q1378=0,1,0),0)</f>
        <v>0</v>
      </c>
      <c r="S1379" s="56" t="n">
        <f aca="false">R1379*(B1379&gt;=Train_Start)*(B1379&lt;=Train_End)</f>
        <v>0</v>
      </c>
      <c r="T1379" s="84" t="str">
        <f aca="false">IF(AND(ISNUMBER(O1379),ISNUMBER(P1379)),Coef_A+Coef_B1*O1379+Coef_B2*P1379,"")</f>
        <v/>
      </c>
      <c r="U1379" s="84" t="str">
        <f aca="false">IF(AND(R1379=1,ISNUMBER(T1379)),E1379-T1379,"")</f>
        <v/>
      </c>
      <c r="V1379" s="84" t="n">
        <f aca="false">IF(ISNUMBER(T1379),T1379,-99)</f>
        <v>-99</v>
      </c>
      <c r="W1379" s="84" t="str">
        <f aca="false">IF(ISNUMBER(U1379),ABS(U1379),"")</f>
        <v/>
      </c>
    </row>
    <row r="1380" customFormat="false" ht="15" hidden="false" customHeight="false" outlineLevel="0" collapsed="false">
      <c r="A1380" s="57" t="n">
        <v>32265</v>
      </c>
      <c r="B1380" s="56" t="n">
        <v>1988</v>
      </c>
      <c r="C1380" s="56" t="n">
        <v>5</v>
      </c>
      <c r="D1380" s="56" t="n">
        <v>2</v>
      </c>
      <c r="E1380" s="56" t="n">
        <v>14.7</v>
      </c>
      <c r="F1380" s="56" t="n">
        <v>0</v>
      </c>
      <c r="G1380" s="56" t="n">
        <v>9</v>
      </c>
      <c r="H1380" s="56" t="n">
        <v>0</v>
      </c>
      <c r="I1380" s="56" t="n">
        <v>12.4</v>
      </c>
      <c r="J1380" s="56" t="n">
        <v>0</v>
      </c>
      <c r="K1380" s="56" t="n">
        <v>997.3</v>
      </c>
      <c r="L1380" s="56" t="n">
        <v>0</v>
      </c>
      <c r="M1380" s="56" t="n">
        <v>73</v>
      </c>
      <c r="N1380" s="56" t="n">
        <v>5</v>
      </c>
      <c r="O1380" s="56" t="n">
        <f aca="false">IF(D1380=1,"",E1379)</f>
        <v>15.8</v>
      </c>
      <c r="P1380" s="56" t="n">
        <f aca="false">IF(OR(D1380=1,K1379=""),"",K1379)</f>
        <v>999.7</v>
      </c>
      <c r="Q1380" s="56" t="n">
        <f aca="false">IF(OR(F1380&lt;&gt;0,AND(I1380&lt;&gt;"",E1380&lt;I1380)),1,0)</f>
        <v>0</v>
      </c>
      <c r="R1380" s="56" t="n">
        <f aca="false">IF(AND(D1380&gt;1,Q1380=0,ISNUMBER(O1380),ISNUMBER(P1380)),IF(Q1379=0,1,0),0)</f>
        <v>1</v>
      </c>
      <c r="S1380" s="56" t="n">
        <f aca="false">R1380*(B1380&gt;=Train_Start)*(B1380&lt;=Train_End)</f>
        <v>1</v>
      </c>
      <c r="T1380" s="84" t="n">
        <f aca="false">IF(AND(ISNUMBER(O1380),ISNUMBER(P1380)),Coef_A+Coef_B1*O1380+Coef_B2*P1380,"")</f>
        <v>16.3930183376689</v>
      </c>
      <c r="U1380" s="84" t="n">
        <f aca="false">IF(AND(R1380=1,ISNUMBER(T1380)),E1380-T1380,"")</f>
        <v>-1.69301833766889</v>
      </c>
      <c r="V1380" s="84" t="n">
        <f aca="false">IF(ISNUMBER(T1380),T1380,-99)</f>
        <v>16.3930183376689</v>
      </c>
      <c r="W1380" s="84" t="n">
        <f aca="false">IF(ISNUMBER(U1380),ABS(U1380),"")</f>
        <v>1.69301833766889</v>
      </c>
    </row>
    <row r="1381" customFormat="false" ht="15" hidden="false" customHeight="false" outlineLevel="0" collapsed="false">
      <c r="A1381" s="57" t="n">
        <v>32266</v>
      </c>
      <c r="B1381" s="56" t="n">
        <v>1988</v>
      </c>
      <c r="C1381" s="56" t="n">
        <v>5</v>
      </c>
      <c r="D1381" s="56" t="n">
        <v>3</v>
      </c>
      <c r="E1381" s="56" t="n">
        <v>16.1</v>
      </c>
      <c r="F1381" s="56" t="n">
        <v>0</v>
      </c>
      <c r="G1381" s="56" t="n">
        <v>8.2</v>
      </c>
      <c r="H1381" s="56" t="n">
        <v>0</v>
      </c>
      <c r="I1381" s="56" t="n">
        <v>11.4</v>
      </c>
      <c r="J1381" s="56" t="n">
        <v>0</v>
      </c>
      <c r="K1381" s="56" t="n">
        <v>998.4</v>
      </c>
      <c r="L1381" s="56" t="n">
        <v>0</v>
      </c>
      <c r="M1381" s="56" t="n">
        <v>79</v>
      </c>
      <c r="N1381" s="56" t="n">
        <v>2.7</v>
      </c>
      <c r="O1381" s="56" t="n">
        <f aca="false">IF(D1381=1,"",E1380)</f>
        <v>14.7</v>
      </c>
      <c r="P1381" s="56" t="n">
        <f aca="false">IF(OR(D1381=1,K1380=""),"",K1380)</f>
        <v>997.3</v>
      </c>
      <c r="Q1381" s="56" t="n">
        <f aca="false">IF(OR(F1381&lt;&gt;0,AND(I1381&lt;&gt;"",E1381&lt;I1381)),1,0)</f>
        <v>0</v>
      </c>
      <c r="R1381" s="56" t="n">
        <f aca="false">IF(AND(D1381&gt;1,Q1381=0,ISNUMBER(O1381),ISNUMBER(P1381)),IF(Q1380=0,1,0),0)</f>
        <v>1</v>
      </c>
      <c r="S1381" s="56" t="n">
        <f aca="false">R1381*(B1381&gt;=Train_Start)*(B1381&lt;=Train_End)</f>
        <v>1</v>
      </c>
      <c r="T1381" s="84" t="n">
        <f aca="false">IF(AND(ISNUMBER(O1381),ISNUMBER(P1381)),Coef_A+Coef_B1*O1381+Coef_B2*P1381,"")</f>
        <v>15.4164574782004</v>
      </c>
      <c r="U1381" s="84" t="n">
        <f aca="false">IF(AND(R1381=1,ISNUMBER(T1381)),E1381-T1381,"")</f>
        <v>0.683542521799618</v>
      </c>
      <c r="V1381" s="84" t="n">
        <f aca="false">IF(ISNUMBER(T1381),T1381,-99)</f>
        <v>15.4164574782004</v>
      </c>
      <c r="W1381" s="84" t="n">
        <f aca="false">IF(ISNUMBER(U1381),ABS(U1381),"")</f>
        <v>0.683542521799618</v>
      </c>
    </row>
    <row r="1382" customFormat="false" ht="15" hidden="false" customHeight="false" outlineLevel="0" collapsed="false">
      <c r="A1382" s="57" t="n">
        <v>32267</v>
      </c>
      <c r="B1382" s="56" t="n">
        <v>1988</v>
      </c>
      <c r="C1382" s="56" t="n">
        <v>5</v>
      </c>
      <c r="D1382" s="56" t="n">
        <v>4</v>
      </c>
      <c r="E1382" s="56" t="n">
        <v>17.1</v>
      </c>
      <c r="F1382" s="56" t="n">
        <v>0</v>
      </c>
      <c r="G1382" s="56" t="n">
        <v>10</v>
      </c>
      <c r="H1382" s="56" t="n">
        <v>0</v>
      </c>
      <c r="I1382" s="56" t="n">
        <v>13</v>
      </c>
      <c r="J1382" s="56" t="n">
        <v>0</v>
      </c>
      <c r="K1382" s="56" t="n">
        <v>1002</v>
      </c>
      <c r="L1382" s="56" t="n">
        <v>0</v>
      </c>
      <c r="M1382" s="56" t="n">
        <v>80</v>
      </c>
      <c r="N1382" s="56" t="n">
        <v>5.1</v>
      </c>
      <c r="O1382" s="56" t="n">
        <f aca="false">IF(D1382=1,"",E1381)</f>
        <v>16.1</v>
      </c>
      <c r="P1382" s="56" t="n">
        <f aca="false">IF(OR(D1382=1,K1381=""),"",K1381)</f>
        <v>998.4</v>
      </c>
      <c r="Q1382" s="56" t="n">
        <f aca="false">IF(OR(F1382&lt;&gt;0,AND(I1382&lt;&gt;"",E1382&lt;I1382)),1,0)</f>
        <v>0</v>
      </c>
      <c r="R1382" s="56" t="n">
        <f aca="false">IF(AND(D1382&gt;1,Q1382=0,ISNUMBER(O1382),ISNUMBER(P1382)),IF(Q1381=0,1,0),0)</f>
        <v>1</v>
      </c>
      <c r="S1382" s="56" t="n">
        <f aca="false">R1382*(B1382&gt;=Train_Start)*(B1382&lt;=Train_End)</f>
        <v>1</v>
      </c>
      <c r="T1382" s="84" t="n">
        <f aca="false">IF(AND(ISNUMBER(O1382),ISNUMBER(P1382)),Coef_A+Coef_B1*O1382+Coef_B2*P1382,"")</f>
        <v>16.5980392325575</v>
      </c>
      <c r="U1382" s="84" t="n">
        <f aca="false">IF(AND(R1382=1,ISNUMBER(T1382)),E1382-T1382,"")</f>
        <v>0.501960767442505</v>
      </c>
      <c r="V1382" s="84" t="n">
        <f aca="false">IF(ISNUMBER(T1382),T1382,-99)</f>
        <v>16.5980392325575</v>
      </c>
      <c r="W1382" s="84" t="n">
        <f aca="false">IF(ISNUMBER(U1382),ABS(U1382),"")</f>
        <v>0.501960767442505</v>
      </c>
    </row>
    <row r="1383" customFormat="false" ht="15" hidden="false" customHeight="false" outlineLevel="0" collapsed="false">
      <c r="A1383" s="57" t="n">
        <v>32268</v>
      </c>
      <c r="B1383" s="56" t="n">
        <v>1988</v>
      </c>
      <c r="C1383" s="56" t="n">
        <v>5</v>
      </c>
      <c r="D1383" s="56" t="n">
        <v>5</v>
      </c>
      <c r="E1383" s="56" t="n">
        <v>20.3</v>
      </c>
      <c r="F1383" s="56" t="n">
        <v>0</v>
      </c>
      <c r="G1383" s="56" t="n">
        <v>6.6</v>
      </c>
      <c r="H1383" s="56" t="n">
        <v>0</v>
      </c>
      <c r="I1383" s="56" t="n">
        <v>11.8</v>
      </c>
      <c r="J1383" s="56" t="n">
        <v>0</v>
      </c>
      <c r="K1383" s="56" t="n">
        <v>1013.9</v>
      </c>
      <c r="L1383" s="56" t="n">
        <v>0</v>
      </c>
      <c r="M1383" s="56" t="n">
        <v>71</v>
      </c>
      <c r="N1383" s="56" t="n">
        <v>10.9</v>
      </c>
      <c r="O1383" s="56" t="n">
        <f aca="false">IF(D1383=1,"",E1382)</f>
        <v>17.1</v>
      </c>
      <c r="P1383" s="56" t="n">
        <f aca="false">IF(OR(D1383=1,K1382=""),"",K1382)</f>
        <v>1002</v>
      </c>
      <c r="Q1383" s="56" t="n">
        <f aca="false">IF(OR(F1383&lt;&gt;0,AND(I1383&lt;&gt;"",E1383&lt;I1383)),1,0)</f>
        <v>0</v>
      </c>
      <c r="R1383" s="56" t="n">
        <f aca="false">IF(AND(D1383&gt;1,Q1383=0,ISNUMBER(O1383),ISNUMBER(P1383)),IF(Q1382=0,1,0),0)</f>
        <v>1</v>
      </c>
      <c r="S1383" s="56" t="n">
        <f aca="false">R1383*(B1383&gt;=Train_Start)*(B1383&lt;=Train_End)</f>
        <v>1</v>
      </c>
      <c r="T1383" s="84" t="n">
        <f aca="false">IF(AND(ISNUMBER(O1383),ISNUMBER(P1383)),Coef_A+Coef_B1*O1383+Coef_B2*P1383,"")</f>
        <v>17.5303100462825</v>
      </c>
      <c r="U1383" s="84" t="n">
        <f aca="false">IF(AND(R1383=1,ISNUMBER(T1383)),E1383-T1383,"")</f>
        <v>2.76968995371749</v>
      </c>
      <c r="V1383" s="84" t="n">
        <f aca="false">IF(ISNUMBER(T1383),T1383,-99)</f>
        <v>17.5303100462825</v>
      </c>
      <c r="W1383" s="84" t="n">
        <f aca="false">IF(ISNUMBER(U1383),ABS(U1383),"")</f>
        <v>2.76968995371749</v>
      </c>
    </row>
    <row r="1384" customFormat="false" ht="15" hidden="false" customHeight="false" outlineLevel="0" collapsed="false">
      <c r="A1384" s="57" t="n">
        <v>32269</v>
      </c>
      <c r="B1384" s="56" t="n">
        <v>1988</v>
      </c>
      <c r="C1384" s="56" t="n">
        <v>5</v>
      </c>
      <c r="D1384" s="56" t="n">
        <v>6</v>
      </c>
      <c r="E1384" s="56" t="n">
        <v>19.1</v>
      </c>
      <c r="F1384" s="56" t="n">
        <v>0</v>
      </c>
      <c r="G1384" s="56" t="n">
        <v>6.6</v>
      </c>
      <c r="H1384" s="56" t="n">
        <v>0</v>
      </c>
      <c r="I1384" s="56" t="n">
        <v>13.4</v>
      </c>
      <c r="J1384" s="56" t="n">
        <v>0</v>
      </c>
      <c r="K1384" s="56" t="n">
        <v>1021.9</v>
      </c>
      <c r="L1384" s="56" t="n">
        <v>0</v>
      </c>
      <c r="M1384" s="56" t="n">
        <v>64</v>
      </c>
      <c r="N1384" s="56" t="n">
        <v>13.2</v>
      </c>
      <c r="O1384" s="56" t="n">
        <f aca="false">IF(D1384=1,"",E1383)</f>
        <v>20.3</v>
      </c>
      <c r="P1384" s="56" t="n">
        <f aca="false">IF(OR(D1384=1,K1383=""),"",K1383)</f>
        <v>1013.9</v>
      </c>
      <c r="Q1384" s="56" t="n">
        <f aca="false">IF(OR(F1384&lt;&gt;0,AND(I1384&lt;&gt;"",E1384&lt;I1384)),1,0)</f>
        <v>0</v>
      </c>
      <c r="R1384" s="56" t="n">
        <f aca="false">IF(AND(D1384&gt;1,Q1384=0,ISNUMBER(O1384),ISNUMBER(P1384)),IF(Q1383=0,1,0),0)</f>
        <v>1</v>
      </c>
      <c r="S1384" s="56" t="n">
        <f aca="false">R1384*(B1384&gt;=Train_Start)*(B1384&lt;=Train_End)</f>
        <v>1</v>
      </c>
      <c r="T1384" s="84" t="n">
        <f aca="false">IF(AND(ISNUMBER(O1384),ISNUMBER(P1384)),Coef_A+Coef_B1*O1384+Coef_B2*P1384,"")</f>
        <v>20.5254972101635</v>
      </c>
      <c r="U1384" s="84" t="n">
        <f aca="false">IF(AND(R1384=1,ISNUMBER(T1384)),E1384-T1384,"")</f>
        <v>-1.42549721016349</v>
      </c>
      <c r="V1384" s="84" t="n">
        <f aca="false">IF(ISNUMBER(T1384),T1384,-99)</f>
        <v>20.5254972101635</v>
      </c>
      <c r="W1384" s="84" t="n">
        <f aca="false">IF(ISNUMBER(U1384),ABS(U1384),"")</f>
        <v>1.42549721016349</v>
      </c>
    </row>
    <row r="1385" customFormat="false" ht="15" hidden="false" customHeight="false" outlineLevel="0" collapsed="false">
      <c r="A1385" s="57" t="n">
        <v>32270</v>
      </c>
      <c r="B1385" s="56" t="n">
        <v>1988</v>
      </c>
      <c r="C1385" s="56" t="n">
        <v>5</v>
      </c>
      <c r="D1385" s="56" t="n">
        <v>7</v>
      </c>
      <c r="E1385" s="56" t="n">
        <v>22.7</v>
      </c>
      <c r="F1385" s="56" t="n">
        <v>0</v>
      </c>
      <c r="G1385" s="56" t="n">
        <v>9.5</v>
      </c>
      <c r="H1385" s="56" t="n">
        <v>0</v>
      </c>
      <c r="I1385" s="56" t="n">
        <v>14.3</v>
      </c>
      <c r="J1385" s="56" t="n">
        <v>0</v>
      </c>
      <c r="K1385" s="56" t="n">
        <v>1016.3</v>
      </c>
      <c r="L1385" s="56" t="n">
        <v>0</v>
      </c>
      <c r="M1385" s="56" t="n">
        <v>65</v>
      </c>
      <c r="N1385" s="56" t="n">
        <v>6.4</v>
      </c>
      <c r="O1385" s="56" t="n">
        <f aca="false">IF(D1385=1,"",E1384)</f>
        <v>19.1</v>
      </c>
      <c r="P1385" s="56" t="n">
        <f aca="false">IF(OR(D1385=1,K1384=""),"",K1384)</f>
        <v>1021.9</v>
      </c>
      <c r="Q1385" s="56" t="n">
        <f aca="false">IF(OR(F1385&lt;&gt;0,AND(I1385&lt;&gt;"",E1385&lt;I1385)),1,0)</f>
        <v>0</v>
      </c>
      <c r="R1385" s="56" t="n">
        <f aca="false">IF(AND(D1385&gt;1,Q1385=0,ISNUMBER(O1385),ISNUMBER(P1385)),IF(Q1384=0,1,0),0)</f>
        <v>1</v>
      </c>
      <c r="S1385" s="56" t="n">
        <f aca="false">R1385*(B1385&gt;=Train_Start)*(B1385&lt;=Train_End)</f>
        <v>1</v>
      </c>
      <c r="T1385" s="84" t="n">
        <f aca="false">IF(AND(ISNUMBER(O1385),ISNUMBER(P1385)),Coef_A+Coef_B1*O1385+Coef_B2*P1385,"")</f>
        <v>19.7932493355842</v>
      </c>
      <c r="U1385" s="84" t="n">
        <f aca="false">IF(AND(R1385=1,ISNUMBER(T1385)),E1385-T1385,"")</f>
        <v>2.90675066441578</v>
      </c>
      <c r="V1385" s="84" t="n">
        <f aca="false">IF(ISNUMBER(T1385),T1385,-99)</f>
        <v>19.7932493355842</v>
      </c>
      <c r="W1385" s="84" t="n">
        <f aca="false">IF(ISNUMBER(U1385),ABS(U1385),"")</f>
        <v>2.90675066441578</v>
      </c>
    </row>
    <row r="1386" customFormat="false" ht="15" hidden="false" customHeight="false" outlineLevel="0" collapsed="false">
      <c r="A1386" s="57" t="n">
        <v>32271</v>
      </c>
      <c r="B1386" s="56" t="n">
        <v>1988</v>
      </c>
      <c r="C1386" s="56" t="n">
        <v>5</v>
      </c>
      <c r="D1386" s="56" t="n">
        <v>8</v>
      </c>
      <c r="E1386" s="56" t="n">
        <v>13.1</v>
      </c>
      <c r="F1386" s="56" t="n">
        <v>1</v>
      </c>
      <c r="G1386" s="56" t="n">
        <v>13.6</v>
      </c>
      <c r="H1386" s="56" t="n">
        <v>1</v>
      </c>
      <c r="I1386" s="56" t="n">
        <v>18.2</v>
      </c>
      <c r="J1386" s="56" t="n">
        <v>1</v>
      </c>
      <c r="K1386" s="56" t="n">
        <v>1012.8</v>
      </c>
      <c r="L1386" s="56" t="n">
        <v>0</v>
      </c>
      <c r="M1386" s="56" t="n">
        <v>85</v>
      </c>
      <c r="N1386" s="56" t="n">
        <v>1.5</v>
      </c>
      <c r="O1386" s="56" t="n">
        <f aca="false">IF(D1386=1,"",E1385)</f>
        <v>22.7</v>
      </c>
      <c r="P1386" s="56" t="n">
        <f aca="false">IF(OR(D1386=1,K1385=""),"",K1385)</f>
        <v>1016.3</v>
      </c>
      <c r="Q1386" s="56" t="n">
        <f aca="false">IF(OR(F1386&lt;&gt;0,AND(I1386&lt;&gt;"",E1386&lt;I1386)),1,0)</f>
        <v>1</v>
      </c>
      <c r="R1386" s="56" t="n">
        <f aca="false">IF(AND(D1386&gt;1,Q1386=0,ISNUMBER(O1386),ISNUMBER(P1386)),IF(Q1385=0,1,0),0)</f>
        <v>0</v>
      </c>
      <c r="S1386" s="56" t="n">
        <f aca="false">R1386*(B1386&gt;=Train_Start)*(B1386&lt;=Train_End)</f>
        <v>0</v>
      </c>
      <c r="T1386" s="84" t="n">
        <f aca="false">IF(AND(ISNUMBER(O1386),ISNUMBER(P1386)),Coef_A+Coef_B1*O1386+Coef_B2*P1386,"")</f>
        <v>22.5671990205874</v>
      </c>
      <c r="U1386" s="84" t="str">
        <f aca="false">IF(AND(R1386=1,ISNUMBER(T1386)),E1386-T1386,"")</f>
        <v/>
      </c>
      <c r="V1386" s="84" t="n">
        <f aca="false">IF(ISNUMBER(T1386),T1386,-99)</f>
        <v>22.5671990205874</v>
      </c>
      <c r="W1386" s="84" t="str">
        <f aca="false">IF(ISNUMBER(U1386),ABS(U1386),"")</f>
        <v/>
      </c>
    </row>
    <row r="1387" customFormat="false" ht="15" hidden="false" customHeight="false" outlineLevel="0" collapsed="false">
      <c r="A1387" s="57" t="n">
        <v>32272</v>
      </c>
      <c r="B1387" s="56" t="n">
        <v>1988</v>
      </c>
      <c r="C1387" s="56" t="n">
        <v>5</v>
      </c>
      <c r="D1387" s="56" t="n">
        <v>9</v>
      </c>
      <c r="E1387" s="56" t="n">
        <v>16.8</v>
      </c>
      <c r="F1387" s="56" t="n">
        <v>0</v>
      </c>
      <c r="G1387" s="56" t="n">
        <v>12.6</v>
      </c>
      <c r="H1387" s="56" t="n">
        <v>0</v>
      </c>
      <c r="I1387" s="56" t="n">
        <v>12.8</v>
      </c>
      <c r="J1387" s="56" t="n">
        <v>0</v>
      </c>
      <c r="K1387" s="56" t="n">
        <v>1020.5</v>
      </c>
      <c r="L1387" s="56" t="n">
        <v>0</v>
      </c>
      <c r="M1387" s="56" t="n">
        <v>87</v>
      </c>
      <c r="N1387" s="56" t="n">
        <v>0</v>
      </c>
      <c r="O1387" s="56" t="n">
        <f aca="false">IF(D1387=1,"",E1386)</f>
        <v>13.1</v>
      </c>
      <c r="P1387" s="56" t="n">
        <f aca="false">IF(OR(D1387=1,K1386=""),"",K1386)</f>
        <v>1012.8</v>
      </c>
      <c r="Q1387" s="56" t="n">
        <f aca="false">IF(OR(F1387&lt;&gt;0,AND(I1387&lt;&gt;"",E1387&lt;I1387)),1,0)</f>
        <v>0</v>
      </c>
      <c r="R1387" s="56" t="n">
        <f aca="false">IF(AND(D1387&gt;1,Q1387=0,ISNUMBER(O1387),ISNUMBER(P1387)),IF(Q1386=0,1,0),0)</f>
        <v>0</v>
      </c>
      <c r="S1387" s="56" t="n">
        <f aca="false">R1387*(B1387&gt;=Train_Start)*(B1387&lt;=Train_End)</f>
        <v>0</v>
      </c>
      <c r="T1387" s="84" t="n">
        <f aca="false">IF(AND(ISNUMBER(O1387),ISNUMBER(P1387)),Coef_A+Coef_B1*O1387+Coef_B2*P1387,"")</f>
        <v>14.591748136159</v>
      </c>
      <c r="U1387" s="84" t="str">
        <f aca="false">IF(AND(R1387=1,ISNUMBER(T1387)),E1387-T1387,"")</f>
        <v/>
      </c>
      <c r="V1387" s="84" t="n">
        <f aca="false">IF(ISNUMBER(T1387),T1387,-99)</f>
        <v>14.591748136159</v>
      </c>
      <c r="W1387" s="84" t="str">
        <f aca="false">IF(ISNUMBER(U1387),ABS(U1387),"")</f>
        <v/>
      </c>
    </row>
    <row r="1388" customFormat="false" ht="15" hidden="false" customHeight="false" outlineLevel="0" collapsed="false">
      <c r="A1388" s="57" t="n">
        <v>32273</v>
      </c>
      <c r="B1388" s="56" t="n">
        <v>1988</v>
      </c>
      <c r="C1388" s="56" t="n">
        <v>5</v>
      </c>
      <c r="D1388" s="56" t="n">
        <v>10</v>
      </c>
      <c r="E1388" s="56" t="n">
        <v>13.5</v>
      </c>
      <c r="F1388" s="56" t="n">
        <v>1</v>
      </c>
      <c r="G1388" s="56" t="n">
        <v>10.7</v>
      </c>
      <c r="H1388" s="56" t="n">
        <v>0</v>
      </c>
      <c r="I1388" s="56" t="n">
        <v>13.8</v>
      </c>
      <c r="J1388" s="56" t="n">
        <v>1</v>
      </c>
      <c r="K1388" s="56" t="n">
        <v>1020.1</v>
      </c>
      <c r="L1388" s="56" t="n">
        <v>0</v>
      </c>
      <c r="M1388" s="56" t="n">
        <v>72</v>
      </c>
      <c r="N1388" s="56" t="n">
        <v>9.8</v>
      </c>
      <c r="O1388" s="56" t="n">
        <f aca="false">IF(D1388=1,"",E1387)</f>
        <v>16.8</v>
      </c>
      <c r="P1388" s="56" t="n">
        <f aca="false">IF(OR(D1388=1,K1387=""),"",K1387)</f>
        <v>1020.5</v>
      </c>
      <c r="Q1388" s="56" t="n">
        <f aca="false">IF(OR(F1388&lt;&gt;0,AND(I1388&lt;&gt;"",E1388&lt;I1388)),1,0)</f>
        <v>1</v>
      </c>
      <c r="R1388" s="56" t="n">
        <f aca="false">IF(AND(D1388&gt;1,Q1388=0,ISNUMBER(O1388),ISNUMBER(P1388)),IF(Q1387=0,1,0),0)</f>
        <v>0</v>
      </c>
      <c r="S1388" s="56" t="n">
        <f aca="false">R1388*(B1388&gt;=Train_Start)*(B1388&lt;=Train_End)</f>
        <v>0</v>
      </c>
      <c r="T1388" s="84" t="n">
        <f aca="false">IF(AND(ISNUMBER(O1388),ISNUMBER(P1388)),Coef_A+Coef_B1*O1388+Coef_B2*P1388,"")</f>
        <v>17.8648513390985</v>
      </c>
      <c r="U1388" s="84" t="str">
        <f aca="false">IF(AND(R1388=1,ISNUMBER(T1388)),E1388-T1388,"")</f>
        <v/>
      </c>
      <c r="V1388" s="84" t="n">
        <f aca="false">IF(ISNUMBER(T1388),T1388,-99)</f>
        <v>17.8648513390985</v>
      </c>
      <c r="W1388" s="84" t="str">
        <f aca="false">IF(ISNUMBER(U1388),ABS(U1388),"")</f>
        <v/>
      </c>
    </row>
    <row r="1389" customFormat="false" ht="15" hidden="false" customHeight="false" outlineLevel="0" collapsed="false">
      <c r="A1389" s="57" t="n">
        <v>32274</v>
      </c>
      <c r="B1389" s="56" t="n">
        <v>1988</v>
      </c>
      <c r="C1389" s="56" t="n">
        <v>5</v>
      </c>
      <c r="D1389" s="56" t="n">
        <v>11</v>
      </c>
      <c r="E1389" s="56" t="n">
        <v>18.7</v>
      </c>
      <c r="F1389" s="56" t="n">
        <v>0</v>
      </c>
      <c r="G1389" s="56" t="n">
        <v>8.2</v>
      </c>
      <c r="H1389" s="56" t="n">
        <v>0</v>
      </c>
      <c r="I1389" s="56" t="n">
        <v>10.8</v>
      </c>
      <c r="J1389" s="56" t="n">
        <v>0</v>
      </c>
      <c r="K1389" s="56" t="n">
        <v>1014.5</v>
      </c>
      <c r="L1389" s="56" t="n">
        <v>0</v>
      </c>
      <c r="M1389" s="56" t="n">
        <v>81</v>
      </c>
      <c r="N1389" s="56" t="n">
        <v>2.7</v>
      </c>
      <c r="O1389" s="56" t="n">
        <f aca="false">IF(D1389=1,"",E1388)</f>
        <v>13.5</v>
      </c>
      <c r="P1389" s="56" t="n">
        <f aca="false">IF(OR(D1389=1,K1388=""),"",K1388)</f>
        <v>1020.1</v>
      </c>
      <c r="Q1389" s="56" t="n">
        <f aca="false">IF(OR(F1389&lt;&gt;0,AND(I1389&lt;&gt;"",E1389&lt;I1389)),1,0)</f>
        <v>0</v>
      </c>
      <c r="R1389" s="56" t="n">
        <f aca="false">IF(AND(D1389&gt;1,Q1389=0,ISNUMBER(O1389),ISNUMBER(P1389)),IF(Q1388=0,1,0),0)</f>
        <v>0</v>
      </c>
      <c r="S1389" s="56" t="n">
        <f aca="false">R1389*(B1389&gt;=Train_Start)*(B1389&lt;=Train_End)</f>
        <v>0</v>
      </c>
      <c r="T1389" s="84" t="n">
        <f aca="false">IF(AND(ISNUMBER(O1389),ISNUMBER(P1389)),Coef_A+Coef_B1*O1389+Coef_B2*P1389,"")</f>
        <v>15.1484840442042</v>
      </c>
      <c r="U1389" s="84" t="str">
        <f aca="false">IF(AND(R1389=1,ISNUMBER(T1389)),E1389-T1389,"")</f>
        <v/>
      </c>
      <c r="V1389" s="84" t="n">
        <f aca="false">IF(ISNUMBER(T1389),T1389,-99)</f>
        <v>15.1484840442042</v>
      </c>
      <c r="W1389" s="84" t="str">
        <f aca="false">IF(ISNUMBER(U1389),ABS(U1389),"")</f>
        <v/>
      </c>
    </row>
    <row r="1390" customFormat="false" ht="15" hidden="false" customHeight="false" outlineLevel="0" collapsed="false">
      <c r="A1390" s="57" t="n">
        <v>32275</v>
      </c>
      <c r="B1390" s="56" t="n">
        <v>1988</v>
      </c>
      <c r="C1390" s="56" t="n">
        <v>5</v>
      </c>
      <c r="D1390" s="56" t="n">
        <v>12</v>
      </c>
      <c r="E1390" s="56" t="n">
        <v>21.2</v>
      </c>
      <c r="F1390" s="56" t="n">
        <v>0</v>
      </c>
      <c r="G1390" s="56" t="n">
        <v>10.4</v>
      </c>
      <c r="H1390" s="56" t="n">
        <v>0</v>
      </c>
      <c r="I1390" s="56" t="n">
        <v>14.6</v>
      </c>
      <c r="J1390" s="56" t="n">
        <v>0</v>
      </c>
      <c r="K1390" s="56" t="n">
        <v>1007.8</v>
      </c>
      <c r="L1390" s="56" t="n">
        <v>0</v>
      </c>
      <c r="M1390" s="56" t="n">
        <v>83</v>
      </c>
      <c r="N1390" s="56" t="n">
        <v>0.2</v>
      </c>
      <c r="O1390" s="56" t="n">
        <f aca="false">IF(D1390=1,"",E1389)</f>
        <v>18.7</v>
      </c>
      <c r="P1390" s="56" t="n">
        <f aca="false">IF(OR(D1390=1,K1389=""),"",K1389)</f>
        <v>1014.5</v>
      </c>
      <c r="Q1390" s="56" t="n">
        <f aca="false">IF(OR(F1390&lt;&gt;0,AND(I1390&lt;&gt;"",E1390&lt;I1390)),1,0)</f>
        <v>0</v>
      </c>
      <c r="R1390" s="56" t="n">
        <f aca="false">IF(AND(D1390&gt;1,Q1390=0,ISNUMBER(O1390),ISNUMBER(P1390)),IF(Q1389=0,1,0),0)</f>
        <v>1</v>
      </c>
      <c r="S1390" s="56" t="n">
        <f aca="false">R1390*(B1390&gt;=Train_Start)*(B1390&lt;=Train_End)</f>
        <v>1</v>
      </c>
      <c r="T1390" s="84" t="n">
        <f aca="false">IF(AND(ISNUMBER(O1390),ISNUMBER(P1390)),Coef_A+Coef_B1*O1390+Coef_B2*P1390,"")</f>
        <v>19.2333764380756</v>
      </c>
      <c r="U1390" s="84" t="n">
        <f aca="false">IF(AND(R1390=1,ISNUMBER(T1390)),E1390-T1390,"")</f>
        <v>1.96662356192437</v>
      </c>
      <c r="V1390" s="84" t="n">
        <f aca="false">IF(ISNUMBER(T1390),T1390,-99)</f>
        <v>19.2333764380756</v>
      </c>
      <c r="W1390" s="84" t="n">
        <f aca="false">IF(ISNUMBER(U1390),ABS(U1390),"")</f>
        <v>1.96662356192437</v>
      </c>
    </row>
    <row r="1391" customFormat="false" ht="15" hidden="false" customHeight="false" outlineLevel="0" collapsed="false">
      <c r="A1391" s="57" t="n">
        <v>32276</v>
      </c>
      <c r="B1391" s="56" t="n">
        <v>1988</v>
      </c>
      <c r="C1391" s="56" t="n">
        <v>5</v>
      </c>
      <c r="D1391" s="56" t="n">
        <v>13</v>
      </c>
      <c r="E1391" s="56" t="n">
        <v>23.9</v>
      </c>
      <c r="F1391" s="56" t="n">
        <v>0</v>
      </c>
      <c r="G1391" s="56" t="n">
        <v>9.8</v>
      </c>
      <c r="H1391" s="56" t="n">
        <v>0</v>
      </c>
      <c r="I1391" s="56" t="n">
        <v>15.5</v>
      </c>
      <c r="J1391" s="56" t="n">
        <v>0</v>
      </c>
      <c r="K1391" s="56" t="n">
        <v>1010</v>
      </c>
      <c r="L1391" s="56" t="n">
        <v>0</v>
      </c>
      <c r="M1391" s="56" t="n">
        <v>77</v>
      </c>
      <c r="N1391" s="56" t="n">
        <v>2.9</v>
      </c>
      <c r="O1391" s="56" t="n">
        <f aca="false">IF(D1391=1,"",E1390)</f>
        <v>21.2</v>
      </c>
      <c r="P1391" s="56" t="n">
        <f aca="false">IF(OR(D1391=1,K1390=""),"",K1390)</f>
        <v>1007.8</v>
      </c>
      <c r="Q1391" s="56" t="n">
        <f aca="false">IF(OR(F1391&lt;&gt;0,AND(I1391&lt;&gt;"",E1391&lt;I1391)),1,0)</f>
        <v>0</v>
      </c>
      <c r="R1391" s="56" t="n">
        <f aca="false">IF(AND(D1391&gt;1,Q1391=0,ISNUMBER(O1391),ISNUMBER(P1391)),IF(Q1390=0,1,0),0)</f>
        <v>1</v>
      </c>
      <c r="S1391" s="56" t="n">
        <f aca="false">R1391*(B1391&gt;=Train_Start)*(B1391&lt;=Train_End)</f>
        <v>1</v>
      </c>
      <c r="T1391" s="84" t="n">
        <f aca="false">IF(AND(ISNUMBER(O1391),ISNUMBER(P1391)),Coef_A+Coef_B1*O1391+Coef_B2*P1391,"")</f>
        <v>21.0715461266345</v>
      </c>
      <c r="U1391" s="84" t="n">
        <f aca="false">IF(AND(R1391=1,ISNUMBER(T1391)),E1391-T1391,"")</f>
        <v>2.82845387336545</v>
      </c>
      <c r="V1391" s="84" t="n">
        <f aca="false">IF(ISNUMBER(T1391),T1391,-99)</f>
        <v>21.0715461266345</v>
      </c>
      <c r="W1391" s="84" t="n">
        <f aca="false">IF(ISNUMBER(U1391),ABS(U1391),"")</f>
        <v>2.82845387336545</v>
      </c>
    </row>
    <row r="1392" customFormat="false" ht="15" hidden="false" customHeight="false" outlineLevel="0" collapsed="false">
      <c r="A1392" s="57" t="n">
        <v>32277</v>
      </c>
      <c r="B1392" s="56" t="n">
        <v>1988</v>
      </c>
      <c r="C1392" s="56" t="n">
        <v>5</v>
      </c>
      <c r="D1392" s="56" t="n">
        <v>14</v>
      </c>
      <c r="E1392" s="56" t="n">
        <v>23.4</v>
      </c>
      <c r="F1392" s="56" t="n">
        <v>0</v>
      </c>
      <c r="G1392" s="56" t="n">
        <v>9.7</v>
      </c>
      <c r="H1392" s="56" t="n">
        <v>0</v>
      </c>
      <c r="I1392" s="56" t="n">
        <v>16.8</v>
      </c>
      <c r="J1392" s="56" t="n">
        <v>0</v>
      </c>
      <c r="K1392" s="56" t="n">
        <v>1013.8</v>
      </c>
      <c r="L1392" s="56" t="n">
        <v>0</v>
      </c>
      <c r="M1392" s="56" t="n">
        <v>70</v>
      </c>
      <c r="N1392" s="56" t="n">
        <v>11.9</v>
      </c>
      <c r="O1392" s="56" t="n">
        <f aca="false">IF(D1392=1,"",E1391)</f>
        <v>23.9</v>
      </c>
      <c r="P1392" s="56" t="n">
        <f aca="false">IF(OR(D1392=1,K1391=""),"",K1391)</f>
        <v>1010</v>
      </c>
      <c r="Q1392" s="56" t="n">
        <f aca="false">IF(OR(F1392&lt;&gt;0,AND(I1392&lt;&gt;"",E1392&lt;I1392)),1,0)</f>
        <v>0</v>
      </c>
      <c r="R1392" s="56" t="n">
        <f aca="false">IF(AND(D1392&gt;1,Q1392=0,ISNUMBER(O1392),ISNUMBER(P1392)),IF(Q1391=0,1,0),0)</f>
        <v>1</v>
      </c>
      <c r="S1392" s="56" t="n">
        <f aca="false">R1392*(B1392&gt;=Train_Start)*(B1392&lt;=Train_End)</f>
        <v>1</v>
      </c>
      <c r="T1392" s="84" t="n">
        <f aca="false">IF(AND(ISNUMBER(O1392),ISNUMBER(P1392)),Coef_A+Coef_B1*O1392+Coef_B2*P1392,"")</f>
        <v>23.3527757160445</v>
      </c>
      <c r="U1392" s="84" t="n">
        <f aca="false">IF(AND(R1392=1,ISNUMBER(T1392)),E1392-T1392,"")</f>
        <v>0.0472242839555008</v>
      </c>
      <c r="V1392" s="84" t="n">
        <f aca="false">IF(ISNUMBER(T1392),T1392,-99)</f>
        <v>23.3527757160445</v>
      </c>
      <c r="W1392" s="84" t="n">
        <f aca="false">IF(ISNUMBER(U1392),ABS(U1392),"")</f>
        <v>0.0472242839555008</v>
      </c>
    </row>
    <row r="1393" customFormat="false" ht="15" hidden="false" customHeight="false" outlineLevel="0" collapsed="false">
      <c r="A1393" s="57" t="n">
        <v>32278</v>
      </c>
      <c r="B1393" s="56" t="n">
        <v>1988</v>
      </c>
      <c r="C1393" s="56" t="n">
        <v>5</v>
      </c>
      <c r="D1393" s="56" t="n">
        <v>15</v>
      </c>
      <c r="E1393" s="56" t="n">
        <v>22.4</v>
      </c>
      <c r="F1393" s="56" t="n">
        <v>0</v>
      </c>
      <c r="G1393" s="56" t="n">
        <v>10.9</v>
      </c>
      <c r="H1393" s="56" t="n">
        <v>0</v>
      </c>
      <c r="I1393" s="56" t="n">
        <v>17.2</v>
      </c>
      <c r="J1393" s="56" t="n">
        <v>0</v>
      </c>
      <c r="K1393" s="56" t="n">
        <v>1014.9</v>
      </c>
      <c r="L1393" s="56" t="n">
        <v>0</v>
      </c>
      <c r="M1393" s="56" t="n">
        <v>70</v>
      </c>
      <c r="N1393" s="56" t="n">
        <v>8.5</v>
      </c>
      <c r="O1393" s="56" t="n">
        <f aca="false">IF(D1393=1,"",E1392)</f>
        <v>23.4</v>
      </c>
      <c r="P1393" s="56" t="n">
        <f aca="false">IF(OR(D1393=1,K1392=""),"",K1392)</f>
        <v>1013.8</v>
      </c>
      <c r="Q1393" s="56" t="n">
        <f aca="false">IF(OR(F1393&lt;&gt;0,AND(I1393&lt;&gt;"",E1393&lt;I1393)),1,0)</f>
        <v>0</v>
      </c>
      <c r="R1393" s="56" t="n">
        <f aca="false">IF(AND(D1393&gt;1,Q1393=0,ISNUMBER(O1393),ISNUMBER(P1393)),IF(Q1392=0,1,0),0)</f>
        <v>1</v>
      </c>
      <c r="S1393" s="56" t="n">
        <f aca="false">R1393*(B1393&gt;=Train_Start)*(B1393&lt;=Train_End)</f>
        <v>1</v>
      </c>
      <c r="T1393" s="84" t="n">
        <f aca="false">IF(AND(ISNUMBER(O1393),ISNUMBER(P1393)),Coef_A+Coef_B1*O1393+Coef_B2*P1393,"")</f>
        <v>23.0623117191323</v>
      </c>
      <c r="U1393" s="84" t="n">
        <f aca="false">IF(AND(R1393=1,ISNUMBER(T1393)),E1393-T1393,"")</f>
        <v>-0.66231171913233</v>
      </c>
      <c r="V1393" s="84" t="n">
        <f aca="false">IF(ISNUMBER(T1393),T1393,-99)</f>
        <v>23.0623117191323</v>
      </c>
      <c r="W1393" s="84" t="n">
        <f aca="false">IF(ISNUMBER(U1393),ABS(U1393),"")</f>
        <v>0.66231171913233</v>
      </c>
    </row>
    <row r="1394" customFormat="false" ht="15" hidden="false" customHeight="false" outlineLevel="0" collapsed="false">
      <c r="A1394" s="57" t="n">
        <v>32279</v>
      </c>
      <c r="B1394" s="56" t="n">
        <v>1988</v>
      </c>
      <c r="C1394" s="56" t="n">
        <v>5</v>
      </c>
      <c r="D1394" s="56" t="n">
        <v>16</v>
      </c>
      <c r="E1394" s="56" t="n">
        <v>21</v>
      </c>
      <c r="F1394" s="56" t="n">
        <v>0</v>
      </c>
      <c r="G1394" s="56" t="n">
        <v>9.9</v>
      </c>
      <c r="H1394" s="56" t="n">
        <v>0</v>
      </c>
      <c r="I1394" s="56" t="n">
        <v>16.2</v>
      </c>
      <c r="J1394" s="56" t="n">
        <v>0</v>
      </c>
      <c r="K1394" s="56" t="n">
        <v>1015</v>
      </c>
      <c r="L1394" s="56" t="n">
        <v>0</v>
      </c>
      <c r="M1394" s="56" t="n">
        <v>65</v>
      </c>
      <c r="N1394" s="56" t="n">
        <v>12.9</v>
      </c>
      <c r="O1394" s="56" t="n">
        <f aca="false">IF(D1394=1,"",E1393)</f>
        <v>22.4</v>
      </c>
      <c r="P1394" s="56" t="n">
        <f aca="false">IF(OR(D1394=1,K1393=""),"",K1393)</f>
        <v>1014.9</v>
      </c>
      <c r="Q1394" s="56" t="n">
        <f aca="false">IF(OR(F1394&lt;&gt;0,AND(I1394&lt;&gt;"",E1394&lt;I1394)),1,0)</f>
        <v>0</v>
      </c>
      <c r="R1394" s="56" t="n">
        <f aca="false">IF(AND(D1394&gt;1,Q1394=0,ISNUMBER(O1394),ISNUMBER(P1394)),IF(Q1393=0,1,0),0)</f>
        <v>1</v>
      </c>
      <c r="S1394" s="56" t="n">
        <f aca="false">R1394*(B1394&gt;=Train_Start)*(B1394&lt;=Train_End)</f>
        <v>1</v>
      </c>
      <c r="T1394" s="84" t="n">
        <f aca="false">IF(AND(ISNUMBER(O1394),ISNUMBER(P1394)),Coef_A+Coef_B1*O1394+Coef_B2*P1394,"")</f>
        <v>22.2774794101871</v>
      </c>
      <c r="U1394" s="84" t="n">
        <f aca="false">IF(AND(R1394=1,ISNUMBER(T1394)),E1394-T1394,"")</f>
        <v>-1.27747941018706</v>
      </c>
      <c r="V1394" s="84" t="n">
        <f aca="false">IF(ISNUMBER(T1394),T1394,-99)</f>
        <v>22.2774794101871</v>
      </c>
      <c r="W1394" s="84" t="n">
        <f aca="false">IF(ISNUMBER(U1394),ABS(U1394),"")</f>
        <v>1.27747941018706</v>
      </c>
    </row>
    <row r="1395" customFormat="false" ht="15" hidden="false" customHeight="false" outlineLevel="0" collapsed="false">
      <c r="A1395" s="57" t="n">
        <v>32280</v>
      </c>
      <c r="B1395" s="56" t="n">
        <v>1988</v>
      </c>
      <c r="C1395" s="56" t="n">
        <v>5</v>
      </c>
      <c r="D1395" s="56" t="n">
        <v>17</v>
      </c>
      <c r="E1395" s="56" t="n">
        <v>11.5</v>
      </c>
      <c r="F1395" s="56" t="n">
        <v>1</v>
      </c>
      <c r="G1395" s="56" t="n">
        <v>6.9</v>
      </c>
      <c r="H1395" s="56" t="n">
        <v>0</v>
      </c>
      <c r="I1395" s="56" t="n">
        <v>14</v>
      </c>
      <c r="J1395" s="56" t="n">
        <v>1</v>
      </c>
      <c r="K1395" s="56" t="n">
        <v>1012.8</v>
      </c>
      <c r="L1395" s="56" t="n">
        <v>0</v>
      </c>
      <c r="M1395" s="56" t="n">
        <v>67</v>
      </c>
      <c r="N1395" s="56" t="n">
        <v>14.2</v>
      </c>
      <c r="O1395" s="56" t="n">
        <f aca="false">IF(D1395=1,"",E1394)</f>
        <v>21</v>
      </c>
      <c r="P1395" s="56" t="n">
        <f aca="false">IF(OR(D1395=1,K1394=""),"",K1394)</f>
        <v>1015</v>
      </c>
      <c r="Q1395" s="56" t="n">
        <f aca="false">IF(OR(F1395&lt;&gt;0,AND(I1395&lt;&gt;"",E1395&lt;I1395)),1,0)</f>
        <v>1</v>
      </c>
      <c r="R1395" s="56" t="n">
        <f aca="false">IF(AND(D1395&gt;1,Q1395=0,ISNUMBER(O1395),ISNUMBER(P1395)),IF(Q1394=0,1,0),0)</f>
        <v>0</v>
      </c>
      <c r="S1395" s="56" t="n">
        <f aca="false">R1395*(B1395&gt;=Train_Start)*(B1395&lt;=Train_End)</f>
        <v>0</v>
      </c>
      <c r="T1395" s="84" t="n">
        <f aca="false">IF(AND(ISNUMBER(O1395),ISNUMBER(P1395)),Coef_A+Coef_B1*O1395+Coef_B2*P1395,"")</f>
        <v>21.1335415293907</v>
      </c>
      <c r="U1395" s="84" t="str">
        <f aca="false">IF(AND(R1395=1,ISNUMBER(T1395)),E1395-T1395,"")</f>
        <v/>
      </c>
      <c r="V1395" s="84" t="n">
        <f aca="false">IF(ISNUMBER(T1395),T1395,-99)</f>
        <v>21.1335415293907</v>
      </c>
      <c r="W1395" s="84" t="str">
        <f aca="false">IF(ISNUMBER(U1395),ABS(U1395),"")</f>
        <v/>
      </c>
    </row>
    <row r="1396" customFormat="false" ht="15" hidden="false" customHeight="false" outlineLevel="0" collapsed="false">
      <c r="A1396" s="57" t="n">
        <v>32281</v>
      </c>
      <c r="B1396" s="56" t="n">
        <v>1988</v>
      </c>
      <c r="C1396" s="56" t="n">
        <v>5</v>
      </c>
      <c r="D1396" s="56" t="n">
        <v>18</v>
      </c>
      <c r="E1396" s="56" t="n">
        <v>13.7</v>
      </c>
      <c r="F1396" s="56" t="n">
        <v>0</v>
      </c>
      <c r="G1396" s="56" t="n">
        <v>7.3</v>
      </c>
      <c r="H1396" s="56" t="n">
        <v>0</v>
      </c>
      <c r="I1396" s="56" t="n">
        <v>9.4</v>
      </c>
      <c r="J1396" s="56" t="n">
        <v>0</v>
      </c>
      <c r="K1396" s="56" t="n">
        <v>1014.7</v>
      </c>
      <c r="L1396" s="56" t="n">
        <v>0</v>
      </c>
      <c r="M1396" s="56" t="n">
        <v>77</v>
      </c>
      <c r="N1396" s="56" t="n">
        <v>0</v>
      </c>
      <c r="O1396" s="56" t="n">
        <f aca="false">IF(D1396=1,"",E1395)</f>
        <v>11.5</v>
      </c>
      <c r="P1396" s="56" t="n">
        <f aca="false">IF(OR(D1396=1,K1395=""),"",K1395)</f>
        <v>1012.8</v>
      </c>
      <c r="Q1396" s="56" t="n">
        <f aca="false">IF(OR(F1396&lt;&gt;0,AND(I1396&lt;&gt;"",E1396&lt;I1396)),1,0)</f>
        <v>0</v>
      </c>
      <c r="R1396" s="56" t="n">
        <f aca="false">IF(AND(D1396&gt;1,Q1396=0,ISNUMBER(O1396),ISNUMBER(P1396)),IF(Q1395=0,1,0),0)</f>
        <v>0</v>
      </c>
      <c r="S1396" s="56" t="n">
        <f aca="false">R1396*(B1396&gt;=Train_Start)*(B1396&lt;=Train_End)</f>
        <v>0</v>
      </c>
      <c r="T1396" s="84" t="n">
        <f aca="false">IF(AND(ISNUMBER(O1396),ISNUMBER(P1396)),Coef_A+Coef_B1*O1396+Coef_B2*P1396,"")</f>
        <v>13.2808054272907</v>
      </c>
      <c r="U1396" s="84" t="str">
        <f aca="false">IF(AND(R1396=1,ISNUMBER(T1396)),E1396-T1396,"")</f>
        <v/>
      </c>
      <c r="V1396" s="84" t="n">
        <f aca="false">IF(ISNUMBER(T1396),T1396,-99)</f>
        <v>13.2808054272907</v>
      </c>
      <c r="W1396" s="84" t="str">
        <f aca="false">IF(ISNUMBER(U1396),ABS(U1396),"")</f>
        <v/>
      </c>
    </row>
    <row r="1397" customFormat="false" ht="15" hidden="false" customHeight="false" outlineLevel="0" collapsed="false">
      <c r="A1397" s="57" t="n">
        <v>32282</v>
      </c>
      <c r="B1397" s="56" t="n">
        <v>1988</v>
      </c>
      <c r="C1397" s="56" t="n">
        <v>5</v>
      </c>
      <c r="D1397" s="56" t="n">
        <v>19</v>
      </c>
      <c r="E1397" s="56" t="n">
        <v>16.1</v>
      </c>
      <c r="F1397" s="56" t="n">
        <v>0</v>
      </c>
      <c r="G1397" s="56" t="n">
        <v>6.8</v>
      </c>
      <c r="H1397" s="56" t="n">
        <v>0</v>
      </c>
      <c r="I1397" s="56" t="n">
        <v>10.2</v>
      </c>
      <c r="J1397" s="56" t="n">
        <v>0</v>
      </c>
      <c r="K1397" s="56" t="n">
        <v>1018.8</v>
      </c>
      <c r="L1397" s="56" t="n">
        <v>0</v>
      </c>
      <c r="M1397" s="56" t="n">
        <v>66</v>
      </c>
      <c r="N1397" s="56" t="n">
        <v>8.5</v>
      </c>
      <c r="O1397" s="56" t="n">
        <f aca="false">IF(D1397=1,"",E1396)</f>
        <v>13.7</v>
      </c>
      <c r="P1397" s="56" t="n">
        <f aca="false">IF(OR(D1397=1,K1396=""),"",K1396)</f>
        <v>1014.7</v>
      </c>
      <c r="Q1397" s="56" t="n">
        <f aca="false">IF(OR(F1397&lt;&gt;0,AND(I1397&lt;&gt;"",E1397&lt;I1397)),1,0)</f>
        <v>0</v>
      </c>
      <c r="R1397" s="56" t="n">
        <f aca="false">IF(AND(D1397&gt;1,Q1397=0,ISNUMBER(O1397),ISNUMBER(P1397)),IF(Q1396=0,1,0),0)</f>
        <v>1</v>
      </c>
      <c r="S1397" s="56" t="n">
        <f aca="false">R1397*(B1397&gt;=Train_Start)*(B1397&lt;=Train_End)</f>
        <v>1</v>
      </c>
      <c r="T1397" s="84" t="n">
        <f aca="false">IF(AND(ISNUMBER(O1397),ISNUMBER(P1397)),Coef_A+Coef_B1*O1397+Coef_B2*P1397,"")</f>
        <v>15.1429544517891</v>
      </c>
      <c r="U1397" s="84" t="n">
        <f aca="false">IF(AND(R1397=1,ISNUMBER(T1397)),E1397-T1397,"")</f>
        <v>0.957045548210857</v>
      </c>
      <c r="V1397" s="84" t="n">
        <f aca="false">IF(ISNUMBER(T1397),T1397,-99)</f>
        <v>15.1429544517891</v>
      </c>
      <c r="W1397" s="84" t="n">
        <f aca="false">IF(ISNUMBER(U1397),ABS(U1397),"")</f>
        <v>0.957045548210857</v>
      </c>
    </row>
    <row r="1398" customFormat="false" ht="15" hidden="false" customHeight="false" outlineLevel="0" collapsed="false">
      <c r="A1398" s="57" t="n">
        <v>32283</v>
      </c>
      <c r="B1398" s="56" t="n">
        <v>1988</v>
      </c>
      <c r="C1398" s="56" t="n">
        <v>5</v>
      </c>
      <c r="D1398" s="56" t="n">
        <v>20</v>
      </c>
      <c r="E1398" s="56" t="n">
        <v>17.8</v>
      </c>
      <c r="F1398" s="56" t="n">
        <v>0</v>
      </c>
      <c r="G1398" s="56" t="n">
        <v>3.2</v>
      </c>
      <c r="H1398" s="56" t="n">
        <v>0</v>
      </c>
      <c r="I1398" s="56" t="n">
        <v>9.6</v>
      </c>
      <c r="J1398" s="56" t="n">
        <v>0</v>
      </c>
      <c r="K1398" s="56" t="n">
        <v>1026.1</v>
      </c>
      <c r="L1398" s="56" t="n">
        <v>0</v>
      </c>
      <c r="M1398" s="56" t="n">
        <v>66</v>
      </c>
      <c r="N1398" s="56" t="n">
        <v>8.8</v>
      </c>
      <c r="O1398" s="56" t="n">
        <f aca="false">IF(D1398=1,"",E1397)</f>
        <v>16.1</v>
      </c>
      <c r="P1398" s="56" t="n">
        <f aca="false">IF(OR(D1398=1,K1397=""),"",K1397)</f>
        <v>1018.8</v>
      </c>
      <c r="Q1398" s="56" t="n">
        <f aca="false">IF(OR(F1398&lt;&gt;0,AND(I1398&lt;&gt;"",E1398&lt;I1398)),1,0)</f>
        <v>0</v>
      </c>
      <c r="R1398" s="56" t="n">
        <f aca="false">IF(AND(D1398&gt;1,Q1398=0,ISNUMBER(O1398),ISNUMBER(P1398)),IF(Q1397=0,1,0),0)</f>
        <v>1</v>
      </c>
      <c r="S1398" s="56" t="n">
        <f aca="false">R1398*(B1398&gt;=Train_Start)*(B1398&lt;=Train_End)</f>
        <v>1</v>
      </c>
      <c r="T1398" s="84" t="n">
        <f aca="false">IF(AND(ISNUMBER(O1398),ISNUMBER(P1398)),Coef_A+Coef_B1*O1398+Coef_B2*P1398,"")</f>
        <v>17.2379850830909</v>
      </c>
      <c r="U1398" s="84" t="n">
        <f aca="false">IF(AND(R1398=1,ISNUMBER(T1398)),E1398-T1398,"")</f>
        <v>0.562014916909121</v>
      </c>
      <c r="V1398" s="84" t="n">
        <f aca="false">IF(ISNUMBER(T1398),T1398,-99)</f>
        <v>17.2379850830909</v>
      </c>
      <c r="W1398" s="84" t="n">
        <f aca="false">IF(ISNUMBER(U1398),ABS(U1398),"")</f>
        <v>0.562014916909121</v>
      </c>
    </row>
    <row r="1399" customFormat="false" ht="15" hidden="false" customHeight="false" outlineLevel="0" collapsed="false">
      <c r="A1399" s="57" t="n">
        <v>32284</v>
      </c>
      <c r="B1399" s="56" t="n">
        <v>1988</v>
      </c>
      <c r="C1399" s="56" t="n">
        <v>5</v>
      </c>
      <c r="D1399" s="56" t="n">
        <v>21</v>
      </c>
      <c r="E1399" s="56" t="n">
        <v>18.6</v>
      </c>
      <c r="F1399" s="56" t="n">
        <v>0</v>
      </c>
      <c r="G1399" s="56" t="n">
        <v>6.9</v>
      </c>
      <c r="H1399" s="56" t="n">
        <v>0</v>
      </c>
      <c r="I1399" s="56" t="n">
        <v>12.4</v>
      </c>
      <c r="J1399" s="56" t="n">
        <v>0</v>
      </c>
      <c r="K1399" s="56" t="n">
        <v>1029</v>
      </c>
      <c r="L1399" s="56" t="n">
        <v>0</v>
      </c>
      <c r="M1399" s="56" t="n">
        <v>67</v>
      </c>
      <c r="N1399" s="56" t="n">
        <v>6.2</v>
      </c>
      <c r="O1399" s="56" t="n">
        <f aca="false">IF(D1399=1,"",E1398)</f>
        <v>17.8</v>
      </c>
      <c r="P1399" s="56" t="n">
        <f aca="false">IF(OR(D1399=1,K1398=""),"",K1398)</f>
        <v>1026.1</v>
      </c>
      <c r="Q1399" s="56" t="n">
        <f aca="false">IF(OR(F1399&lt;&gt;0,AND(I1399&lt;&gt;"",E1399&lt;I1399)),1,0)</f>
        <v>0</v>
      </c>
      <c r="R1399" s="56" t="n">
        <f aca="false">IF(AND(D1399&gt;1,Q1399=0,ISNUMBER(O1399),ISNUMBER(P1399)),IF(Q1398=0,1,0),0)</f>
        <v>1</v>
      </c>
      <c r="S1399" s="56" t="n">
        <f aca="false">R1399*(B1399&gt;=Train_Start)*(B1399&lt;=Train_End)</f>
        <v>1</v>
      </c>
      <c r="T1399" s="84" t="n">
        <f aca="false">IF(AND(ISNUMBER(O1399),ISNUMBER(P1399)),Coef_A+Coef_B1*O1399+Coef_B2*P1399,"")</f>
        <v>18.8598619420915</v>
      </c>
      <c r="U1399" s="84" t="n">
        <f aca="false">IF(AND(R1399=1,ISNUMBER(T1399)),E1399-T1399,"")</f>
        <v>-0.259861942091511</v>
      </c>
      <c r="V1399" s="84" t="n">
        <f aca="false">IF(ISNUMBER(T1399),T1399,-99)</f>
        <v>18.8598619420915</v>
      </c>
      <c r="W1399" s="84" t="n">
        <f aca="false">IF(ISNUMBER(U1399),ABS(U1399),"")</f>
        <v>0.259861942091511</v>
      </c>
    </row>
    <row r="1400" customFormat="false" ht="15" hidden="false" customHeight="false" outlineLevel="0" collapsed="false">
      <c r="A1400" s="57" t="n">
        <v>32285</v>
      </c>
      <c r="B1400" s="56" t="n">
        <v>1988</v>
      </c>
      <c r="C1400" s="56" t="n">
        <v>5</v>
      </c>
      <c r="D1400" s="56" t="n">
        <v>22</v>
      </c>
      <c r="E1400" s="56" t="n">
        <v>17.1</v>
      </c>
      <c r="F1400" s="56" t="n">
        <v>0</v>
      </c>
      <c r="G1400" s="56" t="n">
        <v>7.5</v>
      </c>
      <c r="H1400" s="56" t="n">
        <v>0</v>
      </c>
      <c r="I1400" s="56" t="n">
        <v>13</v>
      </c>
      <c r="J1400" s="56" t="n">
        <v>0</v>
      </c>
      <c r="K1400" s="56" t="n">
        <v>1023.9</v>
      </c>
      <c r="L1400" s="56" t="n">
        <v>0</v>
      </c>
      <c r="M1400" s="56" t="n">
        <v>61</v>
      </c>
      <c r="N1400" s="56" t="n">
        <v>14.1</v>
      </c>
      <c r="O1400" s="56" t="n">
        <f aca="false">IF(D1400=1,"",E1399)</f>
        <v>18.6</v>
      </c>
      <c r="P1400" s="56" t="n">
        <f aca="false">IF(OR(D1400=1,K1399=""),"",K1399)</f>
        <v>1029</v>
      </c>
      <c r="Q1400" s="56" t="n">
        <f aca="false">IF(OR(F1400&lt;&gt;0,AND(I1400&lt;&gt;"",E1400&lt;I1400)),1,0)</f>
        <v>0</v>
      </c>
      <c r="R1400" s="56" t="n">
        <f aca="false">IF(AND(D1400&gt;1,Q1400=0,ISNUMBER(O1400),ISNUMBER(P1400)),IF(Q1399=0,1,0),0)</f>
        <v>1</v>
      </c>
      <c r="S1400" s="56" t="n">
        <f aca="false">R1400*(B1400&gt;=Train_Start)*(B1400&lt;=Train_End)</f>
        <v>1</v>
      </c>
      <c r="T1400" s="84" t="n">
        <f aca="false">IF(AND(ISNUMBER(O1400),ISNUMBER(P1400)),Coef_A+Coef_B1*O1400+Coef_B2*P1400,"")</f>
        <v>19.6063059909642</v>
      </c>
      <c r="U1400" s="84" t="n">
        <f aca="false">IF(AND(R1400=1,ISNUMBER(T1400)),E1400-T1400,"")</f>
        <v>-2.50630599096422</v>
      </c>
      <c r="V1400" s="84" t="n">
        <f aca="false">IF(ISNUMBER(T1400),T1400,-99)</f>
        <v>19.6063059909642</v>
      </c>
      <c r="W1400" s="84" t="n">
        <f aca="false">IF(ISNUMBER(U1400),ABS(U1400),"")</f>
        <v>2.50630599096422</v>
      </c>
    </row>
    <row r="1401" customFormat="false" ht="15" hidden="false" customHeight="false" outlineLevel="0" collapsed="false">
      <c r="A1401" s="57" t="n">
        <v>32286</v>
      </c>
      <c r="B1401" s="56" t="n">
        <v>1988</v>
      </c>
      <c r="C1401" s="56" t="n">
        <v>5</v>
      </c>
      <c r="D1401" s="56" t="n">
        <v>23</v>
      </c>
      <c r="E1401" s="56" t="n">
        <v>18.9</v>
      </c>
      <c r="F1401" s="56" t="n">
        <v>0</v>
      </c>
      <c r="G1401" s="56" t="n">
        <v>9.5</v>
      </c>
      <c r="H1401" s="56" t="n">
        <v>0</v>
      </c>
      <c r="I1401" s="56" t="n">
        <v>13.3</v>
      </c>
      <c r="J1401" s="56" t="n">
        <v>0</v>
      </c>
      <c r="K1401" s="56" t="n">
        <v>1013.2</v>
      </c>
      <c r="L1401" s="56" t="n">
        <v>0</v>
      </c>
      <c r="M1401" s="56" t="n">
        <v>71</v>
      </c>
      <c r="N1401" s="56" t="n">
        <v>0.6</v>
      </c>
      <c r="O1401" s="56" t="n">
        <f aca="false">IF(D1401=1,"",E1400)</f>
        <v>17.1</v>
      </c>
      <c r="P1401" s="56" t="n">
        <f aca="false">IF(OR(D1401=1,K1400=""),"",K1400)</f>
        <v>1023.9</v>
      </c>
      <c r="Q1401" s="56" t="n">
        <f aca="false">IF(OR(F1401&lt;&gt;0,AND(I1401&lt;&gt;"",E1401&lt;I1401)),1,0)</f>
        <v>0</v>
      </c>
      <c r="R1401" s="56" t="n">
        <f aca="false">IF(AND(D1401&gt;1,Q1401=0,ISNUMBER(O1401),ISNUMBER(P1401)),IF(Q1400=0,1,0),0)</f>
        <v>1</v>
      </c>
      <c r="S1401" s="56" t="n">
        <f aca="false">R1401*(B1401&gt;=Train_Start)*(B1401&lt;=Train_End)</f>
        <v>1</v>
      </c>
      <c r="T1401" s="84" t="n">
        <f aca="false">IF(AND(ISNUMBER(O1401),ISNUMBER(P1401)),Coef_A+Coef_B1*O1401+Coef_B2*P1401,"")</f>
        <v>18.2173107387669</v>
      </c>
      <c r="U1401" s="84" t="n">
        <f aca="false">IF(AND(R1401=1,ISNUMBER(T1401)),E1401-T1401,"")</f>
        <v>0.682689261233115</v>
      </c>
      <c r="V1401" s="84" t="n">
        <f aca="false">IF(ISNUMBER(T1401),T1401,-99)</f>
        <v>18.2173107387669</v>
      </c>
      <c r="W1401" s="84" t="n">
        <f aca="false">IF(ISNUMBER(U1401),ABS(U1401),"")</f>
        <v>0.682689261233115</v>
      </c>
    </row>
    <row r="1402" customFormat="false" ht="15" hidden="false" customHeight="false" outlineLevel="0" collapsed="false">
      <c r="A1402" s="57" t="n">
        <v>32287</v>
      </c>
      <c r="B1402" s="56" t="n">
        <v>1988</v>
      </c>
      <c r="C1402" s="56" t="n">
        <v>5</v>
      </c>
      <c r="D1402" s="56" t="n">
        <v>24</v>
      </c>
      <c r="E1402" s="56" t="n">
        <v>21</v>
      </c>
      <c r="F1402" s="56" t="n">
        <v>0</v>
      </c>
      <c r="G1402" s="56" t="n">
        <v>9.3</v>
      </c>
      <c r="H1402" s="56" t="n">
        <v>0</v>
      </c>
      <c r="I1402" s="56" t="n">
        <v>14.1</v>
      </c>
      <c r="J1402" s="56" t="n">
        <v>0</v>
      </c>
      <c r="K1402" s="56" t="n">
        <v>1013.6</v>
      </c>
      <c r="L1402" s="56" t="n">
        <v>0</v>
      </c>
      <c r="M1402" s="56" t="n">
        <v>69</v>
      </c>
      <c r="N1402" s="56" t="n">
        <v>10.8</v>
      </c>
      <c r="O1402" s="56" t="n">
        <f aca="false">IF(D1402=1,"",E1401)</f>
        <v>18.9</v>
      </c>
      <c r="P1402" s="56" t="n">
        <f aca="false">IF(OR(D1402=1,K1401=""),"",K1401)</f>
        <v>1013.2</v>
      </c>
      <c r="Q1402" s="56" t="n">
        <f aca="false">IF(OR(F1402&lt;&gt;0,AND(I1402&lt;&gt;"",E1402&lt;I1402)),1,0)</f>
        <v>0</v>
      </c>
      <c r="R1402" s="56" t="n">
        <f aca="false">IF(AND(D1402&gt;1,Q1402=0,ISNUMBER(O1402),ISNUMBER(P1402)),IF(Q1401=0,1,0),0)</f>
        <v>1</v>
      </c>
      <c r="S1402" s="56" t="n">
        <f aca="false">R1402*(B1402&gt;=Train_Start)*(B1402&lt;=Train_End)</f>
        <v>1</v>
      </c>
      <c r="T1402" s="84" t="n">
        <f aca="false">IF(AND(ISNUMBER(O1402),ISNUMBER(P1402)),Coef_A+Coef_B1*O1402+Coef_B2*P1402,"")</f>
        <v>19.35646341366</v>
      </c>
      <c r="U1402" s="84" t="n">
        <f aca="false">IF(AND(R1402=1,ISNUMBER(T1402)),E1402-T1402,"")</f>
        <v>1.64353658634002</v>
      </c>
      <c r="V1402" s="84" t="n">
        <f aca="false">IF(ISNUMBER(T1402),T1402,-99)</f>
        <v>19.35646341366</v>
      </c>
      <c r="W1402" s="84" t="n">
        <f aca="false">IF(ISNUMBER(U1402),ABS(U1402),"")</f>
        <v>1.64353658634002</v>
      </c>
    </row>
    <row r="1403" customFormat="false" ht="15" hidden="false" customHeight="false" outlineLevel="0" collapsed="false">
      <c r="A1403" s="57" t="n">
        <v>32288</v>
      </c>
      <c r="B1403" s="56" t="n">
        <v>1988</v>
      </c>
      <c r="C1403" s="56" t="n">
        <v>5</v>
      </c>
      <c r="D1403" s="56" t="n">
        <v>25</v>
      </c>
      <c r="E1403" s="56" t="n">
        <v>18.1</v>
      </c>
      <c r="F1403" s="56" t="n">
        <v>0</v>
      </c>
      <c r="G1403" s="56" t="n">
        <v>11.9</v>
      </c>
      <c r="H1403" s="56" t="n">
        <v>0</v>
      </c>
      <c r="I1403" s="56" t="n">
        <v>16.4</v>
      </c>
      <c r="J1403" s="56" t="n">
        <v>0</v>
      </c>
      <c r="K1403" s="56" t="n">
        <v>1014.6</v>
      </c>
      <c r="L1403" s="56" t="n">
        <v>0</v>
      </c>
      <c r="M1403" s="56" t="n">
        <v>68</v>
      </c>
      <c r="N1403" s="56" t="n">
        <v>4.1</v>
      </c>
      <c r="O1403" s="56" t="n">
        <f aca="false">IF(D1403=1,"",E1402)</f>
        <v>21</v>
      </c>
      <c r="P1403" s="56" t="n">
        <f aca="false">IF(OR(D1403=1,K1402=""),"",K1402)</f>
        <v>1013.6</v>
      </c>
      <c r="Q1403" s="56" t="n">
        <f aca="false">IF(OR(F1403&lt;&gt;0,AND(I1403&lt;&gt;"",E1403&lt;I1403)),1,0)</f>
        <v>0</v>
      </c>
      <c r="R1403" s="56" t="n">
        <f aca="false">IF(AND(D1403&gt;1,Q1403=0,ISNUMBER(O1403),ISNUMBER(P1403)),IF(Q1402=0,1,0),0)</f>
        <v>1</v>
      </c>
      <c r="S1403" s="56" t="n">
        <f aca="false">R1403*(B1403&gt;=Train_Start)*(B1403&lt;=Train_End)</f>
        <v>1</v>
      </c>
      <c r="T1403" s="84" t="n">
        <f aca="false">IF(AND(ISNUMBER(O1403),ISNUMBER(P1403)),Coef_A+Coef_B1*O1403+Coef_B2*P1403,"")</f>
        <v>21.0896236769032</v>
      </c>
      <c r="U1403" s="84" t="n">
        <f aca="false">IF(AND(R1403=1,ISNUMBER(T1403)),E1403-T1403,"")</f>
        <v>-2.98962367690315</v>
      </c>
      <c r="V1403" s="84" t="n">
        <f aca="false">IF(ISNUMBER(T1403),T1403,-99)</f>
        <v>21.0896236769032</v>
      </c>
      <c r="W1403" s="84" t="n">
        <f aca="false">IF(ISNUMBER(U1403),ABS(U1403),"")</f>
        <v>2.98962367690315</v>
      </c>
    </row>
    <row r="1404" customFormat="false" ht="15" hidden="false" customHeight="false" outlineLevel="0" collapsed="false">
      <c r="A1404" s="57" t="n">
        <v>32289</v>
      </c>
      <c r="B1404" s="56" t="n">
        <v>1988</v>
      </c>
      <c r="C1404" s="56" t="n">
        <v>5</v>
      </c>
      <c r="D1404" s="56" t="n">
        <v>26</v>
      </c>
      <c r="E1404" s="56" t="n">
        <v>19.8</v>
      </c>
      <c r="F1404" s="56" t="n">
        <v>0</v>
      </c>
      <c r="G1404" s="56" t="n">
        <v>11.5</v>
      </c>
      <c r="H1404" s="56" t="n">
        <v>0</v>
      </c>
      <c r="I1404" s="56" t="n">
        <v>14.8</v>
      </c>
      <c r="J1404" s="56" t="n">
        <v>0</v>
      </c>
      <c r="K1404" s="56" t="n">
        <v>1011.5</v>
      </c>
      <c r="L1404" s="56" t="n">
        <v>0</v>
      </c>
      <c r="M1404" s="56" t="n">
        <v>74</v>
      </c>
      <c r="N1404" s="56" t="n">
        <v>3.8</v>
      </c>
      <c r="O1404" s="56" t="n">
        <f aca="false">IF(D1404=1,"",E1403)</f>
        <v>18.1</v>
      </c>
      <c r="P1404" s="56" t="n">
        <f aca="false">IF(OR(D1404=1,K1403=""),"",K1403)</f>
        <v>1014.6</v>
      </c>
      <c r="Q1404" s="56" t="n">
        <f aca="false">IF(OR(F1404&lt;&gt;0,AND(I1404&lt;&gt;"",E1404&lt;I1404)),1,0)</f>
        <v>0</v>
      </c>
      <c r="R1404" s="56" t="n">
        <f aca="false">IF(AND(D1404&gt;1,Q1404=0,ISNUMBER(O1404),ISNUMBER(P1404)),IF(Q1403=0,1,0),0)</f>
        <v>1</v>
      </c>
      <c r="S1404" s="56" t="n">
        <f aca="false">R1404*(B1404&gt;=Train_Start)*(B1404&lt;=Train_End)</f>
        <v>1</v>
      </c>
      <c r="T1404" s="84" t="n">
        <f aca="false">IF(AND(ISNUMBER(O1404),ISNUMBER(P1404)),Coef_A+Coef_B1*O1404+Coef_B2*P1404,"")</f>
        <v>18.7449099117134</v>
      </c>
      <c r="U1404" s="84" t="n">
        <f aca="false">IF(AND(R1404=1,ISNUMBER(T1404)),E1404-T1404,"")</f>
        <v>1.05509008828656</v>
      </c>
      <c r="V1404" s="84" t="n">
        <f aca="false">IF(ISNUMBER(T1404),T1404,-99)</f>
        <v>18.7449099117134</v>
      </c>
      <c r="W1404" s="84" t="n">
        <f aca="false">IF(ISNUMBER(U1404),ABS(U1404),"")</f>
        <v>1.05509008828656</v>
      </c>
    </row>
    <row r="1405" customFormat="false" ht="15" hidden="false" customHeight="false" outlineLevel="0" collapsed="false">
      <c r="A1405" s="57" t="n">
        <v>32290</v>
      </c>
      <c r="B1405" s="56" t="n">
        <v>1988</v>
      </c>
      <c r="C1405" s="56" t="n">
        <v>5</v>
      </c>
      <c r="D1405" s="56" t="n">
        <v>27</v>
      </c>
      <c r="E1405" s="56" t="n">
        <v>19.5</v>
      </c>
      <c r="F1405" s="56" t="n">
        <v>0</v>
      </c>
      <c r="G1405" s="56" t="n">
        <v>7.3</v>
      </c>
      <c r="H1405" s="56" t="n">
        <v>0</v>
      </c>
      <c r="I1405" s="56" t="n">
        <v>13.6</v>
      </c>
      <c r="J1405" s="56" t="n">
        <v>0</v>
      </c>
      <c r="K1405" s="56" t="n">
        <v>1012</v>
      </c>
      <c r="L1405" s="56" t="n">
        <v>0</v>
      </c>
      <c r="M1405" s="56" t="n">
        <v>70</v>
      </c>
      <c r="N1405" s="56" t="n">
        <v>8.9</v>
      </c>
      <c r="O1405" s="56" t="n">
        <f aca="false">IF(D1405=1,"",E1404)</f>
        <v>19.8</v>
      </c>
      <c r="P1405" s="56" t="n">
        <f aca="false">IF(OR(D1405=1,K1404=""),"",K1404)</f>
        <v>1011.5</v>
      </c>
      <c r="Q1405" s="56" t="n">
        <f aca="false">IF(OR(F1405&lt;&gt;0,AND(I1405&lt;&gt;"",E1405&lt;I1405)),1,0)</f>
        <v>0</v>
      </c>
      <c r="R1405" s="56" t="n">
        <f aca="false">IF(AND(D1405&gt;1,Q1405=0,ISNUMBER(O1405),ISNUMBER(P1405)),IF(Q1404=0,1,0),0)</f>
        <v>1</v>
      </c>
      <c r="S1405" s="56" t="n">
        <f aca="false">R1405*(B1405&gt;=Train_Start)*(B1405&lt;=Train_End)</f>
        <v>1</v>
      </c>
      <c r="T1405" s="84" t="n">
        <f aca="false">IF(AND(ISNUMBER(O1405),ISNUMBER(P1405)),Coef_A+Coef_B1*O1405+Coef_B2*P1405,"")</f>
        <v>20.0405398665206</v>
      </c>
      <c r="U1405" s="84" t="n">
        <f aca="false">IF(AND(R1405=1,ISNUMBER(T1405)),E1405-T1405,"")</f>
        <v>-0.540539866520589</v>
      </c>
      <c r="V1405" s="84" t="n">
        <f aca="false">IF(ISNUMBER(T1405),T1405,-99)</f>
        <v>20.0405398665206</v>
      </c>
      <c r="W1405" s="84" t="n">
        <f aca="false">IF(ISNUMBER(U1405),ABS(U1405),"")</f>
        <v>0.540539866520589</v>
      </c>
    </row>
    <row r="1406" customFormat="false" ht="15" hidden="false" customHeight="false" outlineLevel="0" collapsed="false">
      <c r="A1406" s="57" t="n">
        <v>32291</v>
      </c>
      <c r="B1406" s="56" t="n">
        <v>1988</v>
      </c>
      <c r="C1406" s="56" t="n">
        <v>5</v>
      </c>
      <c r="D1406" s="56" t="n">
        <v>28</v>
      </c>
      <c r="E1406" s="56" t="n">
        <v>16.4</v>
      </c>
      <c r="F1406" s="56" t="n">
        <v>0</v>
      </c>
      <c r="G1406" s="56" t="n">
        <v>8.5</v>
      </c>
      <c r="H1406" s="56" t="n">
        <v>0</v>
      </c>
      <c r="I1406" s="56" t="n">
        <v>14</v>
      </c>
      <c r="J1406" s="56" t="n">
        <v>0</v>
      </c>
      <c r="K1406" s="56" t="n">
        <v>1004.8</v>
      </c>
      <c r="L1406" s="56" t="n">
        <v>0</v>
      </c>
      <c r="M1406" s="56" t="n">
        <v>62</v>
      </c>
      <c r="N1406" s="56" t="n">
        <v>12.2</v>
      </c>
      <c r="O1406" s="56" t="n">
        <f aca="false">IF(D1406=1,"",E1405)</f>
        <v>19.5</v>
      </c>
      <c r="P1406" s="56" t="n">
        <f aca="false">IF(OR(D1406=1,K1405=""),"",K1405)</f>
        <v>1012</v>
      </c>
      <c r="Q1406" s="56" t="n">
        <f aca="false">IF(OR(F1406&lt;&gt;0,AND(I1406&lt;&gt;"",E1406&lt;I1406)),1,0)</f>
        <v>0</v>
      </c>
      <c r="R1406" s="56" t="n">
        <f aca="false">IF(AND(D1406&gt;1,Q1406=0,ISNUMBER(O1406),ISNUMBER(P1406)),IF(Q1405=0,1,0),0)</f>
        <v>1</v>
      </c>
      <c r="S1406" s="56" t="n">
        <f aca="false">R1406*(B1406&gt;=Train_Start)*(B1406&lt;=Train_End)</f>
        <v>1</v>
      </c>
      <c r="T1406" s="84" t="n">
        <f aca="false">IF(AND(ISNUMBER(O1406),ISNUMBER(P1406)),Coef_A+Coef_B1*O1406+Coef_B2*P1406,"")</f>
        <v>19.8104230559248</v>
      </c>
      <c r="U1406" s="84" t="n">
        <f aca="false">IF(AND(R1406=1,ISNUMBER(T1406)),E1406-T1406,"")</f>
        <v>-3.41042305592479</v>
      </c>
      <c r="V1406" s="84" t="n">
        <f aca="false">IF(ISNUMBER(T1406),T1406,-99)</f>
        <v>19.8104230559248</v>
      </c>
      <c r="W1406" s="84" t="n">
        <f aca="false">IF(ISNUMBER(U1406),ABS(U1406),"")</f>
        <v>3.41042305592479</v>
      </c>
    </row>
    <row r="1407" customFormat="false" ht="15" hidden="false" customHeight="false" outlineLevel="0" collapsed="false">
      <c r="A1407" s="57" t="n">
        <v>32292</v>
      </c>
      <c r="B1407" s="56" t="n">
        <v>1988</v>
      </c>
      <c r="C1407" s="56" t="n">
        <v>5</v>
      </c>
      <c r="D1407" s="56" t="n">
        <v>29</v>
      </c>
      <c r="E1407" s="56" t="n">
        <v>15.5</v>
      </c>
      <c r="F1407" s="56" t="n">
        <v>0</v>
      </c>
      <c r="G1407" s="56" t="n">
        <v>10.4</v>
      </c>
      <c r="H1407" s="56" t="n">
        <v>0</v>
      </c>
      <c r="I1407" s="56" t="n">
        <v>13.4</v>
      </c>
      <c r="J1407" s="56" t="n">
        <v>0</v>
      </c>
      <c r="K1407" s="56" t="n">
        <v>997.9</v>
      </c>
      <c r="L1407" s="56" t="n">
        <v>0</v>
      </c>
      <c r="M1407" s="56" t="n">
        <v>74</v>
      </c>
      <c r="N1407" s="56" t="n">
        <v>5.8</v>
      </c>
      <c r="O1407" s="56" t="n">
        <f aca="false">IF(D1407=1,"",E1406)</f>
        <v>16.4</v>
      </c>
      <c r="P1407" s="56" t="n">
        <f aca="false">IF(OR(D1407=1,K1406=""),"",K1406)</f>
        <v>1004.8</v>
      </c>
      <c r="Q1407" s="56" t="n">
        <f aca="false">IF(OR(F1407&lt;&gt;0,AND(I1407&lt;&gt;"",E1407&lt;I1407)),1,0)</f>
        <v>0</v>
      </c>
      <c r="R1407" s="56" t="n">
        <f aca="false">IF(AND(D1407&gt;1,Q1407=0,ISNUMBER(O1407),ISNUMBER(P1407)),IF(Q1406=0,1,0),0)</f>
        <v>1</v>
      </c>
      <c r="S1407" s="56" t="n">
        <f aca="false">R1407*(B1407&gt;=Train_Start)*(B1407&lt;=Train_End)</f>
        <v>1</v>
      </c>
      <c r="T1407" s="84" t="n">
        <f aca="false">IF(AND(ISNUMBER(O1407),ISNUMBER(P1407)),Coef_A+Coef_B1*O1407+Coef_B2*P1407,"")</f>
        <v>17.0446083161278</v>
      </c>
      <c r="U1407" s="84" t="n">
        <f aca="false">IF(AND(R1407=1,ISNUMBER(T1407)),E1407-T1407,"")</f>
        <v>-1.54460831612782</v>
      </c>
      <c r="V1407" s="84" t="n">
        <f aca="false">IF(ISNUMBER(T1407),T1407,-99)</f>
        <v>17.0446083161278</v>
      </c>
      <c r="W1407" s="84" t="n">
        <f aca="false">IF(ISNUMBER(U1407),ABS(U1407),"")</f>
        <v>1.54460831612782</v>
      </c>
    </row>
    <row r="1408" customFormat="false" ht="15" hidden="false" customHeight="false" outlineLevel="0" collapsed="false">
      <c r="A1408" s="57" t="n">
        <v>32293</v>
      </c>
      <c r="B1408" s="56" t="n">
        <v>1988</v>
      </c>
      <c r="C1408" s="56" t="n">
        <v>5</v>
      </c>
      <c r="D1408" s="56" t="n">
        <v>30</v>
      </c>
      <c r="E1408" s="56" t="n">
        <v>17.8</v>
      </c>
      <c r="F1408" s="56" t="n">
        <v>0</v>
      </c>
      <c r="G1408" s="56" t="n">
        <v>10</v>
      </c>
      <c r="H1408" s="56" t="n">
        <v>0</v>
      </c>
      <c r="I1408" s="56" t="n">
        <v>12.8</v>
      </c>
      <c r="J1408" s="56" t="n">
        <v>0</v>
      </c>
      <c r="K1408" s="56" t="n">
        <v>1000.3</v>
      </c>
      <c r="L1408" s="56" t="n">
        <v>0</v>
      </c>
      <c r="M1408" s="56" t="n">
        <v>82</v>
      </c>
      <c r="N1408" s="56" t="n">
        <v>2.3</v>
      </c>
      <c r="O1408" s="56" t="n">
        <f aca="false">IF(D1408=1,"",E1407)</f>
        <v>15.5</v>
      </c>
      <c r="P1408" s="56" t="n">
        <f aca="false">IF(OR(D1408=1,K1407=""),"",K1407)</f>
        <v>997.9</v>
      </c>
      <c r="Q1408" s="56" t="n">
        <f aca="false">IF(OR(F1408&lt;&gt;0,AND(I1408&lt;&gt;"",E1408&lt;I1408)),1,0)</f>
        <v>0</v>
      </c>
      <c r="R1408" s="56" t="n">
        <f aca="false">IF(AND(D1408&gt;1,Q1408=0,ISNUMBER(O1408),ISNUMBER(P1408)),IF(Q1407=0,1,0),0)</f>
        <v>1</v>
      </c>
      <c r="S1408" s="56" t="n">
        <f aca="false">R1408*(B1408&gt;=Train_Start)*(B1408&lt;=Train_End)</f>
        <v>1</v>
      </c>
      <c r="T1408" s="84" t="n">
        <f aca="false">IF(AND(ISNUMBER(O1408),ISNUMBER(P1408)),Coef_A+Coef_B1*O1408+Coef_B2*P1408,"")</f>
        <v>16.0907507694149</v>
      </c>
      <c r="U1408" s="84" t="n">
        <f aca="false">IF(AND(R1408=1,ISNUMBER(T1408)),E1408-T1408,"")</f>
        <v>1.7092492305851</v>
      </c>
      <c r="V1408" s="84" t="n">
        <f aca="false">IF(ISNUMBER(T1408),T1408,-99)</f>
        <v>16.0907507694149</v>
      </c>
      <c r="W1408" s="84" t="n">
        <f aca="false">IF(ISNUMBER(U1408),ABS(U1408),"")</f>
        <v>1.7092492305851</v>
      </c>
    </row>
    <row r="1409" customFormat="false" ht="15" hidden="false" customHeight="false" outlineLevel="0" collapsed="false">
      <c r="A1409" s="57" t="n">
        <v>32294</v>
      </c>
      <c r="B1409" s="56" t="n">
        <v>1988</v>
      </c>
      <c r="C1409" s="56" t="n">
        <v>5</v>
      </c>
      <c r="D1409" s="56" t="n">
        <v>31</v>
      </c>
      <c r="E1409" s="56" t="n">
        <v>19.4</v>
      </c>
      <c r="F1409" s="56" t="n">
        <v>0</v>
      </c>
      <c r="G1409" s="56" t="n">
        <v>10</v>
      </c>
      <c r="H1409" s="56" t="n">
        <v>0</v>
      </c>
      <c r="I1409" s="56" t="n">
        <v>13.9</v>
      </c>
      <c r="J1409" s="56" t="n">
        <v>0</v>
      </c>
      <c r="K1409" s="56" t="n">
        <v>1006.6</v>
      </c>
      <c r="L1409" s="56" t="n">
        <v>0</v>
      </c>
      <c r="M1409" s="56" t="n">
        <v>74</v>
      </c>
      <c r="N1409" s="56" t="n">
        <v>2.4</v>
      </c>
      <c r="O1409" s="56" t="n">
        <f aca="false">IF(D1409=1,"",E1408)</f>
        <v>17.8</v>
      </c>
      <c r="P1409" s="56" t="n">
        <f aca="false">IF(OR(D1409=1,K1408=""),"",K1408)</f>
        <v>1000.3</v>
      </c>
      <c r="Q1409" s="56" t="n">
        <f aca="false">IF(OR(F1409&lt;&gt;0,AND(I1409&lt;&gt;"",E1409&lt;I1409)),1,0)</f>
        <v>0</v>
      </c>
      <c r="R1409" s="56" t="n">
        <f aca="false">IF(AND(D1409&gt;1,Q1409=0,ISNUMBER(O1409),ISNUMBER(P1409)),IF(Q1408=0,1,0),0)</f>
        <v>1</v>
      </c>
      <c r="S1409" s="56" t="n">
        <f aca="false">R1409*(B1409&gt;=Train_Start)*(B1409&lt;=Train_End)</f>
        <v>1</v>
      </c>
      <c r="T1409" s="84" t="n">
        <f aca="false">IF(AND(ISNUMBER(O1409),ISNUMBER(P1409)),Coef_A+Coef_B1*O1409+Coef_B2*P1409,"")</f>
        <v>18.0505186605346</v>
      </c>
      <c r="U1409" s="84" t="n">
        <f aca="false">IF(AND(R1409=1,ISNUMBER(T1409)),E1409-T1409,"")</f>
        <v>1.34948133946541</v>
      </c>
      <c r="V1409" s="84" t="n">
        <f aca="false">IF(ISNUMBER(T1409),T1409,-99)</f>
        <v>18.0505186605346</v>
      </c>
      <c r="W1409" s="84" t="n">
        <f aca="false">IF(ISNUMBER(U1409),ABS(U1409),"")</f>
        <v>1.34948133946541</v>
      </c>
    </row>
    <row r="1410" customFormat="false" ht="15" hidden="false" customHeight="false" outlineLevel="0" collapsed="false">
      <c r="A1410" s="57" t="n">
        <v>32295</v>
      </c>
      <c r="B1410" s="56" t="n">
        <v>1988</v>
      </c>
      <c r="C1410" s="56" t="n">
        <v>6</v>
      </c>
      <c r="D1410" s="56" t="n">
        <v>32</v>
      </c>
      <c r="E1410" s="56" t="n">
        <v>17.6</v>
      </c>
      <c r="F1410" s="56" t="n">
        <v>0</v>
      </c>
      <c r="G1410" s="56" t="n">
        <v>6.8</v>
      </c>
      <c r="H1410" s="56" t="n">
        <v>0</v>
      </c>
      <c r="I1410" s="56" t="n">
        <v>13.1</v>
      </c>
      <c r="J1410" s="56" t="n">
        <v>0</v>
      </c>
      <c r="K1410" s="56" t="n">
        <v>1013.8</v>
      </c>
      <c r="L1410" s="56" t="n">
        <v>0</v>
      </c>
      <c r="M1410" s="56" t="n">
        <v>74</v>
      </c>
      <c r="N1410" s="56" t="n">
        <v>6.2</v>
      </c>
      <c r="O1410" s="56" t="n">
        <f aca="false">IF(D1410=1,"",E1409)</f>
        <v>19.4</v>
      </c>
      <c r="P1410" s="56" t="n">
        <f aca="false">IF(OR(D1410=1,K1409=""),"",K1409)</f>
        <v>1006.6</v>
      </c>
      <c r="Q1410" s="56" t="n">
        <f aca="false">IF(OR(F1410&lt;&gt;0,AND(I1410&lt;&gt;"",E1410&lt;I1410)),1,0)</f>
        <v>0</v>
      </c>
      <c r="R1410" s="56" t="n">
        <f aca="false">IF(AND(D1410&gt;1,Q1410=0,ISNUMBER(O1410),ISNUMBER(P1410)),IF(Q1409=0,1,0),0)</f>
        <v>1</v>
      </c>
      <c r="S1410" s="56" t="n">
        <f aca="false">R1410*(B1410&gt;=Train_Start)*(B1410&lt;=Train_End)</f>
        <v>1</v>
      </c>
      <c r="T1410" s="84" t="n">
        <f aca="false">IF(AND(ISNUMBER(O1410),ISNUMBER(P1410)),Coef_A+Coef_B1*O1410+Coef_B2*P1410,"")</f>
        <v>19.559091705597</v>
      </c>
      <c r="U1410" s="84" t="n">
        <f aca="false">IF(AND(R1410=1,ISNUMBER(T1410)),E1410-T1410,"")</f>
        <v>-1.95909170559698</v>
      </c>
      <c r="V1410" s="84" t="n">
        <f aca="false">IF(ISNUMBER(T1410),T1410,-99)</f>
        <v>19.559091705597</v>
      </c>
      <c r="W1410" s="84" t="n">
        <f aca="false">IF(ISNUMBER(U1410),ABS(U1410),"")</f>
        <v>1.95909170559698</v>
      </c>
    </row>
    <row r="1411" customFormat="false" ht="15" hidden="false" customHeight="false" outlineLevel="0" collapsed="false">
      <c r="A1411" s="57" t="n">
        <v>32296</v>
      </c>
      <c r="B1411" s="56" t="n">
        <v>1988</v>
      </c>
      <c r="C1411" s="56" t="n">
        <v>6</v>
      </c>
      <c r="D1411" s="56" t="n">
        <v>33</v>
      </c>
      <c r="E1411" s="56" t="n">
        <v>17.4</v>
      </c>
      <c r="F1411" s="56" t="n">
        <v>0</v>
      </c>
      <c r="G1411" s="56" t="n">
        <v>11.5</v>
      </c>
      <c r="H1411" s="56" t="n">
        <v>0</v>
      </c>
      <c r="I1411" s="56" t="n">
        <v>14.6</v>
      </c>
      <c r="J1411" s="56" t="n">
        <v>0</v>
      </c>
      <c r="K1411" s="56" t="n">
        <v>1014.1</v>
      </c>
      <c r="L1411" s="56" t="n">
        <v>0</v>
      </c>
      <c r="M1411" s="56" t="n">
        <v>82</v>
      </c>
      <c r="N1411" s="56" t="n">
        <v>0</v>
      </c>
      <c r="O1411" s="56" t="n">
        <f aca="false">IF(D1411=1,"",E1410)</f>
        <v>17.6</v>
      </c>
      <c r="P1411" s="56" t="n">
        <f aca="false">IF(OR(D1411=1,K1410=""),"",K1410)</f>
        <v>1013.8</v>
      </c>
      <c r="Q1411" s="56" t="n">
        <f aca="false">IF(OR(F1411&lt;&gt;0,AND(I1411&lt;&gt;"",E1411&lt;I1411)),1,0)</f>
        <v>0</v>
      </c>
      <c r="R1411" s="56" t="n">
        <f aca="false">IF(AND(D1411&gt;1,Q1411=0,ISNUMBER(O1411),ISNUMBER(P1411)),IF(Q1410=0,1,0),0)</f>
        <v>1</v>
      </c>
      <c r="S1411" s="56" t="n">
        <f aca="false">R1411*(B1411&gt;=Train_Start)*(B1411&lt;=Train_End)</f>
        <v>1</v>
      </c>
      <c r="T1411" s="84" t="n">
        <f aca="false">IF(AND(ISNUMBER(O1411),ISNUMBER(P1411)),Coef_A+Coef_B1*O1411+Coef_B2*P1411,"")</f>
        <v>18.3101443994849</v>
      </c>
      <c r="U1411" s="84" t="n">
        <f aca="false">IF(AND(R1411=1,ISNUMBER(T1411)),E1411-T1411,"")</f>
        <v>-0.910144399484921</v>
      </c>
      <c r="V1411" s="84" t="n">
        <f aca="false">IF(ISNUMBER(T1411),T1411,-99)</f>
        <v>18.3101443994849</v>
      </c>
      <c r="W1411" s="84" t="n">
        <f aca="false">IF(ISNUMBER(U1411),ABS(U1411),"")</f>
        <v>0.910144399484921</v>
      </c>
    </row>
    <row r="1412" customFormat="false" ht="15" hidden="false" customHeight="false" outlineLevel="0" collapsed="false">
      <c r="A1412" s="57" t="n">
        <v>32297</v>
      </c>
      <c r="B1412" s="56" t="n">
        <v>1988</v>
      </c>
      <c r="C1412" s="56" t="n">
        <v>6</v>
      </c>
      <c r="D1412" s="56" t="n">
        <v>34</v>
      </c>
      <c r="E1412" s="56" t="n">
        <v>15.8</v>
      </c>
      <c r="F1412" s="56" t="n">
        <v>0</v>
      </c>
      <c r="G1412" s="56" t="n">
        <v>8.2</v>
      </c>
      <c r="H1412" s="56" t="n">
        <v>0</v>
      </c>
      <c r="I1412" s="56" t="n">
        <v>12.8</v>
      </c>
      <c r="J1412" s="56" t="n">
        <v>0</v>
      </c>
      <c r="K1412" s="56" t="n">
        <v>1008.5</v>
      </c>
      <c r="L1412" s="56" t="n">
        <v>0</v>
      </c>
      <c r="M1412" s="56" t="n">
        <v>73</v>
      </c>
      <c r="N1412" s="56" t="n">
        <v>5.2</v>
      </c>
      <c r="O1412" s="56" t="n">
        <f aca="false">IF(D1412=1,"",E1411)</f>
        <v>17.4</v>
      </c>
      <c r="P1412" s="56" t="n">
        <f aca="false">IF(OR(D1412=1,K1411=""),"",K1411)</f>
        <v>1014.1</v>
      </c>
      <c r="Q1412" s="56" t="n">
        <f aca="false">IF(OR(F1412&lt;&gt;0,AND(I1412&lt;&gt;"",E1412&lt;I1412)),1,0)</f>
        <v>0</v>
      </c>
      <c r="R1412" s="56" t="n">
        <f aca="false">IF(AND(D1412&gt;1,Q1412=0,ISNUMBER(O1412),ISNUMBER(P1412)),IF(Q1411=0,1,0),0)</f>
        <v>1</v>
      </c>
      <c r="S1412" s="56" t="n">
        <f aca="false">R1412*(B1412&gt;=Train_Start)*(B1412&lt;=Train_End)</f>
        <v>1</v>
      </c>
      <c r="T1412" s="84" t="n">
        <f aca="false">IF(AND(ISNUMBER(O1412),ISNUMBER(P1412)),Coef_A+Coef_B1*O1412+Coef_B2*P1412,"")</f>
        <v>18.1556875292666</v>
      </c>
      <c r="U1412" s="84" t="n">
        <f aca="false">IF(AND(R1412=1,ISNUMBER(T1412)),E1412-T1412,"")</f>
        <v>-2.35568752926658</v>
      </c>
      <c r="V1412" s="84" t="n">
        <f aca="false">IF(ISNUMBER(T1412),T1412,-99)</f>
        <v>18.1556875292666</v>
      </c>
      <c r="W1412" s="84" t="n">
        <f aca="false">IF(ISNUMBER(U1412),ABS(U1412),"")</f>
        <v>2.35568752926658</v>
      </c>
    </row>
    <row r="1413" customFormat="false" ht="15" hidden="false" customHeight="false" outlineLevel="0" collapsed="false">
      <c r="A1413" s="57" t="n">
        <v>32298</v>
      </c>
      <c r="B1413" s="56" t="n">
        <v>1988</v>
      </c>
      <c r="C1413" s="56" t="n">
        <v>6</v>
      </c>
      <c r="D1413" s="56" t="n">
        <v>35</v>
      </c>
      <c r="E1413" s="56" t="n">
        <v>16.1</v>
      </c>
      <c r="F1413" s="56" t="n">
        <v>0</v>
      </c>
      <c r="G1413" s="56" t="n">
        <v>8.9</v>
      </c>
      <c r="H1413" s="56" t="n">
        <v>0</v>
      </c>
      <c r="I1413" s="56" t="n">
        <v>12.4</v>
      </c>
      <c r="J1413" s="56" t="n">
        <v>0</v>
      </c>
      <c r="K1413" s="56" t="n">
        <v>1009.9</v>
      </c>
      <c r="L1413" s="56" t="n">
        <v>0</v>
      </c>
      <c r="M1413" s="56" t="n">
        <v>82</v>
      </c>
      <c r="N1413" s="56" t="n">
        <v>4.7</v>
      </c>
      <c r="O1413" s="56" t="n">
        <f aca="false">IF(D1413=1,"",E1412)</f>
        <v>15.8</v>
      </c>
      <c r="P1413" s="56" t="n">
        <f aca="false">IF(OR(D1413=1,K1412=""),"",K1412)</f>
        <v>1008.5</v>
      </c>
      <c r="Q1413" s="56" t="n">
        <f aca="false">IF(OR(F1413&lt;&gt;0,AND(I1413&lt;&gt;"",E1413&lt;I1413)),1,0)</f>
        <v>0</v>
      </c>
      <c r="R1413" s="56" t="n">
        <f aca="false">IF(AND(D1413&gt;1,Q1413=0,ISNUMBER(O1413),ISNUMBER(P1413)),IF(Q1412=0,1,0),0)</f>
        <v>1</v>
      </c>
      <c r="S1413" s="56" t="n">
        <f aca="false">R1413*(B1413&gt;=Train_Start)*(B1413&lt;=Train_End)</f>
        <v>1</v>
      </c>
      <c r="T1413" s="84" t="n">
        <f aca="false">IF(AND(ISNUMBER(O1413),ISNUMBER(P1413)),Coef_A+Coef_B1*O1413+Coef_B2*P1413,"")</f>
        <v>16.669073410448</v>
      </c>
      <c r="U1413" s="84" t="n">
        <f aca="false">IF(AND(R1413=1,ISNUMBER(T1413)),E1413-T1413,"")</f>
        <v>-0.569073410447992</v>
      </c>
      <c r="V1413" s="84" t="n">
        <f aca="false">IF(ISNUMBER(T1413),T1413,-99)</f>
        <v>16.669073410448</v>
      </c>
      <c r="W1413" s="84" t="n">
        <f aca="false">IF(ISNUMBER(U1413),ABS(U1413),"")</f>
        <v>0.569073410447992</v>
      </c>
    </row>
    <row r="1414" customFormat="false" ht="15" hidden="false" customHeight="false" outlineLevel="0" collapsed="false">
      <c r="A1414" s="57" t="n">
        <v>32299</v>
      </c>
      <c r="B1414" s="56" t="n">
        <v>1988</v>
      </c>
      <c r="C1414" s="56" t="n">
        <v>6</v>
      </c>
      <c r="D1414" s="56" t="n">
        <v>36</v>
      </c>
      <c r="E1414" s="56" t="n">
        <v>17.5</v>
      </c>
      <c r="F1414" s="56" t="n">
        <v>0</v>
      </c>
      <c r="G1414" s="56" t="n">
        <v>7.1</v>
      </c>
      <c r="H1414" s="56" t="n">
        <v>0</v>
      </c>
      <c r="I1414" s="56" t="n">
        <v>11.6</v>
      </c>
      <c r="J1414" s="56" t="n">
        <v>0</v>
      </c>
      <c r="K1414" s="56" t="n">
        <v>1020.1</v>
      </c>
      <c r="L1414" s="56" t="n">
        <v>0</v>
      </c>
      <c r="M1414" s="56" t="n">
        <v>74</v>
      </c>
      <c r="N1414" s="56" t="n">
        <v>3</v>
      </c>
      <c r="O1414" s="56" t="n">
        <f aca="false">IF(D1414=1,"",E1413)</f>
        <v>16.1</v>
      </c>
      <c r="P1414" s="56" t="n">
        <f aca="false">IF(OR(D1414=1,K1413=""),"",K1413)</f>
        <v>1009.9</v>
      </c>
      <c r="Q1414" s="56" t="n">
        <f aca="false">IF(OR(F1414&lt;&gt;0,AND(I1414&lt;&gt;"",E1414&lt;I1414)),1,0)</f>
        <v>0</v>
      </c>
      <c r="R1414" s="56" t="n">
        <f aca="false">IF(AND(D1414&gt;1,Q1414=0,ISNUMBER(O1414),ISNUMBER(P1414)),IF(Q1413=0,1,0),0)</f>
        <v>1</v>
      </c>
      <c r="S1414" s="56" t="n">
        <f aca="false">R1414*(B1414&gt;=Train_Start)*(B1414&lt;=Train_End)</f>
        <v>1</v>
      </c>
      <c r="T1414" s="84" t="n">
        <f aca="false">IF(AND(ISNUMBER(O1414),ISNUMBER(P1414)),Coef_A+Coef_B1*O1414+Coef_B2*P1414,"")</f>
        <v>16.9587930208484</v>
      </c>
      <c r="U1414" s="84" t="n">
        <f aca="false">IF(AND(R1414=1,ISNUMBER(T1414)),E1414-T1414,"")</f>
        <v>0.541206979151628</v>
      </c>
      <c r="V1414" s="84" t="n">
        <f aca="false">IF(ISNUMBER(T1414),T1414,-99)</f>
        <v>16.9587930208484</v>
      </c>
      <c r="W1414" s="84" t="n">
        <f aca="false">IF(ISNUMBER(U1414),ABS(U1414),"")</f>
        <v>0.541206979151628</v>
      </c>
    </row>
    <row r="1415" customFormat="false" ht="15" hidden="false" customHeight="false" outlineLevel="0" collapsed="false">
      <c r="A1415" s="57" t="n">
        <v>32300</v>
      </c>
      <c r="B1415" s="56" t="n">
        <v>1988</v>
      </c>
      <c r="C1415" s="56" t="n">
        <v>6</v>
      </c>
      <c r="D1415" s="56" t="n">
        <v>37</v>
      </c>
      <c r="E1415" s="56" t="n">
        <v>18.6</v>
      </c>
      <c r="F1415" s="56" t="n">
        <v>0</v>
      </c>
      <c r="G1415" s="56" t="n">
        <v>9.7</v>
      </c>
      <c r="H1415" s="56" t="n">
        <v>0</v>
      </c>
      <c r="I1415" s="56" t="n">
        <v>13.6</v>
      </c>
      <c r="J1415" s="56" t="n">
        <v>0</v>
      </c>
      <c r="K1415" s="56" t="n">
        <v>1021.5</v>
      </c>
      <c r="L1415" s="56" t="n">
        <v>0</v>
      </c>
      <c r="M1415" s="56" t="n">
        <v>64</v>
      </c>
      <c r="N1415" s="56" t="n">
        <v>5</v>
      </c>
      <c r="O1415" s="56" t="n">
        <f aca="false">IF(D1415=1,"",E1414)</f>
        <v>17.5</v>
      </c>
      <c r="P1415" s="56" t="n">
        <f aca="false">IF(OR(D1415=1,K1414=""),"",K1414)</f>
        <v>1020.1</v>
      </c>
      <c r="Q1415" s="56" t="n">
        <f aca="false">IF(OR(F1415&lt;&gt;0,AND(I1415&lt;&gt;"",E1415&lt;I1415)),1,0)</f>
        <v>0</v>
      </c>
      <c r="R1415" s="56" t="n">
        <f aca="false">IF(AND(D1415&gt;1,Q1415=0,ISNUMBER(O1415),ISNUMBER(P1415)),IF(Q1414=0,1,0),0)</f>
        <v>1</v>
      </c>
      <c r="S1415" s="56" t="n">
        <f aca="false">R1415*(B1415&gt;=Train_Start)*(B1415&lt;=Train_End)</f>
        <v>1</v>
      </c>
      <c r="T1415" s="84" t="n">
        <f aca="false">IF(AND(ISNUMBER(O1415),ISNUMBER(P1415)),Coef_A+Coef_B1*O1415+Coef_B2*P1415,"")</f>
        <v>18.4258408163748</v>
      </c>
      <c r="U1415" s="84" t="n">
        <f aca="false">IF(AND(R1415=1,ISNUMBER(T1415)),E1415-T1415,"")</f>
        <v>0.174159183625218</v>
      </c>
      <c r="V1415" s="84" t="n">
        <f aca="false">IF(ISNUMBER(T1415),T1415,-99)</f>
        <v>18.4258408163748</v>
      </c>
      <c r="W1415" s="84" t="n">
        <f aca="false">IF(ISNUMBER(U1415),ABS(U1415),"")</f>
        <v>0.174159183625218</v>
      </c>
    </row>
    <row r="1416" customFormat="false" ht="15" hidden="false" customHeight="false" outlineLevel="0" collapsed="false">
      <c r="A1416" s="57" t="n">
        <v>32301</v>
      </c>
      <c r="B1416" s="56" t="n">
        <v>1988</v>
      </c>
      <c r="C1416" s="56" t="n">
        <v>6</v>
      </c>
      <c r="D1416" s="56" t="n">
        <v>38</v>
      </c>
      <c r="E1416" s="56" t="n">
        <v>16.9</v>
      </c>
      <c r="F1416" s="56" t="n">
        <v>0</v>
      </c>
      <c r="G1416" s="56" t="n">
        <v>7.6</v>
      </c>
      <c r="H1416" s="56" t="n">
        <v>0</v>
      </c>
      <c r="I1416" s="56" t="n">
        <v>13.1</v>
      </c>
      <c r="J1416" s="56" t="n">
        <v>0</v>
      </c>
      <c r="K1416" s="56" t="n">
        <v>1017.7</v>
      </c>
      <c r="L1416" s="56" t="n">
        <v>0</v>
      </c>
      <c r="M1416" s="56" t="n">
        <v>66</v>
      </c>
      <c r="N1416" s="56" t="n">
        <v>8.9</v>
      </c>
      <c r="O1416" s="56" t="n">
        <f aca="false">IF(D1416=1,"",E1415)</f>
        <v>18.6</v>
      </c>
      <c r="P1416" s="56" t="n">
        <f aca="false">IF(OR(D1416=1,K1415=""),"",K1415)</f>
        <v>1021.5</v>
      </c>
      <c r="Q1416" s="56" t="n">
        <f aca="false">IF(OR(F1416&lt;&gt;0,AND(I1416&lt;&gt;"",E1416&lt;I1416)),1,0)</f>
        <v>0</v>
      </c>
      <c r="R1416" s="56" t="n">
        <f aca="false">IF(AND(D1416&gt;1,Q1416=0,ISNUMBER(O1416),ISNUMBER(P1416)),IF(Q1415=0,1,0),0)</f>
        <v>1</v>
      </c>
      <c r="S1416" s="56" t="n">
        <f aca="false">R1416*(B1416&gt;=Train_Start)*(B1416&lt;=Train_End)</f>
        <v>1</v>
      </c>
      <c r="T1416" s="84" t="n">
        <f aca="false">IF(AND(ISNUMBER(O1416),ISNUMBER(P1416)),Coef_A+Coef_B1*O1416+Coef_B2*P1416,"")</f>
        <v>19.3710317812093</v>
      </c>
      <c r="U1416" s="84" t="n">
        <f aca="false">IF(AND(R1416=1,ISNUMBER(T1416)),E1416-T1416,"")</f>
        <v>-2.4710317812093</v>
      </c>
      <c r="V1416" s="84" t="n">
        <f aca="false">IF(ISNUMBER(T1416),T1416,-99)</f>
        <v>19.3710317812093</v>
      </c>
      <c r="W1416" s="84" t="n">
        <f aca="false">IF(ISNUMBER(U1416),ABS(U1416),"")</f>
        <v>2.4710317812093</v>
      </c>
    </row>
    <row r="1417" customFormat="false" ht="15" hidden="false" customHeight="false" outlineLevel="0" collapsed="false">
      <c r="A1417" s="57" t="n">
        <v>32302</v>
      </c>
      <c r="B1417" s="56" t="n">
        <v>1988</v>
      </c>
      <c r="C1417" s="56" t="n">
        <v>6</v>
      </c>
      <c r="D1417" s="56" t="n">
        <v>39</v>
      </c>
      <c r="E1417" s="56" t="n">
        <v>13.6</v>
      </c>
      <c r="F1417" s="56" t="n">
        <v>0</v>
      </c>
      <c r="G1417" s="56" t="n">
        <v>10.3</v>
      </c>
      <c r="H1417" s="56" t="n">
        <v>0</v>
      </c>
      <c r="I1417" s="56" t="n">
        <v>13.6</v>
      </c>
      <c r="J1417" s="56" t="n">
        <v>0</v>
      </c>
      <c r="K1417" s="56" t="n">
        <v>1018.7</v>
      </c>
      <c r="L1417" s="56" t="n">
        <v>0</v>
      </c>
      <c r="M1417" s="56" t="n">
        <v>87</v>
      </c>
      <c r="N1417" s="56" t="n">
        <v>0</v>
      </c>
      <c r="O1417" s="56" t="n">
        <f aca="false">IF(D1417=1,"",E1416)</f>
        <v>16.9</v>
      </c>
      <c r="P1417" s="56" t="n">
        <f aca="false">IF(OR(D1417=1,K1416=""),"",K1416)</f>
        <v>1017.7</v>
      </c>
      <c r="Q1417" s="56" t="n">
        <f aca="false">IF(OR(F1417&lt;&gt;0,AND(I1417&lt;&gt;"",E1417&lt;I1417)),1,0)</f>
        <v>0</v>
      </c>
      <c r="R1417" s="56" t="n">
        <f aca="false">IF(AND(D1417&gt;1,Q1417=0,ISNUMBER(O1417),ISNUMBER(P1417)),IF(Q1416=0,1,0),0)</f>
        <v>1</v>
      </c>
      <c r="S1417" s="56" t="n">
        <f aca="false">R1417*(B1417&gt;=Train_Start)*(B1417&lt;=Train_End)</f>
        <v>1</v>
      </c>
      <c r="T1417" s="84" t="n">
        <f aca="false">IF(AND(ISNUMBER(O1417),ISNUMBER(P1417)),Coef_A+Coef_B1*O1417+Coef_B2*P1417,"")</f>
        <v>17.8589495534276</v>
      </c>
      <c r="U1417" s="84" t="n">
        <f aca="false">IF(AND(R1417=1,ISNUMBER(T1417)),E1417-T1417,"")</f>
        <v>-4.25894955342762</v>
      </c>
      <c r="V1417" s="84" t="n">
        <f aca="false">IF(ISNUMBER(T1417),T1417,-99)</f>
        <v>17.8589495534276</v>
      </c>
      <c r="W1417" s="84" t="n">
        <f aca="false">IF(ISNUMBER(U1417),ABS(U1417),"")</f>
        <v>4.25894955342762</v>
      </c>
    </row>
    <row r="1418" customFormat="false" ht="15" hidden="false" customHeight="false" outlineLevel="0" collapsed="false">
      <c r="A1418" s="57" t="n">
        <v>32303</v>
      </c>
      <c r="B1418" s="56" t="n">
        <v>1988</v>
      </c>
      <c r="C1418" s="56" t="n">
        <v>6</v>
      </c>
      <c r="D1418" s="56" t="n">
        <v>40</v>
      </c>
      <c r="E1418" s="56" t="n">
        <v>14.1</v>
      </c>
      <c r="F1418" s="56" t="n">
        <v>0</v>
      </c>
      <c r="G1418" s="56" t="n">
        <v>11.9</v>
      </c>
      <c r="H1418" s="56" t="n">
        <v>0</v>
      </c>
      <c r="I1418" s="56" t="n">
        <v>12.8</v>
      </c>
      <c r="J1418" s="56" t="n">
        <v>0</v>
      </c>
      <c r="K1418" s="56" t="n">
        <v>1019.1</v>
      </c>
      <c r="L1418" s="56" t="n">
        <v>0</v>
      </c>
      <c r="M1418" s="56" t="n">
        <v>92</v>
      </c>
      <c r="N1418" s="56" t="n">
        <v>0</v>
      </c>
      <c r="O1418" s="56" t="n">
        <f aca="false">IF(D1418=1,"",E1417)</f>
        <v>13.6</v>
      </c>
      <c r="P1418" s="56" t="n">
        <f aca="false">IF(OR(D1418=1,K1417=""),"",K1417)</f>
        <v>1018.7</v>
      </c>
      <c r="Q1418" s="56" t="n">
        <f aca="false">IF(OR(F1418&lt;&gt;0,AND(I1418&lt;&gt;"",E1418&lt;I1418)),1,0)</f>
        <v>0</v>
      </c>
      <c r="R1418" s="56" t="n">
        <f aca="false">IF(AND(D1418&gt;1,Q1418=0,ISNUMBER(O1418),ISNUMBER(P1418)),IF(Q1417=0,1,0),0)</f>
        <v>1</v>
      </c>
      <c r="S1418" s="56" t="n">
        <f aca="false">R1418*(B1418&gt;=Train_Start)*(B1418&lt;=Train_End)</f>
        <v>1</v>
      </c>
      <c r="T1418" s="84" t="n">
        <f aca="false">IF(AND(ISNUMBER(O1418),ISNUMBER(P1418)),Coef_A+Coef_B1*O1418+Coef_B2*P1418,"")</f>
        <v>15.1865001110208</v>
      </c>
      <c r="U1418" s="84" t="n">
        <f aca="false">IF(AND(R1418=1,ISNUMBER(T1418)),E1418-T1418,"")</f>
        <v>-1.08650011102084</v>
      </c>
      <c r="V1418" s="84" t="n">
        <f aca="false">IF(ISNUMBER(T1418),T1418,-99)</f>
        <v>15.1865001110208</v>
      </c>
      <c r="W1418" s="84" t="n">
        <f aca="false">IF(ISNUMBER(U1418),ABS(U1418),"")</f>
        <v>1.08650011102084</v>
      </c>
    </row>
    <row r="1419" customFormat="false" ht="15" hidden="false" customHeight="false" outlineLevel="0" collapsed="false">
      <c r="A1419" s="57" t="n">
        <v>32304</v>
      </c>
      <c r="B1419" s="56" t="n">
        <v>1988</v>
      </c>
      <c r="C1419" s="56" t="n">
        <v>6</v>
      </c>
      <c r="D1419" s="56" t="n">
        <v>41</v>
      </c>
      <c r="E1419" s="56" t="n">
        <v>16.3</v>
      </c>
      <c r="F1419" s="56" t="n">
        <v>0</v>
      </c>
      <c r="G1419" s="56" t="n">
        <v>11.5</v>
      </c>
      <c r="H1419" s="56" t="n">
        <v>0</v>
      </c>
      <c r="I1419" s="56" t="n">
        <v>12.8</v>
      </c>
      <c r="J1419" s="56" t="n">
        <v>0</v>
      </c>
      <c r="K1419" s="56" t="n">
        <v>1018.7</v>
      </c>
      <c r="L1419" s="56" t="n">
        <v>0</v>
      </c>
      <c r="M1419" s="56" t="n">
        <v>92</v>
      </c>
      <c r="N1419" s="56" t="n">
        <v>0</v>
      </c>
      <c r="O1419" s="56" t="n">
        <f aca="false">IF(D1419=1,"",E1418)</f>
        <v>14.1</v>
      </c>
      <c r="P1419" s="56" t="n">
        <f aca="false">IF(OR(D1419=1,K1418=""),"",K1418)</f>
        <v>1019.1</v>
      </c>
      <c r="Q1419" s="56" t="n">
        <f aca="false">IF(OR(F1419&lt;&gt;0,AND(I1419&lt;&gt;"",E1419&lt;I1419)),1,0)</f>
        <v>0</v>
      </c>
      <c r="R1419" s="56" t="n">
        <f aca="false">IF(AND(D1419&gt;1,Q1419=0,ISNUMBER(O1419),ISNUMBER(P1419)),IF(Q1418=0,1,0),0)</f>
        <v>1</v>
      </c>
      <c r="S1419" s="56" t="n">
        <f aca="false">R1419*(B1419&gt;=Train_Start)*(B1419&lt;=Train_End)</f>
        <v>1</v>
      </c>
      <c r="T1419" s="84" t="n">
        <f aca="false">IF(AND(ISNUMBER(O1419),ISNUMBER(P1419)),Coef_A+Coef_B1*O1419+Coef_B2*P1419,"")</f>
        <v>15.6087176653958</v>
      </c>
      <c r="U1419" s="84" t="n">
        <f aca="false">IF(AND(R1419=1,ISNUMBER(T1419)),E1419-T1419,"")</f>
        <v>0.691282334604242</v>
      </c>
      <c r="V1419" s="84" t="n">
        <f aca="false">IF(ISNUMBER(T1419),T1419,-99)</f>
        <v>15.6087176653958</v>
      </c>
      <c r="W1419" s="84" t="n">
        <f aca="false">IF(ISNUMBER(U1419),ABS(U1419),"")</f>
        <v>0.691282334604242</v>
      </c>
    </row>
    <row r="1420" customFormat="false" ht="15" hidden="false" customHeight="false" outlineLevel="0" collapsed="false">
      <c r="A1420" s="57" t="n">
        <v>32305</v>
      </c>
      <c r="B1420" s="56" t="n">
        <v>1988</v>
      </c>
      <c r="C1420" s="56" t="n">
        <v>6</v>
      </c>
      <c r="D1420" s="56" t="n">
        <v>42</v>
      </c>
      <c r="E1420" s="56" t="n">
        <v>19.5</v>
      </c>
      <c r="F1420" s="56" t="n">
        <v>0</v>
      </c>
      <c r="G1420" s="56" t="n">
        <v>10.3</v>
      </c>
      <c r="H1420" s="56" t="n">
        <v>0</v>
      </c>
      <c r="I1420" s="56" t="n">
        <v>13.3</v>
      </c>
      <c r="J1420" s="56" t="n">
        <v>0</v>
      </c>
      <c r="K1420" s="56" t="n">
        <v>1016.9</v>
      </c>
      <c r="L1420" s="56" t="n">
        <v>0</v>
      </c>
      <c r="M1420" s="56" t="n">
        <v>81</v>
      </c>
      <c r="N1420" s="56" t="n">
        <v>0</v>
      </c>
      <c r="O1420" s="56" t="n">
        <f aca="false">IF(D1420=1,"",E1419)</f>
        <v>16.3</v>
      </c>
      <c r="P1420" s="56" t="n">
        <f aca="false">IF(OR(D1420=1,K1419=""),"",K1419)</f>
        <v>1018.7</v>
      </c>
      <c r="Q1420" s="56" t="n">
        <f aca="false">IF(OR(F1420&lt;&gt;0,AND(I1420&lt;&gt;"",E1420&lt;I1420)),1,0)</f>
        <v>0</v>
      </c>
      <c r="R1420" s="56" t="n">
        <f aca="false">IF(AND(D1420&gt;1,Q1420=0,ISNUMBER(O1420),ISNUMBER(P1420)),IF(Q1419=0,1,0),0)</f>
        <v>1</v>
      </c>
      <c r="S1420" s="56" t="n">
        <f aca="false">R1420*(B1420&gt;=Train_Start)*(B1420&lt;=Train_End)</f>
        <v>1</v>
      </c>
      <c r="T1420" s="84" t="n">
        <f aca="false">IF(AND(ISNUMBER(O1420),ISNUMBER(P1420)),Coef_A+Coef_B1*O1420+Coef_B2*P1420,"")</f>
        <v>17.398715932236</v>
      </c>
      <c r="U1420" s="84" t="n">
        <f aca="false">IF(AND(R1420=1,ISNUMBER(T1420)),E1420-T1420,"")</f>
        <v>2.10128406776398</v>
      </c>
      <c r="V1420" s="84" t="n">
        <f aca="false">IF(ISNUMBER(T1420),T1420,-99)</f>
        <v>17.398715932236</v>
      </c>
      <c r="W1420" s="84" t="n">
        <f aca="false">IF(ISNUMBER(U1420),ABS(U1420),"")</f>
        <v>2.10128406776398</v>
      </c>
    </row>
    <row r="1421" customFormat="false" ht="15" hidden="false" customHeight="false" outlineLevel="0" collapsed="false">
      <c r="A1421" s="57" t="n">
        <v>32306</v>
      </c>
      <c r="B1421" s="56" t="n">
        <v>1988</v>
      </c>
      <c r="C1421" s="56" t="n">
        <v>6</v>
      </c>
      <c r="D1421" s="56" t="n">
        <v>43</v>
      </c>
      <c r="E1421" s="56" t="n">
        <v>23.3</v>
      </c>
      <c r="F1421" s="56" t="n">
        <v>0</v>
      </c>
      <c r="G1421" s="56" t="n">
        <v>10.6</v>
      </c>
      <c r="H1421" s="56" t="n">
        <v>0</v>
      </c>
      <c r="I1421" s="56" t="n">
        <v>15</v>
      </c>
      <c r="J1421" s="56" t="n">
        <v>0</v>
      </c>
      <c r="K1421" s="56" t="n">
        <v>1017.3</v>
      </c>
      <c r="L1421" s="56" t="n">
        <v>0</v>
      </c>
      <c r="M1421" s="56" t="n">
        <v>62</v>
      </c>
      <c r="N1421" s="56" t="n">
        <v>8.5</v>
      </c>
      <c r="O1421" s="56" t="n">
        <f aca="false">IF(D1421=1,"",E1420)</f>
        <v>19.5</v>
      </c>
      <c r="P1421" s="56" t="n">
        <f aca="false">IF(OR(D1421=1,K1420=""),"",K1420)</f>
        <v>1016.9</v>
      </c>
      <c r="Q1421" s="56" t="n">
        <f aca="false">IF(OR(F1421&lt;&gt;0,AND(I1421&lt;&gt;"",E1421&lt;I1421)),1,0)</f>
        <v>0</v>
      </c>
      <c r="R1421" s="56" t="n">
        <f aca="false">IF(AND(D1421&gt;1,Q1421=0,ISNUMBER(O1421),ISNUMBER(P1421)),IF(Q1420=0,1,0),0)</f>
        <v>1</v>
      </c>
      <c r="S1421" s="56" t="n">
        <f aca="false">R1421*(B1421&gt;=Train_Start)*(B1421&lt;=Train_End)</f>
        <v>1</v>
      </c>
      <c r="T1421" s="84" t="n">
        <f aca="false">IF(AND(ISNUMBER(O1421),ISNUMBER(P1421)),Coef_A+Coef_B1*O1421+Coef_B2*P1421,"")</f>
        <v>19.9641355396313</v>
      </c>
      <c r="U1421" s="84" t="n">
        <f aca="false">IF(AND(R1421=1,ISNUMBER(T1421)),E1421-T1421,"")</f>
        <v>3.33586446036867</v>
      </c>
      <c r="V1421" s="84" t="n">
        <f aca="false">IF(ISNUMBER(T1421),T1421,-99)</f>
        <v>19.9641355396313</v>
      </c>
      <c r="W1421" s="84" t="n">
        <f aca="false">IF(ISNUMBER(U1421),ABS(U1421),"")</f>
        <v>3.33586446036867</v>
      </c>
    </row>
    <row r="1422" customFormat="false" ht="15" hidden="false" customHeight="false" outlineLevel="0" collapsed="false">
      <c r="A1422" s="57" t="n">
        <v>32307</v>
      </c>
      <c r="B1422" s="56" t="n">
        <v>1988</v>
      </c>
      <c r="C1422" s="56" t="n">
        <v>6</v>
      </c>
      <c r="D1422" s="56" t="n">
        <v>44</v>
      </c>
      <c r="E1422" s="56" t="n">
        <v>23.2</v>
      </c>
      <c r="F1422" s="56" t="n">
        <v>0</v>
      </c>
      <c r="G1422" s="56" t="n">
        <v>11.4</v>
      </c>
      <c r="H1422" s="56" t="n">
        <v>0</v>
      </c>
      <c r="I1422" s="56" t="n">
        <v>17.4</v>
      </c>
      <c r="J1422" s="56" t="n">
        <v>0</v>
      </c>
      <c r="K1422" s="56" t="n">
        <v>1017.9</v>
      </c>
      <c r="L1422" s="56" t="n">
        <v>0</v>
      </c>
      <c r="M1422" s="56" t="n">
        <v>61</v>
      </c>
      <c r="N1422" s="56" t="n">
        <v>11.1</v>
      </c>
      <c r="O1422" s="56" t="n">
        <f aca="false">IF(D1422=1,"",E1421)</f>
        <v>23.3</v>
      </c>
      <c r="P1422" s="56" t="n">
        <f aca="false">IF(OR(D1422=1,K1421=""),"",K1421)</f>
        <v>1017.3</v>
      </c>
      <c r="Q1422" s="56" t="n">
        <f aca="false">IF(OR(F1422&lt;&gt;0,AND(I1422&lt;&gt;"",E1422&lt;I1422)),1,0)</f>
        <v>0</v>
      </c>
      <c r="R1422" s="56" t="n">
        <f aca="false">IF(AND(D1422&gt;1,Q1422=0,ISNUMBER(O1422),ISNUMBER(P1422)),IF(Q1421=0,1,0),0)</f>
        <v>1</v>
      </c>
      <c r="S1422" s="56" t="n">
        <f aca="false">R1422*(B1422&gt;=Train_Start)*(B1422&lt;=Train_End)</f>
        <v>1</v>
      </c>
      <c r="T1422" s="84" t="n">
        <f aca="false">IF(AND(ISNUMBER(O1422),ISNUMBER(P1422)),Coef_A+Coef_B1*O1422+Coef_B2*P1422,"")</f>
        <v>23.090172431047</v>
      </c>
      <c r="U1422" s="84" t="n">
        <f aca="false">IF(AND(R1422=1,ISNUMBER(T1422)),E1422-T1422,"")</f>
        <v>0.109827568952969</v>
      </c>
      <c r="V1422" s="84" t="n">
        <f aca="false">IF(ISNUMBER(T1422),T1422,-99)</f>
        <v>23.090172431047</v>
      </c>
      <c r="W1422" s="84" t="n">
        <f aca="false">IF(ISNUMBER(U1422),ABS(U1422),"")</f>
        <v>0.109827568952969</v>
      </c>
    </row>
    <row r="1423" customFormat="false" ht="15" hidden="false" customHeight="false" outlineLevel="0" collapsed="false">
      <c r="A1423" s="57" t="n">
        <v>32308</v>
      </c>
      <c r="B1423" s="56" t="n">
        <v>1988</v>
      </c>
      <c r="C1423" s="56" t="n">
        <v>6</v>
      </c>
      <c r="D1423" s="56" t="n">
        <v>45</v>
      </c>
      <c r="E1423" s="56" t="n">
        <v>20.8</v>
      </c>
      <c r="F1423" s="56" t="n">
        <v>0</v>
      </c>
      <c r="G1423" s="56" t="n">
        <v>10</v>
      </c>
      <c r="H1423" s="56" t="n">
        <v>0</v>
      </c>
      <c r="I1423" s="56" t="n">
        <v>16.6</v>
      </c>
      <c r="J1423" s="56" t="n">
        <v>0</v>
      </c>
      <c r="K1423" s="56" t="n">
        <v>1019.1</v>
      </c>
      <c r="L1423" s="56" t="n">
        <v>0</v>
      </c>
      <c r="M1423" s="56" t="n">
        <v>58</v>
      </c>
      <c r="N1423" s="56" t="n">
        <v>14.7</v>
      </c>
      <c r="O1423" s="56" t="n">
        <f aca="false">IF(D1423=1,"",E1422)</f>
        <v>23.2</v>
      </c>
      <c r="P1423" s="56" t="n">
        <f aca="false">IF(OR(D1423=1,K1422=""),"",K1422)</f>
        <v>1017.9</v>
      </c>
      <c r="Q1423" s="56" t="n">
        <f aca="false">IF(OR(F1423&lt;&gt;0,AND(I1423&lt;&gt;"",E1423&lt;I1423)),1,0)</f>
        <v>0</v>
      </c>
      <c r="R1423" s="56" t="n">
        <f aca="false">IF(AND(D1423&gt;1,Q1423=0,ISNUMBER(O1423),ISNUMBER(P1423)),IF(Q1422=0,1,0),0)</f>
        <v>1</v>
      </c>
      <c r="S1423" s="56" t="n">
        <f aca="false">R1423*(B1423&gt;=Train_Start)*(B1423&lt;=Train_End)</f>
        <v>1</v>
      </c>
      <c r="T1423" s="84" t="n">
        <f aca="false">IF(AND(ISNUMBER(O1423),ISNUMBER(P1423)),Coef_A+Coef_B1*O1423+Coef_B2*P1423,"")</f>
        <v>23.0270604485232</v>
      </c>
      <c r="U1423" s="84" t="n">
        <f aca="false">IF(AND(R1423=1,ISNUMBER(T1423)),E1423-T1423,"")</f>
        <v>-2.22706044852315</v>
      </c>
      <c r="V1423" s="84" t="n">
        <f aca="false">IF(ISNUMBER(T1423),T1423,-99)</f>
        <v>23.0270604485232</v>
      </c>
      <c r="W1423" s="84" t="n">
        <f aca="false">IF(ISNUMBER(U1423),ABS(U1423),"")</f>
        <v>2.22706044852315</v>
      </c>
    </row>
    <row r="1424" customFormat="false" ht="15" hidden="false" customHeight="false" outlineLevel="0" collapsed="false">
      <c r="A1424" s="57" t="n">
        <v>32309</v>
      </c>
      <c r="B1424" s="56" t="n">
        <v>1988</v>
      </c>
      <c r="C1424" s="56" t="n">
        <v>6</v>
      </c>
      <c r="D1424" s="56" t="n">
        <v>46</v>
      </c>
      <c r="E1424" s="56" t="n">
        <v>20.2</v>
      </c>
      <c r="F1424" s="56" t="n">
        <v>0</v>
      </c>
      <c r="G1424" s="56" t="n">
        <v>11.1</v>
      </c>
      <c r="H1424" s="56" t="n">
        <v>0</v>
      </c>
      <c r="I1424" s="56" t="n">
        <v>16</v>
      </c>
      <c r="J1424" s="56" t="n">
        <v>0</v>
      </c>
      <c r="K1424" s="56" t="n">
        <v>1019.7</v>
      </c>
      <c r="L1424" s="56" t="n">
        <v>0</v>
      </c>
      <c r="M1424" s="56" t="n">
        <v>75</v>
      </c>
      <c r="N1424" s="56" t="n">
        <v>8.4</v>
      </c>
      <c r="O1424" s="56" t="n">
        <f aca="false">IF(D1424=1,"",E1423)</f>
        <v>20.8</v>
      </c>
      <c r="P1424" s="56" t="n">
        <f aca="false">IF(OR(D1424=1,K1423=""),"",K1423)</f>
        <v>1019.1</v>
      </c>
      <c r="Q1424" s="56" t="n">
        <f aca="false">IF(OR(F1424&lt;&gt;0,AND(I1424&lt;&gt;"",E1424&lt;I1424)),1,0)</f>
        <v>0</v>
      </c>
      <c r="R1424" s="56" t="n">
        <f aca="false">IF(AND(D1424&gt;1,Q1424=0,ISNUMBER(O1424),ISNUMBER(P1424)),IF(Q1423=0,1,0),0)</f>
        <v>1</v>
      </c>
      <c r="S1424" s="56" t="n">
        <f aca="false">R1424*(B1424&gt;=Train_Start)*(B1424&lt;=Train_End)</f>
        <v>1</v>
      </c>
      <c r="T1424" s="84" t="n">
        <f aca="false">IF(AND(ISNUMBER(O1424),ISNUMBER(P1424)),Coef_A+Coef_B1*O1424+Coef_B2*P1424,"")</f>
        <v>21.0982902587816</v>
      </c>
      <c r="U1424" s="84" t="n">
        <f aca="false">IF(AND(R1424=1,ISNUMBER(T1424)),E1424-T1424,"")</f>
        <v>-0.898290258781564</v>
      </c>
      <c r="V1424" s="84" t="n">
        <f aca="false">IF(ISNUMBER(T1424),T1424,-99)</f>
        <v>21.0982902587816</v>
      </c>
      <c r="W1424" s="84" t="n">
        <f aca="false">IF(ISNUMBER(U1424),ABS(U1424),"")</f>
        <v>0.898290258781564</v>
      </c>
    </row>
    <row r="1425" customFormat="false" ht="15" hidden="false" customHeight="false" outlineLevel="0" collapsed="false">
      <c r="A1425" s="57" t="n">
        <v>32310</v>
      </c>
      <c r="B1425" s="56" t="n">
        <v>1988</v>
      </c>
      <c r="C1425" s="56" t="n">
        <v>6</v>
      </c>
      <c r="D1425" s="56" t="n">
        <v>47</v>
      </c>
      <c r="E1425" s="56" t="n">
        <v>16.4</v>
      </c>
      <c r="F1425" s="56" t="n">
        <v>0</v>
      </c>
      <c r="G1425" s="56" t="n">
        <v>12.5</v>
      </c>
      <c r="H1425" s="56" t="n">
        <v>0</v>
      </c>
      <c r="I1425" s="56" t="n">
        <v>16.4</v>
      </c>
      <c r="J1425" s="56" t="n">
        <v>0</v>
      </c>
      <c r="K1425" s="56" t="n">
        <v>1019.3</v>
      </c>
      <c r="L1425" s="56" t="n">
        <v>0</v>
      </c>
      <c r="M1425" s="56" t="n">
        <v>74</v>
      </c>
      <c r="N1425" s="56" t="n">
        <v>4.5</v>
      </c>
      <c r="O1425" s="56" t="n">
        <f aca="false">IF(D1425=1,"",E1424)</f>
        <v>20.2</v>
      </c>
      <c r="P1425" s="56" t="n">
        <f aca="false">IF(OR(D1425=1,K1424=""),"",K1424)</f>
        <v>1019.7</v>
      </c>
      <c r="Q1425" s="56" t="n">
        <f aca="false">IF(OR(F1425&lt;&gt;0,AND(I1425&lt;&gt;"",E1425&lt;I1425)),1,0)</f>
        <v>0</v>
      </c>
      <c r="R1425" s="56" t="n">
        <f aca="false">IF(AND(D1425&gt;1,Q1425=0,ISNUMBER(O1425),ISNUMBER(P1425)),IF(Q1424=0,1,0),0)</f>
        <v>1</v>
      </c>
      <c r="S1425" s="56" t="n">
        <f aca="false">R1425*(B1425&gt;=Train_Start)*(B1425&lt;=Train_End)</f>
        <v>1</v>
      </c>
      <c r="T1425" s="84" t="n">
        <f aca="false">IF(AND(ISNUMBER(O1425),ISNUMBER(P1425)),Coef_A+Coef_B1*O1425+Coef_B2*P1425,"")</f>
        <v>20.6255086797364</v>
      </c>
      <c r="U1425" s="84" t="n">
        <f aca="false">IF(AND(R1425=1,ISNUMBER(T1425)),E1425-T1425,"")</f>
        <v>-4.22550867973637</v>
      </c>
      <c r="V1425" s="84" t="n">
        <f aca="false">IF(ISNUMBER(T1425),T1425,-99)</f>
        <v>20.6255086797364</v>
      </c>
      <c r="W1425" s="84" t="n">
        <f aca="false">IF(ISNUMBER(U1425),ABS(U1425),"")</f>
        <v>4.22550867973637</v>
      </c>
    </row>
    <row r="1426" customFormat="false" ht="15" hidden="false" customHeight="false" outlineLevel="0" collapsed="false">
      <c r="A1426" s="57" t="n">
        <v>32311</v>
      </c>
      <c r="B1426" s="56" t="n">
        <v>1988</v>
      </c>
      <c r="C1426" s="56" t="n">
        <v>6</v>
      </c>
      <c r="D1426" s="56" t="n">
        <v>48</v>
      </c>
      <c r="E1426" s="56" t="n">
        <v>19.8</v>
      </c>
      <c r="F1426" s="56" t="n">
        <v>0</v>
      </c>
      <c r="G1426" s="56" t="n">
        <v>11.4</v>
      </c>
      <c r="H1426" s="56" t="n">
        <v>0</v>
      </c>
      <c r="I1426" s="56" t="n">
        <v>13.9</v>
      </c>
      <c r="J1426" s="56" t="n">
        <v>0</v>
      </c>
      <c r="K1426" s="56" t="n">
        <v>1020.8</v>
      </c>
      <c r="L1426" s="56" t="n">
        <v>0</v>
      </c>
      <c r="M1426" s="56" t="n">
        <v>71</v>
      </c>
      <c r="N1426" s="56" t="n">
        <v>0</v>
      </c>
      <c r="O1426" s="56" t="n">
        <f aca="false">IF(D1426=1,"",E1425)</f>
        <v>16.4</v>
      </c>
      <c r="P1426" s="56" t="n">
        <f aca="false">IF(OR(D1426=1,K1425=""),"",K1425)</f>
        <v>1019.3</v>
      </c>
      <c r="Q1426" s="56" t="n">
        <f aca="false">IF(OR(F1426&lt;&gt;0,AND(I1426&lt;&gt;"",E1426&lt;I1426)),1,0)</f>
        <v>0</v>
      </c>
      <c r="R1426" s="56" t="n">
        <f aca="false">IF(AND(D1426&gt;1,Q1426=0,ISNUMBER(O1426),ISNUMBER(P1426)),IF(Q1425=0,1,0),0)</f>
        <v>1</v>
      </c>
      <c r="S1426" s="56" t="n">
        <f aca="false">R1426*(B1426&gt;=Train_Start)*(B1426&lt;=Train_End)</f>
        <v>1</v>
      </c>
      <c r="T1426" s="84" t="n">
        <f aca="false">IF(AND(ISNUMBER(O1426),ISNUMBER(P1426)),Coef_A+Coef_B1*O1426+Coef_B2*P1426,"")</f>
        <v>17.4994717883207</v>
      </c>
      <c r="U1426" s="84" t="n">
        <f aca="false">IF(AND(R1426=1,ISNUMBER(T1426)),E1426-T1426,"")</f>
        <v>2.30052821167934</v>
      </c>
      <c r="V1426" s="84" t="n">
        <f aca="false">IF(ISNUMBER(T1426),T1426,-99)</f>
        <v>17.4994717883207</v>
      </c>
      <c r="W1426" s="84" t="n">
        <f aca="false">IF(ISNUMBER(U1426),ABS(U1426),"")</f>
        <v>2.30052821167934</v>
      </c>
    </row>
    <row r="1427" customFormat="false" ht="15" hidden="false" customHeight="false" outlineLevel="0" collapsed="false">
      <c r="A1427" s="57" t="n">
        <v>32312</v>
      </c>
      <c r="B1427" s="56" t="n">
        <v>1988</v>
      </c>
      <c r="C1427" s="56" t="n">
        <v>6</v>
      </c>
      <c r="D1427" s="56" t="n">
        <v>49</v>
      </c>
      <c r="E1427" s="56" t="n">
        <v>25.1</v>
      </c>
      <c r="F1427" s="56" t="n">
        <v>0</v>
      </c>
      <c r="G1427" s="56" t="n">
        <v>11.1</v>
      </c>
      <c r="H1427" s="56" t="n">
        <v>0</v>
      </c>
      <c r="I1427" s="56" t="n">
        <v>15.4</v>
      </c>
      <c r="J1427" s="56" t="n">
        <v>0</v>
      </c>
      <c r="K1427" s="56" t="n">
        <v>1023.1</v>
      </c>
      <c r="L1427" s="56" t="n">
        <v>0</v>
      </c>
      <c r="M1427" s="56" t="n">
        <v>69</v>
      </c>
      <c r="N1427" s="56" t="n">
        <v>10.1</v>
      </c>
      <c r="O1427" s="56" t="n">
        <f aca="false">IF(D1427=1,"",E1426)</f>
        <v>19.8</v>
      </c>
      <c r="P1427" s="56" t="n">
        <f aca="false">IF(OR(D1427=1,K1426=""),"",K1426)</f>
        <v>1020.8</v>
      </c>
      <c r="Q1427" s="56" t="n">
        <f aca="false">IF(OR(F1427&lt;&gt;0,AND(I1427&lt;&gt;"",E1427&lt;I1427)),1,0)</f>
        <v>0</v>
      </c>
      <c r="R1427" s="56" t="n">
        <f aca="false">IF(AND(D1427&gt;1,Q1427=0,ISNUMBER(O1427),ISNUMBER(P1427)),IF(Q1426=0,1,0),0)</f>
        <v>1</v>
      </c>
      <c r="S1427" s="56" t="n">
        <f aca="false">R1427*(B1427&gt;=Train_Start)*(B1427&lt;=Train_End)</f>
        <v>1</v>
      </c>
      <c r="T1427" s="84" t="n">
        <f aca="false">IF(AND(ISNUMBER(O1427),ISNUMBER(P1427)),Coef_A+Coef_B1*O1427+Coef_B2*P1427,"")</f>
        <v>20.3322798866167</v>
      </c>
      <c r="U1427" s="84" t="n">
        <f aca="false">IF(AND(R1427=1,ISNUMBER(T1427)),E1427-T1427,"")</f>
        <v>4.76772011338331</v>
      </c>
      <c r="V1427" s="84" t="n">
        <f aca="false">IF(ISNUMBER(T1427),T1427,-99)</f>
        <v>20.3322798866167</v>
      </c>
      <c r="W1427" s="84" t="n">
        <f aca="false">IF(ISNUMBER(U1427),ABS(U1427),"")</f>
        <v>4.76772011338331</v>
      </c>
    </row>
    <row r="1428" customFormat="false" ht="15" hidden="false" customHeight="false" outlineLevel="0" collapsed="false">
      <c r="A1428" s="57" t="n">
        <v>32313</v>
      </c>
      <c r="B1428" s="56" t="n">
        <v>1988</v>
      </c>
      <c r="C1428" s="56" t="n">
        <v>6</v>
      </c>
      <c r="D1428" s="56" t="n">
        <v>50</v>
      </c>
      <c r="E1428" s="56" t="n">
        <v>23.7</v>
      </c>
      <c r="F1428" s="56" t="n">
        <v>0</v>
      </c>
      <c r="G1428" s="56" t="n">
        <v>11.8</v>
      </c>
      <c r="H1428" s="56" t="n">
        <v>0</v>
      </c>
      <c r="I1428" s="56" t="n">
        <v>18.4</v>
      </c>
      <c r="J1428" s="56" t="n">
        <v>0</v>
      </c>
      <c r="K1428" s="56" t="n">
        <v>1024.6</v>
      </c>
      <c r="L1428" s="56" t="n">
        <v>0</v>
      </c>
      <c r="M1428" s="56" t="n">
        <v>68</v>
      </c>
      <c r="N1428" s="56" t="n">
        <v>11.5</v>
      </c>
      <c r="O1428" s="56" t="n">
        <f aca="false">IF(D1428=1,"",E1427)</f>
        <v>25.1</v>
      </c>
      <c r="P1428" s="56" t="n">
        <f aca="false">IF(OR(D1428=1,K1427=""),"",K1427)</f>
        <v>1023.1</v>
      </c>
      <c r="Q1428" s="56" t="n">
        <f aca="false">IF(OR(F1428&lt;&gt;0,AND(I1428&lt;&gt;"",E1428&lt;I1428)),1,0)</f>
        <v>0</v>
      </c>
      <c r="R1428" s="56" t="n">
        <f aca="false">IF(AND(D1428&gt;1,Q1428=0,ISNUMBER(O1428),ISNUMBER(P1428)),IF(Q1427=0,1,0),0)</f>
        <v>1</v>
      </c>
      <c r="S1428" s="56" t="n">
        <f aca="false">R1428*(B1428&gt;=Train_Start)*(B1428&lt;=Train_End)</f>
        <v>1</v>
      </c>
      <c r="T1428" s="84" t="n">
        <f aca="false">IF(AND(ISNUMBER(O1428),ISNUMBER(P1428)),Coef_A+Coef_B1*O1428+Coef_B2*P1428,"")</f>
        <v>24.746928367401</v>
      </c>
      <c r="U1428" s="84" t="n">
        <f aca="false">IF(AND(R1428=1,ISNUMBER(T1428)),E1428-T1428,"")</f>
        <v>-1.04692836740095</v>
      </c>
      <c r="V1428" s="84" t="n">
        <f aca="false">IF(ISNUMBER(T1428),T1428,-99)</f>
        <v>24.746928367401</v>
      </c>
      <c r="W1428" s="84" t="n">
        <f aca="false">IF(ISNUMBER(U1428),ABS(U1428),"")</f>
        <v>1.04692836740095</v>
      </c>
    </row>
    <row r="1429" customFormat="false" ht="15" hidden="false" customHeight="false" outlineLevel="0" collapsed="false">
      <c r="A1429" s="57" t="n">
        <v>32314</v>
      </c>
      <c r="B1429" s="56" t="n">
        <v>1988</v>
      </c>
      <c r="C1429" s="56" t="n">
        <v>6</v>
      </c>
      <c r="D1429" s="56" t="n">
        <v>51</v>
      </c>
      <c r="E1429" s="56" t="n">
        <v>23.5</v>
      </c>
      <c r="F1429" s="56" t="n">
        <v>0</v>
      </c>
      <c r="G1429" s="56" t="n">
        <v>12.9</v>
      </c>
      <c r="H1429" s="56" t="n">
        <v>0</v>
      </c>
      <c r="I1429" s="56" t="n">
        <v>18.3</v>
      </c>
      <c r="J1429" s="56" t="n">
        <v>0</v>
      </c>
      <c r="K1429" s="56" t="n">
        <v>1022.8</v>
      </c>
      <c r="L1429" s="56" t="n">
        <v>0</v>
      </c>
      <c r="M1429" s="56" t="n">
        <v>74</v>
      </c>
      <c r="N1429" s="56" t="n">
        <v>1.5</v>
      </c>
      <c r="O1429" s="56" t="n">
        <f aca="false">IF(D1429=1,"",E1428)</f>
        <v>23.7</v>
      </c>
      <c r="P1429" s="56" t="n">
        <f aca="false">IF(OR(D1429=1,K1428=""),"",K1428)</f>
        <v>1024.6</v>
      </c>
      <c r="Q1429" s="56" t="n">
        <f aca="false">IF(OR(F1429&lt;&gt;0,AND(I1429&lt;&gt;"",E1429&lt;I1429)),1,0)</f>
        <v>0</v>
      </c>
      <c r="R1429" s="56" t="n">
        <f aca="false">IF(AND(D1429&gt;1,Q1429=0,ISNUMBER(O1429),ISNUMBER(P1429)),IF(Q1428=0,1,0),0)</f>
        <v>1</v>
      </c>
      <c r="S1429" s="56" t="n">
        <f aca="false">R1429*(B1429&gt;=Train_Start)*(B1429&lt;=Train_End)</f>
        <v>1</v>
      </c>
      <c r="T1429" s="84" t="n">
        <f aca="false">IF(AND(ISNUMBER(O1429),ISNUMBER(P1429)),Coef_A+Coef_B1*O1429+Coef_B2*P1429,"")</f>
        <v>23.6469083390922</v>
      </c>
      <c r="U1429" s="84" t="n">
        <f aca="false">IF(AND(R1429=1,ISNUMBER(T1429)),E1429-T1429,"")</f>
        <v>-0.14690833909221</v>
      </c>
      <c r="V1429" s="84" t="n">
        <f aca="false">IF(ISNUMBER(T1429),T1429,-99)</f>
        <v>23.6469083390922</v>
      </c>
      <c r="W1429" s="84" t="n">
        <f aca="false">IF(ISNUMBER(U1429),ABS(U1429),"")</f>
        <v>0.14690833909221</v>
      </c>
    </row>
    <row r="1430" customFormat="false" ht="15" hidden="false" customHeight="false" outlineLevel="0" collapsed="false">
      <c r="A1430" s="57" t="n">
        <v>32315</v>
      </c>
      <c r="B1430" s="56" t="n">
        <v>1988</v>
      </c>
      <c r="C1430" s="56" t="n">
        <v>6</v>
      </c>
      <c r="D1430" s="56" t="n">
        <v>52</v>
      </c>
      <c r="E1430" s="56" t="n">
        <v>21.2</v>
      </c>
      <c r="F1430" s="56" t="n">
        <v>0</v>
      </c>
      <c r="G1430" s="56" t="n">
        <v>13.5</v>
      </c>
      <c r="H1430" s="56" t="n">
        <v>0</v>
      </c>
      <c r="I1430" s="56" t="n">
        <v>18.5</v>
      </c>
      <c r="J1430" s="56" t="n">
        <v>0</v>
      </c>
      <c r="K1430" s="56" t="n">
        <v>1019.4</v>
      </c>
      <c r="L1430" s="56" t="n">
        <v>0</v>
      </c>
      <c r="M1430" s="56" t="n">
        <v>73</v>
      </c>
      <c r="N1430" s="56" t="n">
        <v>2.3</v>
      </c>
      <c r="O1430" s="56" t="n">
        <f aca="false">IF(D1430=1,"",E1429)</f>
        <v>23.5</v>
      </c>
      <c r="P1430" s="56" t="n">
        <f aca="false">IF(OR(D1430=1,K1429=""),"",K1429)</f>
        <v>1022.8</v>
      </c>
      <c r="Q1430" s="56" t="n">
        <f aca="false">IF(OR(F1430&lt;&gt;0,AND(I1430&lt;&gt;"",E1430&lt;I1430)),1,0)</f>
        <v>0</v>
      </c>
      <c r="R1430" s="56" t="n">
        <f aca="false">IF(AND(D1430&gt;1,Q1430=0,ISNUMBER(O1430),ISNUMBER(P1430)),IF(Q1429=0,1,0),0)</f>
        <v>1</v>
      </c>
      <c r="S1430" s="56" t="n">
        <f aca="false">R1430*(B1430&gt;=Train_Start)*(B1430&lt;=Train_End)</f>
        <v>1</v>
      </c>
      <c r="T1430" s="84" t="n">
        <f aca="false">IF(AND(ISNUMBER(O1430),ISNUMBER(P1430)),Coef_A+Coef_B1*O1430+Coef_B2*P1430,"")</f>
        <v>23.4265746901425</v>
      </c>
      <c r="U1430" s="84" t="n">
        <f aca="false">IF(AND(R1430=1,ISNUMBER(T1430)),E1430-T1430,"")</f>
        <v>-2.2265746901425</v>
      </c>
      <c r="V1430" s="84" t="n">
        <f aca="false">IF(ISNUMBER(T1430),T1430,-99)</f>
        <v>23.4265746901425</v>
      </c>
      <c r="W1430" s="84" t="n">
        <f aca="false">IF(ISNUMBER(U1430),ABS(U1430),"")</f>
        <v>2.2265746901425</v>
      </c>
    </row>
    <row r="1431" customFormat="false" ht="15" hidden="false" customHeight="false" outlineLevel="0" collapsed="false">
      <c r="A1431" s="57" t="n">
        <v>32316</v>
      </c>
      <c r="B1431" s="56" t="n">
        <v>1988</v>
      </c>
      <c r="C1431" s="56" t="n">
        <v>6</v>
      </c>
      <c r="D1431" s="56" t="n">
        <v>53</v>
      </c>
      <c r="E1431" s="56" t="n">
        <v>24.7</v>
      </c>
      <c r="F1431" s="56" t="n">
        <v>0</v>
      </c>
      <c r="G1431" s="56" t="n">
        <v>13.5</v>
      </c>
      <c r="H1431" s="56" t="n">
        <v>0</v>
      </c>
      <c r="I1431" s="56" t="n">
        <v>17.4</v>
      </c>
      <c r="J1431" s="56" t="n">
        <v>0</v>
      </c>
      <c r="K1431" s="56" t="n">
        <v>1025.5</v>
      </c>
      <c r="L1431" s="56" t="n">
        <v>0</v>
      </c>
      <c r="M1431" s="56" t="n">
        <v>60</v>
      </c>
      <c r="N1431" s="56" t="n">
        <v>14.1</v>
      </c>
      <c r="O1431" s="56" t="n">
        <f aca="false">IF(D1431=1,"",E1430)</f>
        <v>21.2</v>
      </c>
      <c r="P1431" s="56" t="n">
        <f aca="false">IF(OR(D1431=1,K1430=""),"",K1430)</f>
        <v>1019.4</v>
      </c>
      <c r="Q1431" s="56" t="n">
        <f aca="false">IF(OR(F1431&lt;&gt;0,AND(I1431&lt;&gt;"",E1431&lt;I1431)),1,0)</f>
        <v>0</v>
      </c>
      <c r="R1431" s="56" t="n">
        <f aca="false">IF(AND(D1431&gt;1,Q1431=0,ISNUMBER(O1431),ISNUMBER(P1431)),IF(Q1430=0,1,0),0)</f>
        <v>1</v>
      </c>
      <c r="S1431" s="56" t="n">
        <f aca="false">R1431*(B1431&gt;=Train_Start)*(B1431&lt;=Train_End)</f>
        <v>1</v>
      </c>
      <c r="T1431" s="84" t="n">
        <f aca="false">IF(AND(ISNUMBER(O1431),ISNUMBER(P1431)),Coef_A+Coef_B1*O1431+Coef_B2*P1431,"")</f>
        <v>21.4354369043888</v>
      </c>
      <c r="U1431" s="84" t="n">
        <f aca="false">IF(AND(R1431=1,ISNUMBER(T1431)),E1431-T1431,"")</f>
        <v>3.26456309561118</v>
      </c>
      <c r="V1431" s="84" t="n">
        <f aca="false">IF(ISNUMBER(T1431),T1431,-99)</f>
        <v>21.4354369043888</v>
      </c>
      <c r="W1431" s="84" t="n">
        <f aca="false">IF(ISNUMBER(U1431),ABS(U1431),"")</f>
        <v>3.26456309561118</v>
      </c>
    </row>
    <row r="1432" customFormat="false" ht="15" hidden="false" customHeight="false" outlineLevel="0" collapsed="false">
      <c r="A1432" s="57" t="n">
        <v>32317</v>
      </c>
      <c r="B1432" s="56" t="n">
        <v>1988</v>
      </c>
      <c r="C1432" s="56" t="n">
        <v>6</v>
      </c>
      <c r="D1432" s="56" t="n">
        <v>54</v>
      </c>
      <c r="E1432" s="56" t="n">
        <v>21.3</v>
      </c>
      <c r="F1432" s="56" t="n">
        <v>0</v>
      </c>
      <c r="G1432" s="56" t="n">
        <v>10.4</v>
      </c>
      <c r="H1432" s="56" t="n">
        <v>0</v>
      </c>
      <c r="I1432" s="56" t="n">
        <v>17.6</v>
      </c>
      <c r="J1432" s="56" t="n">
        <v>0</v>
      </c>
      <c r="K1432" s="56" t="n">
        <v>1027</v>
      </c>
      <c r="L1432" s="56" t="n">
        <v>0</v>
      </c>
      <c r="M1432" s="56" t="n">
        <v>63</v>
      </c>
      <c r="N1432" s="56" t="n">
        <v>14.5</v>
      </c>
      <c r="O1432" s="56" t="n">
        <f aca="false">IF(D1432=1,"",E1431)</f>
        <v>24.7</v>
      </c>
      <c r="P1432" s="56" t="n">
        <f aca="false">IF(OR(D1432=1,K1431=""),"",K1431)</f>
        <v>1025.5</v>
      </c>
      <c r="Q1432" s="56" t="n">
        <f aca="false">IF(OR(F1432&lt;&gt;0,AND(I1432&lt;&gt;"",E1432&lt;I1432)),1,0)</f>
        <v>0</v>
      </c>
      <c r="R1432" s="56" t="n">
        <f aca="false">IF(AND(D1432&gt;1,Q1432=0,ISNUMBER(O1432),ISNUMBER(P1432)),IF(Q1431=0,1,0),0)</f>
        <v>1</v>
      </c>
      <c r="S1432" s="56" t="n">
        <f aca="false">R1432*(B1432&gt;=Train_Start)*(B1432&lt;=Train_End)</f>
        <v>1</v>
      </c>
      <c r="T1432" s="84" t="n">
        <f aca="false">IF(AND(ISNUMBER(O1432),ISNUMBER(P1432)),Coef_A+Coef_B1*O1432+Coef_B2*P1432,"")</f>
        <v>24.4944804373055</v>
      </c>
      <c r="U1432" s="84" t="n">
        <f aca="false">IF(AND(R1432=1,ISNUMBER(T1432)),E1432-T1432,"")</f>
        <v>-3.19448043730546</v>
      </c>
      <c r="V1432" s="84" t="n">
        <f aca="false">IF(ISNUMBER(T1432),T1432,-99)</f>
        <v>24.4944804373055</v>
      </c>
      <c r="W1432" s="84" t="n">
        <f aca="false">IF(ISNUMBER(U1432),ABS(U1432),"")</f>
        <v>3.19448043730546</v>
      </c>
    </row>
    <row r="1433" customFormat="false" ht="15" hidden="false" customHeight="false" outlineLevel="0" collapsed="false">
      <c r="A1433" s="57" t="n">
        <v>32318</v>
      </c>
      <c r="B1433" s="56" t="n">
        <v>1988</v>
      </c>
      <c r="C1433" s="56" t="n">
        <v>6</v>
      </c>
      <c r="D1433" s="56" t="n">
        <v>55</v>
      </c>
      <c r="E1433" s="56" t="n">
        <v>23.5</v>
      </c>
      <c r="F1433" s="56" t="n">
        <v>0</v>
      </c>
      <c r="G1433" s="56" t="n">
        <v>12.5</v>
      </c>
      <c r="H1433" s="56" t="n">
        <v>0</v>
      </c>
      <c r="I1433" s="56" t="n">
        <v>16.9</v>
      </c>
      <c r="J1433" s="56" t="n">
        <v>0</v>
      </c>
      <c r="K1433" s="56" t="n">
        <v>1025.1</v>
      </c>
      <c r="L1433" s="56" t="n">
        <v>0</v>
      </c>
      <c r="M1433" s="56" t="n">
        <v>71</v>
      </c>
      <c r="N1433" s="56" t="n">
        <v>0.9</v>
      </c>
      <c r="O1433" s="56" t="n">
        <f aca="false">IF(D1433=1,"",E1432)</f>
        <v>21.3</v>
      </c>
      <c r="P1433" s="56" t="n">
        <f aca="false">IF(OR(D1433=1,K1432=""),"",K1432)</f>
        <v>1027</v>
      </c>
      <c r="Q1433" s="56" t="n">
        <f aca="false">IF(OR(F1433&lt;&gt;0,AND(I1433&lt;&gt;"",E1433&lt;I1433)),1,0)</f>
        <v>0</v>
      </c>
      <c r="R1433" s="56" t="n">
        <f aca="false">IF(AND(D1433&gt;1,Q1433=0,ISNUMBER(O1433),ISNUMBER(P1433)),IF(Q1432=0,1,0),0)</f>
        <v>1</v>
      </c>
      <c r="S1433" s="56" t="n">
        <f aca="false">R1433*(B1433&gt;=Train_Start)*(B1433&lt;=Train_End)</f>
        <v>1</v>
      </c>
      <c r="T1433" s="84" t="n">
        <f aca="false">IF(AND(ISNUMBER(O1433),ISNUMBER(P1433)),Coef_A+Coef_B1*O1433+Coef_B2*P1433,"")</f>
        <v>21.7557820229114</v>
      </c>
      <c r="U1433" s="84" t="n">
        <f aca="false">IF(AND(R1433=1,ISNUMBER(T1433)),E1433-T1433,"")</f>
        <v>1.74421797708859</v>
      </c>
      <c r="V1433" s="84" t="n">
        <f aca="false">IF(ISNUMBER(T1433),T1433,-99)</f>
        <v>21.7557820229114</v>
      </c>
      <c r="W1433" s="84" t="n">
        <f aca="false">IF(ISNUMBER(U1433),ABS(U1433),"")</f>
        <v>1.74421797708859</v>
      </c>
    </row>
    <row r="1434" customFormat="false" ht="15" hidden="false" customHeight="false" outlineLevel="0" collapsed="false">
      <c r="A1434" s="57" t="n">
        <v>32319</v>
      </c>
      <c r="B1434" s="56" t="n">
        <v>1988</v>
      </c>
      <c r="C1434" s="56" t="n">
        <v>6</v>
      </c>
      <c r="D1434" s="56" t="n">
        <v>56</v>
      </c>
      <c r="E1434" s="56" t="n">
        <v>20.3</v>
      </c>
      <c r="F1434" s="56" t="n">
        <v>0</v>
      </c>
      <c r="G1434" s="56" t="n">
        <v>14.6</v>
      </c>
      <c r="H1434" s="56" t="n">
        <v>0</v>
      </c>
      <c r="I1434" s="56" t="n">
        <v>19</v>
      </c>
      <c r="J1434" s="56" t="n">
        <v>0</v>
      </c>
      <c r="K1434" s="56" t="n">
        <v>1021.9</v>
      </c>
      <c r="L1434" s="56" t="n">
        <v>0</v>
      </c>
      <c r="M1434" s="56" t="n">
        <v>69</v>
      </c>
      <c r="N1434" s="56" t="n">
        <v>9.6</v>
      </c>
      <c r="O1434" s="56" t="n">
        <f aca="false">IF(D1434=1,"",E1433)</f>
        <v>23.5</v>
      </c>
      <c r="P1434" s="56" t="n">
        <f aca="false">IF(OR(D1434=1,K1433=""),"",K1433)</f>
        <v>1025.1</v>
      </c>
      <c r="Q1434" s="56" t="n">
        <f aca="false">IF(OR(F1434&lt;&gt;0,AND(I1434&lt;&gt;"",E1434&lt;I1434)),1,0)</f>
        <v>0</v>
      </c>
      <c r="R1434" s="56" t="n">
        <f aca="false">IF(AND(D1434&gt;1,Q1434=0,ISNUMBER(O1434),ISNUMBER(P1434)),IF(Q1433=0,1,0),0)</f>
        <v>1</v>
      </c>
      <c r="S1434" s="56" t="n">
        <f aca="false">R1434*(B1434&gt;=Train_Start)*(B1434&lt;=Train_End)</f>
        <v>1</v>
      </c>
      <c r="T1434" s="84" t="n">
        <f aca="false">IF(AND(ISNUMBER(O1434),ISNUMBER(P1434)),Coef_A+Coef_B1*O1434+Coef_B2*P1434,"")</f>
        <v>23.4987254478007</v>
      </c>
      <c r="U1434" s="84" t="n">
        <f aca="false">IF(AND(R1434=1,ISNUMBER(T1434)),E1434-T1434,"")</f>
        <v>-3.19872544780067</v>
      </c>
      <c r="V1434" s="84" t="n">
        <f aca="false">IF(ISNUMBER(T1434),T1434,-99)</f>
        <v>23.4987254478007</v>
      </c>
      <c r="W1434" s="84" t="n">
        <f aca="false">IF(ISNUMBER(U1434),ABS(U1434),"")</f>
        <v>3.19872544780067</v>
      </c>
    </row>
    <row r="1435" customFormat="false" ht="15" hidden="false" customHeight="false" outlineLevel="0" collapsed="false">
      <c r="A1435" s="57" t="n">
        <v>32320</v>
      </c>
      <c r="B1435" s="56" t="n">
        <v>1988</v>
      </c>
      <c r="C1435" s="56" t="n">
        <v>6</v>
      </c>
      <c r="D1435" s="56" t="n">
        <v>57</v>
      </c>
      <c r="E1435" s="56" t="n">
        <v>16.7</v>
      </c>
      <c r="F1435" s="56" t="n">
        <v>1</v>
      </c>
      <c r="G1435" s="56" t="n">
        <v>15.4</v>
      </c>
      <c r="H1435" s="56" t="n">
        <v>0</v>
      </c>
      <c r="I1435" s="56" t="n">
        <v>17.8</v>
      </c>
      <c r="J1435" s="56" t="n">
        <v>1</v>
      </c>
      <c r="K1435" s="56" t="n">
        <v>1018.5</v>
      </c>
      <c r="L1435" s="56" t="n">
        <v>0</v>
      </c>
      <c r="M1435" s="56" t="n">
        <v>76</v>
      </c>
      <c r="N1435" s="56" t="n">
        <v>1.7</v>
      </c>
      <c r="O1435" s="56" t="n">
        <f aca="false">IF(D1435=1,"",E1434)</f>
        <v>20.3</v>
      </c>
      <c r="P1435" s="56" t="n">
        <f aca="false">IF(OR(D1435=1,K1434=""),"",K1434)</f>
        <v>1021.9</v>
      </c>
      <c r="Q1435" s="56" t="n">
        <f aca="false">IF(OR(F1435&lt;&gt;0,AND(I1435&lt;&gt;"",E1435&lt;I1435)),1,0)</f>
        <v>1</v>
      </c>
      <c r="R1435" s="56" t="n">
        <f aca="false">IF(AND(D1435&gt;1,Q1435=0,ISNUMBER(O1435),ISNUMBER(P1435)),IF(Q1434=0,1,0),0)</f>
        <v>0</v>
      </c>
      <c r="S1435" s="56" t="n">
        <f aca="false">R1435*(B1435&gt;=Train_Start)*(B1435&lt;=Train_End)</f>
        <v>0</v>
      </c>
      <c r="T1435" s="84" t="n">
        <f aca="false">IF(AND(ISNUMBER(O1435),ISNUMBER(P1435)),Coef_A+Coef_B1*O1435+Coef_B2*P1435,"")</f>
        <v>20.7764563672354</v>
      </c>
      <c r="U1435" s="84" t="str">
        <f aca="false">IF(AND(R1435=1,ISNUMBER(T1435)),E1435-T1435,"")</f>
        <v/>
      </c>
      <c r="V1435" s="84" t="n">
        <f aca="false">IF(ISNUMBER(T1435),T1435,-99)</f>
        <v>20.7764563672354</v>
      </c>
      <c r="W1435" s="84" t="str">
        <f aca="false">IF(ISNUMBER(U1435),ABS(U1435),"")</f>
        <v/>
      </c>
    </row>
    <row r="1436" customFormat="false" ht="15" hidden="false" customHeight="false" outlineLevel="0" collapsed="false">
      <c r="A1436" s="57" t="n">
        <v>32321</v>
      </c>
      <c r="B1436" s="56" t="n">
        <v>1988</v>
      </c>
      <c r="C1436" s="56" t="n">
        <v>6</v>
      </c>
      <c r="D1436" s="56" t="n">
        <v>58</v>
      </c>
      <c r="E1436" s="56" t="n">
        <v>17.3</v>
      </c>
      <c r="F1436" s="56" t="n">
        <v>0</v>
      </c>
      <c r="G1436" s="56" t="n">
        <v>12</v>
      </c>
      <c r="H1436" s="56" t="n">
        <v>0</v>
      </c>
      <c r="I1436" s="56" t="n">
        <v>14.4</v>
      </c>
      <c r="J1436" s="56" t="n">
        <v>0</v>
      </c>
      <c r="K1436" s="56" t="n">
        <v>1016.9</v>
      </c>
      <c r="L1436" s="56" t="n">
        <v>0</v>
      </c>
      <c r="M1436" s="56" t="n">
        <v>86</v>
      </c>
      <c r="N1436" s="56" t="n">
        <v>0</v>
      </c>
      <c r="O1436" s="56" t="n">
        <f aca="false">IF(D1436=1,"",E1435)</f>
        <v>16.7</v>
      </c>
      <c r="P1436" s="56" t="n">
        <f aca="false">IF(OR(D1436=1,K1435=""),"",K1435)</f>
        <v>1018.5</v>
      </c>
      <c r="Q1436" s="56" t="n">
        <f aca="false">IF(OR(F1436&lt;&gt;0,AND(I1436&lt;&gt;"",E1436&lt;I1436)),1,0)</f>
        <v>0</v>
      </c>
      <c r="R1436" s="56" t="n">
        <f aca="false">IF(AND(D1436&gt;1,Q1436=0,ISNUMBER(O1436),ISNUMBER(P1436)),IF(Q1435=0,1,0),0)</f>
        <v>0</v>
      </c>
      <c r="S1436" s="56" t="n">
        <f aca="false">R1436*(B1436&gt;=Train_Start)*(B1436&lt;=Train_End)</f>
        <v>0</v>
      </c>
      <c r="T1436" s="84" t="n">
        <f aca="false">IF(AND(ISNUMBER(O1436),ISNUMBER(P1436)),Coef_A+Coef_B1*O1436+Coef_B2*P1436,"")</f>
        <v>17.7201776305263</v>
      </c>
      <c r="U1436" s="84" t="str">
        <f aca="false">IF(AND(R1436=1,ISNUMBER(T1436)),E1436-T1436,"")</f>
        <v/>
      </c>
      <c r="V1436" s="84" t="n">
        <f aca="false">IF(ISNUMBER(T1436),T1436,-99)</f>
        <v>17.7201776305263</v>
      </c>
      <c r="W1436" s="84" t="str">
        <f aca="false">IF(ISNUMBER(U1436),ABS(U1436),"")</f>
        <v/>
      </c>
    </row>
    <row r="1437" customFormat="false" ht="15" hidden="false" customHeight="false" outlineLevel="0" collapsed="false">
      <c r="A1437" s="57" t="n">
        <v>32322</v>
      </c>
      <c r="B1437" s="56" t="n">
        <v>1988</v>
      </c>
      <c r="C1437" s="56" t="n">
        <v>6</v>
      </c>
      <c r="D1437" s="56" t="n">
        <v>59</v>
      </c>
      <c r="E1437" s="56" t="n">
        <v>21.9</v>
      </c>
      <c r="F1437" s="56" t="n">
        <v>0</v>
      </c>
      <c r="G1437" s="56" t="n">
        <v>12.2</v>
      </c>
      <c r="H1437" s="56" t="n">
        <v>0</v>
      </c>
      <c r="I1437" s="56" t="n">
        <v>14.8</v>
      </c>
      <c r="J1437" s="56" t="n">
        <v>0</v>
      </c>
      <c r="K1437" s="56" t="n">
        <v>1012.2</v>
      </c>
      <c r="L1437" s="56" t="n">
        <v>0</v>
      </c>
      <c r="M1437" s="56" t="n">
        <v>90</v>
      </c>
      <c r="N1437" s="56" t="n">
        <v>0</v>
      </c>
      <c r="O1437" s="56" t="n">
        <f aca="false">IF(D1437=1,"",E1436)</f>
        <v>17.3</v>
      </c>
      <c r="P1437" s="56" t="n">
        <f aca="false">IF(OR(D1437=1,K1436=""),"",K1436)</f>
        <v>1016.9</v>
      </c>
      <c r="Q1437" s="56" t="n">
        <f aca="false">IF(OR(F1437&lt;&gt;0,AND(I1437&lt;&gt;"",E1437&lt;I1437)),1,0)</f>
        <v>0</v>
      </c>
      <c r="R1437" s="56" t="n">
        <f aca="false">IF(AND(D1437&gt;1,Q1437=0,ISNUMBER(O1437),ISNUMBER(P1437)),IF(Q1436=0,1,0),0)</f>
        <v>1</v>
      </c>
      <c r="S1437" s="56" t="n">
        <f aca="false">R1437*(B1437&gt;=Train_Start)*(B1437&lt;=Train_End)</f>
        <v>1</v>
      </c>
      <c r="T1437" s="84" t="n">
        <f aca="false">IF(AND(ISNUMBER(O1437),ISNUMBER(P1437)),Coef_A+Coef_B1*O1437+Coef_B2*P1437,"")</f>
        <v>18.1615893149375</v>
      </c>
      <c r="U1437" s="84" t="n">
        <f aca="false">IF(AND(R1437=1,ISNUMBER(T1437)),E1437-T1437,"")</f>
        <v>3.73841068506251</v>
      </c>
      <c r="V1437" s="84" t="n">
        <f aca="false">IF(ISNUMBER(T1437),T1437,-99)</f>
        <v>18.1615893149375</v>
      </c>
      <c r="W1437" s="84" t="n">
        <f aca="false">IF(ISNUMBER(U1437),ABS(U1437),"")</f>
        <v>3.73841068506251</v>
      </c>
    </row>
    <row r="1438" customFormat="false" ht="15" hidden="false" customHeight="false" outlineLevel="0" collapsed="false">
      <c r="A1438" s="57" t="n">
        <v>32323</v>
      </c>
      <c r="B1438" s="56" t="n">
        <v>1988</v>
      </c>
      <c r="C1438" s="56" t="n">
        <v>6</v>
      </c>
      <c r="D1438" s="56" t="n">
        <v>60</v>
      </c>
      <c r="E1438" s="56" t="n">
        <v>25.2</v>
      </c>
      <c r="F1438" s="56" t="n">
        <v>0</v>
      </c>
      <c r="G1438" s="56" t="n">
        <v>13.8</v>
      </c>
      <c r="H1438" s="56" t="n">
        <v>0</v>
      </c>
      <c r="I1438" s="56" t="n">
        <v>17.8</v>
      </c>
      <c r="J1438" s="56" t="n">
        <v>0</v>
      </c>
      <c r="K1438" s="56" t="n">
        <v>1010.1</v>
      </c>
      <c r="L1438" s="56" t="n">
        <v>0</v>
      </c>
      <c r="M1438" s="56" t="n">
        <v>78</v>
      </c>
      <c r="N1438" s="56" t="n">
        <v>5.2</v>
      </c>
      <c r="O1438" s="56" t="n">
        <f aca="false">IF(D1438=1,"",E1437)</f>
        <v>21.9</v>
      </c>
      <c r="P1438" s="56" t="n">
        <f aca="false">IF(OR(D1438=1,K1437=""),"",K1437)</f>
        <v>1012.2</v>
      </c>
      <c r="Q1438" s="56" t="n">
        <f aca="false">IF(OR(F1438&lt;&gt;0,AND(I1438&lt;&gt;"",E1438&lt;I1438)),1,0)</f>
        <v>0</v>
      </c>
      <c r="R1438" s="56" t="n">
        <f aca="false">IF(AND(D1438&gt;1,Q1438=0,ISNUMBER(O1438),ISNUMBER(P1438)),IF(Q1437=0,1,0),0)</f>
        <v>1</v>
      </c>
      <c r="S1438" s="56" t="n">
        <f aca="false">R1438*(B1438&gt;=Train_Start)*(B1438&lt;=Train_End)</f>
        <v>1</v>
      </c>
      <c r="T1438" s="84" t="n">
        <f aca="false">IF(AND(ISNUMBER(O1438),ISNUMBER(P1438)),Coef_A+Coef_B1*O1438+Coef_B2*P1438,"")</f>
        <v>21.783111098154</v>
      </c>
      <c r="U1438" s="84" t="n">
        <f aca="false">IF(AND(R1438=1,ISNUMBER(T1438)),E1438-T1438,"")</f>
        <v>3.41688890184604</v>
      </c>
      <c r="V1438" s="84" t="n">
        <f aca="false">IF(ISNUMBER(T1438),T1438,-99)</f>
        <v>21.783111098154</v>
      </c>
      <c r="W1438" s="84" t="n">
        <f aca="false">IF(ISNUMBER(U1438),ABS(U1438),"")</f>
        <v>3.41688890184604</v>
      </c>
    </row>
    <row r="1439" customFormat="false" ht="15" hidden="false" customHeight="false" outlineLevel="0" collapsed="false">
      <c r="A1439" s="57" t="n">
        <v>32324</v>
      </c>
      <c r="B1439" s="56" t="n">
        <v>1988</v>
      </c>
      <c r="C1439" s="56" t="n">
        <v>6</v>
      </c>
      <c r="D1439" s="56" t="n">
        <v>61</v>
      </c>
      <c r="E1439" s="56" t="n">
        <v>20.1</v>
      </c>
      <c r="F1439" s="56" t="n">
        <v>0</v>
      </c>
      <c r="G1439" s="56" t="n">
        <v>13.8</v>
      </c>
      <c r="H1439" s="56" t="n">
        <v>0</v>
      </c>
      <c r="I1439" s="56" t="n">
        <v>19.5</v>
      </c>
      <c r="J1439" s="56" t="n">
        <v>0</v>
      </c>
      <c r="K1439" s="56" t="n">
        <v>1006.6</v>
      </c>
      <c r="L1439" s="56" t="n">
        <v>0</v>
      </c>
      <c r="M1439" s="56" t="n">
        <v>74</v>
      </c>
      <c r="N1439" s="56" t="n">
        <v>8.3</v>
      </c>
      <c r="O1439" s="56" t="n">
        <f aca="false">IF(D1439=1,"",E1438)</f>
        <v>25.2</v>
      </c>
      <c r="P1439" s="56" t="n">
        <f aca="false">IF(OR(D1439=1,K1438=""),"",K1438)</f>
        <v>1010.1</v>
      </c>
      <c r="Q1439" s="56" t="n">
        <f aca="false">IF(OR(F1439&lt;&gt;0,AND(I1439&lt;&gt;"",E1439&lt;I1439)),1,0)</f>
        <v>0</v>
      </c>
      <c r="R1439" s="56" t="n">
        <f aca="false">IF(AND(D1439&gt;1,Q1439=0,ISNUMBER(O1439),ISNUMBER(P1439)),IF(Q1438=0,1,0),0)</f>
        <v>1</v>
      </c>
      <c r="S1439" s="56" t="n">
        <f aca="false">R1439*(B1439&gt;=Train_Start)*(B1439&lt;=Train_End)</f>
        <v>1</v>
      </c>
      <c r="T1439" s="84" t="n">
        <f aca="false">IF(AND(ISNUMBER(O1439),ISNUMBER(P1439)),Coef_A+Coef_B1*O1439+Coef_B2*P1439,"")</f>
        <v>24.4210536564634</v>
      </c>
      <c r="U1439" s="84" t="n">
        <f aca="false">IF(AND(R1439=1,ISNUMBER(T1439)),E1439-T1439,"")</f>
        <v>-4.32105365646335</v>
      </c>
      <c r="V1439" s="84" t="n">
        <f aca="false">IF(ISNUMBER(T1439),T1439,-99)</f>
        <v>24.4210536564634</v>
      </c>
      <c r="W1439" s="84" t="n">
        <f aca="false">IF(ISNUMBER(U1439),ABS(U1439),"")</f>
        <v>4.32105365646335</v>
      </c>
    </row>
    <row r="1440" customFormat="false" ht="15" hidden="false" customHeight="false" outlineLevel="0" collapsed="false">
      <c r="A1440" s="57" t="n">
        <v>32325</v>
      </c>
      <c r="B1440" s="56" t="n">
        <v>1988</v>
      </c>
      <c r="C1440" s="56" t="n">
        <v>7</v>
      </c>
      <c r="D1440" s="56" t="n">
        <v>62</v>
      </c>
      <c r="E1440" s="56" t="n">
        <v>19</v>
      </c>
      <c r="F1440" s="56" t="n">
        <v>0</v>
      </c>
      <c r="G1440" s="56" t="n">
        <v>14.9</v>
      </c>
      <c r="H1440" s="56" t="n">
        <v>0</v>
      </c>
      <c r="I1440" s="56" t="n">
        <v>17.5</v>
      </c>
      <c r="J1440" s="56" t="n">
        <v>0</v>
      </c>
      <c r="K1440" s="56" t="n">
        <v>997.9</v>
      </c>
      <c r="L1440" s="56" t="n">
        <v>0</v>
      </c>
      <c r="M1440" s="56" t="n">
        <v>79</v>
      </c>
      <c r="N1440" s="56" t="n">
        <v>4.1</v>
      </c>
      <c r="O1440" s="56" t="n">
        <f aca="false">IF(D1440=1,"",E1439)</f>
        <v>20.1</v>
      </c>
      <c r="P1440" s="56" t="n">
        <f aca="false">IF(OR(D1440=1,K1439=""),"",K1439)</f>
        <v>1006.6</v>
      </c>
      <c r="Q1440" s="56" t="n">
        <f aca="false">IF(OR(F1440&lt;&gt;0,AND(I1440&lt;&gt;"",E1440&lt;I1440)),1,0)</f>
        <v>0</v>
      </c>
      <c r="R1440" s="56" t="n">
        <f aca="false">IF(AND(D1440&gt;1,Q1440=0,ISNUMBER(O1440),ISNUMBER(P1440)),IF(Q1439=0,1,0),0)</f>
        <v>1</v>
      </c>
      <c r="S1440" s="56" t="n">
        <f aca="false">R1440*(B1440&gt;=Train_Start)*(B1440&lt;=Train_End)</f>
        <v>1</v>
      </c>
      <c r="T1440" s="84" t="n">
        <f aca="false">IF(AND(ISNUMBER(O1440),ISNUMBER(P1440)),Coef_A+Coef_B1*O1440+Coef_B2*P1440,"")</f>
        <v>20.1326291407268</v>
      </c>
      <c r="U1440" s="84" t="n">
        <f aca="false">IF(AND(R1440=1,ISNUMBER(T1440)),E1440-T1440,"")</f>
        <v>-1.13262914072684</v>
      </c>
      <c r="V1440" s="84" t="n">
        <f aca="false">IF(ISNUMBER(T1440),T1440,-99)</f>
        <v>20.1326291407268</v>
      </c>
      <c r="W1440" s="84" t="n">
        <f aca="false">IF(ISNUMBER(U1440),ABS(U1440),"")</f>
        <v>1.13262914072684</v>
      </c>
    </row>
    <row r="1441" customFormat="false" ht="15" hidden="false" customHeight="false" outlineLevel="0" collapsed="false">
      <c r="A1441" s="57" t="n">
        <v>32326</v>
      </c>
      <c r="B1441" s="56" t="n">
        <v>1988</v>
      </c>
      <c r="C1441" s="56" t="n">
        <v>7</v>
      </c>
      <c r="D1441" s="56" t="n">
        <v>63</v>
      </c>
      <c r="E1441" s="56" t="n">
        <v>16.5</v>
      </c>
      <c r="F1441" s="56" t="n">
        <v>0</v>
      </c>
      <c r="G1441" s="56" t="n">
        <v>10.7</v>
      </c>
      <c r="H1441" s="56" t="n">
        <v>0</v>
      </c>
      <c r="I1441" s="56" t="n">
        <v>14.8</v>
      </c>
      <c r="J1441" s="56" t="n">
        <v>0</v>
      </c>
      <c r="K1441" s="56" t="n">
        <v>995.6</v>
      </c>
      <c r="L1441" s="56" t="n">
        <v>0</v>
      </c>
      <c r="M1441" s="56" t="n">
        <v>71</v>
      </c>
      <c r="N1441" s="56" t="n">
        <v>10.2</v>
      </c>
      <c r="O1441" s="56" t="n">
        <f aca="false">IF(D1441=1,"",E1440)</f>
        <v>19</v>
      </c>
      <c r="P1441" s="56" t="n">
        <f aca="false">IF(OR(D1441=1,K1440=""),"",K1440)</f>
        <v>997.9</v>
      </c>
      <c r="Q1441" s="56" t="n">
        <f aca="false">IF(OR(F1441&lt;&gt;0,AND(I1441&lt;&gt;"",E1441&lt;I1441)),1,0)</f>
        <v>0</v>
      </c>
      <c r="R1441" s="56" t="n">
        <f aca="false">IF(AND(D1441&gt;1,Q1441=0,ISNUMBER(O1441),ISNUMBER(P1441)),IF(Q1440=0,1,0),0)</f>
        <v>1</v>
      </c>
      <c r="S1441" s="56" t="n">
        <f aca="false">R1441*(B1441&gt;=Train_Start)*(B1441&lt;=Train_End)</f>
        <v>1</v>
      </c>
      <c r="T1441" s="84" t="n">
        <f aca="false">IF(AND(ISNUMBER(O1441),ISNUMBER(P1441)),Coef_A+Coef_B1*O1441+Coef_B2*P1441,"")</f>
        <v>18.9584379450642</v>
      </c>
      <c r="U1441" s="84" t="n">
        <f aca="false">IF(AND(R1441=1,ISNUMBER(T1441)),E1441-T1441,"")</f>
        <v>-2.4584379450642</v>
      </c>
      <c r="V1441" s="84" t="n">
        <f aca="false">IF(ISNUMBER(T1441),T1441,-99)</f>
        <v>18.9584379450642</v>
      </c>
      <c r="W1441" s="84" t="n">
        <f aca="false">IF(ISNUMBER(U1441),ABS(U1441),"")</f>
        <v>2.4584379450642</v>
      </c>
    </row>
    <row r="1442" customFormat="false" ht="15" hidden="false" customHeight="false" outlineLevel="0" collapsed="false">
      <c r="A1442" s="57" t="n">
        <v>32327</v>
      </c>
      <c r="B1442" s="56" t="n">
        <v>1988</v>
      </c>
      <c r="C1442" s="56" t="n">
        <v>7</v>
      </c>
      <c r="D1442" s="56" t="n">
        <v>64</v>
      </c>
      <c r="E1442" s="56" t="n">
        <v>17.1</v>
      </c>
      <c r="F1442" s="56" t="n">
        <v>0</v>
      </c>
      <c r="G1442" s="56" t="n">
        <v>8.6</v>
      </c>
      <c r="H1442" s="56" t="n">
        <v>0</v>
      </c>
      <c r="I1442" s="56" t="n">
        <v>12.6</v>
      </c>
      <c r="J1442" s="56" t="n">
        <v>0</v>
      </c>
      <c r="K1442" s="56" t="n">
        <v>988.9</v>
      </c>
      <c r="L1442" s="56" t="n">
        <v>0</v>
      </c>
      <c r="M1442" s="56" t="n">
        <v>89</v>
      </c>
      <c r="N1442" s="56" t="n">
        <v>1.9</v>
      </c>
      <c r="O1442" s="56" t="n">
        <f aca="false">IF(D1442=1,"",E1441)</f>
        <v>16.5</v>
      </c>
      <c r="P1442" s="56" t="n">
        <f aca="false">IF(OR(D1442=1,K1441=""),"",K1441)</f>
        <v>995.6</v>
      </c>
      <c r="Q1442" s="56" t="n">
        <f aca="false">IF(OR(F1442&lt;&gt;0,AND(I1442&lt;&gt;"",E1442&lt;I1442)),1,0)</f>
        <v>0</v>
      </c>
      <c r="R1442" s="56" t="n">
        <f aca="false">IF(AND(D1442&gt;1,Q1442=0,ISNUMBER(O1442),ISNUMBER(P1442)),IF(Q1441=0,1,0),0)</f>
        <v>1</v>
      </c>
      <c r="S1442" s="56" t="n">
        <f aca="false">R1442*(B1442&gt;=Train_Start)*(B1442&lt;=Train_End)</f>
        <v>1</v>
      </c>
      <c r="T1442" s="84" t="n">
        <f aca="false">IF(AND(ISNUMBER(O1442),ISNUMBER(P1442)),Coef_A+Coef_B1*O1442+Coef_B2*P1442,"")</f>
        <v>16.8379392047994</v>
      </c>
      <c r="U1442" s="84" t="n">
        <f aca="false">IF(AND(R1442=1,ISNUMBER(T1442)),E1442-T1442,"")</f>
        <v>0.262060795200611</v>
      </c>
      <c r="V1442" s="84" t="n">
        <f aca="false">IF(ISNUMBER(T1442),T1442,-99)</f>
        <v>16.8379392047994</v>
      </c>
      <c r="W1442" s="84" t="n">
        <f aca="false">IF(ISNUMBER(U1442),ABS(U1442),"")</f>
        <v>0.262060795200611</v>
      </c>
    </row>
    <row r="1443" customFormat="false" ht="15" hidden="false" customHeight="false" outlineLevel="0" collapsed="false">
      <c r="A1443" s="57" t="n">
        <v>32328</v>
      </c>
      <c r="B1443" s="56" t="n">
        <v>1988</v>
      </c>
      <c r="C1443" s="56" t="n">
        <v>7</v>
      </c>
      <c r="D1443" s="56" t="n">
        <v>65</v>
      </c>
      <c r="E1443" s="56" t="n">
        <v>21.4</v>
      </c>
      <c r="F1443" s="56" t="n">
        <v>0</v>
      </c>
      <c r="G1443" s="56" t="n">
        <v>12.7</v>
      </c>
      <c r="H1443" s="56" t="n">
        <v>0</v>
      </c>
      <c r="I1443" s="56" t="n">
        <v>14.9</v>
      </c>
      <c r="J1443" s="56" t="n">
        <v>0</v>
      </c>
      <c r="K1443" s="56" t="n">
        <v>993.4</v>
      </c>
      <c r="L1443" s="56" t="n">
        <v>0</v>
      </c>
      <c r="M1443" s="56" t="n">
        <v>85</v>
      </c>
      <c r="N1443" s="56" t="n">
        <v>0.9</v>
      </c>
      <c r="O1443" s="56" t="n">
        <f aca="false">IF(D1443=1,"",E1442)</f>
        <v>17.1</v>
      </c>
      <c r="P1443" s="56" t="n">
        <f aca="false">IF(OR(D1443=1,K1442=""),"",K1442)</f>
        <v>988.9</v>
      </c>
      <c r="Q1443" s="56" t="n">
        <f aca="false">IF(OR(F1443&lt;&gt;0,AND(I1443&lt;&gt;"",E1443&lt;I1443)),1,0)</f>
        <v>0</v>
      </c>
      <c r="R1443" s="56" t="n">
        <f aca="false">IF(AND(D1443&gt;1,Q1443=0,ISNUMBER(O1443),ISNUMBER(P1443)),IF(Q1442=0,1,0),0)</f>
        <v>1</v>
      </c>
      <c r="S1443" s="56" t="n">
        <f aca="false">R1443*(B1443&gt;=Train_Start)*(B1443&lt;=Train_End)</f>
        <v>1</v>
      </c>
      <c r="T1443" s="84" t="n">
        <f aca="false">IF(AND(ISNUMBER(O1443),ISNUMBER(P1443)),Coef_A+Coef_B1*O1443+Coef_B2*P1443,"")</f>
        <v>17.1193644265773</v>
      </c>
      <c r="U1443" s="84" t="n">
        <f aca="false">IF(AND(R1443=1,ISNUMBER(T1443)),E1443-T1443,"")</f>
        <v>4.28063557342274</v>
      </c>
      <c r="V1443" s="84" t="n">
        <f aca="false">IF(ISNUMBER(T1443),T1443,-99)</f>
        <v>17.1193644265773</v>
      </c>
      <c r="W1443" s="84" t="n">
        <f aca="false">IF(ISNUMBER(U1443),ABS(U1443),"")</f>
        <v>4.28063557342274</v>
      </c>
    </row>
    <row r="1444" customFormat="false" ht="15" hidden="false" customHeight="false" outlineLevel="0" collapsed="false">
      <c r="A1444" s="57" t="n">
        <v>32329</v>
      </c>
      <c r="B1444" s="56" t="n">
        <v>1988</v>
      </c>
      <c r="C1444" s="56" t="n">
        <v>7</v>
      </c>
      <c r="D1444" s="56" t="n">
        <v>66</v>
      </c>
      <c r="E1444" s="56" t="n">
        <v>19.5</v>
      </c>
      <c r="F1444" s="56" t="n">
        <v>0</v>
      </c>
      <c r="G1444" s="56" t="n">
        <v>12.3</v>
      </c>
      <c r="H1444" s="56" t="n">
        <v>0</v>
      </c>
      <c r="I1444" s="56" t="n">
        <v>16.8</v>
      </c>
      <c r="J1444" s="56" t="n">
        <v>0</v>
      </c>
      <c r="K1444" s="56" t="n">
        <v>1002</v>
      </c>
      <c r="L1444" s="56" t="n">
        <v>0</v>
      </c>
      <c r="M1444" s="56" t="n">
        <v>78</v>
      </c>
      <c r="N1444" s="56" t="n">
        <v>7.6</v>
      </c>
      <c r="O1444" s="56" t="n">
        <f aca="false">IF(D1444=1,"",E1443)</f>
        <v>21.4</v>
      </c>
      <c r="P1444" s="56" t="n">
        <f aca="false">IF(OR(D1444=1,K1443=""),"",K1443)</f>
        <v>993.4</v>
      </c>
      <c r="Q1444" s="56" t="n">
        <f aca="false">IF(OR(F1444&lt;&gt;0,AND(I1444&lt;&gt;"",E1444&lt;I1444)),1,0)</f>
        <v>0</v>
      </c>
      <c r="R1444" s="56" t="n">
        <f aca="false">IF(AND(D1444&gt;1,Q1444=0,ISNUMBER(O1444),ISNUMBER(P1444)),IF(Q1443=0,1,0),0)</f>
        <v>1</v>
      </c>
      <c r="S1444" s="56" t="n">
        <f aca="false">R1444*(B1444&gt;=Train_Start)*(B1444&lt;=Train_End)</f>
        <v>1</v>
      </c>
      <c r="T1444" s="84" t="n">
        <f aca="false">IF(AND(ISNUMBER(O1444),ISNUMBER(P1444)),Coef_A+Coef_B1*O1444+Coef_B2*P1444,"")</f>
        <v>20.7836874825136</v>
      </c>
      <c r="U1444" s="84" t="n">
        <f aca="false">IF(AND(R1444=1,ISNUMBER(T1444)),E1444-T1444,"")</f>
        <v>-1.28368748251363</v>
      </c>
      <c r="V1444" s="84" t="n">
        <f aca="false">IF(ISNUMBER(T1444),T1444,-99)</f>
        <v>20.7836874825136</v>
      </c>
      <c r="W1444" s="84" t="n">
        <f aca="false">IF(ISNUMBER(U1444),ABS(U1444),"")</f>
        <v>1.28368748251363</v>
      </c>
    </row>
    <row r="1445" customFormat="false" ht="15" hidden="false" customHeight="false" outlineLevel="0" collapsed="false">
      <c r="A1445" s="57" t="n">
        <v>32330</v>
      </c>
      <c r="B1445" s="56" t="n">
        <v>1988</v>
      </c>
      <c r="C1445" s="56" t="n">
        <v>7</v>
      </c>
      <c r="D1445" s="56" t="n">
        <v>67</v>
      </c>
      <c r="E1445" s="56" t="n">
        <v>19.4</v>
      </c>
      <c r="F1445" s="56" t="n">
        <v>0</v>
      </c>
      <c r="G1445" s="56" t="n">
        <v>11.8</v>
      </c>
      <c r="H1445" s="56" t="n">
        <v>0</v>
      </c>
      <c r="I1445" s="56" t="n">
        <v>15.6</v>
      </c>
      <c r="J1445" s="56" t="n">
        <v>0</v>
      </c>
      <c r="K1445" s="56" t="n">
        <v>1009.3</v>
      </c>
      <c r="L1445" s="56" t="n">
        <v>0</v>
      </c>
      <c r="M1445" s="56" t="n">
        <v>78</v>
      </c>
      <c r="N1445" s="56" t="n">
        <v>8.1</v>
      </c>
      <c r="O1445" s="56" t="n">
        <f aca="false">IF(D1445=1,"",E1444)</f>
        <v>19.5</v>
      </c>
      <c r="P1445" s="56" t="n">
        <f aca="false">IF(OR(D1445=1,K1444=""),"",K1444)</f>
        <v>1002</v>
      </c>
      <c r="Q1445" s="56" t="n">
        <f aca="false">IF(OR(F1445&lt;&gt;0,AND(I1445&lt;&gt;"",E1445&lt;I1445)),1,0)</f>
        <v>0</v>
      </c>
      <c r="R1445" s="56" t="n">
        <f aca="false">IF(AND(D1445&gt;1,Q1445=0,ISNUMBER(O1445),ISNUMBER(P1445)),IF(Q1444=0,1,0),0)</f>
        <v>1</v>
      </c>
      <c r="S1445" s="56" t="n">
        <f aca="false">R1445*(B1445&gt;=Train_Start)*(B1445&lt;=Train_End)</f>
        <v>1</v>
      </c>
      <c r="T1445" s="84" t="n">
        <f aca="false">IF(AND(ISNUMBER(O1445),ISNUMBER(P1445)),Coef_A+Coef_B1*O1445+Coef_B2*P1445,"")</f>
        <v>19.4967241095849</v>
      </c>
      <c r="U1445" s="84" t="n">
        <f aca="false">IF(AND(R1445=1,ISNUMBER(T1445)),E1445-T1445,"")</f>
        <v>-0.0967241095848905</v>
      </c>
      <c r="V1445" s="84" t="n">
        <f aca="false">IF(ISNUMBER(T1445),T1445,-99)</f>
        <v>19.4967241095849</v>
      </c>
      <c r="W1445" s="84" t="n">
        <f aca="false">IF(ISNUMBER(U1445),ABS(U1445),"")</f>
        <v>0.0967241095848905</v>
      </c>
    </row>
    <row r="1446" customFormat="false" ht="15" hidden="false" customHeight="false" outlineLevel="0" collapsed="false">
      <c r="A1446" s="57" t="n">
        <v>32331</v>
      </c>
      <c r="B1446" s="56" t="n">
        <v>1988</v>
      </c>
      <c r="C1446" s="56" t="n">
        <v>7</v>
      </c>
      <c r="D1446" s="56" t="n">
        <v>68</v>
      </c>
      <c r="E1446" s="56" t="n">
        <v>20.2</v>
      </c>
      <c r="F1446" s="56" t="n">
        <v>0</v>
      </c>
      <c r="G1446" s="56" t="n">
        <v>12.2</v>
      </c>
      <c r="H1446" s="56" t="n">
        <v>0</v>
      </c>
      <c r="I1446" s="56" t="n">
        <v>15.8</v>
      </c>
      <c r="J1446" s="56" t="n">
        <v>0</v>
      </c>
      <c r="K1446" s="56" t="n">
        <v>1014.3</v>
      </c>
      <c r="L1446" s="56" t="n">
        <v>0</v>
      </c>
      <c r="M1446" s="56" t="n">
        <v>72</v>
      </c>
      <c r="N1446" s="56" t="n">
        <v>7.9</v>
      </c>
      <c r="O1446" s="56" t="n">
        <f aca="false">IF(D1446=1,"",E1445)</f>
        <v>19.4</v>
      </c>
      <c r="P1446" s="56" t="n">
        <f aca="false">IF(OR(D1446=1,K1445=""),"",K1445)</f>
        <v>1009.3</v>
      </c>
      <c r="Q1446" s="56" t="n">
        <f aca="false">IF(OR(F1446&lt;&gt;0,AND(I1446&lt;&gt;"",E1446&lt;I1446)),1,0)</f>
        <v>0</v>
      </c>
      <c r="R1446" s="56" t="n">
        <f aca="false">IF(AND(D1446&gt;1,Q1446=0,ISNUMBER(O1446),ISNUMBER(P1446)),IF(Q1445=0,1,0),0)</f>
        <v>1</v>
      </c>
      <c r="S1446" s="56" t="n">
        <f aca="false">R1446*(B1446&gt;=Train_Start)*(B1446&lt;=Train_End)</f>
        <v>1</v>
      </c>
      <c r="T1446" s="84" t="n">
        <f aca="false">IF(AND(ISNUMBER(O1446),ISNUMBER(P1446)),Coef_A+Coef_B1*O1446+Coef_B2*P1446,"")</f>
        <v>19.6437904211087</v>
      </c>
      <c r="U1446" s="84" t="n">
        <f aca="false">IF(AND(R1446=1,ISNUMBER(T1446)),E1446-T1446,"")</f>
        <v>0.556209578891256</v>
      </c>
      <c r="V1446" s="84" t="n">
        <f aca="false">IF(ISNUMBER(T1446),T1446,-99)</f>
        <v>19.6437904211087</v>
      </c>
      <c r="W1446" s="84" t="n">
        <f aca="false">IF(ISNUMBER(U1446),ABS(U1446),"")</f>
        <v>0.556209578891256</v>
      </c>
    </row>
    <row r="1447" customFormat="false" ht="15" hidden="false" customHeight="false" outlineLevel="0" collapsed="false">
      <c r="A1447" s="57" t="n">
        <v>32332</v>
      </c>
      <c r="B1447" s="56" t="n">
        <v>1988</v>
      </c>
      <c r="C1447" s="56" t="n">
        <v>7</v>
      </c>
      <c r="D1447" s="56" t="n">
        <v>69</v>
      </c>
      <c r="E1447" s="56" t="n">
        <v>19.9</v>
      </c>
      <c r="F1447" s="56" t="n">
        <v>0</v>
      </c>
      <c r="G1447" s="56" t="n">
        <v>11.4</v>
      </c>
      <c r="H1447" s="56" t="n">
        <v>0</v>
      </c>
      <c r="I1447" s="56" t="n">
        <v>15.8</v>
      </c>
      <c r="J1447" s="56" t="n">
        <v>0</v>
      </c>
      <c r="K1447" s="56" t="n">
        <v>1014.7</v>
      </c>
      <c r="L1447" s="56" t="n">
        <v>0</v>
      </c>
      <c r="M1447" s="56" t="n">
        <v>65</v>
      </c>
      <c r="N1447" s="56" t="n">
        <v>9.2</v>
      </c>
      <c r="O1447" s="56" t="n">
        <f aca="false">IF(D1447=1,"",E1446)</f>
        <v>20.2</v>
      </c>
      <c r="P1447" s="56" t="n">
        <f aca="false">IF(OR(D1447=1,K1446=""),"",K1446)</f>
        <v>1014.3</v>
      </c>
      <c r="Q1447" s="56" t="n">
        <f aca="false">IF(OR(F1447&lt;&gt;0,AND(I1447&lt;&gt;"",E1447&lt;I1447)),1,0)</f>
        <v>0</v>
      </c>
      <c r="R1447" s="56" t="n">
        <f aca="false">IF(AND(D1447&gt;1,Q1447=0,ISNUMBER(O1447),ISNUMBER(P1447)),IF(Q1446=0,1,0),0)</f>
        <v>1</v>
      </c>
      <c r="S1447" s="56" t="n">
        <f aca="false">R1447*(B1447&gt;=Train_Start)*(B1447&lt;=Train_End)</f>
        <v>1</v>
      </c>
      <c r="T1447" s="84" t="n">
        <f aca="false">IF(AND(ISNUMBER(O1447),ISNUMBER(P1447)),Coef_A+Coef_B1*O1447+Coef_B2*P1447,"")</f>
        <v>20.4561112487128</v>
      </c>
      <c r="U1447" s="84" t="n">
        <f aca="false">IF(AND(R1447=1,ISNUMBER(T1447)),E1447-T1447,"")</f>
        <v>-0.556111248712821</v>
      </c>
      <c r="V1447" s="84" t="n">
        <f aca="false">IF(ISNUMBER(T1447),T1447,-99)</f>
        <v>20.4561112487128</v>
      </c>
      <c r="W1447" s="84" t="n">
        <f aca="false">IF(ISNUMBER(U1447),ABS(U1447),"")</f>
        <v>0.556111248712821</v>
      </c>
    </row>
    <row r="1448" customFormat="false" ht="15" hidden="false" customHeight="false" outlineLevel="0" collapsed="false">
      <c r="A1448" s="57" t="n">
        <v>32333</v>
      </c>
      <c r="B1448" s="56" t="n">
        <v>1988</v>
      </c>
      <c r="C1448" s="56" t="n">
        <v>7</v>
      </c>
      <c r="D1448" s="56" t="n">
        <v>70</v>
      </c>
      <c r="E1448" s="56" t="n">
        <v>18.6</v>
      </c>
      <c r="F1448" s="56" t="n">
        <v>0</v>
      </c>
      <c r="G1448" s="56" t="n">
        <v>9.7</v>
      </c>
      <c r="H1448" s="56" t="n">
        <v>0</v>
      </c>
      <c r="I1448" s="56" t="n">
        <v>14.8</v>
      </c>
      <c r="J1448" s="56" t="n">
        <v>0</v>
      </c>
      <c r="K1448" s="56" t="n">
        <v>1018.3</v>
      </c>
      <c r="L1448" s="56" t="n">
        <v>0</v>
      </c>
      <c r="M1448" s="56" t="n">
        <v>72</v>
      </c>
      <c r="N1448" s="56" t="n">
        <v>6.3</v>
      </c>
      <c r="O1448" s="56" t="n">
        <f aca="false">IF(D1448=1,"",E1447)</f>
        <v>19.9</v>
      </c>
      <c r="P1448" s="56" t="n">
        <f aca="false">IF(OR(D1448=1,K1447=""),"",K1447)</f>
        <v>1014.7</v>
      </c>
      <c r="Q1448" s="56" t="n">
        <f aca="false">IF(OR(F1448&lt;&gt;0,AND(I1448&lt;&gt;"",E1448&lt;I1448)),1,0)</f>
        <v>0</v>
      </c>
      <c r="R1448" s="56" t="n">
        <f aca="false">IF(AND(D1448&gt;1,Q1448=0,ISNUMBER(O1448),ISNUMBER(P1448)),IF(Q1447=0,1,0),0)</f>
        <v>1</v>
      </c>
      <c r="S1448" s="56" t="n">
        <f aca="false">R1448*(B1448&gt;=Train_Start)*(B1448&lt;=Train_End)</f>
        <v>1</v>
      </c>
      <c r="T1448" s="84" t="n">
        <f aca="false">IF(AND(ISNUMBER(O1448),ISNUMBER(P1448)),Coef_A+Coef_B1*O1448+Coef_B2*P1448,"")</f>
        <v>20.2228574486536</v>
      </c>
      <c r="U1448" s="84" t="n">
        <f aca="false">IF(AND(R1448=1,ISNUMBER(T1448)),E1448-T1448,"")</f>
        <v>-1.62285744865362</v>
      </c>
      <c r="V1448" s="84" t="n">
        <f aca="false">IF(ISNUMBER(T1448),T1448,-99)</f>
        <v>20.2228574486536</v>
      </c>
      <c r="W1448" s="84" t="n">
        <f aca="false">IF(ISNUMBER(U1448),ABS(U1448),"")</f>
        <v>1.62285744865362</v>
      </c>
    </row>
    <row r="1449" customFormat="false" ht="15" hidden="false" customHeight="false" outlineLevel="0" collapsed="false">
      <c r="A1449" s="57" t="n">
        <v>32334</v>
      </c>
      <c r="B1449" s="56" t="n">
        <v>1988</v>
      </c>
      <c r="C1449" s="56" t="n">
        <v>7</v>
      </c>
      <c r="D1449" s="56" t="n">
        <v>71</v>
      </c>
      <c r="E1449" s="56" t="n">
        <v>20.7</v>
      </c>
      <c r="F1449" s="56" t="n">
        <v>0</v>
      </c>
      <c r="G1449" s="56" t="n">
        <v>14.5</v>
      </c>
      <c r="H1449" s="56" t="n">
        <v>0</v>
      </c>
      <c r="I1449" s="56" t="n">
        <v>16.6</v>
      </c>
      <c r="J1449" s="56" t="n">
        <v>0</v>
      </c>
      <c r="K1449" s="56" t="n">
        <v>1014.8</v>
      </c>
      <c r="L1449" s="56" t="n">
        <v>0</v>
      </c>
      <c r="M1449" s="56" t="n">
        <v>84</v>
      </c>
      <c r="N1449" s="56" t="n">
        <v>0</v>
      </c>
      <c r="O1449" s="56" t="n">
        <f aca="false">IF(D1449=1,"",E1448)</f>
        <v>18.6</v>
      </c>
      <c r="P1449" s="56" t="n">
        <f aca="false">IF(OR(D1449=1,K1448=""),"",K1448)</f>
        <v>1018.3</v>
      </c>
      <c r="Q1449" s="56" t="n">
        <f aca="false">IF(OR(F1449&lt;&gt;0,AND(I1449&lt;&gt;"",E1449&lt;I1449)),1,0)</f>
        <v>0</v>
      </c>
      <c r="R1449" s="56" t="n">
        <f aca="false">IF(AND(D1449&gt;1,Q1449=0,ISNUMBER(O1449),ISNUMBER(P1449)),IF(Q1448=0,1,0),0)</f>
        <v>1</v>
      </c>
      <c r="S1449" s="56" t="n">
        <f aca="false">R1449*(B1449&gt;=Train_Start)*(B1449&lt;=Train_End)</f>
        <v>1</v>
      </c>
      <c r="T1449" s="84" t="n">
        <f aca="false">IF(AND(ISNUMBER(O1449),ISNUMBER(P1449)),Coef_A+Coef_B1*O1449+Coef_B2*P1449,"")</f>
        <v>19.2706481183805</v>
      </c>
      <c r="U1449" s="84" t="n">
        <f aca="false">IF(AND(R1449=1,ISNUMBER(T1449)),E1449-T1449,"")</f>
        <v>1.42935188161947</v>
      </c>
      <c r="V1449" s="84" t="n">
        <f aca="false">IF(ISNUMBER(T1449),T1449,-99)</f>
        <v>19.2706481183805</v>
      </c>
      <c r="W1449" s="84" t="n">
        <f aca="false">IF(ISNUMBER(U1449),ABS(U1449),"")</f>
        <v>1.42935188161947</v>
      </c>
    </row>
    <row r="1450" customFormat="false" ht="15" hidden="false" customHeight="false" outlineLevel="0" collapsed="false">
      <c r="A1450" s="57" t="n">
        <v>32335</v>
      </c>
      <c r="B1450" s="56" t="n">
        <v>1988</v>
      </c>
      <c r="C1450" s="56" t="n">
        <v>7</v>
      </c>
      <c r="D1450" s="56" t="n">
        <v>72</v>
      </c>
      <c r="E1450" s="56" t="n">
        <v>20.5</v>
      </c>
      <c r="F1450" s="56" t="n">
        <v>0</v>
      </c>
      <c r="G1450" s="56" t="n">
        <v>11.6</v>
      </c>
      <c r="H1450" s="56" t="n">
        <v>0</v>
      </c>
      <c r="I1450" s="56" t="n">
        <v>16.2</v>
      </c>
      <c r="J1450" s="56" t="n">
        <v>0</v>
      </c>
      <c r="K1450" s="56" t="n">
        <v>1015.9</v>
      </c>
      <c r="L1450" s="56" t="n">
        <v>0</v>
      </c>
      <c r="M1450" s="56" t="n">
        <v>74</v>
      </c>
      <c r="N1450" s="56" t="n">
        <v>12.8</v>
      </c>
      <c r="O1450" s="56" t="n">
        <f aca="false">IF(D1450=1,"",E1449)</f>
        <v>20.7</v>
      </c>
      <c r="P1450" s="56" t="n">
        <f aca="false">IF(OR(D1450=1,K1449=""),"",K1449)</f>
        <v>1014.8</v>
      </c>
      <c r="Q1450" s="56" t="n">
        <f aca="false">IF(OR(F1450&lt;&gt;0,AND(I1450&lt;&gt;"",E1450&lt;I1450)),1,0)</f>
        <v>0</v>
      </c>
      <c r="R1450" s="56" t="n">
        <f aca="false">IF(AND(D1450&gt;1,Q1450=0,ISNUMBER(O1450),ISNUMBER(P1450)),IF(Q1449=0,1,0),0)</f>
        <v>1</v>
      </c>
      <c r="S1450" s="56" t="n">
        <f aca="false">R1450*(B1450&gt;=Train_Start)*(B1450&lt;=Train_End)</f>
        <v>1</v>
      </c>
      <c r="T1450" s="84" t="n">
        <f aca="false">IF(AND(ISNUMBER(O1450),ISNUMBER(P1450)),Coef_A+Coef_B1*O1450+Coef_B2*P1450,"")</f>
        <v>20.8814657925511</v>
      </c>
      <c r="U1450" s="84" t="n">
        <f aca="false">IF(AND(R1450=1,ISNUMBER(T1450)),E1450-T1450,"")</f>
        <v>-0.381465792551143</v>
      </c>
      <c r="V1450" s="84" t="n">
        <f aca="false">IF(ISNUMBER(T1450),T1450,-99)</f>
        <v>20.8814657925511</v>
      </c>
      <c r="W1450" s="84" t="n">
        <f aca="false">IF(ISNUMBER(U1450),ABS(U1450),"")</f>
        <v>0.381465792551143</v>
      </c>
    </row>
    <row r="1451" customFormat="false" ht="15" hidden="false" customHeight="false" outlineLevel="0" collapsed="false">
      <c r="A1451" s="57" t="n">
        <v>32336</v>
      </c>
      <c r="B1451" s="56" t="n">
        <v>1988</v>
      </c>
      <c r="C1451" s="56" t="n">
        <v>7</v>
      </c>
      <c r="D1451" s="56" t="n">
        <v>73</v>
      </c>
      <c r="E1451" s="56" t="n">
        <v>19.5</v>
      </c>
      <c r="F1451" s="56" t="n">
        <v>0</v>
      </c>
      <c r="G1451" s="56" t="n">
        <v>10.3</v>
      </c>
      <c r="H1451" s="56" t="n">
        <v>0</v>
      </c>
      <c r="I1451" s="56" t="n">
        <v>15.4</v>
      </c>
      <c r="J1451" s="56" t="n">
        <v>0</v>
      </c>
      <c r="K1451" s="56" t="n">
        <v>1017.9</v>
      </c>
      <c r="L1451" s="56" t="n">
        <v>0</v>
      </c>
      <c r="M1451" s="56" t="n">
        <v>73</v>
      </c>
      <c r="N1451" s="56" t="n">
        <v>3.8</v>
      </c>
      <c r="O1451" s="56" t="n">
        <f aca="false">IF(D1451=1,"",E1450)</f>
        <v>20.5</v>
      </c>
      <c r="P1451" s="56" t="n">
        <f aca="false">IF(OR(D1451=1,K1450=""),"",K1450)</f>
        <v>1015.9</v>
      </c>
      <c r="Q1451" s="56" t="n">
        <f aca="false">IF(OR(F1451&lt;&gt;0,AND(I1451&lt;&gt;"",E1451&lt;I1451)),1,0)</f>
        <v>0</v>
      </c>
      <c r="R1451" s="56" t="n">
        <f aca="false">IF(AND(D1451&gt;1,Q1451=0,ISNUMBER(O1451),ISNUMBER(P1451)),IF(Q1450=0,1,0),0)</f>
        <v>1</v>
      </c>
      <c r="S1451" s="56" t="n">
        <f aca="false">R1451*(B1451&gt;=Train_Start)*(B1451&lt;=Train_End)</f>
        <v>1</v>
      </c>
      <c r="T1451" s="84" t="n">
        <f aca="false">IF(AND(ISNUMBER(O1451),ISNUMBER(P1451)),Coef_A+Coef_B1*O1451+Coef_B2*P1451,"")</f>
        <v>20.75210483804</v>
      </c>
      <c r="U1451" s="84" t="n">
        <f aca="false">IF(AND(R1451=1,ISNUMBER(T1451)),E1451-T1451,"")</f>
        <v>-1.25210483804</v>
      </c>
      <c r="V1451" s="84" t="n">
        <f aca="false">IF(ISNUMBER(T1451),T1451,-99)</f>
        <v>20.75210483804</v>
      </c>
      <c r="W1451" s="84" t="n">
        <f aca="false">IF(ISNUMBER(U1451),ABS(U1451),"")</f>
        <v>1.25210483804</v>
      </c>
    </row>
    <row r="1452" customFormat="false" ht="15" hidden="false" customHeight="false" outlineLevel="0" collapsed="false">
      <c r="A1452" s="57" t="n">
        <v>32337</v>
      </c>
      <c r="B1452" s="56" t="n">
        <v>1988</v>
      </c>
      <c r="C1452" s="56" t="n">
        <v>7</v>
      </c>
      <c r="D1452" s="56" t="n">
        <v>74</v>
      </c>
      <c r="E1452" s="56" t="n">
        <v>17.6</v>
      </c>
      <c r="F1452" s="56" t="n">
        <v>0</v>
      </c>
      <c r="G1452" s="56" t="n">
        <v>12.6</v>
      </c>
      <c r="H1452" s="56" t="n">
        <v>0</v>
      </c>
      <c r="I1452" s="56" t="n">
        <v>16</v>
      </c>
      <c r="J1452" s="56" t="n">
        <v>0</v>
      </c>
      <c r="K1452" s="56" t="n">
        <v>1005.4</v>
      </c>
      <c r="L1452" s="56" t="n">
        <v>0</v>
      </c>
      <c r="M1452" s="56" t="n">
        <v>85</v>
      </c>
      <c r="N1452" s="56" t="n">
        <v>2.7</v>
      </c>
      <c r="O1452" s="56" t="n">
        <f aca="false">IF(D1452=1,"",E1451)</f>
        <v>19.5</v>
      </c>
      <c r="P1452" s="56" t="n">
        <f aca="false">IF(OR(D1452=1,K1451=""),"",K1451)</f>
        <v>1017.9</v>
      </c>
      <c r="Q1452" s="56" t="n">
        <f aca="false">IF(OR(F1452&lt;&gt;0,AND(I1452&lt;&gt;"",E1452&lt;I1452)),1,0)</f>
        <v>0</v>
      </c>
      <c r="R1452" s="56" t="n">
        <f aca="false">IF(AND(D1452&gt;1,Q1452=0,ISNUMBER(O1452),ISNUMBER(P1452)),IF(Q1451=0,1,0),0)</f>
        <v>1</v>
      </c>
      <c r="S1452" s="56" t="n">
        <f aca="false">R1452*(B1452&gt;=Train_Start)*(B1452&lt;=Train_End)</f>
        <v>1</v>
      </c>
      <c r="T1452" s="84" t="n">
        <f aca="false">IF(AND(ISNUMBER(O1452),ISNUMBER(P1452)),Coef_A+Coef_B1*O1452+Coef_B2*P1452,"")</f>
        <v>19.9955054342653</v>
      </c>
      <c r="U1452" s="84" t="n">
        <f aca="false">IF(AND(R1452=1,ISNUMBER(T1452)),E1452-T1452,"")</f>
        <v>-2.39550543426532</v>
      </c>
      <c r="V1452" s="84" t="n">
        <f aca="false">IF(ISNUMBER(T1452),T1452,-99)</f>
        <v>19.9955054342653</v>
      </c>
      <c r="W1452" s="84" t="n">
        <f aca="false">IF(ISNUMBER(U1452),ABS(U1452),"")</f>
        <v>2.39550543426532</v>
      </c>
    </row>
    <row r="1453" customFormat="false" ht="15" hidden="false" customHeight="false" outlineLevel="0" collapsed="false">
      <c r="A1453" s="57" t="n">
        <v>32338</v>
      </c>
      <c r="B1453" s="56" t="n">
        <v>1988</v>
      </c>
      <c r="C1453" s="56" t="n">
        <v>7</v>
      </c>
      <c r="D1453" s="56" t="n">
        <v>75</v>
      </c>
      <c r="E1453" s="56" t="n">
        <v>20.3</v>
      </c>
      <c r="F1453" s="56" t="n">
        <v>0</v>
      </c>
      <c r="G1453" s="56" t="n">
        <v>10.1</v>
      </c>
      <c r="H1453" s="56" t="n">
        <v>0</v>
      </c>
      <c r="I1453" s="56" t="n">
        <v>13.8</v>
      </c>
      <c r="J1453" s="56" t="n">
        <v>0</v>
      </c>
      <c r="K1453" s="56" t="n">
        <v>1012.7</v>
      </c>
      <c r="L1453" s="56" t="n">
        <v>0</v>
      </c>
      <c r="M1453" s="56" t="n">
        <v>79</v>
      </c>
      <c r="N1453" s="56" t="n">
        <v>1.4</v>
      </c>
      <c r="O1453" s="56" t="n">
        <f aca="false">IF(D1453=1,"",E1452)</f>
        <v>17.6</v>
      </c>
      <c r="P1453" s="56" t="n">
        <f aca="false">IF(OR(D1453=1,K1452=""),"",K1452)</f>
        <v>1005.4</v>
      </c>
      <c r="Q1453" s="56" t="n">
        <f aca="false">IF(OR(F1453&lt;&gt;0,AND(I1453&lt;&gt;"",E1453&lt;I1453)),1,0)</f>
        <v>0</v>
      </c>
      <c r="R1453" s="56" t="n">
        <f aca="false">IF(AND(D1453&gt;1,Q1453=0,ISNUMBER(O1453),ISNUMBER(P1453)),IF(Q1452=0,1,0),0)</f>
        <v>1</v>
      </c>
      <c r="S1453" s="56" t="n">
        <f aca="false">R1453*(B1453&gt;=Train_Start)*(B1453&lt;=Train_End)</f>
        <v>1</v>
      </c>
      <c r="T1453" s="84" t="n">
        <f aca="false">IF(AND(ISNUMBER(O1453),ISNUMBER(P1453)),Coef_A+Coef_B1*O1453+Coef_B2*P1453,"")</f>
        <v>18.0466372845594</v>
      </c>
      <c r="U1453" s="84" t="n">
        <f aca="false">IF(AND(R1453=1,ISNUMBER(T1453)),E1453-T1453,"")</f>
        <v>2.25336271544059</v>
      </c>
      <c r="V1453" s="84" t="n">
        <f aca="false">IF(ISNUMBER(T1453),T1453,-99)</f>
        <v>18.0466372845594</v>
      </c>
      <c r="W1453" s="84" t="n">
        <f aca="false">IF(ISNUMBER(U1453),ABS(U1453),"")</f>
        <v>2.25336271544059</v>
      </c>
    </row>
    <row r="1454" customFormat="false" ht="15" hidden="false" customHeight="false" outlineLevel="0" collapsed="false">
      <c r="A1454" s="57" t="n">
        <v>32339</v>
      </c>
      <c r="B1454" s="56" t="n">
        <v>1988</v>
      </c>
      <c r="C1454" s="56" t="n">
        <v>7</v>
      </c>
      <c r="D1454" s="56" t="n">
        <v>76</v>
      </c>
      <c r="E1454" s="56" t="n">
        <v>18.1</v>
      </c>
      <c r="F1454" s="56" t="n">
        <v>0</v>
      </c>
      <c r="G1454" s="56" t="n">
        <v>12.9</v>
      </c>
      <c r="H1454" s="56" t="n">
        <v>0</v>
      </c>
      <c r="I1454" s="56" t="n">
        <v>16.6</v>
      </c>
      <c r="J1454" s="56" t="n">
        <v>0</v>
      </c>
      <c r="K1454" s="56" t="n">
        <v>1020.1</v>
      </c>
      <c r="L1454" s="56" t="n">
        <v>0</v>
      </c>
      <c r="M1454" s="56" t="n">
        <v>75</v>
      </c>
      <c r="N1454" s="56" t="n">
        <v>6.6</v>
      </c>
      <c r="O1454" s="56" t="n">
        <f aca="false">IF(D1454=1,"",E1453)</f>
        <v>20.3</v>
      </c>
      <c r="P1454" s="56" t="n">
        <f aca="false">IF(OR(D1454=1,K1453=""),"",K1453)</f>
        <v>1012.7</v>
      </c>
      <c r="Q1454" s="56" t="n">
        <f aca="false">IF(OR(F1454&lt;&gt;0,AND(I1454&lt;&gt;"",E1454&lt;I1454)),1,0)</f>
        <v>0</v>
      </c>
      <c r="R1454" s="56" t="n">
        <f aca="false">IF(AND(D1454&gt;1,Q1454=0,ISNUMBER(O1454),ISNUMBER(P1454)),IF(Q1453=0,1,0),0)</f>
        <v>1</v>
      </c>
      <c r="S1454" s="56" t="n">
        <f aca="false">R1454*(B1454&gt;=Train_Start)*(B1454&lt;=Train_End)</f>
        <v>1</v>
      </c>
      <c r="T1454" s="84" t="n">
        <f aca="false">IF(AND(ISNUMBER(O1454),ISNUMBER(P1454)),Coef_A+Coef_B1*O1454+Coef_B2*P1454,"")</f>
        <v>20.4878533366027</v>
      </c>
      <c r="U1454" s="84" t="n">
        <f aca="false">IF(AND(R1454=1,ISNUMBER(T1454)),E1454-T1454,"")</f>
        <v>-2.3878533366027</v>
      </c>
      <c r="V1454" s="84" t="n">
        <f aca="false">IF(ISNUMBER(T1454),T1454,-99)</f>
        <v>20.4878533366027</v>
      </c>
      <c r="W1454" s="84" t="n">
        <f aca="false">IF(ISNUMBER(U1454),ABS(U1454),"")</f>
        <v>2.3878533366027</v>
      </c>
    </row>
    <row r="1455" customFormat="false" ht="15" hidden="false" customHeight="false" outlineLevel="0" collapsed="false">
      <c r="A1455" s="57" t="n">
        <v>32340</v>
      </c>
      <c r="B1455" s="56" t="n">
        <v>1988</v>
      </c>
      <c r="C1455" s="56" t="n">
        <v>7</v>
      </c>
      <c r="D1455" s="56" t="n">
        <v>77</v>
      </c>
      <c r="E1455" s="56" t="n">
        <v>19.9</v>
      </c>
      <c r="F1455" s="56" t="n">
        <v>0</v>
      </c>
      <c r="G1455" s="56" t="n">
        <v>9.2</v>
      </c>
      <c r="H1455" s="56" t="n">
        <v>0</v>
      </c>
      <c r="I1455" s="56" t="n">
        <v>13.6</v>
      </c>
      <c r="J1455" s="56" t="n">
        <v>0</v>
      </c>
      <c r="K1455" s="56" t="n">
        <v>1018.7</v>
      </c>
      <c r="L1455" s="56" t="n">
        <v>0</v>
      </c>
      <c r="M1455" s="56" t="n">
        <v>80</v>
      </c>
      <c r="N1455" s="56" t="n">
        <v>3.1</v>
      </c>
      <c r="O1455" s="56" t="n">
        <f aca="false">IF(D1455=1,"",E1454)</f>
        <v>18.1</v>
      </c>
      <c r="P1455" s="56" t="n">
        <f aca="false">IF(OR(D1455=1,K1454=""),"",K1454)</f>
        <v>1020.1</v>
      </c>
      <c r="Q1455" s="56" t="n">
        <f aca="false">IF(OR(F1455&lt;&gt;0,AND(I1455&lt;&gt;"",E1455&lt;I1455)),1,0)</f>
        <v>0</v>
      </c>
      <c r="R1455" s="56" t="n">
        <f aca="false">IF(AND(D1455&gt;1,Q1455=0,ISNUMBER(O1455),ISNUMBER(P1455)),IF(Q1454=0,1,0),0)</f>
        <v>1</v>
      </c>
      <c r="S1455" s="56" t="n">
        <f aca="false">R1455*(B1455&gt;=Train_Start)*(B1455&lt;=Train_End)</f>
        <v>1</v>
      </c>
      <c r="T1455" s="84" t="n">
        <f aca="false">IF(AND(ISNUMBER(O1455),ISNUMBER(P1455)),Coef_A+Coef_B1*O1455+Coef_B2*P1455,"")</f>
        <v>18.9174443322004</v>
      </c>
      <c r="U1455" s="84" t="n">
        <f aca="false">IF(AND(R1455=1,ISNUMBER(T1455)),E1455-T1455,"")</f>
        <v>0.98255566779962</v>
      </c>
      <c r="V1455" s="84" t="n">
        <f aca="false">IF(ISNUMBER(T1455),T1455,-99)</f>
        <v>18.9174443322004</v>
      </c>
      <c r="W1455" s="84" t="n">
        <f aca="false">IF(ISNUMBER(U1455),ABS(U1455),"")</f>
        <v>0.98255566779962</v>
      </c>
    </row>
    <row r="1456" customFormat="false" ht="15" hidden="false" customHeight="false" outlineLevel="0" collapsed="false">
      <c r="A1456" s="57" t="n">
        <v>32341</v>
      </c>
      <c r="B1456" s="56" t="n">
        <v>1988</v>
      </c>
      <c r="C1456" s="56" t="n">
        <v>7</v>
      </c>
      <c r="D1456" s="56" t="n">
        <v>78</v>
      </c>
      <c r="E1456" s="56" t="n">
        <v>22.6</v>
      </c>
      <c r="F1456" s="56" t="n">
        <v>0</v>
      </c>
      <c r="G1456" s="56" t="n">
        <v>14.5</v>
      </c>
      <c r="H1456" s="56" t="n">
        <v>0</v>
      </c>
      <c r="I1456" s="56" t="n">
        <v>17.2</v>
      </c>
      <c r="J1456" s="56" t="n">
        <v>0</v>
      </c>
      <c r="K1456" s="56" t="n">
        <v>1012.9</v>
      </c>
      <c r="L1456" s="56" t="n">
        <v>0</v>
      </c>
      <c r="M1456" s="56" t="n">
        <v>83</v>
      </c>
      <c r="N1456" s="56" t="n">
        <v>1.9</v>
      </c>
      <c r="O1456" s="56" t="n">
        <f aca="false">IF(D1456=1,"",E1455)</f>
        <v>19.9</v>
      </c>
      <c r="P1456" s="56" t="n">
        <f aca="false">IF(OR(D1456=1,K1455=""),"",K1455)</f>
        <v>1018.7</v>
      </c>
      <c r="Q1456" s="56" t="n">
        <f aca="false">IF(OR(F1456&lt;&gt;0,AND(I1456&lt;&gt;"",E1456&lt;I1456)),1,0)</f>
        <v>0</v>
      </c>
      <c r="R1456" s="56" t="n">
        <f aca="false">IF(AND(D1456&gt;1,Q1456=0,ISNUMBER(O1456),ISNUMBER(P1456)),IF(Q1455=0,1,0),0)</f>
        <v>1</v>
      </c>
      <c r="S1456" s="56" t="n">
        <f aca="false">R1456*(B1456&gt;=Train_Start)*(B1456&lt;=Train_End)</f>
        <v>1</v>
      </c>
      <c r="T1456" s="84" t="n">
        <f aca="false">IF(AND(ISNUMBER(O1456),ISNUMBER(P1456)),Coef_A+Coef_B1*O1456+Coef_B2*P1456,"")</f>
        <v>20.3483370271896</v>
      </c>
      <c r="U1456" s="84" t="n">
        <f aca="false">IF(AND(R1456=1,ISNUMBER(T1456)),E1456-T1456,"")</f>
        <v>2.25166297281042</v>
      </c>
      <c r="V1456" s="84" t="n">
        <f aca="false">IF(ISNUMBER(T1456),T1456,-99)</f>
        <v>20.3483370271896</v>
      </c>
      <c r="W1456" s="84" t="n">
        <f aca="false">IF(ISNUMBER(U1456),ABS(U1456),"")</f>
        <v>2.25166297281042</v>
      </c>
    </row>
    <row r="1457" customFormat="false" ht="15" hidden="false" customHeight="false" outlineLevel="0" collapsed="false">
      <c r="A1457" s="57" t="n">
        <v>32342</v>
      </c>
      <c r="B1457" s="56" t="n">
        <v>1988</v>
      </c>
      <c r="C1457" s="56" t="n">
        <v>7</v>
      </c>
      <c r="D1457" s="56" t="n">
        <v>79</v>
      </c>
      <c r="E1457" s="56" t="n">
        <v>20.7</v>
      </c>
      <c r="F1457" s="56" t="n">
        <v>0</v>
      </c>
      <c r="G1457" s="56" t="n">
        <v>12.9</v>
      </c>
      <c r="H1457" s="56" t="n">
        <v>0</v>
      </c>
      <c r="I1457" s="56" t="n">
        <v>17.8</v>
      </c>
      <c r="J1457" s="56" t="n">
        <v>0</v>
      </c>
      <c r="K1457" s="56" t="n">
        <v>1017</v>
      </c>
      <c r="L1457" s="56" t="n">
        <v>0</v>
      </c>
      <c r="M1457" s="56" t="n">
        <v>69</v>
      </c>
      <c r="N1457" s="56" t="n">
        <v>9.5</v>
      </c>
      <c r="O1457" s="56" t="n">
        <f aca="false">IF(D1457=1,"",E1456)</f>
        <v>22.6</v>
      </c>
      <c r="P1457" s="56" t="n">
        <f aca="false">IF(OR(D1457=1,K1456=""),"",K1456)</f>
        <v>1012.9</v>
      </c>
      <c r="Q1457" s="56" t="n">
        <f aca="false">IF(OR(F1457&lt;&gt;0,AND(I1457&lt;&gt;"",E1457&lt;I1457)),1,0)</f>
        <v>0</v>
      </c>
      <c r="R1457" s="56" t="n">
        <f aca="false">IF(AND(D1457&gt;1,Q1457=0,ISNUMBER(O1457),ISNUMBER(P1457)),IF(Q1456=0,1,0),0)</f>
        <v>1</v>
      </c>
      <c r="S1457" s="56" t="n">
        <f aca="false">R1457*(B1457&gt;=Train_Start)*(B1457&lt;=Train_End)</f>
        <v>1</v>
      </c>
      <c r="T1457" s="84" t="n">
        <f aca="false">IF(AND(ISNUMBER(O1457),ISNUMBER(P1457)),Coef_A+Coef_B1*O1457+Coef_B2*P1457,"")</f>
        <v>22.3786074595276</v>
      </c>
      <c r="U1457" s="84" t="n">
        <f aca="false">IF(AND(R1457=1,ISNUMBER(T1457)),E1457-T1457,"")</f>
        <v>-1.67860745952762</v>
      </c>
      <c r="V1457" s="84" t="n">
        <f aca="false">IF(ISNUMBER(T1457),T1457,-99)</f>
        <v>22.3786074595276</v>
      </c>
      <c r="W1457" s="84" t="n">
        <f aca="false">IF(ISNUMBER(U1457),ABS(U1457),"")</f>
        <v>1.67860745952762</v>
      </c>
    </row>
    <row r="1458" customFormat="false" ht="15" hidden="false" customHeight="false" outlineLevel="0" collapsed="false">
      <c r="A1458" s="57" t="n">
        <v>32343</v>
      </c>
      <c r="B1458" s="56" t="n">
        <v>1988</v>
      </c>
      <c r="C1458" s="56" t="n">
        <v>7</v>
      </c>
      <c r="D1458" s="56" t="n">
        <v>80</v>
      </c>
      <c r="E1458" s="56" t="n">
        <v>21.7</v>
      </c>
      <c r="F1458" s="56" t="n">
        <v>0</v>
      </c>
      <c r="G1458" s="56" t="n">
        <v>9.6</v>
      </c>
      <c r="H1458" s="56" t="n">
        <v>0</v>
      </c>
      <c r="I1458" s="56" t="n">
        <v>15.2</v>
      </c>
      <c r="J1458" s="56" t="n">
        <v>0</v>
      </c>
      <c r="K1458" s="56" t="n">
        <v>1017.5</v>
      </c>
      <c r="L1458" s="56" t="n">
        <v>0</v>
      </c>
      <c r="M1458" s="56" t="n">
        <v>75</v>
      </c>
      <c r="N1458" s="56" t="n">
        <v>5.7</v>
      </c>
      <c r="O1458" s="56" t="n">
        <f aca="false">IF(D1458=1,"",E1457)</f>
        <v>20.7</v>
      </c>
      <c r="P1458" s="56" t="n">
        <f aca="false">IF(OR(D1458=1,K1457=""),"",K1457)</f>
        <v>1017</v>
      </c>
      <c r="Q1458" s="56" t="n">
        <f aca="false">IF(OR(F1458&lt;&gt;0,AND(I1458&lt;&gt;"",E1458&lt;I1458)),1,0)</f>
        <v>0</v>
      </c>
      <c r="R1458" s="56" t="n">
        <f aca="false">IF(AND(D1458&gt;1,Q1458=0,ISNUMBER(O1458),ISNUMBER(P1458)),IF(Q1457=0,1,0),0)</f>
        <v>1</v>
      </c>
      <c r="S1458" s="56" t="n">
        <f aca="false">R1458*(B1458&gt;=Train_Start)*(B1458&lt;=Train_End)</f>
        <v>1</v>
      </c>
      <c r="T1458" s="84" t="n">
        <f aca="false">IF(AND(ISNUMBER(O1458),ISNUMBER(P1458)),Coef_A+Coef_B1*O1458+Coef_B2*P1458,"")</f>
        <v>20.9504795607459</v>
      </c>
      <c r="U1458" s="84" t="n">
        <f aca="false">IF(AND(R1458=1,ISNUMBER(T1458)),E1458-T1458,"")</f>
        <v>0.749520439254077</v>
      </c>
      <c r="V1458" s="84" t="n">
        <f aca="false">IF(ISNUMBER(T1458),T1458,-99)</f>
        <v>20.9504795607459</v>
      </c>
      <c r="W1458" s="84" t="n">
        <f aca="false">IF(ISNUMBER(U1458),ABS(U1458),"")</f>
        <v>0.749520439254077</v>
      </c>
    </row>
    <row r="1459" customFormat="false" ht="15" hidden="false" customHeight="false" outlineLevel="0" collapsed="false">
      <c r="A1459" s="57" t="n">
        <v>32344</v>
      </c>
      <c r="B1459" s="56" t="n">
        <v>1988</v>
      </c>
      <c r="C1459" s="56" t="n">
        <v>7</v>
      </c>
      <c r="D1459" s="56" t="n">
        <v>81</v>
      </c>
      <c r="E1459" s="56" t="n">
        <v>23</v>
      </c>
      <c r="F1459" s="56" t="n">
        <v>0</v>
      </c>
      <c r="G1459" s="56" t="n">
        <v>14.7</v>
      </c>
      <c r="H1459" s="56" t="n">
        <v>0</v>
      </c>
      <c r="I1459" s="56" t="n">
        <v>18.2</v>
      </c>
      <c r="J1459" s="56" t="n">
        <v>0</v>
      </c>
      <c r="K1459" s="56" t="n">
        <v>1017.2</v>
      </c>
      <c r="L1459" s="56" t="n">
        <v>0</v>
      </c>
      <c r="M1459" s="56" t="n">
        <v>83</v>
      </c>
      <c r="N1459" s="56" t="n">
        <v>3.5</v>
      </c>
      <c r="O1459" s="56" t="n">
        <f aca="false">IF(D1459=1,"",E1458)</f>
        <v>21.7</v>
      </c>
      <c r="P1459" s="56" t="n">
        <f aca="false">IF(OR(D1459=1,K1458=""),"",K1458)</f>
        <v>1017.5</v>
      </c>
      <c r="Q1459" s="56" t="n">
        <f aca="false">IF(OR(F1459&lt;&gt;0,AND(I1459&lt;&gt;"",E1459&lt;I1459)),1,0)</f>
        <v>0</v>
      </c>
      <c r="R1459" s="56" t="n">
        <f aca="false">IF(AND(D1459&gt;1,Q1459=0,ISNUMBER(O1459),ISNUMBER(P1459)),IF(Q1458=0,1,0),0)</f>
        <v>1</v>
      </c>
      <c r="S1459" s="56" t="n">
        <f aca="false">R1459*(B1459&gt;=Train_Start)*(B1459&lt;=Train_End)</f>
        <v>1</v>
      </c>
      <c r="T1459" s="84" t="n">
        <f aca="false">IF(AND(ISNUMBER(O1459),ISNUMBER(P1459)),Coef_A+Coef_B1*O1459+Coef_B2*P1459,"")</f>
        <v>21.7855037011056</v>
      </c>
      <c r="U1459" s="84" t="n">
        <f aca="false">IF(AND(R1459=1,ISNUMBER(T1459)),E1459-T1459,"")</f>
        <v>1.21449629889442</v>
      </c>
      <c r="V1459" s="84" t="n">
        <f aca="false">IF(ISNUMBER(T1459),T1459,-99)</f>
        <v>21.7855037011056</v>
      </c>
      <c r="W1459" s="84" t="n">
        <f aca="false">IF(ISNUMBER(U1459),ABS(U1459),"")</f>
        <v>1.21449629889442</v>
      </c>
    </row>
    <row r="1460" customFormat="false" ht="15" hidden="false" customHeight="false" outlineLevel="0" collapsed="false">
      <c r="A1460" s="57" t="n">
        <v>32345</v>
      </c>
      <c r="B1460" s="56" t="n">
        <v>1988</v>
      </c>
      <c r="C1460" s="56" t="n">
        <v>7</v>
      </c>
      <c r="D1460" s="56" t="n">
        <v>82</v>
      </c>
      <c r="E1460" s="56" t="n">
        <v>21</v>
      </c>
      <c r="F1460" s="56" t="n">
        <v>0</v>
      </c>
      <c r="G1460" s="56" t="n">
        <v>14.6</v>
      </c>
      <c r="H1460" s="56" t="n">
        <v>0</v>
      </c>
      <c r="I1460" s="56" t="n">
        <v>18.8</v>
      </c>
      <c r="J1460" s="56" t="n">
        <v>0</v>
      </c>
      <c r="K1460" s="56" t="n">
        <v>1014.3</v>
      </c>
      <c r="L1460" s="56" t="n">
        <v>0</v>
      </c>
      <c r="M1460" s="56" t="n">
        <v>83</v>
      </c>
      <c r="N1460" s="56" t="n">
        <v>1.8</v>
      </c>
      <c r="O1460" s="56" t="n">
        <f aca="false">IF(D1460=1,"",E1459)</f>
        <v>23</v>
      </c>
      <c r="P1460" s="56" t="n">
        <f aca="false">IF(OR(D1460=1,K1459=""),"",K1459)</f>
        <v>1017.2</v>
      </c>
      <c r="Q1460" s="56" t="n">
        <f aca="false">IF(OR(F1460&lt;&gt;0,AND(I1460&lt;&gt;"",E1460&lt;I1460)),1,0)</f>
        <v>0</v>
      </c>
      <c r="R1460" s="56" t="n">
        <f aca="false">IF(AND(D1460&gt;1,Q1460=0,ISNUMBER(O1460),ISNUMBER(P1460)),IF(Q1459=0,1,0),0)</f>
        <v>1</v>
      </c>
      <c r="S1460" s="56" t="n">
        <f aca="false">R1460*(B1460&gt;=Train_Start)*(B1460&lt;=Train_End)</f>
        <v>1</v>
      </c>
      <c r="T1460" s="84" t="n">
        <f aca="false">IF(AND(ISNUMBER(O1460),ISNUMBER(P1460)),Coef_A+Coef_B1*O1460+Coef_B2*P1460,"")</f>
        <v>22.8412336836708</v>
      </c>
      <c r="U1460" s="84" t="n">
        <f aca="false">IF(AND(R1460=1,ISNUMBER(T1460)),E1460-T1460,"")</f>
        <v>-1.84123368367084</v>
      </c>
      <c r="V1460" s="84" t="n">
        <f aca="false">IF(ISNUMBER(T1460),T1460,-99)</f>
        <v>22.8412336836708</v>
      </c>
      <c r="W1460" s="84" t="n">
        <f aca="false">IF(ISNUMBER(U1460),ABS(U1460),"")</f>
        <v>1.84123368367084</v>
      </c>
    </row>
    <row r="1461" customFormat="false" ht="15" hidden="false" customHeight="false" outlineLevel="0" collapsed="false">
      <c r="A1461" s="57" t="n">
        <v>32346</v>
      </c>
      <c r="B1461" s="56" t="n">
        <v>1988</v>
      </c>
      <c r="C1461" s="56" t="n">
        <v>7</v>
      </c>
      <c r="D1461" s="56" t="n">
        <v>83</v>
      </c>
      <c r="E1461" s="56" t="n">
        <v>21.7</v>
      </c>
      <c r="F1461" s="56" t="n">
        <v>0</v>
      </c>
      <c r="G1461" s="56" t="n">
        <v>16.2</v>
      </c>
      <c r="H1461" s="56" t="n">
        <v>0</v>
      </c>
      <c r="I1461" s="56" t="n">
        <v>18.6</v>
      </c>
      <c r="J1461" s="56" t="n">
        <v>0</v>
      </c>
      <c r="K1461" s="56" t="n">
        <v>1009.5</v>
      </c>
      <c r="L1461" s="56" t="n">
        <v>0</v>
      </c>
      <c r="M1461" s="56" t="n">
        <v>86</v>
      </c>
      <c r="N1461" s="56" t="n">
        <v>0.1</v>
      </c>
      <c r="O1461" s="56" t="n">
        <f aca="false">IF(D1461=1,"",E1460)</f>
        <v>21</v>
      </c>
      <c r="P1461" s="56" t="n">
        <f aca="false">IF(OR(D1461=1,K1460=""),"",K1460)</f>
        <v>1014.3</v>
      </c>
      <c r="Q1461" s="56" t="n">
        <f aca="false">IF(OR(F1461&lt;&gt;0,AND(I1461&lt;&gt;"",E1461&lt;I1461)),1,0)</f>
        <v>0</v>
      </c>
      <c r="R1461" s="56" t="n">
        <f aca="false">IF(AND(D1461&gt;1,Q1461=0,ISNUMBER(O1461),ISNUMBER(P1461)),IF(Q1460=0,1,0),0)</f>
        <v>1</v>
      </c>
      <c r="S1461" s="56" t="n">
        <f aca="false">R1461*(B1461&gt;=Train_Start)*(B1461&lt;=Train_End)</f>
        <v>1</v>
      </c>
      <c r="T1461" s="84" t="n">
        <f aca="false">IF(AND(ISNUMBER(O1461),ISNUMBER(P1461)),Coef_A+Coef_B1*O1461+Coef_B2*P1461,"")</f>
        <v>21.1115826031469</v>
      </c>
      <c r="U1461" s="84" t="n">
        <f aca="false">IF(AND(R1461=1,ISNUMBER(T1461)),E1461-T1461,"")</f>
        <v>0.588417396853053</v>
      </c>
      <c r="V1461" s="84" t="n">
        <f aca="false">IF(ISNUMBER(T1461),T1461,-99)</f>
        <v>21.1115826031469</v>
      </c>
      <c r="W1461" s="84" t="n">
        <f aca="false">IF(ISNUMBER(U1461),ABS(U1461),"")</f>
        <v>0.588417396853053</v>
      </c>
    </row>
    <row r="1462" customFormat="false" ht="15" hidden="false" customHeight="false" outlineLevel="0" collapsed="false">
      <c r="A1462" s="57" t="n">
        <v>32347</v>
      </c>
      <c r="B1462" s="56" t="n">
        <v>1988</v>
      </c>
      <c r="C1462" s="56" t="n">
        <v>7</v>
      </c>
      <c r="D1462" s="56" t="n">
        <v>84</v>
      </c>
      <c r="E1462" s="56" t="n">
        <v>20.8</v>
      </c>
      <c r="F1462" s="56" t="n">
        <v>0</v>
      </c>
      <c r="G1462" s="56" t="n">
        <v>15.7</v>
      </c>
      <c r="H1462" s="56" t="n">
        <v>0</v>
      </c>
      <c r="I1462" s="56" t="n">
        <v>18.7</v>
      </c>
      <c r="J1462" s="56" t="n">
        <v>0</v>
      </c>
      <c r="K1462" s="56" t="n">
        <v>1005.7</v>
      </c>
      <c r="L1462" s="56" t="n">
        <v>0</v>
      </c>
      <c r="M1462" s="56" t="n">
        <v>87</v>
      </c>
      <c r="N1462" s="56" t="n">
        <v>0.5</v>
      </c>
      <c r="O1462" s="56" t="n">
        <f aca="false">IF(D1462=1,"",E1461)</f>
        <v>21.7</v>
      </c>
      <c r="P1462" s="56" t="n">
        <f aca="false">IF(OR(D1462=1,K1461=""),"",K1461)</f>
        <v>1009.5</v>
      </c>
      <c r="Q1462" s="56" t="n">
        <f aca="false">IF(OR(F1462&lt;&gt;0,AND(I1462&lt;&gt;"",E1462&lt;I1462)),1,0)</f>
        <v>0</v>
      </c>
      <c r="R1462" s="56" t="n">
        <f aca="false">IF(AND(D1462&gt;1,Q1462=0,ISNUMBER(O1462),ISNUMBER(P1462)),IF(Q1461=0,1,0),0)</f>
        <v>1</v>
      </c>
      <c r="S1462" s="56" t="n">
        <f aca="false">R1462*(B1462&gt;=Train_Start)*(B1462&lt;=Train_End)</f>
        <v>1</v>
      </c>
      <c r="T1462" s="84" t="n">
        <f aca="false">IF(AND(ISNUMBER(O1462),ISNUMBER(P1462)),Coef_A+Coef_B1*O1462+Coef_B2*P1462,"")</f>
        <v>21.5345445440337</v>
      </c>
      <c r="U1462" s="84" t="n">
        <f aca="false">IF(AND(R1462=1,ISNUMBER(T1462)),E1462-T1462,"")</f>
        <v>-0.734544544033657</v>
      </c>
      <c r="V1462" s="84" t="n">
        <f aca="false">IF(ISNUMBER(T1462),T1462,-99)</f>
        <v>21.5345445440337</v>
      </c>
      <c r="W1462" s="84" t="n">
        <f aca="false">IF(ISNUMBER(U1462),ABS(U1462),"")</f>
        <v>0.734544544033657</v>
      </c>
    </row>
    <row r="1463" customFormat="false" ht="15" hidden="false" customHeight="false" outlineLevel="0" collapsed="false">
      <c r="A1463" s="57" t="n">
        <v>32348</v>
      </c>
      <c r="B1463" s="56" t="n">
        <v>1988</v>
      </c>
      <c r="C1463" s="56" t="n">
        <v>7</v>
      </c>
      <c r="D1463" s="56" t="n">
        <v>85</v>
      </c>
      <c r="E1463" s="56" t="n">
        <v>21</v>
      </c>
      <c r="F1463" s="56" t="n">
        <v>0</v>
      </c>
      <c r="G1463" s="56" t="n">
        <v>11.5</v>
      </c>
      <c r="H1463" s="56" t="n">
        <v>0</v>
      </c>
      <c r="I1463" s="56" t="n">
        <v>16.2</v>
      </c>
      <c r="J1463" s="56" t="n">
        <v>0</v>
      </c>
      <c r="K1463" s="56" t="n">
        <v>1010.8</v>
      </c>
      <c r="L1463" s="56" t="n">
        <v>0</v>
      </c>
      <c r="M1463" s="56" t="n">
        <v>70</v>
      </c>
      <c r="N1463" s="56" t="n">
        <v>11.1</v>
      </c>
      <c r="O1463" s="56" t="n">
        <f aca="false">IF(D1463=1,"",E1462)</f>
        <v>20.8</v>
      </c>
      <c r="P1463" s="56" t="n">
        <f aca="false">IF(OR(D1463=1,K1462=""),"",K1462)</f>
        <v>1005.7</v>
      </c>
      <c r="Q1463" s="56" t="n">
        <f aca="false">IF(OR(F1463&lt;&gt;0,AND(I1463&lt;&gt;"",E1463&lt;I1463)),1,0)</f>
        <v>0</v>
      </c>
      <c r="R1463" s="56" t="n">
        <f aca="false">IF(AND(D1463&gt;1,Q1463=0,ISNUMBER(O1463),ISNUMBER(P1463)),IF(Q1462=0,1,0),0)</f>
        <v>1</v>
      </c>
      <c r="S1463" s="56" t="n">
        <f aca="false">R1463*(B1463&gt;=Train_Start)*(B1463&lt;=Train_End)</f>
        <v>1</v>
      </c>
      <c r="T1463" s="84" t="n">
        <f aca="false">IF(AND(ISNUMBER(O1463),ISNUMBER(P1463)),Coef_A+Coef_B1*O1463+Coef_B2*P1463,"")</f>
        <v>20.6779336706861</v>
      </c>
      <c r="U1463" s="84" t="n">
        <f aca="false">IF(AND(R1463=1,ISNUMBER(T1463)),E1463-T1463,"")</f>
        <v>0.322066329313891</v>
      </c>
      <c r="V1463" s="84" t="n">
        <f aca="false">IF(ISNUMBER(T1463),T1463,-99)</f>
        <v>20.6779336706861</v>
      </c>
      <c r="W1463" s="84" t="n">
        <f aca="false">IF(ISNUMBER(U1463),ABS(U1463),"")</f>
        <v>0.322066329313891</v>
      </c>
    </row>
    <row r="1464" customFormat="false" ht="15" hidden="false" customHeight="false" outlineLevel="0" collapsed="false">
      <c r="A1464" s="57" t="n">
        <v>32349</v>
      </c>
      <c r="B1464" s="56" t="n">
        <v>1988</v>
      </c>
      <c r="C1464" s="56" t="n">
        <v>7</v>
      </c>
      <c r="D1464" s="56" t="n">
        <v>86</v>
      </c>
      <c r="E1464" s="56" t="n">
        <v>21.2</v>
      </c>
      <c r="F1464" s="56" t="n">
        <v>0</v>
      </c>
      <c r="G1464" s="56" t="n">
        <v>13.2</v>
      </c>
      <c r="H1464" s="56" t="n">
        <v>0</v>
      </c>
      <c r="I1464" s="56" t="n">
        <v>17.1</v>
      </c>
      <c r="J1464" s="56" t="n">
        <v>0</v>
      </c>
      <c r="K1464" s="56" t="n">
        <v>1013.6</v>
      </c>
      <c r="L1464" s="56" t="n">
        <v>0</v>
      </c>
      <c r="M1464" s="56" t="n">
        <v>77</v>
      </c>
      <c r="N1464" s="56" t="n">
        <v>3.5</v>
      </c>
      <c r="O1464" s="56" t="n">
        <f aca="false">IF(D1464=1,"",E1463)</f>
        <v>21</v>
      </c>
      <c r="P1464" s="56" t="n">
        <f aca="false">IF(OR(D1464=1,K1463=""),"",K1463)</f>
        <v>1010.8</v>
      </c>
      <c r="Q1464" s="56" t="n">
        <f aca="false">IF(OR(F1464&lt;&gt;0,AND(I1464&lt;&gt;"",E1464&lt;I1464)),1,0)</f>
        <v>0</v>
      </c>
      <c r="R1464" s="56" t="n">
        <f aca="false">IF(AND(D1464&gt;1,Q1464=0,ISNUMBER(O1464),ISNUMBER(P1464)),IF(Q1463=0,1,0),0)</f>
        <v>1</v>
      </c>
      <c r="S1464" s="56" t="n">
        <f aca="false">R1464*(B1464&gt;=Train_Start)*(B1464&lt;=Train_End)</f>
        <v>1</v>
      </c>
      <c r="T1464" s="84" t="n">
        <f aca="false">IF(AND(ISNUMBER(O1464),ISNUMBER(P1464)),Coef_A+Coef_B1*O1464+Coef_B2*P1464,"")</f>
        <v>21.001787971928</v>
      </c>
      <c r="U1464" s="84" t="n">
        <f aca="false">IF(AND(R1464=1,ISNUMBER(T1464)),E1464-T1464,"")</f>
        <v>0.198212028072017</v>
      </c>
      <c r="V1464" s="84" t="n">
        <f aca="false">IF(ISNUMBER(T1464),T1464,-99)</f>
        <v>21.001787971928</v>
      </c>
      <c r="W1464" s="84" t="n">
        <f aca="false">IF(ISNUMBER(U1464),ABS(U1464),"")</f>
        <v>0.198212028072017</v>
      </c>
    </row>
    <row r="1465" customFormat="false" ht="15" hidden="false" customHeight="false" outlineLevel="0" collapsed="false">
      <c r="A1465" s="57" t="n">
        <v>32350</v>
      </c>
      <c r="B1465" s="56" t="n">
        <v>1988</v>
      </c>
      <c r="C1465" s="56" t="n">
        <v>7</v>
      </c>
      <c r="D1465" s="56" t="n">
        <v>87</v>
      </c>
      <c r="E1465" s="56" t="n">
        <v>21</v>
      </c>
      <c r="F1465" s="56" t="n">
        <v>0</v>
      </c>
      <c r="G1465" s="56" t="n">
        <v>11.9</v>
      </c>
      <c r="H1465" s="56" t="n">
        <v>0</v>
      </c>
      <c r="I1465" s="56" t="n">
        <v>16.6</v>
      </c>
      <c r="J1465" s="56" t="n">
        <v>0</v>
      </c>
      <c r="K1465" s="56" t="n">
        <v>1016</v>
      </c>
      <c r="L1465" s="56" t="n">
        <v>0</v>
      </c>
      <c r="M1465" s="56" t="n">
        <v>73</v>
      </c>
      <c r="N1465" s="56" t="n">
        <v>8.4</v>
      </c>
      <c r="O1465" s="56" t="n">
        <f aca="false">IF(D1465=1,"",E1464)</f>
        <v>21.2</v>
      </c>
      <c r="P1465" s="56" t="n">
        <f aca="false">IF(OR(D1465=1,K1464=""),"",K1464)</f>
        <v>1013.6</v>
      </c>
      <c r="Q1465" s="56" t="n">
        <f aca="false">IF(OR(F1465&lt;&gt;0,AND(I1465&lt;&gt;"",E1465&lt;I1465)),1,0)</f>
        <v>0</v>
      </c>
      <c r="R1465" s="56" t="n">
        <f aca="false">IF(AND(D1465&gt;1,Q1465=0,ISNUMBER(O1465),ISNUMBER(P1465)),IF(Q1464=0,1,0),0)</f>
        <v>1</v>
      </c>
      <c r="S1465" s="56" t="n">
        <f aca="false">R1465*(B1465&gt;=Train_Start)*(B1465&lt;=Train_End)</f>
        <v>1</v>
      </c>
      <c r="T1465" s="84" t="n">
        <f aca="false">IF(AND(ISNUMBER(O1465),ISNUMBER(P1465)),Coef_A+Coef_B1*O1465+Coef_B2*P1465,"")</f>
        <v>21.2534915155117</v>
      </c>
      <c r="U1465" s="84" t="n">
        <f aca="false">IF(AND(R1465=1,ISNUMBER(T1465)),E1465-T1465,"")</f>
        <v>-0.253491515511687</v>
      </c>
      <c r="V1465" s="84" t="n">
        <f aca="false">IF(ISNUMBER(T1465),T1465,-99)</f>
        <v>21.2534915155117</v>
      </c>
      <c r="W1465" s="84" t="n">
        <f aca="false">IF(ISNUMBER(U1465),ABS(U1465),"")</f>
        <v>0.253491515511687</v>
      </c>
    </row>
    <row r="1466" customFormat="false" ht="15" hidden="false" customHeight="false" outlineLevel="0" collapsed="false">
      <c r="A1466" s="57" t="n">
        <v>32351</v>
      </c>
      <c r="B1466" s="56" t="n">
        <v>1988</v>
      </c>
      <c r="C1466" s="56" t="n">
        <v>7</v>
      </c>
      <c r="D1466" s="56" t="n">
        <v>88</v>
      </c>
      <c r="E1466" s="56" t="n">
        <v>17.5</v>
      </c>
      <c r="F1466" s="56" t="n">
        <v>0</v>
      </c>
      <c r="G1466" s="56" t="n">
        <v>10.6</v>
      </c>
      <c r="H1466" s="56" t="n">
        <v>0</v>
      </c>
      <c r="I1466" s="56" t="n">
        <v>15.8</v>
      </c>
      <c r="J1466" s="56" t="n">
        <v>0</v>
      </c>
      <c r="K1466" s="56" t="n">
        <v>1019.8</v>
      </c>
      <c r="L1466" s="56" t="n">
        <v>0</v>
      </c>
      <c r="M1466" s="56" t="n">
        <v>73</v>
      </c>
      <c r="N1466" s="56" t="n">
        <v>8.4</v>
      </c>
      <c r="O1466" s="56" t="n">
        <f aca="false">IF(D1466=1,"",E1465)</f>
        <v>21</v>
      </c>
      <c r="P1466" s="56" t="n">
        <f aca="false">IF(OR(D1466=1,K1465=""),"",K1465)</f>
        <v>1016</v>
      </c>
      <c r="Q1466" s="56" t="n">
        <f aca="false">IF(OR(F1466&lt;&gt;0,AND(I1466&lt;&gt;"",E1466&lt;I1466)),1,0)</f>
        <v>0</v>
      </c>
      <c r="R1466" s="56" t="n">
        <f aca="false">IF(AND(D1466&gt;1,Q1466=0,ISNUMBER(O1466),ISNUMBER(P1466)),IF(Q1465=0,1,0),0)</f>
        <v>1</v>
      </c>
      <c r="S1466" s="56" t="n">
        <f aca="false">R1466*(B1466&gt;=Train_Start)*(B1466&lt;=Train_End)</f>
        <v>1</v>
      </c>
      <c r="T1466" s="84" t="n">
        <f aca="false">IF(AND(ISNUMBER(O1466),ISNUMBER(P1466)),Coef_A+Coef_B1*O1466+Coef_B2*P1466,"")</f>
        <v>21.1649114240247</v>
      </c>
      <c r="U1466" s="84" t="n">
        <f aca="false">IF(AND(R1466=1,ISNUMBER(T1466)),E1466-T1466,"")</f>
        <v>-3.66491142402473</v>
      </c>
      <c r="V1466" s="84" t="n">
        <f aca="false">IF(ISNUMBER(T1466),T1466,-99)</f>
        <v>21.1649114240247</v>
      </c>
      <c r="W1466" s="84" t="n">
        <f aca="false">IF(ISNUMBER(U1466),ABS(U1466),"")</f>
        <v>3.66491142402473</v>
      </c>
    </row>
    <row r="1467" customFormat="false" ht="15" hidden="false" customHeight="false" outlineLevel="0" collapsed="false">
      <c r="A1467" s="57" t="n">
        <v>32352</v>
      </c>
      <c r="B1467" s="56" t="n">
        <v>1988</v>
      </c>
      <c r="C1467" s="56" t="n">
        <v>7</v>
      </c>
      <c r="D1467" s="56" t="n">
        <v>89</v>
      </c>
      <c r="E1467" s="56" t="n">
        <v>18.9</v>
      </c>
      <c r="F1467" s="56" t="n">
        <v>0</v>
      </c>
      <c r="G1467" s="56" t="n">
        <v>13.5</v>
      </c>
      <c r="H1467" s="56" t="n">
        <v>0</v>
      </c>
      <c r="I1467" s="56" t="n">
        <v>15.5</v>
      </c>
      <c r="J1467" s="56" t="n">
        <v>0</v>
      </c>
      <c r="K1467" s="56" t="n">
        <v>1013.4</v>
      </c>
      <c r="L1467" s="56" t="n">
        <v>0</v>
      </c>
      <c r="M1467" s="56" t="n">
        <v>78</v>
      </c>
      <c r="N1467" s="56" t="n">
        <v>0</v>
      </c>
      <c r="O1467" s="56" t="n">
        <f aca="false">IF(D1467=1,"",E1466)</f>
        <v>17.5</v>
      </c>
      <c r="P1467" s="56" t="n">
        <f aca="false">IF(OR(D1467=1,K1466=""),"",K1466)</f>
        <v>1019.8</v>
      </c>
      <c r="Q1467" s="56" t="n">
        <f aca="false">IF(OR(F1467&lt;&gt;0,AND(I1467&lt;&gt;"",E1467&lt;I1467)),1,0)</f>
        <v>0</v>
      </c>
      <c r="R1467" s="56" t="n">
        <f aca="false">IF(AND(D1467&gt;1,Q1467=0,ISNUMBER(O1467),ISNUMBER(P1467)),IF(Q1466=0,1,0),0)</f>
        <v>1</v>
      </c>
      <c r="S1467" s="56" t="n">
        <f aca="false">R1467*(B1467&gt;=Train_Start)*(B1467&lt;=Train_End)</f>
        <v>1</v>
      </c>
      <c r="T1467" s="84" t="n">
        <f aca="false">IF(AND(ISNUMBER(O1467),ISNUMBER(P1467)),Coef_A+Coef_B1*O1467+Coef_B2*P1467,"")</f>
        <v>18.4164298479846</v>
      </c>
      <c r="U1467" s="84" t="n">
        <f aca="false">IF(AND(R1467=1,ISNUMBER(T1467)),E1467-T1467,"")</f>
        <v>0.483570152015414</v>
      </c>
      <c r="V1467" s="84" t="n">
        <f aca="false">IF(ISNUMBER(T1467),T1467,-99)</f>
        <v>18.4164298479846</v>
      </c>
      <c r="W1467" s="84" t="n">
        <f aca="false">IF(ISNUMBER(U1467),ABS(U1467),"")</f>
        <v>0.483570152015414</v>
      </c>
    </row>
    <row r="1468" customFormat="false" ht="15" hidden="false" customHeight="false" outlineLevel="0" collapsed="false">
      <c r="A1468" s="57" t="n">
        <v>32353</v>
      </c>
      <c r="B1468" s="56" t="n">
        <v>1988</v>
      </c>
      <c r="C1468" s="56" t="n">
        <v>7</v>
      </c>
      <c r="D1468" s="56" t="n">
        <v>90</v>
      </c>
      <c r="E1468" s="56" t="n">
        <v>19.5</v>
      </c>
      <c r="F1468" s="56" t="n">
        <v>0</v>
      </c>
      <c r="G1468" s="56" t="n">
        <v>10.3</v>
      </c>
      <c r="H1468" s="56" t="n">
        <v>0</v>
      </c>
      <c r="I1468" s="56" t="n">
        <v>14.6</v>
      </c>
      <c r="J1468" s="56" t="n">
        <v>0</v>
      </c>
      <c r="K1468" s="56" t="n">
        <v>1013</v>
      </c>
      <c r="L1468" s="56" t="n">
        <v>0</v>
      </c>
      <c r="M1468" s="56" t="n">
        <v>72</v>
      </c>
      <c r="N1468" s="56" t="n">
        <v>12.7</v>
      </c>
      <c r="O1468" s="56" t="n">
        <f aca="false">IF(D1468=1,"",E1467)</f>
        <v>18.9</v>
      </c>
      <c r="P1468" s="56" t="n">
        <f aca="false">IF(OR(D1468=1,K1467=""),"",K1467)</f>
        <v>1013.4</v>
      </c>
      <c r="Q1468" s="56" t="n">
        <f aca="false">IF(OR(F1468&lt;&gt;0,AND(I1468&lt;&gt;"",E1468&lt;I1468)),1,0)</f>
        <v>0</v>
      </c>
      <c r="R1468" s="56" t="n">
        <f aca="false">IF(AND(D1468&gt;1,Q1468=0,ISNUMBER(O1468),ISNUMBER(P1468)),IF(Q1467=0,1,0),0)</f>
        <v>1</v>
      </c>
      <c r="S1468" s="56" t="n">
        <f aca="false">R1468*(B1468&gt;=Train_Start)*(B1468&lt;=Train_End)</f>
        <v>1</v>
      </c>
      <c r="T1468" s="84" t="n">
        <f aca="false">IF(AND(ISNUMBER(O1468),ISNUMBER(P1468)),Coef_A+Coef_B1*O1468+Coef_B2*P1468,"")</f>
        <v>19.3627373925868</v>
      </c>
      <c r="U1468" s="84" t="n">
        <f aca="false">IF(AND(R1468=1,ISNUMBER(T1468)),E1468-T1468,"")</f>
        <v>0.137262607413227</v>
      </c>
      <c r="V1468" s="84" t="n">
        <f aca="false">IF(ISNUMBER(T1468),T1468,-99)</f>
        <v>19.3627373925868</v>
      </c>
      <c r="W1468" s="84" t="n">
        <f aca="false">IF(ISNUMBER(U1468),ABS(U1468),"")</f>
        <v>0.137262607413227</v>
      </c>
    </row>
    <row r="1469" customFormat="false" ht="15" hidden="false" customHeight="false" outlineLevel="0" collapsed="false">
      <c r="A1469" s="57" t="n">
        <v>32354</v>
      </c>
      <c r="B1469" s="56" t="n">
        <v>1988</v>
      </c>
      <c r="C1469" s="56" t="n">
        <v>7</v>
      </c>
      <c r="D1469" s="56" t="n">
        <v>91</v>
      </c>
      <c r="E1469" s="56" t="n">
        <v>20.3</v>
      </c>
      <c r="F1469" s="56" t="n">
        <v>0</v>
      </c>
      <c r="G1469" s="56" t="n">
        <v>10.2</v>
      </c>
      <c r="H1469" s="56" t="n">
        <v>0</v>
      </c>
      <c r="I1469" s="56" t="n">
        <v>14.8</v>
      </c>
      <c r="J1469" s="56" t="n">
        <v>0</v>
      </c>
      <c r="K1469" s="56" t="n">
        <v>1018.2</v>
      </c>
      <c r="L1469" s="56" t="n">
        <v>0</v>
      </c>
      <c r="M1469" s="56" t="n">
        <v>73</v>
      </c>
      <c r="N1469" s="56" t="n">
        <v>6.4</v>
      </c>
      <c r="O1469" s="56" t="n">
        <f aca="false">IF(D1469=1,"",E1468)</f>
        <v>19.5</v>
      </c>
      <c r="P1469" s="56" t="n">
        <f aca="false">IF(OR(D1469=1,K1468=""),"",K1468)</f>
        <v>1013</v>
      </c>
      <c r="Q1469" s="56" t="n">
        <f aca="false">IF(OR(F1469&lt;&gt;0,AND(I1469&lt;&gt;"",E1469&lt;I1469)),1,0)</f>
        <v>0</v>
      </c>
      <c r="R1469" s="56" t="n">
        <f aca="false">IF(AND(D1469&gt;1,Q1469=0,ISNUMBER(O1469),ISNUMBER(P1469)),IF(Q1468=0,1,0),0)</f>
        <v>1</v>
      </c>
      <c r="S1469" s="56" t="n">
        <f aca="false">R1469*(B1469&gt;=Train_Start)*(B1469&lt;=Train_End)</f>
        <v>1</v>
      </c>
      <c r="T1469" s="84" t="n">
        <f aca="false">IF(AND(ISNUMBER(O1469),ISNUMBER(P1469)),Coef_A+Coef_B1*O1469+Coef_B2*P1469,"")</f>
        <v>19.8417929505588</v>
      </c>
      <c r="U1469" s="84" t="n">
        <f aca="false">IF(AND(R1469=1,ISNUMBER(T1469)),E1469-T1469,"")</f>
        <v>0.458207049441224</v>
      </c>
      <c r="V1469" s="84" t="n">
        <f aca="false">IF(ISNUMBER(T1469),T1469,-99)</f>
        <v>19.8417929505588</v>
      </c>
      <c r="W1469" s="84" t="n">
        <f aca="false">IF(ISNUMBER(U1469),ABS(U1469),"")</f>
        <v>0.458207049441224</v>
      </c>
    </row>
    <row r="1470" customFormat="false" ht="15" hidden="false" customHeight="false" outlineLevel="0" collapsed="false">
      <c r="A1470" s="57" t="n">
        <v>32355</v>
      </c>
      <c r="B1470" s="56" t="n">
        <v>1988</v>
      </c>
      <c r="C1470" s="56" t="n">
        <v>7</v>
      </c>
      <c r="D1470" s="56" t="n">
        <v>92</v>
      </c>
      <c r="E1470" s="56" t="n">
        <v>19.7</v>
      </c>
      <c r="F1470" s="56" t="n">
        <v>0</v>
      </c>
      <c r="G1470" s="56" t="n">
        <v>11.8</v>
      </c>
      <c r="H1470" s="56" t="n">
        <v>0</v>
      </c>
      <c r="I1470" s="56" t="n">
        <v>16</v>
      </c>
      <c r="J1470" s="56" t="n">
        <v>0</v>
      </c>
      <c r="K1470" s="56" t="n">
        <v>1019.7</v>
      </c>
      <c r="L1470" s="56" t="n">
        <v>0</v>
      </c>
      <c r="M1470" s="56" t="n">
        <v>80</v>
      </c>
      <c r="N1470" s="56" t="n">
        <v>1.6</v>
      </c>
      <c r="O1470" s="56" t="n">
        <f aca="false">IF(D1470=1,"",E1469)</f>
        <v>20.3</v>
      </c>
      <c r="P1470" s="56" t="n">
        <f aca="false">IF(OR(D1470=1,K1469=""),"",K1469)</f>
        <v>1018.2</v>
      </c>
      <c r="Q1470" s="56" t="n">
        <f aca="false">IF(OR(F1470&lt;&gt;0,AND(I1470&lt;&gt;"",E1470&lt;I1470)),1,0)</f>
        <v>0</v>
      </c>
      <c r="R1470" s="56" t="n">
        <f aca="false">IF(AND(D1470&gt;1,Q1470=0,ISNUMBER(O1470),ISNUMBER(P1470)),IF(Q1469=0,1,0),0)</f>
        <v>1</v>
      </c>
      <c r="S1470" s="56" t="n">
        <f aca="false">R1470*(B1470&gt;=Train_Start)*(B1470&lt;=Train_End)</f>
        <v>1</v>
      </c>
      <c r="T1470" s="84" t="n">
        <f aca="false">IF(AND(ISNUMBER(O1470),ISNUMBER(P1470)),Coef_A+Coef_B1*O1470+Coef_B2*P1470,"")</f>
        <v>20.6603877570896</v>
      </c>
      <c r="U1470" s="84" t="n">
        <f aca="false">IF(AND(R1470=1,ISNUMBER(T1470)),E1470-T1470,"")</f>
        <v>-0.960387757089649</v>
      </c>
      <c r="V1470" s="84" t="n">
        <f aca="false">IF(ISNUMBER(T1470),T1470,-99)</f>
        <v>20.6603877570896</v>
      </c>
      <c r="W1470" s="84" t="n">
        <f aca="false">IF(ISNUMBER(U1470),ABS(U1470),"")</f>
        <v>0.960387757089649</v>
      </c>
    </row>
    <row r="1471" customFormat="false" ht="15" hidden="false" customHeight="false" outlineLevel="0" collapsed="false">
      <c r="A1471" s="57" t="n">
        <v>32356</v>
      </c>
      <c r="B1471" s="56" t="n">
        <v>1988</v>
      </c>
      <c r="C1471" s="56" t="n">
        <v>8</v>
      </c>
      <c r="D1471" s="56" t="n">
        <v>93</v>
      </c>
      <c r="E1471" s="56" t="n">
        <v>19.5</v>
      </c>
      <c r="F1471" s="56" t="n">
        <v>0</v>
      </c>
      <c r="G1471" s="56" t="n">
        <v>11.1</v>
      </c>
      <c r="H1471" s="56" t="n">
        <v>0</v>
      </c>
      <c r="I1471" s="56" t="n">
        <v>15.4</v>
      </c>
      <c r="J1471" s="56" t="n">
        <v>0</v>
      </c>
      <c r="K1471" s="56" t="n">
        <v>1019.5</v>
      </c>
      <c r="L1471" s="56" t="n">
        <v>0</v>
      </c>
      <c r="M1471" s="56" t="n">
        <v>74</v>
      </c>
      <c r="N1471" s="56" t="n">
        <v>2.5</v>
      </c>
      <c r="O1471" s="56" t="n">
        <f aca="false">IF(D1471=1,"",E1470)</f>
        <v>19.7</v>
      </c>
      <c r="P1471" s="56" t="n">
        <f aca="false">IF(OR(D1471=1,K1470=""),"",K1470)</f>
        <v>1019.7</v>
      </c>
      <c r="Q1471" s="56" t="n">
        <f aca="false">IF(OR(F1471&lt;&gt;0,AND(I1471&lt;&gt;"",E1471&lt;I1471)),1,0)</f>
        <v>0</v>
      </c>
      <c r="R1471" s="56" t="n">
        <f aca="false">IF(AND(D1471&gt;1,Q1471=0,ISNUMBER(O1471),ISNUMBER(P1471)),IF(Q1470=0,1,0),0)</f>
        <v>1</v>
      </c>
      <c r="S1471" s="56" t="n">
        <f aca="false">R1471*(B1471&gt;=Train_Start)*(B1471&lt;=Train_End)</f>
        <v>1</v>
      </c>
      <c r="T1471" s="84" t="n">
        <f aca="false">IF(AND(ISNUMBER(O1471),ISNUMBER(P1471)),Coef_A+Coef_B1*O1471+Coef_B2*P1471,"")</f>
        <v>20.215839083215</v>
      </c>
      <c r="U1471" s="84" t="n">
        <f aca="false">IF(AND(R1471=1,ISNUMBER(T1471)),E1471-T1471,"")</f>
        <v>-0.715839083215034</v>
      </c>
      <c r="V1471" s="84" t="n">
        <f aca="false">IF(ISNUMBER(T1471),T1471,-99)</f>
        <v>20.215839083215</v>
      </c>
      <c r="W1471" s="84" t="n">
        <f aca="false">IF(ISNUMBER(U1471),ABS(U1471),"")</f>
        <v>0.715839083215034</v>
      </c>
    </row>
    <row r="1472" customFormat="false" ht="15" hidden="false" customHeight="false" outlineLevel="0" collapsed="false">
      <c r="A1472" s="57" t="n">
        <v>32357</v>
      </c>
      <c r="B1472" s="56" t="n">
        <v>1988</v>
      </c>
      <c r="C1472" s="56" t="n">
        <v>8</v>
      </c>
      <c r="D1472" s="56" t="n">
        <v>94</v>
      </c>
      <c r="E1472" s="56" t="n">
        <v>20.9</v>
      </c>
      <c r="F1472" s="56" t="n">
        <v>0</v>
      </c>
      <c r="G1472" s="56" t="n">
        <v>11.2</v>
      </c>
      <c r="H1472" s="56" t="n">
        <v>0</v>
      </c>
      <c r="I1472" s="56" t="n">
        <v>15.4</v>
      </c>
      <c r="J1472" s="56" t="n">
        <v>0</v>
      </c>
      <c r="K1472" s="56" t="n">
        <v>1018.1</v>
      </c>
      <c r="L1472" s="56" t="n">
        <v>0</v>
      </c>
      <c r="M1472" s="56" t="n">
        <v>79</v>
      </c>
      <c r="N1472" s="56" t="n">
        <v>0.8</v>
      </c>
      <c r="O1472" s="56" t="n">
        <f aca="false">IF(D1472=1,"",E1471)</f>
        <v>19.5</v>
      </c>
      <c r="P1472" s="56" t="n">
        <f aca="false">IF(OR(D1472=1,K1471=""),"",K1471)</f>
        <v>1019.5</v>
      </c>
      <c r="Q1472" s="56" t="n">
        <f aca="false">IF(OR(F1472&lt;&gt;0,AND(I1472&lt;&gt;"",E1472&lt;I1472)),1,0)</f>
        <v>0</v>
      </c>
      <c r="R1472" s="56" t="n">
        <f aca="false">IF(AND(D1472&gt;1,Q1472=0,ISNUMBER(O1472),ISNUMBER(P1472)),IF(Q1471=0,1,0),0)</f>
        <v>1</v>
      </c>
      <c r="S1472" s="56" t="n">
        <f aca="false">R1472*(B1472&gt;=Train_Start)*(B1472&lt;=Train_End)</f>
        <v>1</v>
      </c>
      <c r="T1472" s="84" t="n">
        <f aca="false">IF(AND(ISNUMBER(O1472),ISNUMBER(P1472)),Coef_A+Coef_B1*O1472+Coef_B2*P1472,"")</f>
        <v>20.0456972656797</v>
      </c>
      <c r="U1472" s="84" t="n">
        <f aca="false">IF(AND(R1472=1,ISNUMBER(T1472)),E1472-T1472,"")</f>
        <v>0.854302734320292</v>
      </c>
      <c r="V1472" s="84" t="n">
        <f aca="false">IF(ISNUMBER(T1472),T1472,-99)</f>
        <v>20.0456972656797</v>
      </c>
      <c r="W1472" s="84" t="n">
        <f aca="false">IF(ISNUMBER(U1472),ABS(U1472),"")</f>
        <v>0.854302734320292</v>
      </c>
    </row>
    <row r="1473" customFormat="false" ht="15" hidden="false" customHeight="false" outlineLevel="0" collapsed="false">
      <c r="A1473" s="57" t="n">
        <v>32358</v>
      </c>
      <c r="B1473" s="56" t="n">
        <v>1988</v>
      </c>
      <c r="C1473" s="56" t="n">
        <v>8</v>
      </c>
      <c r="D1473" s="56" t="n">
        <v>95</v>
      </c>
      <c r="E1473" s="56" t="n">
        <v>21.1</v>
      </c>
      <c r="F1473" s="56" t="n">
        <v>0</v>
      </c>
      <c r="G1473" s="56" t="n">
        <v>9.2</v>
      </c>
      <c r="H1473" s="56" t="n">
        <v>0</v>
      </c>
      <c r="I1473" s="56" t="n">
        <v>15</v>
      </c>
      <c r="J1473" s="56" t="n">
        <v>0</v>
      </c>
      <c r="K1473" s="56" t="n">
        <v>1019</v>
      </c>
      <c r="L1473" s="56" t="n">
        <v>0</v>
      </c>
      <c r="M1473" s="56" t="n">
        <v>70</v>
      </c>
      <c r="N1473" s="56" t="n">
        <v>9.9</v>
      </c>
      <c r="O1473" s="56" t="n">
        <f aca="false">IF(D1473=1,"",E1472)</f>
        <v>20.9</v>
      </c>
      <c r="P1473" s="56" t="n">
        <f aca="false">IF(OR(D1473=1,K1472=""),"",K1472)</f>
        <v>1018.1</v>
      </c>
      <c r="Q1473" s="56" t="n">
        <f aca="false">IF(OR(F1473&lt;&gt;0,AND(I1473&lt;&gt;"",E1473&lt;I1473)),1,0)</f>
        <v>0</v>
      </c>
      <c r="R1473" s="56" t="n">
        <f aca="false">IF(AND(D1473&gt;1,Q1473=0,ISNUMBER(O1473),ISNUMBER(P1473)),IF(Q1472=0,1,0),0)</f>
        <v>1</v>
      </c>
      <c r="S1473" s="56" t="n">
        <f aca="false">R1473*(B1473&gt;=Train_Start)*(B1473&lt;=Train_End)</f>
        <v>1</v>
      </c>
      <c r="T1473" s="84" t="n">
        <f aca="false">IF(AND(ISNUMBER(O1473),ISNUMBER(P1473)),Coef_A+Coef_B1*O1473+Coef_B2*P1473,"")</f>
        <v>21.1488542834518</v>
      </c>
      <c r="U1473" s="84" t="n">
        <f aca="false">IF(AND(R1473=1,ISNUMBER(T1473)),E1473-T1473,"")</f>
        <v>-0.048854283451842</v>
      </c>
      <c r="V1473" s="84" t="n">
        <f aca="false">IF(ISNUMBER(T1473),T1473,-99)</f>
        <v>21.1488542834518</v>
      </c>
      <c r="W1473" s="84" t="n">
        <f aca="false">IF(ISNUMBER(U1473),ABS(U1473),"")</f>
        <v>0.048854283451842</v>
      </c>
    </row>
    <row r="1474" customFormat="false" ht="15" hidden="false" customHeight="false" outlineLevel="0" collapsed="false">
      <c r="A1474" s="57" t="n">
        <v>32359</v>
      </c>
      <c r="B1474" s="56" t="n">
        <v>1988</v>
      </c>
      <c r="C1474" s="56" t="n">
        <v>8</v>
      </c>
      <c r="D1474" s="56" t="n">
        <v>96</v>
      </c>
      <c r="E1474" s="56" t="n">
        <v>22.5</v>
      </c>
      <c r="F1474" s="56" t="n">
        <v>0</v>
      </c>
      <c r="G1474" s="56" t="n">
        <v>10.9</v>
      </c>
      <c r="H1474" s="56" t="n">
        <v>0</v>
      </c>
      <c r="I1474" s="56" t="n">
        <v>16</v>
      </c>
      <c r="J1474" s="56" t="n">
        <v>0</v>
      </c>
      <c r="K1474" s="56" t="n">
        <v>1018.8</v>
      </c>
      <c r="L1474" s="56" t="n">
        <v>0</v>
      </c>
      <c r="M1474" s="56" t="n">
        <v>80</v>
      </c>
      <c r="N1474" s="56" t="n">
        <v>4.2</v>
      </c>
      <c r="O1474" s="56" t="n">
        <f aca="false">IF(D1474=1,"",E1473)</f>
        <v>21.1</v>
      </c>
      <c r="P1474" s="56" t="n">
        <f aca="false">IF(OR(D1474=1,K1473=""),"",K1473)</f>
        <v>1019</v>
      </c>
      <c r="Q1474" s="56" t="n">
        <f aca="false">IF(OR(F1474&lt;&gt;0,AND(I1474&lt;&gt;"",E1474&lt;I1474)),1,0)</f>
        <v>0</v>
      </c>
      <c r="R1474" s="56" t="n">
        <f aca="false">IF(AND(D1474&gt;1,Q1474=0,ISNUMBER(O1474),ISNUMBER(P1474)),IF(Q1473=0,1,0),0)</f>
        <v>1</v>
      </c>
      <c r="S1474" s="56" t="n">
        <f aca="false">R1474*(B1474&gt;=Train_Start)*(B1474&lt;=Train_End)</f>
        <v>1</v>
      </c>
      <c r="T1474" s="84" t="n">
        <f aca="false">IF(AND(ISNUMBER(O1474),ISNUMBER(P1474)),Coef_A+Coef_B1*O1474+Coef_B2*P1474,"")</f>
        <v>21.340955027231</v>
      </c>
      <c r="U1474" s="84" t="n">
        <f aca="false">IF(AND(R1474=1,ISNUMBER(T1474)),E1474-T1474,"")</f>
        <v>1.15904497276903</v>
      </c>
      <c r="V1474" s="84" t="n">
        <f aca="false">IF(ISNUMBER(T1474),T1474,-99)</f>
        <v>21.340955027231</v>
      </c>
      <c r="W1474" s="84" t="n">
        <f aca="false">IF(ISNUMBER(U1474),ABS(U1474),"")</f>
        <v>1.15904497276903</v>
      </c>
    </row>
    <row r="1475" customFormat="false" ht="15" hidden="false" customHeight="false" outlineLevel="0" collapsed="false">
      <c r="A1475" s="57" t="n">
        <v>32360</v>
      </c>
      <c r="B1475" s="56" t="n">
        <v>1988</v>
      </c>
      <c r="C1475" s="56" t="n">
        <v>8</v>
      </c>
      <c r="D1475" s="56" t="n">
        <v>97</v>
      </c>
      <c r="E1475" s="56" t="n">
        <v>27.4</v>
      </c>
      <c r="F1475" s="56" t="n">
        <v>0</v>
      </c>
      <c r="G1475" s="56" t="n">
        <v>14.5</v>
      </c>
      <c r="H1475" s="56" t="n">
        <v>0</v>
      </c>
      <c r="I1475" s="56" t="n">
        <v>18.5</v>
      </c>
      <c r="J1475" s="56" t="n">
        <v>0</v>
      </c>
      <c r="K1475" s="56" t="n">
        <v>1020.8</v>
      </c>
      <c r="L1475" s="56" t="n">
        <v>0</v>
      </c>
      <c r="M1475" s="56" t="n">
        <v>79</v>
      </c>
      <c r="N1475" s="56" t="n">
        <v>8.6</v>
      </c>
      <c r="O1475" s="56" t="n">
        <f aca="false">IF(D1475=1,"",E1474)</f>
        <v>22.5</v>
      </c>
      <c r="P1475" s="56" t="n">
        <f aca="false">IF(OR(D1475=1,K1474=""),"",K1474)</f>
        <v>1018.8</v>
      </c>
      <c r="Q1475" s="56" t="n">
        <f aca="false">IF(OR(F1475&lt;&gt;0,AND(I1475&lt;&gt;"",E1475&lt;I1475)),1,0)</f>
        <v>0</v>
      </c>
      <c r="R1475" s="56" t="n">
        <f aca="false">IF(AND(D1475&gt;1,Q1475=0,ISNUMBER(O1475),ISNUMBER(P1475)),IF(Q1474=0,1,0),0)</f>
        <v>1</v>
      </c>
      <c r="S1475" s="56" t="n">
        <f aca="false">R1475*(B1475&gt;=Train_Start)*(B1475&lt;=Train_End)</f>
        <v>1</v>
      </c>
      <c r="T1475" s="84" t="n">
        <f aca="false">IF(AND(ISNUMBER(O1475),ISNUMBER(P1475)),Coef_A+Coef_B1*O1475+Coef_B2*P1475,"")</f>
        <v>22.4817559185639</v>
      </c>
      <c r="U1475" s="84" t="n">
        <f aca="false">IF(AND(R1475=1,ISNUMBER(T1475)),E1475-T1475,"")</f>
        <v>4.91824408143611</v>
      </c>
      <c r="V1475" s="84" t="n">
        <f aca="false">IF(ISNUMBER(T1475),T1475,-99)</f>
        <v>22.4817559185639</v>
      </c>
      <c r="W1475" s="84" t="n">
        <f aca="false">IF(ISNUMBER(U1475),ABS(U1475),"")</f>
        <v>4.91824408143611</v>
      </c>
    </row>
    <row r="1476" customFormat="false" ht="15" hidden="false" customHeight="false" outlineLevel="0" collapsed="false">
      <c r="A1476" s="57" t="n">
        <v>32361</v>
      </c>
      <c r="B1476" s="56" t="n">
        <v>1988</v>
      </c>
      <c r="C1476" s="56" t="n">
        <v>8</v>
      </c>
      <c r="D1476" s="56" t="n">
        <v>98</v>
      </c>
      <c r="E1476" s="56" t="n">
        <v>29.1</v>
      </c>
      <c r="F1476" s="56" t="n">
        <v>0</v>
      </c>
      <c r="G1476" s="56" t="n">
        <v>11.4</v>
      </c>
      <c r="H1476" s="56" t="n">
        <v>0</v>
      </c>
      <c r="I1476" s="56" t="n">
        <v>19.4</v>
      </c>
      <c r="J1476" s="56" t="n">
        <v>0</v>
      </c>
      <c r="K1476" s="56" t="n">
        <v>1021.4</v>
      </c>
      <c r="L1476" s="56" t="n">
        <v>0</v>
      </c>
      <c r="M1476" s="56" t="n">
        <v>67</v>
      </c>
      <c r="N1476" s="56" t="n">
        <v>13.7</v>
      </c>
      <c r="O1476" s="56" t="n">
        <f aca="false">IF(D1476=1,"",E1475)</f>
        <v>27.4</v>
      </c>
      <c r="P1476" s="56" t="n">
        <f aca="false">IF(OR(D1476=1,K1475=""),"",K1475)</f>
        <v>1020.8</v>
      </c>
      <c r="Q1476" s="56" t="n">
        <f aca="false">IF(OR(F1476&lt;&gt;0,AND(I1476&lt;&gt;"",E1476&lt;I1476)),1,0)</f>
        <v>0</v>
      </c>
      <c r="R1476" s="56" t="n">
        <f aca="false">IF(AND(D1476&gt;1,Q1476=0,ISNUMBER(O1476),ISNUMBER(P1476)),IF(Q1475=0,1,0),0)</f>
        <v>1</v>
      </c>
      <c r="S1476" s="56" t="n">
        <f aca="false">R1476*(B1476&gt;=Train_Start)*(B1476&lt;=Train_End)</f>
        <v>1</v>
      </c>
      <c r="T1476" s="84" t="n">
        <f aca="false">IF(AND(ISNUMBER(O1476),ISNUMBER(P1476)),Coef_A+Coef_B1*O1476+Coef_B2*P1476,"")</f>
        <v>26.5592577537409</v>
      </c>
      <c r="U1476" s="84" t="n">
        <f aca="false">IF(AND(R1476=1,ISNUMBER(T1476)),E1476-T1476,"")</f>
        <v>2.54074224625912</v>
      </c>
      <c r="V1476" s="84" t="n">
        <f aca="false">IF(ISNUMBER(T1476),T1476,-99)</f>
        <v>26.5592577537409</v>
      </c>
      <c r="W1476" s="84" t="n">
        <f aca="false">IF(ISNUMBER(U1476),ABS(U1476),"")</f>
        <v>2.54074224625912</v>
      </c>
    </row>
    <row r="1477" customFormat="false" ht="15" hidden="false" customHeight="false" outlineLevel="0" collapsed="false">
      <c r="A1477" s="57" t="n">
        <v>32362</v>
      </c>
      <c r="B1477" s="56" t="n">
        <v>1988</v>
      </c>
      <c r="C1477" s="56" t="n">
        <v>8</v>
      </c>
      <c r="D1477" s="56" t="n">
        <v>99</v>
      </c>
      <c r="E1477" s="56" t="n">
        <v>26.6</v>
      </c>
      <c r="F1477" s="56" t="n">
        <v>0</v>
      </c>
      <c r="G1477" s="56" t="n">
        <v>14.4</v>
      </c>
      <c r="H1477" s="56" t="n">
        <v>0</v>
      </c>
      <c r="I1477" s="56" t="n">
        <v>21.8</v>
      </c>
      <c r="J1477" s="56" t="n">
        <v>0</v>
      </c>
      <c r="K1477" s="56" t="n">
        <v>1019.5</v>
      </c>
      <c r="L1477" s="56" t="n">
        <v>0</v>
      </c>
      <c r="M1477" s="56" t="n">
        <v>57</v>
      </c>
      <c r="N1477" s="56" t="n">
        <v>13.5</v>
      </c>
      <c r="O1477" s="56" t="n">
        <f aca="false">IF(D1477=1,"",E1476)</f>
        <v>29.1</v>
      </c>
      <c r="P1477" s="56" t="n">
        <f aca="false">IF(OR(D1477=1,K1476=""),"",K1476)</f>
        <v>1021.4</v>
      </c>
      <c r="Q1477" s="56" t="n">
        <f aca="false">IF(OR(F1477&lt;&gt;0,AND(I1477&lt;&gt;"",E1477&lt;I1477)),1,0)</f>
        <v>0</v>
      </c>
      <c r="R1477" s="56" t="n">
        <f aca="false">IF(AND(D1477&gt;1,Q1477=0,ISNUMBER(O1477),ISNUMBER(P1477)),IF(Q1476=0,1,0),0)</f>
        <v>1</v>
      </c>
      <c r="S1477" s="56" t="n">
        <f aca="false">R1477*(B1477&gt;=Train_Start)*(B1477&lt;=Train_End)</f>
        <v>1</v>
      </c>
      <c r="T1477" s="84" t="n">
        <f aca="false">IF(AND(ISNUMBER(O1477),ISNUMBER(P1477)),Coef_A+Coef_B1*O1477+Coef_B2*P1477,"")</f>
        <v>27.9709563186938</v>
      </c>
      <c r="U1477" s="84" t="n">
        <f aca="false">IF(AND(R1477=1,ISNUMBER(T1477)),E1477-T1477,"")</f>
        <v>-1.3709563186938</v>
      </c>
      <c r="V1477" s="84" t="n">
        <f aca="false">IF(ISNUMBER(T1477),T1477,-99)</f>
        <v>27.9709563186938</v>
      </c>
      <c r="W1477" s="84" t="n">
        <f aca="false">IF(ISNUMBER(U1477),ABS(U1477),"")</f>
        <v>1.3709563186938</v>
      </c>
    </row>
    <row r="1478" customFormat="false" ht="15" hidden="false" customHeight="false" outlineLevel="0" collapsed="false">
      <c r="A1478" s="57" t="n">
        <v>32363</v>
      </c>
      <c r="B1478" s="56" t="n">
        <v>1988</v>
      </c>
      <c r="C1478" s="56" t="n">
        <v>8</v>
      </c>
      <c r="D1478" s="56" t="n">
        <v>100</v>
      </c>
      <c r="E1478" s="56" t="n">
        <v>23.8</v>
      </c>
      <c r="F1478" s="56" t="n">
        <v>0</v>
      </c>
      <c r="G1478" s="56" t="n">
        <v>13.7</v>
      </c>
      <c r="H1478" s="56" t="n">
        <v>0</v>
      </c>
      <c r="I1478" s="56" t="n">
        <v>20.2</v>
      </c>
      <c r="J1478" s="56" t="n">
        <v>0</v>
      </c>
      <c r="K1478" s="56" t="n">
        <v>1015.6</v>
      </c>
      <c r="L1478" s="56" t="n">
        <v>0</v>
      </c>
      <c r="M1478" s="56" t="n">
        <v>73</v>
      </c>
      <c r="N1478" s="56" t="n">
        <v>7.7</v>
      </c>
      <c r="O1478" s="56" t="n">
        <f aca="false">IF(D1478=1,"",E1477)</f>
        <v>26.6</v>
      </c>
      <c r="P1478" s="56" t="n">
        <f aca="false">IF(OR(D1478=1,K1477=""),"",K1477)</f>
        <v>1019.5</v>
      </c>
      <c r="Q1478" s="56" t="n">
        <f aca="false">IF(OR(F1478&lt;&gt;0,AND(I1478&lt;&gt;"",E1478&lt;I1478)),1,0)</f>
        <v>0</v>
      </c>
      <c r="R1478" s="56" t="n">
        <f aca="false">IF(AND(D1478&gt;1,Q1478=0,ISNUMBER(O1478),ISNUMBER(P1478)),IF(Q1477=0,1,0),0)</f>
        <v>1</v>
      </c>
      <c r="S1478" s="56" t="n">
        <f aca="false">R1478*(B1478&gt;=Train_Start)*(B1478&lt;=Train_End)</f>
        <v>1</v>
      </c>
      <c r="T1478" s="84" t="n">
        <f aca="false">IF(AND(ISNUMBER(O1478),ISNUMBER(P1478)),Coef_A+Coef_B1*O1478+Coef_B2*P1478,"")</f>
        <v>25.8630055362826</v>
      </c>
      <c r="U1478" s="84" t="n">
        <f aca="false">IF(AND(R1478=1,ISNUMBER(T1478)),E1478-T1478,"")</f>
        <v>-2.06300553628257</v>
      </c>
      <c r="V1478" s="84" t="n">
        <f aca="false">IF(ISNUMBER(T1478),T1478,-99)</f>
        <v>25.8630055362826</v>
      </c>
      <c r="W1478" s="84" t="n">
        <f aca="false">IF(ISNUMBER(U1478),ABS(U1478),"")</f>
        <v>2.06300553628257</v>
      </c>
    </row>
    <row r="1479" customFormat="false" ht="15" hidden="false" customHeight="false" outlineLevel="0" collapsed="false">
      <c r="A1479" s="57" t="n">
        <v>32364</v>
      </c>
      <c r="B1479" s="56" t="n">
        <v>1988</v>
      </c>
      <c r="C1479" s="56" t="n">
        <v>8</v>
      </c>
      <c r="D1479" s="56" t="n">
        <v>101</v>
      </c>
      <c r="E1479" s="56" t="n">
        <v>20.2</v>
      </c>
      <c r="F1479" s="56" t="n">
        <v>0</v>
      </c>
      <c r="G1479" s="56" t="n">
        <v>16</v>
      </c>
      <c r="H1479" s="56" t="n">
        <v>0</v>
      </c>
      <c r="I1479" s="56" t="n">
        <v>19.9</v>
      </c>
      <c r="J1479" s="56" t="n">
        <v>0</v>
      </c>
      <c r="K1479" s="56" t="n">
        <v>1015.5</v>
      </c>
      <c r="L1479" s="56" t="n">
        <v>0</v>
      </c>
      <c r="M1479" s="56" t="n">
        <v>68</v>
      </c>
      <c r="N1479" s="56" t="n">
        <v>7.6</v>
      </c>
      <c r="O1479" s="56" t="n">
        <f aca="false">IF(D1479=1,"",E1478)</f>
        <v>23.8</v>
      </c>
      <c r="P1479" s="56" t="n">
        <f aca="false">IF(OR(D1479=1,K1478=""),"",K1478)</f>
        <v>1015.6</v>
      </c>
      <c r="Q1479" s="56" t="n">
        <f aca="false">IF(OR(F1479&lt;&gt;0,AND(I1479&lt;&gt;"",E1479&lt;I1479)),1,0)</f>
        <v>0</v>
      </c>
      <c r="R1479" s="56" t="n">
        <f aca="false">IF(AND(D1479&gt;1,Q1479=0,ISNUMBER(O1479),ISNUMBER(P1479)),IF(Q1478=0,1,0),0)</f>
        <v>1</v>
      </c>
      <c r="S1479" s="56" t="n">
        <f aca="false">R1479*(B1479&gt;=Train_Start)*(B1479&lt;=Train_End)</f>
        <v>1</v>
      </c>
      <c r="T1479" s="84" t="n">
        <f aca="false">IF(AND(ISNUMBER(O1479),ISNUMBER(P1479)),Coef_A+Coef_B1*O1479+Coef_B2*P1479,"")</f>
        <v>23.4465132066906</v>
      </c>
      <c r="U1479" s="84" t="n">
        <f aca="false">IF(AND(R1479=1,ISNUMBER(T1479)),E1479-T1479,"")</f>
        <v>-3.24651320669058</v>
      </c>
      <c r="V1479" s="84" t="n">
        <f aca="false">IF(ISNUMBER(T1479),T1479,-99)</f>
        <v>23.4465132066906</v>
      </c>
      <c r="W1479" s="84" t="n">
        <f aca="false">IF(ISNUMBER(U1479),ABS(U1479),"")</f>
        <v>3.24651320669058</v>
      </c>
    </row>
    <row r="1480" customFormat="false" ht="15" hidden="false" customHeight="false" outlineLevel="0" collapsed="false">
      <c r="A1480" s="57" t="n">
        <v>32365</v>
      </c>
      <c r="B1480" s="56" t="n">
        <v>1988</v>
      </c>
      <c r="C1480" s="56" t="n">
        <v>8</v>
      </c>
      <c r="D1480" s="56" t="n">
        <v>102</v>
      </c>
      <c r="E1480" s="56" t="n">
        <v>20.1</v>
      </c>
      <c r="F1480" s="56" t="n">
        <v>0</v>
      </c>
      <c r="G1480" s="56" t="n">
        <v>12.4</v>
      </c>
      <c r="H1480" s="56" t="n">
        <v>0</v>
      </c>
      <c r="I1480" s="56" t="n">
        <v>16.3</v>
      </c>
      <c r="J1480" s="56" t="n">
        <v>0</v>
      </c>
      <c r="K1480" s="56" t="n">
        <v>1012.2</v>
      </c>
      <c r="L1480" s="56" t="n">
        <v>0</v>
      </c>
      <c r="M1480" s="56" t="n">
        <v>74</v>
      </c>
      <c r="N1480" s="56" t="n">
        <v>2.5</v>
      </c>
      <c r="O1480" s="56" t="n">
        <f aca="false">IF(D1480=1,"",E1479)</f>
        <v>20.2</v>
      </c>
      <c r="P1480" s="56" t="n">
        <f aca="false">IF(OR(D1480=1,K1479=""),"",K1479)</f>
        <v>1015.5</v>
      </c>
      <c r="Q1480" s="56" t="n">
        <f aca="false">IF(OR(F1480&lt;&gt;0,AND(I1480&lt;&gt;"",E1480&lt;I1480)),1,0)</f>
        <v>0</v>
      </c>
      <c r="R1480" s="56" t="n">
        <f aca="false">IF(AND(D1480&gt;1,Q1480=0,ISNUMBER(O1480),ISNUMBER(P1480)),IF(Q1479=0,1,0),0)</f>
        <v>1</v>
      </c>
      <c r="S1480" s="56" t="n">
        <f aca="false">R1480*(B1480&gt;=Train_Start)*(B1480&lt;=Train_End)</f>
        <v>1</v>
      </c>
      <c r="T1480" s="84" t="n">
        <f aca="false">IF(AND(ISNUMBER(O1480),ISNUMBER(P1480)),Coef_A+Coef_B1*O1480+Coef_B2*P1480,"")</f>
        <v>20.4937551222736</v>
      </c>
      <c r="U1480" s="84" t="n">
        <f aca="false">IF(AND(R1480=1,ISNUMBER(T1480)),E1480-T1480,"")</f>
        <v>-0.393755122273607</v>
      </c>
      <c r="V1480" s="84" t="n">
        <f aca="false">IF(ISNUMBER(T1480),T1480,-99)</f>
        <v>20.4937551222736</v>
      </c>
      <c r="W1480" s="84" t="n">
        <f aca="false">IF(ISNUMBER(U1480),ABS(U1480),"")</f>
        <v>0.393755122273607</v>
      </c>
    </row>
    <row r="1481" customFormat="false" ht="15" hidden="false" customHeight="false" outlineLevel="0" collapsed="false">
      <c r="A1481" s="57" t="n">
        <v>32366</v>
      </c>
      <c r="B1481" s="56" t="n">
        <v>1988</v>
      </c>
      <c r="C1481" s="56" t="n">
        <v>8</v>
      </c>
      <c r="D1481" s="56" t="n">
        <v>103</v>
      </c>
      <c r="E1481" s="56" t="n">
        <v>22.1</v>
      </c>
      <c r="F1481" s="56" t="n">
        <v>0</v>
      </c>
      <c r="G1481" s="56" t="n">
        <v>12</v>
      </c>
      <c r="H1481" s="56" t="n">
        <v>0</v>
      </c>
      <c r="I1481" s="56" t="n">
        <v>16</v>
      </c>
      <c r="J1481" s="56" t="n">
        <v>0</v>
      </c>
      <c r="K1481" s="56" t="n">
        <v>1012.5</v>
      </c>
      <c r="L1481" s="56" t="n">
        <v>0</v>
      </c>
      <c r="M1481" s="56" t="n">
        <v>74</v>
      </c>
      <c r="N1481" s="56" t="n">
        <v>3.9</v>
      </c>
      <c r="O1481" s="56" t="n">
        <f aca="false">IF(D1481=1,"",E1480)</f>
        <v>20.1</v>
      </c>
      <c r="P1481" s="56" t="n">
        <f aca="false">IF(OR(D1481=1,K1480=""),"",K1480)</f>
        <v>1012.2</v>
      </c>
      <c r="Q1481" s="56" t="n">
        <f aca="false">IF(OR(F1481&lt;&gt;0,AND(I1481&lt;&gt;"",E1481&lt;I1481)),1,0)</f>
        <v>0</v>
      </c>
      <c r="R1481" s="56" t="n">
        <f aca="false">IF(AND(D1481&gt;1,Q1481=0,ISNUMBER(O1481),ISNUMBER(P1481)),IF(Q1480=0,1,0),0)</f>
        <v>1</v>
      </c>
      <c r="S1481" s="56" t="n">
        <f aca="false">R1481*(B1481&gt;=Train_Start)*(B1481&lt;=Train_End)</f>
        <v>1</v>
      </c>
      <c r="T1481" s="84" t="n">
        <f aca="false">IF(AND(ISNUMBER(O1481),ISNUMBER(P1481)),Coef_A+Coef_B1*O1481+Coef_B2*P1481,"")</f>
        <v>20.3083005506772</v>
      </c>
      <c r="U1481" s="84" t="n">
        <f aca="false">IF(AND(R1481=1,ISNUMBER(T1481)),E1481-T1481,"")</f>
        <v>1.79169944932282</v>
      </c>
      <c r="V1481" s="84" t="n">
        <f aca="false">IF(ISNUMBER(T1481),T1481,-99)</f>
        <v>20.3083005506772</v>
      </c>
      <c r="W1481" s="84" t="n">
        <f aca="false">IF(ISNUMBER(U1481),ABS(U1481),"")</f>
        <v>1.79169944932282</v>
      </c>
    </row>
    <row r="1482" customFormat="false" ht="15" hidden="false" customHeight="false" outlineLevel="0" collapsed="false">
      <c r="A1482" s="57" t="n">
        <v>32367</v>
      </c>
      <c r="B1482" s="56" t="n">
        <v>1988</v>
      </c>
      <c r="C1482" s="56" t="n">
        <v>8</v>
      </c>
      <c r="D1482" s="56" t="n">
        <v>104</v>
      </c>
      <c r="E1482" s="56" t="n">
        <v>20</v>
      </c>
      <c r="F1482" s="56" t="n">
        <v>0</v>
      </c>
      <c r="G1482" s="56" t="n">
        <v>14.3</v>
      </c>
      <c r="H1482" s="56" t="n">
        <v>0</v>
      </c>
      <c r="I1482" s="56" t="n">
        <v>18.2</v>
      </c>
      <c r="J1482" s="56" t="n">
        <v>0</v>
      </c>
      <c r="K1482" s="56" t="n">
        <v>1009.5</v>
      </c>
      <c r="L1482" s="56" t="n">
        <v>0</v>
      </c>
      <c r="M1482" s="56" t="n">
        <v>67</v>
      </c>
      <c r="N1482" s="56" t="n">
        <v>7.6</v>
      </c>
      <c r="O1482" s="56" t="n">
        <f aca="false">IF(D1482=1,"",E1481)</f>
        <v>22.1</v>
      </c>
      <c r="P1482" s="56" t="n">
        <f aca="false">IF(OR(D1482=1,K1481=""),"",K1481)</f>
        <v>1012.5</v>
      </c>
      <c r="Q1482" s="56" t="n">
        <f aca="false">IF(OR(F1482&lt;&gt;0,AND(I1482&lt;&gt;"",E1482&lt;I1482)),1,0)</f>
        <v>0</v>
      </c>
      <c r="R1482" s="56" t="n">
        <f aca="false">IF(AND(D1482&gt;1,Q1482=0,ISNUMBER(O1482),ISNUMBER(P1482)),IF(Q1481=0,1,0),0)</f>
        <v>1</v>
      </c>
      <c r="S1482" s="56" t="n">
        <f aca="false">R1482*(B1482&gt;=Train_Start)*(B1482&lt;=Train_End)</f>
        <v>1</v>
      </c>
      <c r="T1482" s="84" t="n">
        <f aca="false">IF(AND(ISNUMBER(O1482),ISNUMBER(P1482)),Coef_A+Coef_B1*O1482+Coef_B2*P1482,"")</f>
        <v>21.9563899051527</v>
      </c>
      <c r="U1482" s="84" t="n">
        <f aca="false">IF(AND(R1482=1,ISNUMBER(T1482)),E1482-T1482,"")</f>
        <v>-1.95638990515269</v>
      </c>
      <c r="V1482" s="84" t="n">
        <f aca="false">IF(ISNUMBER(T1482),T1482,-99)</f>
        <v>21.9563899051527</v>
      </c>
      <c r="W1482" s="84" t="n">
        <f aca="false">IF(ISNUMBER(U1482),ABS(U1482),"")</f>
        <v>1.95638990515269</v>
      </c>
    </row>
    <row r="1483" customFormat="false" ht="15" hidden="false" customHeight="false" outlineLevel="0" collapsed="false">
      <c r="A1483" s="57" t="n">
        <v>32368</v>
      </c>
      <c r="B1483" s="56" t="n">
        <v>1988</v>
      </c>
      <c r="C1483" s="56" t="n">
        <v>8</v>
      </c>
      <c r="D1483" s="56" t="n">
        <v>105</v>
      </c>
      <c r="E1483" s="56" t="n">
        <v>22.6</v>
      </c>
      <c r="F1483" s="56" t="n">
        <v>0</v>
      </c>
      <c r="G1483" s="56" t="n">
        <v>11.3</v>
      </c>
      <c r="H1483" s="56" t="n">
        <v>0</v>
      </c>
      <c r="I1483" s="56" t="n">
        <v>15.6</v>
      </c>
      <c r="J1483" s="56" t="n">
        <v>0</v>
      </c>
      <c r="K1483" s="56" t="n">
        <v>1015.2</v>
      </c>
      <c r="L1483" s="56" t="n">
        <v>0</v>
      </c>
      <c r="M1483" s="56" t="n">
        <v>71</v>
      </c>
      <c r="N1483" s="56" t="n">
        <v>0.5</v>
      </c>
      <c r="O1483" s="56" t="n">
        <f aca="false">IF(D1483=1,"",E1482)</f>
        <v>20</v>
      </c>
      <c r="P1483" s="56" t="n">
        <f aca="false">IF(OR(D1483=1,K1482=""),"",K1482)</f>
        <v>1009.5</v>
      </c>
      <c r="Q1483" s="56" t="n">
        <f aca="false">IF(OR(F1483&lt;&gt;0,AND(I1483&lt;&gt;"",E1483&lt;I1483)),1,0)</f>
        <v>0</v>
      </c>
      <c r="R1483" s="56" t="n">
        <f aca="false">IF(AND(D1483&gt;1,Q1483=0,ISNUMBER(O1483),ISNUMBER(P1483)),IF(Q1482=0,1,0),0)</f>
        <v>1</v>
      </c>
      <c r="S1483" s="56" t="n">
        <f aca="false">R1483*(B1483&gt;=Train_Start)*(B1483&lt;=Train_End)</f>
        <v>1</v>
      </c>
      <c r="T1483" s="84" t="n">
        <f aca="false">IF(AND(ISNUMBER(O1483),ISNUMBER(P1483)),Coef_A+Coef_B1*O1483+Coef_B2*P1483,"")</f>
        <v>20.1416679158611</v>
      </c>
      <c r="U1483" s="84" t="n">
        <f aca="false">IF(AND(R1483=1,ISNUMBER(T1483)),E1483-T1483,"")</f>
        <v>2.45833208413886</v>
      </c>
      <c r="V1483" s="84" t="n">
        <f aca="false">IF(ISNUMBER(T1483),T1483,-99)</f>
        <v>20.1416679158611</v>
      </c>
      <c r="W1483" s="84" t="n">
        <f aca="false">IF(ISNUMBER(U1483),ABS(U1483),"")</f>
        <v>2.45833208413886</v>
      </c>
    </row>
    <row r="1484" customFormat="false" ht="15" hidden="false" customHeight="false" outlineLevel="0" collapsed="false">
      <c r="A1484" s="57" t="n">
        <v>32369</v>
      </c>
      <c r="B1484" s="56" t="n">
        <v>1988</v>
      </c>
      <c r="C1484" s="56" t="n">
        <v>8</v>
      </c>
      <c r="D1484" s="56" t="n">
        <v>106</v>
      </c>
      <c r="E1484" s="56" t="n">
        <v>22.6</v>
      </c>
      <c r="F1484" s="56" t="n">
        <v>0</v>
      </c>
      <c r="G1484" s="56" t="n">
        <v>14.6</v>
      </c>
      <c r="H1484" s="56" t="n">
        <v>0</v>
      </c>
      <c r="I1484" s="56" t="n">
        <v>18.6</v>
      </c>
      <c r="J1484" s="56" t="n">
        <v>0</v>
      </c>
      <c r="K1484" s="56" t="n">
        <v>1011</v>
      </c>
      <c r="L1484" s="56" t="n">
        <v>0</v>
      </c>
      <c r="M1484" s="56" t="n">
        <v>75</v>
      </c>
      <c r="N1484" s="56" t="n">
        <v>5.9</v>
      </c>
      <c r="O1484" s="56" t="n">
        <f aca="false">IF(D1484=1,"",E1483)</f>
        <v>22.6</v>
      </c>
      <c r="P1484" s="56" t="n">
        <f aca="false">IF(OR(D1484=1,K1483=""),"",K1483)</f>
        <v>1015.2</v>
      </c>
      <c r="Q1484" s="56" t="n">
        <f aca="false">IF(OR(F1484&lt;&gt;0,AND(I1484&lt;&gt;"",E1484&lt;I1484)),1,0)</f>
        <v>0</v>
      </c>
      <c r="R1484" s="56" t="n">
        <f aca="false">IF(AND(D1484&gt;1,Q1484=0,ISNUMBER(O1484),ISNUMBER(P1484)),IF(Q1483=0,1,0),0)</f>
        <v>1</v>
      </c>
      <c r="S1484" s="56" t="n">
        <f aca="false">R1484*(B1484&gt;=Train_Start)*(B1484&lt;=Train_End)</f>
        <v>1</v>
      </c>
      <c r="T1484" s="84" t="n">
        <f aca="false">IF(AND(ISNUMBER(O1484),ISNUMBER(P1484)),Coef_A+Coef_B1*O1484+Coef_B2*P1484,"")</f>
        <v>22.4507582171858</v>
      </c>
      <c r="U1484" s="84" t="n">
        <f aca="false">IF(AND(R1484=1,ISNUMBER(T1484)),E1484-T1484,"")</f>
        <v>0.149241782814208</v>
      </c>
      <c r="V1484" s="84" t="n">
        <f aca="false">IF(ISNUMBER(T1484),T1484,-99)</f>
        <v>22.4507582171858</v>
      </c>
      <c r="W1484" s="84" t="n">
        <f aca="false">IF(ISNUMBER(U1484),ABS(U1484),"")</f>
        <v>0.149241782814208</v>
      </c>
    </row>
    <row r="1485" customFormat="false" ht="15" hidden="false" customHeight="false" outlineLevel="0" collapsed="false">
      <c r="A1485" s="57" t="n">
        <v>32370</v>
      </c>
      <c r="B1485" s="56" t="n">
        <v>1988</v>
      </c>
      <c r="C1485" s="56" t="n">
        <v>8</v>
      </c>
      <c r="D1485" s="56" t="n">
        <v>107</v>
      </c>
      <c r="E1485" s="56" t="n">
        <v>24</v>
      </c>
      <c r="F1485" s="56" t="n">
        <v>0</v>
      </c>
      <c r="G1485" s="56" t="n">
        <v>10.7</v>
      </c>
      <c r="H1485" s="56" t="n">
        <v>0</v>
      </c>
      <c r="I1485" s="56" t="n">
        <v>16.6</v>
      </c>
      <c r="J1485" s="56" t="n">
        <v>0</v>
      </c>
      <c r="K1485" s="56" t="n">
        <v>1016.2</v>
      </c>
      <c r="L1485" s="56" t="n">
        <v>0</v>
      </c>
      <c r="M1485" s="56" t="n">
        <v>64</v>
      </c>
      <c r="N1485" s="56" t="n">
        <v>10.7</v>
      </c>
      <c r="O1485" s="56" t="n">
        <f aca="false">IF(D1485=1,"",E1484)</f>
        <v>22.6</v>
      </c>
      <c r="P1485" s="56" t="n">
        <f aca="false">IF(OR(D1485=1,K1484=""),"",K1484)</f>
        <v>1011</v>
      </c>
      <c r="Q1485" s="56" t="n">
        <f aca="false">IF(OR(F1485&lt;&gt;0,AND(I1485&lt;&gt;"",E1485&lt;I1485)),1,0)</f>
        <v>0</v>
      </c>
      <c r="R1485" s="56" t="n">
        <f aca="false">IF(AND(D1485&gt;1,Q1485=0,ISNUMBER(O1485),ISNUMBER(P1485)),IF(Q1484=0,1,0),0)</f>
        <v>1</v>
      </c>
      <c r="S1485" s="56" t="n">
        <f aca="false">R1485*(B1485&gt;=Train_Start)*(B1485&lt;=Train_End)</f>
        <v>1</v>
      </c>
      <c r="T1485" s="84" t="n">
        <f aca="false">IF(AND(ISNUMBER(O1485),ISNUMBER(P1485)),Coef_A+Coef_B1*O1485+Coef_B2*P1485,"")</f>
        <v>22.319004659723</v>
      </c>
      <c r="U1485" s="84" t="n">
        <f aca="false">IF(AND(R1485=1,ISNUMBER(T1485)),E1485-T1485,"")</f>
        <v>1.68099534027697</v>
      </c>
      <c r="V1485" s="84" t="n">
        <f aca="false">IF(ISNUMBER(T1485),T1485,-99)</f>
        <v>22.319004659723</v>
      </c>
      <c r="W1485" s="84" t="n">
        <f aca="false">IF(ISNUMBER(U1485),ABS(U1485),"")</f>
        <v>1.68099534027697</v>
      </c>
    </row>
    <row r="1486" customFormat="false" ht="15" hidden="false" customHeight="false" outlineLevel="0" collapsed="false">
      <c r="A1486" s="57" t="n">
        <v>32371</v>
      </c>
      <c r="B1486" s="56" t="n">
        <v>1988</v>
      </c>
      <c r="C1486" s="56" t="n">
        <v>8</v>
      </c>
      <c r="D1486" s="56" t="n">
        <v>108</v>
      </c>
      <c r="E1486" s="56" t="n">
        <v>26.9</v>
      </c>
      <c r="F1486" s="56" t="n">
        <v>0</v>
      </c>
      <c r="G1486" s="56" t="n">
        <v>11.5</v>
      </c>
      <c r="H1486" s="56" t="n">
        <v>0</v>
      </c>
      <c r="I1486" s="56" t="n">
        <v>17.8</v>
      </c>
      <c r="J1486" s="56" t="n">
        <v>0</v>
      </c>
      <c r="K1486" s="56" t="n">
        <v>1020.4</v>
      </c>
      <c r="L1486" s="56" t="n">
        <v>0</v>
      </c>
      <c r="M1486" s="56" t="n">
        <v>57</v>
      </c>
      <c r="N1486" s="56" t="n">
        <v>13.5</v>
      </c>
      <c r="O1486" s="56" t="n">
        <f aca="false">IF(D1486=1,"",E1485)</f>
        <v>24</v>
      </c>
      <c r="P1486" s="56" t="n">
        <f aca="false">IF(OR(D1486=1,K1485=""),"",K1485)</f>
        <v>1016.2</v>
      </c>
      <c r="Q1486" s="56" t="n">
        <f aca="false">IF(OR(F1486&lt;&gt;0,AND(I1486&lt;&gt;"",E1486&lt;I1486)),1,0)</f>
        <v>0</v>
      </c>
      <c r="R1486" s="56" t="n">
        <f aca="false">IF(AND(D1486&gt;1,Q1486=0,ISNUMBER(O1486),ISNUMBER(P1486)),IF(Q1485=0,1,0),0)</f>
        <v>1</v>
      </c>
      <c r="S1486" s="56" t="n">
        <f aca="false">R1486*(B1486&gt;=Train_Start)*(B1486&lt;=Train_End)</f>
        <v>1</v>
      </c>
      <c r="T1486" s="84" t="n">
        <f aca="false">IF(AND(ISNUMBER(O1486),ISNUMBER(P1486)),Coef_A+Coef_B1*O1486+Coef_B2*P1486,"")</f>
        <v>23.6292029820795</v>
      </c>
      <c r="U1486" s="84" t="n">
        <f aca="false">IF(AND(R1486=1,ISNUMBER(T1486)),E1486-T1486,"")</f>
        <v>3.2707970179205</v>
      </c>
      <c r="V1486" s="84" t="n">
        <f aca="false">IF(ISNUMBER(T1486),T1486,-99)</f>
        <v>23.6292029820795</v>
      </c>
      <c r="W1486" s="84" t="n">
        <f aca="false">IF(ISNUMBER(U1486),ABS(U1486),"")</f>
        <v>3.2707970179205</v>
      </c>
    </row>
    <row r="1487" customFormat="false" ht="15" hidden="false" customHeight="false" outlineLevel="0" collapsed="false">
      <c r="A1487" s="57" t="n">
        <v>32372</v>
      </c>
      <c r="B1487" s="56" t="n">
        <v>1988</v>
      </c>
      <c r="C1487" s="56" t="n">
        <v>8</v>
      </c>
      <c r="D1487" s="56" t="n">
        <v>109</v>
      </c>
      <c r="E1487" s="56" t="n">
        <v>25.7</v>
      </c>
      <c r="F1487" s="56" t="n">
        <v>0</v>
      </c>
      <c r="G1487" s="56" t="n">
        <v>12.6</v>
      </c>
      <c r="H1487" s="56" t="n">
        <v>0</v>
      </c>
      <c r="I1487" s="56" t="n">
        <v>19.8</v>
      </c>
      <c r="J1487" s="56" t="n">
        <v>0</v>
      </c>
      <c r="K1487" s="56" t="n">
        <v>1020.7</v>
      </c>
      <c r="L1487" s="56" t="n">
        <v>0</v>
      </c>
      <c r="M1487" s="56" t="n">
        <v>62</v>
      </c>
      <c r="N1487" s="56" t="n">
        <v>11.4</v>
      </c>
      <c r="O1487" s="56" t="n">
        <f aca="false">IF(D1487=1,"",E1486)</f>
        <v>26.9</v>
      </c>
      <c r="P1487" s="56" t="n">
        <f aca="false">IF(OR(D1487=1,K1486=""),"",K1486)</f>
        <v>1020.4</v>
      </c>
      <c r="Q1487" s="56" t="n">
        <f aca="false">IF(OR(F1487&lt;&gt;0,AND(I1487&lt;&gt;"",E1487&lt;I1487)),1,0)</f>
        <v>0</v>
      </c>
      <c r="R1487" s="56" t="n">
        <f aca="false">IF(AND(D1487&gt;1,Q1487=0,ISNUMBER(O1487),ISNUMBER(P1487)),IF(Q1486=0,1,0),0)</f>
        <v>1</v>
      </c>
      <c r="S1487" s="56" t="n">
        <f aca="false">R1487*(B1487&gt;=Train_Start)*(B1487&lt;=Train_End)</f>
        <v>1</v>
      </c>
      <c r="T1487" s="84" t="n">
        <f aca="false">IF(AND(ISNUMBER(O1487),ISNUMBER(P1487)),Coef_A+Coef_B1*O1487+Coef_B2*P1487,"")</f>
        <v>26.137040199366</v>
      </c>
      <c r="U1487" s="84" t="n">
        <f aca="false">IF(AND(R1487=1,ISNUMBER(T1487)),E1487-T1487,"")</f>
        <v>-0.437040199365963</v>
      </c>
      <c r="V1487" s="84" t="n">
        <f aca="false">IF(ISNUMBER(T1487),T1487,-99)</f>
        <v>26.137040199366</v>
      </c>
      <c r="W1487" s="84" t="n">
        <f aca="false">IF(ISNUMBER(U1487),ABS(U1487),"")</f>
        <v>0.437040199365963</v>
      </c>
    </row>
    <row r="1488" customFormat="false" ht="15" hidden="false" customHeight="false" outlineLevel="0" collapsed="false">
      <c r="A1488" s="57" t="n">
        <v>32373</v>
      </c>
      <c r="B1488" s="56" t="n">
        <v>1988</v>
      </c>
      <c r="C1488" s="56" t="n">
        <v>8</v>
      </c>
      <c r="D1488" s="56" t="n">
        <v>110</v>
      </c>
      <c r="E1488" s="56" t="n">
        <v>21.7</v>
      </c>
      <c r="F1488" s="56" t="n">
        <v>0</v>
      </c>
      <c r="G1488" s="56" t="n">
        <v>13.6</v>
      </c>
      <c r="H1488" s="56" t="n">
        <v>0</v>
      </c>
      <c r="I1488" s="56" t="n">
        <v>19.6</v>
      </c>
      <c r="J1488" s="56" t="n">
        <v>0</v>
      </c>
      <c r="K1488" s="56" t="n">
        <v>1013.1</v>
      </c>
      <c r="L1488" s="56" t="n">
        <v>0</v>
      </c>
      <c r="M1488" s="56" t="n">
        <v>74</v>
      </c>
      <c r="N1488" s="56" t="n">
        <v>7.2</v>
      </c>
      <c r="O1488" s="56" t="n">
        <f aca="false">IF(D1488=1,"",E1487)</f>
        <v>25.7</v>
      </c>
      <c r="P1488" s="56" t="n">
        <f aca="false">IF(OR(D1488=1,K1487=""),"",K1487)</f>
        <v>1020.7</v>
      </c>
      <c r="Q1488" s="56" t="n">
        <f aca="false">IF(OR(F1488&lt;&gt;0,AND(I1488&lt;&gt;"",E1488&lt;I1488)),1,0)</f>
        <v>0</v>
      </c>
      <c r="R1488" s="56" t="n">
        <f aca="false">IF(AND(D1488&gt;1,Q1488=0,ISNUMBER(O1488),ISNUMBER(P1488)),IF(Q1487=0,1,0),0)</f>
        <v>1</v>
      </c>
      <c r="S1488" s="56" t="n">
        <f aca="false">R1488*(B1488&gt;=Train_Start)*(B1488&lt;=Train_End)</f>
        <v>1</v>
      </c>
      <c r="T1488" s="84" t="n">
        <f aca="false">IF(AND(ISNUMBER(O1488),ISNUMBER(P1488)),Coef_A+Coef_B1*O1488+Coef_B2*P1488,"")</f>
        <v>25.163244136105</v>
      </c>
      <c r="U1488" s="84" t="n">
        <f aca="false">IF(AND(R1488=1,ISNUMBER(T1488)),E1488-T1488,"")</f>
        <v>-3.46324413610498</v>
      </c>
      <c r="V1488" s="84" t="n">
        <f aca="false">IF(ISNUMBER(T1488),T1488,-99)</f>
        <v>25.163244136105</v>
      </c>
      <c r="W1488" s="84" t="n">
        <f aca="false">IF(ISNUMBER(U1488),ABS(U1488),"")</f>
        <v>3.46324413610498</v>
      </c>
    </row>
    <row r="1489" customFormat="false" ht="15" hidden="false" customHeight="false" outlineLevel="0" collapsed="false">
      <c r="A1489" s="57" t="n">
        <v>32374</v>
      </c>
      <c r="B1489" s="56" t="n">
        <v>1988</v>
      </c>
      <c r="C1489" s="56" t="n">
        <v>8</v>
      </c>
      <c r="D1489" s="56" t="n">
        <v>111</v>
      </c>
      <c r="E1489" s="56" t="n">
        <v>21.2</v>
      </c>
      <c r="F1489" s="56" t="n">
        <v>0</v>
      </c>
      <c r="G1489" s="56" t="n">
        <v>15.6</v>
      </c>
      <c r="H1489" s="56" t="n">
        <v>0</v>
      </c>
      <c r="I1489" s="56" t="n">
        <v>18.6</v>
      </c>
      <c r="J1489" s="56" t="n">
        <v>0</v>
      </c>
      <c r="K1489" s="56" t="n">
        <v>1002.3</v>
      </c>
      <c r="L1489" s="56" t="n">
        <v>0</v>
      </c>
      <c r="M1489" s="56" t="n">
        <v>78</v>
      </c>
      <c r="N1489" s="56" t="n">
        <v>7</v>
      </c>
      <c r="O1489" s="56" t="n">
        <f aca="false">IF(D1489=1,"",E1488)</f>
        <v>21.7</v>
      </c>
      <c r="P1489" s="56" t="n">
        <f aca="false">IF(OR(D1489=1,K1488=""),"",K1488)</f>
        <v>1013.1</v>
      </c>
      <c r="Q1489" s="56" t="n">
        <f aca="false">IF(OR(F1489&lt;&gt;0,AND(I1489&lt;&gt;"",E1489&lt;I1489)),1,0)</f>
        <v>0</v>
      </c>
      <c r="R1489" s="56" t="n">
        <f aca="false">IF(AND(D1489&gt;1,Q1489=0,ISNUMBER(O1489),ISNUMBER(P1489)),IF(Q1488=0,1,0),0)</f>
        <v>1</v>
      </c>
      <c r="S1489" s="56" t="n">
        <f aca="false">R1489*(B1489&gt;=Train_Start)*(B1489&lt;=Train_End)</f>
        <v>1</v>
      </c>
      <c r="T1489" s="84" t="n">
        <f aca="false">IF(AND(ISNUMBER(O1489),ISNUMBER(P1489)),Coef_A+Coef_B1*O1489+Coef_B2*P1489,"")</f>
        <v>21.647476164716</v>
      </c>
      <c r="U1489" s="84" t="n">
        <f aca="false">IF(AND(R1489=1,ISNUMBER(T1489)),E1489-T1489,"")</f>
        <v>-0.447476164716022</v>
      </c>
      <c r="V1489" s="84" t="n">
        <f aca="false">IF(ISNUMBER(T1489),T1489,-99)</f>
        <v>21.647476164716</v>
      </c>
      <c r="W1489" s="84" t="n">
        <f aca="false">IF(ISNUMBER(U1489),ABS(U1489),"")</f>
        <v>0.447476164716022</v>
      </c>
    </row>
    <row r="1490" customFormat="false" ht="15" hidden="false" customHeight="false" outlineLevel="0" collapsed="false">
      <c r="A1490" s="57" t="n">
        <v>32375</v>
      </c>
      <c r="B1490" s="56" t="n">
        <v>1988</v>
      </c>
      <c r="C1490" s="56" t="n">
        <v>8</v>
      </c>
      <c r="D1490" s="56" t="n">
        <v>112</v>
      </c>
      <c r="E1490" s="56" t="n">
        <v>16.9</v>
      </c>
      <c r="F1490" s="56" t="n">
        <v>1</v>
      </c>
      <c r="G1490" s="56" t="n">
        <v>12.8</v>
      </c>
      <c r="H1490" s="56" t="n">
        <v>0</v>
      </c>
      <c r="I1490" s="56" t="n">
        <v>17</v>
      </c>
      <c r="J1490" s="56" t="n">
        <v>1</v>
      </c>
      <c r="K1490" s="56" t="n">
        <v>1002.5</v>
      </c>
      <c r="L1490" s="56" t="n">
        <v>0</v>
      </c>
      <c r="M1490" s="56" t="n">
        <v>74</v>
      </c>
      <c r="N1490" s="56" t="n">
        <v>8.1</v>
      </c>
      <c r="O1490" s="56" t="n">
        <f aca="false">IF(D1490=1,"",E1489)</f>
        <v>21.2</v>
      </c>
      <c r="P1490" s="56" t="n">
        <f aca="false">IF(OR(D1490=1,K1489=""),"",K1489)</f>
        <v>1002.3</v>
      </c>
      <c r="Q1490" s="56" t="n">
        <f aca="false">IF(OR(F1490&lt;&gt;0,AND(I1490&lt;&gt;"",E1490&lt;I1490)),1,0)</f>
        <v>1</v>
      </c>
      <c r="R1490" s="56" t="n">
        <f aca="false">IF(AND(D1490&gt;1,Q1490=0,ISNUMBER(O1490),ISNUMBER(P1490)),IF(Q1489=0,1,0),0)</f>
        <v>0</v>
      </c>
      <c r="S1490" s="56" t="n">
        <f aca="false">R1490*(B1490&gt;=Train_Start)*(B1490&lt;=Train_End)</f>
        <v>0</v>
      </c>
      <c r="T1490" s="84" t="n">
        <f aca="false">IF(AND(ISNUMBER(O1490),ISNUMBER(P1490)),Coef_A+Coef_B1*O1490+Coef_B2*P1490,"")</f>
        <v>20.8990117061476</v>
      </c>
      <c r="U1490" s="84" t="str">
        <f aca="false">IF(AND(R1490=1,ISNUMBER(T1490)),E1490-T1490,"")</f>
        <v/>
      </c>
      <c r="V1490" s="84" t="n">
        <f aca="false">IF(ISNUMBER(T1490),T1490,-99)</f>
        <v>20.8990117061476</v>
      </c>
      <c r="W1490" s="84" t="str">
        <f aca="false">IF(ISNUMBER(U1490),ABS(U1490),"")</f>
        <v/>
      </c>
    </row>
    <row r="1491" customFormat="false" ht="15" hidden="false" customHeight="false" outlineLevel="0" collapsed="false">
      <c r="A1491" s="57" t="n">
        <v>32376</v>
      </c>
      <c r="B1491" s="56" t="n">
        <v>1988</v>
      </c>
      <c r="C1491" s="56" t="n">
        <v>8</v>
      </c>
      <c r="D1491" s="56" t="n">
        <v>113</v>
      </c>
      <c r="E1491" s="56" t="n">
        <v>19.5</v>
      </c>
      <c r="F1491" s="56" t="n">
        <v>0</v>
      </c>
      <c r="G1491" s="56" t="n">
        <v>13</v>
      </c>
      <c r="H1491" s="56" t="n">
        <v>0</v>
      </c>
      <c r="I1491" s="56" t="n">
        <v>15</v>
      </c>
      <c r="J1491" s="56" t="n">
        <v>0</v>
      </c>
      <c r="K1491" s="56" t="n">
        <v>1011.1</v>
      </c>
      <c r="L1491" s="56" t="n">
        <v>0</v>
      </c>
      <c r="M1491" s="56" t="n">
        <v>79</v>
      </c>
      <c r="N1491" s="56" t="n">
        <v>0.1</v>
      </c>
      <c r="O1491" s="56" t="n">
        <f aca="false">IF(D1491=1,"",E1490)</f>
        <v>16.9</v>
      </c>
      <c r="P1491" s="56" t="n">
        <f aca="false">IF(OR(D1491=1,K1490=""),"",K1490)</f>
        <v>1002.5</v>
      </c>
      <c r="Q1491" s="56" t="n">
        <f aca="false">IF(OR(F1491&lt;&gt;0,AND(I1491&lt;&gt;"",E1491&lt;I1491)),1,0)</f>
        <v>0</v>
      </c>
      <c r="R1491" s="56" t="n">
        <f aca="false">IF(AND(D1491&gt;1,Q1491=0,ISNUMBER(O1491),ISNUMBER(P1491)),IF(Q1490=0,1,0),0)</f>
        <v>0</v>
      </c>
      <c r="S1491" s="56" t="n">
        <f aca="false">R1491*(B1491&gt;=Train_Start)*(B1491&lt;=Train_End)</f>
        <v>0</v>
      </c>
      <c r="T1491" s="84" t="n">
        <f aca="false">IF(AND(ISNUMBER(O1491),ISNUMBER(P1491)),Coef_A+Coef_B1*O1491+Coef_B2*P1491,"")</f>
        <v>17.382127154991</v>
      </c>
      <c r="U1491" s="84" t="str">
        <f aca="false">IF(AND(R1491=1,ISNUMBER(T1491)),E1491-T1491,"")</f>
        <v/>
      </c>
      <c r="V1491" s="84" t="n">
        <f aca="false">IF(ISNUMBER(T1491),T1491,-99)</f>
        <v>17.382127154991</v>
      </c>
      <c r="W1491" s="84" t="str">
        <f aca="false">IF(ISNUMBER(U1491),ABS(U1491),"")</f>
        <v/>
      </c>
    </row>
    <row r="1492" customFormat="false" ht="15" hidden="false" customHeight="false" outlineLevel="0" collapsed="false">
      <c r="A1492" s="57" t="n">
        <v>32377</v>
      </c>
      <c r="B1492" s="56" t="n">
        <v>1988</v>
      </c>
      <c r="C1492" s="56" t="n">
        <v>8</v>
      </c>
      <c r="D1492" s="56" t="n">
        <v>114</v>
      </c>
      <c r="E1492" s="56" t="n">
        <v>19.1</v>
      </c>
      <c r="F1492" s="56" t="n">
        <v>0</v>
      </c>
      <c r="G1492" s="56" t="n">
        <v>10.4</v>
      </c>
      <c r="H1492" s="56" t="n">
        <v>0</v>
      </c>
      <c r="I1492" s="56" t="n">
        <v>15</v>
      </c>
      <c r="J1492" s="56" t="n">
        <v>0</v>
      </c>
      <c r="K1492" s="56" t="n">
        <v>1019.3</v>
      </c>
      <c r="L1492" s="56" t="n">
        <v>0</v>
      </c>
      <c r="M1492" s="56" t="n">
        <v>64</v>
      </c>
      <c r="N1492" s="56" t="n">
        <v>7.7</v>
      </c>
      <c r="O1492" s="56" t="n">
        <f aca="false">IF(D1492=1,"",E1491)</f>
        <v>19.5</v>
      </c>
      <c r="P1492" s="56" t="n">
        <f aca="false">IF(OR(D1492=1,K1491=""),"",K1491)</f>
        <v>1011.1</v>
      </c>
      <c r="Q1492" s="56" t="n">
        <f aca="false">IF(OR(F1492&lt;&gt;0,AND(I1492&lt;&gt;"",E1492&lt;I1492)),1,0)</f>
        <v>0</v>
      </c>
      <c r="R1492" s="56" t="n">
        <f aca="false">IF(AND(D1492&gt;1,Q1492=0,ISNUMBER(O1492),ISNUMBER(P1492)),IF(Q1491=0,1,0),0)</f>
        <v>1</v>
      </c>
      <c r="S1492" s="56" t="n">
        <f aca="false">R1492*(B1492&gt;=Train_Start)*(B1492&lt;=Train_End)</f>
        <v>1</v>
      </c>
      <c r="T1492" s="84" t="n">
        <f aca="false">IF(AND(ISNUMBER(O1492),ISNUMBER(P1492)),Coef_A+Coef_B1*O1492+Coef_B2*P1492,"")</f>
        <v>19.7821901507542</v>
      </c>
      <c r="U1492" s="84" t="n">
        <f aca="false">IF(AND(R1492=1,ISNUMBER(T1492)),E1492-T1492,"")</f>
        <v>-0.682190150754195</v>
      </c>
      <c r="V1492" s="84" t="n">
        <f aca="false">IF(ISNUMBER(T1492),T1492,-99)</f>
        <v>19.7821901507542</v>
      </c>
      <c r="W1492" s="84" t="n">
        <f aca="false">IF(ISNUMBER(U1492),ABS(U1492),"")</f>
        <v>0.682190150754195</v>
      </c>
    </row>
    <row r="1493" customFormat="false" ht="15" hidden="false" customHeight="false" outlineLevel="0" collapsed="false">
      <c r="A1493" s="57" t="n">
        <v>32378</v>
      </c>
      <c r="B1493" s="56" t="n">
        <v>1988</v>
      </c>
      <c r="C1493" s="56" t="n">
        <v>8</v>
      </c>
      <c r="D1493" s="56" t="n">
        <v>115</v>
      </c>
      <c r="E1493" s="56" t="n">
        <v>20.8</v>
      </c>
      <c r="F1493" s="56" t="n">
        <v>0</v>
      </c>
      <c r="G1493" s="56" t="n">
        <v>11.7</v>
      </c>
      <c r="H1493" s="56" t="n">
        <v>0</v>
      </c>
      <c r="I1493" s="56" t="n">
        <v>15.4</v>
      </c>
      <c r="J1493" s="56" t="n">
        <v>0</v>
      </c>
      <c r="K1493" s="56" t="n">
        <v>1017.1</v>
      </c>
      <c r="L1493" s="56" t="n">
        <v>0</v>
      </c>
      <c r="M1493" s="56" t="n">
        <v>76</v>
      </c>
      <c r="N1493" s="56" t="n">
        <v>2</v>
      </c>
      <c r="O1493" s="56" t="n">
        <f aca="false">IF(D1493=1,"",E1492)</f>
        <v>19.1</v>
      </c>
      <c r="P1493" s="56" t="n">
        <f aca="false">IF(OR(D1493=1,K1492=""),"",K1492)</f>
        <v>1019.3</v>
      </c>
      <c r="Q1493" s="56" t="n">
        <f aca="false">IF(OR(F1493&lt;&gt;0,AND(I1493&lt;&gt;"",E1493&lt;I1493)),1,0)</f>
        <v>0</v>
      </c>
      <c r="R1493" s="56" t="n">
        <f aca="false">IF(AND(D1493&gt;1,Q1493=0,ISNUMBER(O1493),ISNUMBER(P1493)),IF(Q1492=0,1,0),0)</f>
        <v>1</v>
      </c>
      <c r="S1493" s="56" t="n">
        <f aca="false">R1493*(B1493&gt;=Train_Start)*(B1493&lt;=Train_End)</f>
        <v>1</v>
      </c>
      <c r="T1493" s="84" t="n">
        <f aca="false">IF(AND(ISNUMBER(O1493),ISNUMBER(P1493)),Coef_A+Coef_B1*O1493+Coef_B2*P1493,"")</f>
        <v>19.7116876095358</v>
      </c>
      <c r="U1493" s="84" t="n">
        <f aca="false">IF(AND(R1493=1,ISNUMBER(T1493)),E1493-T1493,"")</f>
        <v>1.08831239046416</v>
      </c>
      <c r="V1493" s="84" t="n">
        <f aca="false">IF(ISNUMBER(T1493),T1493,-99)</f>
        <v>19.7116876095358</v>
      </c>
      <c r="W1493" s="84" t="n">
        <f aca="false">IF(ISNUMBER(U1493),ABS(U1493),"")</f>
        <v>1.08831239046416</v>
      </c>
    </row>
    <row r="1494" customFormat="false" ht="15" hidden="false" customHeight="false" outlineLevel="0" collapsed="false">
      <c r="A1494" s="57" t="n">
        <v>32379</v>
      </c>
      <c r="B1494" s="56" t="n">
        <v>1988</v>
      </c>
      <c r="C1494" s="56" t="n">
        <v>8</v>
      </c>
      <c r="D1494" s="56" t="n">
        <v>116</v>
      </c>
      <c r="E1494" s="56" t="n">
        <v>19</v>
      </c>
      <c r="F1494" s="56" t="n">
        <v>0</v>
      </c>
      <c r="G1494" s="56" t="n">
        <v>13.9</v>
      </c>
      <c r="H1494" s="56" t="n">
        <v>0</v>
      </c>
      <c r="I1494" s="56" t="n">
        <v>17.4</v>
      </c>
      <c r="J1494" s="56" t="n">
        <v>0</v>
      </c>
      <c r="K1494" s="56" t="n">
        <v>1004.2</v>
      </c>
      <c r="L1494" s="56" t="n">
        <v>0</v>
      </c>
      <c r="M1494" s="56" t="n">
        <v>81</v>
      </c>
      <c r="N1494" s="56" t="n">
        <v>2.7</v>
      </c>
      <c r="O1494" s="56" t="n">
        <f aca="false">IF(D1494=1,"",E1493)</f>
        <v>20.8</v>
      </c>
      <c r="P1494" s="56" t="n">
        <f aca="false">IF(OR(D1494=1,K1493=""),"",K1493)</f>
        <v>1017.1</v>
      </c>
      <c r="Q1494" s="56" t="n">
        <f aca="false">IF(OR(F1494&lt;&gt;0,AND(I1494&lt;&gt;"",E1494&lt;I1494)),1,0)</f>
        <v>0</v>
      </c>
      <c r="R1494" s="56" t="n">
        <f aca="false">IF(AND(D1494&gt;1,Q1494=0,ISNUMBER(O1494),ISNUMBER(P1494)),IF(Q1493=0,1,0),0)</f>
        <v>1</v>
      </c>
      <c r="S1494" s="56" t="n">
        <f aca="false">R1494*(B1494&gt;=Train_Start)*(B1494&lt;=Train_End)</f>
        <v>1</v>
      </c>
      <c r="T1494" s="84" t="n">
        <f aca="false">IF(AND(ISNUMBER(O1494),ISNUMBER(P1494)),Coef_A+Coef_B1*O1494+Coef_B2*P1494,"")</f>
        <v>21.0355504695136</v>
      </c>
      <c r="U1494" s="84" t="n">
        <f aca="false">IF(AND(R1494=1,ISNUMBER(T1494)),E1494-T1494,"")</f>
        <v>-2.03555046951359</v>
      </c>
      <c r="V1494" s="84" t="n">
        <f aca="false">IF(ISNUMBER(T1494),T1494,-99)</f>
        <v>21.0355504695136</v>
      </c>
      <c r="W1494" s="84" t="n">
        <f aca="false">IF(ISNUMBER(U1494),ABS(U1494),"")</f>
        <v>2.03555046951359</v>
      </c>
    </row>
    <row r="1495" customFormat="false" ht="15" hidden="false" customHeight="false" outlineLevel="0" collapsed="false">
      <c r="A1495" s="57" t="n">
        <v>32380</v>
      </c>
      <c r="B1495" s="56" t="n">
        <v>1988</v>
      </c>
      <c r="C1495" s="56" t="n">
        <v>8</v>
      </c>
      <c r="D1495" s="56" t="n">
        <v>117</v>
      </c>
      <c r="E1495" s="56" t="n">
        <v>19.3</v>
      </c>
      <c r="F1495" s="56" t="n">
        <v>0</v>
      </c>
      <c r="G1495" s="56" t="n">
        <v>9</v>
      </c>
      <c r="H1495" s="56" t="n">
        <v>0</v>
      </c>
      <c r="I1495" s="56" t="n">
        <v>14</v>
      </c>
      <c r="J1495" s="56" t="n">
        <v>0</v>
      </c>
      <c r="K1495" s="56" t="n">
        <v>1007.7</v>
      </c>
      <c r="L1495" s="56" t="n">
        <v>0</v>
      </c>
      <c r="M1495" s="56" t="n">
        <v>67</v>
      </c>
      <c r="N1495" s="56" t="n">
        <v>7.1</v>
      </c>
      <c r="O1495" s="56" t="n">
        <f aca="false">IF(D1495=1,"",E1494)</f>
        <v>19</v>
      </c>
      <c r="P1495" s="56" t="n">
        <f aca="false">IF(OR(D1495=1,K1494=""),"",K1494)</f>
        <v>1004.2</v>
      </c>
      <c r="Q1495" s="56" t="n">
        <f aca="false">IF(OR(F1495&lt;&gt;0,AND(I1495&lt;&gt;"",E1495&lt;I1495)),1,0)</f>
        <v>0</v>
      </c>
      <c r="R1495" s="56" t="n">
        <f aca="false">IF(AND(D1495&gt;1,Q1495=0,ISNUMBER(O1495),ISNUMBER(P1495)),IF(Q1494=0,1,0),0)</f>
        <v>1</v>
      </c>
      <c r="S1495" s="56" t="n">
        <f aca="false">R1495*(B1495&gt;=Train_Start)*(B1495&lt;=Train_End)</f>
        <v>1</v>
      </c>
      <c r="T1495" s="84" t="n">
        <f aca="false">IF(AND(ISNUMBER(O1495),ISNUMBER(P1495)),Coef_A+Coef_B1*O1495+Coef_B2*P1495,"")</f>
        <v>19.1560682812583</v>
      </c>
      <c r="U1495" s="84" t="n">
        <f aca="false">IF(AND(R1495=1,ISNUMBER(T1495)),E1495-T1495,"")</f>
        <v>0.143931718741658</v>
      </c>
      <c r="V1495" s="84" t="n">
        <f aca="false">IF(ISNUMBER(T1495),T1495,-99)</f>
        <v>19.1560682812583</v>
      </c>
      <c r="W1495" s="84" t="n">
        <f aca="false">IF(ISNUMBER(U1495),ABS(U1495),"")</f>
        <v>0.143931718741658</v>
      </c>
    </row>
    <row r="1496" customFormat="false" ht="15" hidden="false" customHeight="false" outlineLevel="0" collapsed="false">
      <c r="A1496" s="57" t="n">
        <v>32381</v>
      </c>
      <c r="B1496" s="56" t="n">
        <v>1988</v>
      </c>
      <c r="C1496" s="56" t="n">
        <v>8</v>
      </c>
      <c r="D1496" s="56" t="n">
        <v>118</v>
      </c>
      <c r="E1496" s="56" t="n">
        <v>22.1</v>
      </c>
      <c r="F1496" s="56" t="n">
        <v>0</v>
      </c>
      <c r="G1496" s="56" t="n">
        <v>10.2</v>
      </c>
      <c r="H1496" s="56" t="n">
        <v>0</v>
      </c>
      <c r="I1496" s="56" t="n">
        <v>14.8</v>
      </c>
      <c r="J1496" s="56" t="n">
        <v>0</v>
      </c>
      <c r="K1496" s="56" t="n">
        <v>1010.3</v>
      </c>
      <c r="L1496" s="56" t="n">
        <v>0</v>
      </c>
      <c r="M1496" s="56" t="n">
        <v>81</v>
      </c>
      <c r="N1496" s="56" t="n">
        <v>1.1</v>
      </c>
      <c r="O1496" s="56" t="n">
        <f aca="false">IF(D1496=1,"",E1495)</f>
        <v>19.3</v>
      </c>
      <c r="P1496" s="56" t="n">
        <f aca="false">IF(OR(D1496=1,K1495=""),"",K1495)</f>
        <v>1007.7</v>
      </c>
      <c r="Q1496" s="56" t="n">
        <f aca="false">IF(OR(F1496&lt;&gt;0,AND(I1496&lt;&gt;"",E1496&lt;I1496)),1,0)</f>
        <v>0</v>
      </c>
      <c r="R1496" s="56" t="n">
        <f aca="false">IF(AND(D1496&gt;1,Q1496=0,ISNUMBER(O1496),ISNUMBER(P1496)),IF(Q1495=0,1,0),0)</f>
        <v>1</v>
      </c>
      <c r="S1496" s="56" t="n">
        <f aca="false">R1496*(B1496&gt;=Train_Start)*(B1496&lt;=Train_End)</f>
        <v>1</v>
      </c>
      <c r="T1496" s="84" t="n">
        <f aca="false">IF(AND(ISNUMBER(O1496),ISNUMBER(P1496)),Coef_A+Coef_B1*O1496+Coef_B2*P1496,"")</f>
        <v>19.5116646703901</v>
      </c>
      <c r="U1496" s="84" t="n">
        <f aca="false">IF(AND(R1496=1,ISNUMBER(T1496)),E1496-T1496,"")</f>
        <v>2.5883353296099</v>
      </c>
      <c r="V1496" s="84" t="n">
        <f aca="false">IF(ISNUMBER(T1496),T1496,-99)</f>
        <v>19.5116646703901</v>
      </c>
      <c r="W1496" s="84" t="n">
        <f aca="false">IF(ISNUMBER(U1496),ABS(U1496),"")</f>
        <v>2.5883353296099</v>
      </c>
    </row>
    <row r="1497" customFormat="false" ht="15" hidden="false" customHeight="false" outlineLevel="0" collapsed="false">
      <c r="A1497" s="57" t="n">
        <v>32382</v>
      </c>
      <c r="B1497" s="56" t="n">
        <v>1988</v>
      </c>
      <c r="C1497" s="56" t="n">
        <v>8</v>
      </c>
      <c r="D1497" s="56" t="n">
        <v>119</v>
      </c>
      <c r="E1497" s="56" t="n">
        <v>18.7</v>
      </c>
      <c r="F1497" s="56" t="n">
        <v>0</v>
      </c>
      <c r="G1497" s="56" t="n">
        <v>14.8</v>
      </c>
      <c r="H1497" s="56" t="n">
        <v>0</v>
      </c>
      <c r="I1497" s="56" t="n">
        <v>18.4</v>
      </c>
      <c r="J1497" s="56" t="n">
        <v>0</v>
      </c>
      <c r="K1497" s="56" t="n">
        <v>1010.8</v>
      </c>
      <c r="L1497" s="56" t="n">
        <v>0</v>
      </c>
      <c r="M1497" s="56" t="n">
        <v>82</v>
      </c>
      <c r="N1497" s="56" t="n">
        <v>2.8</v>
      </c>
      <c r="O1497" s="56" t="n">
        <f aca="false">IF(D1497=1,"",E1496)</f>
        <v>22.1</v>
      </c>
      <c r="P1497" s="56" t="n">
        <f aca="false">IF(OR(D1497=1,K1496=""),"",K1496)</f>
        <v>1010.3</v>
      </c>
      <c r="Q1497" s="56" t="n">
        <f aca="false">IF(OR(F1497&lt;&gt;0,AND(I1497&lt;&gt;"",E1497&lt;I1497)),1,0)</f>
        <v>0</v>
      </c>
      <c r="R1497" s="56" t="n">
        <f aca="false">IF(AND(D1497&gt;1,Q1497=0,ISNUMBER(O1497),ISNUMBER(P1497)),IF(Q1496=0,1,0),0)</f>
        <v>1</v>
      </c>
      <c r="S1497" s="56" t="n">
        <f aca="false">R1497*(B1497&gt;=Train_Start)*(B1497&lt;=Train_End)</f>
        <v>1</v>
      </c>
      <c r="T1497" s="84" t="n">
        <f aca="false">IF(AND(ISNUMBER(O1497),ISNUMBER(P1497)),Coef_A+Coef_B1*O1497+Coef_B2*P1497,"")</f>
        <v>21.8873761369579</v>
      </c>
      <c r="U1497" s="84" t="n">
        <f aca="false">IF(AND(R1497=1,ISNUMBER(T1497)),E1497-T1497,"")</f>
        <v>-3.18737613695791</v>
      </c>
      <c r="V1497" s="84" t="n">
        <f aca="false">IF(ISNUMBER(T1497),T1497,-99)</f>
        <v>21.8873761369579</v>
      </c>
      <c r="W1497" s="84" t="n">
        <f aca="false">IF(ISNUMBER(U1497),ABS(U1497),"")</f>
        <v>3.18737613695791</v>
      </c>
    </row>
    <row r="1498" customFormat="false" ht="15" hidden="false" customHeight="false" outlineLevel="0" collapsed="false">
      <c r="A1498" s="57" t="n">
        <v>32383</v>
      </c>
      <c r="B1498" s="56" t="n">
        <v>1988</v>
      </c>
      <c r="C1498" s="56" t="n">
        <v>8</v>
      </c>
      <c r="D1498" s="56" t="n">
        <v>120</v>
      </c>
      <c r="E1498" s="56" t="n">
        <v>20.6</v>
      </c>
      <c r="F1498" s="56" t="n">
        <v>0</v>
      </c>
      <c r="G1498" s="56" t="n">
        <v>15</v>
      </c>
      <c r="H1498" s="56" t="n">
        <v>0</v>
      </c>
      <c r="I1498" s="56" t="n">
        <v>16.8</v>
      </c>
      <c r="J1498" s="56" t="n">
        <v>0</v>
      </c>
      <c r="K1498" s="56" t="n">
        <v>1005.2</v>
      </c>
      <c r="L1498" s="56" t="n">
        <v>0</v>
      </c>
      <c r="M1498" s="56" t="n">
        <v>81</v>
      </c>
      <c r="N1498" s="56" t="n">
        <v>3.1</v>
      </c>
      <c r="O1498" s="56" t="n">
        <f aca="false">IF(D1498=1,"",E1497)</f>
        <v>18.7</v>
      </c>
      <c r="P1498" s="56" t="n">
        <f aca="false">IF(OR(D1498=1,K1497=""),"",K1497)</f>
        <v>1010.8</v>
      </c>
      <c r="Q1498" s="56" t="n">
        <f aca="false">IF(OR(F1498&lt;&gt;0,AND(I1498&lt;&gt;"",E1498&lt;I1498)),1,0)</f>
        <v>0</v>
      </c>
      <c r="R1498" s="56" t="n">
        <f aca="false">IF(AND(D1498&gt;1,Q1498=0,ISNUMBER(O1498),ISNUMBER(P1498)),IF(Q1497=0,1,0),0)</f>
        <v>1</v>
      </c>
      <c r="S1498" s="56" t="n">
        <f aca="false">R1498*(B1498&gt;=Train_Start)*(B1498&lt;=Train_End)</f>
        <v>1</v>
      </c>
      <c r="T1498" s="84" t="n">
        <f aca="false">IF(AND(ISNUMBER(O1498),ISNUMBER(P1498)),Coef_A+Coef_B1*O1498+Coef_B2*P1498,"")</f>
        <v>19.1173078279299</v>
      </c>
      <c r="U1498" s="84" t="n">
        <f aca="false">IF(AND(R1498=1,ISNUMBER(T1498)),E1498-T1498,"")</f>
        <v>1.48269217207013</v>
      </c>
      <c r="V1498" s="84" t="n">
        <f aca="false">IF(ISNUMBER(T1498),T1498,-99)</f>
        <v>19.1173078279299</v>
      </c>
      <c r="W1498" s="84" t="n">
        <f aca="false">IF(ISNUMBER(U1498),ABS(U1498),"")</f>
        <v>1.48269217207013</v>
      </c>
    </row>
    <row r="1499" customFormat="false" ht="15" hidden="false" customHeight="false" outlineLevel="0" collapsed="false">
      <c r="A1499" s="57" t="n">
        <v>32384</v>
      </c>
      <c r="B1499" s="56" t="n">
        <v>1988</v>
      </c>
      <c r="C1499" s="56" t="n">
        <v>8</v>
      </c>
      <c r="D1499" s="56" t="n">
        <v>121</v>
      </c>
      <c r="E1499" s="56" t="n">
        <v>21</v>
      </c>
      <c r="F1499" s="56" t="n">
        <v>0</v>
      </c>
      <c r="G1499" s="56" t="n">
        <v>8.5</v>
      </c>
      <c r="H1499" s="56" t="n">
        <v>0</v>
      </c>
      <c r="I1499" s="56" t="n">
        <v>14.6</v>
      </c>
      <c r="J1499" s="56" t="n">
        <v>0</v>
      </c>
      <c r="K1499" s="56" t="n">
        <v>1008.6</v>
      </c>
      <c r="L1499" s="56" t="n">
        <v>0</v>
      </c>
      <c r="M1499" s="56" t="n">
        <v>71</v>
      </c>
      <c r="N1499" s="56" t="n">
        <v>9.8</v>
      </c>
      <c r="O1499" s="56" t="n">
        <f aca="false">IF(D1499=1,"",E1498)</f>
        <v>20.6</v>
      </c>
      <c r="P1499" s="56" t="n">
        <f aca="false">IF(OR(D1499=1,K1498=""),"",K1498)</f>
        <v>1005.2</v>
      </c>
      <c r="Q1499" s="56" t="n">
        <f aca="false">IF(OR(F1499&lt;&gt;0,AND(I1499&lt;&gt;"",E1499&lt;I1499)),1,0)</f>
        <v>0</v>
      </c>
      <c r="R1499" s="56" t="n">
        <f aca="false">IF(AND(D1499&gt;1,Q1499=0,ISNUMBER(O1499),ISNUMBER(P1499)),IF(Q1498=0,1,0),0)</f>
        <v>1</v>
      </c>
      <c r="S1499" s="56" t="n">
        <f aca="false">R1499*(B1499&gt;=Train_Start)*(B1499&lt;=Train_End)</f>
        <v>1</v>
      </c>
      <c r="T1499" s="84" t="n">
        <f aca="false">IF(AND(ISNUMBER(O1499),ISNUMBER(P1499)),Coef_A+Coef_B1*O1499+Coef_B2*P1499,"")</f>
        <v>20.4983808847606</v>
      </c>
      <c r="U1499" s="84" t="n">
        <f aca="false">IF(AND(R1499=1,ISNUMBER(T1499)),E1499-T1499,"")</f>
        <v>0.501619115239414</v>
      </c>
      <c r="V1499" s="84" t="n">
        <f aca="false">IF(ISNUMBER(T1499),T1499,-99)</f>
        <v>20.4983808847606</v>
      </c>
      <c r="W1499" s="84" t="n">
        <f aca="false">IF(ISNUMBER(U1499),ABS(U1499),"")</f>
        <v>0.501619115239414</v>
      </c>
    </row>
    <row r="1500" customFormat="false" ht="15" hidden="false" customHeight="false" outlineLevel="0" collapsed="false">
      <c r="A1500" s="57" t="n">
        <v>32385</v>
      </c>
      <c r="B1500" s="56" t="n">
        <v>1988</v>
      </c>
      <c r="C1500" s="56" t="n">
        <v>8</v>
      </c>
      <c r="D1500" s="56" t="n">
        <v>122</v>
      </c>
      <c r="E1500" s="56" t="n">
        <v>20.1</v>
      </c>
      <c r="F1500" s="56" t="n">
        <v>0</v>
      </c>
      <c r="G1500" s="56" t="n">
        <v>10.9</v>
      </c>
      <c r="H1500" s="56" t="n">
        <v>0</v>
      </c>
      <c r="I1500" s="56" t="n">
        <v>16</v>
      </c>
      <c r="J1500" s="56" t="n">
        <v>0</v>
      </c>
      <c r="K1500" s="56" t="n">
        <v>1011.7</v>
      </c>
      <c r="L1500" s="56" t="n">
        <v>0</v>
      </c>
      <c r="M1500" s="56" t="n">
        <v>71</v>
      </c>
      <c r="N1500" s="56" t="n">
        <v>5.7</v>
      </c>
      <c r="O1500" s="56" t="n">
        <f aca="false">IF(D1500=1,"",E1499)</f>
        <v>21</v>
      </c>
      <c r="P1500" s="56" t="n">
        <f aca="false">IF(OR(D1500=1,K1499=""),"",K1499)</f>
        <v>1008.6</v>
      </c>
      <c r="Q1500" s="56" t="n">
        <f aca="false">IF(OR(F1500&lt;&gt;0,AND(I1500&lt;&gt;"",E1500&lt;I1500)),1,0)</f>
        <v>0</v>
      </c>
      <c r="R1500" s="56" t="n">
        <f aca="false">IF(AND(D1500&gt;1,Q1500=0,ISNUMBER(O1500),ISNUMBER(P1500)),IF(Q1499=0,1,0),0)</f>
        <v>1</v>
      </c>
      <c r="S1500" s="56" t="n">
        <f aca="false">R1500*(B1500&gt;=Train_Start)*(B1500&lt;=Train_End)</f>
        <v>1</v>
      </c>
      <c r="T1500" s="84" t="n">
        <f aca="false">IF(AND(ISNUMBER(O1500),ISNUMBER(P1500)),Coef_A+Coef_B1*O1500+Coef_B2*P1500,"")</f>
        <v>20.9327742037332</v>
      </c>
      <c r="U1500" s="84" t="n">
        <f aca="false">IF(AND(R1500=1,ISNUMBER(T1500)),E1500-T1500,"")</f>
        <v>-0.832774203733209</v>
      </c>
      <c r="V1500" s="84" t="n">
        <f aca="false">IF(ISNUMBER(T1500),T1500,-99)</f>
        <v>20.9327742037332</v>
      </c>
      <c r="W1500" s="84" t="n">
        <f aca="false">IF(ISNUMBER(U1500),ABS(U1500),"")</f>
        <v>0.832774203733209</v>
      </c>
    </row>
    <row r="1501" customFormat="false" ht="15" hidden="false" customHeight="false" outlineLevel="0" collapsed="false">
      <c r="A1501" s="57" t="n">
        <v>32386</v>
      </c>
      <c r="B1501" s="56" t="n">
        <v>1988</v>
      </c>
      <c r="C1501" s="56" t="n">
        <v>8</v>
      </c>
      <c r="D1501" s="56" t="n">
        <v>123</v>
      </c>
      <c r="E1501" s="56" t="n">
        <v>18.9</v>
      </c>
      <c r="F1501" s="56" t="n">
        <v>0</v>
      </c>
      <c r="G1501" s="56" t="n">
        <v>13.7</v>
      </c>
      <c r="H1501" s="56" t="n">
        <v>0</v>
      </c>
      <c r="I1501" s="56" t="n">
        <v>16.9</v>
      </c>
      <c r="J1501" s="56" t="n">
        <v>0</v>
      </c>
      <c r="K1501" s="56" t="n">
        <v>1008.2</v>
      </c>
      <c r="L1501" s="56" t="n">
        <v>0</v>
      </c>
      <c r="M1501" s="56" t="n">
        <v>76</v>
      </c>
      <c r="N1501" s="56" t="n">
        <v>6.1</v>
      </c>
      <c r="O1501" s="56" t="n">
        <f aca="false">IF(D1501=1,"",E1500)</f>
        <v>20.1</v>
      </c>
      <c r="P1501" s="56" t="n">
        <f aca="false">IF(OR(D1501=1,K1500=""),"",K1500)</f>
        <v>1011.7</v>
      </c>
      <c r="Q1501" s="56" t="n">
        <f aca="false">IF(OR(F1501&lt;&gt;0,AND(I1501&lt;&gt;"",E1501&lt;I1501)),1,0)</f>
        <v>0</v>
      </c>
      <c r="R1501" s="56" t="n">
        <f aca="false">IF(AND(D1501&gt;1,Q1501=0,ISNUMBER(O1501),ISNUMBER(P1501)),IF(Q1500=0,1,0),0)</f>
        <v>1</v>
      </c>
      <c r="S1501" s="56" t="n">
        <f aca="false">R1501*(B1501&gt;=Train_Start)*(B1501&lt;=Train_End)</f>
        <v>1</v>
      </c>
      <c r="T1501" s="84" t="n">
        <f aca="false">IF(AND(ISNUMBER(O1501),ISNUMBER(P1501)),Coef_A+Coef_B1*O1501+Coef_B2*P1501,"")</f>
        <v>20.2926156033602</v>
      </c>
      <c r="U1501" s="84" t="n">
        <f aca="false">IF(AND(R1501=1,ISNUMBER(T1501)),E1501-T1501,"")</f>
        <v>-1.39261560336019</v>
      </c>
      <c r="V1501" s="84" t="n">
        <f aca="false">IF(ISNUMBER(T1501),T1501,-99)</f>
        <v>20.2926156033602</v>
      </c>
      <c r="W1501" s="84" t="n">
        <f aca="false">IF(ISNUMBER(U1501),ABS(U1501),"")</f>
        <v>1.39261560336019</v>
      </c>
    </row>
    <row r="1502" customFormat="false" ht="15" hidden="false" customHeight="false" outlineLevel="0" collapsed="false">
      <c r="A1502" s="57" t="n">
        <v>32387</v>
      </c>
      <c r="B1502" s="56" t="n">
        <v>1988</v>
      </c>
      <c r="C1502" s="56" t="n">
        <v>9</v>
      </c>
      <c r="D1502" s="56" t="n">
        <v>124</v>
      </c>
      <c r="E1502" s="56" t="n">
        <v>17.2</v>
      </c>
      <c r="F1502" s="56" t="n">
        <v>0</v>
      </c>
      <c r="G1502" s="56" t="n">
        <v>12.2</v>
      </c>
      <c r="H1502" s="56" t="n">
        <v>0</v>
      </c>
      <c r="I1502" s="56" t="n">
        <v>15.6</v>
      </c>
      <c r="J1502" s="56" t="n">
        <v>0</v>
      </c>
      <c r="K1502" s="56" t="n">
        <v>991.5</v>
      </c>
      <c r="L1502" s="56" t="n">
        <v>0</v>
      </c>
      <c r="M1502" s="56" t="n">
        <v>85</v>
      </c>
      <c r="N1502" s="56" t="n">
        <v>2.9</v>
      </c>
      <c r="O1502" s="56" t="n">
        <f aca="false">IF(D1502=1,"",E1501)</f>
        <v>18.9</v>
      </c>
      <c r="P1502" s="56" t="n">
        <f aca="false">IF(OR(D1502=1,K1501=""),"",K1501)</f>
        <v>1008.2</v>
      </c>
      <c r="Q1502" s="56" t="n">
        <f aca="false">IF(OR(F1502&lt;&gt;0,AND(I1502&lt;&gt;"",E1502&lt;I1502)),1,0)</f>
        <v>0</v>
      </c>
      <c r="R1502" s="56" t="n">
        <f aca="false">IF(AND(D1502&gt;1,Q1502=0,ISNUMBER(O1502),ISNUMBER(P1502)),IF(Q1501=0,1,0),0)</f>
        <v>1</v>
      </c>
      <c r="S1502" s="56" t="n">
        <f aca="false">R1502*(B1502&gt;=Train_Start)*(B1502&lt;=Train_End)</f>
        <v>1</v>
      </c>
      <c r="T1502" s="84" t="n">
        <f aca="false">IF(AND(ISNUMBER(O1502),ISNUMBER(P1502)),Coef_A+Coef_B1*O1502+Coef_B2*P1502,"")</f>
        <v>19.19961394049</v>
      </c>
      <c r="U1502" s="84" t="n">
        <f aca="false">IF(AND(R1502=1,ISNUMBER(T1502)),E1502-T1502,"")</f>
        <v>-1.99961394049003</v>
      </c>
      <c r="V1502" s="84" t="n">
        <f aca="false">IF(ISNUMBER(T1502),T1502,-99)</f>
        <v>19.19961394049</v>
      </c>
      <c r="W1502" s="84" t="n">
        <f aca="false">IF(ISNUMBER(U1502),ABS(U1502),"")</f>
        <v>1.99961394049003</v>
      </c>
    </row>
    <row r="1503" customFormat="false" ht="15" hidden="false" customHeight="false" outlineLevel="0" collapsed="false">
      <c r="A1503" s="57" t="n">
        <v>32388</v>
      </c>
      <c r="B1503" s="56" t="n">
        <v>1988</v>
      </c>
      <c r="C1503" s="56" t="n">
        <v>9</v>
      </c>
      <c r="D1503" s="56" t="n">
        <v>125</v>
      </c>
      <c r="E1503" s="56" t="n">
        <v>19.2</v>
      </c>
      <c r="F1503" s="56" t="n">
        <v>0</v>
      </c>
      <c r="G1503" s="56" t="n">
        <v>11.3</v>
      </c>
      <c r="H1503" s="56" t="n">
        <v>0</v>
      </c>
      <c r="I1503" s="56" t="n">
        <v>14.2</v>
      </c>
      <c r="J1503" s="56" t="n">
        <v>0</v>
      </c>
      <c r="K1503" s="56" t="n">
        <v>993.4</v>
      </c>
      <c r="L1503" s="56" t="n">
        <v>0</v>
      </c>
      <c r="M1503" s="56" t="n">
        <v>73</v>
      </c>
      <c r="N1503" s="56" t="n">
        <v>7.4</v>
      </c>
      <c r="O1503" s="56" t="n">
        <f aca="false">IF(D1503=1,"",E1502)</f>
        <v>17.2</v>
      </c>
      <c r="P1503" s="56" t="n">
        <f aca="false">IF(OR(D1503=1,K1502=""),"",K1502)</f>
        <v>991.5</v>
      </c>
      <c r="Q1503" s="56" t="n">
        <f aca="false">IF(OR(F1503&lt;&gt;0,AND(I1503&lt;&gt;"",E1503&lt;I1503)),1,0)</f>
        <v>0</v>
      </c>
      <c r="R1503" s="56" t="n">
        <f aca="false">IF(AND(D1503&gt;1,Q1503=0,ISNUMBER(O1503),ISNUMBER(P1503)),IF(Q1502=0,1,0),0)</f>
        <v>1</v>
      </c>
      <c r="S1503" s="56" t="n">
        <f aca="false">R1503*(B1503&gt;=Train_Start)*(B1503&lt;=Train_End)</f>
        <v>1</v>
      </c>
      <c r="T1503" s="84" t="n">
        <f aca="false">IF(AND(ISNUMBER(O1503),ISNUMBER(P1503)),Coef_A+Coef_B1*O1503+Coef_B2*P1503,"")</f>
        <v>17.2828600719299</v>
      </c>
      <c r="U1503" s="84" t="n">
        <f aca="false">IF(AND(R1503=1,ISNUMBER(T1503)),E1503-T1503,"")</f>
        <v>1.91713992807011</v>
      </c>
      <c r="V1503" s="84" t="n">
        <f aca="false">IF(ISNUMBER(T1503),T1503,-99)</f>
        <v>17.2828600719299</v>
      </c>
      <c r="W1503" s="84" t="n">
        <f aca="false">IF(ISNUMBER(U1503),ABS(U1503),"")</f>
        <v>1.91713992807011</v>
      </c>
    </row>
    <row r="1504" customFormat="false" ht="15" hidden="false" customHeight="false" outlineLevel="0" collapsed="false">
      <c r="A1504" s="57" t="n">
        <v>32389</v>
      </c>
      <c r="B1504" s="56" t="n">
        <v>1988</v>
      </c>
      <c r="C1504" s="56" t="n">
        <v>9</v>
      </c>
      <c r="D1504" s="56" t="n">
        <v>126</v>
      </c>
      <c r="E1504" s="56" t="n">
        <v>20</v>
      </c>
      <c r="F1504" s="56" t="n">
        <v>0</v>
      </c>
      <c r="G1504" s="56" t="n">
        <v>11</v>
      </c>
      <c r="H1504" s="56" t="n">
        <v>0</v>
      </c>
      <c r="I1504" s="56" t="n">
        <v>15.1</v>
      </c>
      <c r="J1504" s="56" t="n">
        <v>0</v>
      </c>
      <c r="K1504" s="56" t="n">
        <v>1002.1</v>
      </c>
      <c r="L1504" s="56" t="n">
        <v>0</v>
      </c>
      <c r="M1504" s="56" t="n">
        <v>67</v>
      </c>
      <c r="N1504" s="56" t="n">
        <v>7.8</v>
      </c>
      <c r="O1504" s="56" t="n">
        <f aca="false">IF(D1504=1,"",E1503)</f>
        <v>19.2</v>
      </c>
      <c r="P1504" s="56" t="n">
        <f aca="false">IF(OR(D1504=1,K1503=""),"",K1503)</f>
        <v>993.4</v>
      </c>
      <c r="Q1504" s="56" t="n">
        <f aca="false">IF(OR(F1504&lt;&gt;0,AND(I1504&lt;&gt;"",E1504&lt;I1504)),1,0)</f>
        <v>0</v>
      </c>
      <c r="R1504" s="56" t="n">
        <f aca="false">IF(AND(D1504&gt;1,Q1504=0,ISNUMBER(O1504),ISNUMBER(P1504)),IF(Q1503=0,1,0),0)</f>
        <v>1</v>
      </c>
      <c r="S1504" s="56" t="n">
        <f aca="false">R1504*(B1504&gt;=Train_Start)*(B1504&lt;=Train_End)</f>
        <v>1</v>
      </c>
      <c r="T1504" s="84" t="n">
        <f aca="false">IF(AND(ISNUMBER(O1504),ISNUMBER(P1504)),Coef_A+Coef_B1*O1504+Coef_B2*P1504,"")</f>
        <v>18.9811412578198</v>
      </c>
      <c r="U1504" s="84" t="n">
        <f aca="false">IF(AND(R1504=1,ISNUMBER(T1504)),E1504-T1504,"")</f>
        <v>1.01885874218021</v>
      </c>
      <c r="V1504" s="84" t="n">
        <f aca="false">IF(ISNUMBER(T1504),T1504,-99)</f>
        <v>18.9811412578198</v>
      </c>
      <c r="W1504" s="84" t="n">
        <f aca="false">IF(ISNUMBER(U1504),ABS(U1504),"")</f>
        <v>1.01885874218021</v>
      </c>
    </row>
    <row r="1505" customFormat="false" ht="15" hidden="false" customHeight="false" outlineLevel="0" collapsed="false">
      <c r="A1505" s="57" t="n">
        <v>32390</v>
      </c>
      <c r="B1505" s="56" t="n">
        <v>1988</v>
      </c>
      <c r="C1505" s="56" t="n">
        <v>9</v>
      </c>
      <c r="D1505" s="56" t="n">
        <v>127</v>
      </c>
      <c r="E1505" s="56" t="n">
        <v>22.1</v>
      </c>
      <c r="F1505" s="56" t="n">
        <v>0</v>
      </c>
      <c r="G1505" s="56" t="n">
        <v>9.3</v>
      </c>
      <c r="H1505" s="56" t="n">
        <v>0</v>
      </c>
      <c r="I1505" s="56" t="n">
        <v>14.6</v>
      </c>
      <c r="J1505" s="56" t="n">
        <v>0</v>
      </c>
      <c r="K1505" s="56" t="n">
        <v>1013</v>
      </c>
      <c r="L1505" s="56" t="n">
        <v>0</v>
      </c>
      <c r="M1505" s="56" t="n">
        <v>68</v>
      </c>
      <c r="N1505" s="56" t="n">
        <v>9.9</v>
      </c>
      <c r="O1505" s="56" t="n">
        <f aca="false">IF(D1505=1,"",E1504)</f>
        <v>20</v>
      </c>
      <c r="P1505" s="56" t="n">
        <f aca="false">IF(OR(D1505=1,K1504=""),"",K1504)</f>
        <v>1002.1</v>
      </c>
      <c r="Q1505" s="56" t="n">
        <f aca="false">IF(OR(F1505&lt;&gt;0,AND(I1505&lt;&gt;"",E1505&lt;I1505)),1,0)</f>
        <v>0</v>
      </c>
      <c r="R1505" s="56" t="n">
        <f aca="false">IF(AND(D1505&gt;1,Q1505=0,ISNUMBER(O1505),ISNUMBER(P1505)),IF(Q1504=0,1,0),0)</f>
        <v>1</v>
      </c>
      <c r="S1505" s="56" t="n">
        <f aca="false">R1505*(B1505&gt;=Train_Start)*(B1505&lt;=Train_End)</f>
        <v>1</v>
      </c>
      <c r="T1505" s="84" t="n">
        <f aca="false">IF(AND(ISNUMBER(O1505),ISNUMBER(P1505)),Coef_A+Coef_B1*O1505+Coef_B2*P1505,"")</f>
        <v>19.9095306955696</v>
      </c>
      <c r="U1505" s="84" t="n">
        <f aca="false">IF(AND(R1505=1,ISNUMBER(T1505)),E1505-T1505,"")</f>
        <v>2.19046930443038</v>
      </c>
      <c r="V1505" s="84" t="n">
        <f aca="false">IF(ISNUMBER(T1505),T1505,-99)</f>
        <v>19.9095306955696</v>
      </c>
      <c r="W1505" s="84" t="n">
        <f aca="false">IF(ISNUMBER(U1505),ABS(U1505),"")</f>
        <v>2.19046930443038</v>
      </c>
    </row>
    <row r="1506" customFormat="false" ht="15" hidden="false" customHeight="false" outlineLevel="0" collapsed="false">
      <c r="A1506" s="57" t="n">
        <v>32391</v>
      </c>
      <c r="B1506" s="56" t="n">
        <v>1988</v>
      </c>
      <c r="C1506" s="56" t="n">
        <v>9</v>
      </c>
      <c r="D1506" s="56" t="n">
        <v>128</v>
      </c>
      <c r="E1506" s="56" t="n">
        <v>24.1</v>
      </c>
      <c r="F1506" s="56" t="n">
        <v>0</v>
      </c>
      <c r="G1506" s="56" t="n">
        <v>11.7</v>
      </c>
      <c r="H1506" s="56" t="n">
        <v>0</v>
      </c>
      <c r="I1506" s="56" t="n">
        <v>16.9</v>
      </c>
      <c r="J1506" s="56" t="n">
        <v>0</v>
      </c>
      <c r="K1506" s="56" t="n">
        <v>1018</v>
      </c>
      <c r="L1506" s="56" t="n">
        <v>0</v>
      </c>
      <c r="M1506" s="56" t="n">
        <v>76</v>
      </c>
      <c r="N1506" s="56" t="n">
        <v>6.4</v>
      </c>
      <c r="O1506" s="56" t="n">
        <f aca="false">IF(D1506=1,"",E1505)</f>
        <v>22.1</v>
      </c>
      <c r="P1506" s="56" t="n">
        <f aca="false">IF(OR(D1506=1,K1505=""),"",K1505)</f>
        <v>1013</v>
      </c>
      <c r="Q1506" s="56" t="n">
        <f aca="false">IF(OR(F1506&lt;&gt;0,AND(I1506&lt;&gt;"",E1506&lt;I1506)),1,0)</f>
        <v>0</v>
      </c>
      <c r="R1506" s="56" t="n">
        <f aca="false">IF(AND(D1506&gt;1,Q1506=0,ISNUMBER(O1506),ISNUMBER(P1506)),IF(Q1505=0,1,0),0)</f>
        <v>1</v>
      </c>
      <c r="S1506" s="56" t="n">
        <f aca="false">R1506*(B1506&gt;=Train_Start)*(B1506&lt;=Train_End)</f>
        <v>1</v>
      </c>
      <c r="T1506" s="84" t="n">
        <f aca="false">IF(AND(ISNUMBER(O1506),ISNUMBER(P1506)),Coef_A+Coef_B1*O1506+Coef_B2*P1506,"")</f>
        <v>21.9720748524697</v>
      </c>
      <c r="U1506" s="84" t="n">
        <f aca="false">IF(AND(R1506=1,ISNUMBER(T1506)),E1506-T1506,"")</f>
        <v>2.12792514753032</v>
      </c>
      <c r="V1506" s="84" t="n">
        <f aca="false">IF(ISNUMBER(T1506),T1506,-99)</f>
        <v>21.9720748524697</v>
      </c>
      <c r="W1506" s="84" t="n">
        <f aca="false">IF(ISNUMBER(U1506),ABS(U1506),"")</f>
        <v>2.12792514753032</v>
      </c>
    </row>
    <row r="1507" customFormat="false" ht="15" hidden="false" customHeight="false" outlineLevel="0" collapsed="false">
      <c r="A1507" s="57" t="n">
        <v>32392</v>
      </c>
      <c r="B1507" s="56" t="n">
        <v>1988</v>
      </c>
      <c r="C1507" s="56" t="n">
        <v>9</v>
      </c>
      <c r="D1507" s="56" t="n">
        <v>129</v>
      </c>
      <c r="E1507" s="56" t="n">
        <v>26.2</v>
      </c>
      <c r="F1507" s="56" t="n">
        <v>0</v>
      </c>
      <c r="G1507" s="56" t="n">
        <v>10.1</v>
      </c>
      <c r="H1507" s="56" t="n">
        <v>0</v>
      </c>
      <c r="I1507" s="56" t="n">
        <v>17.1</v>
      </c>
      <c r="J1507" s="56" t="n">
        <v>0</v>
      </c>
      <c r="K1507" s="56" t="n">
        <v>1025.5</v>
      </c>
      <c r="L1507" s="56" t="n">
        <v>0</v>
      </c>
      <c r="M1507" s="56" t="n">
        <v>74</v>
      </c>
      <c r="N1507" s="56" t="n">
        <v>7.7</v>
      </c>
      <c r="O1507" s="56" t="n">
        <f aca="false">IF(D1507=1,"",E1506)</f>
        <v>24.1</v>
      </c>
      <c r="P1507" s="56" t="n">
        <f aca="false">IF(OR(D1507=1,K1506=""),"",K1506)</f>
        <v>1018</v>
      </c>
      <c r="Q1507" s="56" t="n">
        <f aca="false">IF(OR(F1507&lt;&gt;0,AND(I1507&lt;&gt;"",E1507&lt;I1507)),1,0)</f>
        <v>0</v>
      </c>
      <c r="R1507" s="56" t="n">
        <f aca="false">IF(AND(D1507&gt;1,Q1507=0,ISNUMBER(O1507),ISNUMBER(P1507)),IF(Q1506=0,1,0),0)</f>
        <v>1</v>
      </c>
      <c r="S1507" s="56" t="n">
        <f aca="false">R1507*(B1507&gt;=Train_Start)*(B1507&lt;=Train_End)</f>
        <v>1</v>
      </c>
      <c r="T1507" s="84" t="n">
        <f aca="false">IF(AND(ISNUMBER(O1507),ISNUMBER(P1507)),Coef_A+Coef_B1*O1507+Coef_B2*P1507,"")</f>
        <v>23.767602711725</v>
      </c>
      <c r="U1507" s="84" t="n">
        <f aca="false">IF(AND(R1507=1,ISNUMBER(T1507)),E1507-T1507,"")</f>
        <v>2.43239728827505</v>
      </c>
      <c r="V1507" s="84" t="n">
        <f aca="false">IF(ISNUMBER(T1507),T1507,-99)</f>
        <v>23.767602711725</v>
      </c>
      <c r="W1507" s="84" t="n">
        <f aca="false">IF(ISNUMBER(U1507),ABS(U1507),"")</f>
        <v>2.43239728827505</v>
      </c>
    </row>
    <row r="1508" customFormat="false" ht="15" hidden="false" customHeight="false" outlineLevel="0" collapsed="false">
      <c r="A1508" s="57" t="n">
        <v>32393</v>
      </c>
      <c r="B1508" s="56" t="n">
        <v>1988</v>
      </c>
      <c r="C1508" s="56" t="n">
        <v>9</v>
      </c>
      <c r="D1508" s="56" t="n">
        <v>130</v>
      </c>
      <c r="E1508" s="56" t="n">
        <v>25.7</v>
      </c>
      <c r="F1508" s="56" t="n">
        <v>0</v>
      </c>
      <c r="G1508" s="56" t="n">
        <v>12.7</v>
      </c>
      <c r="H1508" s="56" t="n">
        <v>0</v>
      </c>
      <c r="I1508" s="56" t="n">
        <v>19.4</v>
      </c>
      <c r="J1508" s="56" t="n">
        <v>0</v>
      </c>
      <c r="K1508" s="56" t="n">
        <v>1025.2</v>
      </c>
      <c r="L1508" s="56" t="n">
        <v>0</v>
      </c>
      <c r="M1508" s="56" t="n">
        <v>68</v>
      </c>
      <c r="N1508" s="56" t="n">
        <v>11.2</v>
      </c>
      <c r="O1508" s="56" t="n">
        <f aca="false">IF(D1508=1,"",E1507)</f>
        <v>26.2</v>
      </c>
      <c r="P1508" s="56" t="n">
        <f aca="false">IF(OR(D1508=1,K1507=""),"",K1507)</f>
        <v>1025.5</v>
      </c>
      <c r="Q1508" s="56" t="n">
        <f aca="false">IF(OR(F1508&lt;&gt;0,AND(I1508&lt;&gt;"",E1508&lt;I1508)),1,0)</f>
        <v>0</v>
      </c>
      <c r="R1508" s="56" t="n">
        <f aca="false">IF(AND(D1508&gt;1,Q1508=0,ISNUMBER(O1508),ISNUMBER(P1508)),IF(Q1507=0,1,0),0)</f>
        <v>1</v>
      </c>
      <c r="S1508" s="56" t="n">
        <f aca="false">R1508*(B1508&gt;=Train_Start)*(B1508&lt;=Train_End)</f>
        <v>1</v>
      </c>
      <c r="T1508" s="84" t="n">
        <f aca="false">IF(AND(ISNUMBER(O1508),ISNUMBER(P1508)),Coef_A+Coef_B1*O1508+Coef_B2*P1508,"")</f>
        <v>25.7234892268694</v>
      </c>
      <c r="U1508" s="84" t="n">
        <f aca="false">IF(AND(R1508=1,ISNUMBER(T1508)),E1508-T1508,"")</f>
        <v>-0.0234892268694438</v>
      </c>
      <c r="V1508" s="84" t="n">
        <f aca="false">IF(ISNUMBER(T1508),T1508,-99)</f>
        <v>25.7234892268694</v>
      </c>
      <c r="W1508" s="84" t="n">
        <f aca="false">IF(ISNUMBER(U1508),ABS(U1508),"")</f>
        <v>0.0234892268694438</v>
      </c>
    </row>
    <row r="1509" customFormat="false" ht="15" hidden="false" customHeight="false" outlineLevel="0" collapsed="false">
      <c r="A1509" s="57" t="n">
        <v>32394</v>
      </c>
      <c r="B1509" s="56" t="n">
        <v>1988</v>
      </c>
      <c r="C1509" s="56" t="n">
        <v>9</v>
      </c>
      <c r="D1509" s="56" t="n">
        <v>131</v>
      </c>
      <c r="E1509" s="56" t="n">
        <v>22.8</v>
      </c>
      <c r="F1509" s="56" t="n">
        <v>0</v>
      </c>
      <c r="G1509" s="56" t="n">
        <v>14.7</v>
      </c>
      <c r="H1509" s="56" t="n">
        <v>0</v>
      </c>
      <c r="I1509" s="56" t="n">
        <v>20.2</v>
      </c>
      <c r="J1509" s="56" t="n">
        <v>0</v>
      </c>
      <c r="K1509" s="56" t="n">
        <v>1018.2</v>
      </c>
      <c r="L1509" s="56" t="n">
        <v>0</v>
      </c>
      <c r="M1509" s="56" t="n">
        <v>66</v>
      </c>
      <c r="N1509" s="56" t="n">
        <v>8.6</v>
      </c>
      <c r="O1509" s="56" t="n">
        <f aca="false">IF(D1509=1,"",E1508)</f>
        <v>25.7</v>
      </c>
      <c r="P1509" s="56" t="n">
        <f aca="false">IF(OR(D1509=1,K1508=""),"",K1508)</f>
        <v>1025.2</v>
      </c>
      <c r="Q1509" s="56" t="n">
        <f aca="false">IF(OR(F1509&lt;&gt;0,AND(I1509&lt;&gt;"",E1509&lt;I1509)),1,0)</f>
        <v>0</v>
      </c>
      <c r="R1509" s="56" t="n">
        <f aca="false">IF(AND(D1509&gt;1,Q1509=0,ISNUMBER(O1509),ISNUMBER(P1509)),IF(Q1508=0,1,0),0)</f>
        <v>1</v>
      </c>
      <c r="S1509" s="56" t="n">
        <f aca="false">R1509*(B1509&gt;=Train_Start)*(B1509&lt;=Train_End)</f>
        <v>1</v>
      </c>
      <c r="T1509" s="84" t="n">
        <f aca="false">IF(AND(ISNUMBER(O1509),ISNUMBER(P1509)),Coef_A+Coef_B1*O1509+Coef_B2*P1509,"")</f>
        <v>25.3044086619579</v>
      </c>
      <c r="U1509" s="84" t="n">
        <f aca="false">IF(AND(R1509=1,ISNUMBER(T1509)),E1509-T1509,"")</f>
        <v>-2.50440866195792</v>
      </c>
      <c r="V1509" s="84" t="n">
        <f aca="false">IF(ISNUMBER(T1509),T1509,-99)</f>
        <v>25.3044086619579</v>
      </c>
      <c r="W1509" s="84" t="n">
        <f aca="false">IF(ISNUMBER(U1509),ABS(U1509),"")</f>
        <v>2.50440866195792</v>
      </c>
    </row>
    <row r="1510" customFormat="false" ht="15" hidden="false" customHeight="false" outlineLevel="0" collapsed="false">
      <c r="A1510" s="57" t="n">
        <v>32395</v>
      </c>
      <c r="B1510" s="56" t="n">
        <v>1988</v>
      </c>
      <c r="C1510" s="56" t="n">
        <v>9</v>
      </c>
      <c r="D1510" s="56" t="n">
        <v>132</v>
      </c>
      <c r="E1510" s="56" t="n">
        <v>23</v>
      </c>
      <c r="F1510" s="56" t="n">
        <v>0</v>
      </c>
      <c r="G1510" s="56" t="n">
        <v>13.8</v>
      </c>
      <c r="H1510" s="56" t="n">
        <v>0</v>
      </c>
      <c r="I1510" s="56" t="n">
        <v>18.3</v>
      </c>
      <c r="J1510" s="56" t="n">
        <v>0</v>
      </c>
      <c r="K1510" s="56" t="n">
        <v>1019.7</v>
      </c>
      <c r="L1510" s="56" t="n">
        <v>0</v>
      </c>
      <c r="M1510" s="56" t="n">
        <v>72</v>
      </c>
      <c r="N1510" s="56" t="n">
        <v>9.8</v>
      </c>
      <c r="O1510" s="56" t="n">
        <f aca="false">IF(D1510=1,"",E1509)</f>
        <v>22.8</v>
      </c>
      <c r="P1510" s="56" t="n">
        <f aca="false">IF(OR(D1510=1,K1509=""),"",K1509)</f>
        <v>1018.2</v>
      </c>
      <c r="Q1510" s="56" t="n">
        <f aca="false">IF(OR(F1510&lt;&gt;0,AND(I1510&lt;&gt;"",E1510&lt;I1510)),1,0)</f>
        <v>0</v>
      </c>
      <c r="R1510" s="56" t="n">
        <f aca="false">IF(AND(D1510&gt;1,Q1510=0,ISNUMBER(O1510),ISNUMBER(P1510)),IF(Q1509=0,1,0),0)</f>
        <v>1</v>
      </c>
      <c r="S1510" s="56" t="n">
        <f aca="false">R1510*(B1510&gt;=Train_Start)*(B1510&lt;=Train_End)</f>
        <v>1</v>
      </c>
      <c r="T1510" s="84" t="n">
        <f aca="false">IF(AND(ISNUMBER(O1510),ISNUMBER(P1510)),Coef_A+Coef_B1*O1510+Coef_B2*P1510,"")</f>
        <v>22.7087357396963</v>
      </c>
      <c r="U1510" s="84" t="n">
        <f aca="false">IF(AND(R1510=1,ISNUMBER(T1510)),E1510-T1510,"")</f>
        <v>0.291264260303706</v>
      </c>
      <c r="V1510" s="84" t="n">
        <f aca="false">IF(ISNUMBER(T1510),T1510,-99)</f>
        <v>22.7087357396963</v>
      </c>
      <c r="W1510" s="84" t="n">
        <f aca="false">IF(ISNUMBER(U1510),ABS(U1510),"")</f>
        <v>0.291264260303706</v>
      </c>
    </row>
    <row r="1511" customFormat="false" ht="15" hidden="false" customHeight="false" outlineLevel="0" collapsed="false">
      <c r="A1511" s="57" t="n">
        <v>32396</v>
      </c>
      <c r="B1511" s="56" t="n">
        <v>1988</v>
      </c>
      <c r="C1511" s="56" t="n">
        <v>9</v>
      </c>
      <c r="D1511" s="56" t="n">
        <v>133</v>
      </c>
      <c r="E1511" s="56" t="n">
        <v>19.1</v>
      </c>
      <c r="F1511" s="56" t="n">
        <v>0</v>
      </c>
      <c r="G1511" s="56" t="n">
        <v>10.8</v>
      </c>
      <c r="H1511" s="56" t="n">
        <v>0</v>
      </c>
      <c r="I1511" s="56" t="n">
        <v>16.9</v>
      </c>
      <c r="J1511" s="56" t="n">
        <v>0</v>
      </c>
      <c r="K1511" s="56" t="n">
        <v>1023.5</v>
      </c>
      <c r="L1511" s="56" t="n">
        <v>0</v>
      </c>
      <c r="M1511" s="56" t="n">
        <v>76</v>
      </c>
      <c r="N1511" s="56" t="n">
        <v>8</v>
      </c>
      <c r="O1511" s="56" t="n">
        <f aca="false">IF(D1511=1,"",E1510)</f>
        <v>23</v>
      </c>
      <c r="P1511" s="56" t="n">
        <f aca="false">IF(OR(D1511=1,K1510=""),"",K1510)</f>
        <v>1019.7</v>
      </c>
      <c r="Q1511" s="56" t="n">
        <f aca="false">IF(OR(F1511&lt;&gt;0,AND(I1511&lt;&gt;"",E1511&lt;I1511)),1,0)</f>
        <v>0</v>
      </c>
      <c r="R1511" s="56" t="n">
        <f aca="false">IF(AND(D1511&gt;1,Q1511=0,ISNUMBER(O1511),ISNUMBER(P1511)),IF(Q1510=0,1,0),0)</f>
        <v>1</v>
      </c>
      <c r="S1511" s="56" t="n">
        <f aca="false">R1511*(B1511&gt;=Train_Start)*(B1511&lt;=Train_End)</f>
        <v>1</v>
      </c>
      <c r="T1511" s="84" t="n">
        <f aca="false">IF(AND(ISNUMBER(O1511),ISNUMBER(P1511)),Coef_A+Coef_B1*O1511+Coef_B2*P1511,"")</f>
        <v>22.9196584202558</v>
      </c>
      <c r="U1511" s="84" t="n">
        <f aca="false">IF(AND(R1511=1,ISNUMBER(T1511)),E1511-T1511,"")</f>
        <v>-3.81965842025581</v>
      </c>
      <c r="V1511" s="84" t="n">
        <f aca="false">IF(ISNUMBER(T1511),T1511,-99)</f>
        <v>22.9196584202558</v>
      </c>
      <c r="W1511" s="84" t="n">
        <f aca="false">IF(ISNUMBER(U1511),ABS(U1511),"")</f>
        <v>3.81965842025581</v>
      </c>
    </row>
    <row r="1512" customFormat="false" ht="15" hidden="false" customHeight="false" outlineLevel="0" collapsed="false">
      <c r="A1512" s="57" t="n">
        <v>32397</v>
      </c>
      <c r="B1512" s="56" t="n">
        <v>1988</v>
      </c>
      <c r="C1512" s="56" t="n">
        <v>9</v>
      </c>
      <c r="D1512" s="56" t="n">
        <v>134</v>
      </c>
      <c r="E1512" s="56" t="n">
        <v>18.6</v>
      </c>
      <c r="F1512" s="56" t="n">
        <v>0</v>
      </c>
      <c r="G1512" s="56" t="n">
        <v>12.5</v>
      </c>
      <c r="H1512" s="56" t="n">
        <v>0</v>
      </c>
      <c r="I1512" s="56" t="n">
        <v>15.8</v>
      </c>
      <c r="J1512" s="56" t="n">
        <v>0</v>
      </c>
      <c r="K1512" s="56" t="n">
        <v>1022.1</v>
      </c>
      <c r="L1512" s="56" t="n">
        <v>0</v>
      </c>
      <c r="M1512" s="56" t="n">
        <v>76</v>
      </c>
      <c r="N1512" s="56" t="n">
        <v>4.6</v>
      </c>
      <c r="O1512" s="56" t="n">
        <f aca="false">IF(D1512=1,"",E1511)</f>
        <v>19.1</v>
      </c>
      <c r="P1512" s="56" t="n">
        <f aca="false">IF(OR(D1512=1,K1511=""),"",K1511)</f>
        <v>1023.5</v>
      </c>
      <c r="Q1512" s="56" t="n">
        <f aca="false">IF(OR(F1512&lt;&gt;0,AND(I1512&lt;&gt;"",E1512&lt;I1512)),1,0)</f>
        <v>0</v>
      </c>
      <c r="R1512" s="56" t="n">
        <f aca="false">IF(AND(D1512&gt;1,Q1512=0,ISNUMBER(O1512),ISNUMBER(P1512)),IF(Q1511=0,1,0),0)</f>
        <v>1</v>
      </c>
      <c r="S1512" s="56" t="n">
        <f aca="false">R1512*(B1512&gt;=Train_Start)*(B1512&lt;=Train_End)</f>
        <v>1</v>
      </c>
      <c r="T1512" s="84" t="n">
        <f aca="false">IF(AND(ISNUMBER(O1512),ISNUMBER(P1512)),Coef_A+Coef_B1*O1512+Coef_B2*P1512,"")</f>
        <v>19.8434411669986</v>
      </c>
      <c r="U1512" s="84" t="n">
        <f aca="false">IF(AND(R1512=1,ISNUMBER(T1512)),E1512-T1512,"")</f>
        <v>-1.2434411669986</v>
      </c>
      <c r="V1512" s="84" t="n">
        <f aca="false">IF(ISNUMBER(T1512),T1512,-99)</f>
        <v>19.8434411669986</v>
      </c>
      <c r="W1512" s="84" t="n">
        <f aca="false">IF(ISNUMBER(U1512),ABS(U1512),"")</f>
        <v>1.2434411669986</v>
      </c>
    </row>
    <row r="1513" customFormat="false" ht="15" hidden="false" customHeight="false" outlineLevel="0" collapsed="false">
      <c r="A1513" s="57" t="n">
        <v>32398</v>
      </c>
      <c r="B1513" s="56" t="n">
        <v>1988</v>
      </c>
      <c r="C1513" s="56" t="n">
        <v>9</v>
      </c>
      <c r="D1513" s="56" t="n">
        <v>135</v>
      </c>
      <c r="E1513" s="56" t="n">
        <v>14.9</v>
      </c>
      <c r="F1513" s="56" t="n">
        <v>0</v>
      </c>
      <c r="G1513" s="56" t="n">
        <v>8</v>
      </c>
      <c r="H1513" s="56" t="n">
        <v>0</v>
      </c>
      <c r="I1513" s="56" t="n">
        <v>13.3</v>
      </c>
      <c r="J1513" s="56" t="n">
        <v>0</v>
      </c>
      <c r="K1513" s="56" t="n">
        <v>1017.1</v>
      </c>
      <c r="L1513" s="56" t="n">
        <v>0</v>
      </c>
      <c r="M1513" s="56" t="n">
        <v>72</v>
      </c>
      <c r="N1513" s="56" t="n">
        <v>5.2</v>
      </c>
      <c r="O1513" s="56" t="n">
        <f aca="false">IF(D1513=1,"",E1512)</f>
        <v>18.6</v>
      </c>
      <c r="P1513" s="56" t="n">
        <f aca="false">IF(OR(D1513=1,K1512=""),"",K1512)</f>
        <v>1022.1</v>
      </c>
      <c r="Q1513" s="56" t="n">
        <f aca="false">IF(OR(F1513&lt;&gt;0,AND(I1513&lt;&gt;"",E1513&lt;I1513)),1,0)</f>
        <v>0</v>
      </c>
      <c r="R1513" s="56" t="n">
        <f aca="false">IF(AND(D1513&gt;1,Q1513=0,ISNUMBER(O1513),ISNUMBER(P1513)),IF(Q1512=0,1,0),0)</f>
        <v>1</v>
      </c>
      <c r="S1513" s="56" t="n">
        <f aca="false">R1513*(B1513&gt;=Train_Start)*(B1513&lt;=Train_End)</f>
        <v>1</v>
      </c>
      <c r="T1513" s="84" t="n">
        <f aca="false">IF(AND(ISNUMBER(O1513),ISNUMBER(P1513)),Coef_A+Coef_B1*O1513+Coef_B2*P1513,"")</f>
        <v>19.3898537179897</v>
      </c>
      <c r="U1513" s="84" t="n">
        <f aca="false">IF(AND(R1513=1,ISNUMBER(T1513)),E1513-T1513,"")</f>
        <v>-4.48985371798969</v>
      </c>
      <c r="V1513" s="84" t="n">
        <f aca="false">IF(ISNUMBER(T1513),T1513,-99)</f>
        <v>19.3898537179897</v>
      </c>
      <c r="W1513" s="84" t="n">
        <f aca="false">IF(ISNUMBER(U1513),ABS(U1513),"")</f>
        <v>4.48985371798969</v>
      </c>
    </row>
    <row r="1514" customFormat="false" ht="15" hidden="false" customHeight="false" outlineLevel="0" collapsed="false">
      <c r="A1514" s="57" t="n">
        <v>32399</v>
      </c>
      <c r="B1514" s="56" t="n">
        <v>1988</v>
      </c>
      <c r="C1514" s="56" t="n">
        <v>9</v>
      </c>
      <c r="D1514" s="56" t="n">
        <v>136</v>
      </c>
      <c r="E1514" s="56" t="n">
        <v>14.7</v>
      </c>
      <c r="F1514" s="56" t="n">
        <v>0</v>
      </c>
      <c r="G1514" s="56" t="n">
        <v>9.1</v>
      </c>
      <c r="H1514" s="56" t="n">
        <v>0</v>
      </c>
      <c r="I1514" s="56" t="n">
        <v>12</v>
      </c>
      <c r="J1514" s="56" t="n">
        <v>0</v>
      </c>
      <c r="K1514" s="56" t="n">
        <v>1016.1</v>
      </c>
      <c r="L1514" s="56" t="n">
        <v>0</v>
      </c>
      <c r="M1514" s="56" t="n">
        <v>75</v>
      </c>
      <c r="N1514" s="56" t="n">
        <v>2.6</v>
      </c>
      <c r="O1514" s="56" t="n">
        <f aca="false">IF(D1514=1,"",E1513)</f>
        <v>14.9</v>
      </c>
      <c r="P1514" s="56" t="n">
        <f aca="false">IF(OR(D1514=1,K1513=""),"",K1513)</f>
        <v>1017.1</v>
      </c>
      <c r="Q1514" s="56" t="n">
        <f aca="false">IF(OR(F1514&lt;&gt;0,AND(I1514&lt;&gt;"",E1514&lt;I1514)),1,0)</f>
        <v>0</v>
      </c>
      <c r="R1514" s="56" t="n">
        <f aca="false">IF(AND(D1514&gt;1,Q1514=0,ISNUMBER(O1514),ISNUMBER(P1514)),IF(Q1513=0,1,0),0)</f>
        <v>1</v>
      </c>
      <c r="S1514" s="56" t="n">
        <f aca="false">R1514*(B1514&gt;=Train_Start)*(B1514&lt;=Train_End)</f>
        <v>1</v>
      </c>
      <c r="T1514" s="84" t="n">
        <f aca="false">IF(AND(ISNUMBER(O1514),ISNUMBER(P1514)),Coef_A+Coef_B1*O1514+Coef_B2*P1514,"")</f>
        <v>16.2014492305619</v>
      </c>
      <c r="U1514" s="84" t="n">
        <f aca="false">IF(AND(R1514=1,ISNUMBER(T1514)),E1514-T1514,"")</f>
        <v>-1.50144923056191</v>
      </c>
      <c r="V1514" s="84" t="n">
        <f aca="false">IF(ISNUMBER(T1514),T1514,-99)</f>
        <v>16.2014492305619</v>
      </c>
      <c r="W1514" s="84" t="n">
        <f aca="false">IF(ISNUMBER(U1514),ABS(U1514),"")</f>
        <v>1.50144923056191</v>
      </c>
    </row>
    <row r="1515" customFormat="false" ht="15" hidden="false" customHeight="false" outlineLevel="0" collapsed="false">
      <c r="A1515" s="57" t="n">
        <v>32400</v>
      </c>
      <c r="B1515" s="56" t="n">
        <v>1988</v>
      </c>
      <c r="C1515" s="56" t="n">
        <v>9</v>
      </c>
      <c r="D1515" s="56" t="n">
        <v>137</v>
      </c>
      <c r="E1515" s="56" t="n">
        <v>16.1</v>
      </c>
      <c r="F1515" s="56" t="n">
        <v>0</v>
      </c>
      <c r="G1515" s="56" t="n">
        <v>10.8</v>
      </c>
      <c r="H1515" s="56" t="n">
        <v>0</v>
      </c>
      <c r="I1515" s="56" t="n">
        <v>12.8</v>
      </c>
      <c r="J1515" s="56" t="n">
        <v>0</v>
      </c>
      <c r="K1515" s="56" t="n">
        <v>1025.1</v>
      </c>
      <c r="L1515" s="56" t="n">
        <v>0</v>
      </c>
      <c r="M1515" s="56" t="n">
        <v>70</v>
      </c>
      <c r="N1515" s="56" t="n">
        <v>0.1</v>
      </c>
      <c r="O1515" s="56" t="n">
        <f aca="false">IF(D1515=1,"",E1514)</f>
        <v>14.7</v>
      </c>
      <c r="P1515" s="56" t="n">
        <f aca="false">IF(OR(D1515=1,K1514=""),"",K1514)</f>
        <v>1016.1</v>
      </c>
      <c r="Q1515" s="56" t="n">
        <f aca="false">IF(OR(F1515&lt;&gt;0,AND(I1515&lt;&gt;"",E1515&lt;I1515)),1,0)</f>
        <v>0</v>
      </c>
      <c r="R1515" s="56" t="n">
        <f aca="false">IF(AND(D1515&gt;1,Q1515=0,ISNUMBER(O1515),ISNUMBER(P1515)),IF(Q1514=0,1,0),0)</f>
        <v>1</v>
      </c>
      <c r="S1515" s="56" t="n">
        <f aca="false">R1515*(B1515&gt;=Train_Start)*(B1515&lt;=Train_End)</f>
        <v>1</v>
      </c>
      <c r="T1515" s="84" t="n">
        <f aca="false">IF(AND(ISNUMBER(O1515),ISNUMBER(P1515)),Coef_A+Coef_B1*O1515+Coef_B2*P1515,"")</f>
        <v>16.0062114973194</v>
      </c>
      <c r="U1515" s="84" t="n">
        <f aca="false">IF(AND(R1515=1,ISNUMBER(T1515)),E1515-T1515,"")</f>
        <v>0.0937885026806171</v>
      </c>
      <c r="V1515" s="84" t="n">
        <f aca="false">IF(ISNUMBER(T1515),T1515,-99)</f>
        <v>16.0062114973194</v>
      </c>
      <c r="W1515" s="84" t="n">
        <f aca="false">IF(ISNUMBER(U1515),ABS(U1515),"")</f>
        <v>0.0937885026806171</v>
      </c>
    </row>
    <row r="1516" customFormat="false" ht="15" hidden="false" customHeight="false" outlineLevel="0" collapsed="false">
      <c r="A1516" s="57" t="n">
        <v>32401</v>
      </c>
      <c r="B1516" s="56" t="n">
        <v>1988</v>
      </c>
      <c r="C1516" s="56" t="n">
        <v>9</v>
      </c>
      <c r="D1516" s="56" t="n">
        <v>138</v>
      </c>
      <c r="E1516" s="56" t="n">
        <v>19.6</v>
      </c>
      <c r="F1516" s="56" t="n">
        <v>0</v>
      </c>
      <c r="G1516" s="56" t="n">
        <v>9.4</v>
      </c>
      <c r="H1516" s="56" t="n">
        <v>0</v>
      </c>
      <c r="I1516" s="56" t="n">
        <v>12.8</v>
      </c>
      <c r="J1516" s="56" t="n">
        <v>0</v>
      </c>
      <c r="K1516" s="56" t="n">
        <v>1031.4</v>
      </c>
      <c r="L1516" s="56" t="n">
        <v>0</v>
      </c>
      <c r="M1516" s="56" t="n">
        <v>72</v>
      </c>
      <c r="N1516" s="56" t="n">
        <v>4</v>
      </c>
      <c r="O1516" s="56" t="n">
        <f aca="false">IF(D1516=1,"",E1515)</f>
        <v>16.1</v>
      </c>
      <c r="P1516" s="56" t="n">
        <f aca="false">IF(OR(D1516=1,K1515=""),"",K1515)</f>
        <v>1025.1</v>
      </c>
      <c r="Q1516" s="56" t="n">
        <f aca="false">IF(OR(F1516&lt;&gt;0,AND(I1516&lt;&gt;"",E1516&lt;I1516)),1,0)</f>
        <v>0</v>
      </c>
      <c r="R1516" s="56" t="n">
        <f aca="false">IF(AND(D1516&gt;1,Q1516=0,ISNUMBER(O1516),ISNUMBER(P1516)),IF(Q1515=0,1,0),0)</f>
        <v>1</v>
      </c>
      <c r="S1516" s="56" t="n">
        <f aca="false">R1516*(B1516&gt;=Train_Start)*(B1516&lt;=Train_End)</f>
        <v>1</v>
      </c>
      <c r="T1516" s="84" t="n">
        <f aca="false">IF(AND(ISNUMBER(O1516),ISNUMBER(P1516)),Coef_A+Coef_B1*O1516+Coef_B2*P1516,"")</f>
        <v>17.435615419285</v>
      </c>
      <c r="U1516" s="84" t="n">
        <f aca="false">IF(AND(R1516=1,ISNUMBER(T1516)),E1516-T1516,"")</f>
        <v>2.16438458071499</v>
      </c>
      <c r="V1516" s="84" t="n">
        <f aca="false">IF(ISNUMBER(T1516),T1516,-99)</f>
        <v>17.435615419285</v>
      </c>
      <c r="W1516" s="84" t="n">
        <f aca="false">IF(ISNUMBER(U1516),ABS(U1516),"")</f>
        <v>2.16438458071499</v>
      </c>
    </row>
    <row r="1517" customFormat="false" ht="15" hidden="false" customHeight="false" outlineLevel="0" collapsed="false">
      <c r="A1517" s="57" t="n">
        <v>32402</v>
      </c>
      <c r="B1517" s="56" t="n">
        <v>1988</v>
      </c>
      <c r="C1517" s="56" t="n">
        <v>9</v>
      </c>
      <c r="D1517" s="56" t="n">
        <v>139</v>
      </c>
      <c r="E1517" s="56" t="n">
        <v>18.4</v>
      </c>
      <c r="F1517" s="56" t="n">
        <v>0</v>
      </c>
      <c r="G1517" s="56" t="n">
        <v>10.7</v>
      </c>
      <c r="H1517" s="56" t="n">
        <v>0</v>
      </c>
      <c r="I1517" s="56" t="n">
        <v>15.2</v>
      </c>
      <c r="J1517" s="56" t="n">
        <v>0</v>
      </c>
      <c r="K1517" s="56" t="n">
        <v>1028.9</v>
      </c>
      <c r="L1517" s="56" t="n">
        <v>0</v>
      </c>
      <c r="M1517" s="56" t="n">
        <v>71</v>
      </c>
      <c r="N1517" s="56" t="n">
        <v>7.5</v>
      </c>
      <c r="O1517" s="56" t="n">
        <f aca="false">IF(D1517=1,"",E1516)</f>
        <v>19.6</v>
      </c>
      <c r="P1517" s="56" t="n">
        <f aca="false">IF(OR(D1517=1,K1516=""),"",K1516)</f>
        <v>1031.4</v>
      </c>
      <c r="Q1517" s="56" t="n">
        <f aca="false">IF(OR(F1517&lt;&gt;0,AND(I1517&lt;&gt;"",E1517&lt;I1517)),1,0)</f>
        <v>0</v>
      </c>
      <c r="R1517" s="56" t="n">
        <f aca="false">IF(AND(D1517&gt;1,Q1517=0,ISNUMBER(O1517),ISNUMBER(P1517)),IF(Q1516=0,1,0),0)</f>
        <v>1</v>
      </c>
      <c r="S1517" s="56" t="n">
        <f aca="false">R1517*(B1517&gt;=Train_Start)*(B1517&lt;=Train_End)</f>
        <v>1</v>
      </c>
      <c r="T1517" s="84" t="n">
        <f aca="false">IF(AND(ISNUMBER(O1517),ISNUMBER(P1517)),Coef_A+Coef_B1*O1517+Coef_B2*P1517,"")</f>
        <v>20.5009329311285</v>
      </c>
      <c r="U1517" s="84" t="n">
        <f aca="false">IF(AND(R1517=1,ISNUMBER(T1517)),E1517-T1517,"")</f>
        <v>-2.10093293112845</v>
      </c>
      <c r="V1517" s="84" t="n">
        <f aca="false">IF(ISNUMBER(T1517),T1517,-99)</f>
        <v>20.5009329311285</v>
      </c>
      <c r="W1517" s="84" t="n">
        <f aca="false">IF(ISNUMBER(U1517),ABS(U1517),"")</f>
        <v>2.10093293112845</v>
      </c>
    </row>
    <row r="1518" customFormat="false" ht="15" hidden="false" customHeight="false" outlineLevel="0" collapsed="false">
      <c r="A1518" s="57" t="n">
        <v>32403</v>
      </c>
      <c r="B1518" s="56" t="n">
        <v>1988</v>
      </c>
      <c r="C1518" s="56" t="n">
        <v>9</v>
      </c>
      <c r="D1518" s="56" t="n">
        <v>140</v>
      </c>
      <c r="E1518" s="56" t="n">
        <v>18.3</v>
      </c>
      <c r="F1518" s="56" t="n">
        <v>0</v>
      </c>
      <c r="G1518" s="56" t="n">
        <v>12.6</v>
      </c>
      <c r="H1518" s="56" t="n">
        <v>0</v>
      </c>
      <c r="I1518" s="56" t="n">
        <v>15.5</v>
      </c>
      <c r="J1518" s="56" t="n">
        <v>0</v>
      </c>
      <c r="K1518" s="56" t="n">
        <v>1029.2</v>
      </c>
      <c r="L1518" s="56" t="n">
        <v>0</v>
      </c>
      <c r="M1518" s="56" t="n">
        <v>76</v>
      </c>
      <c r="N1518" s="56" t="n">
        <v>0</v>
      </c>
      <c r="O1518" s="56" t="n">
        <f aca="false">IF(D1518=1,"",E1517)</f>
        <v>18.4</v>
      </c>
      <c r="P1518" s="56" t="n">
        <f aca="false">IF(OR(D1518=1,K1517=""),"",K1517)</f>
        <v>1028.9</v>
      </c>
      <c r="Q1518" s="56" t="n">
        <f aca="false">IF(OR(F1518&lt;&gt;0,AND(I1518&lt;&gt;"",E1518&lt;I1518)),1,0)</f>
        <v>0</v>
      </c>
      <c r="R1518" s="56" t="n">
        <f aca="false">IF(AND(D1518&gt;1,Q1518=0,ISNUMBER(O1518),ISNUMBER(P1518)),IF(Q1517=0,1,0),0)</f>
        <v>1</v>
      </c>
      <c r="S1518" s="56" t="n">
        <f aca="false">R1518*(B1518&gt;=Train_Start)*(B1518&lt;=Train_End)</f>
        <v>1</v>
      </c>
      <c r="T1518" s="84" t="n">
        <f aca="false">IF(AND(ISNUMBER(O1518),ISNUMBER(P1518)),Coef_A+Coef_B1*O1518+Coef_B2*P1518,"")</f>
        <v>19.4393011628923</v>
      </c>
      <c r="U1518" s="84" t="n">
        <f aca="false">IF(AND(R1518=1,ISNUMBER(T1518)),E1518-T1518,"")</f>
        <v>-1.13930116289228</v>
      </c>
      <c r="V1518" s="84" t="n">
        <f aca="false">IF(ISNUMBER(T1518),T1518,-99)</f>
        <v>19.4393011628923</v>
      </c>
      <c r="W1518" s="84" t="n">
        <f aca="false">IF(ISNUMBER(U1518),ABS(U1518),"")</f>
        <v>1.13930116289228</v>
      </c>
    </row>
    <row r="1519" customFormat="false" ht="15" hidden="false" customHeight="false" outlineLevel="0" collapsed="false">
      <c r="A1519" s="57" t="n">
        <v>32404</v>
      </c>
      <c r="B1519" s="56" t="n">
        <v>1988</v>
      </c>
      <c r="C1519" s="56" t="n">
        <v>9</v>
      </c>
      <c r="D1519" s="56" t="n">
        <v>141</v>
      </c>
      <c r="E1519" s="56" t="n">
        <v>17.4</v>
      </c>
      <c r="F1519" s="56" t="n">
        <v>0</v>
      </c>
      <c r="G1519" s="56" t="n">
        <v>11.8</v>
      </c>
      <c r="H1519" s="56" t="n">
        <v>0</v>
      </c>
      <c r="I1519" s="56" t="n">
        <v>15</v>
      </c>
      <c r="J1519" s="56" t="n">
        <v>0</v>
      </c>
      <c r="K1519" s="56" t="n">
        <v>1031.2</v>
      </c>
      <c r="L1519" s="56" t="n">
        <v>0</v>
      </c>
      <c r="M1519" s="56" t="n">
        <v>71</v>
      </c>
      <c r="N1519" s="56" t="n">
        <v>4</v>
      </c>
      <c r="O1519" s="56" t="n">
        <f aca="false">IF(D1519=1,"",E1518)</f>
        <v>18.3</v>
      </c>
      <c r="P1519" s="56" t="n">
        <f aca="false">IF(OR(D1519=1,K1518=""),"",K1518)</f>
        <v>1029.2</v>
      </c>
      <c r="Q1519" s="56" t="n">
        <f aca="false">IF(OR(F1519&lt;&gt;0,AND(I1519&lt;&gt;"",E1519&lt;I1519)),1,0)</f>
        <v>0</v>
      </c>
      <c r="R1519" s="56" t="n">
        <f aca="false">IF(AND(D1519&gt;1,Q1519=0,ISNUMBER(O1519),ISNUMBER(P1519)),IF(Q1518=0,1,0),0)</f>
        <v>1</v>
      </c>
      <c r="S1519" s="56" t="n">
        <f aca="false">R1519*(B1519&gt;=Train_Start)*(B1519&lt;=Train_End)</f>
        <v>1</v>
      </c>
      <c r="T1519" s="84" t="n">
        <f aca="false">IF(AND(ISNUMBER(O1519),ISNUMBER(P1519)),Coef_A+Coef_B1*O1519+Coef_B2*P1519,"")</f>
        <v>19.3667782119782</v>
      </c>
      <c r="U1519" s="84" t="n">
        <f aca="false">IF(AND(R1519=1,ISNUMBER(T1519)),E1519-T1519,"")</f>
        <v>-1.96677821197822</v>
      </c>
      <c r="V1519" s="84" t="n">
        <f aca="false">IF(ISNUMBER(T1519),T1519,-99)</f>
        <v>19.3667782119782</v>
      </c>
      <c r="W1519" s="84" t="n">
        <f aca="false">IF(ISNUMBER(U1519),ABS(U1519),"")</f>
        <v>1.96677821197822</v>
      </c>
    </row>
    <row r="1520" customFormat="false" ht="15" hidden="false" customHeight="false" outlineLevel="0" collapsed="false">
      <c r="A1520" s="57" t="n">
        <v>32405</v>
      </c>
      <c r="B1520" s="56" t="n">
        <v>1988</v>
      </c>
      <c r="C1520" s="56" t="n">
        <v>9</v>
      </c>
      <c r="D1520" s="56" t="n">
        <v>142</v>
      </c>
      <c r="E1520" s="56" t="n">
        <v>13.4</v>
      </c>
      <c r="F1520" s="56" t="n">
        <v>0</v>
      </c>
      <c r="G1520" s="56" t="n">
        <v>6.8</v>
      </c>
      <c r="H1520" s="56" t="n">
        <v>0</v>
      </c>
      <c r="I1520" s="56" t="n">
        <v>12.1</v>
      </c>
      <c r="J1520" s="56" t="n">
        <v>0</v>
      </c>
      <c r="K1520" s="56" t="n">
        <v>1032.7</v>
      </c>
      <c r="L1520" s="56" t="n">
        <v>0</v>
      </c>
      <c r="M1520" s="56" t="n">
        <v>84</v>
      </c>
      <c r="N1520" s="56" t="n">
        <v>5.5</v>
      </c>
      <c r="O1520" s="56" t="n">
        <f aca="false">IF(D1520=1,"",E1519)</f>
        <v>17.4</v>
      </c>
      <c r="P1520" s="56" t="n">
        <f aca="false">IF(OR(D1520=1,K1519=""),"",K1519)</f>
        <v>1031.2</v>
      </c>
      <c r="Q1520" s="56" t="n">
        <f aca="false">IF(OR(F1520&lt;&gt;0,AND(I1520&lt;&gt;"",E1520&lt;I1520)),1,0)</f>
        <v>0</v>
      </c>
      <c r="R1520" s="56" t="n">
        <f aca="false">IF(AND(D1520&gt;1,Q1520=0,ISNUMBER(O1520),ISNUMBER(P1520)),IF(Q1519=0,1,0),0)</f>
        <v>1</v>
      </c>
      <c r="S1520" s="56" t="n">
        <f aca="false">R1520*(B1520&gt;=Train_Start)*(B1520&lt;=Train_End)</f>
        <v>1</v>
      </c>
      <c r="T1520" s="84" t="n">
        <f aca="false">IF(AND(ISNUMBER(O1520),ISNUMBER(P1520)),Coef_A+Coef_B1*O1520+Coef_B2*P1520,"")</f>
        <v>18.6921127275078</v>
      </c>
      <c r="U1520" s="84" t="n">
        <f aca="false">IF(AND(R1520=1,ISNUMBER(T1520)),E1520-T1520,"")</f>
        <v>-5.29211272750781</v>
      </c>
      <c r="V1520" s="84" t="n">
        <f aca="false">IF(ISNUMBER(T1520),T1520,-99)</f>
        <v>18.6921127275078</v>
      </c>
      <c r="W1520" s="84" t="n">
        <f aca="false">IF(ISNUMBER(U1520),ABS(U1520),"")</f>
        <v>5.29211272750781</v>
      </c>
    </row>
    <row r="1521" customFormat="false" ht="15" hidden="false" customHeight="false" outlineLevel="0" collapsed="false">
      <c r="A1521" s="57" t="n">
        <v>32406</v>
      </c>
      <c r="B1521" s="56" t="n">
        <v>1988</v>
      </c>
      <c r="C1521" s="56" t="n">
        <v>9</v>
      </c>
      <c r="D1521" s="56" t="n">
        <v>143</v>
      </c>
      <c r="E1521" s="56" t="n">
        <v>17.6</v>
      </c>
      <c r="F1521" s="56" t="n">
        <v>0</v>
      </c>
      <c r="G1521" s="56" t="n">
        <v>6.9</v>
      </c>
      <c r="H1521" s="56" t="n">
        <v>0</v>
      </c>
      <c r="I1521" s="56" t="n">
        <v>10.2</v>
      </c>
      <c r="J1521" s="56" t="n">
        <v>0</v>
      </c>
      <c r="K1521" s="56" t="n">
        <v>1028.1</v>
      </c>
      <c r="L1521" s="56" t="n">
        <v>0</v>
      </c>
      <c r="M1521" s="56" t="n">
        <v>90</v>
      </c>
      <c r="N1521" s="56" t="n">
        <v>0</v>
      </c>
      <c r="O1521" s="56" t="n">
        <f aca="false">IF(D1521=1,"",E1520)</f>
        <v>13.4</v>
      </c>
      <c r="P1521" s="56" t="n">
        <f aca="false">IF(OR(D1521=1,K1520=""),"",K1520)</f>
        <v>1032.7</v>
      </c>
      <c r="Q1521" s="56" t="n">
        <f aca="false">IF(OR(F1521&lt;&gt;0,AND(I1521&lt;&gt;"",E1521&lt;I1521)),1,0)</f>
        <v>0</v>
      </c>
      <c r="R1521" s="56" t="n">
        <f aca="false">IF(AND(D1521&gt;1,Q1521=0,ISNUMBER(O1521),ISNUMBER(P1521)),IF(Q1520=0,1,0),0)</f>
        <v>1</v>
      </c>
      <c r="S1521" s="56" t="n">
        <f aca="false">R1521*(B1521&gt;=Train_Start)*(B1521&lt;=Train_End)</f>
        <v>1</v>
      </c>
      <c r="T1521" s="84" t="n">
        <f aca="false">IF(AND(ISNUMBER(O1521),ISNUMBER(P1521)),Coef_A+Coef_B1*O1521+Coef_B2*P1521,"")</f>
        <v>15.4618107972882</v>
      </c>
      <c r="U1521" s="84" t="n">
        <f aca="false">IF(AND(R1521=1,ISNUMBER(T1521)),E1521-T1521,"")</f>
        <v>2.13818920271184</v>
      </c>
      <c r="V1521" s="84" t="n">
        <f aca="false">IF(ISNUMBER(T1521),T1521,-99)</f>
        <v>15.4618107972882</v>
      </c>
      <c r="W1521" s="84" t="n">
        <f aca="false">IF(ISNUMBER(U1521),ABS(U1521),"")</f>
        <v>2.13818920271184</v>
      </c>
    </row>
    <row r="1522" customFormat="false" ht="15" hidden="false" customHeight="false" outlineLevel="0" collapsed="false">
      <c r="A1522" s="57" t="n">
        <v>32407</v>
      </c>
      <c r="B1522" s="56" t="n">
        <v>1988</v>
      </c>
      <c r="C1522" s="56" t="n">
        <v>9</v>
      </c>
      <c r="D1522" s="56" t="n">
        <v>144</v>
      </c>
      <c r="E1522" s="56" t="n">
        <v>19.6</v>
      </c>
      <c r="F1522" s="56" t="n">
        <v>0</v>
      </c>
      <c r="G1522" s="56" t="n">
        <v>8.5</v>
      </c>
      <c r="H1522" s="56" t="n">
        <v>0</v>
      </c>
      <c r="I1522" s="56" t="n">
        <v>13</v>
      </c>
      <c r="J1522" s="56" t="n">
        <v>0</v>
      </c>
      <c r="K1522" s="56" t="n">
        <v>1016.7</v>
      </c>
      <c r="L1522" s="56" t="n">
        <v>0</v>
      </c>
      <c r="M1522" s="56" t="n">
        <v>86</v>
      </c>
      <c r="N1522" s="56" t="n">
        <v>0</v>
      </c>
      <c r="O1522" s="56" t="n">
        <f aca="false">IF(D1522=1,"",E1521)</f>
        <v>17.6</v>
      </c>
      <c r="P1522" s="56" t="n">
        <f aca="false">IF(OR(D1522=1,K1521=""),"",K1521)</f>
        <v>1028.1</v>
      </c>
      <c r="Q1522" s="56" t="n">
        <f aca="false">IF(OR(F1522&lt;&gt;0,AND(I1522&lt;&gt;"",E1522&lt;I1522)),1,0)</f>
        <v>0</v>
      </c>
      <c r="R1522" s="56" t="n">
        <f aca="false">IF(AND(D1522&gt;1,Q1522=0,ISNUMBER(O1522),ISNUMBER(P1522)),IF(Q1521=0,1,0),0)</f>
        <v>1</v>
      </c>
      <c r="S1522" s="56" t="n">
        <f aca="false">R1522*(B1522&gt;=Train_Start)*(B1522&lt;=Train_End)</f>
        <v>1</v>
      </c>
      <c r="T1522" s="84" t="n">
        <f aca="false">IF(AND(ISNUMBER(O1522),ISNUMBER(P1522)),Coef_A+Coef_B1*O1522+Coef_B2*P1522,"")</f>
        <v>18.758733892751</v>
      </c>
      <c r="U1522" s="84" t="n">
        <f aca="false">IF(AND(R1522=1,ISNUMBER(T1522)),E1522-T1522,"")</f>
        <v>0.841266107249041</v>
      </c>
      <c r="V1522" s="84" t="n">
        <f aca="false">IF(ISNUMBER(T1522),T1522,-99)</f>
        <v>18.758733892751</v>
      </c>
      <c r="W1522" s="84" t="n">
        <f aca="false">IF(ISNUMBER(U1522),ABS(U1522),"")</f>
        <v>0.841266107249041</v>
      </c>
    </row>
    <row r="1523" customFormat="false" ht="15" hidden="false" customHeight="false" outlineLevel="0" collapsed="false">
      <c r="A1523" s="57" t="n">
        <v>32408</v>
      </c>
      <c r="B1523" s="56" t="n">
        <v>1988</v>
      </c>
      <c r="C1523" s="56" t="n">
        <v>9</v>
      </c>
      <c r="D1523" s="56" t="n">
        <v>145</v>
      </c>
      <c r="E1523" s="56" t="n">
        <v>17</v>
      </c>
      <c r="F1523" s="56" t="n">
        <v>0</v>
      </c>
      <c r="G1523" s="56" t="n">
        <v>12.4</v>
      </c>
      <c r="H1523" s="56" t="n">
        <v>0</v>
      </c>
      <c r="I1523" s="56" t="n">
        <v>16</v>
      </c>
      <c r="J1523" s="56" t="n">
        <v>0</v>
      </c>
      <c r="K1523" s="56" t="n">
        <v>1006.2</v>
      </c>
      <c r="L1523" s="56" t="n">
        <v>0</v>
      </c>
      <c r="M1523" s="56" t="n">
        <v>79</v>
      </c>
      <c r="N1523" s="56" t="n">
        <v>2.3</v>
      </c>
      <c r="O1523" s="56" t="n">
        <f aca="false">IF(D1523=1,"",E1522)</f>
        <v>19.6</v>
      </c>
      <c r="P1523" s="56" t="n">
        <f aca="false">IF(OR(D1523=1,K1522=""),"",K1522)</f>
        <v>1016.7</v>
      </c>
      <c r="Q1523" s="56" t="n">
        <f aca="false">IF(OR(F1523&lt;&gt;0,AND(I1523&lt;&gt;"",E1523&lt;I1523)),1,0)</f>
        <v>0</v>
      </c>
      <c r="R1523" s="56" t="n">
        <f aca="false">IF(AND(D1523&gt;1,Q1523=0,ISNUMBER(O1523),ISNUMBER(P1523)),IF(Q1522=0,1,0),0)</f>
        <v>1</v>
      </c>
      <c r="S1523" s="56" t="n">
        <f aca="false">R1523*(B1523&gt;=Train_Start)*(B1523&lt;=Train_End)</f>
        <v>1</v>
      </c>
      <c r="T1523" s="84" t="n">
        <f aca="false">IF(AND(ISNUMBER(O1523),ISNUMBER(P1523)),Coef_A+Coef_B1*O1523+Coef_B2*P1523,"")</f>
        <v>20.0397954800088</v>
      </c>
      <c r="U1523" s="84" t="n">
        <f aca="false">IF(AND(R1523=1,ISNUMBER(T1523)),E1523-T1523,"")</f>
        <v>-3.03979548000881</v>
      </c>
      <c r="V1523" s="84" t="n">
        <f aca="false">IF(ISNUMBER(T1523),T1523,-99)</f>
        <v>20.0397954800088</v>
      </c>
      <c r="W1523" s="84" t="n">
        <f aca="false">IF(ISNUMBER(U1523),ABS(U1523),"")</f>
        <v>3.03979548000881</v>
      </c>
    </row>
    <row r="1524" customFormat="false" ht="15" hidden="false" customHeight="false" outlineLevel="0" collapsed="false">
      <c r="A1524" s="57" t="n">
        <v>32409</v>
      </c>
      <c r="B1524" s="56" t="n">
        <v>1988</v>
      </c>
      <c r="C1524" s="56" t="n">
        <v>9</v>
      </c>
      <c r="D1524" s="56" t="n">
        <v>146</v>
      </c>
      <c r="E1524" s="56" t="n">
        <v>16.5</v>
      </c>
      <c r="F1524" s="56" t="n">
        <v>0</v>
      </c>
      <c r="G1524" s="56" t="n">
        <v>10.2</v>
      </c>
      <c r="H1524" s="56" t="n">
        <v>0</v>
      </c>
      <c r="I1524" s="56" t="n">
        <v>13.6</v>
      </c>
      <c r="J1524" s="56" t="n">
        <v>0</v>
      </c>
      <c r="K1524" s="56" t="n">
        <v>1000.5</v>
      </c>
      <c r="L1524" s="56" t="n">
        <v>0</v>
      </c>
      <c r="M1524" s="56" t="n">
        <v>70</v>
      </c>
      <c r="N1524" s="56" t="n">
        <v>8.8</v>
      </c>
      <c r="O1524" s="56" t="n">
        <f aca="false">IF(D1524=1,"",E1523)</f>
        <v>17</v>
      </c>
      <c r="P1524" s="56" t="n">
        <f aca="false">IF(OR(D1524=1,K1523=""),"",K1523)</f>
        <v>1006.2</v>
      </c>
      <c r="Q1524" s="56" t="n">
        <f aca="false">IF(OR(F1524&lt;&gt;0,AND(I1524&lt;&gt;"",E1524&lt;I1524)),1,0)</f>
        <v>0</v>
      </c>
      <c r="R1524" s="56" t="n">
        <f aca="false">IF(AND(D1524&gt;1,Q1524=0,ISNUMBER(O1524),ISNUMBER(P1524)),IF(Q1523=0,1,0),0)</f>
        <v>1</v>
      </c>
      <c r="S1524" s="56" t="n">
        <f aca="false">R1524*(B1524&gt;=Train_Start)*(B1524&lt;=Train_End)</f>
        <v>1</v>
      </c>
      <c r="T1524" s="84" t="n">
        <f aca="false">IF(AND(ISNUMBER(O1524),ISNUMBER(P1524)),Coef_A+Coef_B1*O1524+Coef_B2*P1524,"")</f>
        <v>17.580129684441</v>
      </c>
      <c r="U1524" s="84" t="n">
        <f aca="false">IF(AND(R1524=1,ISNUMBER(T1524)),E1524-T1524,"")</f>
        <v>-1.080129684441</v>
      </c>
      <c r="V1524" s="84" t="n">
        <f aca="false">IF(ISNUMBER(T1524),T1524,-99)</f>
        <v>17.580129684441</v>
      </c>
      <c r="W1524" s="84" t="n">
        <f aca="false">IF(ISNUMBER(U1524),ABS(U1524),"")</f>
        <v>1.080129684441</v>
      </c>
    </row>
    <row r="1525" customFormat="false" ht="15" hidden="false" customHeight="false" outlineLevel="0" collapsed="false">
      <c r="A1525" s="57" t="n">
        <v>32410</v>
      </c>
      <c r="B1525" s="56" t="n">
        <v>1988</v>
      </c>
      <c r="C1525" s="56" t="n">
        <v>9</v>
      </c>
      <c r="D1525" s="56" t="n">
        <v>147</v>
      </c>
      <c r="E1525" s="56" t="n">
        <v>20.5</v>
      </c>
      <c r="F1525" s="56" t="n">
        <v>0</v>
      </c>
      <c r="G1525" s="56" t="n">
        <v>10.5</v>
      </c>
      <c r="H1525" s="56" t="n">
        <v>0</v>
      </c>
      <c r="I1525" s="56" t="n">
        <v>13.5</v>
      </c>
      <c r="J1525" s="56" t="n">
        <v>0</v>
      </c>
      <c r="K1525" s="56" t="n">
        <v>1008.6</v>
      </c>
      <c r="L1525" s="56" t="n">
        <v>0</v>
      </c>
      <c r="M1525" s="56" t="n">
        <v>81</v>
      </c>
      <c r="N1525" s="56" t="n">
        <v>0</v>
      </c>
      <c r="O1525" s="56" t="n">
        <f aca="false">IF(D1525=1,"",E1524)</f>
        <v>16.5</v>
      </c>
      <c r="P1525" s="56" t="n">
        <f aca="false">IF(OR(D1525=1,K1524=""),"",K1524)</f>
        <v>1000.5</v>
      </c>
      <c r="Q1525" s="56" t="n">
        <f aca="false">IF(OR(F1525&lt;&gt;0,AND(I1525&lt;&gt;"",E1525&lt;I1525)),1,0)</f>
        <v>0</v>
      </c>
      <c r="R1525" s="56" t="n">
        <f aca="false">IF(AND(D1525&gt;1,Q1525=0,ISNUMBER(O1525),ISNUMBER(P1525)),IF(Q1524=0,1,0),0)</f>
        <v>1</v>
      </c>
      <c r="S1525" s="56" t="n">
        <f aca="false">R1525*(B1525&gt;=Train_Start)*(B1525&lt;=Train_End)</f>
        <v>1</v>
      </c>
      <c r="T1525" s="84" t="n">
        <f aca="false">IF(AND(ISNUMBER(O1525),ISNUMBER(P1525)),Coef_A+Coef_B1*O1525+Coef_B2*P1525,"")</f>
        <v>16.9916516885059</v>
      </c>
      <c r="U1525" s="84" t="n">
        <f aca="false">IF(AND(R1525=1,ISNUMBER(T1525)),E1525-T1525,"")</f>
        <v>3.50834831149407</v>
      </c>
      <c r="V1525" s="84" t="n">
        <f aca="false">IF(ISNUMBER(T1525),T1525,-99)</f>
        <v>16.9916516885059</v>
      </c>
      <c r="W1525" s="84" t="n">
        <f aca="false">IF(ISNUMBER(U1525),ABS(U1525),"")</f>
        <v>3.50834831149407</v>
      </c>
    </row>
    <row r="1526" customFormat="false" ht="15" hidden="false" customHeight="false" outlineLevel="0" collapsed="false">
      <c r="A1526" s="57" t="n">
        <v>32411</v>
      </c>
      <c r="B1526" s="56" t="n">
        <v>1988</v>
      </c>
      <c r="C1526" s="56" t="n">
        <v>9</v>
      </c>
      <c r="D1526" s="56" t="n">
        <v>148</v>
      </c>
      <c r="E1526" s="56" t="n">
        <v>19.1</v>
      </c>
      <c r="F1526" s="56" t="n">
        <v>0</v>
      </c>
      <c r="G1526" s="56" t="n">
        <v>14</v>
      </c>
      <c r="H1526" s="56" t="n">
        <v>0</v>
      </c>
      <c r="I1526" s="56" t="n">
        <v>17.2</v>
      </c>
      <c r="J1526" s="56" t="n">
        <v>0</v>
      </c>
      <c r="K1526" s="56" t="n">
        <v>1015.6</v>
      </c>
      <c r="L1526" s="56" t="n">
        <v>0</v>
      </c>
      <c r="M1526" s="56" t="n">
        <v>84</v>
      </c>
      <c r="N1526" s="56" t="n">
        <v>1.1</v>
      </c>
      <c r="O1526" s="56" t="n">
        <f aca="false">IF(D1526=1,"",E1525)</f>
        <v>20.5</v>
      </c>
      <c r="P1526" s="56" t="n">
        <f aca="false">IF(OR(D1526=1,K1525=""),"",K1525)</f>
        <v>1008.6</v>
      </c>
      <c r="Q1526" s="56" t="n">
        <f aca="false">IF(OR(F1526&lt;&gt;0,AND(I1526&lt;&gt;"",E1526&lt;I1526)),1,0)</f>
        <v>0</v>
      </c>
      <c r="R1526" s="56" t="n">
        <f aca="false">IF(AND(D1526&gt;1,Q1526=0,ISNUMBER(O1526),ISNUMBER(P1526)),IF(Q1525=0,1,0),0)</f>
        <v>1</v>
      </c>
      <c r="S1526" s="56" t="n">
        <f aca="false">R1526*(B1526&gt;=Train_Start)*(B1526&lt;=Train_End)</f>
        <v>1</v>
      </c>
      <c r="T1526" s="84" t="n">
        <f aca="false">IF(AND(ISNUMBER(O1526),ISNUMBER(P1526)),Coef_A+Coef_B1*O1526+Coef_B2*P1526,"")</f>
        <v>20.5231046072119</v>
      </c>
      <c r="U1526" s="84" t="n">
        <f aca="false">IF(AND(R1526=1,ISNUMBER(T1526)),E1526-T1526,"")</f>
        <v>-1.42310460721188</v>
      </c>
      <c r="V1526" s="84" t="n">
        <f aca="false">IF(ISNUMBER(T1526),T1526,-99)</f>
        <v>20.5231046072119</v>
      </c>
      <c r="W1526" s="84" t="n">
        <f aca="false">IF(ISNUMBER(U1526),ABS(U1526),"")</f>
        <v>1.42310460721188</v>
      </c>
    </row>
    <row r="1527" customFormat="false" ht="15" hidden="false" customHeight="false" outlineLevel="0" collapsed="false">
      <c r="A1527" s="57" t="n">
        <v>32412</v>
      </c>
      <c r="B1527" s="56" t="n">
        <v>1988</v>
      </c>
      <c r="C1527" s="56" t="n">
        <v>9</v>
      </c>
      <c r="D1527" s="56" t="n">
        <v>149</v>
      </c>
      <c r="E1527" s="56" t="n">
        <v>17.2</v>
      </c>
      <c r="F1527" s="56" t="n">
        <v>0</v>
      </c>
      <c r="G1527" s="56" t="n">
        <v>15</v>
      </c>
      <c r="H1527" s="56" t="n">
        <v>0</v>
      </c>
      <c r="I1527" s="56" t="n">
        <v>17</v>
      </c>
      <c r="J1527" s="56" t="n">
        <v>0</v>
      </c>
      <c r="K1527" s="56" t="n">
        <v>1017.3</v>
      </c>
      <c r="L1527" s="56" t="n">
        <v>0</v>
      </c>
      <c r="M1527" s="56" t="n">
        <v>85</v>
      </c>
      <c r="N1527" s="56" t="n">
        <v>0.1</v>
      </c>
      <c r="O1527" s="56" t="n">
        <f aca="false">IF(D1527=1,"",E1526)</f>
        <v>19.1</v>
      </c>
      <c r="P1527" s="56" t="n">
        <f aca="false">IF(OR(D1527=1,K1526=""),"",K1526)</f>
        <v>1015.6</v>
      </c>
      <c r="Q1527" s="56" t="n">
        <f aca="false">IF(OR(F1527&lt;&gt;0,AND(I1527&lt;&gt;"",E1527&lt;I1527)),1,0)</f>
        <v>0</v>
      </c>
      <c r="R1527" s="56" t="n">
        <f aca="false">IF(AND(D1527&gt;1,Q1527=0,ISNUMBER(O1527),ISNUMBER(P1527)),IF(Q1526=0,1,0),0)</f>
        <v>1</v>
      </c>
      <c r="S1527" s="56" t="n">
        <f aca="false">R1527*(B1527&gt;=Train_Start)*(B1527&lt;=Train_End)</f>
        <v>1</v>
      </c>
      <c r="T1527" s="84" t="n">
        <f aca="false">IF(AND(ISNUMBER(O1527),ISNUMBER(P1527)),Coef_A+Coef_B1*O1527+Coef_B2*P1527,"")</f>
        <v>19.5956189993901</v>
      </c>
      <c r="U1527" s="84" t="n">
        <f aca="false">IF(AND(R1527=1,ISNUMBER(T1527)),E1527-T1527,"")</f>
        <v>-2.39561899939009</v>
      </c>
      <c r="V1527" s="84" t="n">
        <f aca="false">IF(ISNUMBER(T1527),T1527,-99)</f>
        <v>19.5956189993901</v>
      </c>
      <c r="W1527" s="84" t="n">
        <f aca="false">IF(ISNUMBER(U1527),ABS(U1527),"")</f>
        <v>2.39561899939009</v>
      </c>
    </row>
    <row r="1528" customFormat="false" ht="15" hidden="false" customHeight="false" outlineLevel="0" collapsed="false">
      <c r="A1528" s="57" t="n">
        <v>32413</v>
      </c>
      <c r="B1528" s="56" t="n">
        <v>1988</v>
      </c>
      <c r="C1528" s="56" t="n">
        <v>9</v>
      </c>
      <c r="D1528" s="56" t="n">
        <v>150</v>
      </c>
      <c r="E1528" s="56" t="n">
        <v>16.7</v>
      </c>
      <c r="F1528" s="56" t="n">
        <v>0</v>
      </c>
      <c r="G1528" s="56" t="n">
        <v>15.4</v>
      </c>
      <c r="H1528" s="56" t="n">
        <v>0</v>
      </c>
      <c r="I1528" s="56" t="n">
        <v>16.3</v>
      </c>
      <c r="J1528" s="56" t="n">
        <v>0</v>
      </c>
      <c r="K1528" s="56" t="n">
        <v>1013.7</v>
      </c>
      <c r="L1528" s="56" t="n">
        <v>0</v>
      </c>
      <c r="M1528" s="56" t="n">
        <v>90</v>
      </c>
      <c r="N1528" s="56" t="n">
        <v>0</v>
      </c>
      <c r="O1528" s="56" t="n">
        <f aca="false">IF(D1528=1,"",E1527)</f>
        <v>17.2</v>
      </c>
      <c r="P1528" s="56" t="n">
        <f aca="false">IF(OR(D1528=1,K1527=""),"",K1527)</f>
        <v>1017.3</v>
      </c>
      <c r="Q1528" s="56" t="n">
        <f aca="false">IF(OR(F1528&lt;&gt;0,AND(I1528&lt;&gt;"",E1528&lt;I1528)),1,0)</f>
        <v>0</v>
      </c>
      <c r="R1528" s="56" t="n">
        <f aca="false">IF(AND(D1528&gt;1,Q1528=0,ISNUMBER(O1528),ISNUMBER(P1528)),IF(Q1527=0,1,0),0)</f>
        <v>1</v>
      </c>
      <c r="S1528" s="56" t="n">
        <f aca="false">R1528*(B1528&gt;=Train_Start)*(B1528&lt;=Train_End)</f>
        <v>1</v>
      </c>
      <c r="T1528" s="84" t="n">
        <f aca="false">IF(AND(ISNUMBER(O1528),ISNUMBER(P1528)),Coef_A+Coef_B1*O1528+Coef_B2*P1528,"")</f>
        <v>18.0922033534868</v>
      </c>
      <c r="U1528" s="84" t="n">
        <f aca="false">IF(AND(R1528=1,ISNUMBER(T1528)),E1528-T1528,"")</f>
        <v>-1.39220335348682</v>
      </c>
      <c r="V1528" s="84" t="n">
        <f aca="false">IF(ISNUMBER(T1528),T1528,-99)</f>
        <v>18.0922033534868</v>
      </c>
      <c r="W1528" s="84" t="n">
        <f aca="false">IF(ISNUMBER(U1528),ABS(U1528),"")</f>
        <v>1.39220335348682</v>
      </c>
    </row>
    <row r="1529" customFormat="false" ht="15" hidden="false" customHeight="false" outlineLevel="0" collapsed="false">
      <c r="A1529" s="57" t="n">
        <v>32414</v>
      </c>
      <c r="B1529" s="56" t="n">
        <v>1988</v>
      </c>
      <c r="C1529" s="56" t="n">
        <v>9</v>
      </c>
      <c r="D1529" s="56" t="n">
        <v>151</v>
      </c>
      <c r="E1529" s="56" t="n">
        <v>15.7</v>
      </c>
      <c r="F1529" s="56" t="n">
        <v>0</v>
      </c>
      <c r="G1529" s="56" t="n">
        <v>12</v>
      </c>
      <c r="H1529" s="56" t="n">
        <v>0</v>
      </c>
      <c r="I1529" s="56" t="n">
        <v>14.4</v>
      </c>
      <c r="J1529" s="56" t="n">
        <v>0</v>
      </c>
      <c r="K1529" s="56" t="n">
        <v>1004.6</v>
      </c>
      <c r="L1529" s="56" t="n">
        <v>0</v>
      </c>
      <c r="M1529" s="56" t="n">
        <v>82</v>
      </c>
      <c r="N1529" s="56" t="n">
        <v>3.2</v>
      </c>
      <c r="O1529" s="56" t="n">
        <f aca="false">IF(D1529=1,"",E1528)</f>
        <v>16.7</v>
      </c>
      <c r="P1529" s="56" t="n">
        <f aca="false">IF(OR(D1529=1,K1528=""),"",K1528)</f>
        <v>1013.7</v>
      </c>
      <c r="Q1529" s="56" t="n">
        <f aca="false">IF(OR(F1529&lt;&gt;0,AND(I1529&lt;&gt;"",E1529&lt;I1529)),1,0)</f>
        <v>0</v>
      </c>
      <c r="R1529" s="56" t="n">
        <f aca="false">IF(AND(D1529&gt;1,Q1529=0,ISNUMBER(O1529),ISNUMBER(P1529)),IF(Q1528=0,1,0),0)</f>
        <v>1</v>
      </c>
      <c r="S1529" s="56" t="n">
        <f aca="false">R1529*(B1529&gt;=Train_Start)*(B1529&lt;=Train_End)</f>
        <v>1</v>
      </c>
      <c r="T1529" s="84" t="n">
        <f aca="false">IF(AND(ISNUMBER(O1529),ISNUMBER(P1529)),Coef_A+Coef_B1*O1529+Coef_B2*P1529,"")</f>
        <v>17.5696021362831</v>
      </c>
      <c r="U1529" s="84" t="n">
        <f aca="false">IF(AND(R1529=1,ISNUMBER(T1529)),E1529-T1529,"")</f>
        <v>-1.86960213628313</v>
      </c>
      <c r="V1529" s="84" t="n">
        <f aca="false">IF(ISNUMBER(T1529),T1529,-99)</f>
        <v>17.5696021362831</v>
      </c>
      <c r="W1529" s="84" t="n">
        <f aca="false">IF(ISNUMBER(U1529),ABS(U1529),"")</f>
        <v>1.86960213628313</v>
      </c>
    </row>
    <row r="1530" customFormat="false" ht="15" hidden="false" customHeight="false" outlineLevel="0" collapsed="false">
      <c r="A1530" s="57" t="n">
        <v>32415</v>
      </c>
      <c r="B1530" s="56" t="n">
        <v>1988</v>
      </c>
      <c r="C1530" s="56" t="n">
        <v>9</v>
      </c>
      <c r="D1530" s="56" t="n">
        <v>152</v>
      </c>
      <c r="E1530" s="56" t="n">
        <v>15</v>
      </c>
      <c r="F1530" s="56" t="n">
        <v>0</v>
      </c>
      <c r="G1530" s="56" t="n">
        <v>6.9</v>
      </c>
      <c r="H1530" s="56" t="n">
        <v>0</v>
      </c>
      <c r="I1530" s="56" t="n">
        <v>11.3</v>
      </c>
      <c r="J1530" s="56" t="n">
        <v>0</v>
      </c>
      <c r="K1530" s="56" t="n">
        <v>1016</v>
      </c>
      <c r="L1530" s="56" t="n">
        <v>0</v>
      </c>
      <c r="M1530" s="56" t="n">
        <v>72</v>
      </c>
      <c r="N1530" s="56" t="n">
        <v>9.1</v>
      </c>
      <c r="O1530" s="56" t="n">
        <f aca="false">IF(D1530=1,"",E1529)</f>
        <v>15.7</v>
      </c>
      <c r="P1530" s="56" t="n">
        <f aca="false">IF(OR(D1530=1,K1529=""),"",K1529)</f>
        <v>1004.6</v>
      </c>
      <c r="Q1530" s="56" t="n">
        <f aca="false">IF(OR(F1530&lt;&gt;0,AND(I1530&lt;&gt;"",E1530&lt;I1530)),1,0)</f>
        <v>0</v>
      </c>
      <c r="R1530" s="56" t="n">
        <f aca="false">IF(AND(D1530&gt;1,Q1530=0,ISNUMBER(O1530),ISNUMBER(P1530)),IF(Q1529=0,1,0),0)</f>
        <v>1</v>
      </c>
      <c r="S1530" s="56" t="n">
        <f aca="false">R1530*(B1530&gt;=Train_Start)*(B1530&lt;=Train_End)</f>
        <v>1</v>
      </c>
      <c r="T1530" s="84" t="n">
        <f aca="false">IF(AND(ISNUMBER(O1530),ISNUMBER(P1530)),Coef_A+Coef_B1*O1530+Coef_B2*P1530,"")</f>
        <v>16.4647969020712</v>
      </c>
      <c r="U1530" s="84" t="n">
        <f aca="false">IF(AND(R1530=1,ISNUMBER(T1530)),E1530-T1530,"")</f>
        <v>-1.46479690207116</v>
      </c>
      <c r="V1530" s="84" t="n">
        <f aca="false">IF(ISNUMBER(T1530),T1530,-99)</f>
        <v>16.4647969020712</v>
      </c>
      <c r="W1530" s="84" t="n">
        <f aca="false">IF(ISNUMBER(U1530),ABS(U1530),"")</f>
        <v>1.46479690207116</v>
      </c>
    </row>
    <row r="1531" customFormat="false" ht="15" hidden="false" customHeight="false" outlineLevel="0" collapsed="false">
      <c r="A1531" s="57" t="n">
        <v>32416</v>
      </c>
      <c r="B1531" s="56" t="n">
        <v>1988</v>
      </c>
      <c r="C1531" s="56" t="n">
        <v>9</v>
      </c>
      <c r="D1531" s="56" t="n">
        <v>153</v>
      </c>
      <c r="E1531" s="56" t="n">
        <v>16</v>
      </c>
      <c r="F1531" s="56" t="n">
        <v>0</v>
      </c>
      <c r="G1531" s="56" t="n">
        <v>4</v>
      </c>
      <c r="H1531" s="56" t="n">
        <v>0</v>
      </c>
      <c r="I1531" s="56" t="n">
        <v>9.5</v>
      </c>
      <c r="J1531" s="56" t="n">
        <v>0</v>
      </c>
      <c r="K1531" s="56" t="n">
        <v>1028.9</v>
      </c>
      <c r="L1531" s="56" t="n">
        <v>0</v>
      </c>
      <c r="M1531" s="56" t="n">
        <v>70</v>
      </c>
      <c r="N1531" s="56" t="n">
        <v>10</v>
      </c>
      <c r="O1531" s="56" t="n">
        <f aca="false">IF(D1531=1,"",E1530)</f>
        <v>15</v>
      </c>
      <c r="P1531" s="56" t="n">
        <f aca="false">IF(OR(D1531=1,K1530=""),"",K1530)</f>
        <v>1016</v>
      </c>
      <c r="Q1531" s="56" t="n">
        <f aca="false">IF(OR(F1531&lt;&gt;0,AND(I1531&lt;&gt;"",E1531&lt;I1531)),1,0)</f>
        <v>0</v>
      </c>
      <c r="R1531" s="56" t="n">
        <f aca="false">IF(AND(D1531&gt;1,Q1531=0,ISNUMBER(O1531),ISNUMBER(P1531)),IF(Q1530=0,1,0),0)</f>
        <v>1</v>
      </c>
      <c r="S1531" s="56" t="n">
        <f aca="false">R1531*(B1531&gt;=Train_Start)*(B1531&lt;=Train_End)</f>
        <v>1</v>
      </c>
      <c r="T1531" s="84" t="n">
        <f aca="false">IF(AND(ISNUMBER(O1531),ISNUMBER(P1531)),Coef_A+Coef_B1*O1531+Coef_B2*P1531,"")</f>
        <v>16.2488762657688</v>
      </c>
      <c r="U1531" s="84" t="n">
        <f aca="false">IF(AND(R1531=1,ISNUMBER(T1531)),E1531-T1531,"")</f>
        <v>-0.248876265768786</v>
      </c>
      <c r="V1531" s="84" t="n">
        <f aca="false">IF(ISNUMBER(T1531),T1531,-99)</f>
        <v>16.2488762657688</v>
      </c>
      <c r="W1531" s="84" t="n">
        <f aca="false">IF(ISNUMBER(U1531),ABS(U1531),"")</f>
        <v>0.248876265768786</v>
      </c>
    </row>
    <row r="1532" customFormat="false" ht="15" hidden="false" customHeight="false" outlineLevel="0" collapsed="false">
      <c r="A1532" s="57" t="n">
        <v>32629</v>
      </c>
      <c r="B1532" s="56" t="n">
        <v>1989</v>
      </c>
      <c r="C1532" s="56" t="n">
        <v>5</v>
      </c>
      <c r="D1532" s="56" t="n">
        <v>1</v>
      </c>
      <c r="E1532" s="56" t="n">
        <v>20.6</v>
      </c>
      <c r="F1532" s="56" t="n">
        <v>0</v>
      </c>
      <c r="G1532" s="56" t="n">
        <v>9.4</v>
      </c>
      <c r="H1532" s="56" t="n">
        <v>0</v>
      </c>
      <c r="I1532" s="56" t="n">
        <v>12.8</v>
      </c>
      <c r="J1532" s="56" t="n">
        <v>0</v>
      </c>
      <c r="K1532" s="56" t="n">
        <v>1022.8</v>
      </c>
      <c r="L1532" s="56" t="n">
        <v>0</v>
      </c>
      <c r="M1532" s="56" t="n">
        <v>87</v>
      </c>
      <c r="N1532" s="56" t="n">
        <v>0.1</v>
      </c>
      <c r="O1532" s="56" t="str">
        <f aca="false">IF(D1532=1,"",E1531)</f>
        <v/>
      </c>
      <c r="P1532" s="56" t="str">
        <f aca="false">IF(OR(D1532=1,K1531=""),"",K1531)</f>
        <v/>
      </c>
      <c r="Q1532" s="56" t="n">
        <f aca="false">IF(OR(F1532&lt;&gt;0,AND(I1532&lt;&gt;"",E1532&lt;I1532)),1,0)</f>
        <v>0</v>
      </c>
      <c r="R1532" s="56" t="n">
        <f aca="false">IF(AND(D1532&gt;1,Q1532=0,ISNUMBER(O1532),ISNUMBER(P1532)),IF(Q1531=0,1,0),0)</f>
        <v>0</v>
      </c>
      <c r="S1532" s="56" t="n">
        <f aca="false">R1532*(B1532&gt;=Train_Start)*(B1532&lt;=Train_End)</f>
        <v>0</v>
      </c>
      <c r="T1532" s="84" t="str">
        <f aca="false">IF(AND(ISNUMBER(O1532),ISNUMBER(P1532)),Coef_A+Coef_B1*O1532+Coef_B2*P1532,"")</f>
        <v/>
      </c>
      <c r="U1532" s="84" t="str">
        <f aca="false">IF(AND(R1532=1,ISNUMBER(T1532)),E1532-T1532,"")</f>
        <v/>
      </c>
      <c r="V1532" s="84" t="n">
        <f aca="false">IF(ISNUMBER(T1532),T1532,-99)</f>
        <v>-99</v>
      </c>
      <c r="W1532" s="84" t="str">
        <f aca="false">IF(ISNUMBER(U1532),ABS(U1532),"")</f>
        <v/>
      </c>
    </row>
    <row r="1533" customFormat="false" ht="15" hidden="false" customHeight="false" outlineLevel="0" collapsed="false">
      <c r="A1533" s="57" t="n">
        <v>32630</v>
      </c>
      <c r="B1533" s="56" t="n">
        <v>1989</v>
      </c>
      <c r="C1533" s="56" t="n">
        <v>5</v>
      </c>
      <c r="D1533" s="56" t="n">
        <v>2</v>
      </c>
      <c r="E1533" s="56" t="n">
        <v>22.9</v>
      </c>
      <c r="F1533" s="56" t="n">
        <v>0</v>
      </c>
      <c r="G1533" s="56" t="n">
        <v>9.8</v>
      </c>
      <c r="H1533" s="56" t="n">
        <v>0</v>
      </c>
      <c r="I1533" s="56" t="n">
        <v>15.2</v>
      </c>
      <c r="J1533" s="56" t="n">
        <v>0</v>
      </c>
      <c r="K1533" s="56" t="n">
        <v>1024.8</v>
      </c>
      <c r="L1533" s="56" t="n">
        <v>0</v>
      </c>
      <c r="M1533" s="56" t="n">
        <v>72</v>
      </c>
      <c r="N1533" s="56" t="n">
        <v>11.9</v>
      </c>
      <c r="O1533" s="56" t="n">
        <f aca="false">IF(D1533=1,"",E1532)</f>
        <v>20.6</v>
      </c>
      <c r="P1533" s="56" t="n">
        <f aca="false">IF(OR(D1533=1,K1532=""),"",K1532)</f>
        <v>1022.8</v>
      </c>
      <c r="Q1533" s="56" t="n">
        <f aca="false">IF(OR(F1533&lt;&gt;0,AND(I1533&lt;&gt;"",E1533&lt;I1533)),1,0)</f>
        <v>0</v>
      </c>
      <c r="R1533" s="56" t="n">
        <f aca="false">IF(AND(D1533&gt;1,Q1533=0,ISNUMBER(O1533),ISNUMBER(P1533)),IF(Q1532=0,1,0),0)</f>
        <v>1</v>
      </c>
      <c r="S1533" s="56" t="n">
        <f aca="false">R1533*(B1533&gt;=Train_Start)*(B1533&lt;=Train_End)</f>
        <v>1</v>
      </c>
      <c r="T1533" s="84" t="n">
        <f aca="false">IF(AND(ISNUMBER(O1533),ISNUMBER(P1533)),Coef_A+Coef_B1*O1533+Coef_B2*P1533,"")</f>
        <v>21.0504910303188</v>
      </c>
      <c r="U1533" s="84" t="n">
        <f aca="false">IF(AND(R1533=1,ISNUMBER(T1533)),E1533-T1533,"")</f>
        <v>1.8495089696812</v>
      </c>
      <c r="V1533" s="84" t="n">
        <f aca="false">IF(ISNUMBER(T1533),T1533,-99)</f>
        <v>21.0504910303188</v>
      </c>
      <c r="W1533" s="84" t="n">
        <f aca="false">IF(ISNUMBER(U1533),ABS(U1533),"")</f>
        <v>1.8495089696812</v>
      </c>
    </row>
    <row r="1534" customFormat="false" ht="15" hidden="false" customHeight="false" outlineLevel="0" collapsed="false">
      <c r="A1534" s="57" t="n">
        <v>32631</v>
      </c>
      <c r="B1534" s="56" t="n">
        <v>1989</v>
      </c>
      <c r="C1534" s="56" t="n">
        <v>5</v>
      </c>
      <c r="D1534" s="56" t="n">
        <v>3</v>
      </c>
      <c r="E1534" s="56" t="n">
        <v>23.6</v>
      </c>
      <c r="F1534" s="56" t="n">
        <v>0</v>
      </c>
      <c r="G1534" s="56" t="n">
        <v>8.3</v>
      </c>
      <c r="H1534" s="56" t="n">
        <v>0</v>
      </c>
      <c r="I1534" s="56" t="n">
        <v>15.6</v>
      </c>
      <c r="J1534" s="56" t="n">
        <v>0</v>
      </c>
      <c r="K1534" s="56" t="n">
        <v>1025.7</v>
      </c>
      <c r="L1534" s="56" t="n">
        <v>0</v>
      </c>
      <c r="M1534" s="56" t="n">
        <v>73</v>
      </c>
      <c r="N1534" s="56" t="n">
        <v>12.6</v>
      </c>
      <c r="O1534" s="56" t="n">
        <f aca="false">IF(D1534=1,"",E1533)</f>
        <v>22.9</v>
      </c>
      <c r="P1534" s="56" t="n">
        <f aca="false">IF(OR(D1534=1,K1533=""),"",K1533)</f>
        <v>1024.8</v>
      </c>
      <c r="Q1534" s="56" t="n">
        <f aca="false">IF(OR(F1534&lt;&gt;0,AND(I1534&lt;&gt;"",E1534&lt;I1534)),1,0)</f>
        <v>0</v>
      </c>
      <c r="R1534" s="56" t="n">
        <f aca="false">IF(AND(D1534&gt;1,Q1534=0,ISNUMBER(O1534),ISNUMBER(P1534)),IF(Q1533=0,1,0),0)</f>
        <v>1</v>
      </c>
      <c r="S1534" s="56" t="n">
        <f aca="false">R1534*(B1534&gt;=Train_Start)*(B1534&lt;=Train_End)</f>
        <v>1</v>
      </c>
      <c r="T1534" s="84" t="n">
        <f aca="false">IF(AND(ISNUMBER(O1534),ISNUMBER(P1534)),Coef_A+Coef_B1*O1534+Coef_B2*P1534,"")</f>
        <v>22.9977109635849</v>
      </c>
      <c r="U1534" s="84" t="n">
        <f aca="false">IF(AND(R1534=1,ISNUMBER(T1534)),E1534-T1534,"")</f>
        <v>0.602289036415119</v>
      </c>
      <c r="V1534" s="84" t="n">
        <f aca="false">IF(ISNUMBER(T1534),T1534,-99)</f>
        <v>22.9977109635849</v>
      </c>
      <c r="W1534" s="84" t="n">
        <f aca="false">IF(ISNUMBER(U1534),ABS(U1534),"")</f>
        <v>0.602289036415119</v>
      </c>
    </row>
    <row r="1535" customFormat="false" ht="15" hidden="false" customHeight="false" outlineLevel="0" collapsed="false">
      <c r="A1535" s="57" t="n">
        <v>32632</v>
      </c>
      <c r="B1535" s="56" t="n">
        <v>1989</v>
      </c>
      <c r="C1535" s="56" t="n">
        <v>5</v>
      </c>
      <c r="D1535" s="56" t="n">
        <v>4</v>
      </c>
      <c r="E1535" s="56" t="n">
        <v>25</v>
      </c>
      <c r="F1535" s="56" t="n">
        <v>0</v>
      </c>
      <c r="G1535" s="56" t="n">
        <v>9.4</v>
      </c>
      <c r="H1535" s="56" t="n">
        <v>0</v>
      </c>
      <c r="I1535" s="56" t="n">
        <v>16.5</v>
      </c>
      <c r="J1535" s="56" t="n">
        <v>0</v>
      </c>
      <c r="K1535" s="56" t="n">
        <v>1026.6</v>
      </c>
      <c r="L1535" s="56" t="n">
        <v>0</v>
      </c>
      <c r="M1535" s="56" t="n">
        <v>68</v>
      </c>
      <c r="N1535" s="56" t="n">
        <v>12.9</v>
      </c>
      <c r="O1535" s="56" t="n">
        <f aca="false">IF(D1535=1,"",E1534)</f>
        <v>23.6</v>
      </c>
      <c r="P1535" s="56" t="n">
        <f aca="false">IF(OR(D1535=1,K1534=""),"",K1534)</f>
        <v>1025.7</v>
      </c>
      <c r="Q1535" s="56" t="n">
        <f aca="false">IF(OR(F1535&lt;&gt;0,AND(I1535&lt;&gt;"",E1535&lt;I1535)),1,0)</f>
        <v>0</v>
      </c>
      <c r="R1535" s="56" t="n">
        <f aca="false">IF(AND(D1535&gt;1,Q1535=0,ISNUMBER(O1535),ISNUMBER(P1535)),IF(Q1534=0,1,0),0)</f>
        <v>1</v>
      </c>
      <c r="S1535" s="56" t="n">
        <f aca="false">R1535*(B1535&gt;=Train_Start)*(B1535&lt;=Train_End)</f>
        <v>1</v>
      </c>
      <c r="T1535" s="84" t="n">
        <f aca="false">IF(AND(ISNUMBER(O1535),ISNUMBER(P1535)),Coef_A+Coef_B1*O1535+Coef_B2*P1535,"")</f>
        <v>23.5994813038853</v>
      </c>
      <c r="U1535" s="84" t="n">
        <f aca="false">IF(AND(R1535=1,ISNUMBER(T1535)),E1535-T1535,"")</f>
        <v>1.40051869611466</v>
      </c>
      <c r="V1535" s="84" t="n">
        <f aca="false">IF(ISNUMBER(T1535),T1535,-99)</f>
        <v>23.5994813038853</v>
      </c>
      <c r="W1535" s="84" t="n">
        <f aca="false">IF(ISNUMBER(U1535),ABS(U1535),"")</f>
        <v>1.40051869611466</v>
      </c>
    </row>
    <row r="1536" customFormat="false" ht="15" hidden="false" customHeight="false" outlineLevel="0" collapsed="false">
      <c r="A1536" s="57" t="n">
        <v>32633</v>
      </c>
      <c r="B1536" s="56" t="n">
        <v>1989</v>
      </c>
      <c r="C1536" s="56" t="n">
        <v>5</v>
      </c>
      <c r="D1536" s="56" t="n">
        <v>5</v>
      </c>
      <c r="E1536" s="56" t="n">
        <v>16.9</v>
      </c>
      <c r="F1536" s="56" t="n">
        <v>1</v>
      </c>
      <c r="G1536" s="56" t="n">
        <v>10</v>
      </c>
      <c r="H1536" s="56" t="n">
        <v>0</v>
      </c>
      <c r="I1536" s="56" t="n">
        <v>17.5</v>
      </c>
      <c r="J1536" s="56" t="n">
        <v>1</v>
      </c>
      <c r="K1536" s="56" t="n">
        <v>1027.8</v>
      </c>
      <c r="L1536" s="56" t="n">
        <v>0</v>
      </c>
      <c r="M1536" s="56" t="n">
        <v>65</v>
      </c>
      <c r="N1536" s="56" t="n">
        <v>11.3</v>
      </c>
      <c r="O1536" s="56" t="n">
        <f aca="false">IF(D1536=1,"",E1535)</f>
        <v>25</v>
      </c>
      <c r="P1536" s="56" t="n">
        <f aca="false">IF(OR(D1536=1,K1535=""),"",K1535)</f>
        <v>1026.6</v>
      </c>
      <c r="Q1536" s="56" t="n">
        <f aca="false">IF(OR(F1536&lt;&gt;0,AND(I1536&lt;&gt;"",E1536&lt;I1536)),1,0)</f>
        <v>1</v>
      </c>
      <c r="R1536" s="56" t="n">
        <f aca="false">IF(AND(D1536&gt;1,Q1536=0,ISNUMBER(O1536),ISNUMBER(P1536)),IF(Q1535=0,1,0),0)</f>
        <v>0</v>
      </c>
      <c r="S1536" s="56" t="n">
        <f aca="false">R1536*(B1536&gt;=Train_Start)*(B1536&lt;=Train_End)</f>
        <v>0</v>
      </c>
      <c r="T1536" s="84" t="n">
        <f aca="false">IF(AND(ISNUMBER(O1536),ISNUMBER(P1536)),Coef_A+Coef_B1*O1536+Coef_B2*P1536,"")</f>
        <v>24.7747890793156</v>
      </c>
      <c r="U1536" s="84" t="str">
        <f aca="false">IF(AND(R1536=1,ISNUMBER(T1536)),E1536-T1536,"")</f>
        <v/>
      </c>
      <c r="V1536" s="84" t="n">
        <f aca="false">IF(ISNUMBER(T1536),T1536,-99)</f>
        <v>24.7747890793156</v>
      </c>
      <c r="W1536" s="84" t="str">
        <f aca="false">IF(ISNUMBER(U1536),ABS(U1536),"")</f>
        <v/>
      </c>
    </row>
    <row r="1537" customFormat="false" ht="15" hidden="false" customHeight="false" outlineLevel="0" collapsed="false">
      <c r="A1537" s="57" t="n">
        <v>32634</v>
      </c>
      <c r="B1537" s="56" t="n">
        <v>1989</v>
      </c>
      <c r="C1537" s="56" t="n">
        <v>5</v>
      </c>
      <c r="D1537" s="56" t="n">
        <v>6</v>
      </c>
      <c r="E1537" s="56" t="n">
        <v>19.1</v>
      </c>
      <c r="F1537" s="56" t="n">
        <v>0</v>
      </c>
      <c r="G1537" s="56" t="n">
        <v>9.8</v>
      </c>
      <c r="H1537" s="56" t="n">
        <v>0</v>
      </c>
      <c r="I1537" s="56" t="n">
        <v>13.4</v>
      </c>
      <c r="J1537" s="56" t="n">
        <v>0</v>
      </c>
      <c r="K1537" s="56" t="n">
        <v>1031.3</v>
      </c>
      <c r="L1537" s="56" t="n">
        <v>0</v>
      </c>
      <c r="M1537" s="56" t="n">
        <v>57</v>
      </c>
      <c r="N1537" s="56" t="n">
        <v>13.2</v>
      </c>
      <c r="O1537" s="56" t="n">
        <f aca="false">IF(D1537=1,"",E1536)</f>
        <v>16.9</v>
      </c>
      <c r="P1537" s="56" t="n">
        <f aca="false">IF(OR(D1537=1,K1536=""),"",K1536)</f>
        <v>1027.8</v>
      </c>
      <c r="Q1537" s="56" t="n">
        <f aca="false">IF(OR(F1537&lt;&gt;0,AND(I1537&lt;&gt;"",E1537&lt;I1537)),1,0)</f>
        <v>0</v>
      </c>
      <c r="R1537" s="56" t="n">
        <f aca="false">IF(AND(D1537&gt;1,Q1537=0,ISNUMBER(O1537),ISNUMBER(P1537)),IF(Q1536=0,1,0),0)</f>
        <v>0</v>
      </c>
      <c r="S1537" s="56" t="n">
        <f aca="false">R1537*(B1537&gt;=Train_Start)*(B1537&lt;=Train_End)</f>
        <v>0</v>
      </c>
      <c r="T1537" s="84" t="n">
        <f aca="false">IF(AND(ISNUMBER(O1537),ISNUMBER(P1537)),Coef_A+Coef_B1*O1537+Coef_B2*P1537,"")</f>
        <v>18.1757854892309</v>
      </c>
      <c r="U1537" s="84" t="str">
        <f aca="false">IF(AND(R1537=1,ISNUMBER(T1537)),E1537-T1537,"")</f>
        <v/>
      </c>
      <c r="V1537" s="84" t="n">
        <f aca="false">IF(ISNUMBER(T1537),T1537,-99)</f>
        <v>18.1757854892309</v>
      </c>
      <c r="W1537" s="84" t="str">
        <f aca="false">IF(ISNUMBER(U1537),ABS(U1537),"")</f>
        <v/>
      </c>
    </row>
    <row r="1538" customFormat="false" ht="15" hidden="false" customHeight="false" outlineLevel="0" collapsed="false">
      <c r="A1538" s="57" t="n">
        <v>32635</v>
      </c>
      <c r="B1538" s="56" t="n">
        <v>1989</v>
      </c>
      <c r="C1538" s="56" t="n">
        <v>5</v>
      </c>
      <c r="D1538" s="56" t="n">
        <v>7</v>
      </c>
      <c r="E1538" s="56" t="n">
        <v>21.9</v>
      </c>
      <c r="F1538" s="56" t="n">
        <v>0</v>
      </c>
      <c r="G1538" s="56" t="n">
        <v>5.5</v>
      </c>
      <c r="H1538" s="56" t="n">
        <v>0</v>
      </c>
      <c r="I1538" s="56" t="n">
        <v>12.3</v>
      </c>
      <c r="J1538" s="56" t="n">
        <v>0</v>
      </c>
      <c r="K1538" s="56" t="n">
        <v>1028.1</v>
      </c>
      <c r="L1538" s="56" t="n">
        <v>0</v>
      </c>
      <c r="M1538" s="56" t="n">
        <v>64</v>
      </c>
      <c r="N1538" s="56" t="n">
        <v>13.8</v>
      </c>
      <c r="O1538" s="56" t="n">
        <f aca="false">IF(D1538=1,"",E1537)</f>
        <v>19.1</v>
      </c>
      <c r="P1538" s="56" t="n">
        <f aca="false">IF(OR(D1538=1,K1537=""),"",K1537)</f>
        <v>1031.3</v>
      </c>
      <c r="Q1538" s="56" t="n">
        <f aca="false">IF(OR(F1538&lt;&gt;0,AND(I1538&lt;&gt;"",E1538&lt;I1538)),1,0)</f>
        <v>0</v>
      </c>
      <c r="R1538" s="56" t="n">
        <f aca="false">IF(AND(D1538&gt;1,Q1538=0,ISNUMBER(O1538),ISNUMBER(P1538)),IF(Q1537=0,1,0),0)</f>
        <v>1</v>
      </c>
      <c r="S1538" s="56" t="n">
        <f aca="false">R1538*(B1538&gt;=Train_Start)*(B1538&lt;=Train_End)</f>
        <v>1</v>
      </c>
      <c r="T1538" s="84" t="n">
        <f aca="false">IF(AND(ISNUMBER(O1538),ISNUMBER(P1538)),Coef_A+Coef_B1*O1538+Coef_B2*P1538,"")</f>
        <v>20.0881263451437</v>
      </c>
      <c r="U1538" s="84" t="n">
        <f aca="false">IF(AND(R1538=1,ISNUMBER(T1538)),E1538-T1538,"")</f>
        <v>1.81187365485628</v>
      </c>
      <c r="V1538" s="84" t="n">
        <f aca="false">IF(ISNUMBER(T1538),T1538,-99)</f>
        <v>20.0881263451437</v>
      </c>
      <c r="W1538" s="84" t="n">
        <f aca="false">IF(ISNUMBER(U1538),ABS(U1538),"")</f>
        <v>1.81187365485628</v>
      </c>
    </row>
    <row r="1539" customFormat="false" ht="15" hidden="false" customHeight="false" outlineLevel="0" collapsed="false">
      <c r="A1539" s="57" t="n">
        <v>32636</v>
      </c>
      <c r="B1539" s="56" t="n">
        <v>1989</v>
      </c>
      <c r="C1539" s="56" t="n">
        <v>5</v>
      </c>
      <c r="D1539" s="56" t="n">
        <v>8</v>
      </c>
      <c r="E1539" s="56" t="n">
        <v>19.6</v>
      </c>
      <c r="F1539" s="56" t="n">
        <v>0</v>
      </c>
      <c r="G1539" s="56" t="n">
        <v>7</v>
      </c>
      <c r="H1539" s="56" t="n">
        <v>0</v>
      </c>
      <c r="I1539" s="56" t="n">
        <v>14.4</v>
      </c>
      <c r="J1539" s="56" t="n">
        <v>0</v>
      </c>
      <c r="K1539" s="56" t="n">
        <v>1020.6</v>
      </c>
      <c r="L1539" s="56" t="n">
        <v>0</v>
      </c>
      <c r="M1539" s="56" t="n">
        <v>60</v>
      </c>
      <c r="N1539" s="56" t="n">
        <v>12.6</v>
      </c>
      <c r="O1539" s="56" t="n">
        <f aca="false">IF(D1539=1,"",E1538)</f>
        <v>21.9</v>
      </c>
      <c r="P1539" s="56" t="n">
        <f aca="false">IF(OR(D1539=1,K1538=""),"",K1538)</f>
        <v>1028.1</v>
      </c>
      <c r="Q1539" s="56" t="n">
        <f aca="false">IF(OR(F1539&lt;&gt;0,AND(I1539&lt;&gt;"",E1539&lt;I1539)),1,0)</f>
        <v>0</v>
      </c>
      <c r="R1539" s="56" t="n">
        <f aca="false">IF(AND(D1539&gt;1,Q1539=0,ISNUMBER(O1539),ISNUMBER(P1539)),IF(Q1538=0,1,0),0)</f>
        <v>1</v>
      </c>
      <c r="S1539" s="56" t="n">
        <f aca="false">R1539*(B1539&gt;=Train_Start)*(B1539&lt;=Train_End)</f>
        <v>1</v>
      </c>
      <c r="T1539" s="84" t="n">
        <f aca="false">IF(AND(ISNUMBER(O1539),ISNUMBER(P1539)),Coef_A+Coef_B1*O1539+Coef_B2*P1539,"")</f>
        <v>22.2818924228344</v>
      </c>
      <c r="U1539" s="84" t="n">
        <f aca="false">IF(AND(R1539=1,ISNUMBER(T1539)),E1539-T1539,"")</f>
        <v>-2.68189242283439</v>
      </c>
      <c r="V1539" s="84" t="n">
        <f aca="false">IF(ISNUMBER(T1539),T1539,-99)</f>
        <v>22.2818924228344</v>
      </c>
      <c r="W1539" s="84" t="n">
        <f aca="false">IF(ISNUMBER(U1539),ABS(U1539),"")</f>
        <v>2.68189242283439</v>
      </c>
    </row>
    <row r="1540" customFormat="false" ht="15" hidden="false" customHeight="false" outlineLevel="0" collapsed="false">
      <c r="A1540" s="57" t="n">
        <v>32637</v>
      </c>
      <c r="B1540" s="56" t="n">
        <v>1989</v>
      </c>
      <c r="C1540" s="56" t="n">
        <v>5</v>
      </c>
      <c r="D1540" s="56" t="n">
        <v>9</v>
      </c>
      <c r="E1540" s="56" t="n">
        <v>18.3</v>
      </c>
      <c r="F1540" s="56" t="n">
        <v>0</v>
      </c>
      <c r="G1540" s="56" t="n">
        <v>8.8</v>
      </c>
      <c r="H1540" s="56" t="n">
        <v>0</v>
      </c>
      <c r="I1540" s="56" t="n">
        <v>14.2</v>
      </c>
      <c r="J1540" s="56" t="n">
        <v>0</v>
      </c>
      <c r="K1540" s="56" t="n">
        <v>1011.1</v>
      </c>
      <c r="L1540" s="56" t="n">
        <v>0</v>
      </c>
      <c r="M1540" s="56" t="n">
        <v>65</v>
      </c>
      <c r="N1540" s="56" t="n">
        <v>11.8</v>
      </c>
      <c r="O1540" s="56" t="n">
        <f aca="false">IF(D1540=1,"",E1539)</f>
        <v>19.6</v>
      </c>
      <c r="P1540" s="56" t="n">
        <f aca="false">IF(OR(D1540=1,K1539=""),"",K1539)</f>
        <v>1020.6</v>
      </c>
      <c r="Q1540" s="56" t="n">
        <f aca="false">IF(OR(F1540&lt;&gt;0,AND(I1540&lt;&gt;"",E1540&lt;I1540)),1,0)</f>
        <v>0</v>
      </c>
      <c r="R1540" s="56" t="n">
        <f aca="false">IF(AND(D1540&gt;1,Q1540=0,ISNUMBER(O1540),ISNUMBER(P1540)),IF(Q1539=0,1,0),0)</f>
        <v>1</v>
      </c>
      <c r="S1540" s="56" t="n">
        <f aca="false">R1540*(B1540&gt;=Train_Start)*(B1540&lt;=Train_End)</f>
        <v>1</v>
      </c>
      <c r="T1540" s="84" t="n">
        <f aca="false">IF(AND(ISNUMBER(O1540),ISNUMBER(P1540)),Coef_A+Coef_B1*O1540+Coef_B2*P1540,"")</f>
        <v>20.1621380690814</v>
      </c>
      <c r="U1540" s="84" t="n">
        <f aca="false">IF(AND(R1540=1,ISNUMBER(T1540)),E1540-T1540,"")</f>
        <v>-1.86213806908136</v>
      </c>
      <c r="V1540" s="84" t="n">
        <f aca="false">IF(ISNUMBER(T1540),T1540,-99)</f>
        <v>20.1621380690814</v>
      </c>
      <c r="W1540" s="84" t="n">
        <f aca="false">IF(ISNUMBER(U1540),ABS(U1540),"")</f>
        <v>1.86213806908136</v>
      </c>
    </row>
    <row r="1541" customFormat="false" ht="15" hidden="false" customHeight="false" outlineLevel="0" collapsed="false">
      <c r="A1541" s="57" t="n">
        <v>32638</v>
      </c>
      <c r="B1541" s="56" t="n">
        <v>1989</v>
      </c>
      <c r="C1541" s="56" t="n">
        <v>5</v>
      </c>
      <c r="D1541" s="56" t="n">
        <v>10</v>
      </c>
      <c r="E1541" s="56" t="n">
        <v>18.1</v>
      </c>
      <c r="F1541" s="56" t="n">
        <v>0</v>
      </c>
      <c r="G1541" s="56" t="n">
        <v>7.2</v>
      </c>
      <c r="H1541" s="56" t="n">
        <v>0</v>
      </c>
      <c r="I1541" s="56" t="n">
        <v>12.8</v>
      </c>
      <c r="J1541" s="56" t="n">
        <v>0</v>
      </c>
      <c r="K1541" s="56" t="n">
        <v>1010.8</v>
      </c>
      <c r="L1541" s="56" t="n">
        <v>0</v>
      </c>
      <c r="M1541" s="56" t="n">
        <v>55</v>
      </c>
      <c r="N1541" s="56" t="n">
        <v>10.3</v>
      </c>
      <c r="O1541" s="56" t="n">
        <f aca="false">IF(D1541=1,"",E1540)</f>
        <v>18.3</v>
      </c>
      <c r="P1541" s="56" t="n">
        <f aca="false">IF(OR(D1541=1,K1540=""),"",K1540)</f>
        <v>1011.1</v>
      </c>
      <c r="Q1541" s="56" t="n">
        <f aca="false">IF(OR(F1541&lt;&gt;0,AND(I1541&lt;&gt;"",E1541&lt;I1541)),1,0)</f>
        <v>0</v>
      </c>
      <c r="R1541" s="56" t="n">
        <f aca="false">IF(AND(D1541&gt;1,Q1541=0,ISNUMBER(O1541),ISNUMBER(P1541)),IF(Q1540=0,1,0),0)</f>
        <v>1</v>
      </c>
      <c r="S1541" s="56" t="n">
        <f aca="false">R1541*(B1541&gt;=Train_Start)*(B1541&lt;=Train_End)</f>
        <v>1</v>
      </c>
      <c r="T1541" s="84" t="n">
        <f aca="false">IF(AND(ISNUMBER(O1541),ISNUMBER(P1541)),Coef_A+Coef_B1*O1541+Coef_B2*P1541,"")</f>
        <v>18.798983119103</v>
      </c>
      <c r="U1541" s="84" t="n">
        <f aca="false">IF(AND(R1541=1,ISNUMBER(T1541)),E1541-T1541,"")</f>
        <v>-0.698983119103005</v>
      </c>
      <c r="V1541" s="84" t="n">
        <f aca="false">IF(ISNUMBER(T1541),T1541,-99)</f>
        <v>18.798983119103</v>
      </c>
      <c r="W1541" s="84" t="n">
        <f aca="false">IF(ISNUMBER(U1541),ABS(U1541),"")</f>
        <v>0.698983119103005</v>
      </c>
    </row>
    <row r="1542" customFormat="false" ht="15" hidden="false" customHeight="false" outlineLevel="0" collapsed="false">
      <c r="A1542" s="57" t="n">
        <v>32639</v>
      </c>
      <c r="B1542" s="56" t="n">
        <v>1989</v>
      </c>
      <c r="C1542" s="56" t="n">
        <v>5</v>
      </c>
      <c r="D1542" s="56" t="n">
        <v>11</v>
      </c>
      <c r="E1542" s="56" t="n">
        <v>14.1</v>
      </c>
      <c r="F1542" s="56" t="n">
        <v>1</v>
      </c>
      <c r="G1542" s="56" t="n">
        <v>10.6</v>
      </c>
      <c r="H1542" s="56" t="n">
        <v>0</v>
      </c>
      <c r="I1542" s="56" t="n">
        <v>14.4</v>
      </c>
      <c r="J1542" s="56" t="n">
        <v>1</v>
      </c>
      <c r="K1542" s="56" t="n">
        <v>1002.1</v>
      </c>
      <c r="L1542" s="56" t="n">
        <v>0</v>
      </c>
      <c r="M1542" s="56" t="n">
        <v>60</v>
      </c>
      <c r="N1542" s="56" t="n">
        <v>4.3</v>
      </c>
      <c r="O1542" s="56" t="n">
        <f aca="false">IF(D1542=1,"",E1541)</f>
        <v>18.1</v>
      </c>
      <c r="P1542" s="56" t="n">
        <f aca="false">IF(OR(D1542=1,K1541=""),"",K1541)</f>
        <v>1010.8</v>
      </c>
      <c r="Q1542" s="56" t="n">
        <f aca="false">IF(OR(F1542&lt;&gt;0,AND(I1542&lt;&gt;"",E1542&lt;I1542)),1,0)</f>
        <v>1</v>
      </c>
      <c r="R1542" s="56" t="n">
        <f aca="false">IF(AND(D1542&gt;1,Q1542=0,ISNUMBER(O1542),ISNUMBER(P1542)),IF(Q1541=0,1,0),0)</f>
        <v>0</v>
      </c>
      <c r="S1542" s="56" t="n">
        <f aca="false">R1542*(B1542&gt;=Train_Start)*(B1542&lt;=Train_End)</f>
        <v>0</v>
      </c>
      <c r="T1542" s="84" t="n">
        <f aca="false">IF(AND(ISNUMBER(O1542),ISNUMBER(P1542)),Coef_A+Coef_B1*O1542+Coef_B2*P1542,"")</f>
        <v>18.6257043121043</v>
      </c>
      <c r="U1542" s="84" t="str">
        <f aca="false">IF(AND(R1542=1,ISNUMBER(T1542)),E1542-T1542,"")</f>
        <v/>
      </c>
      <c r="V1542" s="84" t="n">
        <f aca="false">IF(ISNUMBER(T1542),T1542,-99)</f>
        <v>18.6257043121043</v>
      </c>
      <c r="W1542" s="84" t="str">
        <f aca="false">IF(ISNUMBER(U1542),ABS(U1542),"")</f>
        <v/>
      </c>
    </row>
    <row r="1543" customFormat="false" ht="15" hidden="false" customHeight="false" outlineLevel="0" collapsed="false">
      <c r="A1543" s="57" t="n">
        <v>32640</v>
      </c>
      <c r="B1543" s="56" t="n">
        <v>1989</v>
      </c>
      <c r="C1543" s="56" t="n">
        <v>5</v>
      </c>
      <c r="D1543" s="56" t="n">
        <v>12</v>
      </c>
      <c r="E1543" s="56" t="n">
        <v>15.9</v>
      </c>
      <c r="F1543" s="56" t="n">
        <v>0</v>
      </c>
      <c r="G1543" s="56" t="n">
        <v>6.6</v>
      </c>
      <c r="H1543" s="56" t="n">
        <v>0</v>
      </c>
      <c r="I1543" s="56" t="n">
        <v>10.4</v>
      </c>
      <c r="J1543" s="56" t="n">
        <v>0</v>
      </c>
      <c r="K1543" s="56" t="n">
        <v>999.2</v>
      </c>
      <c r="L1543" s="56" t="n">
        <v>0</v>
      </c>
      <c r="M1543" s="56" t="n">
        <v>68</v>
      </c>
      <c r="N1543" s="56" t="n">
        <v>6.6</v>
      </c>
      <c r="O1543" s="56" t="n">
        <f aca="false">IF(D1543=1,"",E1542)</f>
        <v>14.1</v>
      </c>
      <c r="P1543" s="56" t="n">
        <f aca="false">IF(OR(D1543=1,K1542=""),"",K1542)</f>
        <v>1002.1</v>
      </c>
      <c r="Q1543" s="56" t="n">
        <f aca="false">IF(OR(F1543&lt;&gt;0,AND(I1543&lt;&gt;"",E1543&lt;I1543)),1,0)</f>
        <v>0</v>
      </c>
      <c r="R1543" s="56" t="n">
        <f aca="false">IF(AND(D1543&gt;1,Q1543=0,ISNUMBER(O1543),ISNUMBER(P1543)),IF(Q1542=0,1,0),0)</f>
        <v>0</v>
      </c>
      <c r="S1543" s="56" t="n">
        <f aca="false">R1543*(B1543&gt;=Train_Start)*(B1543&lt;=Train_End)</f>
        <v>0</v>
      </c>
      <c r="T1543" s="84" t="n">
        <f aca="false">IF(AND(ISNUMBER(O1543),ISNUMBER(P1543)),Coef_A+Coef_B1*O1543+Coef_B2*P1543,"")</f>
        <v>15.0754294566179</v>
      </c>
      <c r="U1543" s="84" t="str">
        <f aca="false">IF(AND(R1543=1,ISNUMBER(T1543)),E1543-T1543,"")</f>
        <v/>
      </c>
      <c r="V1543" s="84" t="n">
        <f aca="false">IF(ISNUMBER(T1543),T1543,-99)</f>
        <v>15.0754294566179</v>
      </c>
      <c r="W1543" s="84" t="str">
        <f aca="false">IF(ISNUMBER(U1543),ABS(U1543),"")</f>
        <v/>
      </c>
    </row>
    <row r="1544" customFormat="false" ht="15" hidden="false" customHeight="false" outlineLevel="0" collapsed="false">
      <c r="A1544" s="57" t="n">
        <v>32641</v>
      </c>
      <c r="B1544" s="56" t="n">
        <v>1989</v>
      </c>
      <c r="C1544" s="56" t="n">
        <v>5</v>
      </c>
      <c r="D1544" s="56" t="n">
        <v>13</v>
      </c>
      <c r="E1544" s="56" t="n">
        <v>17.9</v>
      </c>
      <c r="F1544" s="56" t="n">
        <v>0</v>
      </c>
      <c r="G1544" s="56" t="n">
        <v>6.3</v>
      </c>
      <c r="H1544" s="56" t="n">
        <v>0</v>
      </c>
      <c r="I1544" s="56" t="n">
        <v>11.1</v>
      </c>
      <c r="J1544" s="56" t="n">
        <v>0</v>
      </c>
      <c r="K1544" s="56" t="n">
        <v>1009.5</v>
      </c>
      <c r="L1544" s="56" t="n">
        <v>0</v>
      </c>
      <c r="M1544" s="56" t="n">
        <v>63</v>
      </c>
      <c r="N1544" s="56" t="n">
        <v>6.5</v>
      </c>
      <c r="O1544" s="56" t="n">
        <f aca="false">IF(D1544=1,"",E1543)</f>
        <v>15.9</v>
      </c>
      <c r="P1544" s="56" t="n">
        <f aca="false">IF(OR(D1544=1,K1543=""),"",K1543)</f>
        <v>999.2</v>
      </c>
      <c r="Q1544" s="56" t="n">
        <f aca="false">IF(OR(F1544&lt;&gt;0,AND(I1544&lt;&gt;"",E1544&lt;I1544)),1,0)</f>
        <v>0</v>
      </c>
      <c r="R1544" s="56" t="n">
        <f aca="false">IF(AND(D1544&gt;1,Q1544=0,ISNUMBER(O1544),ISNUMBER(P1544)),IF(Q1543=0,1,0),0)</f>
        <v>1</v>
      </c>
      <c r="S1544" s="56" t="n">
        <f aca="false">R1544*(B1544&gt;=Train_Start)*(B1544&lt;=Train_End)</f>
        <v>1</v>
      </c>
      <c r="T1544" s="84" t="n">
        <f aca="false">IF(AND(ISNUMBER(O1544),ISNUMBER(P1544)),Coef_A+Coef_B1*O1544+Coef_B2*P1544,"")</f>
        <v>16.4592673096562</v>
      </c>
      <c r="U1544" s="84" t="n">
        <f aca="false">IF(AND(R1544=1,ISNUMBER(T1544)),E1544-T1544,"")</f>
        <v>1.44073269034384</v>
      </c>
      <c r="V1544" s="84" t="n">
        <f aca="false">IF(ISNUMBER(T1544),T1544,-99)</f>
        <v>16.4592673096562</v>
      </c>
      <c r="W1544" s="84" t="n">
        <f aca="false">IF(ISNUMBER(U1544),ABS(U1544),"")</f>
        <v>1.44073269034384</v>
      </c>
    </row>
    <row r="1545" customFormat="false" ht="15" hidden="false" customHeight="false" outlineLevel="0" collapsed="false">
      <c r="A1545" s="57" t="n">
        <v>32642</v>
      </c>
      <c r="B1545" s="56" t="n">
        <v>1989</v>
      </c>
      <c r="C1545" s="56" t="n">
        <v>5</v>
      </c>
      <c r="D1545" s="56" t="n">
        <v>14</v>
      </c>
      <c r="E1545" s="56" t="n">
        <v>21</v>
      </c>
      <c r="F1545" s="56" t="n">
        <v>0</v>
      </c>
      <c r="G1545" s="56" t="n">
        <v>9.7</v>
      </c>
      <c r="H1545" s="56" t="n">
        <v>0</v>
      </c>
      <c r="I1545" s="56" t="n">
        <v>13.8</v>
      </c>
      <c r="J1545" s="56" t="n">
        <v>0</v>
      </c>
      <c r="K1545" s="56" t="n">
        <v>1022.7</v>
      </c>
      <c r="L1545" s="56" t="n">
        <v>0</v>
      </c>
      <c r="M1545" s="56" t="n">
        <v>69</v>
      </c>
      <c r="N1545" s="56" t="n">
        <v>1.7</v>
      </c>
      <c r="O1545" s="56" t="n">
        <f aca="false">IF(D1545=1,"",E1544)</f>
        <v>17.9</v>
      </c>
      <c r="P1545" s="56" t="n">
        <f aca="false">IF(OR(D1545=1,K1544=""),"",K1544)</f>
        <v>1009.5</v>
      </c>
      <c r="Q1545" s="56" t="n">
        <f aca="false">IF(OR(F1545&lt;&gt;0,AND(I1545&lt;&gt;"",E1545&lt;I1545)),1,0)</f>
        <v>0</v>
      </c>
      <c r="R1545" s="56" t="n">
        <f aca="false">IF(AND(D1545&gt;1,Q1545=0,ISNUMBER(O1545),ISNUMBER(P1545)),IF(Q1544=0,1,0),0)</f>
        <v>1</v>
      </c>
      <c r="S1545" s="56" t="n">
        <f aca="false">R1545*(B1545&gt;=Train_Start)*(B1545&lt;=Train_End)</f>
        <v>1</v>
      </c>
      <c r="T1545" s="84" t="n">
        <f aca="false">IF(AND(ISNUMBER(O1545),ISNUMBER(P1545)),Coef_A+Coef_B1*O1545+Coef_B2*P1545,"")</f>
        <v>18.4210556104716</v>
      </c>
      <c r="U1545" s="84" t="n">
        <f aca="false">IF(AND(R1545=1,ISNUMBER(T1545)),E1545-T1545,"")</f>
        <v>2.57894438952845</v>
      </c>
      <c r="V1545" s="84" t="n">
        <f aca="false">IF(ISNUMBER(T1545),T1545,-99)</f>
        <v>18.4210556104716</v>
      </c>
      <c r="W1545" s="84" t="n">
        <f aca="false">IF(ISNUMBER(U1545),ABS(U1545),"")</f>
        <v>2.57894438952845</v>
      </c>
    </row>
    <row r="1546" customFormat="false" ht="15" hidden="false" customHeight="false" outlineLevel="0" collapsed="false">
      <c r="A1546" s="57" t="n">
        <v>32643</v>
      </c>
      <c r="B1546" s="56" t="n">
        <v>1989</v>
      </c>
      <c r="C1546" s="56" t="n">
        <v>5</v>
      </c>
      <c r="D1546" s="56" t="n">
        <v>15</v>
      </c>
      <c r="E1546" s="56" t="n">
        <v>20.9</v>
      </c>
      <c r="F1546" s="56" t="n">
        <v>0</v>
      </c>
      <c r="G1546" s="56" t="n">
        <v>8.2</v>
      </c>
      <c r="H1546" s="56" t="n">
        <v>0</v>
      </c>
      <c r="I1546" s="56" t="n">
        <v>14.6</v>
      </c>
      <c r="J1546" s="56" t="n">
        <v>0</v>
      </c>
      <c r="K1546" s="56" t="n">
        <v>1028.4</v>
      </c>
      <c r="L1546" s="56" t="n">
        <v>0</v>
      </c>
      <c r="M1546" s="56" t="n">
        <v>67</v>
      </c>
      <c r="N1546" s="56" t="n">
        <v>12.5</v>
      </c>
      <c r="O1546" s="56" t="n">
        <f aca="false">IF(D1546=1,"",E1545)</f>
        <v>21</v>
      </c>
      <c r="P1546" s="56" t="n">
        <f aca="false">IF(OR(D1546=1,K1545=""),"",K1545)</f>
        <v>1022.7</v>
      </c>
      <c r="Q1546" s="56" t="n">
        <f aca="false">IF(OR(F1546&lt;&gt;0,AND(I1546&lt;&gt;"",E1546&lt;I1546)),1,0)</f>
        <v>0</v>
      </c>
      <c r="R1546" s="56" t="n">
        <f aca="false">IF(AND(D1546&gt;1,Q1546=0,ISNUMBER(O1546),ISNUMBER(P1546)),IF(Q1545=0,1,0),0)</f>
        <v>1</v>
      </c>
      <c r="S1546" s="56" t="n">
        <f aca="false">R1546*(B1546&gt;=Train_Start)*(B1546&lt;=Train_End)</f>
        <v>1</v>
      </c>
      <c r="T1546" s="84" t="n">
        <f aca="false">IF(AND(ISNUMBER(O1546),ISNUMBER(P1546)),Coef_A+Coef_B1*O1546+Coef_B2*P1546,"")</f>
        <v>21.3750897180725</v>
      </c>
      <c r="U1546" s="84" t="n">
        <f aca="false">IF(AND(R1546=1,ISNUMBER(T1546)),E1546-T1546,"")</f>
        <v>-0.475089718072464</v>
      </c>
      <c r="V1546" s="84" t="n">
        <f aca="false">IF(ISNUMBER(T1546),T1546,-99)</f>
        <v>21.3750897180725</v>
      </c>
      <c r="W1546" s="84" t="n">
        <f aca="false">IF(ISNUMBER(U1546),ABS(U1546),"")</f>
        <v>0.475089718072464</v>
      </c>
    </row>
    <row r="1547" customFormat="false" ht="15" hidden="false" customHeight="false" outlineLevel="0" collapsed="false">
      <c r="A1547" s="57" t="n">
        <v>32644</v>
      </c>
      <c r="B1547" s="56" t="n">
        <v>1989</v>
      </c>
      <c r="C1547" s="56" t="n">
        <v>5</v>
      </c>
      <c r="D1547" s="56" t="n">
        <v>16</v>
      </c>
      <c r="E1547" s="56" t="n">
        <v>22</v>
      </c>
      <c r="F1547" s="56" t="n">
        <v>0</v>
      </c>
      <c r="G1547" s="56" t="n">
        <v>10</v>
      </c>
      <c r="H1547" s="56" t="n">
        <v>0</v>
      </c>
      <c r="I1547" s="56" t="n">
        <v>15.4</v>
      </c>
      <c r="J1547" s="56" t="n">
        <v>0</v>
      </c>
      <c r="K1547" s="56" t="n">
        <v>1028.5</v>
      </c>
      <c r="L1547" s="56" t="n">
        <v>0</v>
      </c>
      <c r="M1547" s="56" t="n">
        <v>68</v>
      </c>
      <c r="N1547" s="56" t="n">
        <v>11.6</v>
      </c>
      <c r="O1547" s="56" t="n">
        <f aca="false">IF(D1547=1,"",E1546)</f>
        <v>20.9</v>
      </c>
      <c r="P1547" s="56" t="n">
        <f aca="false">IF(OR(D1547=1,K1546=""),"",K1546)</f>
        <v>1028.4</v>
      </c>
      <c r="Q1547" s="56" t="n">
        <f aca="false">IF(OR(F1547&lt;&gt;0,AND(I1547&lt;&gt;"",E1547&lt;I1547)),1,0)</f>
        <v>0</v>
      </c>
      <c r="R1547" s="56" t="n">
        <f aca="false">IF(AND(D1547&gt;1,Q1547=0,ISNUMBER(O1547),ISNUMBER(P1547)),IF(Q1546=0,1,0),0)</f>
        <v>1</v>
      </c>
      <c r="S1547" s="56" t="n">
        <f aca="false">R1547*(B1547&gt;=Train_Start)*(B1547&lt;=Train_End)</f>
        <v>1</v>
      </c>
      <c r="T1547" s="84" t="n">
        <f aca="false">IF(AND(ISNUMBER(O1547),ISNUMBER(P1547)),Coef_A+Coef_B1*O1547+Coef_B2*P1547,"")</f>
        <v>21.4719641981819</v>
      </c>
      <c r="U1547" s="84" t="n">
        <f aca="false">IF(AND(R1547=1,ISNUMBER(T1547)),E1547-T1547,"")</f>
        <v>0.528035801818064</v>
      </c>
      <c r="V1547" s="84" t="n">
        <f aca="false">IF(ISNUMBER(T1547),T1547,-99)</f>
        <v>21.4719641981819</v>
      </c>
      <c r="W1547" s="84" t="n">
        <f aca="false">IF(ISNUMBER(U1547),ABS(U1547),"")</f>
        <v>0.528035801818064</v>
      </c>
    </row>
    <row r="1548" customFormat="false" ht="15" hidden="false" customHeight="false" outlineLevel="0" collapsed="false">
      <c r="A1548" s="57" t="n">
        <v>32645</v>
      </c>
      <c r="B1548" s="56" t="n">
        <v>1989</v>
      </c>
      <c r="C1548" s="56" t="n">
        <v>5</v>
      </c>
      <c r="D1548" s="56" t="n">
        <v>17</v>
      </c>
      <c r="E1548" s="56" t="n">
        <v>24.1</v>
      </c>
      <c r="F1548" s="56" t="n">
        <v>0</v>
      </c>
      <c r="G1548" s="56" t="n">
        <v>10.8</v>
      </c>
      <c r="H1548" s="56" t="n">
        <v>0</v>
      </c>
      <c r="I1548" s="56" t="n">
        <v>16.4</v>
      </c>
      <c r="J1548" s="56" t="n">
        <v>0</v>
      </c>
      <c r="K1548" s="56" t="n">
        <v>1028</v>
      </c>
      <c r="L1548" s="56" t="n">
        <v>0</v>
      </c>
      <c r="M1548" s="56" t="n">
        <v>65</v>
      </c>
      <c r="N1548" s="56" t="n">
        <v>9.9</v>
      </c>
      <c r="O1548" s="56" t="n">
        <f aca="false">IF(D1548=1,"",E1547)</f>
        <v>22</v>
      </c>
      <c r="P1548" s="56" t="n">
        <f aca="false">IF(OR(D1548=1,K1547=""),"",K1547)</f>
        <v>1028.5</v>
      </c>
      <c r="Q1548" s="56" t="n">
        <f aca="false">IF(OR(F1548&lt;&gt;0,AND(I1548&lt;&gt;"",E1548&lt;I1548)),1,0)</f>
        <v>0</v>
      </c>
      <c r="R1548" s="56" t="n">
        <f aca="false">IF(AND(D1548&gt;1,Q1548=0,ISNUMBER(O1548),ISNUMBER(P1548)),IF(Q1547=0,1,0),0)</f>
        <v>1</v>
      </c>
      <c r="S1548" s="56" t="n">
        <f aca="false">R1548*(B1548&gt;=Train_Start)*(B1548&lt;=Train_End)</f>
        <v>1</v>
      </c>
      <c r="T1548" s="84" t="n">
        <f aca="false">IF(AND(ISNUMBER(O1548),ISNUMBER(P1548)),Coef_A+Coef_B1*O1548+Coef_B2*P1548,"")</f>
        <v>22.3763742999923</v>
      </c>
      <c r="U1548" s="84" t="n">
        <f aca="false">IF(AND(R1548=1,ISNUMBER(T1548)),E1548-T1548,"")</f>
        <v>1.72362570000775</v>
      </c>
      <c r="V1548" s="84" t="n">
        <f aca="false">IF(ISNUMBER(T1548),T1548,-99)</f>
        <v>22.3763742999923</v>
      </c>
      <c r="W1548" s="84" t="n">
        <f aca="false">IF(ISNUMBER(U1548),ABS(U1548),"")</f>
        <v>1.72362570000775</v>
      </c>
    </row>
    <row r="1549" customFormat="false" ht="15" hidden="false" customHeight="false" outlineLevel="0" collapsed="false">
      <c r="A1549" s="57" t="n">
        <v>32646</v>
      </c>
      <c r="B1549" s="56" t="n">
        <v>1989</v>
      </c>
      <c r="C1549" s="56" t="n">
        <v>5</v>
      </c>
      <c r="D1549" s="56" t="n">
        <v>18</v>
      </c>
      <c r="E1549" s="56" t="n">
        <v>24.5</v>
      </c>
      <c r="F1549" s="56" t="n">
        <v>0</v>
      </c>
      <c r="G1549" s="56" t="n">
        <v>11.4</v>
      </c>
      <c r="H1549" s="56" t="n">
        <v>0</v>
      </c>
      <c r="I1549" s="56" t="n">
        <v>17.8</v>
      </c>
      <c r="J1549" s="56" t="n">
        <v>0</v>
      </c>
      <c r="K1549" s="56" t="n">
        <v>1024.3</v>
      </c>
      <c r="L1549" s="56" t="n">
        <v>0</v>
      </c>
      <c r="M1549" s="56" t="n">
        <v>66</v>
      </c>
      <c r="N1549" s="56" t="n">
        <v>7.6</v>
      </c>
      <c r="O1549" s="56" t="n">
        <f aca="false">IF(D1549=1,"",E1548)</f>
        <v>24.1</v>
      </c>
      <c r="P1549" s="56" t="n">
        <f aca="false">IF(OR(D1549=1,K1548=""),"",K1548)</f>
        <v>1028</v>
      </c>
      <c r="Q1549" s="56" t="n">
        <f aca="false">IF(OR(F1549&lt;&gt;0,AND(I1549&lt;&gt;"",E1549&lt;I1549)),1,0)</f>
        <v>0</v>
      </c>
      <c r="R1549" s="56" t="n">
        <f aca="false">IF(AND(D1549&gt;1,Q1549=0,ISNUMBER(O1549),ISNUMBER(P1549)),IF(Q1548=0,1,0),0)</f>
        <v>1</v>
      </c>
      <c r="S1549" s="56" t="n">
        <f aca="false">R1549*(B1549&gt;=Train_Start)*(B1549&lt;=Train_End)</f>
        <v>1</v>
      </c>
      <c r="T1549" s="84" t="n">
        <f aca="false">IF(AND(ISNUMBER(O1549),ISNUMBER(P1549)),Coef_A+Coef_B1*O1549+Coef_B2*P1549,"")</f>
        <v>24.0813016580648</v>
      </c>
      <c r="U1549" s="84" t="n">
        <f aca="false">IF(AND(R1549=1,ISNUMBER(T1549)),E1549-T1549,"")</f>
        <v>0.418698341935155</v>
      </c>
      <c r="V1549" s="84" t="n">
        <f aca="false">IF(ISNUMBER(T1549),T1549,-99)</f>
        <v>24.0813016580648</v>
      </c>
      <c r="W1549" s="84" t="n">
        <f aca="false">IF(ISNUMBER(U1549),ABS(U1549),"")</f>
        <v>0.418698341935155</v>
      </c>
    </row>
    <row r="1550" customFormat="false" ht="15" hidden="false" customHeight="false" outlineLevel="0" collapsed="false">
      <c r="A1550" s="57" t="n">
        <v>32647</v>
      </c>
      <c r="B1550" s="56" t="n">
        <v>1989</v>
      </c>
      <c r="C1550" s="56" t="n">
        <v>5</v>
      </c>
      <c r="D1550" s="56" t="n">
        <v>19</v>
      </c>
      <c r="E1550" s="56" t="n">
        <v>25.2</v>
      </c>
      <c r="F1550" s="56" t="n">
        <v>0</v>
      </c>
      <c r="G1550" s="56" t="n">
        <v>12.1</v>
      </c>
      <c r="H1550" s="56" t="n">
        <v>0</v>
      </c>
      <c r="I1550" s="56" t="n">
        <v>18.3</v>
      </c>
      <c r="J1550" s="56" t="n">
        <v>0</v>
      </c>
      <c r="K1550" s="56" t="n">
        <v>1023.9</v>
      </c>
      <c r="L1550" s="56" t="n">
        <v>0</v>
      </c>
      <c r="M1550" s="56" t="n">
        <v>60</v>
      </c>
      <c r="N1550" s="56" t="n">
        <v>13</v>
      </c>
      <c r="O1550" s="56" t="n">
        <f aca="false">IF(D1550=1,"",E1549)</f>
        <v>24.5</v>
      </c>
      <c r="P1550" s="56" t="n">
        <f aca="false">IF(OR(D1550=1,K1549=""),"",K1549)</f>
        <v>1024.3</v>
      </c>
      <c r="Q1550" s="56" t="n">
        <f aca="false">IF(OR(F1550&lt;&gt;0,AND(I1550&lt;&gt;"",E1550&lt;I1550)),1,0)</f>
        <v>0</v>
      </c>
      <c r="R1550" s="56" t="n">
        <f aca="false">IF(AND(D1550&gt;1,Q1550=0,ISNUMBER(O1550),ISNUMBER(P1550)),IF(Q1549=0,1,0),0)</f>
        <v>1</v>
      </c>
      <c r="S1550" s="56" t="n">
        <f aca="false">R1550*(B1550&gt;=Train_Start)*(B1550&lt;=Train_End)</f>
        <v>1</v>
      </c>
      <c r="T1550" s="84" t="n">
        <f aca="false">IF(AND(ISNUMBER(O1550),ISNUMBER(P1550)),Coef_A+Coef_B1*O1550+Coef_B2*P1550,"")</f>
        <v>24.2929687251361</v>
      </c>
      <c r="U1550" s="84" t="n">
        <f aca="false">IF(AND(R1550=1,ISNUMBER(T1550)),E1550-T1550,"")</f>
        <v>0.907031274863861</v>
      </c>
      <c r="V1550" s="84" t="n">
        <f aca="false">IF(ISNUMBER(T1550),T1550,-99)</f>
        <v>24.2929687251361</v>
      </c>
      <c r="W1550" s="84" t="n">
        <f aca="false">IF(ISNUMBER(U1550),ABS(U1550),"")</f>
        <v>0.907031274863861</v>
      </c>
    </row>
    <row r="1551" customFormat="false" ht="15" hidden="false" customHeight="false" outlineLevel="0" collapsed="false">
      <c r="A1551" s="57" t="n">
        <v>32648</v>
      </c>
      <c r="B1551" s="56" t="n">
        <v>1989</v>
      </c>
      <c r="C1551" s="56" t="n">
        <v>5</v>
      </c>
      <c r="D1551" s="56" t="n">
        <v>20</v>
      </c>
      <c r="E1551" s="56" t="n">
        <v>27</v>
      </c>
      <c r="F1551" s="56" t="n">
        <v>0</v>
      </c>
      <c r="G1551" s="56" t="n">
        <v>12</v>
      </c>
      <c r="H1551" s="56" t="n">
        <v>0</v>
      </c>
      <c r="I1551" s="56" t="n">
        <v>18.6</v>
      </c>
      <c r="J1551" s="56" t="n">
        <v>0</v>
      </c>
      <c r="K1551" s="56" t="n">
        <v>1022</v>
      </c>
      <c r="L1551" s="56" t="n">
        <v>0</v>
      </c>
      <c r="M1551" s="56" t="n">
        <v>62</v>
      </c>
      <c r="N1551" s="56" t="n">
        <v>11.4</v>
      </c>
      <c r="O1551" s="56" t="n">
        <f aca="false">IF(D1551=1,"",E1550)</f>
        <v>25.2</v>
      </c>
      <c r="P1551" s="56" t="n">
        <f aca="false">IF(OR(D1551=1,K1550=""),"",K1550)</f>
        <v>1023.9</v>
      </c>
      <c r="Q1551" s="56" t="n">
        <f aca="false">IF(OR(F1551&lt;&gt;0,AND(I1551&lt;&gt;"",E1551&lt;I1551)),1,0)</f>
        <v>0</v>
      </c>
      <c r="R1551" s="56" t="n">
        <f aca="false">IF(AND(D1551&gt;1,Q1551=0,ISNUMBER(O1551),ISNUMBER(P1551)),IF(Q1550=0,1,0),0)</f>
        <v>1</v>
      </c>
      <c r="S1551" s="56" t="n">
        <f aca="false">R1551*(B1551&gt;=Train_Start)*(B1551&lt;=Train_End)</f>
        <v>1</v>
      </c>
      <c r="T1551" s="84" t="n">
        <f aca="false">IF(AND(ISNUMBER(O1551),ISNUMBER(P1551)),Coef_A+Coef_B1*O1551+Coef_B2*P1551,"")</f>
        <v>24.8539582024124</v>
      </c>
      <c r="U1551" s="84" t="n">
        <f aca="false">IF(AND(R1551=1,ISNUMBER(T1551)),E1551-T1551,"")</f>
        <v>2.14604179758759</v>
      </c>
      <c r="V1551" s="84" t="n">
        <f aca="false">IF(ISNUMBER(T1551),T1551,-99)</f>
        <v>24.8539582024124</v>
      </c>
      <c r="W1551" s="84" t="n">
        <f aca="false">IF(ISNUMBER(U1551),ABS(U1551),"")</f>
        <v>2.14604179758759</v>
      </c>
    </row>
    <row r="1552" customFormat="false" ht="15" hidden="false" customHeight="false" outlineLevel="0" collapsed="false">
      <c r="A1552" s="57" t="n">
        <v>32649</v>
      </c>
      <c r="B1552" s="56" t="n">
        <v>1989</v>
      </c>
      <c r="C1552" s="56" t="n">
        <v>5</v>
      </c>
      <c r="D1552" s="56" t="n">
        <v>21</v>
      </c>
      <c r="E1552" s="56" t="n">
        <v>25.9</v>
      </c>
      <c r="F1552" s="56" t="n">
        <v>0</v>
      </c>
      <c r="G1552" s="56" t="n">
        <v>13.3</v>
      </c>
      <c r="H1552" s="56" t="n">
        <v>0</v>
      </c>
      <c r="I1552" s="56" t="n">
        <v>20.2</v>
      </c>
      <c r="J1552" s="56" t="n">
        <v>0</v>
      </c>
      <c r="K1552" s="56" t="n">
        <v>1020.3</v>
      </c>
      <c r="L1552" s="56" t="n">
        <v>0</v>
      </c>
      <c r="M1552" s="56" t="n">
        <v>61</v>
      </c>
      <c r="N1552" s="56" t="n">
        <v>12.4</v>
      </c>
      <c r="O1552" s="56" t="n">
        <f aca="false">IF(D1552=1,"",E1551)</f>
        <v>27</v>
      </c>
      <c r="P1552" s="56" t="n">
        <f aca="false">IF(OR(D1552=1,K1551=""),"",K1551)</f>
        <v>1022</v>
      </c>
      <c r="Q1552" s="56" t="n">
        <f aca="false">IF(OR(F1552&lt;&gt;0,AND(I1552&lt;&gt;"",E1552&lt;I1552)),1,0)</f>
        <v>0</v>
      </c>
      <c r="R1552" s="56" t="n">
        <f aca="false">IF(AND(D1552&gt;1,Q1552=0,ISNUMBER(O1552),ISNUMBER(P1552)),IF(Q1551=0,1,0),0)</f>
        <v>1</v>
      </c>
      <c r="S1552" s="56" t="n">
        <f aca="false">R1552*(B1552&gt;=Train_Start)*(B1552&lt;=Train_End)</f>
        <v>1</v>
      </c>
      <c r="T1552" s="84" t="n">
        <f aca="false">IF(AND(ISNUMBER(O1552),ISNUMBER(P1552)),Coef_A+Coef_B1*O1552+Coef_B2*P1552,"")</f>
        <v>26.2691659500846</v>
      </c>
      <c r="U1552" s="84" t="n">
        <f aca="false">IF(AND(R1552=1,ISNUMBER(T1552)),E1552-T1552,"")</f>
        <v>-0.369165950084611</v>
      </c>
      <c r="V1552" s="84" t="n">
        <f aca="false">IF(ISNUMBER(T1552),T1552,-99)</f>
        <v>26.2691659500846</v>
      </c>
      <c r="W1552" s="84" t="n">
        <f aca="false">IF(ISNUMBER(U1552),ABS(U1552),"")</f>
        <v>0.369165950084611</v>
      </c>
    </row>
    <row r="1553" customFormat="false" ht="15" hidden="false" customHeight="false" outlineLevel="0" collapsed="false">
      <c r="A1553" s="57" t="n">
        <v>32650</v>
      </c>
      <c r="B1553" s="56" t="n">
        <v>1989</v>
      </c>
      <c r="C1553" s="56" t="n">
        <v>5</v>
      </c>
      <c r="D1553" s="56" t="n">
        <v>22</v>
      </c>
      <c r="E1553" s="56" t="n">
        <v>29.4</v>
      </c>
      <c r="F1553" s="56" t="n">
        <v>0</v>
      </c>
      <c r="G1553" s="56" t="n">
        <v>15.4</v>
      </c>
      <c r="H1553" s="56" t="n">
        <v>0</v>
      </c>
      <c r="I1553" s="56" t="n">
        <v>20.6</v>
      </c>
      <c r="J1553" s="56" t="n">
        <v>0</v>
      </c>
      <c r="K1553" s="56" t="n">
        <v>1018.7</v>
      </c>
      <c r="L1553" s="56" t="n">
        <v>0</v>
      </c>
      <c r="M1553" s="56" t="n">
        <v>56</v>
      </c>
      <c r="N1553" s="56" t="n">
        <v>10.5</v>
      </c>
      <c r="O1553" s="56" t="n">
        <f aca="false">IF(D1553=1,"",E1552)</f>
        <v>25.9</v>
      </c>
      <c r="P1553" s="56" t="n">
        <f aca="false">IF(OR(D1553=1,K1552=""),"",K1552)</f>
        <v>1020.3</v>
      </c>
      <c r="Q1553" s="56" t="n">
        <f aca="false">IF(OR(F1553&lt;&gt;0,AND(I1553&lt;&gt;"",E1553&lt;I1553)),1,0)</f>
        <v>0</v>
      </c>
      <c r="R1553" s="56" t="n">
        <f aca="false">IF(AND(D1553&gt;1,Q1553=0,ISNUMBER(O1553),ISNUMBER(P1553)),IF(Q1552=0,1,0),0)</f>
        <v>1</v>
      </c>
      <c r="S1553" s="56" t="n">
        <f aca="false">R1553*(B1553&gt;=Train_Start)*(B1553&lt;=Train_End)</f>
        <v>1</v>
      </c>
      <c r="T1553" s="84" t="n">
        <f aca="false">IF(AND(ISNUMBER(O1553),ISNUMBER(P1553)),Coef_A+Coef_B1*O1553+Coef_B2*P1553,"")</f>
        <v>25.3145640168599</v>
      </c>
      <c r="U1553" s="84" t="n">
        <f aca="false">IF(AND(R1553=1,ISNUMBER(T1553)),E1553-T1553,"")</f>
        <v>4.08543598314009</v>
      </c>
      <c r="V1553" s="84" t="n">
        <f aca="false">IF(ISNUMBER(T1553),T1553,-99)</f>
        <v>25.3145640168599</v>
      </c>
      <c r="W1553" s="84" t="n">
        <f aca="false">IF(ISNUMBER(U1553),ABS(U1553),"")</f>
        <v>4.08543598314009</v>
      </c>
    </row>
    <row r="1554" customFormat="false" ht="15" hidden="false" customHeight="false" outlineLevel="0" collapsed="false">
      <c r="A1554" s="57" t="n">
        <v>32651</v>
      </c>
      <c r="B1554" s="56" t="n">
        <v>1989</v>
      </c>
      <c r="C1554" s="56" t="n">
        <v>5</v>
      </c>
      <c r="D1554" s="56" t="n">
        <v>23</v>
      </c>
      <c r="E1554" s="56" t="n">
        <v>28.2</v>
      </c>
      <c r="F1554" s="56" t="n">
        <v>0</v>
      </c>
      <c r="G1554" s="56" t="n">
        <v>15.8</v>
      </c>
      <c r="H1554" s="56" t="n">
        <v>0</v>
      </c>
      <c r="I1554" s="56" t="n">
        <v>22.6</v>
      </c>
      <c r="J1554" s="56" t="n">
        <v>0</v>
      </c>
      <c r="K1554" s="56" t="n">
        <v>1017.2</v>
      </c>
      <c r="L1554" s="56" t="n">
        <v>0</v>
      </c>
      <c r="M1554" s="56" t="n">
        <v>54</v>
      </c>
      <c r="N1554" s="56" t="n">
        <v>12.6</v>
      </c>
      <c r="O1554" s="56" t="n">
        <f aca="false">IF(D1554=1,"",E1553)</f>
        <v>29.4</v>
      </c>
      <c r="P1554" s="56" t="n">
        <f aca="false">IF(OR(D1554=1,K1553=""),"",K1553)</f>
        <v>1018.7</v>
      </c>
      <c r="Q1554" s="56" t="n">
        <f aca="false">IF(OR(F1554&lt;&gt;0,AND(I1554&lt;&gt;"",E1554&lt;I1554)),1,0)</f>
        <v>0</v>
      </c>
      <c r="R1554" s="56" t="n">
        <f aca="false">IF(AND(D1554&gt;1,Q1554=0,ISNUMBER(O1554),ISNUMBER(P1554)),IF(Q1553=0,1,0),0)</f>
        <v>1</v>
      </c>
      <c r="S1554" s="56" t="n">
        <f aca="false">R1554*(B1554&gt;=Train_Start)*(B1554&lt;=Train_End)</f>
        <v>1</v>
      </c>
      <c r="T1554" s="84" t="n">
        <f aca="false">IF(AND(ISNUMBER(O1554),ISNUMBER(P1554)),Coef_A+Coef_B1*O1554+Coef_B2*P1554,"")</f>
        <v>28.1320593610948</v>
      </c>
      <c r="U1554" s="84" t="n">
        <f aca="false">IF(AND(R1554=1,ISNUMBER(T1554)),E1554-T1554,"")</f>
        <v>0.0679406389051742</v>
      </c>
      <c r="V1554" s="84" t="n">
        <f aca="false">IF(ISNUMBER(T1554),T1554,-99)</f>
        <v>28.1320593610948</v>
      </c>
      <c r="W1554" s="84" t="n">
        <f aca="false">IF(ISNUMBER(U1554),ABS(U1554),"")</f>
        <v>0.0679406389051742</v>
      </c>
    </row>
    <row r="1555" customFormat="false" ht="15" hidden="false" customHeight="false" outlineLevel="0" collapsed="false">
      <c r="A1555" s="57" t="n">
        <v>32652</v>
      </c>
      <c r="B1555" s="56" t="n">
        <v>1989</v>
      </c>
      <c r="C1555" s="56" t="n">
        <v>5</v>
      </c>
      <c r="D1555" s="56" t="n">
        <v>24</v>
      </c>
      <c r="E1555" s="56" t="n">
        <v>18.5</v>
      </c>
      <c r="F1555" s="56" t="n">
        <v>1</v>
      </c>
      <c r="G1555" s="56" t="n">
        <v>17.4</v>
      </c>
      <c r="H1555" s="56" t="n">
        <v>0</v>
      </c>
      <c r="I1555" s="56" t="n">
        <v>22.8</v>
      </c>
      <c r="J1555" s="56" t="n">
        <v>1</v>
      </c>
      <c r="K1555" s="56" t="n">
        <v>1019</v>
      </c>
      <c r="L1555" s="56" t="n">
        <v>0</v>
      </c>
      <c r="M1555" s="56" t="n">
        <v>76</v>
      </c>
      <c r="N1555" s="56" t="n">
        <v>3.7</v>
      </c>
      <c r="O1555" s="56" t="n">
        <f aca="false">IF(D1555=1,"",E1554)</f>
        <v>28.2</v>
      </c>
      <c r="P1555" s="56" t="n">
        <f aca="false">IF(OR(D1555=1,K1554=""),"",K1554)</f>
        <v>1017.2</v>
      </c>
      <c r="Q1555" s="56" t="n">
        <f aca="false">IF(OR(F1555&lt;&gt;0,AND(I1555&lt;&gt;"",E1555&lt;I1555)),1,0)</f>
        <v>1</v>
      </c>
      <c r="R1555" s="56" t="n">
        <f aca="false">IF(AND(D1555&gt;1,Q1555=0,ISNUMBER(O1555),ISNUMBER(P1555)),IF(Q1554=0,1,0),0)</f>
        <v>0</v>
      </c>
      <c r="S1555" s="56" t="n">
        <f aca="false">R1555*(B1555&gt;=Train_Start)*(B1555&lt;=Train_End)</f>
        <v>0</v>
      </c>
      <c r="T1555" s="84" t="n">
        <f aca="false">IF(AND(ISNUMBER(O1555),ISNUMBER(P1555)),Coef_A+Coef_B1*O1555+Coef_B2*P1555,"")</f>
        <v>27.1017974874927</v>
      </c>
      <c r="U1555" s="84" t="str">
        <f aca="false">IF(AND(R1555=1,ISNUMBER(T1555)),E1555-T1555,"")</f>
        <v/>
      </c>
      <c r="V1555" s="84" t="n">
        <f aca="false">IF(ISNUMBER(T1555),T1555,-99)</f>
        <v>27.1017974874927</v>
      </c>
      <c r="W1555" s="84" t="str">
        <f aca="false">IF(ISNUMBER(U1555),ABS(U1555),"")</f>
        <v/>
      </c>
    </row>
    <row r="1556" customFormat="false" ht="15" hidden="false" customHeight="false" outlineLevel="0" collapsed="false">
      <c r="A1556" s="57" t="n">
        <v>32653</v>
      </c>
      <c r="B1556" s="56" t="n">
        <v>1989</v>
      </c>
      <c r="C1556" s="56" t="n">
        <v>5</v>
      </c>
      <c r="D1556" s="56" t="n">
        <v>25</v>
      </c>
      <c r="E1556" s="56" t="n">
        <v>19.7</v>
      </c>
      <c r="F1556" s="56" t="n">
        <v>0</v>
      </c>
      <c r="G1556" s="56" t="n">
        <v>13.4</v>
      </c>
      <c r="H1556" s="56" t="n">
        <v>0</v>
      </c>
      <c r="I1556" s="56" t="n">
        <v>16</v>
      </c>
      <c r="J1556" s="56" t="n">
        <v>0</v>
      </c>
      <c r="K1556" s="56" t="n">
        <v>1023.9</v>
      </c>
      <c r="L1556" s="56" t="n">
        <v>0</v>
      </c>
      <c r="M1556" s="56" t="n">
        <v>83</v>
      </c>
      <c r="N1556" s="56" t="n">
        <v>3</v>
      </c>
      <c r="O1556" s="56" t="n">
        <f aca="false">IF(D1556=1,"",E1555)</f>
        <v>18.5</v>
      </c>
      <c r="P1556" s="56" t="n">
        <f aca="false">IF(OR(D1556=1,K1555=""),"",K1555)</f>
        <v>1019</v>
      </c>
      <c r="Q1556" s="56" t="n">
        <f aca="false">IF(OR(F1556&lt;&gt;0,AND(I1556&lt;&gt;"",E1556&lt;I1556)),1,0)</f>
        <v>0</v>
      </c>
      <c r="R1556" s="56" t="n">
        <f aca="false">IF(AND(D1556&gt;1,Q1556=0,ISNUMBER(O1556),ISNUMBER(P1556)),IF(Q1555=0,1,0),0)</f>
        <v>0</v>
      </c>
      <c r="S1556" s="56" t="n">
        <f aca="false">R1556*(B1556&gt;=Train_Start)*(B1556&lt;=Train_End)</f>
        <v>0</v>
      </c>
      <c r="T1556" s="84" t="n">
        <f aca="false">IF(AND(ISNUMBER(O1556),ISNUMBER(P1556)),Coef_A+Coef_B1*O1556+Coef_B2*P1556,"")</f>
        <v>19.2106731253201</v>
      </c>
      <c r="U1556" s="84" t="str">
        <f aca="false">IF(AND(R1556=1,ISNUMBER(T1556)),E1556-T1556,"")</f>
        <v/>
      </c>
      <c r="V1556" s="84" t="n">
        <f aca="false">IF(ISNUMBER(T1556),T1556,-99)</f>
        <v>19.2106731253201</v>
      </c>
      <c r="W1556" s="84" t="str">
        <f aca="false">IF(ISNUMBER(U1556),ABS(U1556),"")</f>
        <v/>
      </c>
    </row>
    <row r="1557" customFormat="false" ht="15" hidden="false" customHeight="false" outlineLevel="0" collapsed="false">
      <c r="A1557" s="57" t="n">
        <v>32654</v>
      </c>
      <c r="B1557" s="56" t="n">
        <v>1989</v>
      </c>
      <c r="C1557" s="56" t="n">
        <v>5</v>
      </c>
      <c r="D1557" s="56" t="n">
        <v>26</v>
      </c>
      <c r="E1557" s="56" t="n">
        <v>19.2</v>
      </c>
      <c r="F1557" s="56" t="n">
        <v>0</v>
      </c>
      <c r="G1557" s="56" t="n">
        <v>10.5</v>
      </c>
      <c r="H1557" s="56" t="n">
        <v>0</v>
      </c>
      <c r="I1557" s="56" t="n">
        <v>15.1</v>
      </c>
      <c r="J1557" s="56" t="n">
        <v>0</v>
      </c>
      <c r="K1557" s="56" t="n">
        <v>1028.3</v>
      </c>
      <c r="L1557" s="56" t="n">
        <v>0</v>
      </c>
      <c r="M1557" s="56" t="n">
        <v>61</v>
      </c>
      <c r="N1557" s="56" t="n">
        <v>12.7</v>
      </c>
      <c r="O1557" s="56" t="n">
        <f aca="false">IF(D1557=1,"",E1556)</f>
        <v>19.7</v>
      </c>
      <c r="P1557" s="56" t="n">
        <f aca="false">IF(OR(D1557=1,K1556=""),"",K1556)</f>
        <v>1023.9</v>
      </c>
      <c r="Q1557" s="56" t="n">
        <f aca="false">IF(OR(F1557&lt;&gt;0,AND(I1557&lt;&gt;"",E1557&lt;I1557)),1,0)</f>
        <v>0</v>
      </c>
      <c r="R1557" s="56" t="n">
        <f aca="false">IF(AND(D1557&gt;1,Q1557=0,ISNUMBER(O1557),ISNUMBER(P1557)),IF(Q1556=0,1,0),0)</f>
        <v>1</v>
      </c>
      <c r="S1557" s="56" t="n">
        <f aca="false">R1557*(B1557&gt;=Train_Start)*(B1557&lt;=Train_End)</f>
        <v>1</v>
      </c>
      <c r="T1557" s="84" t="n">
        <f aca="false">IF(AND(ISNUMBER(O1557),ISNUMBER(P1557)),Coef_A+Coef_B1*O1557+Coef_B2*P1557,"")</f>
        <v>20.3475926406778</v>
      </c>
      <c r="U1557" s="84" t="n">
        <f aca="false">IF(AND(R1557=1,ISNUMBER(T1557)),E1557-T1557,"")</f>
        <v>-1.14759264067779</v>
      </c>
      <c r="V1557" s="84" t="n">
        <f aca="false">IF(ISNUMBER(T1557),T1557,-99)</f>
        <v>20.3475926406778</v>
      </c>
      <c r="W1557" s="84" t="n">
        <f aca="false">IF(ISNUMBER(U1557),ABS(U1557),"")</f>
        <v>1.14759264067779</v>
      </c>
    </row>
    <row r="1558" customFormat="false" ht="15" hidden="false" customHeight="false" outlineLevel="0" collapsed="false">
      <c r="A1558" s="57" t="n">
        <v>32655</v>
      </c>
      <c r="B1558" s="56" t="n">
        <v>1989</v>
      </c>
      <c r="C1558" s="56" t="n">
        <v>5</v>
      </c>
      <c r="D1558" s="56" t="n">
        <v>27</v>
      </c>
      <c r="E1558" s="56" t="n">
        <v>21.3</v>
      </c>
      <c r="F1558" s="56" t="n">
        <v>0</v>
      </c>
      <c r="G1558" s="56" t="n">
        <v>7.4</v>
      </c>
      <c r="H1558" s="56" t="n">
        <v>0</v>
      </c>
      <c r="I1558" s="56" t="n">
        <v>13.3</v>
      </c>
      <c r="J1558" s="56" t="n">
        <v>0</v>
      </c>
      <c r="K1558" s="56" t="n">
        <v>1028.4</v>
      </c>
      <c r="L1558" s="56" t="n">
        <v>0</v>
      </c>
      <c r="M1558" s="56" t="n">
        <v>61</v>
      </c>
      <c r="N1558" s="56" t="n">
        <v>14.4</v>
      </c>
      <c r="O1558" s="56" t="n">
        <f aca="false">IF(D1558=1,"",E1557)</f>
        <v>19.2</v>
      </c>
      <c r="P1558" s="56" t="n">
        <f aca="false">IF(OR(D1558=1,K1557=""),"",K1557)</f>
        <v>1028.3</v>
      </c>
      <c r="Q1558" s="56" t="n">
        <f aca="false">IF(OR(F1558&lt;&gt;0,AND(I1558&lt;&gt;"",E1558&lt;I1558)),1,0)</f>
        <v>0</v>
      </c>
      <c r="R1558" s="56" t="n">
        <f aca="false">IF(AND(D1558&gt;1,Q1558=0,ISNUMBER(O1558),ISNUMBER(P1558)),IF(Q1557=0,1,0),0)</f>
        <v>1</v>
      </c>
      <c r="S1558" s="56" t="n">
        <f aca="false">R1558*(B1558&gt;=Train_Start)*(B1558&lt;=Train_End)</f>
        <v>1</v>
      </c>
      <c r="T1558" s="84" t="n">
        <f aca="false">IF(AND(ISNUMBER(O1558),ISNUMBER(P1558)),Coef_A+Coef_B1*O1558+Coef_B2*P1558,"")</f>
        <v>20.075950580546</v>
      </c>
      <c r="U1558" s="84" t="n">
        <f aca="false">IF(AND(R1558=1,ISNUMBER(T1558)),E1558-T1558,"")</f>
        <v>1.22404941945399</v>
      </c>
      <c r="V1558" s="84" t="n">
        <f aca="false">IF(ISNUMBER(T1558),T1558,-99)</f>
        <v>20.075950580546</v>
      </c>
      <c r="W1558" s="84" t="n">
        <f aca="false">IF(ISNUMBER(U1558),ABS(U1558),"")</f>
        <v>1.22404941945399</v>
      </c>
    </row>
    <row r="1559" customFormat="false" ht="15" hidden="false" customHeight="false" outlineLevel="0" collapsed="false">
      <c r="A1559" s="57" t="n">
        <v>32656</v>
      </c>
      <c r="B1559" s="56" t="n">
        <v>1989</v>
      </c>
      <c r="C1559" s="56" t="n">
        <v>5</v>
      </c>
      <c r="D1559" s="56" t="n">
        <v>28</v>
      </c>
      <c r="E1559" s="56" t="n">
        <v>22.6</v>
      </c>
      <c r="F1559" s="56" t="n">
        <v>0</v>
      </c>
      <c r="G1559" s="56" t="n">
        <v>7</v>
      </c>
      <c r="H1559" s="56" t="n">
        <v>0</v>
      </c>
      <c r="I1559" s="56" t="n">
        <v>14.2</v>
      </c>
      <c r="J1559" s="56" t="n">
        <v>0</v>
      </c>
      <c r="K1559" s="56" t="n">
        <v>1024.4</v>
      </c>
      <c r="L1559" s="56" t="n">
        <v>0</v>
      </c>
      <c r="M1559" s="56" t="n">
        <v>62</v>
      </c>
      <c r="N1559" s="56" t="n">
        <v>14.8</v>
      </c>
      <c r="O1559" s="56" t="n">
        <f aca="false">IF(D1559=1,"",E1558)</f>
        <v>21.3</v>
      </c>
      <c r="P1559" s="56" t="n">
        <f aca="false">IF(OR(D1559=1,K1558=""),"",K1558)</f>
        <v>1028.4</v>
      </c>
      <c r="Q1559" s="56" t="n">
        <f aca="false">IF(OR(F1559&lt;&gt;0,AND(I1559&lt;&gt;"",E1559&lt;I1559)),1,0)</f>
        <v>0</v>
      </c>
      <c r="R1559" s="56" t="n">
        <f aca="false">IF(AND(D1559&gt;1,Q1559=0,ISNUMBER(O1559),ISNUMBER(P1559)),IF(Q1558=0,1,0),0)</f>
        <v>1</v>
      </c>
      <c r="S1559" s="56" t="n">
        <f aca="false">R1559*(B1559&gt;=Train_Start)*(B1559&lt;=Train_End)</f>
        <v>1</v>
      </c>
      <c r="T1559" s="84" t="n">
        <f aca="false">IF(AND(ISNUMBER(O1559),ISNUMBER(P1559)),Coef_A+Coef_B1*O1559+Coef_B2*P1559,"")</f>
        <v>21.799699875399</v>
      </c>
      <c r="U1559" s="84" t="n">
        <f aca="false">IF(AND(R1559=1,ISNUMBER(T1559)),E1559-T1559,"")</f>
        <v>0.800300124601002</v>
      </c>
      <c r="V1559" s="84" t="n">
        <f aca="false">IF(ISNUMBER(T1559),T1559,-99)</f>
        <v>21.799699875399</v>
      </c>
      <c r="W1559" s="84" t="n">
        <f aca="false">IF(ISNUMBER(U1559),ABS(U1559),"")</f>
        <v>0.800300124601002</v>
      </c>
    </row>
    <row r="1560" customFormat="false" ht="15" hidden="false" customHeight="false" outlineLevel="0" collapsed="false">
      <c r="A1560" s="57" t="n">
        <v>32657</v>
      </c>
      <c r="B1560" s="56" t="n">
        <v>1989</v>
      </c>
      <c r="C1560" s="56" t="n">
        <v>5</v>
      </c>
      <c r="D1560" s="56" t="n">
        <v>29</v>
      </c>
      <c r="E1560" s="56" t="n">
        <v>16.1</v>
      </c>
      <c r="F1560" s="56" t="n">
        <v>1</v>
      </c>
      <c r="G1560" s="56" t="n">
        <v>11</v>
      </c>
      <c r="H1560" s="56" t="n">
        <v>0</v>
      </c>
      <c r="I1560" s="56" t="n">
        <v>16.8</v>
      </c>
      <c r="J1560" s="56" t="n">
        <v>1</v>
      </c>
      <c r="K1560" s="56" t="n">
        <v>1018.8</v>
      </c>
      <c r="L1560" s="56" t="n">
        <v>0</v>
      </c>
      <c r="M1560" s="56" t="n">
        <v>65</v>
      </c>
      <c r="N1560" s="56" t="n">
        <v>13.9</v>
      </c>
      <c r="O1560" s="56" t="n">
        <f aca="false">IF(D1560=1,"",E1559)</f>
        <v>22.6</v>
      </c>
      <c r="P1560" s="56" t="n">
        <f aca="false">IF(OR(D1560=1,K1559=""),"",K1559)</f>
        <v>1024.4</v>
      </c>
      <c r="Q1560" s="56" t="n">
        <f aca="false">IF(OR(F1560&lt;&gt;0,AND(I1560&lt;&gt;"",E1560&lt;I1560)),1,0)</f>
        <v>1</v>
      </c>
      <c r="R1560" s="56" t="n">
        <f aca="false">IF(AND(D1560&gt;1,Q1560=0,ISNUMBER(O1560),ISNUMBER(P1560)),IF(Q1559=0,1,0),0)</f>
        <v>0</v>
      </c>
      <c r="S1560" s="56" t="n">
        <f aca="false">R1560*(B1560&gt;=Train_Start)*(B1560&lt;=Train_End)</f>
        <v>0</v>
      </c>
      <c r="T1560" s="84" t="n">
        <f aca="false">IF(AND(ISNUMBER(O1560),ISNUMBER(P1560)),Coef_A+Coef_B1*O1560+Coef_B2*P1560,"")</f>
        <v>22.7393612478185</v>
      </c>
      <c r="U1560" s="84" t="str">
        <f aca="false">IF(AND(R1560=1,ISNUMBER(T1560)),E1560-T1560,"")</f>
        <v/>
      </c>
      <c r="V1560" s="84" t="n">
        <f aca="false">IF(ISNUMBER(T1560),T1560,-99)</f>
        <v>22.7393612478185</v>
      </c>
      <c r="W1560" s="84" t="str">
        <f aca="false">IF(ISNUMBER(U1560),ABS(U1560),"")</f>
        <v/>
      </c>
    </row>
    <row r="1561" customFormat="false" ht="15" hidden="false" customHeight="false" outlineLevel="0" collapsed="false">
      <c r="A1561" s="57" t="n">
        <v>32658</v>
      </c>
      <c r="B1561" s="56" t="n">
        <v>1989</v>
      </c>
      <c r="C1561" s="56" t="n">
        <v>5</v>
      </c>
      <c r="D1561" s="56" t="n">
        <v>30</v>
      </c>
      <c r="E1561" s="56" t="n">
        <v>16.2</v>
      </c>
      <c r="F1561" s="56" t="n">
        <v>0</v>
      </c>
      <c r="G1561" s="56" t="n">
        <v>10.3</v>
      </c>
      <c r="H1561" s="56" t="n">
        <v>0</v>
      </c>
      <c r="I1561" s="56" t="n">
        <v>13.2</v>
      </c>
      <c r="J1561" s="56" t="n">
        <v>0</v>
      </c>
      <c r="K1561" s="56" t="n">
        <v>1016.7</v>
      </c>
      <c r="L1561" s="56" t="n">
        <v>0</v>
      </c>
      <c r="M1561" s="56" t="n">
        <v>52</v>
      </c>
      <c r="N1561" s="56" t="n">
        <v>8.5</v>
      </c>
      <c r="O1561" s="56" t="n">
        <f aca="false">IF(D1561=1,"",E1560)</f>
        <v>16.1</v>
      </c>
      <c r="P1561" s="56" t="n">
        <f aca="false">IF(OR(D1561=1,K1560=""),"",K1560)</f>
        <v>1018.8</v>
      </c>
      <c r="Q1561" s="56" t="n">
        <f aca="false">IF(OR(F1561&lt;&gt;0,AND(I1561&lt;&gt;"",E1561&lt;I1561)),1,0)</f>
        <v>0</v>
      </c>
      <c r="R1561" s="56" t="n">
        <f aca="false">IF(AND(D1561&gt;1,Q1561=0,ISNUMBER(O1561),ISNUMBER(P1561)),IF(Q1560=0,1,0),0)</f>
        <v>0</v>
      </c>
      <c r="S1561" s="56" t="n">
        <f aca="false">R1561*(B1561&gt;=Train_Start)*(B1561&lt;=Train_End)</f>
        <v>0</v>
      </c>
      <c r="T1561" s="84" t="n">
        <f aca="false">IF(AND(ISNUMBER(O1561),ISNUMBER(P1561)),Coef_A+Coef_B1*O1561+Coef_B2*P1561,"")</f>
        <v>17.2379850830909</v>
      </c>
      <c r="U1561" s="84" t="str">
        <f aca="false">IF(AND(R1561=1,ISNUMBER(T1561)),E1561-T1561,"")</f>
        <v/>
      </c>
      <c r="V1561" s="84" t="n">
        <f aca="false">IF(ISNUMBER(T1561),T1561,-99)</f>
        <v>17.2379850830909</v>
      </c>
      <c r="W1561" s="84" t="str">
        <f aca="false">IF(ISNUMBER(U1561),ABS(U1561),"")</f>
        <v/>
      </c>
    </row>
    <row r="1562" customFormat="false" ht="15" hidden="false" customHeight="false" outlineLevel="0" collapsed="false">
      <c r="A1562" s="57" t="n">
        <v>32659</v>
      </c>
      <c r="B1562" s="56" t="n">
        <v>1989</v>
      </c>
      <c r="C1562" s="56" t="n">
        <v>5</v>
      </c>
      <c r="D1562" s="56" t="n">
        <v>31</v>
      </c>
      <c r="E1562" s="56" t="n">
        <v>13.4</v>
      </c>
      <c r="F1562" s="56" t="n">
        <v>0</v>
      </c>
      <c r="G1562" s="56" t="n">
        <v>4.5</v>
      </c>
      <c r="H1562" s="56" t="n">
        <v>0</v>
      </c>
      <c r="I1562" s="56" t="n">
        <v>10.4</v>
      </c>
      <c r="J1562" s="56" t="n">
        <v>0</v>
      </c>
      <c r="K1562" s="56" t="n">
        <v>1016.6</v>
      </c>
      <c r="L1562" s="56" t="n">
        <v>0</v>
      </c>
      <c r="M1562" s="56" t="n">
        <v>58</v>
      </c>
      <c r="N1562" s="56" t="n">
        <v>8</v>
      </c>
      <c r="O1562" s="56" t="n">
        <f aca="false">IF(D1562=1,"",E1561)</f>
        <v>16.2</v>
      </c>
      <c r="P1562" s="56" t="n">
        <f aca="false">IF(OR(D1562=1,K1561=""),"",K1561)</f>
        <v>1016.7</v>
      </c>
      <c r="Q1562" s="56" t="n">
        <f aca="false">IF(OR(F1562&lt;&gt;0,AND(I1562&lt;&gt;"",E1562&lt;I1562)),1,0)</f>
        <v>0</v>
      </c>
      <c r="R1562" s="56" t="n">
        <f aca="false">IF(AND(D1562&gt;1,Q1562=0,ISNUMBER(O1562),ISNUMBER(P1562)),IF(Q1561=0,1,0),0)</f>
        <v>1</v>
      </c>
      <c r="S1562" s="56" t="n">
        <f aca="false">R1562*(B1562&gt;=Train_Start)*(B1562&lt;=Train_End)</f>
        <v>1</v>
      </c>
      <c r="T1562" s="84" t="n">
        <f aca="false">IF(AND(ISNUMBER(O1562),ISNUMBER(P1562)),Coef_A+Coef_B1*O1562+Coef_B2*P1562,"")</f>
        <v>17.2540422236638</v>
      </c>
      <c r="U1562" s="84" t="n">
        <f aca="false">IF(AND(R1562=1,ISNUMBER(T1562)),E1562-T1562,"")</f>
        <v>-3.85404222366377</v>
      </c>
      <c r="V1562" s="84" t="n">
        <f aca="false">IF(ISNUMBER(T1562),T1562,-99)</f>
        <v>17.2540422236638</v>
      </c>
      <c r="W1562" s="84" t="n">
        <f aca="false">IF(ISNUMBER(U1562),ABS(U1562),"")</f>
        <v>3.85404222366377</v>
      </c>
    </row>
    <row r="1563" customFormat="false" ht="15" hidden="false" customHeight="false" outlineLevel="0" collapsed="false">
      <c r="A1563" s="57" t="n">
        <v>32660</v>
      </c>
      <c r="B1563" s="56" t="n">
        <v>1989</v>
      </c>
      <c r="C1563" s="56" t="n">
        <v>6</v>
      </c>
      <c r="D1563" s="56" t="n">
        <v>32</v>
      </c>
      <c r="E1563" s="56" t="n">
        <v>15.9</v>
      </c>
      <c r="F1563" s="56" t="n">
        <v>0</v>
      </c>
      <c r="G1563" s="56" t="n">
        <v>8.3</v>
      </c>
      <c r="H1563" s="56" t="n">
        <v>0</v>
      </c>
      <c r="I1563" s="56" t="n">
        <v>10.8</v>
      </c>
      <c r="J1563" s="56" t="n">
        <v>0</v>
      </c>
      <c r="K1563" s="56" t="n">
        <v>1013</v>
      </c>
      <c r="L1563" s="56" t="n">
        <v>0</v>
      </c>
      <c r="M1563" s="56" t="n">
        <v>67</v>
      </c>
      <c r="N1563" s="56" t="n">
        <v>1.5</v>
      </c>
      <c r="O1563" s="56" t="n">
        <f aca="false">IF(D1563=1,"",E1562)</f>
        <v>13.4</v>
      </c>
      <c r="P1563" s="56" t="n">
        <f aca="false">IF(OR(D1563=1,K1562=""),"",K1562)</f>
        <v>1016.6</v>
      </c>
      <c r="Q1563" s="56" t="n">
        <f aca="false">IF(OR(F1563&lt;&gt;0,AND(I1563&lt;&gt;"",E1563&lt;I1563)),1,0)</f>
        <v>0</v>
      </c>
      <c r="R1563" s="56" t="n">
        <f aca="false">IF(AND(D1563&gt;1,Q1563=0,ISNUMBER(O1563),ISNUMBER(P1563)),IF(Q1562=0,1,0),0)</f>
        <v>1</v>
      </c>
      <c r="S1563" s="56" t="n">
        <f aca="false">R1563*(B1563&gt;=Train_Start)*(B1563&lt;=Train_End)</f>
        <v>1</v>
      </c>
      <c r="T1563" s="84" t="n">
        <f aca="false">IF(AND(ISNUMBER(O1563),ISNUMBER(P1563)),Coef_A+Coef_B1*O1563+Coef_B2*P1563,"")</f>
        <v>14.9567554936809</v>
      </c>
      <c r="U1563" s="84" t="n">
        <f aca="false">IF(AND(R1563=1,ISNUMBER(T1563)),E1563-T1563,"")</f>
        <v>0.94324450631907</v>
      </c>
      <c r="V1563" s="84" t="n">
        <f aca="false">IF(ISNUMBER(T1563),T1563,-99)</f>
        <v>14.9567554936809</v>
      </c>
      <c r="W1563" s="84" t="n">
        <f aca="false">IF(ISNUMBER(U1563),ABS(U1563),"")</f>
        <v>0.94324450631907</v>
      </c>
    </row>
    <row r="1564" customFormat="false" ht="15" hidden="false" customHeight="false" outlineLevel="0" collapsed="false">
      <c r="A1564" s="57" t="n">
        <v>32661</v>
      </c>
      <c r="B1564" s="56" t="n">
        <v>1989</v>
      </c>
      <c r="C1564" s="56" t="n">
        <v>6</v>
      </c>
      <c r="D1564" s="56" t="n">
        <v>33</v>
      </c>
      <c r="E1564" s="56" t="n">
        <v>15.3</v>
      </c>
      <c r="F1564" s="56" t="n">
        <v>0</v>
      </c>
      <c r="G1564" s="56" t="n">
        <v>5.3</v>
      </c>
      <c r="H1564" s="56" t="n">
        <v>0</v>
      </c>
      <c r="I1564" s="56" t="n">
        <v>10.6</v>
      </c>
      <c r="J1564" s="56" t="n">
        <v>0</v>
      </c>
      <c r="K1564" s="56" t="n">
        <v>1014.7</v>
      </c>
      <c r="L1564" s="56" t="n">
        <v>0</v>
      </c>
      <c r="M1564" s="56" t="n">
        <v>60</v>
      </c>
      <c r="N1564" s="56" t="n">
        <v>8.4</v>
      </c>
      <c r="O1564" s="56" t="n">
        <f aca="false">IF(D1564=1,"",E1563)</f>
        <v>15.9</v>
      </c>
      <c r="P1564" s="56" t="n">
        <f aca="false">IF(OR(D1564=1,K1563=""),"",K1563)</f>
        <v>1013</v>
      </c>
      <c r="Q1564" s="56" t="n">
        <f aca="false">IF(OR(F1564&lt;&gt;0,AND(I1564&lt;&gt;"",E1564&lt;I1564)),1,0)</f>
        <v>0</v>
      </c>
      <c r="R1564" s="56" t="n">
        <f aca="false">IF(AND(D1564&gt;1,Q1564=0,ISNUMBER(O1564),ISNUMBER(P1564)),IF(Q1563=0,1,0),0)</f>
        <v>1</v>
      </c>
      <c r="S1564" s="56" t="n">
        <f aca="false">R1564*(B1564&gt;=Train_Start)*(B1564&lt;=Train_End)</f>
        <v>1</v>
      </c>
      <c r="T1564" s="84" t="n">
        <f aca="false">IF(AND(ISNUMBER(O1564),ISNUMBER(P1564)),Coef_A+Coef_B1*O1564+Coef_B2*P1564,"")</f>
        <v>16.8921718556052</v>
      </c>
      <c r="U1564" s="84" t="n">
        <f aca="false">IF(AND(R1564=1,ISNUMBER(T1564)),E1564-T1564,"")</f>
        <v>-1.59217185560521</v>
      </c>
      <c r="V1564" s="84" t="n">
        <f aca="false">IF(ISNUMBER(T1564),T1564,-99)</f>
        <v>16.8921718556052</v>
      </c>
      <c r="W1564" s="84" t="n">
        <f aca="false">IF(ISNUMBER(U1564),ABS(U1564),"")</f>
        <v>1.59217185560521</v>
      </c>
    </row>
    <row r="1565" customFormat="false" ht="15" hidden="false" customHeight="false" outlineLevel="0" collapsed="false">
      <c r="A1565" s="57" t="n">
        <v>32662</v>
      </c>
      <c r="B1565" s="56" t="n">
        <v>1989</v>
      </c>
      <c r="C1565" s="56" t="n">
        <v>6</v>
      </c>
      <c r="D1565" s="56" t="n">
        <v>34</v>
      </c>
      <c r="E1565" s="56" t="n">
        <v>16.2</v>
      </c>
      <c r="F1565" s="56" t="n">
        <v>0</v>
      </c>
      <c r="G1565" s="56" t="n">
        <v>5.6</v>
      </c>
      <c r="H1565" s="56" t="n">
        <v>0</v>
      </c>
      <c r="I1565" s="56" t="n">
        <v>10.4</v>
      </c>
      <c r="J1565" s="56" t="n">
        <v>0</v>
      </c>
      <c r="K1565" s="56" t="n">
        <v>1013.3</v>
      </c>
      <c r="L1565" s="56" t="n">
        <v>0</v>
      </c>
      <c r="M1565" s="56" t="n">
        <v>67</v>
      </c>
      <c r="N1565" s="56" t="n">
        <v>2.5</v>
      </c>
      <c r="O1565" s="56" t="n">
        <f aca="false">IF(D1565=1,"",E1564)</f>
        <v>15.3</v>
      </c>
      <c r="P1565" s="56" t="n">
        <f aca="false">IF(OR(D1565=1,K1564=""),"",K1564)</f>
        <v>1014.7</v>
      </c>
      <c r="Q1565" s="56" t="n">
        <f aca="false">IF(OR(F1565&lt;&gt;0,AND(I1565&lt;&gt;"",E1565&lt;I1565)),1,0)</f>
        <v>0</v>
      </c>
      <c r="R1565" s="56" t="n">
        <f aca="false">IF(AND(D1565&gt;1,Q1565=0,ISNUMBER(O1565),ISNUMBER(P1565)),IF(Q1564=0,1,0),0)</f>
        <v>1</v>
      </c>
      <c r="S1565" s="56" t="n">
        <f aca="false">R1565*(B1565&gt;=Train_Start)*(B1565&lt;=Train_End)</f>
        <v>1</v>
      </c>
      <c r="T1565" s="84" t="n">
        <f aca="false">IF(AND(ISNUMBER(O1565),ISNUMBER(P1565)),Coef_A+Coef_B1*O1565+Coef_B2*P1565,"")</f>
        <v>16.4538971606574</v>
      </c>
      <c r="U1565" s="84" t="n">
        <f aca="false">IF(AND(R1565=1,ISNUMBER(T1565)),E1565-T1565,"")</f>
        <v>-0.253897160657399</v>
      </c>
      <c r="V1565" s="84" t="n">
        <f aca="false">IF(ISNUMBER(T1565),T1565,-99)</f>
        <v>16.4538971606574</v>
      </c>
      <c r="W1565" s="84" t="n">
        <f aca="false">IF(ISNUMBER(U1565),ABS(U1565),"")</f>
        <v>0.253897160657399</v>
      </c>
    </row>
    <row r="1566" customFormat="false" ht="15" hidden="false" customHeight="false" outlineLevel="0" collapsed="false">
      <c r="A1566" s="57" t="n">
        <v>32663</v>
      </c>
      <c r="B1566" s="56" t="n">
        <v>1989</v>
      </c>
      <c r="C1566" s="56" t="n">
        <v>6</v>
      </c>
      <c r="D1566" s="56" t="n">
        <v>35</v>
      </c>
      <c r="E1566" s="56" t="n">
        <v>17.9</v>
      </c>
      <c r="F1566" s="56" t="n">
        <v>0</v>
      </c>
      <c r="G1566" s="56" t="n">
        <v>5.4</v>
      </c>
      <c r="H1566" s="56" t="n">
        <v>0</v>
      </c>
      <c r="I1566" s="56" t="n">
        <v>10.8</v>
      </c>
      <c r="J1566" s="56" t="n">
        <v>0</v>
      </c>
      <c r="K1566" s="56" t="n">
        <v>1016.2</v>
      </c>
      <c r="L1566" s="56" t="n">
        <v>0</v>
      </c>
      <c r="M1566" s="56" t="n">
        <v>59</v>
      </c>
      <c r="N1566" s="56" t="n">
        <v>12.6</v>
      </c>
      <c r="O1566" s="56" t="n">
        <f aca="false">IF(D1566=1,"",E1565)</f>
        <v>16.2</v>
      </c>
      <c r="P1566" s="56" t="n">
        <f aca="false">IF(OR(D1566=1,K1565=""),"",K1565)</f>
        <v>1013.3</v>
      </c>
      <c r="Q1566" s="56" t="n">
        <f aca="false">IF(OR(F1566&lt;&gt;0,AND(I1566&lt;&gt;"",E1566&lt;I1566)),1,0)</f>
        <v>0</v>
      </c>
      <c r="R1566" s="56" t="n">
        <f aca="false">IF(AND(D1566&gt;1,Q1566=0,ISNUMBER(O1566),ISNUMBER(P1566)),IF(Q1565=0,1,0),0)</f>
        <v>1</v>
      </c>
      <c r="S1566" s="56" t="n">
        <f aca="false">R1566*(B1566&gt;=Train_Start)*(B1566&lt;=Train_End)</f>
        <v>1</v>
      </c>
      <c r="T1566" s="84" t="n">
        <f aca="false">IF(AND(ISNUMBER(O1566),ISNUMBER(P1566)),Coef_A+Coef_B1*O1566+Coef_B2*P1566,"")</f>
        <v>17.1473845819082</v>
      </c>
      <c r="U1566" s="84" t="n">
        <f aca="false">IF(AND(R1566=1,ISNUMBER(T1566)),E1566-T1566,"")</f>
        <v>0.7526154180918</v>
      </c>
      <c r="V1566" s="84" t="n">
        <f aca="false">IF(ISNUMBER(T1566),T1566,-99)</f>
        <v>17.1473845819082</v>
      </c>
      <c r="W1566" s="84" t="n">
        <f aca="false">IF(ISNUMBER(U1566),ABS(U1566),"")</f>
        <v>0.7526154180918</v>
      </c>
    </row>
    <row r="1567" customFormat="false" ht="15" hidden="false" customHeight="false" outlineLevel="0" collapsed="false">
      <c r="A1567" s="57" t="n">
        <v>32664</v>
      </c>
      <c r="B1567" s="56" t="n">
        <v>1989</v>
      </c>
      <c r="C1567" s="56" t="n">
        <v>6</v>
      </c>
      <c r="D1567" s="56" t="n">
        <v>36</v>
      </c>
      <c r="E1567" s="56" t="n">
        <v>12.4</v>
      </c>
      <c r="F1567" s="56" t="n">
        <v>0</v>
      </c>
      <c r="G1567" s="56" t="n">
        <v>4.9</v>
      </c>
      <c r="H1567" s="56" t="n">
        <v>0</v>
      </c>
      <c r="I1567" s="56" t="n">
        <v>11.4</v>
      </c>
      <c r="J1567" s="56" t="n">
        <v>0</v>
      </c>
      <c r="K1567" s="56" t="n">
        <v>1014.4</v>
      </c>
      <c r="L1567" s="56" t="n">
        <v>0</v>
      </c>
      <c r="M1567" s="56" t="n">
        <v>65</v>
      </c>
      <c r="N1567" s="56" t="n">
        <v>7.8</v>
      </c>
      <c r="O1567" s="56" t="n">
        <f aca="false">IF(D1567=1,"",E1566)</f>
        <v>17.9</v>
      </c>
      <c r="P1567" s="56" t="n">
        <f aca="false">IF(OR(D1567=1,K1566=""),"",K1566)</f>
        <v>1016.2</v>
      </c>
      <c r="Q1567" s="56" t="n">
        <f aca="false">IF(OR(F1567&lt;&gt;0,AND(I1567&lt;&gt;"",E1567&lt;I1567)),1,0)</f>
        <v>0</v>
      </c>
      <c r="R1567" s="56" t="n">
        <f aca="false">IF(AND(D1567&gt;1,Q1567=0,ISNUMBER(O1567),ISNUMBER(P1567)),IF(Q1566=0,1,0),0)</f>
        <v>1</v>
      </c>
      <c r="S1567" s="56" t="n">
        <f aca="false">R1567*(B1567&gt;=Train_Start)*(B1567&lt;=Train_End)</f>
        <v>1</v>
      </c>
      <c r="T1567" s="84" t="n">
        <f aca="false">IF(AND(ISNUMBER(O1567),ISNUMBER(P1567)),Coef_A+Coef_B1*O1567+Coef_B2*P1567,"")</f>
        <v>18.6312339045193</v>
      </c>
      <c r="U1567" s="84" t="n">
        <f aca="false">IF(AND(R1567=1,ISNUMBER(T1567)),E1567-T1567,"")</f>
        <v>-6.23123390451929</v>
      </c>
      <c r="V1567" s="84" t="n">
        <f aca="false">IF(ISNUMBER(T1567),T1567,-99)</f>
        <v>18.6312339045193</v>
      </c>
      <c r="W1567" s="84" t="n">
        <f aca="false">IF(ISNUMBER(U1567),ABS(U1567),"")</f>
        <v>6.23123390451929</v>
      </c>
    </row>
    <row r="1568" customFormat="false" ht="15" hidden="false" customHeight="false" outlineLevel="0" collapsed="false">
      <c r="A1568" s="57" t="n">
        <v>32665</v>
      </c>
      <c r="B1568" s="56" t="n">
        <v>1989</v>
      </c>
      <c r="C1568" s="56" t="n">
        <v>6</v>
      </c>
      <c r="D1568" s="56" t="n">
        <v>37</v>
      </c>
      <c r="E1568" s="56" t="n">
        <v>16.6</v>
      </c>
      <c r="F1568" s="56" t="n">
        <v>0</v>
      </c>
      <c r="G1568" s="56" t="n">
        <v>9.3</v>
      </c>
      <c r="H1568" s="56" t="n">
        <v>0</v>
      </c>
      <c r="I1568" s="56" t="n">
        <v>10.8</v>
      </c>
      <c r="J1568" s="56" t="n">
        <v>0</v>
      </c>
      <c r="K1568" s="56" t="n">
        <v>1006.9</v>
      </c>
      <c r="L1568" s="56" t="n">
        <v>0</v>
      </c>
      <c r="M1568" s="56" t="n">
        <v>84</v>
      </c>
      <c r="N1568" s="56" t="n">
        <v>0.3</v>
      </c>
      <c r="O1568" s="56" t="n">
        <f aca="false">IF(D1568=1,"",E1567)</f>
        <v>12.4</v>
      </c>
      <c r="P1568" s="56" t="n">
        <f aca="false">IF(OR(D1568=1,K1567=""),"",K1567)</f>
        <v>1014.4</v>
      </c>
      <c r="Q1568" s="56" t="n">
        <f aca="false">IF(OR(F1568&lt;&gt;0,AND(I1568&lt;&gt;"",E1568&lt;I1568)),1,0)</f>
        <v>0</v>
      </c>
      <c r="R1568" s="56" t="n">
        <f aca="false">IF(AND(D1568&gt;1,Q1568=0,ISNUMBER(O1568),ISNUMBER(P1568)),IF(Q1567=0,1,0),0)</f>
        <v>1</v>
      </c>
      <c r="S1568" s="56" t="n">
        <f aca="false">R1568*(B1568&gt;=Train_Start)*(B1568&lt;=Train_End)</f>
        <v>1</v>
      </c>
      <c r="T1568" s="84" t="n">
        <f aca="false">IF(AND(ISNUMBER(O1568),ISNUMBER(P1568)),Coef_A+Coef_B1*O1568+Coef_B2*P1568,"")</f>
        <v>14.0684025324435</v>
      </c>
      <c r="U1568" s="84" t="n">
        <f aca="false">IF(AND(R1568=1,ISNUMBER(T1568)),E1568-T1568,"")</f>
        <v>2.53159746755651</v>
      </c>
      <c r="V1568" s="84" t="n">
        <f aca="false">IF(ISNUMBER(T1568),T1568,-99)</f>
        <v>14.0684025324435</v>
      </c>
      <c r="W1568" s="84" t="n">
        <f aca="false">IF(ISNUMBER(U1568),ABS(U1568),"")</f>
        <v>2.53159746755651</v>
      </c>
    </row>
    <row r="1569" customFormat="false" ht="15" hidden="false" customHeight="false" outlineLevel="0" collapsed="false">
      <c r="A1569" s="57" t="n">
        <v>32666</v>
      </c>
      <c r="B1569" s="56" t="n">
        <v>1989</v>
      </c>
      <c r="C1569" s="56" t="n">
        <v>6</v>
      </c>
      <c r="D1569" s="56" t="n">
        <v>38</v>
      </c>
      <c r="E1569" s="56" t="n">
        <v>16.3</v>
      </c>
      <c r="F1569" s="56" t="n">
        <v>0</v>
      </c>
      <c r="G1569" s="56" t="n">
        <v>9.4</v>
      </c>
      <c r="H1569" s="56" t="n">
        <v>0</v>
      </c>
      <c r="I1569" s="56" t="n">
        <v>13</v>
      </c>
      <c r="J1569" s="56" t="n">
        <v>0</v>
      </c>
      <c r="K1569" s="56" t="n">
        <v>1012.3</v>
      </c>
      <c r="L1569" s="56" t="n">
        <v>0</v>
      </c>
      <c r="M1569" s="56" t="n">
        <v>74</v>
      </c>
      <c r="N1569" s="56" t="n">
        <v>5.8</v>
      </c>
      <c r="O1569" s="56" t="n">
        <f aca="false">IF(D1569=1,"",E1568)</f>
        <v>16.6</v>
      </c>
      <c r="P1569" s="56" t="n">
        <f aca="false">IF(OR(D1569=1,K1568=""),"",K1568)</f>
        <v>1006.9</v>
      </c>
      <c r="Q1569" s="56" t="n">
        <f aca="false">IF(OR(F1569&lt;&gt;0,AND(I1569&lt;&gt;"",E1569&lt;I1569)),1,0)</f>
        <v>0</v>
      </c>
      <c r="R1569" s="56" t="n">
        <f aca="false">IF(AND(D1569&gt;1,Q1569=0,ISNUMBER(O1569),ISNUMBER(P1569)),IF(Q1568=0,1,0),0)</f>
        <v>1</v>
      </c>
      <c r="S1569" s="56" t="n">
        <f aca="false">R1569*(B1569&gt;=Train_Start)*(B1569&lt;=Train_End)</f>
        <v>1</v>
      </c>
      <c r="T1569" s="84" t="n">
        <f aca="false">IF(AND(ISNUMBER(O1569),ISNUMBER(P1569)),Coef_A+Coef_B1*O1569+Coef_B2*P1569,"")</f>
        <v>17.2743529334677</v>
      </c>
      <c r="U1569" s="84" t="n">
        <f aca="false">IF(AND(R1569=1,ISNUMBER(T1569)),E1569-T1569,"")</f>
        <v>-0.974352933467731</v>
      </c>
      <c r="V1569" s="84" t="n">
        <f aca="false">IF(ISNUMBER(T1569),T1569,-99)</f>
        <v>17.2743529334677</v>
      </c>
      <c r="W1569" s="84" t="n">
        <f aca="false">IF(ISNUMBER(U1569),ABS(U1569),"")</f>
        <v>0.974352933467731</v>
      </c>
    </row>
    <row r="1570" customFormat="false" ht="15" hidden="false" customHeight="false" outlineLevel="0" collapsed="false">
      <c r="A1570" s="57" t="n">
        <v>32667</v>
      </c>
      <c r="B1570" s="56" t="n">
        <v>1989</v>
      </c>
      <c r="C1570" s="56" t="n">
        <v>6</v>
      </c>
      <c r="D1570" s="56" t="n">
        <v>39</v>
      </c>
      <c r="E1570" s="56" t="n">
        <v>19.3</v>
      </c>
      <c r="F1570" s="56" t="n">
        <v>0</v>
      </c>
      <c r="G1570" s="56" t="n">
        <v>8</v>
      </c>
      <c r="H1570" s="56" t="n">
        <v>0</v>
      </c>
      <c r="I1570" s="56" t="n">
        <v>12.2</v>
      </c>
      <c r="J1570" s="56" t="n">
        <v>0</v>
      </c>
      <c r="K1570" s="56" t="n">
        <v>1015.4</v>
      </c>
      <c r="L1570" s="56" t="n">
        <v>0</v>
      </c>
      <c r="M1570" s="56" t="n">
        <v>77</v>
      </c>
      <c r="N1570" s="56" t="n">
        <v>0.1</v>
      </c>
      <c r="O1570" s="56" t="n">
        <f aca="false">IF(D1570=1,"",E1569)</f>
        <v>16.3</v>
      </c>
      <c r="P1570" s="56" t="n">
        <f aca="false">IF(OR(D1570=1,K1569=""),"",K1569)</f>
        <v>1012.3</v>
      </c>
      <c r="Q1570" s="56" t="n">
        <f aca="false">IF(OR(F1570&lt;&gt;0,AND(I1570&lt;&gt;"",E1570&lt;I1570)),1,0)</f>
        <v>0</v>
      </c>
      <c r="R1570" s="56" t="n">
        <f aca="false">IF(AND(D1570&gt;1,Q1570=0,ISNUMBER(O1570),ISNUMBER(P1570)),IF(Q1569=0,1,0),0)</f>
        <v>1</v>
      </c>
      <c r="S1570" s="56" t="n">
        <f aca="false">R1570*(B1570&gt;=Train_Start)*(B1570&lt;=Train_End)</f>
        <v>1</v>
      </c>
      <c r="T1570" s="84" t="n">
        <f aca="false">IF(AND(ISNUMBER(O1570),ISNUMBER(P1570)),Coef_A+Coef_B1*O1570+Coef_B2*P1570,"")</f>
        <v>17.1979486065785</v>
      </c>
      <c r="U1570" s="84" t="n">
        <f aca="false">IF(AND(R1570=1,ISNUMBER(T1570)),E1570-T1570,"")</f>
        <v>2.10205139342152</v>
      </c>
      <c r="V1570" s="84" t="n">
        <f aca="false">IF(ISNUMBER(T1570),T1570,-99)</f>
        <v>17.1979486065785</v>
      </c>
      <c r="W1570" s="84" t="n">
        <f aca="false">IF(ISNUMBER(U1570),ABS(U1570),"")</f>
        <v>2.10205139342152</v>
      </c>
    </row>
    <row r="1571" customFormat="false" ht="15" hidden="false" customHeight="false" outlineLevel="0" collapsed="false">
      <c r="A1571" s="57" t="n">
        <v>32668</v>
      </c>
      <c r="B1571" s="56" t="n">
        <v>1989</v>
      </c>
      <c r="C1571" s="56" t="n">
        <v>6</v>
      </c>
      <c r="D1571" s="56" t="n">
        <v>40</v>
      </c>
      <c r="E1571" s="56" t="n">
        <v>22.2</v>
      </c>
      <c r="F1571" s="56" t="n">
        <v>0</v>
      </c>
      <c r="G1571" s="56" t="n">
        <v>9</v>
      </c>
      <c r="H1571" s="56" t="n">
        <v>0</v>
      </c>
      <c r="I1571" s="56" t="n">
        <v>14.2</v>
      </c>
      <c r="J1571" s="56" t="n">
        <v>0</v>
      </c>
      <c r="K1571" s="56" t="n">
        <v>1016.1</v>
      </c>
      <c r="L1571" s="56" t="n">
        <v>0</v>
      </c>
      <c r="M1571" s="56" t="n">
        <v>64</v>
      </c>
      <c r="N1571" s="56" t="n">
        <v>7.6</v>
      </c>
      <c r="O1571" s="56" t="n">
        <f aca="false">IF(D1571=1,"",E1570)</f>
        <v>19.3</v>
      </c>
      <c r="P1571" s="56" t="n">
        <f aca="false">IF(OR(D1571=1,K1570=""),"",K1570)</f>
        <v>1015.4</v>
      </c>
      <c r="Q1571" s="56" t="n">
        <f aca="false">IF(OR(F1571&lt;&gt;0,AND(I1571&lt;&gt;"",E1571&lt;I1571)),1,0)</f>
        <v>0</v>
      </c>
      <c r="R1571" s="56" t="n">
        <f aca="false">IF(AND(D1571&gt;1,Q1571=0,ISNUMBER(O1571),ISNUMBER(P1571)),IF(Q1570=0,1,0),0)</f>
        <v>1</v>
      </c>
      <c r="S1571" s="56" t="n">
        <f aca="false">R1571*(B1571&gt;=Train_Start)*(B1571&lt;=Train_End)</f>
        <v>1</v>
      </c>
      <c r="T1571" s="84" t="n">
        <f aca="false">IF(AND(ISNUMBER(O1571),ISNUMBER(P1571)),Coef_A+Coef_B1*O1571+Coef_B2*P1571,"")</f>
        <v>19.7532128590718</v>
      </c>
      <c r="U1571" s="84" t="n">
        <f aca="false">IF(AND(R1571=1,ISNUMBER(T1571)),E1571-T1571,"")</f>
        <v>2.44678714092818</v>
      </c>
      <c r="V1571" s="84" t="n">
        <f aca="false">IF(ISNUMBER(T1571),T1571,-99)</f>
        <v>19.7532128590718</v>
      </c>
      <c r="W1571" s="84" t="n">
        <f aca="false">IF(ISNUMBER(U1571),ABS(U1571),"")</f>
        <v>2.44678714092818</v>
      </c>
    </row>
    <row r="1572" customFormat="false" ht="15" hidden="false" customHeight="false" outlineLevel="0" collapsed="false">
      <c r="A1572" s="57" t="n">
        <v>32669</v>
      </c>
      <c r="B1572" s="56" t="n">
        <v>1989</v>
      </c>
      <c r="C1572" s="56" t="n">
        <v>6</v>
      </c>
      <c r="D1572" s="56" t="n">
        <v>41</v>
      </c>
      <c r="E1572" s="56" t="n">
        <v>23.4</v>
      </c>
      <c r="F1572" s="56" t="n">
        <v>0</v>
      </c>
      <c r="G1572" s="56" t="n">
        <v>12</v>
      </c>
      <c r="H1572" s="56" t="n">
        <v>0</v>
      </c>
      <c r="I1572" s="56" t="n">
        <v>17.1</v>
      </c>
      <c r="J1572" s="56" t="n">
        <v>0</v>
      </c>
      <c r="K1572" s="56" t="n">
        <v>1014.4</v>
      </c>
      <c r="L1572" s="56" t="n">
        <v>0</v>
      </c>
      <c r="M1572" s="56" t="n">
        <v>64</v>
      </c>
      <c r="N1572" s="56" t="n">
        <v>3.6</v>
      </c>
      <c r="O1572" s="56" t="n">
        <f aca="false">IF(D1572=1,"",E1571)</f>
        <v>22.2</v>
      </c>
      <c r="P1572" s="56" t="n">
        <f aca="false">IF(OR(D1572=1,K1571=""),"",K1571)</f>
        <v>1016.1</v>
      </c>
      <c r="Q1572" s="56" t="n">
        <f aca="false">IF(OR(F1572&lt;&gt;0,AND(I1572&lt;&gt;"",E1572&lt;I1572)),1,0)</f>
        <v>0</v>
      </c>
      <c r="R1572" s="56" t="n">
        <f aca="false">IF(AND(D1572&gt;1,Q1572=0,ISNUMBER(O1572),ISNUMBER(P1572)),IF(Q1571=0,1,0),0)</f>
        <v>1</v>
      </c>
      <c r="S1572" s="56" t="n">
        <f aca="false">R1572*(B1572&gt;=Train_Start)*(B1572&lt;=Train_End)</f>
        <v>1</v>
      </c>
      <c r="T1572" s="84" t="n">
        <f aca="false">IF(AND(ISNUMBER(O1572),ISNUMBER(P1572)),Coef_A+Coef_B1*O1572+Coef_B2*P1572,"")</f>
        <v>22.1512554451393</v>
      </c>
      <c r="U1572" s="84" t="n">
        <f aca="false">IF(AND(R1572=1,ISNUMBER(T1572)),E1572-T1572,"")</f>
        <v>1.24874455486068</v>
      </c>
      <c r="V1572" s="84" t="n">
        <f aca="false">IF(ISNUMBER(T1572),T1572,-99)</f>
        <v>22.1512554451393</v>
      </c>
      <c r="W1572" s="84" t="n">
        <f aca="false">IF(ISNUMBER(U1572),ABS(U1572),"")</f>
        <v>1.24874455486068</v>
      </c>
    </row>
    <row r="1573" customFormat="false" ht="15" hidden="false" customHeight="false" outlineLevel="0" collapsed="false">
      <c r="A1573" s="57" t="n">
        <v>32670</v>
      </c>
      <c r="B1573" s="56" t="n">
        <v>1989</v>
      </c>
      <c r="C1573" s="56" t="n">
        <v>6</v>
      </c>
      <c r="D1573" s="56" t="n">
        <v>42</v>
      </c>
      <c r="E1573" s="56" t="n">
        <v>28.6</v>
      </c>
      <c r="F1573" s="56" t="n">
        <v>0</v>
      </c>
      <c r="G1573" s="56" t="n">
        <v>11.2</v>
      </c>
      <c r="H1573" s="56" t="n">
        <v>0</v>
      </c>
      <c r="I1573" s="56" t="n">
        <v>17.3</v>
      </c>
      <c r="J1573" s="56" t="n">
        <v>0</v>
      </c>
      <c r="K1573" s="56" t="n">
        <v>1020.3</v>
      </c>
      <c r="L1573" s="56" t="n">
        <v>0</v>
      </c>
      <c r="M1573" s="56" t="n">
        <v>71</v>
      </c>
      <c r="N1573" s="56" t="n">
        <v>9.9</v>
      </c>
      <c r="O1573" s="56" t="n">
        <f aca="false">IF(D1573=1,"",E1572)</f>
        <v>23.4</v>
      </c>
      <c r="P1573" s="56" t="n">
        <f aca="false">IF(OR(D1573=1,K1572=""),"",K1572)</f>
        <v>1014.4</v>
      </c>
      <c r="Q1573" s="56" t="n">
        <f aca="false">IF(OR(F1573&lt;&gt;0,AND(I1573&lt;&gt;"",E1573&lt;I1573)),1,0)</f>
        <v>0</v>
      </c>
      <c r="R1573" s="56" t="n">
        <f aca="false">IF(AND(D1573&gt;1,Q1573=0,ISNUMBER(O1573),ISNUMBER(P1573)),IF(Q1572=0,1,0),0)</f>
        <v>1</v>
      </c>
      <c r="S1573" s="56" t="n">
        <f aca="false">R1573*(B1573&gt;=Train_Start)*(B1573&lt;=Train_End)</f>
        <v>1</v>
      </c>
      <c r="T1573" s="84" t="n">
        <f aca="false">IF(AND(ISNUMBER(O1573),ISNUMBER(P1573)),Coef_A+Coef_B1*O1573+Coef_B2*P1573,"")</f>
        <v>23.0811336559127</v>
      </c>
      <c r="U1573" s="84" t="n">
        <f aca="false">IF(AND(R1573=1,ISNUMBER(T1573)),E1573-T1573,"")</f>
        <v>5.51886634408728</v>
      </c>
      <c r="V1573" s="84" t="n">
        <f aca="false">IF(ISNUMBER(T1573),T1573,-99)</f>
        <v>23.0811336559127</v>
      </c>
      <c r="W1573" s="84" t="n">
        <f aca="false">IF(ISNUMBER(U1573),ABS(U1573),"")</f>
        <v>5.51886634408728</v>
      </c>
    </row>
    <row r="1574" customFormat="false" ht="15" hidden="false" customHeight="false" outlineLevel="0" collapsed="false">
      <c r="A1574" s="57" t="n">
        <v>32671</v>
      </c>
      <c r="B1574" s="56" t="n">
        <v>1989</v>
      </c>
      <c r="C1574" s="56" t="n">
        <v>6</v>
      </c>
      <c r="D1574" s="56" t="n">
        <v>43</v>
      </c>
      <c r="E1574" s="56" t="n">
        <v>27.8</v>
      </c>
      <c r="F1574" s="56" t="n">
        <v>0</v>
      </c>
      <c r="G1574" s="56" t="n">
        <v>15.1</v>
      </c>
      <c r="H1574" s="56" t="n">
        <v>0</v>
      </c>
      <c r="I1574" s="56" t="n">
        <v>21.8</v>
      </c>
      <c r="J1574" s="56" t="n">
        <v>0</v>
      </c>
      <c r="K1574" s="56" t="n">
        <v>1022.4</v>
      </c>
      <c r="L1574" s="56" t="n">
        <v>0</v>
      </c>
      <c r="M1574" s="56" t="n">
        <v>62</v>
      </c>
      <c r="N1574" s="56" t="n">
        <v>10.1</v>
      </c>
      <c r="O1574" s="56" t="n">
        <f aca="false">IF(D1574=1,"",E1573)</f>
        <v>28.6</v>
      </c>
      <c r="P1574" s="56" t="n">
        <f aca="false">IF(OR(D1574=1,K1573=""),"",K1573)</f>
        <v>1020.3</v>
      </c>
      <c r="Q1574" s="56" t="n">
        <f aca="false">IF(OR(F1574&lt;&gt;0,AND(I1574&lt;&gt;"",E1574&lt;I1574)),1,0)</f>
        <v>0</v>
      </c>
      <c r="R1574" s="56" t="n">
        <f aca="false">IF(AND(D1574&gt;1,Q1574=0,ISNUMBER(O1574),ISNUMBER(P1574)),IF(Q1573=0,1,0),0)</f>
        <v>1</v>
      </c>
      <c r="S1574" s="56" t="n">
        <f aca="false">R1574*(B1574&gt;=Train_Start)*(B1574&lt;=Train_End)</f>
        <v>1</v>
      </c>
      <c r="T1574" s="84" t="n">
        <f aca="false">IF(AND(ISNUMBER(O1574),ISNUMBER(P1574)),Coef_A+Coef_B1*O1574+Coef_B2*P1574,"")</f>
        <v>27.5267798380751</v>
      </c>
      <c r="U1574" s="84" t="n">
        <f aca="false">IF(AND(R1574=1,ISNUMBER(T1574)),E1574-T1574,"")</f>
        <v>0.273220161924918</v>
      </c>
      <c r="V1574" s="84" t="n">
        <f aca="false">IF(ISNUMBER(T1574),T1574,-99)</f>
        <v>27.5267798380751</v>
      </c>
      <c r="W1574" s="84" t="n">
        <f aca="false">IF(ISNUMBER(U1574),ABS(U1574),"")</f>
        <v>0.273220161924918</v>
      </c>
    </row>
    <row r="1575" customFormat="false" ht="15" hidden="false" customHeight="false" outlineLevel="0" collapsed="false">
      <c r="A1575" s="57" t="n">
        <v>32672</v>
      </c>
      <c r="B1575" s="56" t="n">
        <v>1989</v>
      </c>
      <c r="C1575" s="56" t="n">
        <v>6</v>
      </c>
      <c r="D1575" s="56" t="n">
        <v>44</v>
      </c>
      <c r="E1575" s="56" t="n">
        <v>27.7</v>
      </c>
      <c r="F1575" s="56" t="n">
        <v>0</v>
      </c>
      <c r="G1575" s="56" t="n">
        <v>15.4</v>
      </c>
      <c r="H1575" s="56" t="n">
        <v>0</v>
      </c>
      <c r="I1575" s="56" t="n">
        <v>21.6</v>
      </c>
      <c r="J1575" s="56" t="n">
        <v>0</v>
      </c>
      <c r="K1575" s="56" t="n">
        <v>1021.8</v>
      </c>
      <c r="L1575" s="56" t="n">
        <v>0</v>
      </c>
      <c r="M1575" s="56" t="n">
        <v>55</v>
      </c>
      <c r="N1575" s="56" t="n">
        <v>12.1</v>
      </c>
      <c r="O1575" s="56" t="n">
        <f aca="false">IF(D1575=1,"",E1574)</f>
        <v>27.8</v>
      </c>
      <c r="P1575" s="56" t="n">
        <f aca="false">IF(OR(D1575=1,K1574=""),"",K1574)</f>
        <v>1022.4</v>
      </c>
      <c r="Q1575" s="56" t="n">
        <f aca="false">IF(OR(F1575&lt;&gt;0,AND(I1575&lt;&gt;"",E1575&lt;I1575)),1,0)</f>
        <v>0</v>
      </c>
      <c r="R1575" s="56" t="n">
        <f aca="false">IF(AND(D1575&gt;1,Q1575=0,ISNUMBER(O1575),ISNUMBER(P1575)),IF(Q1574=0,1,0),0)</f>
        <v>1</v>
      </c>
      <c r="S1575" s="56" t="n">
        <f aca="false">R1575*(B1575&gt;=Train_Start)*(B1575&lt;=Train_End)</f>
        <v>1</v>
      </c>
      <c r="T1575" s="84" t="n">
        <f aca="false">IF(AND(ISNUMBER(O1575),ISNUMBER(P1575)),Coef_A+Coef_B1*O1575+Coef_B2*P1575,"")</f>
        <v>26.9371852623723</v>
      </c>
      <c r="U1575" s="84" t="n">
        <f aca="false">IF(AND(R1575=1,ISNUMBER(T1575)),E1575-T1575,"")</f>
        <v>0.762814737627664</v>
      </c>
      <c r="V1575" s="84" t="n">
        <f aca="false">IF(ISNUMBER(T1575),T1575,-99)</f>
        <v>26.9371852623723</v>
      </c>
      <c r="W1575" s="84" t="n">
        <f aca="false">IF(ISNUMBER(U1575),ABS(U1575),"")</f>
        <v>0.762814737627664</v>
      </c>
    </row>
    <row r="1576" customFormat="false" ht="15" hidden="false" customHeight="false" outlineLevel="0" collapsed="false">
      <c r="A1576" s="57" t="n">
        <v>32673</v>
      </c>
      <c r="B1576" s="56" t="n">
        <v>1989</v>
      </c>
      <c r="C1576" s="56" t="n">
        <v>6</v>
      </c>
      <c r="D1576" s="56" t="n">
        <v>45</v>
      </c>
      <c r="E1576" s="56" t="n">
        <v>27.7</v>
      </c>
      <c r="F1576" s="56" t="n">
        <v>0</v>
      </c>
      <c r="G1576" s="56" t="n">
        <v>15</v>
      </c>
      <c r="H1576" s="56" t="n">
        <v>0</v>
      </c>
      <c r="I1576" s="56" t="n">
        <v>21.4</v>
      </c>
      <c r="J1576" s="56" t="n">
        <v>0</v>
      </c>
      <c r="K1576" s="56" t="n">
        <v>1023.2</v>
      </c>
      <c r="L1576" s="56" t="n">
        <v>0</v>
      </c>
      <c r="M1576" s="56" t="n">
        <v>65</v>
      </c>
      <c r="N1576" s="56" t="n">
        <v>6.9</v>
      </c>
      <c r="O1576" s="56" t="n">
        <f aca="false">IF(D1576=1,"",E1575)</f>
        <v>27.7</v>
      </c>
      <c r="P1576" s="56" t="n">
        <f aca="false">IF(OR(D1576=1,K1575=""),"",K1575)</f>
        <v>1021.8</v>
      </c>
      <c r="Q1576" s="56" t="n">
        <f aca="false">IF(OR(F1576&lt;&gt;0,AND(I1576&lt;&gt;"",E1576&lt;I1576)),1,0)</f>
        <v>0</v>
      </c>
      <c r="R1576" s="56" t="n">
        <f aca="false">IF(AND(D1576&gt;1,Q1576=0,ISNUMBER(O1576),ISNUMBER(P1576)),IF(Q1575=0,1,0),0)</f>
        <v>1</v>
      </c>
      <c r="S1576" s="56" t="n">
        <f aca="false">R1576*(B1576&gt;=Train_Start)*(B1576&lt;=Train_End)</f>
        <v>1</v>
      </c>
      <c r="T1576" s="84" t="n">
        <f aca="false">IF(AND(ISNUMBER(O1576),ISNUMBER(P1576)),Coef_A+Coef_B1*O1576+Coef_B2*P1576,"")</f>
        <v>26.8364294062877</v>
      </c>
      <c r="U1576" s="84" t="n">
        <f aca="false">IF(AND(R1576=1,ISNUMBER(T1576)),E1576-T1576,"")</f>
        <v>0.863570593712328</v>
      </c>
      <c r="V1576" s="84" t="n">
        <f aca="false">IF(ISNUMBER(T1576),T1576,-99)</f>
        <v>26.8364294062877</v>
      </c>
      <c r="W1576" s="84" t="n">
        <f aca="false">IF(ISNUMBER(U1576),ABS(U1576),"")</f>
        <v>0.863570593712328</v>
      </c>
    </row>
    <row r="1577" customFormat="false" ht="15" hidden="false" customHeight="false" outlineLevel="0" collapsed="false">
      <c r="A1577" s="57" t="n">
        <v>32674</v>
      </c>
      <c r="B1577" s="56" t="n">
        <v>1989</v>
      </c>
      <c r="C1577" s="56" t="n">
        <v>6</v>
      </c>
      <c r="D1577" s="56" t="n">
        <v>46</v>
      </c>
      <c r="E1577" s="56" t="n">
        <v>27</v>
      </c>
      <c r="F1577" s="56" t="n">
        <v>0</v>
      </c>
      <c r="G1577" s="56" t="n">
        <v>15.5</v>
      </c>
      <c r="H1577" s="56" t="n">
        <v>0</v>
      </c>
      <c r="I1577" s="56" t="n">
        <v>21.6</v>
      </c>
      <c r="J1577" s="56" t="n">
        <v>0</v>
      </c>
      <c r="K1577" s="56" t="n">
        <v>1025.4</v>
      </c>
      <c r="L1577" s="56" t="n">
        <v>0</v>
      </c>
      <c r="M1577" s="56" t="n">
        <v>59</v>
      </c>
      <c r="N1577" s="56" t="n">
        <v>10</v>
      </c>
      <c r="O1577" s="56" t="n">
        <f aca="false">IF(D1577=1,"",E1576)</f>
        <v>27.7</v>
      </c>
      <c r="P1577" s="56" t="n">
        <f aca="false">IF(OR(D1577=1,K1576=""),"",K1576)</f>
        <v>1023.2</v>
      </c>
      <c r="Q1577" s="56" t="n">
        <f aca="false">IF(OR(F1577&lt;&gt;0,AND(I1577&lt;&gt;"",E1577&lt;I1577)),1,0)</f>
        <v>0</v>
      </c>
      <c r="R1577" s="56" t="n">
        <f aca="false">IF(AND(D1577&gt;1,Q1577=0,ISNUMBER(O1577),ISNUMBER(P1577)),IF(Q1576=0,1,0),0)</f>
        <v>1</v>
      </c>
      <c r="S1577" s="56" t="n">
        <f aca="false">R1577*(B1577&gt;=Train_Start)*(B1577&lt;=Train_End)</f>
        <v>1</v>
      </c>
      <c r="T1577" s="84" t="n">
        <f aca="false">IF(AND(ISNUMBER(O1577),ISNUMBER(P1577)),Coef_A+Coef_B1*O1577+Coef_B2*P1577,"")</f>
        <v>26.8803472587753</v>
      </c>
      <c r="U1577" s="84" t="n">
        <f aca="false">IF(AND(R1577=1,ISNUMBER(T1577)),E1577-T1577,"")</f>
        <v>0.119652741224741</v>
      </c>
      <c r="V1577" s="84" t="n">
        <f aca="false">IF(ISNUMBER(T1577),T1577,-99)</f>
        <v>26.8803472587753</v>
      </c>
      <c r="W1577" s="84" t="n">
        <f aca="false">IF(ISNUMBER(U1577),ABS(U1577),"")</f>
        <v>0.119652741224741</v>
      </c>
    </row>
    <row r="1578" customFormat="false" ht="15" hidden="false" customHeight="false" outlineLevel="0" collapsed="false">
      <c r="A1578" s="57" t="n">
        <v>32675</v>
      </c>
      <c r="B1578" s="56" t="n">
        <v>1989</v>
      </c>
      <c r="C1578" s="56" t="n">
        <v>6</v>
      </c>
      <c r="D1578" s="56" t="n">
        <v>47</v>
      </c>
      <c r="E1578" s="56" t="n">
        <v>27.6</v>
      </c>
      <c r="F1578" s="56" t="n">
        <v>0</v>
      </c>
      <c r="G1578" s="56" t="n">
        <v>14.6</v>
      </c>
      <c r="H1578" s="56" t="n">
        <v>0</v>
      </c>
      <c r="I1578" s="56" t="n">
        <v>20.8</v>
      </c>
      <c r="J1578" s="56" t="n">
        <v>0</v>
      </c>
      <c r="K1578" s="56" t="n">
        <v>1026.6</v>
      </c>
      <c r="L1578" s="56" t="n">
        <v>0</v>
      </c>
      <c r="M1578" s="56" t="n">
        <v>50</v>
      </c>
      <c r="N1578" s="56" t="n">
        <v>10.5</v>
      </c>
      <c r="O1578" s="56" t="n">
        <f aca="false">IF(D1578=1,"",E1577)</f>
        <v>27</v>
      </c>
      <c r="P1578" s="56" t="n">
        <f aca="false">IF(OR(D1578=1,K1577=""),"",K1577)</f>
        <v>1025.4</v>
      </c>
      <c r="Q1578" s="56" t="n">
        <f aca="false">IF(OR(F1578&lt;&gt;0,AND(I1578&lt;&gt;"",E1578&lt;I1578)),1,0)</f>
        <v>0</v>
      </c>
      <c r="R1578" s="56" t="n">
        <f aca="false">IF(AND(D1578&gt;1,Q1578=0,ISNUMBER(O1578),ISNUMBER(P1578)),IF(Q1577=0,1,0),0)</f>
        <v>1</v>
      </c>
      <c r="S1578" s="56" t="n">
        <f aca="false">R1578*(B1578&gt;=Train_Start)*(B1578&lt;=Train_End)</f>
        <v>1</v>
      </c>
      <c r="T1578" s="84" t="n">
        <f aca="false">IF(AND(ISNUMBER(O1578),ISNUMBER(P1578)),Coef_A+Coef_B1*O1578+Coef_B2*P1578,"")</f>
        <v>26.3758235918402</v>
      </c>
      <c r="U1578" s="84" t="n">
        <f aca="false">IF(AND(R1578=1,ISNUMBER(T1578)),E1578-T1578,"")</f>
        <v>1.22417640815982</v>
      </c>
      <c r="V1578" s="84" t="n">
        <f aca="false">IF(ISNUMBER(T1578),T1578,-99)</f>
        <v>26.3758235918402</v>
      </c>
      <c r="W1578" s="84" t="n">
        <f aca="false">IF(ISNUMBER(U1578),ABS(U1578),"")</f>
        <v>1.22417640815982</v>
      </c>
    </row>
    <row r="1579" customFormat="false" ht="15" hidden="false" customHeight="false" outlineLevel="0" collapsed="false">
      <c r="A1579" s="57" t="n">
        <v>32676</v>
      </c>
      <c r="B1579" s="56" t="n">
        <v>1989</v>
      </c>
      <c r="C1579" s="56" t="n">
        <v>6</v>
      </c>
      <c r="D1579" s="56" t="n">
        <v>48</v>
      </c>
      <c r="E1579" s="56" t="n">
        <v>26.6</v>
      </c>
      <c r="F1579" s="56" t="n">
        <v>0</v>
      </c>
      <c r="G1579" s="56" t="n">
        <v>14.5</v>
      </c>
      <c r="H1579" s="56" t="n">
        <v>0</v>
      </c>
      <c r="I1579" s="56" t="n">
        <v>21</v>
      </c>
      <c r="J1579" s="56" t="n">
        <v>0</v>
      </c>
      <c r="K1579" s="56" t="n">
        <v>1026.9</v>
      </c>
      <c r="L1579" s="56" t="n">
        <v>0</v>
      </c>
      <c r="M1579" s="56" t="n">
        <v>47</v>
      </c>
      <c r="N1579" s="56" t="n">
        <v>10.9</v>
      </c>
      <c r="O1579" s="56" t="n">
        <f aca="false">IF(D1579=1,"",E1578)</f>
        <v>27.6</v>
      </c>
      <c r="P1579" s="56" t="n">
        <f aca="false">IF(OR(D1579=1,K1578=""),"",K1578)</f>
        <v>1026.6</v>
      </c>
      <c r="Q1579" s="56" t="n">
        <f aca="false">IF(OR(F1579&lt;&gt;0,AND(I1579&lt;&gt;"",E1579&lt;I1579)),1,0)</f>
        <v>0</v>
      </c>
      <c r="R1579" s="56" t="n">
        <f aca="false">IF(AND(D1579&gt;1,Q1579=0,ISNUMBER(O1579),ISNUMBER(P1579)),IF(Q1578=0,1,0),0)</f>
        <v>1</v>
      </c>
      <c r="S1579" s="56" t="n">
        <f aca="false">R1579*(B1579&gt;=Train_Start)*(B1579&lt;=Train_End)</f>
        <v>1</v>
      </c>
      <c r="T1579" s="84" t="n">
        <f aca="false">IF(AND(ISNUMBER(O1579),ISNUMBER(P1579)),Coef_A+Coef_B1*O1579+Coef_B2*P1579,"")</f>
        <v>26.9050709812266</v>
      </c>
      <c r="U1579" s="84" t="n">
        <f aca="false">IF(AND(R1579=1,ISNUMBER(T1579)),E1579-T1579,"")</f>
        <v>-0.305070981226557</v>
      </c>
      <c r="V1579" s="84" t="n">
        <f aca="false">IF(ISNUMBER(T1579),T1579,-99)</f>
        <v>26.9050709812266</v>
      </c>
      <c r="W1579" s="84" t="n">
        <f aca="false">IF(ISNUMBER(U1579),ABS(U1579),"")</f>
        <v>0.305070981226557</v>
      </c>
    </row>
    <row r="1580" customFormat="false" ht="15" hidden="false" customHeight="false" outlineLevel="0" collapsed="false">
      <c r="A1580" s="57" t="n">
        <v>32677</v>
      </c>
      <c r="B1580" s="56" t="n">
        <v>1989</v>
      </c>
      <c r="C1580" s="56" t="n">
        <v>6</v>
      </c>
      <c r="D1580" s="56" t="n">
        <v>49</v>
      </c>
      <c r="E1580" s="56" t="n">
        <v>29.1</v>
      </c>
      <c r="F1580" s="56" t="n">
        <v>0</v>
      </c>
      <c r="G1580" s="56" t="n">
        <v>12.9</v>
      </c>
      <c r="H1580" s="56" t="n">
        <v>0</v>
      </c>
      <c r="I1580" s="56" t="n">
        <v>19.8</v>
      </c>
      <c r="J1580" s="56" t="n">
        <v>0</v>
      </c>
      <c r="K1580" s="56" t="n">
        <v>1027.8</v>
      </c>
      <c r="L1580" s="56" t="n">
        <v>0</v>
      </c>
      <c r="M1580" s="56" t="n">
        <v>47</v>
      </c>
      <c r="N1580" s="56" t="n">
        <v>15.1</v>
      </c>
      <c r="O1580" s="56" t="n">
        <f aca="false">IF(D1580=1,"",E1579)</f>
        <v>26.6</v>
      </c>
      <c r="P1580" s="56" t="n">
        <f aca="false">IF(OR(D1580=1,K1579=""),"",K1579)</f>
        <v>1026.9</v>
      </c>
      <c r="Q1580" s="56" t="n">
        <f aca="false">IF(OR(F1580&lt;&gt;0,AND(I1580&lt;&gt;"",E1580&lt;I1580)),1,0)</f>
        <v>0</v>
      </c>
      <c r="R1580" s="56" t="n">
        <f aca="false">IF(AND(D1580&gt;1,Q1580=0,ISNUMBER(O1580),ISNUMBER(P1580)),IF(Q1579=0,1,0),0)</f>
        <v>1</v>
      </c>
      <c r="S1580" s="56" t="n">
        <f aca="false">R1580*(B1580&gt;=Train_Start)*(B1580&lt;=Train_End)</f>
        <v>1</v>
      </c>
      <c r="T1580" s="84" t="n">
        <f aca="false">IF(AND(ISNUMBER(O1580),ISNUMBER(P1580)),Coef_A+Coef_B1*O1580+Coef_B2*P1580,"")</f>
        <v>26.0951427565741</v>
      </c>
      <c r="U1580" s="84" t="n">
        <f aca="false">IF(AND(R1580=1,ISNUMBER(T1580)),E1580-T1580,"")</f>
        <v>3.0048572434259</v>
      </c>
      <c r="V1580" s="84" t="n">
        <f aca="false">IF(ISNUMBER(T1580),T1580,-99)</f>
        <v>26.0951427565741</v>
      </c>
      <c r="W1580" s="84" t="n">
        <f aca="false">IF(ISNUMBER(U1580),ABS(U1580),"")</f>
        <v>3.0048572434259</v>
      </c>
    </row>
    <row r="1581" customFormat="false" ht="15" hidden="false" customHeight="false" outlineLevel="0" collapsed="false">
      <c r="A1581" s="57" t="n">
        <v>32678</v>
      </c>
      <c r="B1581" s="56" t="n">
        <v>1989</v>
      </c>
      <c r="C1581" s="56" t="n">
        <v>6</v>
      </c>
      <c r="D1581" s="56" t="n">
        <v>50</v>
      </c>
      <c r="E1581" s="56" t="n">
        <v>30.2</v>
      </c>
      <c r="F1581" s="56" t="n">
        <v>0</v>
      </c>
      <c r="G1581" s="56" t="n">
        <v>13.3</v>
      </c>
      <c r="H1581" s="56" t="n">
        <v>0</v>
      </c>
      <c r="I1581" s="56" t="n">
        <v>21.2</v>
      </c>
      <c r="J1581" s="56" t="n">
        <v>0</v>
      </c>
      <c r="K1581" s="56" t="n">
        <v>1027.6</v>
      </c>
      <c r="L1581" s="56" t="n">
        <v>0</v>
      </c>
      <c r="M1581" s="56" t="n">
        <v>57</v>
      </c>
      <c r="N1581" s="56" t="n">
        <v>14.6</v>
      </c>
      <c r="O1581" s="56" t="n">
        <f aca="false">IF(D1581=1,"",E1580)</f>
        <v>29.1</v>
      </c>
      <c r="P1581" s="56" t="n">
        <f aca="false">IF(OR(D1581=1,K1580=""),"",K1580)</f>
        <v>1027.8</v>
      </c>
      <c r="Q1581" s="56" t="n">
        <f aca="false">IF(OR(F1581&lt;&gt;0,AND(I1581&lt;&gt;"",E1581&lt;I1581)),1,0)</f>
        <v>0</v>
      </c>
      <c r="R1581" s="56" t="n">
        <f aca="false">IF(AND(D1581&gt;1,Q1581=0,ISNUMBER(O1581),ISNUMBER(P1581)),IF(Q1580=0,1,0),0)</f>
        <v>1</v>
      </c>
      <c r="S1581" s="56" t="n">
        <f aca="false">R1581*(B1581&gt;=Train_Start)*(B1581&lt;=Train_End)</f>
        <v>1</v>
      </c>
      <c r="T1581" s="84" t="n">
        <f aca="false">IF(AND(ISNUMBER(O1581),ISNUMBER(P1581)),Coef_A+Coef_B1*O1581+Coef_B2*P1581,"")</f>
        <v>28.1717236443513</v>
      </c>
      <c r="U1581" s="84" t="n">
        <f aca="false">IF(AND(R1581=1,ISNUMBER(T1581)),E1581-T1581,"")</f>
        <v>2.02827635564867</v>
      </c>
      <c r="V1581" s="84" t="n">
        <f aca="false">IF(ISNUMBER(T1581),T1581,-99)</f>
        <v>28.1717236443513</v>
      </c>
      <c r="W1581" s="84" t="n">
        <f aca="false">IF(ISNUMBER(U1581),ABS(U1581),"")</f>
        <v>2.02827635564867</v>
      </c>
    </row>
    <row r="1582" customFormat="false" ht="15" hidden="false" customHeight="false" outlineLevel="0" collapsed="false">
      <c r="A1582" s="57" t="n">
        <v>32679</v>
      </c>
      <c r="B1582" s="56" t="n">
        <v>1989</v>
      </c>
      <c r="C1582" s="56" t="n">
        <v>6</v>
      </c>
      <c r="D1582" s="56" t="n">
        <v>51</v>
      </c>
      <c r="E1582" s="56" t="n">
        <v>23</v>
      </c>
      <c r="F1582" s="56" t="n">
        <v>0</v>
      </c>
      <c r="G1582" s="56" t="n">
        <v>14.6</v>
      </c>
      <c r="H1582" s="56" t="n">
        <v>0</v>
      </c>
      <c r="I1582" s="56" t="n">
        <v>22.4</v>
      </c>
      <c r="J1582" s="56" t="n">
        <v>0</v>
      </c>
      <c r="K1582" s="56" t="n">
        <v>1025</v>
      </c>
      <c r="L1582" s="56" t="n">
        <v>0</v>
      </c>
      <c r="M1582" s="56" t="n">
        <v>50</v>
      </c>
      <c r="N1582" s="56" t="n">
        <v>14.6</v>
      </c>
      <c r="O1582" s="56" t="n">
        <f aca="false">IF(D1582=1,"",E1581)</f>
        <v>30.2</v>
      </c>
      <c r="P1582" s="56" t="n">
        <f aca="false">IF(OR(D1582=1,K1581=""),"",K1581)</f>
        <v>1027.6</v>
      </c>
      <c r="Q1582" s="56" t="n">
        <f aca="false">IF(OR(F1582&lt;&gt;0,AND(I1582&lt;&gt;"",E1582&lt;I1582)),1,0)</f>
        <v>0</v>
      </c>
      <c r="R1582" s="56" t="n">
        <f aca="false">IF(AND(D1582&gt;1,Q1582=0,ISNUMBER(O1582),ISNUMBER(P1582)),IF(Q1581=0,1,0),0)</f>
        <v>1</v>
      </c>
      <c r="S1582" s="56" t="n">
        <f aca="false">R1582*(B1582&gt;=Train_Start)*(B1582&lt;=Train_End)</f>
        <v>1</v>
      </c>
      <c r="T1582" s="84" t="n">
        <f aca="false">IF(AND(ISNUMBER(O1582),ISNUMBER(P1582)),Coef_A+Coef_B1*O1582+Coef_B2*P1582,"")</f>
        <v>29.0667227777715</v>
      </c>
      <c r="U1582" s="84" t="n">
        <f aca="false">IF(AND(R1582=1,ISNUMBER(T1582)),E1582-T1582,"")</f>
        <v>-6.06672277777145</v>
      </c>
      <c r="V1582" s="84" t="n">
        <f aca="false">IF(ISNUMBER(T1582),T1582,-99)</f>
        <v>29.0667227777715</v>
      </c>
      <c r="W1582" s="84" t="n">
        <f aca="false">IF(ISNUMBER(U1582),ABS(U1582),"")</f>
        <v>6.06672277777145</v>
      </c>
    </row>
    <row r="1583" customFormat="false" ht="15" hidden="false" customHeight="false" outlineLevel="0" collapsed="false">
      <c r="A1583" s="57" t="n">
        <v>32680</v>
      </c>
      <c r="B1583" s="56" t="n">
        <v>1989</v>
      </c>
      <c r="C1583" s="56" t="n">
        <v>6</v>
      </c>
      <c r="D1583" s="56" t="n">
        <v>52</v>
      </c>
      <c r="E1583" s="56" t="n">
        <v>19.6</v>
      </c>
      <c r="F1583" s="56" t="n">
        <v>0</v>
      </c>
      <c r="G1583" s="56" t="n">
        <v>14.4</v>
      </c>
      <c r="H1583" s="56" t="n">
        <v>0</v>
      </c>
      <c r="I1583" s="56" t="n">
        <v>18.7</v>
      </c>
      <c r="J1583" s="56" t="n">
        <v>0</v>
      </c>
      <c r="K1583" s="56" t="n">
        <v>1022</v>
      </c>
      <c r="L1583" s="56" t="n">
        <v>0</v>
      </c>
      <c r="M1583" s="56" t="n">
        <v>52</v>
      </c>
      <c r="N1583" s="56" t="n">
        <v>10.8</v>
      </c>
      <c r="O1583" s="56" t="n">
        <f aca="false">IF(D1583=1,"",E1582)</f>
        <v>23</v>
      </c>
      <c r="P1583" s="56" t="n">
        <f aca="false">IF(OR(D1583=1,K1582=""),"",K1582)</f>
        <v>1025</v>
      </c>
      <c r="Q1583" s="56" t="n">
        <f aca="false">IF(OR(F1583&lt;&gt;0,AND(I1583&lt;&gt;"",E1583&lt;I1583)),1,0)</f>
        <v>0</v>
      </c>
      <c r="R1583" s="56" t="n">
        <f aca="false">IF(AND(D1583&gt;1,Q1583=0,ISNUMBER(O1583),ISNUMBER(P1583)),IF(Q1582=0,1,0),0)</f>
        <v>1</v>
      </c>
      <c r="S1583" s="56" t="n">
        <f aca="false">R1583*(B1583&gt;=Train_Start)*(B1583&lt;=Train_End)</f>
        <v>1</v>
      </c>
      <c r="T1583" s="84" t="n">
        <f aca="false">IF(AND(ISNUMBER(O1583),ISNUMBER(P1583)),Coef_A+Coef_B1*O1583+Coef_B2*P1583,"")</f>
        <v>23.085918861816</v>
      </c>
      <c r="U1583" s="84" t="n">
        <f aca="false">IF(AND(R1583=1,ISNUMBER(T1583)),E1583-T1583,"")</f>
        <v>-3.48591886181595</v>
      </c>
      <c r="V1583" s="84" t="n">
        <f aca="false">IF(ISNUMBER(T1583),T1583,-99)</f>
        <v>23.085918861816</v>
      </c>
      <c r="W1583" s="84" t="n">
        <f aca="false">IF(ISNUMBER(U1583),ABS(U1583),"")</f>
        <v>3.48591886181595</v>
      </c>
    </row>
    <row r="1584" customFormat="false" ht="15" hidden="false" customHeight="false" outlineLevel="0" collapsed="false">
      <c r="A1584" s="57" t="n">
        <v>32681</v>
      </c>
      <c r="B1584" s="56" t="n">
        <v>1989</v>
      </c>
      <c r="C1584" s="56" t="n">
        <v>6</v>
      </c>
      <c r="D1584" s="56" t="n">
        <v>53</v>
      </c>
      <c r="E1584" s="56" t="n">
        <v>25.3</v>
      </c>
      <c r="F1584" s="56" t="n">
        <v>0</v>
      </c>
      <c r="G1584" s="56" t="n">
        <v>13.4</v>
      </c>
      <c r="H1584" s="56" t="n">
        <v>0</v>
      </c>
      <c r="I1584" s="56" t="n">
        <v>16.5</v>
      </c>
      <c r="J1584" s="56" t="n">
        <v>0</v>
      </c>
      <c r="K1584" s="56" t="n">
        <v>1022</v>
      </c>
      <c r="L1584" s="56" t="n">
        <v>0</v>
      </c>
      <c r="M1584" s="56" t="n">
        <v>68</v>
      </c>
      <c r="N1584" s="56" t="n">
        <v>5.2</v>
      </c>
      <c r="O1584" s="56" t="n">
        <f aca="false">IF(D1584=1,"",E1583)</f>
        <v>19.6</v>
      </c>
      <c r="P1584" s="56" t="n">
        <f aca="false">IF(OR(D1584=1,K1583=""),"",K1583)</f>
        <v>1022</v>
      </c>
      <c r="Q1584" s="56" t="n">
        <f aca="false">IF(OR(F1584&lt;&gt;0,AND(I1584&lt;&gt;"",E1584&lt;I1584)),1,0)</f>
        <v>0</v>
      </c>
      <c r="R1584" s="56" t="n">
        <f aca="false">IF(AND(D1584&gt;1,Q1584=0,ISNUMBER(O1584),ISNUMBER(P1584)),IF(Q1583=0,1,0),0)</f>
        <v>1</v>
      </c>
      <c r="S1584" s="56" t="n">
        <f aca="false">R1584*(B1584&gt;=Train_Start)*(B1584&lt;=Train_End)</f>
        <v>1</v>
      </c>
      <c r="T1584" s="84" t="n">
        <f aca="false">IF(AND(ISNUMBER(O1584),ISNUMBER(P1584)),Coef_A+Coef_B1*O1584+Coef_B2*P1584,"")</f>
        <v>20.2060559215689</v>
      </c>
      <c r="U1584" s="84" t="n">
        <f aca="false">IF(AND(R1584=1,ISNUMBER(T1584)),E1584-T1584,"")</f>
        <v>5.09394407843105</v>
      </c>
      <c r="V1584" s="84" t="n">
        <f aca="false">IF(ISNUMBER(T1584),T1584,-99)</f>
        <v>20.2060559215689</v>
      </c>
      <c r="W1584" s="84" t="n">
        <f aca="false">IF(ISNUMBER(U1584),ABS(U1584),"")</f>
        <v>5.09394407843105</v>
      </c>
    </row>
    <row r="1585" customFormat="false" ht="15" hidden="false" customHeight="false" outlineLevel="0" collapsed="false">
      <c r="A1585" s="57" t="n">
        <v>32682</v>
      </c>
      <c r="B1585" s="56" t="n">
        <v>1989</v>
      </c>
      <c r="C1585" s="56" t="n">
        <v>6</v>
      </c>
      <c r="D1585" s="56" t="n">
        <v>54</v>
      </c>
      <c r="E1585" s="56" t="n">
        <v>25</v>
      </c>
      <c r="F1585" s="56" t="n">
        <v>0</v>
      </c>
      <c r="G1585" s="56" t="n">
        <v>11.8</v>
      </c>
      <c r="H1585" s="56" t="n">
        <v>0</v>
      </c>
      <c r="I1585" s="56" t="n">
        <v>18.6</v>
      </c>
      <c r="J1585" s="56" t="n">
        <v>0</v>
      </c>
      <c r="K1585" s="56" t="n">
        <v>1019.9</v>
      </c>
      <c r="L1585" s="56" t="n">
        <v>0</v>
      </c>
      <c r="M1585" s="56" t="n">
        <v>56</v>
      </c>
      <c r="N1585" s="56" t="n">
        <v>14.8</v>
      </c>
      <c r="O1585" s="56" t="n">
        <f aca="false">IF(D1585=1,"",E1584)</f>
        <v>25.3</v>
      </c>
      <c r="P1585" s="56" t="n">
        <f aca="false">IF(OR(D1585=1,K1584=""),"",K1584)</f>
        <v>1022</v>
      </c>
      <c r="Q1585" s="56" t="n">
        <f aca="false">IF(OR(F1585&lt;&gt;0,AND(I1585&lt;&gt;"",E1585&lt;I1585)),1,0)</f>
        <v>0</v>
      </c>
      <c r="R1585" s="56" t="n">
        <f aca="false">IF(AND(D1585&gt;1,Q1585=0,ISNUMBER(O1585),ISNUMBER(P1585)),IF(Q1584=0,1,0),0)</f>
        <v>1</v>
      </c>
      <c r="S1585" s="56" t="n">
        <f aca="false">R1585*(B1585&gt;=Train_Start)*(B1585&lt;=Train_End)</f>
        <v>1</v>
      </c>
      <c r="T1585" s="84" t="n">
        <f aca="false">IF(AND(ISNUMBER(O1585),ISNUMBER(P1585)),Coef_A+Coef_B1*O1585+Coef_B2*P1585,"")</f>
        <v>24.8762893219121</v>
      </c>
      <c r="U1585" s="84" t="n">
        <f aca="false">IF(AND(R1585=1,ISNUMBER(T1585)),E1585-T1585,"")</f>
        <v>0.123710678087907</v>
      </c>
      <c r="V1585" s="84" t="n">
        <f aca="false">IF(ISNUMBER(T1585),T1585,-99)</f>
        <v>24.8762893219121</v>
      </c>
      <c r="W1585" s="84" t="n">
        <f aca="false">IF(ISNUMBER(U1585),ABS(U1585),"")</f>
        <v>0.123710678087907</v>
      </c>
    </row>
    <row r="1586" customFormat="false" ht="15" hidden="false" customHeight="false" outlineLevel="0" collapsed="false">
      <c r="A1586" s="57" t="n">
        <v>32683</v>
      </c>
      <c r="B1586" s="56" t="n">
        <v>1989</v>
      </c>
      <c r="C1586" s="56" t="n">
        <v>6</v>
      </c>
      <c r="D1586" s="56" t="n">
        <v>55</v>
      </c>
      <c r="E1586" s="56" t="n">
        <v>26.9</v>
      </c>
      <c r="F1586" s="56" t="n">
        <v>0</v>
      </c>
      <c r="G1586" s="56" t="n">
        <v>13</v>
      </c>
      <c r="H1586" s="56" t="n">
        <v>0</v>
      </c>
      <c r="I1586" s="56" t="n">
        <v>19</v>
      </c>
      <c r="J1586" s="56" t="n">
        <v>0</v>
      </c>
      <c r="K1586" s="56" t="n">
        <v>1017.8</v>
      </c>
      <c r="L1586" s="56" t="n">
        <v>0</v>
      </c>
      <c r="M1586" s="56" t="n">
        <v>50</v>
      </c>
      <c r="N1586" s="56" t="n">
        <v>13.8</v>
      </c>
      <c r="O1586" s="56" t="n">
        <f aca="false">IF(D1586=1,"",E1585)</f>
        <v>25</v>
      </c>
      <c r="P1586" s="56" t="n">
        <f aca="false">IF(OR(D1586=1,K1585=""),"",K1585)</f>
        <v>1019.9</v>
      </c>
      <c r="Q1586" s="56" t="n">
        <f aca="false">IF(OR(F1586&lt;&gt;0,AND(I1586&lt;&gt;"",E1586&lt;I1586)),1,0)</f>
        <v>0</v>
      </c>
      <c r="R1586" s="56" t="n">
        <f aca="false">IF(AND(D1586&gt;1,Q1586=0,ISNUMBER(O1586),ISNUMBER(P1586)),IF(Q1585=0,1,0),0)</f>
        <v>1</v>
      </c>
      <c r="S1586" s="56" t="n">
        <f aca="false">R1586*(B1586&gt;=Train_Start)*(B1586&lt;=Train_End)</f>
        <v>1</v>
      </c>
      <c r="T1586" s="84" t="n">
        <f aca="false">IF(AND(ISNUMBER(O1586),ISNUMBER(P1586)),Coef_A+Coef_B1*O1586+Coef_B2*P1586,"")</f>
        <v>24.5646107852679</v>
      </c>
      <c r="U1586" s="84" t="n">
        <f aca="false">IF(AND(R1586=1,ISNUMBER(T1586)),E1586-T1586,"")</f>
        <v>2.33538921473208</v>
      </c>
      <c r="V1586" s="84" t="n">
        <f aca="false">IF(ISNUMBER(T1586),T1586,-99)</f>
        <v>24.5646107852679</v>
      </c>
      <c r="W1586" s="84" t="n">
        <f aca="false">IF(ISNUMBER(U1586),ABS(U1586),"")</f>
        <v>2.33538921473208</v>
      </c>
    </row>
    <row r="1587" customFormat="false" ht="15" hidden="false" customHeight="false" outlineLevel="0" collapsed="false">
      <c r="A1587" s="57" t="n">
        <v>32684</v>
      </c>
      <c r="B1587" s="56" t="n">
        <v>1989</v>
      </c>
      <c r="C1587" s="56" t="n">
        <v>6</v>
      </c>
      <c r="D1587" s="56" t="n">
        <v>56</v>
      </c>
      <c r="E1587" s="56" t="n">
        <v>23.5</v>
      </c>
      <c r="F1587" s="56" t="n">
        <v>0</v>
      </c>
      <c r="G1587" s="56" t="n">
        <v>11.9</v>
      </c>
      <c r="H1587" s="56" t="n">
        <v>0</v>
      </c>
      <c r="I1587" s="56" t="n">
        <v>19.4</v>
      </c>
      <c r="J1587" s="56" t="n">
        <v>0</v>
      </c>
      <c r="K1587" s="56" t="n">
        <v>1013.6</v>
      </c>
      <c r="L1587" s="56" t="n">
        <v>0</v>
      </c>
      <c r="M1587" s="56" t="n">
        <v>55</v>
      </c>
      <c r="N1587" s="56" t="n">
        <v>15.2</v>
      </c>
      <c r="O1587" s="56" t="n">
        <f aca="false">IF(D1587=1,"",E1586)</f>
        <v>26.9</v>
      </c>
      <c r="P1587" s="56" t="n">
        <f aca="false">IF(OR(D1587=1,K1586=""),"",K1586)</f>
        <v>1017.8</v>
      </c>
      <c r="Q1587" s="56" t="n">
        <f aca="false">IF(OR(F1587&lt;&gt;0,AND(I1587&lt;&gt;"",E1587&lt;I1587)),1,0)</f>
        <v>0</v>
      </c>
      <c r="R1587" s="56" t="n">
        <f aca="false">IF(AND(D1587&gt;1,Q1587=0,ISNUMBER(O1587),ISNUMBER(P1587)),IF(Q1586=0,1,0),0)</f>
        <v>1</v>
      </c>
      <c r="S1587" s="56" t="n">
        <f aca="false">R1587*(B1587&gt;=Train_Start)*(B1587&lt;=Train_End)</f>
        <v>1</v>
      </c>
      <c r="T1587" s="84" t="n">
        <f aca="false">IF(AND(ISNUMBER(O1587),ISNUMBER(P1587)),Coef_A+Coef_B1*O1587+Coef_B2*P1587,"")</f>
        <v>26.0554784733176</v>
      </c>
      <c r="U1587" s="84" t="n">
        <f aca="false">IF(AND(R1587=1,ISNUMBER(T1587)),E1587-T1587,"")</f>
        <v>-2.55547847331759</v>
      </c>
      <c r="V1587" s="84" t="n">
        <f aca="false">IF(ISNUMBER(T1587),T1587,-99)</f>
        <v>26.0554784733176</v>
      </c>
      <c r="W1587" s="84" t="n">
        <f aca="false">IF(ISNUMBER(U1587),ABS(U1587),"")</f>
        <v>2.55547847331759</v>
      </c>
    </row>
    <row r="1588" customFormat="false" ht="15" hidden="false" customHeight="false" outlineLevel="0" collapsed="false">
      <c r="A1588" s="57" t="n">
        <v>32685</v>
      </c>
      <c r="B1588" s="56" t="n">
        <v>1989</v>
      </c>
      <c r="C1588" s="56" t="n">
        <v>6</v>
      </c>
      <c r="D1588" s="56" t="n">
        <v>57</v>
      </c>
      <c r="E1588" s="56" t="n">
        <v>19.7</v>
      </c>
      <c r="F1588" s="56" t="n">
        <v>0</v>
      </c>
      <c r="G1588" s="56" t="n">
        <v>13</v>
      </c>
      <c r="H1588" s="56" t="n">
        <v>0</v>
      </c>
      <c r="I1588" s="56" t="n">
        <v>18.2</v>
      </c>
      <c r="J1588" s="56" t="n">
        <v>0</v>
      </c>
      <c r="K1588" s="56" t="n">
        <v>1010.5</v>
      </c>
      <c r="L1588" s="56" t="n">
        <v>0</v>
      </c>
      <c r="M1588" s="56" t="n">
        <v>60</v>
      </c>
      <c r="N1588" s="56" t="n">
        <v>9.8</v>
      </c>
      <c r="O1588" s="56" t="n">
        <f aca="false">IF(D1588=1,"",E1587)</f>
        <v>23.5</v>
      </c>
      <c r="P1588" s="56" t="n">
        <f aca="false">IF(OR(D1588=1,K1587=""),"",K1587)</f>
        <v>1013.6</v>
      </c>
      <c r="Q1588" s="56" t="n">
        <f aca="false">IF(OR(F1588&lt;&gt;0,AND(I1588&lt;&gt;"",E1588&lt;I1588)),1,0)</f>
        <v>0</v>
      </c>
      <c r="R1588" s="56" t="n">
        <f aca="false">IF(AND(D1588&gt;1,Q1588=0,ISNUMBER(O1588),ISNUMBER(P1588)),IF(Q1587=0,1,0),0)</f>
        <v>1</v>
      </c>
      <c r="S1588" s="56" t="n">
        <f aca="false">R1588*(B1588&gt;=Train_Start)*(B1588&lt;=Train_End)</f>
        <v>1</v>
      </c>
      <c r="T1588" s="84" t="n">
        <f aca="false">IF(AND(ISNUMBER(O1588),ISNUMBER(P1588)),Coef_A+Coef_B1*O1588+Coef_B2*P1588,"")</f>
        <v>23.1379716595098</v>
      </c>
      <c r="U1588" s="84" t="n">
        <f aca="false">IF(AND(R1588=1,ISNUMBER(T1588)),E1588-T1588,"")</f>
        <v>-3.4379716595098</v>
      </c>
      <c r="V1588" s="84" t="n">
        <f aca="false">IF(ISNUMBER(T1588),T1588,-99)</f>
        <v>23.1379716595098</v>
      </c>
      <c r="W1588" s="84" t="n">
        <f aca="false">IF(ISNUMBER(U1588),ABS(U1588),"")</f>
        <v>3.4379716595098</v>
      </c>
    </row>
    <row r="1589" customFormat="false" ht="15" hidden="false" customHeight="false" outlineLevel="0" collapsed="false">
      <c r="A1589" s="57" t="n">
        <v>32686</v>
      </c>
      <c r="B1589" s="56" t="n">
        <v>1989</v>
      </c>
      <c r="C1589" s="56" t="n">
        <v>6</v>
      </c>
      <c r="D1589" s="56" t="n">
        <v>58</v>
      </c>
      <c r="E1589" s="56" t="n">
        <v>18.7</v>
      </c>
      <c r="F1589" s="56" t="n">
        <v>0</v>
      </c>
      <c r="G1589" s="56" t="n">
        <v>13.4</v>
      </c>
      <c r="H1589" s="56" t="n">
        <v>0</v>
      </c>
      <c r="I1589" s="56" t="n">
        <v>16.6</v>
      </c>
      <c r="J1589" s="56" t="n">
        <v>0</v>
      </c>
      <c r="K1589" s="56" t="n">
        <v>1006</v>
      </c>
      <c r="L1589" s="56" t="n">
        <v>0</v>
      </c>
      <c r="M1589" s="56" t="n">
        <v>70</v>
      </c>
      <c r="N1589" s="56" t="n">
        <v>5.6</v>
      </c>
      <c r="O1589" s="56" t="n">
        <f aca="false">IF(D1589=1,"",E1588)</f>
        <v>19.7</v>
      </c>
      <c r="P1589" s="56" t="n">
        <f aca="false">IF(OR(D1589=1,K1588=""),"",K1588)</f>
        <v>1010.5</v>
      </c>
      <c r="Q1589" s="56" t="n">
        <f aca="false">IF(OR(F1589&lt;&gt;0,AND(I1589&lt;&gt;"",E1589&lt;I1589)),1,0)</f>
        <v>0</v>
      </c>
      <c r="R1589" s="56" t="n">
        <f aca="false">IF(AND(D1589&gt;1,Q1589=0,ISNUMBER(O1589),ISNUMBER(P1589)),IF(Q1588=0,1,0),0)</f>
        <v>1</v>
      </c>
      <c r="S1589" s="56" t="n">
        <f aca="false">R1589*(B1589&gt;=Train_Start)*(B1589&lt;=Train_End)</f>
        <v>1</v>
      </c>
      <c r="T1589" s="84" t="n">
        <f aca="false">IF(AND(ISNUMBER(O1589),ISNUMBER(P1589)),Coef_A+Coef_B1*O1589+Coef_B2*P1589,"")</f>
        <v>19.9272360525823</v>
      </c>
      <c r="U1589" s="84" t="n">
        <f aca="false">IF(AND(R1589=1,ISNUMBER(T1589)),E1589-T1589,"")</f>
        <v>-1.22723605258233</v>
      </c>
      <c r="V1589" s="84" t="n">
        <f aca="false">IF(ISNUMBER(T1589),T1589,-99)</f>
        <v>19.9272360525823</v>
      </c>
      <c r="W1589" s="84" t="n">
        <f aca="false">IF(ISNUMBER(U1589),ABS(U1589),"")</f>
        <v>1.22723605258233</v>
      </c>
    </row>
    <row r="1590" customFormat="false" ht="15" hidden="false" customHeight="false" outlineLevel="0" collapsed="false">
      <c r="A1590" s="57" t="n">
        <v>32687</v>
      </c>
      <c r="B1590" s="56" t="n">
        <v>1989</v>
      </c>
      <c r="C1590" s="56" t="n">
        <v>6</v>
      </c>
      <c r="D1590" s="56" t="n">
        <v>59</v>
      </c>
      <c r="E1590" s="56" t="n">
        <v>19</v>
      </c>
      <c r="F1590" s="56" t="n">
        <v>0</v>
      </c>
      <c r="G1590" s="56" t="n">
        <v>8.8</v>
      </c>
      <c r="H1590" s="56" t="n">
        <v>0</v>
      </c>
      <c r="I1590" s="56" t="n">
        <v>13.8</v>
      </c>
      <c r="J1590" s="56" t="n">
        <v>0</v>
      </c>
      <c r="K1590" s="56" t="n">
        <v>1013.9</v>
      </c>
      <c r="L1590" s="56" t="n">
        <v>0</v>
      </c>
      <c r="M1590" s="56" t="n">
        <v>72</v>
      </c>
      <c r="N1590" s="56" t="n">
        <v>5.7</v>
      </c>
      <c r="O1590" s="56" t="n">
        <f aca="false">IF(D1590=1,"",E1589)</f>
        <v>18.7</v>
      </c>
      <c r="P1590" s="56" t="n">
        <f aca="false">IF(OR(D1590=1,K1589=""),"",K1589)</f>
        <v>1006</v>
      </c>
      <c r="Q1590" s="56" t="n">
        <f aca="false">IF(OR(F1590&lt;&gt;0,AND(I1590&lt;&gt;"",E1590&lt;I1590)),1,0)</f>
        <v>0</v>
      </c>
      <c r="R1590" s="56" t="n">
        <f aca="false">IF(AND(D1590&gt;1,Q1590=0,ISNUMBER(O1590),ISNUMBER(P1590)),IF(Q1589=0,1,0),0)</f>
        <v>1</v>
      </c>
      <c r="S1590" s="56" t="n">
        <f aca="false">R1590*(B1590&gt;=Train_Start)*(B1590&lt;=Train_End)</f>
        <v>1</v>
      </c>
      <c r="T1590" s="84" t="n">
        <f aca="false">IF(AND(ISNUMBER(O1590),ISNUMBER(P1590)),Coef_A+Coef_B1*O1590+Coef_B2*P1590,"")</f>
        <v>18.9667323336867</v>
      </c>
      <c r="U1590" s="84" t="n">
        <f aca="false">IF(AND(R1590=1,ISNUMBER(T1590)),E1590-T1590,"")</f>
        <v>0.0332676663132787</v>
      </c>
      <c r="V1590" s="84" t="n">
        <f aca="false">IF(ISNUMBER(T1590),T1590,-99)</f>
        <v>18.9667323336867</v>
      </c>
      <c r="W1590" s="84" t="n">
        <f aca="false">IF(ISNUMBER(U1590),ABS(U1590),"")</f>
        <v>0.0332676663132787</v>
      </c>
    </row>
    <row r="1591" customFormat="false" ht="15" hidden="false" customHeight="false" outlineLevel="0" collapsed="false">
      <c r="A1591" s="57" t="n">
        <v>32688</v>
      </c>
      <c r="B1591" s="56" t="n">
        <v>1989</v>
      </c>
      <c r="C1591" s="56" t="n">
        <v>6</v>
      </c>
      <c r="D1591" s="56" t="n">
        <v>60</v>
      </c>
      <c r="E1591" s="56" t="n">
        <v>21.3</v>
      </c>
      <c r="F1591" s="56" t="n">
        <v>0</v>
      </c>
      <c r="G1591" s="56" t="n">
        <v>11.7</v>
      </c>
      <c r="H1591" s="56" t="n">
        <v>0</v>
      </c>
      <c r="I1591" s="56" t="n">
        <v>15.4</v>
      </c>
      <c r="J1591" s="56" t="n">
        <v>0</v>
      </c>
      <c r="K1591" s="56" t="n">
        <v>1012.1</v>
      </c>
      <c r="L1591" s="56" t="n">
        <v>0</v>
      </c>
      <c r="M1591" s="56" t="n">
        <v>76</v>
      </c>
      <c r="N1591" s="56" t="n">
        <v>5.4</v>
      </c>
      <c r="O1591" s="56" t="n">
        <f aca="false">IF(D1591=1,"",E1590)</f>
        <v>19</v>
      </c>
      <c r="P1591" s="56" t="n">
        <f aca="false">IF(OR(D1591=1,K1590=""),"",K1590)</f>
        <v>1013.9</v>
      </c>
      <c r="Q1591" s="56" t="n">
        <f aca="false">IF(OR(F1591&lt;&gt;0,AND(I1591&lt;&gt;"",E1591&lt;I1591)),1,0)</f>
        <v>0</v>
      </c>
      <c r="R1591" s="56" t="n">
        <f aca="false">IF(AND(D1591&gt;1,Q1591=0,ISNUMBER(O1591),ISNUMBER(P1591)),IF(Q1590=0,1,0),0)</f>
        <v>1</v>
      </c>
      <c r="S1591" s="56" t="n">
        <f aca="false">R1591*(B1591&gt;=Train_Start)*(B1591&lt;=Train_End)</f>
        <v>1</v>
      </c>
      <c r="T1591" s="84" t="n">
        <f aca="false">IF(AND(ISNUMBER(O1591),ISNUMBER(P1591)),Coef_A+Coef_B1*O1591+Coef_B2*P1591,"")</f>
        <v>19.460356259208</v>
      </c>
      <c r="U1591" s="84" t="n">
        <f aca="false">IF(AND(R1591=1,ISNUMBER(T1591)),E1591-T1591,"")</f>
        <v>1.83964374079197</v>
      </c>
      <c r="V1591" s="84" t="n">
        <f aca="false">IF(ISNUMBER(T1591),T1591,-99)</f>
        <v>19.460356259208</v>
      </c>
      <c r="W1591" s="84" t="n">
        <f aca="false">IF(ISNUMBER(U1591),ABS(U1591),"")</f>
        <v>1.83964374079197</v>
      </c>
    </row>
    <row r="1592" customFormat="false" ht="15" hidden="false" customHeight="false" outlineLevel="0" collapsed="false">
      <c r="A1592" s="57" t="n">
        <v>32689</v>
      </c>
      <c r="B1592" s="56" t="n">
        <v>1989</v>
      </c>
      <c r="C1592" s="56" t="n">
        <v>6</v>
      </c>
      <c r="D1592" s="56" t="n">
        <v>61</v>
      </c>
      <c r="E1592" s="56" t="n">
        <v>22.3</v>
      </c>
      <c r="F1592" s="56" t="n">
        <v>0</v>
      </c>
      <c r="G1592" s="56" t="n">
        <v>10.3</v>
      </c>
      <c r="H1592" s="56" t="n">
        <v>0</v>
      </c>
      <c r="I1592" s="56" t="n">
        <v>15.8</v>
      </c>
      <c r="J1592" s="56" t="n">
        <v>0</v>
      </c>
      <c r="K1592" s="56" t="n">
        <v>1015.2</v>
      </c>
      <c r="L1592" s="56" t="n">
        <v>0</v>
      </c>
      <c r="M1592" s="56" t="n">
        <v>66</v>
      </c>
      <c r="N1592" s="56" t="n">
        <v>7.3</v>
      </c>
      <c r="O1592" s="56" t="n">
        <f aca="false">IF(D1592=1,"",E1591)</f>
        <v>21.3</v>
      </c>
      <c r="P1592" s="56" t="n">
        <f aca="false">IF(OR(D1592=1,K1591=""),"",K1591)</f>
        <v>1012.1</v>
      </c>
      <c r="Q1592" s="56" t="n">
        <f aca="false">IF(OR(F1592&lt;&gt;0,AND(I1592&lt;&gt;"",E1592&lt;I1592)),1,0)</f>
        <v>0</v>
      </c>
      <c r="R1592" s="56" t="n">
        <f aca="false">IF(AND(D1592&gt;1,Q1592=0,ISNUMBER(O1592),ISNUMBER(P1592)),IF(Q1591=0,1,0),0)</f>
        <v>1</v>
      </c>
      <c r="S1592" s="56" t="n">
        <f aca="false">R1592*(B1592&gt;=Train_Start)*(B1592&lt;=Train_End)</f>
        <v>1</v>
      </c>
      <c r="T1592" s="84" t="n">
        <f aca="false">IF(AND(ISNUMBER(O1592),ISNUMBER(P1592)),Coef_A+Coef_B1*O1592+Coef_B2*P1592,"")</f>
        <v>21.288370592865</v>
      </c>
      <c r="U1592" s="84" t="n">
        <f aca="false">IF(AND(R1592=1,ISNUMBER(T1592)),E1592-T1592,"")</f>
        <v>1.01162940713503</v>
      </c>
      <c r="V1592" s="84" t="n">
        <f aca="false">IF(ISNUMBER(T1592),T1592,-99)</f>
        <v>21.288370592865</v>
      </c>
      <c r="W1592" s="84" t="n">
        <f aca="false">IF(ISNUMBER(U1592),ABS(U1592),"")</f>
        <v>1.01162940713503</v>
      </c>
    </row>
    <row r="1593" customFormat="false" ht="15" hidden="false" customHeight="false" outlineLevel="0" collapsed="false">
      <c r="A1593" s="57" t="n">
        <v>32690</v>
      </c>
      <c r="B1593" s="56" t="n">
        <v>1989</v>
      </c>
      <c r="C1593" s="56" t="n">
        <v>7</v>
      </c>
      <c r="D1593" s="56" t="n">
        <v>62</v>
      </c>
      <c r="E1593" s="56" t="n">
        <v>20.1</v>
      </c>
      <c r="F1593" s="56" t="n">
        <v>0</v>
      </c>
      <c r="G1593" s="56" t="n">
        <v>14.6</v>
      </c>
      <c r="H1593" s="56" t="n">
        <v>0</v>
      </c>
      <c r="I1593" s="56" t="n">
        <v>18.4</v>
      </c>
      <c r="J1593" s="56" t="n">
        <v>0</v>
      </c>
      <c r="K1593" s="56" t="n">
        <v>1009.7</v>
      </c>
      <c r="L1593" s="56" t="n">
        <v>0</v>
      </c>
      <c r="M1593" s="56" t="n">
        <v>74</v>
      </c>
      <c r="N1593" s="56" t="n">
        <v>2.7</v>
      </c>
      <c r="O1593" s="56" t="n">
        <f aca="false">IF(D1593=1,"",E1592)</f>
        <v>22.3</v>
      </c>
      <c r="P1593" s="56" t="n">
        <f aca="false">IF(OR(D1593=1,K1592=""),"",K1592)</f>
        <v>1015.2</v>
      </c>
      <c r="Q1593" s="56" t="n">
        <f aca="false">IF(OR(F1593&lt;&gt;0,AND(I1593&lt;&gt;"",E1593&lt;I1593)),1,0)</f>
        <v>0</v>
      </c>
      <c r="R1593" s="56" t="n">
        <f aca="false">IF(AND(D1593&gt;1,Q1593=0,ISNUMBER(O1593),ISNUMBER(P1593)),IF(Q1592=0,1,0),0)</f>
        <v>1</v>
      </c>
      <c r="S1593" s="56" t="n">
        <f aca="false">R1593*(B1593&gt;=Train_Start)*(B1593&lt;=Train_End)</f>
        <v>1</v>
      </c>
      <c r="T1593" s="84" t="n">
        <f aca="false">IF(AND(ISNUMBER(O1593),ISNUMBER(P1593)),Coef_A+Coef_B1*O1593+Coef_B2*P1593,"")</f>
        <v>22.204956459273</v>
      </c>
      <c r="U1593" s="84" t="n">
        <f aca="false">IF(AND(R1593=1,ISNUMBER(T1593)),E1593-T1593,"")</f>
        <v>-2.10495645927299</v>
      </c>
      <c r="V1593" s="84" t="n">
        <f aca="false">IF(ISNUMBER(T1593),T1593,-99)</f>
        <v>22.204956459273</v>
      </c>
      <c r="W1593" s="84" t="n">
        <f aca="false">IF(ISNUMBER(U1593),ABS(U1593),"")</f>
        <v>2.10495645927299</v>
      </c>
    </row>
    <row r="1594" customFormat="false" ht="15" hidden="false" customHeight="false" outlineLevel="0" collapsed="false">
      <c r="A1594" s="57" t="n">
        <v>32691</v>
      </c>
      <c r="B1594" s="56" t="n">
        <v>1989</v>
      </c>
      <c r="C1594" s="56" t="n">
        <v>7</v>
      </c>
      <c r="D1594" s="56" t="n">
        <v>63</v>
      </c>
      <c r="E1594" s="56" t="n">
        <v>24.4</v>
      </c>
      <c r="F1594" s="56" t="n">
        <v>0</v>
      </c>
      <c r="G1594" s="56" t="n">
        <v>10.7</v>
      </c>
      <c r="H1594" s="56" t="n">
        <v>0</v>
      </c>
      <c r="I1594" s="56" t="n">
        <v>15.4</v>
      </c>
      <c r="J1594" s="56" t="n">
        <v>0</v>
      </c>
      <c r="K1594" s="56" t="n">
        <v>1022.5</v>
      </c>
      <c r="L1594" s="56" t="n">
        <v>0</v>
      </c>
      <c r="M1594" s="56" t="n">
        <v>64</v>
      </c>
      <c r="N1594" s="56" t="n">
        <v>9.1</v>
      </c>
      <c r="O1594" s="56" t="n">
        <f aca="false">IF(D1594=1,"",E1593)</f>
        <v>20.1</v>
      </c>
      <c r="P1594" s="56" t="n">
        <f aca="false">IF(OR(D1594=1,K1593=""),"",K1593)</f>
        <v>1009.7</v>
      </c>
      <c r="Q1594" s="56" t="n">
        <f aca="false">IF(OR(F1594&lt;&gt;0,AND(I1594&lt;&gt;"",E1594&lt;I1594)),1,0)</f>
        <v>0</v>
      </c>
      <c r="R1594" s="56" t="n">
        <f aca="false">IF(AND(D1594&gt;1,Q1594=0,ISNUMBER(O1594),ISNUMBER(P1594)),IF(Q1593=0,1,0),0)</f>
        <v>1</v>
      </c>
      <c r="S1594" s="56" t="n">
        <f aca="false">R1594*(B1594&gt;=Train_Start)*(B1594&lt;=Train_End)</f>
        <v>1</v>
      </c>
      <c r="T1594" s="84" t="n">
        <f aca="false">IF(AND(ISNUMBER(O1594),ISNUMBER(P1594)),Coef_A+Coef_B1*O1594+Coef_B2*P1594,"")</f>
        <v>20.2298758140922</v>
      </c>
      <c r="U1594" s="84" t="n">
        <f aca="false">IF(AND(R1594=1,ISNUMBER(T1594)),E1594-T1594,"")</f>
        <v>4.17012418590779</v>
      </c>
      <c r="V1594" s="84" t="n">
        <f aca="false">IF(ISNUMBER(T1594),T1594,-99)</f>
        <v>20.2298758140922</v>
      </c>
      <c r="W1594" s="84" t="n">
        <f aca="false">IF(ISNUMBER(U1594),ABS(U1594),"")</f>
        <v>4.17012418590779</v>
      </c>
    </row>
    <row r="1595" customFormat="false" ht="15" hidden="false" customHeight="false" outlineLevel="0" collapsed="false">
      <c r="A1595" s="57" t="n">
        <v>32692</v>
      </c>
      <c r="B1595" s="56" t="n">
        <v>1989</v>
      </c>
      <c r="C1595" s="56" t="n">
        <v>7</v>
      </c>
      <c r="D1595" s="56" t="n">
        <v>64</v>
      </c>
      <c r="E1595" s="56" t="n">
        <v>25.5</v>
      </c>
      <c r="F1595" s="56" t="n">
        <v>0</v>
      </c>
      <c r="G1595" s="56" t="n">
        <v>10.6</v>
      </c>
      <c r="H1595" s="56" t="n">
        <v>0</v>
      </c>
      <c r="I1595" s="56" t="n">
        <v>17.5</v>
      </c>
      <c r="J1595" s="56" t="n">
        <v>0</v>
      </c>
      <c r="K1595" s="56" t="n">
        <v>1026.9</v>
      </c>
      <c r="L1595" s="56" t="n">
        <v>0</v>
      </c>
      <c r="M1595" s="56" t="n">
        <v>61</v>
      </c>
      <c r="N1595" s="56" t="n">
        <v>14.5</v>
      </c>
      <c r="O1595" s="56" t="n">
        <f aca="false">IF(D1595=1,"",E1594)</f>
        <v>24.4</v>
      </c>
      <c r="P1595" s="56" t="n">
        <f aca="false">IF(OR(D1595=1,K1594=""),"",K1594)</f>
        <v>1022.5</v>
      </c>
      <c r="Q1595" s="56" t="n">
        <f aca="false">IF(OR(F1595&lt;&gt;0,AND(I1595&lt;&gt;"",E1595&lt;I1595)),1,0)</f>
        <v>0</v>
      </c>
      <c r="R1595" s="56" t="n">
        <f aca="false">IF(AND(D1595&gt;1,Q1595=0,ISNUMBER(O1595),ISNUMBER(P1595)),IF(Q1594=0,1,0),0)</f>
        <v>1</v>
      </c>
      <c r="S1595" s="56" t="n">
        <f aca="false">R1595*(B1595&gt;=Train_Start)*(B1595&lt;=Train_End)</f>
        <v>1</v>
      </c>
      <c r="T1595" s="84" t="n">
        <f aca="false">IF(AND(ISNUMBER(O1595),ISNUMBER(P1595)),Coef_A+Coef_B1*O1595+Coef_B2*P1595,"")</f>
        <v>24.1545689954907</v>
      </c>
      <c r="U1595" s="84" t="n">
        <f aca="false">IF(AND(R1595=1,ISNUMBER(T1595)),E1595-T1595,"")</f>
        <v>1.3454310045093</v>
      </c>
      <c r="V1595" s="84" t="n">
        <f aca="false">IF(ISNUMBER(T1595),T1595,-99)</f>
        <v>24.1545689954907</v>
      </c>
      <c r="W1595" s="84" t="n">
        <f aca="false">IF(ISNUMBER(U1595),ABS(U1595),"")</f>
        <v>1.3454310045093</v>
      </c>
    </row>
    <row r="1596" customFormat="false" ht="15" hidden="false" customHeight="false" outlineLevel="0" collapsed="false">
      <c r="A1596" s="57" t="n">
        <v>32693</v>
      </c>
      <c r="B1596" s="56" t="n">
        <v>1989</v>
      </c>
      <c r="C1596" s="56" t="n">
        <v>7</v>
      </c>
      <c r="D1596" s="56" t="n">
        <v>65</v>
      </c>
      <c r="E1596" s="56" t="n">
        <v>28.6</v>
      </c>
      <c r="F1596" s="56" t="n">
        <v>0</v>
      </c>
      <c r="G1596" s="56" t="n">
        <v>11.7</v>
      </c>
      <c r="H1596" s="56" t="n">
        <v>0</v>
      </c>
      <c r="I1596" s="56" t="n">
        <v>18.6</v>
      </c>
      <c r="J1596" s="56" t="n">
        <v>0</v>
      </c>
      <c r="K1596" s="56" t="n">
        <v>1026.2</v>
      </c>
      <c r="L1596" s="56" t="n">
        <v>0</v>
      </c>
      <c r="M1596" s="56" t="n">
        <v>51</v>
      </c>
      <c r="N1596" s="56" t="n">
        <v>15.6</v>
      </c>
      <c r="O1596" s="56" t="n">
        <f aca="false">IF(D1596=1,"",E1595)</f>
        <v>25.5</v>
      </c>
      <c r="P1596" s="56" t="n">
        <f aca="false">IF(OR(D1596=1,K1595=""),"",K1595)</f>
        <v>1026.9</v>
      </c>
      <c r="Q1596" s="56" t="n">
        <f aca="false">IF(OR(F1596&lt;&gt;0,AND(I1596&lt;&gt;"",E1596&lt;I1596)),1,0)</f>
        <v>0</v>
      </c>
      <c r="R1596" s="56" t="n">
        <f aca="false">IF(AND(D1596&gt;1,Q1596=0,ISNUMBER(O1596),ISNUMBER(P1596)),IF(Q1595=0,1,0),0)</f>
        <v>1</v>
      </c>
      <c r="S1596" s="56" t="n">
        <f aca="false">R1596*(B1596&gt;=Train_Start)*(B1596&lt;=Train_End)</f>
        <v>1</v>
      </c>
      <c r="T1596" s="84" t="n">
        <f aca="false">IF(AND(ISNUMBER(O1596),ISNUMBER(P1596)),Coef_A+Coef_B1*O1596+Coef_B2*P1596,"")</f>
        <v>25.1938696442272</v>
      </c>
      <c r="U1596" s="84" t="n">
        <f aca="false">IF(AND(R1596=1,ISNUMBER(T1596)),E1596-T1596,"")</f>
        <v>3.40613035577283</v>
      </c>
      <c r="V1596" s="84" t="n">
        <f aca="false">IF(ISNUMBER(T1596),T1596,-99)</f>
        <v>25.1938696442272</v>
      </c>
      <c r="W1596" s="84" t="n">
        <f aca="false">IF(ISNUMBER(U1596),ABS(U1596),"")</f>
        <v>3.40613035577283</v>
      </c>
    </row>
    <row r="1597" customFormat="false" ht="15" hidden="false" customHeight="false" outlineLevel="0" collapsed="false">
      <c r="A1597" s="57" t="n">
        <v>32694</v>
      </c>
      <c r="B1597" s="56" t="n">
        <v>1989</v>
      </c>
      <c r="C1597" s="56" t="n">
        <v>7</v>
      </c>
      <c r="D1597" s="56" t="n">
        <v>66</v>
      </c>
      <c r="E1597" s="56" t="n">
        <v>31</v>
      </c>
      <c r="F1597" s="56" t="n">
        <v>0</v>
      </c>
      <c r="G1597" s="56" t="n">
        <v>14</v>
      </c>
      <c r="H1597" s="56" t="n">
        <v>0</v>
      </c>
      <c r="I1597" s="56" t="n">
        <v>21.3</v>
      </c>
      <c r="J1597" s="56" t="n">
        <v>0</v>
      </c>
      <c r="K1597" s="56" t="n">
        <v>1023.9</v>
      </c>
      <c r="L1597" s="56" t="n">
        <v>0</v>
      </c>
      <c r="M1597" s="56" t="n">
        <v>60</v>
      </c>
      <c r="N1597" s="56" t="n">
        <v>12.5</v>
      </c>
      <c r="O1597" s="56" t="n">
        <f aca="false">IF(D1597=1,"",E1596)</f>
        <v>28.6</v>
      </c>
      <c r="P1597" s="56" t="n">
        <f aca="false">IF(OR(D1597=1,K1596=""),"",K1596)</f>
        <v>1026.2</v>
      </c>
      <c r="Q1597" s="56" t="n">
        <f aca="false">IF(OR(F1597&lt;&gt;0,AND(I1597&lt;&gt;"",E1597&lt;I1597)),1,0)</f>
        <v>0</v>
      </c>
      <c r="R1597" s="56" t="n">
        <f aca="false">IF(AND(D1597&gt;1,Q1597=0,ISNUMBER(O1597),ISNUMBER(P1597)),IF(Q1596=0,1,0),0)</f>
        <v>1</v>
      </c>
      <c r="S1597" s="56" t="n">
        <f aca="false">R1597*(B1597&gt;=Train_Start)*(B1597&lt;=Train_End)</f>
        <v>1</v>
      </c>
      <c r="T1597" s="84" t="n">
        <f aca="false">IF(AND(ISNUMBER(O1597),ISNUMBER(P1597)),Coef_A+Coef_B1*O1597+Coef_B2*P1597,"")</f>
        <v>27.7118622164156</v>
      </c>
      <c r="U1597" s="84" t="n">
        <f aca="false">IF(AND(R1597=1,ISNUMBER(T1597)),E1597-T1597,"")</f>
        <v>3.28813778358438</v>
      </c>
      <c r="V1597" s="84" t="n">
        <f aca="false">IF(ISNUMBER(T1597),T1597,-99)</f>
        <v>27.7118622164156</v>
      </c>
      <c r="W1597" s="84" t="n">
        <f aca="false">IF(ISNUMBER(U1597),ABS(U1597),"")</f>
        <v>3.28813778358438</v>
      </c>
    </row>
    <row r="1598" customFormat="false" ht="15" hidden="false" customHeight="false" outlineLevel="0" collapsed="false">
      <c r="A1598" s="57" t="n">
        <v>32695</v>
      </c>
      <c r="B1598" s="56" t="n">
        <v>1989</v>
      </c>
      <c r="C1598" s="56" t="n">
        <v>7</v>
      </c>
      <c r="D1598" s="56" t="n">
        <v>67</v>
      </c>
      <c r="E1598" s="56" t="n">
        <v>21</v>
      </c>
      <c r="F1598" s="56" t="n">
        <v>1</v>
      </c>
      <c r="G1598" s="56" t="n">
        <v>16.8</v>
      </c>
      <c r="H1598" s="56" t="n">
        <v>0</v>
      </c>
      <c r="I1598" s="56" t="n">
        <v>23.9</v>
      </c>
      <c r="J1598" s="56" t="n">
        <v>1</v>
      </c>
      <c r="K1598" s="56" t="n">
        <v>1018</v>
      </c>
      <c r="L1598" s="56" t="n">
        <v>0</v>
      </c>
      <c r="M1598" s="56" t="n">
        <v>65</v>
      </c>
      <c r="N1598" s="56" t="n">
        <v>8.2</v>
      </c>
      <c r="O1598" s="56" t="n">
        <f aca="false">IF(D1598=1,"",E1597)</f>
        <v>31</v>
      </c>
      <c r="P1598" s="56" t="n">
        <f aca="false">IF(OR(D1598=1,K1597=""),"",K1597)</f>
        <v>1023.9</v>
      </c>
      <c r="Q1598" s="56" t="n">
        <f aca="false">IF(OR(F1598&lt;&gt;0,AND(I1598&lt;&gt;"",E1598&lt;I1598)),1,0)</f>
        <v>1</v>
      </c>
      <c r="R1598" s="56" t="n">
        <f aca="false">IF(AND(D1598&gt;1,Q1598=0,ISNUMBER(O1598),ISNUMBER(P1598)),IF(Q1597=0,1,0),0)</f>
        <v>0</v>
      </c>
      <c r="S1598" s="56" t="n">
        <f aca="false">R1598*(B1598&gt;=Train_Start)*(B1598&lt;=Train_End)</f>
        <v>0</v>
      </c>
      <c r="T1598" s="84" t="n">
        <f aca="false">IF(AND(ISNUMBER(O1598),ISNUMBER(P1598)),Coef_A+Coef_B1*O1598+Coef_B2*P1598,"")</f>
        <v>29.6061255220598</v>
      </c>
      <c r="U1598" s="84" t="str">
        <f aca="false">IF(AND(R1598=1,ISNUMBER(T1598)),E1598-T1598,"")</f>
        <v/>
      </c>
      <c r="V1598" s="84" t="n">
        <f aca="false">IF(ISNUMBER(T1598),T1598,-99)</f>
        <v>29.6061255220598</v>
      </c>
      <c r="W1598" s="84" t="str">
        <f aca="false">IF(ISNUMBER(U1598),ABS(U1598),"")</f>
        <v/>
      </c>
    </row>
    <row r="1599" customFormat="false" ht="15" hidden="false" customHeight="false" outlineLevel="0" collapsed="false">
      <c r="A1599" s="57" t="n">
        <v>32696</v>
      </c>
      <c r="B1599" s="56" t="n">
        <v>1989</v>
      </c>
      <c r="C1599" s="56" t="n">
        <v>7</v>
      </c>
      <c r="D1599" s="56" t="n">
        <v>68</v>
      </c>
      <c r="E1599" s="56" t="n">
        <v>24.6</v>
      </c>
      <c r="F1599" s="56" t="n">
        <v>0</v>
      </c>
      <c r="G1599" s="56" t="n">
        <v>18.2</v>
      </c>
      <c r="H1599" s="56" t="n">
        <v>0</v>
      </c>
      <c r="I1599" s="56" t="n">
        <v>19.6</v>
      </c>
      <c r="J1599" s="56" t="n">
        <v>0</v>
      </c>
      <c r="K1599" s="56" t="n">
        <v>1010.4</v>
      </c>
      <c r="L1599" s="56" t="n">
        <v>0</v>
      </c>
      <c r="M1599" s="56" t="n">
        <v>89</v>
      </c>
      <c r="N1599" s="56" t="n">
        <v>0</v>
      </c>
      <c r="O1599" s="56" t="n">
        <f aca="false">IF(D1599=1,"",E1598)</f>
        <v>21</v>
      </c>
      <c r="P1599" s="56" t="n">
        <f aca="false">IF(OR(D1599=1,K1598=""),"",K1598)</f>
        <v>1018</v>
      </c>
      <c r="Q1599" s="56" t="n">
        <f aca="false">IF(OR(F1599&lt;&gt;0,AND(I1599&lt;&gt;"",E1599&lt;I1599)),1,0)</f>
        <v>0</v>
      </c>
      <c r="R1599" s="56" t="n">
        <f aca="false">IF(AND(D1599&gt;1,Q1599=0,ISNUMBER(O1599),ISNUMBER(P1599)),IF(Q1598=0,1,0),0)</f>
        <v>0</v>
      </c>
      <c r="S1599" s="56" t="n">
        <f aca="false">R1599*(B1599&gt;=Train_Start)*(B1599&lt;=Train_End)</f>
        <v>0</v>
      </c>
      <c r="T1599" s="84" t="n">
        <f aca="false">IF(AND(ISNUMBER(O1599),ISNUMBER(P1599)),Coef_A+Coef_B1*O1599+Coef_B2*P1599,"")</f>
        <v>21.2276512132927</v>
      </c>
      <c r="U1599" s="84" t="str">
        <f aca="false">IF(AND(R1599=1,ISNUMBER(T1599)),E1599-T1599,"")</f>
        <v/>
      </c>
      <c r="V1599" s="84" t="n">
        <f aca="false">IF(ISNUMBER(T1599),T1599,-99)</f>
        <v>21.2276512132927</v>
      </c>
      <c r="W1599" s="84" t="str">
        <f aca="false">IF(ISNUMBER(U1599),ABS(U1599),"")</f>
        <v/>
      </c>
    </row>
    <row r="1600" customFormat="false" ht="15" hidden="false" customHeight="false" outlineLevel="0" collapsed="false">
      <c r="A1600" s="57" t="n">
        <v>32697</v>
      </c>
      <c r="B1600" s="56" t="n">
        <v>1989</v>
      </c>
      <c r="C1600" s="56" t="n">
        <v>7</v>
      </c>
      <c r="D1600" s="56" t="n">
        <v>69</v>
      </c>
      <c r="E1600" s="56" t="n">
        <v>18.3</v>
      </c>
      <c r="F1600" s="56" t="n">
        <v>1</v>
      </c>
      <c r="G1600" s="56" t="n">
        <v>15.8</v>
      </c>
      <c r="H1600" s="56" t="n">
        <v>0</v>
      </c>
      <c r="I1600" s="56" t="n">
        <v>20.2</v>
      </c>
      <c r="J1600" s="56" t="n">
        <v>1</v>
      </c>
      <c r="K1600" s="56" t="n">
        <v>1013.1</v>
      </c>
      <c r="L1600" s="56" t="n">
        <v>0</v>
      </c>
      <c r="M1600" s="56" t="n">
        <v>83</v>
      </c>
      <c r="N1600" s="56" t="n">
        <v>1.8</v>
      </c>
      <c r="O1600" s="56" t="n">
        <f aca="false">IF(D1600=1,"",E1599)</f>
        <v>24.6</v>
      </c>
      <c r="P1600" s="56" t="n">
        <f aca="false">IF(OR(D1600=1,K1599=""),"",K1599)</f>
        <v>1010.4</v>
      </c>
      <c r="Q1600" s="56" t="n">
        <f aca="false">IF(OR(F1600&lt;&gt;0,AND(I1600&lt;&gt;"",E1600&lt;I1600)),1,0)</f>
        <v>1</v>
      </c>
      <c r="R1600" s="56" t="n">
        <f aca="false">IF(AND(D1600&gt;1,Q1600=0,ISNUMBER(O1600),ISNUMBER(P1600)),IF(Q1599=0,1,0),0)</f>
        <v>0</v>
      </c>
      <c r="S1600" s="56" t="n">
        <f aca="false">R1600*(B1600&gt;=Train_Start)*(B1600&lt;=Train_End)</f>
        <v>0</v>
      </c>
      <c r="T1600" s="84" t="n">
        <f aca="false">IF(AND(ISNUMBER(O1600),ISNUMBER(P1600)),Coef_A+Coef_B1*O1600+Coef_B2*P1600,"")</f>
        <v>23.938861109028</v>
      </c>
      <c r="U1600" s="84" t="str">
        <f aca="false">IF(AND(R1600=1,ISNUMBER(T1600)),E1600-T1600,"")</f>
        <v/>
      </c>
      <c r="V1600" s="84" t="n">
        <f aca="false">IF(ISNUMBER(T1600),T1600,-99)</f>
        <v>23.938861109028</v>
      </c>
      <c r="W1600" s="84" t="str">
        <f aca="false">IF(ISNUMBER(U1600),ABS(U1600),"")</f>
        <v/>
      </c>
    </row>
    <row r="1601" customFormat="false" ht="15" hidden="false" customHeight="false" outlineLevel="0" collapsed="false">
      <c r="A1601" s="57" t="n">
        <v>32698</v>
      </c>
      <c r="B1601" s="56" t="n">
        <v>1989</v>
      </c>
      <c r="C1601" s="56" t="n">
        <v>7</v>
      </c>
      <c r="D1601" s="56" t="n">
        <v>70</v>
      </c>
      <c r="E1601" s="56" t="n">
        <v>24</v>
      </c>
      <c r="F1601" s="56" t="n">
        <v>0</v>
      </c>
      <c r="G1601" s="56" t="n">
        <v>15.1</v>
      </c>
      <c r="H1601" s="56" t="n">
        <v>0</v>
      </c>
      <c r="I1601" s="56" t="n">
        <v>16.7</v>
      </c>
      <c r="J1601" s="56" t="n">
        <v>0</v>
      </c>
      <c r="K1601" s="56" t="n">
        <v>1020</v>
      </c>
      <c r="L1601" s="56" t="n">
        <v>0</v>
      </c>
      <c r="M1601" s="56" t="n">
        <v>83</v>
      </c>
      <c r="N1601" s="56" t="n">
        <v>0</v>
      </c>
      <c r="O1601" s="56" t="n">
        <f aca="false">IF(D1601=1,"",E1600)</f>
        <v>18.3</v>
      </c>
      <c r="P1601" s="56" t="n">
        <f aca="false">IF(OR(D1601=1,K1600=""),"",K1600)</f>
        <v>1013.1</v>
      </c>
      <c r="Q1601" s="56" t="n">
        <f aca="false">IF(OR(F1601&lt;&gt;0,AND(I1601&lt;&gt;"",E1601&lt;I1601)),1,0)</f>
        <v>0</v>
      </c>
      <c r="R1601" s="56" t="n">
        <f aca="false">IF(AND(D1601&gt;1,Q1601=0,ISNUMBER(O1601),ISNUMBER(P1601)),IF(Q1600=0,1,0),0)</f>
        <v>0</v>
      </c>
      <c r="S1601" s="56" t="n">
        <f aca="false">R1601*(B1601&gt;=Train_Start)*(B1601&lt;=Train_End)</f>
        <v>0</v>
      </c>
      <c r="T1601" s="84" t="n">
        <f aca="false">IF(AND(ISNUMBER(O1601),ISNUMBER(P1601)),Coef_A+Coef_B1*O1601+Coef_B2*P1601,"")</f>
        <v>18.861722908371</v>
      </c>
      <c r="U1601" s="84" t="str">
        <f aca="false">IF(AND(R1601=1,ISNUMBER(T1601)),E1601-T1601,"")</f>
        <v/>
      </c>
      <c r="V1601" s="84" t="n">
        <f aca="false">IF(ISNUMBER(T1601),T1601,-99)</f>
        <v>18.861722908371</v>
      </c>
      <c r="W1601" s="84" t="str">
        <f aca="false">IF(ISNUMBER(U1601),ABS(U1601),"")</f>
        <v/>
      </c>
    </row>
    <row r="1602" customFormat="false" ht="15" hidden="false" customHeight="false" outlineLevel="0" collapsed="false">
      <c r="A1602" s="57" t="n">
        <v>32699</v>
      </c>
      <c r="B1602" s="56" t="n">
        <v>1989</v>
      </c>
      <c r="C1602" s="56" t="n">
        <v>7</v>
      </c>
      <c r="D1602" s="56" t="n">
        <v>71</v>
      </c>
      <c r="E1602" s="56" t="n">
        <v>26</v>
      </c>
      <c r="F1602" s="56" t="n">
        <v>0</v>
      </c>
      <c r="G1602" s="56" t="n">
        <v>14.1</v>
      </c>
      <c r="H1602" s="56" t="n">
        <v>0</v>
      </c>
      <c r="I1602" s="56" t="n">
        <v>19</v>
      </c>
      <c r="J1602" s="56" t="n">
        <v>0</v>
      </c>
      <c r="K1602" s="56" t="n">
        <v>1023.6</v>
      </c>
      <c r="L1602" s="56" t="n">
        <v>0</v>
      </c>
      <c r="M1602" s="56" t="n">
        <v>69</v>
      </c>
      <c r="N1602" s="56" t="n">
        <v>4.2</v>
      </c>
      <c r="O1602" s="56" t="n">
        <f aca="false">IF(D1602=1,"",E1601)</f>
        <v>24</v>
      </c>
      <c r="P1602" s="56" t="n">
        <f aca="false">IF(OR(D1602=1,K1601=""),"",K1601)</f>
        <v>1020</v>
      </c>
      <c r="Q1602" s="56" t="n">
        <f aca="false">IF(OR(F1602&lt;&gt;0,AND(I1602&lt;&gt;"",E1602&lt;I1602)),1,0)</f>
        <v>0</v>
      </c>
      <c r="R1602" s="56" t="n">
        <f aca="false">IF(AND(D1602&gt;1,Q1602=0,ISNUMBER(O1602),ISNUMBER(P1602)),IF(Q1601=0,1,0),0)</f>
        <v>1</v>
      </c>
      <c r="S1602" s="56" t="n">
        <f aca="false">R1602*(B1602&gt;=Train_Start)*(B1602&lt;=Train_End)</f>
        <v>1</v>
      </c>
      <c r="T1602" s="84" t="n">
        <f aca="false">IF(AND(ISNUMBER(O1602),ISNUMBER(P1602)),Coef_A+Coef_B1*O1602+Coef_B2*P1602,"")</f>
        <v>23.7484085816887</v>
      </c>
      <c r="U1602" s="84" t="n">
        <f aca="false">IF(AND(R1602=1,ISNUMBER(T1602)),E1602-T1602,"")</f>
        <v>2.25159141831134</v>
      </c>
      <c r="V1602" s="84" t="n">
        <f aca="false">IF(ISNUMBER(T1602),T1602,-99)</f>
        <v>23.7484085816887</v>
      </c>
      <c r="W1602" s="84" t="n">
        <f aca="false">IF(ISNUMBER(U1602),ABS(U1602),"")</f>
        <v>2.25159141831134</v>
      </c>
    </row>
    <row r="1603" customFormat="false" ht="15" hidden="false" customHeight="false" outlineLevel="0" collapsed="false">
      <c r="A1603" s="57" t="n">
        <v>32700</v>
      </c>
      <c r="B1603" s="56" t="n">
        <v>1989</v>
      </c>
      <c r="C1603" s="56" t="n">
        <v>7</v>
      </c>
      <c r="D1603" s="56" t="n">
        <v>72</v>
      </c>
      <c r="E1603" s="56" t="n">
        <v>22.6</v>
      </c>
      <c r="F1603" s="56" t="n">
        <v>0</v>
      </c>
      <c r="G1603" s="56" t="n">
        <v>16.5</v>
      </c>
      <c r="H1603" s="56" t="n">
        <v>0</v>
      </c>
      <c r="I1603" s="56" t="n">
        <v>21.2</v>
      </c>
      <c r="J1603" s="56" t="n">
        <v>0</v>
      </c>
      <c r="K1603" s="56" t="n">
        <v>1024.7</v>
      </c>
      <c r="L1603" s="56" t="n">
        <v>0</v>
      </c>
      <c r="M1603" s="56" t="n">
        <v>60</v>
      </c>
      <c r="N1603" s="56" t="n">
        <v>10.3</v>
      </c>
      <c r="O1603" s="56" t="n">
        <f aca="false">IF(D1603=1,"",E1602)</f>
        <v>26</v>
      </c>
      <c r="P1603" s="56" t="n">
        <f aca="false">IF(OR(D1603=1,K1602=""),"",K1602)</f>
        <v>1023.6</v>
      </c>
      <c r="Q1603" s="56" t="n">
        <f aca="false">IF(OR(F1603&lt;&gt;0,AND(I1603&lt;&gt;"",E1603&lt;I1603)),1,0)</f>
        <v>0</v>
      </c>
      <c r="R1603" s="56" t="n">
        <f aca="false">IF(AND(D1603&gt;1,Q1603=0,ISNUMBER(O1603),ISNUMBER(P1603)),IF(Q1602=0,1,0),0)</f>
        <v>1</v>
      </c>
      <c r="S1603" s="56" t="n">
        <f aca="false">R1603*(B1603&gt;=Train_Start)*(B1603&lt;=Train_End)</f>
        <v>1</v>
      </c>
      <c r="T1603" s="84" t="n">
        <f aca="false">IF(AND(ISNUMBER(O1603),ISNUMBER(P1603)),Coef_A+Coef_B1*O1603+Coef_B2*P1603,"")</f>
        <v>25.5000185884563</v>
      </c>
      <c r="U1603" s="84" t="n">
        <f aca="false">IF(AND(R1603=1,ISNUMBER(T1603)),E1603-T1603,"")</f>
        <v>-2.90001858845634</v>
      </c>
      <c r="V1603" s="84" t="n">
        <f aca="false">IF(ISNUMBER(T1603),T1603,-99)</f>
        <v>25.5000185884563</v>
      </c>
      <c r="W1603" s="84" t="n">
        <f aca="false">IF(ISNUMBER(U1603),ABS(U1603),"")</f>
        <v>2.90001858845634</v>
      </c>
    </row>
    <row r="1604" customFormat="false" ht="15" hidden="false" customHeight="false" outlineLevel="0" collapsed="false">
      <c r="A1604" s="57" t="n">
        <v>32701</v>
      </c>
      <c r="B1604" s="56" t="n">
        <v>1989</v>
      </c>
      <c r="C1604" s="56" t="n">
        <v>7</v>
      </c>
      <c r="D1604" s="56" t="n">
        <v>73</v>
      </c>
      <c r="E1604" s="56" t="n">
        <v>25</v>
      </c>
      <c r="F1604" s="56" t="n">
        <v>0</v>
      </c>
      <c r="G1604" s="56" t="n">
        <v>14.6</v>
      </c>
      <c r="H1604" s="56" t="n">
        <v>0</v>
      </c>
      <c r="I1604" s="56" t="n">
        <v>18.6</v>
      </c>
      <c r="J1604" s="56" t="n">
        <v>0</v>
      </c>
      <c r="K1604" s="56" t="n">
        <v>1023.6</v>
      </c>
      <c r="L1604" s="56" t="n">
        <v>0</v>
      </c>
      <c r="M1604" s="56" t="n">
        <v>70</v>
      </c>
      <c r="N1604" s="56" t="n">
        <v>10.1</v>
      </c>
      <c r="O1604" s="56" t="n">
        <f aca="false">IF(D1604=1,"",E1603)</f>
        <v>22.6</v>
      </c>
      <c r="P1604" s="56" t="n">
        <f aca="false">IF(OR(D1604=1,K1603=""),"",K1603)</f>
        <v>1024.7</v>
      </c>
      <c r="Q1604" s="56" t="n">
        <f aca="false">IF(OR(F1604&lt;&gt;0,AND(I1604&lt;&gt;"",E1604&lt;I1604)),1,0)</f>
        <v>0</v>
      </c>
      <c r="R1604" s="56" t="n">
        <f aca="false">IF(AND(D1604&gt;1,Q1604=0,ISNUMBER(O1604),ISNUMBER(P1604)),IF(Q1603=0,1,0),0)</f>
        <v>1</v>
      </c>
      <c r="S1604" s="56" t="n">
        <f aca="false">R1604*(B1604&gt;=Train_Start)*(B1604&lt;=Train_End)</f>
        <v>1</v>
      </c>
      <c r="T1604" s="84" t="n">
        <f aca="false">IF(AND(ISNUMBER(O1604),ISNUMBER(P1604)),Coef_A+Coef_B1*O1604+Coef_B2*P1604,"")</f>
        <v>22.7487722162087</v>
      </c>
      <c r="U1604" s="84" t="n">
        <f aca="false">IF(AND(R1604=1,ISNUMBER(T1604)),E1604-T1604,"")</f>
        <v>2.25122778379131</v>
      </c>
      <c r="V1604" s="84" t="n">
        <f aca="false">IF(ISNUMBER(T1604),T1604,-99)</f>
        <v>22.7487722162087</v>
      </c>
      <c r="W1604" s="84" t="n">
        <f aca="false">IF(ISNUMBER(U1604),ABS(U1604),"")</f>
        <v>2.25122778379131</v>
      </c>
    </row>
    <row r="1605" customFormat="false" ht="15" hidden="false" customHeight="false" outlineLevel="0" collapsed="false">
      <c r="A1605" s="57" t="n">
        <v>32702</v>
      </c>
      <c r="B1605" s="56" t="n">
        <v>1989</v>
      </c>
      <c r="C1605" s="56" t="n">
        <v>7</v>
      </c>
      <c r="D1605" s="56" t="n">
        <v>74</v>
      </c>
      <c r="E1605" s="56" t="n">
        <v>22.5</v>
      </c>
      <c r="F1605" s="56" t="n">
        <v>0</v>
      </c>
      <c r="G1605" s="56" t="n">
        <v>12.5</v>
      </c>
      <c r="H1605" s="56" t="n">
        <v>0</v>
      </c>
      <c r="I1605" s="56" t="n">
        <v>18.8</v>
      </c>
      <c r="J1605" s="56" t="n">
        <v>0</v>
      </c>
      <c r="K1605" s="56" t="n">
        <v>1021.8</v>
      </c>
      <c r="L1605" s="56" t="n">
        <v>0</v>
      </c>
      <c r="M1605" s="56" t="n">
        <v>60</v>
      </c>
      <c r="N1605" s="56" t="n">
        <v>13</v>
      </c>
      <c r="O1605" s="56" t="n">
        <f aca="false">IF(D1605=1,"",E1604)</f>
        <v>25</v>
      </c>
      <c r="P1605" s="56" t="n">
        <f aca="false">IF(OR(D1605=1,K1604=""),"",K1604)</f>
        <v>1023.6</v>
      </c>
      <c r="Q1605" s="56" t="n">
        <f aca="false">IF(OR(F1605&lt;&gt;0,AND(I1605&lt;&gt;"",E1605&lt;I1605)),1,0)</f>
        <v>0</v>
      </c>
      <c r="R1605" s="56" t="n">
        <f aca="false">IF(AND(D1605&gt;1,Q1605=0,ISNUMBER(O1605),ISNUMBER(P1605)),IF(Q1604=0,1,0),0)</f>
        <v>1</v>
      </c>
      <c r="S1605" s="56" t="n">
        <f aca="false">R1605*(B1605&gt;=Train_Start)*(B1605&lt;=Train_End)</f>
        <v>1</v>
      </c>
      <c r="T1605" s="84" t="n">
        <f aca="false">IF(AND(ISNUMBER(O1605),ISNUMBER(P1605)),Coef_A+Coef_B1*O1605+Coef_B2*P1605,"")</f>
        <v>24.6806793954137</v>
      </c>
      <c r="U1605" s="84" t="n">
        <f aca="false">IF(AND(R1605=1,ISNUMBER(T1605)),E1605-T1605,"")</f>
        <v>-2.18067939541368</v>
      </c>
      <c r="V1605" s="84" t="n">
        <f aca="false">IF(ISNUMBER(T1605),T1605,-99)</f>
        <v>24.6806793954137</v>
      </c>
      <c r="W1605" s="84" t="n">
        <f aca="false">IF(ISNUMBER(U1605),ABS(U1605),"")</f>
        <v>2.18067939541368</v>
      </c>
    </row>
    <row r="1606" customFormat="false" ht="15" hidden="false" customHeight="false" outlineLevel="0" collapsed="false">
      <c r="A1606" s="57" t="n">
        <v>32703</v>
      </c>
      <c r="B1606" s="56" t="n">
        <v>1989</v>
      </c>
      <c r="C1606" s="56" t="n">
        <v>7</v>
      </c>
      <c r="D1606" s="56" t="n">
        <v>75</v>
      </c>
      <c r="E1606" s="56" t="n">
        <v>28.1</v>
      </c>
      <c r="F1606" s="56" t="n">
        <v>0</v>
      </c>
      <c r="G1606" s="56" t="n">
        <v>11.6</v>
      </c>
      <c r="H1606" s="56" t="n">
        <v>0</v>
      </c>
      <c r="I1606" s="56" t="n">
        <v>17</v>
      </c>
      <c r="J1606" s="56" t="n">
        <v>0</v>
      </c>
      <c r="K1606" s="56" t="n">
        <v>1023.7</v>
      </c>
      <c r="L1606" s="56" t="n">
        <v>0</v>
      </c>
      <c r="M1606" s="56" t="n">
        <v>61</v>
      </c>
      <c r="N1606" s="56" t="n">
        <v>10.2</v>
      </c>
      <c r="O1606" s="56" t="n">
        <f aca="false">IF(D1606=1,"",E1605)</f>
        <v>22.5</v>
      </c>
      <c r="P1606" s="56" t="n">
        <f aca="false">IF(OR(D1606=1,K1605=""),"",K1605)</f>
        <v>1021.8</v>
      </c>
      <c r="Q1606" s="56" t="n">
        <f aca="false">IF(OR(F1606&lt;&gt;0,AND(I1606&lt;&gt;"",E1606&lt;I1606)),1,0)</f>
        <v>0</v>
      </c>
      <c r="R1606" s="56" t="n">
        <f aca="false">IF(AND(D1606&gt;1,Q1606=0,ISNUMBER(O1606),ISNUMBER(P1606)),IF(Q1605=0,1,0),0)</f>
        <v>1</v>
      </c>
      <c r="S1606" s="56" t="n">
        <f aca="false">R1606*(B1606&gt;=Train_Start)*(B1606&lt;=Train_End)</f>
        <v>1</v>
      </c>
      <c r="T1606" s="84" t="n">
        <f aca="false">IF(AND(ISNUMBER(O1606),ISNUMBER(P1606)),Coef_A+Coef_B1*O1606+Coef_B2*P1606,"")</f>
        <v>22.5758656024659</v>
      </c>
      <c r="U1606" s="84" t="n">
        <f aca="false">IF(AND(R1606=1,ISNUMBER(T1606)),E1606-T1606,"")</f>
        <v>5.52413439753415</v>
      </c>
      <c r="V1606" s="84" t="n">
        <f aca="false">IF(ISNUMBER(T1606),T1606,-99)</f>
        <v>22.5758656024659</v>
      </c>
      <c r="W1606" s="84" t="n">
        <f aca="false">IF(ISNUMBER(U1606),ABS(U1606),"")</f>
        <v>5.52413439753415</v>
      </c>
    </row>
    <row r="1607" customFormat="false" ht="15" hidden="false" customHeight="false" outlineLevel="0" collapsed="false">
      <c r="A1607" s="57" t="n">
        <v>32704</v>
      </c>
      <c r="B1607" s="56" t="n">
        <v>1989</v>
      </c>
      <c r="C1607" s="56" t="n">
        <v>7</v>
      </c>
      <c r="D1607" s="56" t="n">
        <v>76</v>
      </c>
      <c r="E1607" s="56" t="n">
        <v>25</v>
      </c>
      <c r="F1607" s="56" t="n">
        <v>0</v>
      </c>
      <c r="G1607" s="56" t="n">
        <v>11.5</v>
      </c>
      <c r="H1607" s="56" t="n">
        <v>0</v>
      </c>
      <c r="I1607" s="56" t="n">
        <v>19.8</v>
      </c>
      <c r="J1607" s="56" t="n">
        <v>0</v>
      </c>
      <c r="K1607" s="56" t="n">
        <v>1023.2</v>
      </c>
      <c r="L1607" s="56" t="n">
        <v>0</v>
      </c>
      <c r="M1607" s="56" t="n">
        <v>62</v>
      </c>
      <c r="N1607" s="56" t="n">
        <v>14.8</v>
      </c>
      <c r="O1607" s="56" t="n">
        <f aca="false">IF(D1607=1,"",E1606)</f>
        <v>28.1</v>
      </c>
      <c r="P1607" s="56" t="n">
        <f aca="false">IF(OR(D1607=1,K1606=""),"",K1606)</f>
        <v>1023.7</v>
      </c>
      <c r="Q1607" s="56" t="n">
        <f aca="false">IF(OR(F1607&lt;&gt;0,AND(I1607&lt;&gt;"",E1607&lt;I1607)),1,0)</f>
        <v>0</v>
      </c>
      <c r="R1607" s="56" t="n">
        <f aca="false">IF(AND(D1607&gt;1,Q1607=0,ISNUMBER(O1607),ISNUMBER(P1607)),IF(Q1606=0,1,0),0)</f>
        <v>1</v>
      </c>
      <c r="S1607" s="56" t="n">
        <f aca="false">R1607*(B1607&gt;=Train_Start)*(B1607&lt;=Train_End)</f>
        <v>1</v>
      </c>
      <c r="T1607" s="84" t="n">
        <f aca="false">IF(AND(ISNUMBER(O1607),ISNUMBER(P1607)),Coef_A+Coef_B1*O1607+Coef_B2*P1607,"")</f>
        <v>27.2237678833093</v>
      </c>
      <c r="U1607" s="84" t="n">
        <f aca="false">IF(AND(R1607=1,ISNUMBER(T1607)),E1607-T1607,"")</f>
        <v>-2.22376788330932</v>
      </c>
      <c r="V1607" s="84" t="n">
        <f aca="false">IF(ISNUMBER(T1607),T1607,-99)</f>
        <v>27.2237678833093</v>
      </c>
      <c r="W1607" s="84" t="n">
        <f aca="false">IF(ISNUMBER(U1607),ABS(U1607),"")</f>
        <v>2.22376788330932</v>
      </c>
    </row>
    <row r="1608" customFormat="false" ht="15" hidden="false" customHeight="false" outlineLevel="0" collapsed="false">
      <c r="A1608" s="57" t="n">
        <v>32705</v>
      </c>
      <c r="B1608" s="56" t="n">
        <v>1989</v>
      </c>
      <c r="C1608" s="56" t="n">
        <v>7</v>
      </c>
      <c r="D1608" s="56" t="n">
        <v>77</v>
      </c>
      <c r="E1608" s="56" t="n">
        <v>28.5</v>
      </c>
      <c r="F1608" s="56" t="n">
        <v>0</v>
      </c>
      <c r="G1608" s="56" t="n">
        <v>15.4</v>
      </c>
      <c r="H1608" s="56" t="n">
        <v>0</v>
      </c>
      <c r="I1608" s="56" t="n">
        <v>20.2</v>
      </c>
      <c r="J1608" s="56" t="n">
        <v>0</v>
      </c>
      <c r="K1608" s="56" t="n">
        <v>1026</v>
      </c>
      <c r="L1608" s="56" t="n">
        <v>0</v>
      </c>
      <c r="M1608" s="56" t="n">
        <v>72</v>
      </c>
      <c r="N1608" s="56" t="n">
        <v>7.1</v>
      </c>
      <c r="O1608" s="56" t="n">
        <f aca="false">IF(D1608=1,"",E1607)</f>
        <v>25</v>
      </c>
      <c r="P1608" s="56" t="n">
        <f aca="false">IF(OR(D1608=1,K1607=""),"",K1607)</f>
        <v>1023.2</v>
      </c>
      <c r="Q1608" s="56" t="n">
        <f aca="false">IF(OR(F1608&lt;&gt;0,AND(I1608&lt;&gt;"",E1608&lt;I1608)),1,0)</f>
        <v>0</v>
      </c>
      <c r="R1608" s="56" t="n">
        <f aca="false">IF(AND(D1608&gt;1,Q1608=0,ISNUMBER(O1608),ISNUMBER(P1608)),IF(Q1607=0,1,0),0)</f>
        <v>1</v>
      </c>
      <c r="S1608" s="56" t="n">
        <f aca="false">R1608*(B1608&gt;=Train_Start)*(B1608&lt;=Train_End)</f>
        <v>1</v>
      </c>
      <c r="T1608" s="84" t="n">
        <f aca="false">IF(AND(ISNUMBER(O1608),ISNUMBER(P1608)),Coef_A+Coef_B1*O1608+Coef_B2*P1608,"")</f>
        <v>24.6681314375601</v>
      </c>
      <c r="U1608" s="84" t="n">
        <f aca="false">IF(AND(R1608=1,ISNUMBER(T1608)),E1608-T1608,"")</f>
        <v>3.83186856243992</v>
      </c>
      <c r="V1608" s="84" t="n">
        <f aca="false">IF(ISNUMBER(T1608),T1608,-99)</f>
        <v>24.6681314375601</v>
      </c>
      <c r="W1608" s="84" t="n">
        <f aca="false">IF(ISNUMBER(U1608),ABS(U1608),"")</f>
        <v>3.83186856243992</v>
      </c>
    </row>
    <row r="1609" customFormat="false" ht="15" hidden="false" customHeight="false" outlineLevel="0" collapsed="false">
      <c r="A1609" s="57" t="n">
        <v>32706</v>
      </c>
      <c r="B1609" s="56" t="n">
        <v>1989</v>
      </c>
      <c r="C1609" s="56" t="n">
        <v>7</v>
      </c>
      <c r="D1609" s="56" t="n">
        <v>78</v>
      </c>
      <c r="E1609" s="56" t="n">
        <v>25</v>
      </c>
      <c r="F1609" s="56" t="n">
        <v>0</v>
      </c>
      <c r="G1609" s="56" t="n">
        <v>13.8</v>
      </c>
      <c r="H1609" s="56" t="n">
        <v>0</v>
      </c>
      <c r="I1609" s="56" t="n">
        <v>21.2</v>
      </c>
      <c r="J1609" s="56" t="n">
        <v>0</v>
      </c>
      <c r="K1609" s="56" t="n">
        <v>1025.1</v>
      </c>
      <c r="L1609" s="56" t="n">
        <v>0</v>
      </c>
      <c r="M1609" s="56" t="n">
        <v>63</v>
      </c>
      <c r="N1609" s="56" t="n">
        <v>10.6</v>
      </c>
      <c r="O1609" s="56" t="n">
        <f aca="false">IF(D1609=1,"",E1608)</f>
        <v>28.5</v>
      </c>
      <c r="P1609" s="56" t="n">
        <f aca="false">IF(OR(D1609=1,K1608=""),"",K1608)</f>
        <v>1026</v>
      </c>
      <c r="Q1609" s="56" t="n">
        <f aca="false">IF(OR(F1609&lt;&gt;0,AND(I1609&lt;&gt;"",E1609&lt;I1609)),1,0)</f>
        <v>0</v>
      </c>
      <c r="R1609" s="56" t="n">
        <f aca="false">IF(AND(D1609&gt;1,Q1609=0,ISNUMBER(O1609),ISNUMBER(P1609)),IF(Q1608=0,1,0),0)</f>
        <v>1</v>
      </c>
      <c r="S1609" s="56" t="n">
        <f aca="false">R1609*(B1609&gt;=Train_Start)*(B1609&lt;=Train_End)</f>
        <v>1</v>
      </c>
      <c r="T1609" s="84" t="n">
        <f aca="false">IF(AND(ISNUMBER(O1609),ISNUMBER(P1609)),Coef_A+Coef_B1*O1609+Coef_B2*P1609,"")</f>
        <v>27.6236543181846</v>
      </c>
      <c r="U1609" s="84" t="n">
        <f aca="false">IF(AND(R1609=1,ISNUMBER(T1609)),E1609-T1609,"")</f>
        <v>-2.62365431818456</v>
      </c>
      <c r="V1609" s="84" t="n">
        <f aca="false">IF(ISNUMBER(T1609),T1609,-99)</f>
        <v>27.6236543181846</v>
      </c>
      <c r="W1609" s="84" t="n">
        <f aca="false">IF(ISNUMBER(U1609),ABS(U1609),"")</f>
        <v>2.62365431818456</v>
      </c>
    </row>
    <row r="1610" customFormat="false" ht="15" hidden="false" customHeight="false" outlineLevel="0" collapsed="false">
      <c r="A1610" s="57" t="n">
        <v>32707</v>
      </c>
      <c r="B1610" s="56" t="n">
        <v>1989</v>
      </c>
      <c r="C1610" s="56" t="n">
        <v>7</v>
      </c>
      <c r="D1610" s="56" t="n">
        <v>79</v>
      </c>
      <c r="E1610" s="56" t="n">
        <v>26.9</v>
      </c>
      <c r="F1610" s="56" t="n">
        <v>0</v>
      </c>
      <c r="G1610" s="56" t="n">
        <v>14.4</v>
      </c>
      <c r="H1610" s="56" t="n">
        <v>0</v>
      </c>
      <c r="I1610" s="56" t="n">
        <v>19.7</v>
      </c>
      <c r="J1610" s="56" t="n">
        <v>0</v>
      </c>
      <c r="K1610" s="56" t="n">
        <v>1023.8</v>
      </c>
      <c r="L1610" s="56" t="n">
        <v>0</v>
      </c>
      <c r="M1610" s="56" t="n">
        <v>60</v>
      </c>
      <c r="N1610" s="56" t="n">
        <v>13.3</v>
      </c>
      <c r="O1610" s="56" t="n">
        <f aca="false">IF(D1610=1,"",E1609)</f>
        <v>25</v>
      </c>
      <c r="P1610" s="56" t="n">
        <f aca="false">IF(OR(D1610=1,K1609=""),"",K1609)</f>
        <v>1025.1</v>
      </c>
      <c r="Q1610" s="56" t="n">
        <f aca="false">IF(OR(F1610&lt;&gt;0,AND(I1610&lt;&gt;"",E1610&lt;I1610)),1,0)</f>
        <v>0</v>
      </c>
      <c r="R1610" s="56" t="n">
        <f aca="false">IF(AND(D1610&gt;1,Q1610=0,ISNUMBER(O1610),ISNUMBER(P1610)),IF(Q1609=0,1,0),0)</f>
        <v>1</v>
      </c>
      <c r="S1610" s="56" t="n">
        <f aca="false">R1610*(B1610&gt;=Train_Start)*(B1610&lt;=Train_End)</f>
        <v>1</v>
      </c>
      <c r="T1610" s="84" t="n">
        <f aca="false">IF(AND(ISNUMBER(O1610),ISNUMBER(P1610)),Coef_A+Coef_B1*O1610+Coef_B2*P1610,"")</f>
        <v>24.7277342373647</v>
      </c>
      <c r="U1610" s="84" t="n">
        <f aca="false">IF(AND(R1610=1,ISNUMBER(T1610)),E1610-T1610,"")</f>
        <v>2.17226576263534</v>
      </c>
      <c r="V1610" s="84" t="n">
        <f aca="false">IF(ISNUMBER(T1610),T1610,-99)</f>
        <v>24.7277342373647</v>
      </c>
      <c r="W1610" s="84" t="n">
        <f aca="false">IF(ISNUMBER(U1610),ABS(U1610),"")</f>
        <v>2.17226576263534</v>
      </c>
    </row>
    <row r="1611" customFormat="false" ht="15" hidden="false" customHeight="false" outlineLevel="0" collapsed="false">
      <c r="A1611" s="57" t="n">
        <v>32708</v>
      </c>
      <c r="B1611" s="56" t="n">
        <v>1989</v>
      </c>
      <c r="C1611" s="56" t="n">
        <v>7</v>
      </c>
      <c r="D1611" s="56" t="n">
        <v>80</v>
      </c>
      <c r="E1611" s="56" t="n">
        <v>29.8</v>
      </c>
      <c r="F1611" s="56" t="n">
        <v>0</v>
      </c>
      <c r="G1611" s="56" t="n">
        <v>13.5</v>
      </c>
      <c r="H1611" s="56" t="n">
        <v>0</v>
      </c>
      <c r="I1611" s="56" t="n">
        <v>20.2</v>
      </c>
      <c r="J1611" s="56" t="n">
        <v>0</v>
      </c>
      <c r="K1611" s="56" t="n">
        <v>1024.2</v>
      </c>
      <c r="L1611" s="56" t="n">
        <v>0</v>
      </c>
      <c r="M1611" s="56" t="n">
        <v>65</v>
      </c>
      <c r="N1611" s="56" t="n">
        <v>14</v>
      </c>
      <c r="O1611" s="56" t="n">
        <f aca="false">IF(D1611=1,"",E1610)</f>
        <v>26.9</v>
      </c>
      <c r="P1611" s="56" t="n">
        <f aca="false">IF(OR(D1611=1,K1610=""),"",K1610)</f>
        <v>1023.8</v>
      </c>
      <c r="Q1611" s="56" t="n">
        <f aca="false">IF(OR(F1611&lt;&gt;0,AND(I1611&lt;&gt;"",E1611&lt;I1611)),1,0)</f>
        <v>0</v>
      </c>
      <c r="R1611" s="56" t="n">
        <f aca="false">IF(AND(D1611&gt;1,Q1611=0,ISNUMBER(O1611),ISNUMBER(P1611)),IF(Q1610=0,1,0),0)</f>
        <v>1</v>
      </c>
      <c r="S1611" s="56" t="n">
        <f aca="false">R1611*(B1611&gt;=Train_Start)*(B1611&lt;=Train_End)</f>
        <v>1</v>
      </c>
      <c r="T1611" s="84" t="n">
        <f aca="false">IF(AND(ISNUMBER(O1611),ISNUMBER(P1611)),Coef_A+Coef_B1*O1611+Coef_B2*P1611,"")</f>
        <v>26.2436978411215</v>
      </c>
      <c r="U1611" s="84" t="n">
        <f aca="false">IF(AND(R1611=1,ISNUMBER(T1611)),E1611-T1611,"")</f>
        <v>3.55630215887848</v>
      </c>
      <c r="V1611" s="84" t="n">
        <f aca="false">IF(ISNUMBER(T1611),T1611,-99)</f>
        <v>26.2436978411215</v>
      </c>
      <c r="W1611" s="84" t="n">
        <f aca="false">IF(ISNUMBER(U1611),ABS(U1611),"")</f>
        <v>3.55630215887848</v>
      </c>
    </row>
    <row r="1612" customFormat="false" ht="15" hidden="false" customHeight="false" outlineLevel="0" collapsed="false">
      <c r="A1612" s="57" t="n">
        <v>32709</v>
      </c>
      <c r="B1612" s="56" t="n">
        <v>1989</v>
      </c>
      <c r="C1612" s="56" t="n">
        <v>7</v>
      </c>
      <c r="D1612" s="56" t="n">
        <v>81</v>
      </c>
      <c r="E1612" s="56" t="n">
        <v>32.1</v>
      </c>
      <c r="F1612" s="56" t="n">
        <v>0</v>
      </c>
      <c r="G1612" s="56" t="n">
        <v>15.1</v>
      </c>
      <c r="H1612" s="56" t="n">
        <v>0</v>
      </c>
      <c r="I1612" s="56" t="n">
        <v>22.4</v>
      </c>
      <c r="J1612" s="56" t="n">
        <v>0</v>
      </c>
      <c r="K1612" s="56" t="n">
        <v>1021.7</v>
      </c>
      <c r="L1612" s="56" t="n">
        <v>0</v>
      </c>
      <c r="M1612" s="56" t="n">
        <v>52</v>
      </c>
      <c r="N1612" s="56" t="n">
        <v>13.7</v>
      </c>
      <c r="O1612" s="56" t="n">
        <f aca="false">IF(D1612=1,"",E1611)</f>
        <v>29.8</v>
      </c>
      <c r="P1612" s="56" t="n">
        <f aca="false">IF(OR(D1612=1,K1611=""),"",K1611)</f>
        <v>1024.2</v>
      </c>
      <c r="Q1612" s="56" t="n">
        <f aca="false">IF(OR(F1612&lt;&gt;0,AND(I1612&lt;&gt;"",E1612&lt;I1612)),1,0)</f>
        <v>0</v>
      </c>
      <c r="R1612" s="56" t="n">
        <f aca="false">IF(AND(D1612&gt;1,Q1612=0,ISNUMBER(O1612),ISNUMBER(P1612)),IF(Q1611=0,1,0),0)</f>
        <v>1</v>
      </c>
      <c r="S1612" s="56" t="n">
        <f aca="false">R1612*(B1612&gt;=Train_Start)*(B1612&lt;=Train_End)</f>
        <v>1</v>
      </c>
      <c r="T1612" s="84" t="n">
        <f aca="false">IF(AND(ISNUMBER(O1612),ISNUMBER(P1612)),Coef_A+Coef_B1*O1612+Coef_B2*P1612,"")</f>
        <v>28.6323294587988</v>
      </c>
      <c r="U1612" s="84" t="n">
        <f aca="false">IF(AND(R1612=1,ISNUMBER(T1612)),E1612-T1612,"")</f>
        <v>3.46767054120117</v>
      </c>
      <c r="V1612" s="84" t="n">
        <f aca="false">IF(ISNUMBER(T1612),T1612,-99)</f>
        <v>28.6323294587988</v>
      </c>
      <c r="W1612" s="84" t="n">
        <f aca="false">IF(ISNUMBER(U1612),ABS(U1612),"")</f>
        <v>3.46767054120117</v>
      </c>
    </row>
    <row r="1613" customFormat="false" ht="15" hidden="false" customHeight="false" outlineLevel="0" collapsed="false">
      <c r="A1613" s="57" t="n">
        <v>32710</v>
      </c>
      <c r="B1613" s="56" t="n">
        <v>1989</v>
      </c>
      <c r="C1613" s="56" t="n">
        <v>7</v>
      </c>
      <c r="D1613" s="56" t="n">
        <v>82</v>
      </c>
      <c r="E1613" s="56" t="n">
        <v>34.2</v>
      </c>
      <c r="F1613" s="56" t="n">
        <v>0</v>
      </c>
      <c r="G1613" s="56" t="n">
        <v>17.3</v>
      </c>
      <c r="H1613" s="56" t="n">
        <v>0</v>
      </c>
      <c r="I1613" s="56" t="n">
        <v>24.7</v>
      </c>
      <c r="J1613" s="56" t="n">
        <v>0</v>
      </c>
      <c r="K1613" s="56" t="n">
        <v>1018.2</v>
      </c>
      <c r="L1613" s="56" t="n">
        <v>0</v>
      </c>
      <c r="M1613" s="56" t="n">
        <v>53</v>
      </c>
      <c r="N1613" s="56" t="n">
        <v>8.6</v>
      </c>
      <c r="O1613" s="56" t="n">
        <f aca="false">IF(D1613=1,"",E1612)</f>
        <v>32.1</v>
      </c>
      <c r="P1613" s="56" t="n">
        <f aca="false">IF(OR(D1613=1,K1612=""),"",K1612)</f>
        <v>1021.7</v>
      </c>
      <c r="Q1613" s="56" t="n">
        <f aca="false">IF(OR(F1613&lt;&gt;0,AND(I1613&lt;&gt;"",E1613&lt;I1613)),1,0)</f>
        <v>0</v>
      </c>
      <c r="R1613" s="56" t="n">
        <f aca="false">IF(AND(D1613&gt;1,Q1613=0,ISNUMBER(O1613),ISNUMBER(P1613)),IF(Q1612=0,1,0),0)</f>
        <v>1</v>
      </c>
      <c r="S1613" s="56" t="n">
        <f aca="false">R1613*(B1613&gt;=Train_Start)*(B1613&lt;=Train_End)</f>
        <v>1</v>
      </c>
      <c r="T1613" s="84" t="n">
        <f aca="false">IF(AND(ISNUMBER(O1613),ISNUMBER(P1613)),Coef_A+Coef_B1*O1613+Coef_B2*P1613,"")</f>
        <v>30.438384866212</v>
      </c>
      <c r="U1613" s="84" t="n">
        <f aca="false">IF(AND(R1613=1,ISNUMBER(T1613)),E1613-T1613,"")</f>
        <v>3.76161513378803</v>
      </c>
      <c r="V1613" s="84" t="n">
        <f aca="false">IF(ISNUMBER(T1613),T1613,-99)</f>
        <v>30.438384866212</v>
      </c>
      <c r="W1613" s="84" t="n">
        <f aca="false">IF(ISNUMBER(U1613),ABS(U1613),"")</f>
        <v>3.76161513378803</v>
      </c>
    </row>
    <row r="1614" customFormat="false" ht="15" hidden="false" customHeight="false" outlineLevel="0" collapsed="false">
      <c r="A1614" s="57" t="n">
        <v>32711</v>
      </c>
      <c r="B1614" s="56" t="n">
        <v>1989</v>
      </c>
      <c r="C1614" s="56" t="n">
        <v>7</v>
      </c>
      <c r="D1614" s="56" t="n">
        <v>83</v>
      </c>
      <c r="E1614" s="56" t="n">
        <v>31.8</v>
      </c>
      <c r="F1614" s="56" t="n">
        <v>0</v>
      </c>
      <c r="G1614" s="56" t="n">
        <v>19.9</v>
      </c>
      <c r="H1614" s="56" t="n">
        <v>0</v>
      </c>
      <c r="I1614" s="56" t="n">
        <v>27</v>
      </c>
      <c r="J1614" s="56" t="n">
        <v>0</v>
      </c>
      <c r="K1614" s="56" t="n">
        <v>1014.7</v>
      </c>
      <c r="L1614" s="56" t="n">
        <v>0</v>
      </c>
      <c r="M1614" s="56" t="n">
        <v>53</v>
      </c>
      <c r="N1614" s="56" t="n">
        <v>9.5</v>
      </c>
      <c r="O1614" s="56" t="n">
        <f aca="false">IF(D1614=1,"",E1613)</f>
        <v>34.2</v>
      </c>
      <c r="P1614" s="56" t="n">
        <f aca="false">IF(OR(D1614=1,K1613=""),"",K1613)</f>
        <v>1018.2</v>
      </c>
      <c r="Q1614" s="56" t="n">
        <f aca="false">IF(OR(F1614&lt;&gt;0,AND(I1614&lt;&gt;"",E1614&lt;I1614)),1,0)</f>
        <v>0</v>
      </c>
      <c r="R1614" s="56" t="n">
        <f aca="false">IF(AND(D1614&gt;1,Q1614=0,ISNUMBER(O1614),ISNUMBER(P1614)),IF(Q1613=0,1,0),0)</f>
        <v>1</v>
      </c>
      <c r="S1614" s="56" t="n">
        <f aca="false">R1614*(B1614&gt;=Train_Start)*(B1614&lt;=Train_End)</f>
        <v>1</v>
      </c>
      <c r="T1614" s="84" t="n">
        <f aca="false">IF(AND(ISNUMBER(O1614),ISNUMBER(P1614)),Coef_A+Coef_B1*O1614+Coef_B2*P1614,"")</f>
        <v>32.0492025403826</v>
      </c>
      <c r="U1614" s="84" t="n">
        <f aca="false">IF(AND(R1614=1,ISNUMBER(T1614)),E1614-T1614,"")</f>
        <v>-0.249202540382594</v>
      </c>
      <c r="V1614" s="84" t="n">
        <f aca="false">IF(ISNUMBER(T1614),T1614,-99)</f>
        <v>32.0492025403826</v>
      </c>
      <c r="W1614" s="84" t="n">
        <f aca="false">IF(ISNUMBER(U1614),ABS(U1614),"")</f>
        <v>0.249202540382594</v>
      </c>
    </row>
    <row r="1615" customFormat="false" ht="15" hidden="false" customHeight="false" outlineLevel="0" collapsed="false">
      <c r="A1615" s="57" t="n">
        <v>32712</v>
      </c>
      <c r="B1615" s="56" t="n">
        <v>1989</v>
      </c>
      <c r="C1615" s="56" t="n">
        <v>7</v>
      </c>
      <c r="D1615" s="56" t="n">
        <v>84</v>
      </c>
      <c r="E1615" s="56" t="n">
        <v>30</v>
      </c>
      <c r="F1615" s="56" t="n">
        <v>0</v>
      </c>
      <c r="G1615" s="56" t="n">
        <v>19.4</v>
      </c>
      <c r="H1615" s="56" t="n">
        <v>0</v>
      </c>
      <c r="I1615" s="56" t="n">
        <v>25.6</v>
      </c>
      <c r="J1615" s="56" t="n">
        <v>0</v>
      </c>
      <c r="K1615" s="56" t="n">
        <v>1016.1</v>
      </c>
      <c r="L1615" s="56" t="n">
        <v>0</v>
      </c>
      <c r="M1615" s="56" t="n">
        <v>62</v>
      </c>
      <c r="N1615" s="56" t="n">
        <v>11.5</v>
      </c>
      <c r="O1615" s="56" t="n">
        <f aca="false">IF(D1615=1,"",E1614)</f>
        <v>31.8</v>
      </c>
      <c r="P1615" s="56" t="n">
        <f aca="false">IF(OR(D1615=1,K1614=""),"",K1614)</f>
        <v>1014.7</v>
      </c>
      <c r="Q1615" s="56" t="n">
        <f aca="false">IF(OR(F1615&lt;&gt;0,AND(I1615&lt;&gt;"",E1615&lt;I1615)),1,0)</f>
        <v>0</v>
      </c>
      <c r="R1615" s="56" t="n">
        <f aca="false">IF(AND(D1615&gt;1,Q1615=0,ISNUMBER(O1615),ISNUMBER(P1615)),IF(Q1614=0,1,0),0)</f>
        <v>1</v>
      </c>
      <c r="S1615" s="56" t="n">
        <f aca="false">R1615*(B1615&gt;=Train_Start)*(B1615&lt;=Train_End)</f>
        <v>1</v>
      </c>
      <c r="T1615" s="84" t="n">
        <f aca="false">IF(AND(ISNUMBER(O1615),ISNUMBER(P1615)),Coef_A+Coef_B1*O1615+Coef_B2*P1615,"")</f>
        <v>29.9729938458612</v>
      </c>
      <c r="U1615" s="84" t="n">
        <f aca="false">IF(AND(R1615=1,ISNUMBER(T1615)),E1615-T1615,"")</f>
        <v>0.0270061541387534</v>
      </c>
      <c r="V1615" s="84" t="n">
        <f aca="false">IF(ISNUMBER(T1615),T1615,-99)</f>
        <v>29.9729938458612</v>
      </c>
      <c r="W1615" s="84" t="n">
        <f aca="false">IF(ISNUMBER(U1615),ABS(U1615),"")</f>
        <v>0.0270061541387534</v>
      </c>
    </row>
    <row r="1616" customFormat="false" ht="15" hidden="false" customHeight="false" outlineLevel="0" collapsed="false">
      <c r="A1616" s="57" t="n">
        <v>32713</v>
      </c>
      <c r="B1616" s="56" t="n">
        <v>1989</v>
      </c>
      <c r="C1616" s="56" t="n">
        <v>7</v>
      </c>
      <c r="D1616" s="56" t="n">
        <v>85</v>
      </c>
      <c r="E1616" s="56" t="n">
        <v>29.9</v>
      </c>
      <c r="F1616" s="56" t="n">
        <v>0</v>
      </c>
      <c r="G1616" s="56" t="n">
        <v>19.4</v>
      </c>
      <c r="H1616" s="56" t="n">
        <v>0</v>
      </c>
      <c r="I1616" s="56" t="n">
        <v>24.7</v>
      </c>
      <c r="J1616" s="56" t="n">
        <v>0</v>
      </c>
      <c r="K1616" s="56" t="n">
        <v>1020.9</v>
      </c>
      <c r="L1616" s="56" t="n">
        <v>0</v>
      </c>
      <c r="M1616" s="56" t="n">
        <v>58</v>
      </c>
      <c r="N1616" s="56" t="n">
        <v>8.6</v>
      </c>
      <c r="O1616" s="56" t="n">
        <f aca="false">IF(D1616=1,"",E1615)</f>
        <v>30</v>
      </c>
      <c r="P1616" s="56" t="n">
        <f aca="false">IF(OR(D1616=1,K1615=""),"",K1615)</f>
        <v>1016.1</v>
      </c>
      <c r="Q1616" s="56" t="n">
        <f aca="false">IF(OR(F1616&lt;&gt;0,AND(I1616&lt;&gt;"",E1616&lt;I1616)),1,0)</f>
        <v>0</v>
      </c>
      <c r="R1616" s="56" t="n">
        <f aca="false">IF(AND(D1616&gt;1,Q1616=0,ISNUMBER(O1616),ISNUMBER(P1616)),IF(Q1615=0,1,0),0)</f>
        <v>1</v>
      </c>
      <c r="S1616" s="56" t="n">
        <f aca="false">R1616*(B1616&gt;=Train_Start)*(B1616&lt;=Train_End)</f>
        <v>1</v>
      </c>
      <c r="T1616" s="84" t="n">
        <f aca="false">IF(AND(ISNUMBER(O1616),ISNUMBER(P1616)),Coef_A+Coef_B1*O1616+Coef_B2*P1616,"")</f>
        <v>28.5421011508721</v>
      </c>
      <c r="U1616" s="84" t="n">
        <f aca="false">IF(AND(R1616=1,ISNUMBER(T1616)),E1616-T1616,"")</f>
        <v>1.35789884912795</v>
      </c>
      <c r="V1616" s="84" t="n">
        <f aca="false">IF(ISNUMBER(T1616),T1616,-99)</f>
        <v>28.5421011508721</v>
      </c>
      <c r="W1616" s="84" t="n">
        <f aca="false">IF(ISNUMBER(U1616),ABS(U1616),"")</f>
        <v>1.35789884912795</v>
      </c>
    </row>
    <row r="1617" customFormat="false" ht="15" hidden="false" customHeight="false" outlineLevel="0" collapsed="false">
      <c r="A1617" s="57" t="n">
        <v>32714</v>
      </c>
      <c r="B1617" s="56" t="n">
        <v>1989</v>
      </c>
      <c r="C1617" s="56" t="n">
        <v>7</v>
      </c>
      <c r="D1617" s="56" t="n">
        <v>86</v>
      </c>
      <c r="E1617" s="56" t="n">
        <v>27.4</v>
      </c>
      <c r="F1617" s="56" t="n">
        <v>0</v>
      </c>
      <c r="G1617" s="56" t="n">
        <v>17</v>
      </c>
      <c r="H1617" s="56" t="n">
        <v>0</v>
      </c>
      <c r="I1617" s="56" t="n">
        <v>23.4</v>
      </c>
      <c r="J1617" s="56" t="n">
        <v>0</v>
      </c>
      <c r="K1617" s="56" t="n">
        <v>1020.5</v>
      </c>
      <c r="L1617" s="56" t="n">
        <v>0</v>
      </c>
      <c r="M1617" s="56" t="n">
        <v>59</v>
      </c>
      <c r="N1617" s="56" t="n">
        <v>10.2</v>
      </c>
      <c r="O1617" s="56" t="n">
        <f aca="false">IF(D1617=1,"",E1616)</f>
        <v>29.9</v>
      </c>
      <c r="P1617" s="56" t="n">
        <f aca="false">IF(OR(D1617=1,K1616=""),"",K1616)</f>
        <v>1020.9</v>
      </c>
      <c r="Q1617" s="56" t="n">
        <f aca="false">IF(OR(F1617&lt;&gt;0,AND(I1617&lt;&gt;"",E1617&lt;I1617)),1,0)</f>
        <v>0</v>
      </c>
      <c r="R1617" s="56" t="n">
        <f aca="false">IF(AND(D1617&gt;1,Q1617=0,ISNUMBER(O1617),ISNUMBER(P1617)),IF(Q1616=0,1,0),0)</f>
        <v>1</v>
      </c>
      <c r="S1617" s="56" t="n">
        <f aca="false">R1617*(B1617&gt;=Train_Start)*(B1617&lt;=Train_End)</f>
        <v>1</v>
      </c>
      <c r="T1617" s="84" t="n">
        <f aca="false">IF(AND(ISNUMBER(O1617),ISNUMBER(P1617)),Coef_A+Coef_B1*O1617+Coef_B2*P1617,"")</f>
        <v>28.6107427258109</v>
      </c>
      <c r="U1617" s="84" t="n">
        <f aca="false">IF(AND(R1617=1,ISNUMBER(T1617)),E1617-T1617,"")</f>
        <v>-1.21074272581093</v>
      </c>
      <c r="V1617" s="84" t="n">
        <f aca="false">IF(ISNUMBER(T1617),T1617,-99)</f>
        <v>28.6107427258109</v>
      </c>
      <c r="W1617" s="84" t="n">
        <f aca="false">IF(ISNUMBER(U1617),ABS(U1617),"")</f>
        <v>1.21074272581093</v>
      </c>
    </row>
    <row r="1618" customFormat="false" ht="15" hidden="false" customHeight="false" outlineLevel="0" collapsed="false">
      <c r="A1618" s="57" t="n">
        <v>32715</v>
      </c>
      <c r="B1618" s="56" t="n">
        <v>1989</v>
      </c>
      <c r="C1618" s="56" t="n">
        <v>7</v>
      </c>
      <c r="D1618" s="56" t="n">
        <v>87</v>
      </c>
      <c r="E1618" s="56" t="n">
        <v>25.6</v>
      </c>
      <c r="F1618" s="56" t="n">
        <v>0</v>
      </c>
      <c r="G1618" s="56" t="n">
        <v>17.1</v>
      </c>
      <c r="H1618" s="56" t="n">
        <v>0</v>
      </c>
      <c r="I1618" s="56" t="n">
        <v>22.2</v>
      </c>
      <c r="J1618" s="56" t="n">
        <v>0</v>
      </c>
      <c r="K1618" s="56" t="n">
        <v>1020.9</v>
      </c>
      <c r="L1618" s="56" t="n">
        <v>0</v>
      </c>
      <c r="M1618" s="56" t="n">
        <v>60</v>
      </c>
      <c r="N1618" s="56" t="n">
        <v>6.4</v>
      </c>
      <c r="O1618" s="56" t="n">
        <f aca="false">IF(D1618=1,"",E1617)</f>
        <v>27.4</v>
      </c>
      <c r="P1618" s="56" t="n">
        <f aca="false">IF(OR(D1618=1,K1617=""),"",K1617)</f>
        <v>1020.5</v>
      </c>
      <c r="Q1618" s="56" t="n">
        <f aca="false">IF(OR(F1618&lt;&gt;0,AND(I1618&lt;&gt;"",E1618&lt;I1618)),1,0)</f>
        <v>0</v>
      </c>
      <c r="R1618" s="56" t="n">
        <f aca="false">IF(AND(D1618&gt;1,Q1618=0,ISNUMBER(O1618),ISNUMBER(P1618)),IF(Q1617=0,1,0),0)</f>
        <v>1</v>
      </c>
      <c r="S1618" s="56" t="n">
        <f aca="false">R1618*(B1618&gt;=Train_Start)*(B1618&lt;=Train_End)</f>
        <v>1</v>
      </c>
      <c r="T1618" s="84" t="n">
        <f aca="false">IF(AND(ISNUMBER(O1618),ISNUMBER(P1618)),Coef_A+Coef_B1*O1618+Coef_B2*P1618,"")</f>
        <v>26.5498467853507</v>
      </c>
      <c r="U1618" s="84" t="n">
        <f aca="false">IF(AND(R1618=1,ISNUMBER(T1618)),E1618-T1618,"")</f>
        <v>-0.94984678535069</v>
      </c>
      <c r="V1618" s="84" t="n">
        <f aca="false">IF(ISNUMBER(T1618),T1618,-99)</f>
        <v>26.5498467853507</v>
      </c>
      <c r="W1618" s="84" t="n">
        <f aca="false">IF(ISNUMBER(U1618),ABS(U1618),"")</f>
        <v>0.94984678535069</v>
      </c>
    </row>
    <row r="1619" customFormat="false" ht="15" hidden="false" customHeight="false" outlineLevel="0" collapsed="false">
      <c r="A1619" s="57" t="n">
        <v>32716</v>
      </c>
      <c r="B1619" s="56" t="n">
        <v>1989</v>
      </c>
      <c r="C1619" s="56" t="n">
        <v>7</v>
      </c>
      <c r="D1619" s="56" t="n">
        <v>88</v>
      </c>
      <c r="E1619" s="56" t="n">
        <v>25.7</v>
      </c>
      <c r="F1619" s="56" t="n">
        <v>0</v>
      </c>
      <c r="G1619" s="56" t="n">
        <v>13.5</v>
      </c>
      <c r="H1619" s="56" t="n">
        <v>0</v>
      </c>
      <c r="I1619" s="56" t="n">
        <v>19.6</v>
      </c>
      <c r="J1619" s="56" t="n">
        <v>0</v>
      </c>
      <c r="K1619" s="56" t="n">
        <v>1023.2</v>
      </c>
      <c r="L1619" s="56" t="n">
        <v>0</v>
      </c>
      <c r="M1619" s="56" t="n">
        <v>54</v>
      </c>
      <c r="N1619" s="56" t="n">
        <v>8.9</v>
      </c>
      <c r="O1619" s="56" t="n">
        <f aca="false">IF(D1619=1,"",E1618)</f>
        <v>25.6</v>
      </c>
      <c r="P1619" s="56" t="n">
        <f aca="false">IF(OR(D1619=1,K1618=""),"",K1618)</f>
        <v>1020.9</v>
      </c>
      <c r="Q1619" s="56" t="n">
        <f aca="false">IF(OR(F1619&lt;&gt;0,AND(I1619&lt;&gt;"",E1619&lt;I1619)),1,0)</f>
        <v>0</v>
      </c>
      <c r="R1619" s="56" t="n">
        <f aca="false">IF(AND(D1619&gt;1,Q1619=0,ISNUMBER(O1619),ISNUMBER(P1619)),IF(Q1618=0,1,0),0)</f>
        <v>1</v>
      </c>
      <c r="S1619" s="56" t="n">
        <f aca="false">R1619*(B1619&gt;=Train_Start)*(B1619&lt;=Train_End)</f>
        <v>1</v>
      </c>
      <c r="T1619" s="84" t="n">
        <f aca="false">IF(AND(ISNUMBER(O1619),ISNUMBER(P1619)),Coef_A+Coef_B1*O1619+Coef_B2*P1619,"")</f>
        <v>25.0875841957275</v>
      </c>
      <c r="U1619" s="84" t="n">
        <f aca="false">IF(AND(R1619=1,ISNUMBER(T1619)),E1619-T1619,"")</f>
        <v>0.612415804272498</v>
      </c>
      <c r="V1619" s="84" t="n">
        <f aca="false">IF(ISNUMBER(T1619),T1619,-99)</f>
        <v>25.0875841957275</v>
      </c>
      <c r="W1619" s="84" t="n">
        <f aca="false">IF(ISNUMBER(U1619),ABS(U1619),"")</f>
        <v>0.612415804272498</v>
      </c>
    </row>
    <row r="1620" customFormat="false" ht="15" hidden="false" customHeight="false" outlineLevel="0" collapsed="false">
      <c r="A1620" s="57" t="n">
        <v>32717</v>
      </c>
      <c r="B1620" s="56" t="n">
        <v>1989</v>
      </c>
      <c r="C1620" s="56" t="n">
        <v>7</v>
      </c>
      <c r="D1620" s="56" t="n">
        <v>89</v>
      </c>
      <c r="E1620" s="56" t="n">
        <v>26.5</v>
      </c>
      <c r="F1620" s="56" t="n">
        <v>0</v>
      </c>
      <c r="G1620" s="56" t="n">
        <v>13.9</v>
      </c>
      <c r="H1620" s="56" t="n">
        <v>0</v>
      </c>
      <c r="I1620" s="56" t="n">
        <v>19.8</v>
      </c>
      <c r="J1620" s="56" t="n">
        <v>0</v>
      </c>
      <c r="K1620" s="56" t="n">
        <v>1022.7</v>
      </c>
      <c r="L1620" s="56" t="n">
        <v>0</v>
      </c>
      <c r="M1620" s="56" t="n">
        <v>59</v>
      </c>
      <c r="N1620" s="56" t="n">
        <v>9.4</v>
      </c>
      <c r="O1620" s="56" t="n">
        <f aca="false">IF(D1620=1,"",E1619)</f>
        <v>25.7</v>
      </c>
      <c r="P1620" s="56" t="n">
        <f aca="false">IF(OR(D1620=1,K1619=""),"",K1619)</f>
        <v>1023.2</v>
      </c>
      <c r="Q1620" s="56" t="n">
        <f aca="false">IF(OR(F1620&lt;&gt;0,AND(I1620&lt;&gt;"",E1620&lt;I1620)),1,0)</f>
        <v>0</v>
      </c>
      <c r="R1620" s="56" t="n">
        <f aca="false">IF(AND(D1620&gt;1,Q1620=0,ISNUMBER(O1620),ISNUMBER(P1620)),IF(Q1619=0,1,0),0)</f>
        <v>1</v>
      </c>
      <c r="S1620" s="56" t="n">
        <f aca="false">R1620*(B1620&gt;=Train_Start)*(B1620&lt;=Train_End)</f>
        <v>1</v>
      </c>
      <c r="T1620" s="84" t="n">
        <f aca="false">IF(AND(ISNUMBER(O1620),ISNUMBER(P1620)),Coef_A+Coef_B1*O1620+Coef_B2*P1620,"")</f>
        <v>25.2416688726899</v>
      </c>
      <c r="U1620" s="84" t="n">
        <f aca="false">IF(AND(R1620=1,ISNUMBER(T1620)),E1620-T1620,"")</f>
        <v>1.25833112731005</v>
      </c>
      <c r="V1620" s="84" t="n">
        <f aca="false">IF(ISNUMBER(T1620),T1620,-99)</f>
        <v>25.2416688726899</v>
      </c>
      <c r="W1620" s="84" t="n">
        <f aca="false">IF(ISNUMBER(U1620),ABS(U1620),"")</f>
        <v>1.25833112731005</v>
      </c>
    </row>
    <row r="1621" customFormat="false" ht="15" hidden="false" customHeight="false" outlineLevel="0" collapsed="false">
      <c r="A1621" s="57" t="n">
        <v>32718</v>
      </c>
      <c r="B1621" s="56" t="n">
        <v>1989</v>
      </c>
      <c r="C1621" s="56" t="n">
        <v>7</v>
      </c>
      <c r="D1621" s="56" t="n">
        <v>90</v>
      </c>
      <c r="E1621" s="56" t="n">
        <v>18.7</v>
      </c>
      <c r="F1621" s="56" t="n">
        <v>1</v>
      </c>
      <c r="G1621" s="56" t="n">
        <v>14.4</v>
      </c>
      <c r="H1621" s="56" t="n">
        <v>0</v>
      </c>
      <c r="I1621" s="56" t="n">
        <v>20.4</v>
      </c>
      <c r="J1621" s="56" t="n">
        <v>1</v>
      </c>
      <c r="K1621" s="56" t="n">
        <v>1017.4</v>
      </c>
      <c r="L1621" s="56" t="n">
        <v>0</v>
      </c>
      <c r="M1621" s="56" t="n">
        <v>65</v>
      </c>
      <c r="N1621" s="56" t="n">
        <v>8.6</v>
      </c>
      <c r="O1621" s="56" t="n">
        <f aca="false">IF(D1621=1,"",E1620)</f>
        <v>26.5</v>
      </c>
      <c r="P1621" s="56" t="n">
        <f aca="false">IF(OR(D1621=1,K1620=""),"",K1620)</f>
        <v>1022.7</v>
      </c>
      <c r="Q1621" s="56" t="n">
        <f aca="false">IF(OR(F1621&lt;&gt;0,AND(I1621&lt;&gt;"",E1621&lt;I1621)),1,0)</f>
        <v>1</v>
      </c>
      <c r="R1621" s="56" t="n">
        <f aca="false">IF(AND(D1621&gt;1,Q1621=0,ISNUMBER(O1621),ISNUMBER(P1621)),IF(Q1620=0,1,0),0)</f>
        <v>0</v>
      </c>
      <c r="S1621" s="56" t="n">
        <f aca="false">R1621*(B1621&gt;=Train_Start)*(B1621&lt;=Train_End)</f>
        <v>0</v>
      </c>
      <c r="T1621" s="84" t="n">
        <f aca="false">IF(AND(ISNUMBER(O1621),ISNUMBER(P1621)),Coef_A+Coef_B1*O1621+Coef_B2*P1621,"")</f>
        <v>25.8814552798071</v>
      </c>
      <c r="U1621" s="84" t="str">
        <f aca="false">IF(AND(R1621=1,ISNUMBER(T1621)),E1621-T1621,"")</f>
        <v/>
      </c>
      <c r="V1621" s="84" t="n">
        <f aca="false">IF(ISNUMBER(T1621),T1621,-99)</f>
        <v>25.8814552798071</v>
      </c>
      <c r="W1621" s="84" t="str">
        <f aca="false">IF(ISNUMBER(U1621),ABS(U1621),"")</f>
        <v/>
      </c>
    </row>
    <row r="1622" customFormat="false" ht="15" hidden="false" customHeight="false" outlineLevel="0" collapsed="false">
      <c r="A1622" s="57" t="n">
        <v>32719</v>
      </c>
      <c r="B1622" s="56" t="n">
        <v>1989</v>
      </c>
      <c r="C1622" s="56" t="n">
        <v>7</v>
      </c>
      <c r="D1622" s="56" t="n">
        <v>91</v>
      </c>
      <c r="E1622" s="56" t="n">
        <v>19.4</v>
      </c>
      <c r="F1622" s="56" t="n">
        <v>0</v>
      </c>
      <c r="G1622" s="56" t="n">
        <v>16.4</v>
      </c>
      <c r="H1622" s="56" t="n">
        <v>0</v>
      </c>
      <c r="I1622" s="56" t="n">
        <v>17.6</v>
      </c>
      <c r="J1622" s="56" t="n">
        <v>0</v>
      </c>
      <c r="K1622" s="56" t="n">
        <v>1010.5</v>
      </c>
      <c r="L1622" s="56" t="n">
        <v>0</v>
      </c>
      <c r="M1622" s="56" t="n">
        <v>80</v>
      </c>
      <c r="N1622" s="56" t="n">
        <v>1.7</v>
      </c>
      <c r="O1622" s="56" t="n">
        <f aca="false">IF(D1622=1,"",E1621)</f>
        <v>18.7</v>
      </c>
      <c r="P1622" s="56" t="n">
        <f aca="false">IF(OR(D1622=1,K1621=""),"",K1621)</f>
        <v>1017.4</v>
      </c>
      <c r="Q1622" s="56" t="n">
        <f aca="false">IF(OR(F1622&lt;&gt;0,AND(I1622&lt;&gt;"",E1622&lt;I1622)),1,0)</f>
        <v>0</v>
      </c>
      <c r="R1622" s="56" t="n">
        <f aca="false">IF(AND(D1622&gt;1,Q1622=0,ISNUMBER(O1622),ISNUMBER(P1622)),IF(Q1621=0,1,0),0)</f>
        <v>0</v>
      </c>
      <c r="S1622" s="56" t="n">
        <f aca="false">R1622*(B1622&gt;=Train_Start)*(B1622&lt;=Train_End)</f>
        <v>0</v>
      </c>
      <c r="T1622" s="84" t="n">
        <f aca="false">IF(AND(ISNUMBER(O1622),ISNUMBER(P1622)),Coef_A+Coef_B1*O1622+Coef_B2*P1622,"")</f>
        <v>19.3243491325142</v>
      </c>
      <c r="U1622" s="84" t="str">
        <f aca="false">IF(AND(R1622=1,ISNUMBER(T1622)),E1622-T1622,"")</f>
        <v/>
      </c>
      <c r="V1622" s="84" t="n">
        <f aca="false">IF(ISNUMBER(T1622),T1622,-99)</f>
        <v>19.3243491325142</v>
      </c>
      <c r="W1622" s="84" t="str">
        <f aca="false">IF(ISNUMBER(U1622),ABS(U1622),"")</f>
        <v/>
      </c>
    </row>
    <row r="1623" customFormat="false" ht="15" hidden="false" customHeight="false" outlineLevel="0" collapsed="false">
      <c r="A1623" s="57" t="n">
        <v>32720</v>
      </c>
      <c r="B1623" s="56" t="n">
        <v>1989</v>
      </c>
      <c r="C1623" s="56" t="n">
        <v>7</v>
      </c>
      <c r="D1623" s="56" t="n">
        <v>92</v>
      </c>
      <c r="E1623" s="56" t="n">
        <v>22.1</v>
      </c>
      <c r="F1623" s="56" t="n">
        <v>0</v>
      </c>
      <c r="G1623" s="56" t="n">
        <v>11.3</v>
      </c>
      <c r="H1623" s="56" t="n">
        <v>0</v>
      </c>
      <c r="I1623" s="56" t="n">
        <v>15.4</v>
      </c>
      <c r="J1623" s="56" t="n">
        <v>0</v>
      </c>
      <c r="K1623" s="56" t="n">
        <v>1015</v>
      </c>
      <c r="L1623" s="56" t="n">
        <v>0</v>
      </c>
      <c r="M1623" s="56" t="n">
        <v>65</v>
      </c>
      <c r="N1623" s="56" t="n">
        <v>5.7</v>
      </c>
      <c r="O1623" s="56" t="n">
        <f aca="false">IF(D1623=1,"",E1622)</f>
        <v>19.4</v>
      </c>
      <c r="P1623" s="56" t="n">
        <f aca="false">IF(OR(D1623=1,K1622=""),"",K1622)</f>
        <v>1010.5</v>
      </c>
      <c r="Q1623" s="56" t="n">
        <f aca="false">IF(OR(F1623&lt;&gt;0,AND(I1623&lt;&gt;"",E1623&lt;I1623)),1,0)</f>
        <v>0</v>
      </c>
      <c r="R1623" s="56" t="n">
        <f aca="false">IF(AND(D1623&gt;1,Q1623=0,ISNUMBER(O1623),ISNUMBER(P1623)),IF(Q1622=0,1,0),0)</f>
        <v>1</v>
      </c>
      <c r="S1623" s="56" t="n">
        <f aca="false">R1623*(B1623&gt;=Train_Start)*(B1623&lt;=Train_End)</f>
        <v>1</v>
      </c>
      <c r="T1623" s="84" t="n">
        <f aca="false">IF(AND(ISNUMBER(O1623),ISNUMBER(P1623)),Coef_A+Coef_B1*O1623+Coef_B2*P1623,"")</f>
        <v>19.6814342946695</v>
      </c>
      <c r="U1623" s="84" t="n">
        <f aca="false">IF(AND(R1623=1,ISNUMBER(T1623)),E1623-T1623,"")</f>
        <v>2.41856570533047</v>
      </c>
      <c r="V1623" s="84" t="n">
        <f aca="false">IF(ISNUMBER(T1623),T1623,-99)</f>
        <v>19.6814342946695</v>
      </c>
      <c r="W1623" s="84" t="n">
        <f aca="false">IF(ISNUMBER(U1623),ABS(U1623),"")</f>
        <v>2.41856570533047</v>
      </c>
    </row>
    <row r="1624" customFormat="false" ht="15" hidden="false" customHeight="false" outlineLevel="0" collapsed="false">
      <c r="A1624" s="57" t="n">
        <v>32721</v>
      </c>
      <c r="B1624" s="56" t="n">
        <v>1989</v>
      </c>
      <c r="C1624" s="56" t="n">
        <v>8</v>
      </c>
      <c r="D1624" s="56" t="n">
        <v>93</v>
      </c>
      <c r="E1624" s="56" t="n">
        <v>23</v>
      </c>
      <c r="F1624" s="56" t="n">
        <v>0</v>
      </c>
      <c r="G1624" s="56" t="n">
        <v>8.5</v>
      </c>
      <c r="H1624" s="56" t="n">
        <v>0</v>
      </c>
      <c r="I1624" s="56" t="n">
        <v>15.3</v>
      </c>
      <c r="J1624" s="56" t="n">
        <v>0</v>
      </c>
      <c r="K1624" s="56" t="n">
        <v>1015.6</v>
      </c>
      <c r="L1624" s="56" t="n">
        <v>0</v>
      </c>
      <c r="M1624" s="56" t="n">
        <v>62</v>
      </c>
      <c r="N1624" s="56" t="n">
        <v>13.5</v>
      </c>
      <c r="O1624" s="56" t="n">
        <f aca="false">IF(D1624=1,"",E1623)</f>
        <v>22.1</v>
      </c>
      <c r="P1624" s="56" t="n">
        <f aca="false">IF(OR(D1624=1,K1623=""),"",K1623)</f>
        <v>1015</v>
      </c>
      <c r="Q1624" s="56" t="n">
        <f aca="false">IF(OR(F1624&lt;&gt;0,AND(I1624&lt;&gt;"",E1624&lt;I1624)),1,0)</f>
        <v>0</v>
      </c>
      <c r="R1624" s="56" t="n">
        <f aca="false">IF(AND(D1624&gt;1,Q1624=0,ISNUMBER(O1624),ISNUMBER(P1624)),IF(Q1623=0,1,0),0)</f>
        <v>1</v>
      </c>
      <c r="S1624" s="56" t="n">
        <f aca="false">R1624*(B1624&gt;=Train_Start)*(B1624&lt;=Train_End)</f>
        <v>1</v>
      </c>
      <c r="T1624" s="84" t="n">
        <f aca="false">IF(AND(ISNUMBER(O1624),ISNUMBER(P1624)),Coef_A+Coef_B1*O1624+Coef_B2*P1624,"")</f>
        <v>22.0348146417377</v>
      </c>
      <c r="U1624" s="84" t="n">
        <f aca="false">IF(AND(R1624=1,ISNUMBER(T1624)),E1624-T1624,"")</f>
        <v>0.965185358262335</v>
      </c>
      <c r="V1624" s="84" t="n">
        <f aca="false">IF(ISNUMBER(T1624),T1624,-99)</f>
        <v>22.0348146417377</v>
      </c>
      <c r="W1624" s="84" t="n">
        <f aca="false">IF(ISNUMBER(U1624),ABS(U1624),"")</f>
        <v>0.965185358262335</v>
      </c>
    </row>
    <row r="1625" customFormat="false" ht="15" hidden="false" customHeight="false" outlineLevel="0" collapsed="false">
      <c r="A1625" s="57" t="n">
        <v>32722</v>
      </c>
      <c r="B1625" s="56" t="n">
        <v>1989</v>
      </c>
      <c r="C1625" s="56" t="n">
        <v>8</v>
      </c>
      <c r="D1625" s="56" t="n">
        <v>94</v>
      </c>
      <c r="E1625" s="56" t="n">
        <v>26.4</v>
      </c>
      <c r="F1625" s="56" t="n">
        <v>0</v>
      </c>
      <c r="G1625" s="56" t="n">
        <v>10.4</v>
      </c>
      <c r="H1625" s="56" t="n">
        <v>0</v>
      </c>
      <c r="I1625" s="56" t="n">
        <v>16.7</v>
      </c>
      <c r="J1625" s="56" t="n">
        <v>0</v>
      </c>
      <c r="K1625" s="56" t="n">
        <v>1017.3</v>
      </c>
      <c r="L1625" s="56" t="n">
        <v>0</v>
      </c>
      <c r="M1625" s="56" t="n">
        <v>62</v>
      </c>
      <c r="N1625" s="56" t="n">
        <v>9.2</v>
      </c>
      <c r="O1625" s="56" t="n">
        <f aca="false">IF(D1625=1,"",E1624)</f>
        <v>23</v>
      </c>
      <c r="P1625" s="56" t="n">
        <f aca="false">IF(OR(D1625=1,K1624=""),"",K1624)</f>
        <v>1015.6</v>
      </c>
      <c r="Q1625" s="56" t="n">
        <f aca="false">IF(OR(F1625&lt;&gt;0,AND(I1625&lt;&gt;"",E1625&lt;I1625)),1,0)</f>
        <v>0</v>
      </c>
      <c r="R1625" s="56" t="n">
        <f aca="false">IF(AND(D1625&gt;1,Q1625=0,ISNUMBER(O1625),ISNUMBER(P1625)),IF(Q1624=0,1,0),0)</f>
        <v>1</v>
      </c>
      <c r="S1625" s="56" t="n">
        <f aca="false">R1625*(B1625&gt;=Train_Start)*(B1625&lt;=Train_End)</f>
        <v>1</v>
      </c>
      <c r="T1625" s="84" t="n">
        <f aca="false">IF(AND(ISNUMBER(O1625),ISNUMBER(P1625)),Coef_A+Coef_B1*O1625+Coef_B2*P1625,"")</f>
        <v>22.7910418522565</v>
      </c>
      <c r="U1625" s="84" t="n">
        <f aca="false">IF(AND(R1625=1,ISNUMBER(T1625)),E1625-T1625,"")</f>
        <v>3.60895814774355</v>
      </c>
      <c r="V1625" s="84" t="n">
        <f aca="false">IF(ISNUMBER(T1625),T1625,-99)</f>
        <v>22.7910418522565</v>
      </c>
      <c r="W1625" s="84" t="n">
        <f aca="false">IF(ISNUMBER(U1625),ABS(U1625),"")</f>
        <v>3.60895814774355</v>
      </c>
    </row>
    <row r="1626" customFormat="false" ht="15" hidden="false" customHeight="false" outlineLevel="0" collapsed="false">
      <c r="A1626" s="57" t="n">
        <v>32723</v>
      </c>
      <c r="B1626" s="56" t="n">
        <v>1989</v>
      </c>
      <c r="C1626" s="56" t="n">
        <v>8</v>
      </c>
      <c r="D1626" s="56" t="n">
        <v>95</v>
      </c>
      <c r="E1626" s="56" t="n">
        <v>25.1</v>
      </c>
      <c r="F1626" s="56" t="n">
        <v>0</v>
      </c>
      <c r="G1626" s="56" t="n">
        <v>12.9</v>
      </c>
      <c r="H1626" s="56" t="n">
        <v>0</v>
      </c>
      <c r="I1626" s="56" t="n">
        <v>19.6</v>
      </c>
      <c r="J1626" s="56" t="n">
        <v>0</v>
      </c>
      <c r="K1626" s="56" t="n">
        <v>1017.3</v>
      </c>
      <c r="L1626" s="56" t="n">
        <v>0</v>
      </c>
      <c r="M1626" s="56" t="n">
        <v>66</v>
      </c>
      <c r="N1626" s="56" t="n">
        <v>6.3</v>
      </c>
      <c r="O1626" s="56" t="n">
        <f aca="false">IF(D1626=1,"",E1625)</f>
        <v>26.4</v>
      </c>
      <c r="P1626" s="56" t="n">
        <f aca="false">IF(OR(D1626=1,K1625=""),"",K1625)</f>
        <v>1017.3</v>
      </c>
      <c r="Q1626" s="56" t="n">
        <f aca="false">IF(OR(F1626&lt;&gt;0,AND(I1626&lt;&gt;"",E1626&lt;I1626)),1,0)</f>
        <v>0</v>
      </c>
      <c r="R1626" s="56" t="n">
        <f aca="false">IF(AND(D1626&gt;1,Q1626=0,ISNUMBER(O1626),ISNUMBER(P1626)),IF(Q1625=0,1,0),0)</f>
        <v>1</v>
      </c>
      <c r="S1626" s="56" t="n">
        <f aca="false">R1626*(B1626&gt;=Train_Start)*(B1626&lt;=Train_End)</f>
        <v>1</v>
      </c>
      <c r="T1626" s="84" t="n">
        <f aca="false">IF(AND(ISNUMBER(O1626),ISNUMBER(P1626)),Coef_A+Coef_B1*O1626+Coef_B2*P1626,"")</f>
        <v>25.6301239294793</v>
      </c>
      <c r="U1626" s="84" t="n">
        <f aca="false">IF(AND(R1626=1,ISNUMBER(T1626)),E1626-T1626,"")</f>
        <v>-0.530123929479263</v>
      </c>
      <c r="V1626" s="84" t="n">
        <f aca="false">IF(ISNUMBER(T1626),T1626,-99)</f>
        <v>25.6301239294793</v>
      </c>
      <c r="W1626" s="84" t="n">
        <f aca="false">IF(ISNUMBER(U1626),ABS(U1626),"")</f>
        <v>0.530123929479263</v>
      </c>
    </row>
    <row r="1627" customFormat="false" ht="15" hidden="false" customHeight="false" outlineLevel="0" collapsed="false">
      <c r="A1627" s="57" t="n">
        <v>32724</v>
      </c>
      <c r="B1627" s="56" t="n">
        <v>1989</v>
      </c>
      <c r="C1627" s="56" t="n">
        <v>8</v>
      </c>
      <c r="D1627" s="56" t="n">
        <v>96</v>
      </c>
      <c r="E1627" s="56" t="n">
        <v>26.9</v>
      </c>
      <c r="F1627" s="56" t="n">
        <v>0</v>
      </c>
      <c r="G1627" s="56" t="n">
        <v>11.3</v>
      </c>
      <c r="H1627" s="56" t="n">
        <v>0</v>
      </c>
      <c r="I1627" s="56" t="n">
        <v>18.2</v>
      </c>
      <c r="J1627" s="56" t="n">
        <v>0</v>
      </c>
      <c r="K1627" s="56" t="n">
        <v>1015.5</v>
      </c>
      <c r="L1627" s="56" t="n">
        <v>0</v>
      </c>
      <c r="M1627" s="56" t="n">
        <v>54</v>
      </c>
      <c r="N1627" s="56" t="n">
        <v>13.5</v>
      </c>
      <c r="O1627" s="56" t="n">
        <f aca="false">IF(D1627=1,"",E1626)</f>
        <v>25.1</v>
      </c>
      <c r="P1627" s="56" t="n">
        <f aca="false">IF(OR(D1627=1,K1626=""),"",K1626)</f>
        <v>1017.3</v>
      </c>
      <c r="Q1627" s="56" t="n">
        <f aca="false">IF(OR(F1627&lt;&gt;0,AND(I1627&lt;&gt;"",E1627&lt;I1627)),1,0)</f>
        <v>0</v>
      </c>
      <c r="R1627" s="56" t="n">
        <f aca="false">IF(AND(D1627&gt;1,Q1627=0,ISNUMBER(O1627),ISNUMBER(P1627)),IF(Q1626=0,1,0),0)</f>
        <v>1</v>
      </c>
      <c r="S1627" s="56" t="n">
        <f aca="false">R1627*(B1627&gt;=Train_Start)*(B1627&lt;=Train_End)</f>
        <v>1</v>
      </c>
      <c r="T1627" s="84" t="n">
        <f aca="false">IF(AND(ISNUMBER(O1627),ISNUMBER(P1627)),Coef_A+Coef_B1*O1627+Coef_B2*P1627,"")</f>
        <v>24.5649829785238</v>
      </c>
      <c r="U1627" s="84" t="n">
        <f aca="false">IF(AND(R1627=1,ISNUMBER(T1627)),E1627-T1627,"")</f>
        <v>2.33501702147619</v>
      </c>
      <c r="V1627" s="84" t="n">
        <f aca="false">IF(ISNUMBER(T1627),T1627,-99)</f>
        <v>24.5649829785238</v>
      </c>
      <c r="W1627" s="84" t="n">
        <f aca="false">IF(ISNUMBER(U1627),ABS(U1627),"")</f>
        <v>2.33501702147619</v>
      </c>
    </row>
    <row r="1628" customFormat="false" ht="15" hidden="false" customHeight="false" outlineLevel="0" collapsed="false">
      <c r="A1628" s="57" t="n">
        <v>32725</v>
      </c>
      <c r="B1628" s="56" t="n">
        <v>1989</v>
      </c>
      <c r="C1628" s="56" t="n">
        <v>8</v>
      </c>
      <c r="D1628" s="56" t="n">
        <v>97</v>
      </c>
      <c r="E1628" s="56" t="n">
        <v>29.3</v>
      </c>
      <c r="F1628" s="56" t="n">
        <v>0</v>
      </c>
      <c r="G1628" s="56" t="n">
        <v>12</v>
      </c>
      <c r="H1628" s="56" t="n">
        <v>0</v>
      </c>
      <c r="I1628" s="56" t="n">
        <v>19.4</v>
      </c>
      <c r="J1628" s="56" t="n">
        <v>0</v>
      </c>
      <c r="K1628" s="56" t="n">
        <v>1010.1</v>
      </c>
      <c r="L1628" s="56" t="n">
        <v>0</v>
      </c>
      <c r="M1628" s="56" t="n">
        <v>52</v>
      </c>
      <c r="N1628" s="56" t="n">
        <v>13.5</v>
      </c>
      <c r="O1628" s="56" t="n">
        <f aca="false">IF(D1628=1,"",E1627)</f>
        <v>26.9</v>
      </c>
      <c r="P1628" s="56" t="n">
        <f aca="false">IF(OR(D1628=1,K1627=""),"",K1627)</f>
        <v>1015.5</v>
      </c>
      <c r="Q1628" s="56" t="n">
        <f aca="false">IF(OR(F1628&lt;&gt;0,AND(I1628&lt;&gt;"",E1628&lt;I1628)),1,0)</f>
        <v>0</v>
      </c>
      <c r="R1628" s="56" t="n">
        <f aca="false">IF(AND(D1628&gt;1,Q1628=0,ISNUMBER(O1628),ISNUMBER(P1628)),IF(Q1627=0,1,0),0)</f>
        <v>1</v>
      </c>
      <c r="S1628" s="56" t="n">
        <f aca="false">R1628*(B1628&gt;=Train_Start)*(B1628&lt;=Train_End)</f>
        <v>1</v>
      </c>
      <c r="T1628" s="84" t="n">
        <f aca="false">IF(AND(ISNUMBER(O1628),ISNUMBER(P1628)),Coef_A+Coef_B1*O1628+Coef_B2*P1628,"")</f>
        <v>25.9833277156594</v>
      </c>
      <c r="U1628" s="84" t="n">
        <f aca="false">IF(AND(R1628=1,ISNUMBER(T1628)),E1628-T1628,"")</f>
        <v>3.31667228434059</v>
      </c>
      <c r="V1628" s="84" t="n">
        <f aca="false">IF(ISNUMBER(T1628),T1628,-99)</f>
        <v>25.9833277156594</v>
      </c>
      <c r="W1628" s="84" t="n">
        <f aca="false">IF(ISNUMBER(U1628),ABS(U1628),"")</f>
        <v>3.31667228434059</v>
      </c>
    </row>
    <row r="1629" customFormat="false" ht="15" hidden="false" customHeight="false" outlineLevel="0" collapsed="false">
      <c r="A1629" s="57" t="n">
        <v>32726</v>
      </c>
      <c r="B1629" s="56" t="n">
        <v>1989</v>
      </c>
      <c r="C1629" s="56" t="n">
        <v>8</v>
      </c>
      <c r="D1629" s="56" t="n">
        <v>98</v>
      </c>
      <c r="E1629" s="56" t="n">
        <v>27</v>
      </c>
      <c r="F1629" s="56" t="n">
        <v>0</v>
      </c>
      <c r="G1629" s="56" t="n">
        <v>14.5</v>
      </c>
      <c r="H1629" s="56" t="n">
        <v>0</v>
      </c>
      <c r="I1629" s="56" t="n">
        <v>21.9</v>
      </c>
      <c r="J1629" s="56" t="n">
        <v>0</v>
      </c>
      <c r="K1629" s="56" t="n">
        <v>1007</v>
      </c>
      <c r="L1629" s="56" t="n">
        <v>0</v>
      </c>
      <c r="M1629" s="56" t="n">
        <v>52</v>
      </c>
      <c r="N1629" s="56" t="n">
        <v>11.5</v>
      </c>
      <c r="O1629" s="56" t="n">
        <f aca="false">IF(D1629=1,"",E1628)</f>
        <v>29.3</v>
      </c>
      <c r="P1629" s="56" t="n">
        <f aca="false">IF(OR(D1629=1,K1628=""),"",K1628)</f>
        <v>1010.1</v>
      </c>
      <c r="Q1629" s="56" t="n">
        <f aca="false">IF(OR(F1629&lt;&gt;0,AND(I1629&lt;&gt;"",E1629&lt;I1629)),1,0)</f>
        <v>0</v>
      </c>
      <c r="R1629" s="56" t="n">
        <f aca="false">IF(AND(D1629&gt;1,Q1629=0,ISNUMBER(O1629),ISNUMBER(P1629)),IF(Q1628=0,1,0),0)</f>
        <v>1</v>
      </c>
      <c r="S1629" s="56" t="n">
        <f aca="false">R1629*(B1629&gt;=Train_Start)*(B1629&lt;=Train_End)</f>
        <v>1</v>
      </c>
      <c r="T1629" s="84" t="n">
        <f aca="false">IF(AND(ISNUMBER(O1629),ISNUMBER(P1629)),Coef_A+Coef_B1*O1629+Coef_B2*P1629,"")</f>
        <v>27.7803443479383</v>
      </c>
      <c r="U1629" s="84" t="n">
        <f aca="false">IF(AND(R1629=1,ISNUMBER(T1629)),E1629-T1629,"")</f>
        <v>-0.78034434793825</v>
      </c>
      <c r="V1629" s="84" t="n">
        <f aca="false">IF(ISNUMBER(T1629),T1629,-99)</f>
        <v>27.7803443479383</v>
      </c>
      <c r="W1629" s="84" t="n">
        <f aca="false">IF(ISNUMBER(U1629),ABS(U1629),"")</f>
        <v>0.78034434793825</v>
      </c>
    </row>
    <row r="1630" customFormat="false" ht="15" hidden="false" customHeight="false" outlineLevel="0" collapsed="false">
      <c r="A1630" s="57" t="n">
        <v>32727</v>
      </c>
      <c r="B1630" s="56" t="n">
        <v>1989</v>
      </c>
      <c r="C1630" s="56" t="n">
        <v>8</v>
      </c>
      <c r="D1630" s="56" t="n">
        <v>99</v>
      </c>
      <c r="E1630" s="56" t="n">
        <v>26.6</v>
      </c>
      <c r="F1630" s="56" t="n">
        <v>0</v>
      </c>
      <c r="G1630" s="56" t="n">
        <v>14.8</v>
      </c>
      <c r="H1630" s="56" t="n">
        <v>0</v>
      </c>
      <c r="I1630" s="56" t="n">
        <v>20.9</v>
      </c>
      <c r="J1630" s="56" t="n">
        <v>0</v>
      </c>
      <c r="K1630" s="56" t="n">
        <v>1009.3</v>
      </c>
      <c r="L1630" s="56" t="n">
        <v>0</v>
      </c>
      <c r="M1630" s="56" t="n">
        <v>60</v>
      </c>
      <c r="N1630" s="56" t="n">
        <v>7.2</v>
      </c>
      <c r="O1630" s="56" t="n">
        <f aca="false">IF(D1630=1,"",E1629)</f>
        <v>27</v>
      </c>
      <c r="P1630" s="56" t="n">
        <f aca="false">IF(OR(D1630=1,K1629=""),"",K1629)</f>
        <v>1007</v>
      </c>
      <c r="Q1630" s="56" t="n">
        <f aca="false">IF(OR(F1630&lt;&gt;0,AND(I1630&lt;&gt;"",E1630&lt;I1630)),1,0)</f>
        <v>0</v>
      </c>
      <c r="R1630" s="56" t="n">
        <f aca="false">IF(AND(D1630&gt;1,Q1630=0,ISNUMBER(O1630),ISNUMBER(P1630)),IF(Q1629=0,1,0),0)</f>
        <v>1</v>
      </c>
      <c r="S1630" s="56" t="n">
        <f aca="false">R1630*(B1630&gt;=Train_Start)*(B1630&lt;=Train_End)</f>
        <v>1</v>
      </c>
      <c r="T1630" s="84" t="n">
        <f aca="false">IF(AND(ISNUMBER(O1630),ISNUMBER(P1630)),Coef_A+Coef_B1*O1630+Coef_B2*P1630,"")</f>
        <v>25.7986175305748</v>
      </c>
      <c r="U1630" s="84" t="n">
        <f aca="false">IF(AND(R1630=1,ISNUMBER(T1630)),E1630-T1630,"")</f>
        <v>0.801382469425231</v>
      </c>
      <c r="V1630" s="84" t="n">
        <f aca="false">IF(ISNUMBER(T1630),T1630,-99)</f>
        <v>25.7986175305748</v>
      </c>
      <c r="W1630" s="84" t="n">
        <f aca="false">IF(ISNUMBER(U1630),ABS(U1630),"")</f>
        <v>0.801382469425231</v>
      </c>
    </row>
    <row r="1631" customFormat="false" ht="15" hidden="false" customHeight="false" outlineLevel="0" collapsed="false">
      <c r="A1631" s="57" t="n">
        <v>32728</v>
      </c>
      <c r="B1631" s="56" t="n">
        <v>1989</v>
      </c>
      <c r="C1631" s="56" t="n">
        <v>8</v>
      </c>
      <c r="D1631" s="56" t="n">
        <v>100</v>
      </c>
      <c r="E1631" s="56" t="n">
        <v>26.1</v>
      </c>
      <c r="F1631" s="56" t="n">
        <v>0</v>
      </c>
      <c r="G1631" s="56" t="n">
        <v>14.8</v>
      </c>
      <c r="H1631" s="56" t="n">
        <v>0</v>
      </c>
      <c r="I1631" s="56" t="n">
        <v>20.7</v>
      </c>
      <c r="J1631" s="56" t="n">
        <v>0</v>
      </c>
      <c r="K1631" s="56" t="n">
        <v>1015.6</v>
      </c>
      <c r="L1631" s="56" t="n">
        <v>0</v>
      </c>
      <c r="M1631" s="56" t="n">
        <v>57</v>
      </c>
      <c r="N1631" s="56" t="n">
        <v>7.5</v>
      </c>
      <c r="O1631" s="56" t="n">
        <f aca="false">IF(D1631=1,"",E1630)</f>
        <v>26.6</v>
      </c>
      <c r="P1631" s="56" t="n">
        <f aca="false">IF(OR(D1631=1,K1630=""),"",K1630)</f>
        <v>1009.3</v>
      </c>
      <c r="Q1631" s="56" t="n">
        <f aca="false">IF(OR(F1631&lt;&gt;0,AND(I1631&lt;&gt;"",E1631&lt;I1631)),1,0)</f>
        <v>0</v>
      </c>
      <c r="R1631" s="56" t="n">
        <f aca="false">IF(AND(D1631&gt;1,Q1631=0,ISNUMBER(O1631),ISNUMBER(P1631)),IF(Q1630=0,1,0),0)</f>
        <v>1</v>
      </c>
      <c r="S1631" s="56" t="n">
        <f aca="false">R1631*(B1631&gt;=Train_Start)*(B1631&lt;=Train_End)</f>
        <v>1</v>
      </c>
      <c r="T1631" s="84" t="n">
        <f aca="false">IF(AND(ISNUMBER(O1631),ISNUMBER(P1631)),Coef_A+Coef_B1*O1631+Coef_B2*P1631,"")</f>
        <v>25.5430326110159</v>
      </c>
      <c r="U1631" s="84" t="n">
        <f aca="false">IF(AND(R1631=1,ISNUMBER(T1631)),E1631-T1631,"")</f>
        <v>0.55696738898412</v>
      </c>
      <c r="V1631" s="84" t="n">
        <f aca="false">IF(ISNUMBER(T1631),T1631,-99)</f>
        <v>25.5430326110159</v>
      </c>
      <c r="W1631" s="84" t="n">
        <f aca="false">IF(ISNUMBER(U1631),ABS(U1631),"")</f>
        <v>0.55696738898412</v>
      </c>
    </row>
    <row r="1632" customFormat="false" ht="15" hidden="false" customHeight="false" outlineLevel="0" collapsed="false">
      <c r="A1632" s="57" t="n">
        <v>32729</v>
      </c>
      <c r="B1632" s="56" t="n">
        <v>1989</v>
      </c>
      <c r="C1632" s="56" t="n">
        <v>8</v>
      </c>
      <c r="D1632" s="56" t="n">
        <v>101</v>
      </c>
      <c r="E1632" s="56" t="n">
        <v>20.4</v>
      </c>
      <c r="F1632" s="56" t="n">
        <v>1</v>
      </c>
      <c r="G1632" s="56" t="n">
        <v>15.8</v>
      </c>
      <c r="H1632" s="56" t="n">
        <v>0</v>
      </c>
      <c r="I1632" s="56" t="n">
        <v>21</v>
      </c>
      <c r="J1632" s="56" t="n">
        <v>1</v>
      </c>
      <c r="K1632" s="56" t="n">
        <v>1014.5</v>
      </c>
      <c r="L1632" s="56" t="n">
        <v>0</v>
      </c>
      <c r="M1632" s="56" t="n">
        <v>66</v>
      </c>
      <c r="N1632" s="56" t="n">
        <v>7.6</v>
      </c>
      <c r="O1632" s="56" t="n">
        <f aca="false">IF(D1632=1,"",E1631)</f>
        <v>26.1</v>
      </c>
      <c r="P1632" s="56" t="n">
        <f aca="false">IF(OR(D1632=1,K1631=""),"",K1631)</f>
        <v>1015.6</v>
      </c>
      <c r="Q1632" s="56" t="n">
        <f aca="false">IF(OR(F1632&lt;&gt;0,AND(I1632&lt;&gt;"",E1632&lt;I1632)),1,0)</f>
        <v>1</v>
      </c>
      <c r="R1632" s="56" t="n">
        <f aca="false">IF(AND(D1632&gt;1,Q1632=0,ISNUMBER(O1632),ISNUMBER(P1632)),IF(Q1631=0,1,0),0)</f>
        <v>0</v>
      </c>
      <c r="S1632" s="56" t="n">
        <f aca="false">R1632*(B1632&gt;=Train_Start)*(B1632&lt;=Train_End)</f>
        <v>0</v>
      </c>
      <c r="T1632" s="84" t="n">
        <f aca="false">IF(AND(ISNUMBER(O1632),ISNUMBER(P1632)),Coef_A+Coef_B1*O1632+Coef_B2*P1632,"")</f>
        <v>25.3309933506887</v>
      </c>
      <c r="U1632" s="84" t="str">
        <f aca="false">IF(AND(R1632=1,ISNUMBER(T1632)),E1632-T1632,"")</f>
        <v/>
      </c>
      <c r="V1632" s="84" t="n">
        <f aca="false">IF(ISNUMBER(T1632),T1632,-99)</f>
        <v>25.3309933506887</v>
      </c>
      <c r="W1632" s="84" t="str">
        <f aca="false">IF(ISNUMBER(U1632),ABS(U1632),"")</f>
        <v/>
      </c>
    </row>
    <row r="1633" customFormat="false" ht="15" hidden="false" customHeight="false" outlineLevel="0" collapsed="false">
      <c r="A1633" s="57" t="n">
        <v>32730</v>
      </c>
      <c r="B1633" s="56" t="n">
        <v>1989</v>
      </c>
      <c r="C1633" s="56" t="n">
        <v>8</v>
      </c>
      <c r="D1633" s="56" t="n">
        <v>102</v>
      </c>
      <c r="E1633" s="56" t="n">
        <v>24.2</v>
      </c>
      <c r="F1633" s="56" t="n">
        <v>0</v>
      </c>
      <c r="G1633" s="56" t="n">
        <v>16.4</v>
      </c>
      <c r="H1633" s="56" t="n">
        <v>0</v>
      </c>
      <c r="I1633" s="56" t="n">
        <v>18.4</v>
      </c>
      <c r="J1633" s="56" t="n">
        <v>0</v>
      </c>
      <c r="K1633" s="56" t="n">
        <v>1009.2</v>
      </c>
      <c r="L1633" s="56" t="n">
        <v>0</v>
      </c>
      <c r="M1633" s="56" t="n">
        <v>86</v>
      </c>
      <c r="N1633" s="56" t="n">
        <v>0.8</v>
      </c>
      <c r="O1633" s="56" t="n">
        <f aca="false">IF(D1633=1,"",E1632)</f>
        <v>20.4</v>
      </c>
      <c r="P1633" s="56" t="n">
        <f aca="false">IF(OR(D1633=1,K1632=""),"",K1632)</f>
        <v>1014.5</v>
      </c>
      <c r="Q1633" s="56" t="n">
        <f aca="false">IF(OR(F1633&lt;&gt;0,AND(I1633&lt;&gt;"",E1633&lt;I1633)),1,0)</f>
        <v>0</v>
      </c>
      <c r="R1633" s="56" t="n">
        <f aca="false">IF(AND(D1633&gt;1,Q1633=0,ISNUMBER(O1633),ISNUMBER(P1633)),IF(Q1632=0,1,0),0)</f>
        <v>0</v>
      </c>
      <c r="S1633" s="56" t="n">
        <f aca="false">R1633*(B1633&gt;=Train_Start)*(B1633&lt;=Train_End)</f>
        <v>0</v>
      </c>
      <c r="T1633" s="84" t="n">
        <f aca="false">IF(AND(ISNUMBER(O1633),ISNUMBER(P1633)),Coef_A+Coef_B1*O1633+Coef_B2*P1633,"")</f>
        <v>20.6262530662482</v>
      </c>
      <c r="U1633" s="84" t="str">
        <f aca="false">IF(AND(R1633=1,ISNUMBER(T1633)),E1633-T1633,"")</f>
        <v/>
      </c>
      <c r="V1633" s="84" t="n">
        <f aca="false">IF(ISNUMBER(T1633),T1633,-99)</f>
        <v>20.6262530662482</v>
      </c>
      <c r="W1633" s="84" t="str">
        <f aca="false">IF(ISNUMBER(U1633),ABS(U1633),"")</f>
        <v/>
      </c>
    </row>
    <row r="1634" customFormat="false" ht="15" hidden="false" customHeight="false" outlineLevel="0" collapsed="false">
      <c r="A1634" s="57" t="n">
        <v>32731</v>
      </c>
      <c r="B1634" s="56" t="n">
        <v>1989</v>
      </c>
      <c r="C1634" s="56" t="n">
        <v>8</v>
      </c>
      <c r="D1634" s="56" t="n">
        <v>103</v>
      </c>
      <c r="E1634" s="56" t="n">
        <v>24.6</v>
      </c>
      <c r="F1634" s="56" t="n">
        <v>0</v>
      </c>
      <c r="G1634" s="56" t="n">
        <v>14.6</v>
      </c>
      <c r="H1634" s="56" t="n">
        <v>0</v>
      </c>
      <c r="I1634" s="56" t="n">
        <v>19.4</v>
      </c>
      <c r="J1634" s="56" t="n">
        <v>0</v>
      </c>
      <c r="K1634" s="56" t="n">
        <v>1004.3</v>
      </c>
      <c r="L1634" s="56" t="n">
        <v>0</v>
      </c>
      <c r="M1634" s="56" t="n">
        <v>70</v>
      </c>
      <c r="N1634" s="56" t="n">
        <v>6.2</v>
      </c>
      <c r="O1634" s="56" t="n">
        <f aca="false">IF(D1634=1,"",E1633)</f>
        <v>24.2</v>
      </c>
      <c r="P1634" s="56" t="n">
        <f aca="false">IF(OR(D1634=1,K1633=""),"",K1633)</f>
        <v>1009.2</v>
      </c>
      <c r="Q1634" s="56" t="n">
        <f aca="false">IF(OR(F1634&lt;&gt;0,AND(I1634&lt;&gt;"",E1634&lt;I1634)),1,0)</f>
        <v>0</v>
      </c>
      <c r="R1634" s="56" t="n">
        <f aca="false">IF(AND(D1634&gt;1,Q1634=0,ISNUMBER(O1634),ISNUMBER(P1634)),IF(Q1633=0,1,0),0)</f>
        <v>1</v>
      </c>
      <c r="S1634" s="56" t="n">
        <f aca="false">R1634*(B1634&gt;=Train_Start)*(B1634&lt;=Train_End)</f>
        <v>1</v>
      </c>
      <c r="T1634" s="84" t="n">
        <f aca="false">IF(AND(ISNUMBER(O1634),ISNUMBER(P1634)),Coef_A+Coef_B1*O1634+Coef_B2*P1634,"")</f>
        <v>23.5734815582501</v>
      </c>
      <c r="U1634" s="84" t="n">
        <f aca="false">IF(AND(R1634=1,ISNUMBER(T1634)),E1634-T1634,"")</f>
        <v>1.02651844174989</v>
      </c>
      <c r="V1634" s="84" t="n">
        <f aca="false">IF(ISNUMBER(T1634),T1634,-99)</f>
        <v>23.5734815582501</v>
      </c>
      <c r="W1634" s="84" t="n">
        <f aca="false">IF(ISNUMBER(U1634),ABS(U1634),"")</f>
        <v>1.02651844174989</v>
      </c>
    </row>
    <row r="1635" customFormat="false" ht="15" hidden="false" customHeight="false" outlineLevel="0" collapsed="false">
      <c r="A1635" s="57" t="n">
        <v>32732</v>
      </c>
      <c r="B1635" s="56" t="n">
        <v>1989</v>
      </c>
      <c r="C1635" s="56" t="n">
        <v>8</v>
      </c>
      <c r="D1635" s="56" t="n">
        <v>104</v>
      </c>
      <c r="E1635" s="56" t="n">
        <v>22.2</v>
      </c>
      <c r="F1635" s="56" t="n">
        <v>0</v>
      </c>
      <c r="G1635" s="56" t="n">
        <v>14.6</v>
      </c>
      <c r="H1635" s="56" t="n">
        <v>0</v>
      </c>
      <c r="I1635" s="56" t="n">
        <v>19.6</v>
      </c>
      <c r="J1635" s="56" t="n">
        <v>0</v>
      </c>
      <c r="K1635" s="56" t="n">
        <v>1008.6</v>
      </c>
      <c r="L1635" s="56" t="n">
        <v>0</v>
      </c>
      <c r="M1635" s="56" t="n">
        <v>62</v>
      </c>
      <c r="N1635" s="56" t="n">
        <v>6.8</v>
      </c>
      <c r="O1635" s="56" t="n">
        <f aca="false">IF(D1635=1,"",E1634)</f>
        <v>24.6</v>
      </c>
      <c r="P1635" s="56" t="n">
        <f aca="false">IF(OR(D1635=1,K1634=""),"",K1634)</f>
        <v>1004.3</v>
      </c>
      <c r="Q1635" s="56" t="n">
        <f aca="false">IF(OR(F1635&lt;&gt;0,AND(I1635&lt;&gt;"",E1635&lt;I1635)),1,0)</f>
        <v>0</v>
      </c>
      <c r="R1635" s="56" t="n">
        <f aca="false">IF(AND(D1635&gt;1,Q1635=0,ISNUMBER(O1635),ISNUMBER(P1635)),IF(Q1634=0,1,0),0)</f>
        <v>1</v>
      </c>
      <c r="S1635" s="56" t="n">
        <f aca="false">R1635*(B1635&gt;=Train_Start)*(B1635&lt;=Train_End)</f>
        <v>1</v>
      </c>
      <c r="T1635" s="84" t="n">
        <f aca="false">IF(AND(ISNUMBER(O1635),ISNUMBER(P1635)),Coef_A+Coef_B1*O1635+Coef_B2*P1635,"")</f>
        <v>23.7475047517606</v>
      </c>
      <c r="U1635" s="84" t="n">
        <f aca="false">IF(AND(R1635=1,ISNUMBER(T1635)),E1635-T1635,"")</f>
        <v>-1.54750475176062</v>
      </c>
      <c r="V1635" s="84" t="n">
        <f aca="false">IF(ISNUMBER(T1635),T1635,-99)</f>
        <v>23.7475047517606</v>
      </c>
      <c r="W1635" s="84" t="n">
        <f aca="false">IF(ISNUMBER(U1635),ABS(U1635),"")</f>
        <v>1.54750475176062</v>
      </c>
    </row>
    <row r="1636" customFormat="false" ht="15" hidden="false" customHeight="false" outlineLevel="0" collapsed="false">
      <c r="A1636" s="57" t="n">
        <v>32733</v>
      </c>
      <c r="B1636" s="56" t="n">
        <v>1989</v>
      </c>
      <c r="C1636" s="56" t="n">
        <v>8</v>
      </c>
      <c r="D1636" s="56" t="n">
        <v>105</v>
      </c>
      <c r="E1636" s="56" t="n">
        <v>24.4</v>
      </c>
      <c r="F1636" s="56" t="n">
        <v>0</v>
      </c>
      <c r="G1636" s="56" t="n">
        <v>12.9</v>
      </c>
      <c r="H1636" s="56" t="n">
        <v>0</v>
      </c>
      <c r="I1636" s="56" t="n">
        <v>17.6</v>
      </c>
      <c r="J1636" s="56" t="n">
        <v>0</v>
      </c>
      <c r="K1636" s="56" t="n">
        <v>1007.9</v>
      </c>
      <c r="L1636" s="56" t="n">
        <v>0</v>
      </c>
      <c r="M1636" s="56" t="n">
        <v>67</v>
      </c>
      <c r="N1636" s="56" t="n">
        <v>6.5</v>
      </c>
      <c r="O1636" s="56" t="n">
        <f aca="false">IF(D1636=1,"",E1635)</f>
        <v>22.2</v>
      </c>
      <c r="P1636" s="56" t="n">
        <f aca="false">IF(OR(D1636=1,K1635=""),"",K1635)</f>
        <v>1008.6</v>
      </c>
      <c r="Q1636" s="56" t="n">
        <f aca="false">IF(OR(F1636&lt;&gt;0,AND(I1636&lt;&gt;"",E1636&lt;I1636)),1,0)</f>
        <v>0</v>
      </c>
      <c r="R1636" s="56" t="n">
        <f aca="false">IF(AND(D1636&gt;1,Q1636=0,ISNUMBER(O1636),ISNUMBER(P1636)),IF(Q1635=0,1,0),0)</f>
        <v>1</v>
      </c>
      <c r="S1636" s="56" t="n">
        <f aca="false">R1636*(B1636&gt;=Train_Start)*(B1636&lt;=Train_End)</f>
        <v>1</v>
      </c>
      <c r="T1636" s="84" t="n">
        <f aca="false">IF(AND(ISNUMBER(O1636),ISNUMBER(P1636)),Coef_A+Coef_B1*O1636+Coef_B2*P1636,"")</f>
        <v>21.9159812353844</v>
      </c>
      <c r="U1636" s="84" t="n">
        <f aca="false">IF(AND(R1636=1,ISNUMBER(T1636)),E1636-T1636,"")</f>
        <v>2.4840187646156</v>
      </c>
      <c r="V1636" s="84" t="n">
        <f aca="false">IF(ISNUMBER(T1636),T1636,-99)</f>
        <v>21.9159812353844</v>
      </c>
      <c r="W1636" s="84" t="n">
        <f aca="false">IF(ISNUMBER(U1636),ABS(U1636),"")</f>
        <v>2.4840187646156</v>
      </c>
    </row>
    <row r="1637" customFormat="false" ht="15" hidden="false" customHeight="false" outlineLevel="0" collapsed="false">
      <c r="A1637" s="57" t="n">
        <v>32734</v>
      </c>
      <c r="B1637" s="56" t="n">
        <v>1989</v>
      </c>
      <c r="C1637" s="56" t="n">
        <v>8</v>
      </c>
      <c r="D1637" s="56" t="n">
        <v>106</v>
      </c>
      <c r="E1637" s="56" t="n">
        <v>24.2</v>
      </c>
      <c r="F1637" s="56" t="n">
        <v>0</v>
      </c>
      <c r="G1637" s="56" t="n">
        <v>14.6</v>
      </c>
      <c r="H1637" s="56" t="n">
        <v>0</v>
      </c>
      <c r="I1637" s="56" t="n">
        <v>19.5</v>
      </c>
      <c r="J1637" s="56" t="n">
        <v>0</v>
      </c>
      <c r="K1637" s="56" t="n">
        <v>1005.5</v>
      </c>
      <c r="L1637" s="56" t="n">
        <v>0</v>
      </c>
      <c r="M1637" s="56" t="n">
        <v>73</v>
      </c>
      <c r="N1637" s="56" t="n">
        <v>7.4</v>
      </c>
      <c r="O1637" s="56" t="n">
        <f aca="false">IF(D1637=1,"",E1636)</f>
        <v>24.4</v>
      </c>
      <c r="P1637" s="56" t="n">
        <f aca="false">IF(OR(D1637=1,K1636=""),"",K1636)</f>
        <v>1007.9</v>
      </c>
      <c r="Q1637" s="56" t="n">
        <f aca="false">IF(OR(F1637&lt;&gt;0,AND(I1637&lt;&gt;"",E1637&lt;I1637)),1,0)</f>
        <v>0</v>
      </c>
      <c r="R1637" s="56" t="n">
        <f aca="false">IF(AND(D1637&gt;1,Q1637=0,ISNUMBER(O1637),ISNUMBER(P1637)),IF(Q1636=0,1,0),0)</f>
        <v>1</v>
      </c>
      <c r="S1637" s="56" t="n">
        <f aca="false">R1637*(B1637&gt;=Train_Start)*(B1637&lt;=Train_End)</f>
        <v>1</v>
      </c>
      <c r="T1637" s="84" t="n">
        <f aca="false">IF(AND(ISNUMBER(O1637),ISNUMBER(P1637)),Coef_A+Coef_B1*O1637+Coef_B2*P1637,"")</f>
        <v>23.6965685338345</v>
      </c>
      <c r="U1637" s="84" t="n">
        <f aca="false">IF(AND(R1637=1,ISNUMBER(T1637)),E1637-T1637,"")</f>
        <v>0.503431466165548</v>
      </c>
      <c r="V1637" s="84" t="n">
        <f aca="false">IF(ISNUMBER(T1637),T1637,-99)</f>
        <v>23.6965685338345</v>
      </c>
      <c r="W1637" s="84" t="n">
        <f aca="false">IF(ISNUMBER(U1637),ABS(U1637),"")</f>
        <v>0.503431466165548</v>
      </c>
    </row>
    <row r="1638" customFormat="false" ht="15" hidden="false" customHeight="false" outlineLevel="0" collapsed="false">
      <c r="A1638" s="57" t="n">
        <v>32735</v>
      </c>
      <c r="B1638" s="56" t="n">
        <v>1989</v>
      </c>
      <c r="C1638" s="56" t="n">
        <v>8</v>
      </c>
      <c r="D1638" s="56" t="n">
        <v>107</v>
      </c>
      <c r="E1638" s="56" t="n">
        <v>23.9</v>
      </c>
      <c r="F1638" s="56" t="n">
        <v>0</v>
      </c>
      <c r="G1638" s="56" t="n">
        <v>16</v>
      </c>
      <c r="H1638" s="56" t="n">
        <v>0</v>
      </c>
      <c r="I1638" s="56" t="n">
        <v>20.1</v>
      </c>
      <c r="J1638" s="56" t="n">
        <v>0</v>
      </c>
      <c r="K1638" s="56" t="n">
        <v>1006.9</v>
      </c>
      <c r="L1638" s="56" t="n">
        <v>0</v>
      </c>
      <c r="M1638" s="56" t="n">
        <v>67</v>
      </c>
      <c r="N1638" s="56" t="n">
        <v>11.3</v>
      </c>
      <c r="O1638" s="56" t="n">
        <f aca="false">IF(D1638=1,"",E1637)</f>
        <v>24.2</v>
      </c>
      <c r="P1638" s="56" t="n">
        <f aca="false">IF(OR(D1638=1,K1637=""),"",K1637)</f>
        <v>1005.5</v>
      </c>
      <c r="Q1638" s="56" t="n">
        <f aca="false">IF(OR(F1638&lt;&gt;0,AND(I1638&lt;&gt;"",E1638&lt;I1638)),1,0)</f>
        <v>0</v>
      </c>
      <c r="R1638" s="56" t="n">
        <f aca="false">IF(AND(D1638&gt;1,Q1638=0,ISNUMBER(O1638),ISNUMBER(P1638)),IF(Q1637=0,1,0),0)</f>
        <v>1</v>
      </c>
      <c r="S1638" s="56" t="n">
        <f aca="false">R1638*(B1638&gt;=Train_Start)*(B1638&lt;=Train_End)</f>
        <v>1</v>
      </c>
      <c r="T1638" s="84" t="n">
        <f aca="false">IF(AND(ISNUMBER(O1638),ISNUMBER(P1638)),Coef_A+Coef_B1*O1638+Coef_B2*P1638,"")</f>
        <v>23.4574129481043</v>
      </c>
      <c r="U1638" s="84" t="n">
        <f aca="false">IF(AND(R1638=1,ISNUMBER(T1638)),E1638-T1638,"")</f>
        <v>0.442587051895654</v>
      </c>
      <c r="V1638" s="84" t="n">
        <f aca="false">IF(ISNUMBER(T1638),T1638,-99)</f>
        <v>23.4574129481043</v>
      </c>
      <c r="W1638" s="84" t="n">
        <f aca="false">IF(ISNUMBER(U1638),ABS(U1638),"")</f>
        <v>0.442587051895654</v>
      </c>
    </row>
    <row r="1639" customFormat="false" ht="15" hidden="false" customHeight="false" outlineLevel="0" collapsed="false">
      <c r="A1639" s="57" t="n">
        <v>32736</v>
      </c>
      <c r="B1639" s="56" t="n">
        <v>1989</v>
      </c>
      <c r="C1639" s="56" t="n">
        <v>8</v>
      </c>
      <c r="D1639" s="56" t="n">
        <v>108</v>
      </c>
      <c r="E1639" s="56" t="n">
        <v>22.4</v>
      </c>
      <c r="F1639" s="56" t="n">
        <v>0</v>
      </c>
      <c r="G1639" s="56" t="n">
        <v>16.6</v>
      </c>
      <c r="H1639" s="56" t="n">
        <v>0</v>
      </c>
      <c r="I1639" s="56" t="n">
        <v>20.2</v>
      </c>
      <c r="J1639" s="56" t="n">
        <v>0</v>
      </c>
      <c r="K1639" s="56" t="n">
        <v>1011.6</v>
      </c>
      <c r="L1639" s="56" t="n">
        <v>0</v>
      </c>
      <c r="M1639" s="56" t="n">
        <v>67</v>
      </c>
      <c r="N1639" s="56" t="n">
        <v>6.4</v>
      </c>
      <c r="O1639" s="56" t="n">
        <f aca="false">IF(D1639=1,"",E1638)</f>
        <v>23.9</v>
      </c>
      <c r="P1639" s="56" t="n">
        <f aca="false">IF(OR(D1639=1,K1638=""),"",K1638)</f>
        <v>1006.9</v>
      </c>
      <c r="Q1639" s="56" t="n">
        <f aca="false">IF(OR(F1639&lt;&gt;0,AND(I1639&lt;&gt;"",E1639&lt;I1639)),1,0)</f>
        <v>0</v>
      </c>
      <c r="R1639" s="56" t="n">
        <f aca="false">IF(AND(D1639&gt;1,Q1639=0,ISNUMBER(O1639),ISNUMBER(P1639)),IF(Q1638=0,1,0),0)</f>
        <v>1</v>
      </c>
      <c r="S1639" s="56" t="n">
        <f aca="false">R1639*(B1639&gt;=Train_Start)*(B1639&lt;=Train_End)</f>
        <v>1</v>
      </c>
      <c r="T1639" s="84" t="n">
        <f aca="false">IF(AND(ISNUMBER(O1639),ISNUMBER(P1639)),Coef_A+Coef_B1*O1639+Coef_B2*P1639,"")</f>
        <v>23.2555290426791</v>
      </c>
      <c r="U1639" s="84" t="n">
        <f aca="false">IF(AND(R1639=1,ISNUMBER(T1639)),E1639-T1639,"")</f>
        <v>-0.855529042679134</v>
      </c>
      <c r="V1639" s="84" t="n">
        <f aca="false">IF(ISNUMBER(T1639),T1639,-99)</f>
        <v>23.2555290426791</v>
      </c>
      <c r="W1639" s="84" t="n">
        <f aca="false">IF(ISNUMBER(U1639),ABS(U1639),"")</f>
        <v>0.855529042679134</v>
      </c>
    </row>
    <row r="1640" customFormat="false" ht="15" hidden="false" customHeight="false" outlineLevel="0" collapsed="false">
      <c r="A1640" s="57" t="n">
        <v>32737</v>
      </c>
      <c r="B1640" s="56" t="n">
        <v>1989</v>
      </c>
      <c r="C1640" s="56" t="n">
        <v>8</v>
      </c>
      <c r="D1640" s="56" t="n">
        <v>109</v>
      </c>
      <c r="E1640" s="56" t="n">
        <v>23</v>
      </c>
      <c r="F1640" s="56" t="n">
        <v>0</v>
      </c>
      <c r="G1640" s="56" t="n">
        <v>12.7</v>
      </c>
      <c r="H1640" s="56" t="n">
        <v>0</v>
      </c>
      <c r="I1640" s="56" t="n">
        <v>17.6</v>
      </c>
      <c r="J1640" s="56" t="n">
        <v>0</v>
      </c>
      <c r="K1640" s="56" t="n">
        <v>1018</v>
      </c>
      <c r="L1640" s="56" t="n">
        <v>0</v>
      </c>
      <c r="M1640" s="56" t="n">
        <v>68</v>
      </c>
      <c r="N1640" s="56" t="n">
        <v>11</v>
      </c>
      <c r="O1640" s="56" t="n">
        <f aca="false">IF(D1640=1,"",E1639)</f>
        <v>22.4</v>
      </c>
      <c r="P1640" s="56" t="n">
        <f aca="false">IF(OR(D1640=1,K1639=""),"",K1639)</f>
        <v>1011.6</v>
      </c>
      <c r="Q1640" s="56" t="n">
        <f aca="false">IF(OR(F1640&lt;&gt;0,AND(I1640&lt;&gt;"",E1640&lt;I1640)),1,0)</f>
        <v>0</v>
      </c>
      <c r="R1640" s="56" t="n">
        <f aca="false">IF(AND(D1640&gt;1,Q1640=0,ISNUMBER(O1640),ISNUMBER(P1640)),IF(Q1639=0,1,0),0)</f>
        <v>1</v>
      </c>
      <c r="S1640" s="56" t="n">
        <f aca="false">R1640*(B1640&gt;=Train_Start)*(B1640&lt;=Train_End)</f>
        <v>1</v>
      </c>
      <c r="T1640" s="84" t="n">
        <f aca="false">IF(AND(ISNUMBER(O1640),ISNUMBER(P1640)),Coef_A+Coef_B1*O1640+Coef_B2*P1640,"")</f>
        <v>22.1739587578949</v>
      </c>
      <c r="U1640" s="84" t="n">
        <f aca="false">IF(AND(R1640=1,ISNUMBER(T1640)),E1640-T1640,"")</f>
        <v>0.826041242105106</v>
      </c>
      <c r="V1640" s="84" t="n">
        <f aca="false">IF(ISNUMBER(T1640),T1640,-99)</f>
        <v>22.1739587578949</v>
      </c>
      <c r="W1640" s="84" t="n">
        <f aca="false">IF(ISNUMBER(U1640),ABS(U1640),"")</f>
        <v>0.826041242105106</v>
      </c>
    </row>
    <row r="1641" customFormat="false" ht="15" hidden="false" customHeight="false" outlineLevel="0" collapsed="false">
      <c r="A1641" s="57" t="n">
        <v>32738</v>
      </c>
      <c r="B1641" s="56" t="n">
        <v>1989</v>
      </c>
      <c r="C1641" s="56" t="n">
        <v>8</v>
      </c>
      <c r="D1641" s="56" t="n">
        <v>110</v>
      </c>
      <c r="E1641" s="56" t="n">
        <v>27</v>
      </c>
      <c r="F1641" s="56" t="n">
        <v>0</v>
      </c>
      <c r="G1641" s="56" t="n">
        <v>10.1</v>
      </c>
      <c r="H1641" s="56" t="n">
        <v>0</v>
      </c>
      <c r="I1641" s="56" t="n">
        <v>16.6</v>
      </c>
      <c r="J1641" s="56" t="n">
        <v>0</v>
      </c>
      <c r="K1641" s="56" t="n">
        <v>1024.7</v>
      </c>
      <c r="L1641" s="56" t="n">
        <v>0</v>
      </c>
      <c r="M1641" s="56" t="n">
        <v>64</v>
      </c>
      <c r="N1641" s="56" t="n">
        <v>13</v>
      </c>
      <c r="O1641" s="56" t="n">
        <f aca="false">IF(D1641=1,"",E1640)</f>
        <v>23</v>
      </c>
      <c r="P1641" s="56" t="n">
        <f aca="false">IF(OR(D1641=1,K1640=""),"",K1640)</f>
        <v>1018</v>
      </c>
      <c r="Q1641" s="56" t="n">
        <f aca="false">IF(OR(F1641&lt;&gt;0,AND(I1641&lt;&gt;"",E1641&lt;I1641)),1,0)</f>
        <v>0</v>
      </c>
      <c r="R1641" s="56" t="n">
        <f aca="false">IF(AND(D1641&gt;1,Q1641=0,ISNUMBER(O1641),ISNUMBER(P1641)),IF(Q1640=0,1,0),0)</f>
        <v>1</v>
      </c>
      <c r="S1641" s="56" t="n">
        <f aca="false">R1641*(B1641&gt;=Train_Start)*(B1641&lt;=Train_End)</f>
        <v>1</v>
      </c>
      <c r="T1641" s="84" t="n">
        <f aca="false">IF(AND(ISNUMBER(O1641),ISNUMBER(P1641)),Coef_A+Coef_B1*O1641+Coef_B2*P1641,"")</f>
        <v>22.866329599378</v>
      </c>
      <c r="U1641" s="84" t="n">
        <f aca="false">IF(AND(R1641=1,ISNUMBER(T1641)),E1641-T1641,"")</f>
        <v>4.13367040062197</v>
      </c>
      <c r="V1641" s="84" t="n">
        <f aca="false">IF(ISNUMBER(T1641),T1641,-99)</f>
        <v>22.866329599378</v>
      </c>
      <c r="W1641" s="84" t="n">
        <f aca="false">IF(ISNUMBER(U1641),ABS(U1641),"")</f>
        <v>4.13367040062197</v>
      </c>
    </row>
    <row r="1642" customFormat="false" ht="15" hidden="false" customHeight="false" outlineLevel="0" collapsed="false">
      <c r="A1642" s="57" t="n">
        <v>32739</v>
      </c>
      <c r="B1642" s="56" t="n">
        <v>1989</v>
      </c>
      <c r="C1642" s="56" t="n">
        <v>8</v>
      </c>
      <c r="D1642" s="56" t="n">
        <v>111</v>
      </c>
      <c r="E1642" s="56" t="n">
        <v>28.7</v>
      </c>
      <c r="F1642" s="56" t="n">
        <v>0</v>
      </c>
      <c r="G1642" s="56" t="n">
        <v>11.1</v>
      </c>
      <c r="H1642" s="56" t="n">
        <v>0</v>
      </c>
      <c r="I1642" s="56" t="n">
        <v>19</v>
      </c>
      <c r="J1642" s="56" t="n">
        <v>0</v>
      </c>
      <c r="K1642" s="56" t="n">
        <v>1018.6</v>
      </c>
      <c r="L1642" s="56" t="n">
        <v>0</v>
      </c>
      <c r="M1642" s="56" t="n">
        <v>58</v>
      </c>
      <c r="N1642" s="56" t="n">
        <v>12.6</v>
      </c>
      <c r="O1642" s="56" t="n">
        <f aca="false">IF(D1642=1,"",E1641)</f>
        <v>27</v>
      </c>
      <c r="P1642" s="56" t="n">
        <f aca="false">IF(OR(D1642=1,K1641=""),"",K1641)</f>
        <v>1024.7</v>
      </c>
      <c r="Q1642" s="56" t="n">
        <f aca="false">IF(OR(F1642&lt;&gt;0,AND(I1642&lt;&gt;"",E1642&lt;I1642)),1,0)</f>
        <v>0</v>
      </c>
      <c r="R1642" s="56" t="n">
        <f aca="false">IF(AND(D1642&gt;1,Q1642=0,ISNUMBER(O1642),ISNUMBER(P1642)),IF(Q1641=0,1,0),0)</f>
        <v>1</v>
      </c>
      <c r="S1642" s="56" t="n">
        <f aca="false">R1642*(B1642&gt;=Train_Start)*(B1642&lt;=Train_End)</f>
        <v>1</v>
      </c>
      <c r="T1642" s="84" t="n">
        <f aca="false">IF(AND(ISNUMBER(O1642),ISNUMBER(P1642)),Coef_A+Coef_B1*O1642+Coef_B2*P1642,"")</f>
        <v>26.3538646655964</v>
      </c>
      <c r="U1642" s="84" t="n">
        <f aca="false">IF(AND(R1642=1,ISNUMBER(T1642)),E1642-T1642,"")</f>
        <v>2.34613533440362</v>
      </c>
      <c r="V1642" s="84" t="n">
        <f aca="false">IF(ISNUMBER(T1642),T1642,-99)</f>
        <v>26.3538646655964</v>
      </c>
      <c r="W1642" s="84" t="n">
        <f aca="false">IF(ISNUMBER(U1642),ABS(U1642),"")</f>
        <v>2.34613533440362</v>
      </c>
    </row>
    <row r="1643" customFormat="false" ht="15" hidden="false" customHeight="false" outlineLevel="0" collapsed="false">
      <c r="A1643" s="57" t="n">
        <v>32740</v>
      </c>
      <c r="B1643" s="56" t="n">
        <v>1989</v>
      </c>
      <c r="C1643" s="56" t="n">
        <v>8</v>
      </c>
      <c r="D1643" s="56" t="n">
        <v>112</v>
      </c>
      <c r="E1643" s="56" t="n">
        <v>25.8</v>
      </c>
      <c r="F1643" s="56" t="n">
        <v>0</v>
      </c>
      <c r="G1643" s="56" t="n">
        <v>13.2</v>
      </c>
      <c r="H1643" s="56" t="n">
        <v>0</v>
      </c>
      <c r="I1643" s="56" t="n">
        <v>21</v>
      </c>
      <c r="J1643" s="56" t="n">
        <v>0</v>
      </c>
      <c r="K1643" s="56" t="n">
        <v>1014.8</v>
      </c>
      <c r="L1643" s="56" t="n">
        <v>0</v>
      </c>
      <c r="M1643" s="56" t="n">
        <v>59</v>
      </c>
      <c r="N1643" s="56" t="n">
        <v>13.4</v>
      </c>
      <c r="O1643" s="56" t="n">
        <f aca="false">IF(D1643=1,"",E1642)</f>
        <v>28.7</v>
      </c>
      <c r="P1643" s="56" t="n">
        <f aca="false">IF(OR(D1643=1,K1642=""),"",K1642)</f>
        <v>1018.6</v>
      </c>
      <c r="Q1643" s="56" t="n">
        <f aca="false">IF(OR(F1643&lt;&gt;0,AND(I1643&lt;&gt;"",E1643&lt;I1643)),1,0)</f>
        <v>0</v>
      </c>
      <c r="R1643" s="56" t="n">
        <f aca="false">IF(AND(D1643&gt;1,Q1643=0,ISNUMBER(O1643),ISNUMBER(P1643)),IF(Q1642=0,1,0),0)</f>
        <v>1</v>
      </c>
      <c r="S1643" s="56" t="n">
        <f aca="false">R1643*(B1643&gt;=Train_Start)*(B1643&lt;=Train_End)</f>
        <v>1</v>
      </c>
      <c r="T1643" s="84" t="n">
        <f aca="false">IF(AND(ISNUMBER(O1643),ISNUMBER(P1643)),Coef_A+Coef_B1*O1643+Coef_B2*P1643,"")</f>
        <v>27.5553849365016</v>
      </c>
      <c r="U1643" s="84" t="n">
        <f aca="false">IF(AND(R1643=1,ISNUMBER(T1643)),E1643-T1643,"")</f>
        <v>-1.75538493650157</v>
      </c>
      <c r="V1643" s="84" t="n">
        <f aca="false">IF(ISNUMBER(T1643),T1643,-99)</f>
        <v>27.5553849365016</v>
      </c>
      <c r="W1643" s="84" t="n">
        <f aca="false">IF(ISNUMBER(U1643),ABS(U1643),"")</f>
        <v>1.75538493650157</v>
      </c>
    </row>
    <row r="1644" customFormat="false" ht="15" hidden="false" customHeight="false" outlineLevel="0" collapsed="false">
      <c r="A1644" s="57" t="n">
        <v>32741</v>
      </c>
      <c r="B1644" s="56" t="n">
        <v>1989</v>
      </c>
      <c r="C1644" s="56" t="n">
        <v>8</v>
      </c>
      <c r="D1644" s="56" t="n">
        <v>113</v>
      </c>
      <c r="E1644" s="56" t="n">
        <v>24.3</v>
      </c>
      <c r="F1644" s="56" t="n">
        <v>0</v>
      </c>
      <c r="G1644" s="56" t="n">
        <v>15.8</v>
      </c>
      <c r="H1644" s="56" t="n">
        <v>0</v>
      </c>
      <c r="I1644" s="56" t="n">
        <v>20.8</v>
      </c>
      <c r="J1644" s="56" t="n">
        <v>0</v>
      </c>
      <c r="K1644" s="56" t="n">
        <v>1019.7</v>
      </c>
      <c r="L1644" s="56" t="n">
        <v>0</v>
      </c>
      <c r="M1644" s="56" t="n">
        <v>63</v>
      </c>
      <c r="N1644" s="56" t="n">
        <v>12.9</v>
      </c>
      <c r="O1644" s="56" t="n">
        <f aca="false">IF(D1644=1,"",E1643)</f>
        <v>25.8</v>
      </c>
      <c r="P1644" s="56" t="n">
        <f aca="false">IF(OR(D1644=1,K1643=""),"",K1643)</f>
        <v>1014.8</v>
      </c>
      <c r="Q1644" s="56" t="n">
        <f aca="false">IF(OR(F1644&lt;&gt;0,AND(I1644&lt;&gt;"",E1644&lt;I1644)),1,0)</f>
        <v>0</v>
      </c>
      <c r="R1644" s="56" t="n">
        <f aca="false">IF(AND(D1644&gt;1,Q1644=0,ISNUMBER(O1644),ISNUMBER(P1644)),IF(Q1643=0,1,0),0)</f>
        <v>1</v>
      </c>
      <c r="S1644" s="56" t="n">
        <f aca="false">R1644*(B1644&gt;=Train_Start)*(B1644&lt;=Train_End)</f>
        <v>1</v>
      </c>
      <c r="T1644" s="84" t="n">
        <f aca="false">IF(AND(ISNUMBER(O1644),ISNUMBER(P1644)),Coef_A+Coef_B1*O1644+Coef_B2*P1644,"")</f>
        <v>25.0600956770687</v>
      </c>
      <c r="U1644" s="84" t="n">
        <f aca="false">IF(AND(R1644=1,ISNUMBER(T1644)),E1644-T1644,"")</f>
        <v>-0.760095677068698</v>
      </c>
      <c r="V1644" s="84" t="n">
        <f aca="false">IF(ISNUMBER(T1644),T1644,-99)</f>
        <v>25.0600956770687</v>
      </c>
      <c r="W1644" s="84" t="n">
        <f aca="false">IF(ISNUMBER(U1644),ABS(U1644),"")</f>
        <v>0.760095677068698</v>
      </c>
    </row>
    <row r="1645" customFormat="false" ht="15" hidden="false" customHeight="false" outlineLevel="0" collapsed="false">
      <c r="A1645" s="57" t="n">
        <v>32742</v>
      </c>
      <c r="B1645" s="56" t="n">
        <v>1989</v>
      </c>
      <c r="C1645" s="56" t="n">
        <v>8</v>
      </c>
      <c r="D1645" s="56" t="n">
        <v>114</v>
      </c>
      <c r="E1645" s="56" t="n">
        <v>24.9</v>
      </c>
      <c r="F1645" s="56" t="n">
        <v>0</v>
      </c>
      <c r="G1645" s="56" t="n">
        <v>11.5</v>
      </c>
      <c r="H1645" s="56" t="n">
        <v>0</v>
      </c>
      <c r="I1645" s="56" t="n">
        <v>17.9</v>
      </c>
      <c r="J1645" s="56" t="n">
        <v>0</v>
      </c>
      <c r="K1645" s="56" t="n">
        <v>1023.8</v>
      </c>
      <c r="L1645" s="56" t="n">
        <v>0</v>
      </c>
      <c r="M1645" s="56" t="n">
        <v>63</v>
      </c>
      <c r="N1645" s="56" t="n">
        <v>7.3</v>
      </c>
      <c r="O1645" s="56" t="n">
        <f aca="false">IF(D1645=1,"",E1644)</f>
        <v>24.3</v>
      </c>
      <c r="P1645" s="56" t="n">
        <f aca="false">IF(OR(D1645=1,K1644=""),"",K1644)</f>
        <v>1019.7</v>
      </c>
      <c r="Q1645" s="56" t="n">
        <f aca="false">IF(OR(F1645&lt;&gt;0,AND(I1645&lt;&gt;"",E1645&lt;I1645)),1,0)</f>
        <v>0</v>
      </c>
      <c r="R1645" s="56" t="n">
        <f aca="false">IF(AND(D1645&gt;1,Q1645=0,ISNUMBER(O1645),ISNUMBER(P1645)),IF(Q1644=0,1,0),0)</f>
        <v>1</v>
      </c>
      <c r="S1645" s="56" t="n">
        <f aca="false">R1645*(B1645&gt;=Train_Start)*(B1645&lt;=Train_End)</f>
        <v>1</v>
      </c>
      <c r="T1645" s="84" t="n">
        <f aca="false">IF(AND(ISNUMBER(O1645),ISNUMBER(P1645)),Coef_A+Coef_B1*O1645+Coef_B2*P1645,"")</f>
        <v>23.9847993712113</v>
      </c>
      <c r="U1645" s="84" t="n">
        <f aca="false">IF(AND(R1645=1,ISNUMBER(T1645)),E1645-T1645,"")</f>
        <v>0.915200628788739</v>
      </c>
      <c r="V1645" s="84" t="n">
        <f aca="false">IF(ISNUMBER(T1645),T1645,-99)</f>
        <v>23.9847993712113</v>
      </c>
      <c r="W1645" s="84" t="n">
        <f aca="false">IF(ISNUMBER(U1645),ABS(U1645),"")</f>
        <v>0.915200628788739</v>
      </c>
    </row>
    <row r="1646" customFormat="false" ht="15" hidden="false" customHeight="false" outlineLevel="0" collapsed="false">
      <c r="A1646" s="57" t="n">
        <v>32743</v>
      </c>
      <c r="B1646" s="56" t="n">
        <v>1989</v>
      </c>
      <c r="C1646" s="56" t="n">
        <v>8</v>
      </c>
      <c r="D1646" s="56" t="n">
        <v>115</v>
      </c>
      <c r="E1646" s="56" t="n">
        <v>26.4</v>
      </c>
      <c r="F1646" s="56" t="n">
        <v>0</v>
      </c>
      <c r="G1646" s="56" t="n">
        <v>10</v>
      </c>
      <c r="H1646" s="56" t="n">
        <v>0</v>
      </c>
      <c r="I1646" s="56" t="n">
        <v>17.4</v>
      </c>
      <c r="J1646" s="56" t="n">
        <v>0</v>
      </c>
      <c r="K1646" s="56" t="n">
        <v>1026.5</v>
      </c>
      <c r="L1646" s="56" t="n">
        <v>0</v>
      </c>
      <c r="M1646" s="56" t="n">
        <v>54</v>
      </c>
      <c r="N1646" s="56" t="n">
        <v>12.7</v>
      </c>
      <c r="O1646" s="56" t="n">
        <f aca="false">IF(D1646=1,"",E1645)</f>
        <v>24.9</v>
      </c>
      <c r="P1646" s="56" t="n">
        <f aca="false">IF(OR(D1646=1,K1645=""),"",K1645)</f>
        <v>1023.8</v>
      </c>
      <c r="Q1646" s="56" t="n">
        <f aca="false">IF(OR(F1646&lt;&gt;0,AND(I1646&lt;&gt;"",E1646&lt;I1646)),1,0)</f>
        <v>0</v>
      </c>
      <c r="R1646" s="56" t="n">
        <f aca="false">IF(AND(D1646&gt;1,Q1646=0,ISNUMBER(O1646),ISNUMBER(P1646)),IF(Q1645=0,1,0),0)</f>
        <v>1</v>
      </c>
      <c r="S1646" s="56" t="n">
        <f aca="false">R1646*(B1646&gt;=Train_Start)*(B1646&lt;=Train_End)</f>
        <v>1</v>
      </c>
      <c r="T1646" s="84" t="n">
        <f aca="false">IF(AND(ISNUMBER(O1646),ISNUMBER(P1646)),Coef_A+Coef_B1*O1646+Coef_B2*P1646,"")</f>
        <v>24.6050194550362</v>
      </c>
      <c r="U1646" s="84" t="n">
        <f aca="false">IF(AND(R1646=1,ISNUMBER(T1646)),E1646-T1646,"")</f>
        <v>1.79498054496379</v>
      </c>
      <c r="V1646" s="84" t="n">
        <f aca="false">IF(ISNUMBER(T1646),T1646,-99)</f>
        <v>24.6050194550362</v>
      </c>
      <c r="W1646" s="84" t="n">
        <f aca="false">IF(ISNUMBER(U1646),ABS(U1646),"")</f>
        <v>1.79498054496379</v>
      </c>
    </row>
    <row r="1647" customFormat="false" ht="15" hidden="false" customHeight="false" outlineLevel="0" collapsed="false">
      <c r="A1647" s="57" t="n">
        <v>32744</v>
      </c>
      <c r="B1647" s="56" t="n">
        <v>1989</v>
      </c>
      <c r="C1647" s="56" t="n">
        <v>8</v>
      </c>
      <c r="D1647" s="56" t="n">
        <v>116</v>
      </c>
      <c r="E1647" s="56" t="n">
        <v>21.5</v>
      </c>
      <c r="F1647" s="56" t="n">
        <v>0</v>
      </c>
      <c r="G1647" s="56" t="n">
        <v>11.5</v>
      </c>
      <c r="H1647" s="56" t="n">
        <v>0</v>
      </c>
      <c r="I1647" s="56" t="n">
        <v>19</v>
      </c>
      <c r="J1647" s="56" t="n">
        <v>0</v>
      </c>
      <c r="K1647" s="56" t="n">
        <v>1020.5</v>
      </c>
      <c r="L1647" s="56" t="n">
        <v>0</v>
      </c>
      <c r="M1647" s="56" t="n">
        <v>65</v>
      </c>
      <c r="N1647" s="56" t="n">
        <v>11.8</v>
      </c>
      <c r="O1647" s="56" t="n">
        <f aca="false">IF(D1647=1,"",E1646)</f>
        <v>26.4</v>
      </c>
      <c r="P1647" s="56" t="n">
        <f aca="false">IF(OR(D1647=1,K1646=""),"",K1646)</f>
        <v>1026.5</v>
      </c>
      <c r="Q1647" s="56" t="n">
        <f aca="false">IF(OR(F1647&lt;&gt;0,AND(I1647&lt;&gt;"",E1647&lt;I1647)),1,0)</f>
        <v>0</v>
      </c>
      <c r="R1647" s="56" t="n">
        <f aca="false">IF(AND(D1647&gt;1,Q1647=0,ISNUMBER(O1647),ISNUMBER(P1647)),IF(Q1646=0,1,0),0)</f>
        <v>1</v>
      </c>
      <c r="S1647" s="56" t="n">
        <f aca="false">R1647*(B1647&gt;=Train_Start)*(B1647&lt;=Train_End)</f>
        <v>1</v>
      </c>
      <c r="T1647" s="84" t="n">
        <f aca="false">IF(AND(ISNUMBER(O1647),ISNUMBER(P1647)),Coef_A+Coef_B1*O1647+Coef_B2*P1647,"")</f>
        <v>25.918726960112</v>
      </c>
      <c r="U1647" s="84" t="n">
        <f aca="false">IF(AND(R1647=1,ISNUMBER(T1647)),E1647-T1647,"")</f>
        <v>-4.41872696011196</v>
      </c>
      <c r="V1647" s="84" t="n">
        <f aca="false">IF(ISNUMBER(T1647),T1647,-99)</f>
        <v>25.918726960112</v>
      </c>
      <c r="W1647" s="84" t="n">
        <f aca="false">IF(ISNUMBER(U1647),ABS(U1647),"")</f>
        <v>4.41872696011196</v>
      </c>
    </row>
    <row r="1648" customFormat="false" ht="15" hidden="false" customHeight="false" outlineLevel="0" collapsed="false">
      <c r="A1648" s="57" t="n">
        <v>32745</v>
      </c>
      <c r="B1648" s="56" t="n">
        <v>1989</v>
      </c>
      <c r="C1648" s="56" t="n">
        <v>8</v>
      </c>
      <c r="D1648" s="56" t="n">
        <v>117</v>
      </c>
      <c r="E1648" s="56" t="n">
        <v>23.3</v>
      </c>
      <c r="F1648" s="56" t="n">
        <v>0</v>
      </c>
      <c r="G1648" s="56" t="n">
        <v>15.8</v>
      </c>
      <c r="H1648" s="56" t="n">
        <v>0</v>
      </c>
      <c r="I1648" s="56" t="n">
        <v>18.6</v>
      </c>
      <c r="J1648" s="56" t="n">
        <v>0</v>
      </c>
      <c r="K1648" s="56" t="n">
        <v>1014.5</v>
      </c>
      <c r="L1648" s="56" t="n">
        <v>0</v>
      </c>
      <c r="M1648" s="56" t="n">
        <v>84</v>
      </c>
      <c r="N1648" s="56" t="n">
        <v>1</v>
      </c>
      <c r="O1648" s="56" t="n">
        <f aca="false">IF(D1648=1,"",E1647)</f>
        <v>21.5</v>
      </c>
      <c r="P1648" s="56" t="n">
        <f aca="false">IF(OR(D1648=1,K1647=""),"",K1647)</f>
        <v>1020.5</v>
      </c>
      <c r="Q1648" s="56" t="n">
        <f aca="false">IF(OR(F1648&lt;&gt;0,AND(I1648&lt;&gt;"",E1648&lt;I1648)),1,0)</f>
        <v>0</v>
      </c>
      <c r="R1648" s="56" t="n">
        <f aca="false">IF(AND(D1648&gt;1,Q1648=0,ISNUMBER(O1648),ISNUMBER(P1648)),IF(Q1647=0,1,0),0)</f>
        <v>1</v>
      </c>
      <c r="S1648" s="56" t="n">
        <f aca="false">R1648*(B1648&gt;=Train_Start)*(B1648&lt;=Train_End)</f>
        <v>1</v>
      </c>
      <c r="T1648" s="84" t="n">
        <f aca="false">IF(AND(ISNUMBER(O1648),ISNUMBER(P1648)),Coef_A+Coef_B1*O1648+Coef_B2*P1648,"")</f>
        <v>21.715745546399</v>
      </c>
      <c r="U1648" s="84" t="n">
        <f aca="false">IF(AND(R1648=1,ISNUMBER(T1648)),E1648-T1648,"")</f>
        <v>1.58425445360099</v>
      </c>
      <c r="V1648" s="84" t="n">
        <f aca="false">IF(ISNUMBER(T1648),T1648,-99)</f>
        <v>21.715745546399</v>
      </c>
      <c r="W1648" s="84" t="n">
        <f aca="false">IF(ISNUMBER(U1648),ABS(U1648),"")</f>
        <v>1.58425445360099</v>
      </c>
    </row>
    <row r="1649" customFormat="false" ht="15" hidden="false" customHeight="false" outlineLevel="0" collapsed="false">
      <c r="A1649" s="57" t="n">
        <v>32746</v>
      </c>
      <c r="B1649" s="56" t="n">
        <v>1989</v>
      </c>
      <c r="C1649" s="56" t="n">
        <v>8</v>
      </c>
      <c r="D1649" s="56" t="n">
        <v>118</v>
      </c>
      <c r="E1649" s="56" t="n">
        <v>19.1</v>
      </c>
      <c r="F1649" s="56" t="n">
        <v>0</v>
      </c>
      <c r="G1649" s="56" t="n">
        <v>14.1</v>
      </c>
      <c r="H1649" s="56" t="n">
        <v>0</v>
      </c>
      <c r="I1649" s="56" t="n">
        <v>18.7</v>
      </c>
      <c r="J1649" s="56" t="n">
        <v>0</v>
      </c>
      <c r="K1649" s="56" t="n">
        <v>1009.5</v>
      </c>
      <c r="L1649" s="56" t="n">
        <v>0</v>
      </c>
      <c r="M1649" s="56" t="n">
        <v>89</v>
      </c>
      <c r="N1649" s="56" t="n">
        <v>2.2</v>
      </c>
      <c r="O1649" s="56" t="n">
        <f aca="false">IF(D1649=1,"",E1648)</f>
        <v>23.3</v>
      </c>
      <c r="P1649" s="56" t="n">
        <f aca="false">IF(OR(D1649=1,K1648=""),"",K1648)</f>
        <v>1014.5</v>
      </c>
      <c r="Q1649" s="56" t="n">
        <f aca="false">IF(OR(F1649&lt;&gt;0,AND(I1649&lt;&gt;"",E1649&lt;I1649)),1,0)</f>
        <v>0</v>
      </c>
      <c r="R1649" s="56" t="n">
        <f aca="false">IF(AND(D1649&gt;1,Q1649=0,ISNUMBER(O1649),ISNUMBER(P1649)),IF(Q1648=0,1,0),0)</f>
        <v>1</v>
      </c>
      <c r="S1649" s="56" t="n">
        <f aca="false">R1649*(B1649&gt;=Train_Start)*(B1649&lt;=Train_End)</f>
        <v>1</v>
      </c>
      <c r="T1649" s="84" t="n">
        <f aca="false">IF(AND(ISNUMBER(O1649),ISNUMBER(P1649)),Coef_A+Coef_B1*O1649+Coef_B2*P1649,"")</f>
        <v>23.0023367260719</v>
      </c>
      <c r="U1649" s="84" t="n">
        <f aca="false">IF(AND(R1649=1,ISNUMBER(T1649)),E1649-T1649,"")</f>
        <v>-3.90233672607186</v>
      </c>
      <c r="V1649" s="84" t="n">
        <f aca="false">IF(ISNUMBER(T1649),T1649,-99)</f>
        <v>23.0023367260719</v>
      </c>
      <c r="W1649" s="84" t="n">
        <f aca="false">IF(ISNUMBER(U1649),ABS(U1649),"")</f>
        <v>3.90233672607186</v>
      </c>
    </row>
    <row r="1650" customFormat="false" ht="15" hidden="false" customHeight="false" outlineLevel="0" collapsed="false">
      <c r="A1650" s="57" t="n">
        <v>32747</v>
      </c>
      <c r="B1650" s="56" t="n">
        <v>1989</v>
      </c>
      <c r="C1650" s="56" t="n">
        <v>8</v>
      </c>
      <c r="D1650" s="56" t="n">
        <v>119</v>
      </c>
      <c r="E1650" s="56" t="n">
        <v>19.7</v>
      </c>
      <c r="F1650" s="56" t="n">
        <v>0</v>
      </c>
      <c r="G1650" s="56" t="n">
        <v>13.1</v>
      </c>
      <c r="H1650" s="56" t="n">
        <v>0</v>
      </c>
      <c r="I1650" s="56" t="n">
        <v>16.1</v>
      </c>
      <c r="J1650" s="56" t="n">
        <v>0</v>
      </c>
      <c r="K1650" s="56" t="n">
        <v>1014.2</v>
      </c>
      <c r="L1650" s="56" t="n">
        <v>0</v>
      </c>
      <c r="M1650" s="56" t="n">
        <v>66</v>
      </c>
      <c r="N1650" s="56" t="n">
        <v>8.7</v>
      </c>
      <c r="O1650" s="56" t="n">
        <f aca="false">IF(D1650=1,"",E1649)</f>
        <v>19.1</v>
      </c>
      <c r="P1650" s="56" t="n">
        <f aca="false">IF(OR(D1650=1,K1649=""),"",K1649)</f>
        <v>1009.5</v>
      </c>
      <c r="Q1650" s="56" t="n">
        <f aca="false">IF(OR(F1650&lt;&gt;0,AND(I1650&lt;&gt;"",E1650&lt;I1650)),1,0)</f>
        <v>0</v>
      </c>
      <c r="R1650" s="56" t="n">
        <f aca="false">IF(AND(D1650&gt;1,Q1650=0,ISNUMBER(O1650),ISNUMBER(P1650)),IF(Q1649=0,1,0),0)</f>
        <v>1</v>
      </c>
      <c r="S1650" s="56" t="n">
        <f aca="false">R1650*(B1650&gt;=Train_Start)*(B1650&lt;=Train_End)</f>
        <v>1</v>
      </c>
      <c r="T1650" s="84" t="n">
        <f aca="false">IF(AND(ISNUMBER(O1650),ISNUMBER(P1650)),Coef_A+Coef_B1*O1650+Coef_B2*P1650,"")</f>
        <v>19.4042626421228</v>
      </c>
      <c r="U1650" s="84" t="n">
        <f aca="false">IF(AND(R1650=1,ISNUMBER(T1650)),E1650-T1650,"")</f>
        <v>0.29573735787725</v>
      </c>
      <c r="V1650" s="84" t="n">
        <f aca="false">IF(ISNUMBER(T1650),T1650,-99)</f>
        <v>19.4042626421228</v>
      </c>
      <c r="W1650" s="84" t="n">
        <f aca="false">IF(ISNUMBER(U1650),ABS(U1650),"")</f>
        <v>0.29573735787725</v>
      </c>
    </row>
    <row r="1651" customFormat="false" ht="15" hidden="false" customHeight="false" outlineLevel="0" collapsed="false">
      <c r="A1651" s="57" t="n">
        <v>32748</v>
      </c>
      <c r="B1651" s="56" t="n">
        <v>1989</v>
      </c>
      <c r="C1651" s="56" t="n">
        <v>8</v>
      </c>
      <c r="D1651" s="56" t="n">
        <v>120</v>
      </c>
      <c r="E1651" s="56" t="n">
        <v>19.7</v>
      </c>
      <c r="F1651" s="56" t="n">
        <v>0</v>
      </c>
      <c r="G1651" s="56" t="n">
        <v>8.9</v>
      </c>
      <c r="H1651" s="56" t="n">
        <v>0</v>
      </c>
      <c r="I1651" s="56" t="n">
        <v>14.3</v>
      </c>
      <c r="J1651" s="56" t="n">
        <v>0</v>
      </c>
      <c r="K1651" s="56" t="n">
        <v>1023.2</v>
      </c>
      <c r="L1651" s="56" t="n">
        <v>0</v>
      </c>
      <c r="M1651" s="56" t="n">
        <v>61</v>
      </c>
      <c r="N1651" s="56" t="n">
        <v>12.5</v>
      </c>
      <c r="O1651" s="56" t="n">
        <f aca="false">IF(D1651=1,"",E1650)</f>
        <v>19.7</v>
      </c>
      <c r="P1651" s="56" t="n">
        <f aca="false">IF(OR(D1651=1,K1650=""),"",K1650)</f>
        <v>1014.2</v>
      </c>
      <c r="Q1651" s="56" t="n">
        <f aca="false">IF(OR(F1651&lt;&gt;0,AND(I1651&lt;&gt;"",E1651&lt;I1651)),1,0)</f>
        <v>0</v>
      </c>
      <c r="R1651" s="56" t="n">
        <f aca="false">IF(AND(D1651&gt;1,Q1651=0,ISNUMBER(O1651),ISNUMBER(P1651)),IF(Q1650=0,1,0),0)</f>
        <v>1</v>
      </c>
      <c r="S1651" s="56" t="n">
        <f aca="false">R1651*(B1651&gt;=Train_Start)*(B1651&lt;=Train_End)</f>
        <v>1</v>
      </c>
      <c r="T1651" s="84" t="n">
        <f aca="false">IF(AND(ISNUMBER(O1651),ISNUMBER(P1651)),Coef_A+Coef_B1*O1651+Coef_B2*P1651,"")</f>
        <v>20.0433046627281</v>
      </c>
      <c r="U1651" s="84" t="n">
        <f aca="false">IF(AND(R1651=1,ISNUMBER(T1651)),E1651-T1651,"")</f>
        <v>-0.343304662728094</v>
      </c>
      <c r="V1651" s="84" t="n">
        <f aca="false">IF(ISNUMBER(T1651),T1651,-99)</f>
        <v>20.0433046627281</v>
      </c>
      <c r="W1651" s="84" t="n">
        <f aca="false">IF(ISNUMBER(U1651),ABS(U1651),"")</f>
        <v>0.343304662728094</v>
      </c>
    </row>
    <row r="1652" customFormat="false" ht="15" hidden="false" customHeight="false" outlineLevel="0" collapsed="false">
      <c r="A1652" s="57" t="n">
        <v>32749</v>
      </c>
      <c r="B1652" s="56" t="n">
        <v>1989</v>
      </c>
      <c r="C1652" s="56" t="n">
        <v>8</v>
      </c>
      <c r="D1652" s="56" t="n">
        <v>121</v>
      </c>
      <c r="E1652" s="56" t="n">
        <v>26.2</v>
      </c>
      <c r="F1652" s="56" t="n">
        <v>0</v>
      </c>
      <c r="G1652" s="56" t="n">
        <v>10.1</v>
      </c>
      <c r="H1652" s="56" t="n">
        <v>0</v>
      </c>
      <c r="I1652" s="56" t="n">
        <v>14.9</v>
      </c>
      <c r="J1652" s="56" t="n">
        <v>0</v>
      </c>
      <c r="K1652" s="56" t="n">
        <v>1020.2</v>
      </c>
      <c r="L1652" s="56" t="n">
        <v>0</v>
      </c>
      <c r="M1652" s="56" t="n">
        <v>73</v>
      </c>
      <c r="N1652" s="56" t="n">
        <v>0</v>
      </c>
      <c r="O1652" s="56" t="n">
        <f aca="false">IF(D1652=1,"",E1651)</f>
        <v>19.7</v>
      </c>
      <c r="P1652" s="56" t="n">
        <f aca="false">IF(OR(D1652=1,K1651=""),"",K1651)</f>
        <v>1023.2</v>
      </c>
      <c r="Q1652" s="56" t="n">
        <f aca="false">IF(OR(F1652&lt;&gt;0,AND(I1652&lt;&gt;"",E1652&lt;I1652)),1,0)</f>
        <v>0</v>
      </c>
      <c r="R1652" s="56" t="n">
        <f aca="false">IF(AND(D1652&gt;1,Q1652=0,ISNUMBER(O1652),ISNUMBER(P1652)),IF(Q1651=0,1,0),0)</f>
        <v>1</v>
      </c>
      <c r="S1652" s="56" t="n">
        <f aca="false">R1652*(B1652&gt;=Train_Start)*(B1652&lt;=Train_End)</f>
        <v>1</v>
      </c>
      <c r="T1652" s="84" t="n">
        <f aca="false">IF(AND(ISNUMBER(O1652),ISNUMBER(P1652)),Coef_A+Coef_B1*O1652+Coef_B2*P1652,"")</f>
        <v>20.325633714434</v>
      </c>
      <c r="U1652" s="84" t="n">
        <f aca="false">IF(AND(R1652=1,ISNUMBER(T1652)),E1652-T1652,"")</f>
        <v>5.874366285566</v>
      </c>
      <c r="V1652" s="84" t="n">
        <f aca="false">IF(ISNUMBER(T1652),T1652,-99)</f>
        <v>20.325633714434</v>
      </c>
      <c r="W1652" s="84" t="n">
        <f aca="false">IF(ISNUMBER(U1652),ABS(U1652),"")</f>
        <v>5.874366285566</v>
      </c>
    </row>
    <row r="1653" customFormat="false" ht="15" hidden="false" customHeight="false" outlineLevel="0" collapsed="false">
      <c r="A1653" s="57" t="n">
        <v>32750</v>
      </c>
      <c r="B1653" s="56" t="n">
        <v>1989</v>
      </c>
      <c r="C1653" s="56" t="n">
        <v>8</v>
      </c>
      <c r="D1653" s="56" t="n">
        <v>122</v>
      </c>
      <c r="E1653" s="56" t="n">
        <v>20.1</v>
      </c>
      <c r="F1653" s="56" t="n">
        <v>1</v>
      </c>
      <c r="G1653" s="56" t="n">
        <v>14.7</v>
      </c>
      <c r="H1653" s="56" t="n">
        <v>0</v>
      </c>
      <c r="I1653" s="56" t="n">
        <v>20.4</v>
      </c>
      <c r="J1653" s="56" t="n">
        <v>1</v>
      </c>
      <c r="K1653" s="56" t="n">
        <v>1014.5</v>
      </c>
      <c r="L1653" s="56" t="n">
        <v>0</v>
      </c>
      <c r="M1653" s="56" t="n">
        <v>70</v>
      </c>
      <c r="N1653" s="56" t="n">
        <v>6</v>
      </c>
      <c r="O1653" s="56" t="n">
        <f aca="false">IF(D1653=1,"",E1652)</f>
        <v>26.2</v>
      </c>
      <c r="P1653" s="56" t="n">
        <f aca="false">IF(OR(D1653=1,K1652=""),"",K1652)</f>
        <v>1020.2</v>
      </c>
      <c r="Q1653" s="56" t="n">
        <f aca="false">IF(OR(F1653&lt;&gt;0,AND(I1653&lt;&gt;"",E1653&lt;I1653)),1,0)</f>
        <v>1</v>
      </c>
      <c r="R1653" s="56" t="n">
        <f aca="false">IF(AND(D1653&gt;1,Q1653=0,ISNUMBER(O1653),ISNUMBER(P1653)),IF(Q1652=0,1,0),0)</f>
        <v>0</v>
      </c>
      <c r="S1653" s="56" t="n">
        <f aca="false">R1653*(B1653&gt;=Train_Start)*(B1653&lt;=Train_End)</f>
        <v>0</v>
      </c>
      <c r="T1653" s="84" t="n">
        <f aca="false">IF(AND(ISNUMBER(O1653),ISNUMBER(P1653)),Coef_A+Coef_B1*O1653+Coef_B2*P1653,"")</f>
        <v>25.5572287853093</v>
      </c>
      <c r="U1653" s="84" t="str">
        <f aca="false">IF(AND(R1653=1,ISNUMBER(T1653)),E1653-T1653,"")</f>
        <v/>
      </c>
      <c r="V1653" s="84" t="n">
        <f aca="false">IF(ISNUMBER(T1653),T1653,-99)</f>
        <v>25.5572287853093</v>
      </c>
      <c r="W1653" s="84" t="str">
        <f aca="false">IF(ISNUMBER(U1653),ABS(U1653),"")</f>
        <v/>
      </c>
    </row>
    <row r="1654" customFormat="false" ht="15" hidden="false" customHeight="false" outlineLevel="0" collapsed="false">
      <c r="A1654" s="57" t="n">
        <v>32751</v>
      </c>
      <c r="B1654" s="56" t="n">
        <v>1989</v>
      </c>
      <c r="C1654" s="56" t="n">
        <v>8</v>
      </c>
      <c r="D1654" s="56" t="n">
        <v>123</v>
      </c>
      <c r="E1654" s="56" t="n">
        <v>20.7</v>
      </c>
      <c r="F1654" s="56" t="n">
        <v>0</v>
      </c>
      <c r="G1654" s="56" t="n">
        <v>12</v>
      </c>
      <c r="H1654" s="56" t="n">
        <v>0</v>
      </c>
      <c r="I1654" s="56" t="n">
        <v>16</v>
      </c>
      <c r="J1654" s="56" t="n">
        <v>0</v>
      </c>
      <c r="K1654" s="56" t="n">
        <v>1019</v>
      </c>
      <c r="L1654" s="56" t="n">
        <v>0</v>
      </c>
      <c r="M1654" s="56" t="n">
        <v>66</v>
      </c>
      <c r="N1654" s="56" t="n">
        <v>6.8</v>
      </c>
      <c r="O1654" s="56" t="n">
        <f aca="false">IF(D1654=1,"",E1653)</f>
        <v>20.1</v>
      </c>
      <c r="P1654" s="56" t="n">
        <f aca="false">IF(OR(D1654=1,K1653=""),"",K1653)</f>
        <v>1014.5</v>
      </c>
      <c r="Q1654" s="56" t="n">
        <f aca="false">IF(OR(F1654&lt;&gt;0,AND(I1654&lt;&gt;"",E1654&lt;I1654)),1,0)</f>
        <v>0</v>
      </c>
      <c r="R1654" s="56" t="n">
        <f aca="false">IF(AND(D1654&gt;1,Q1654=0,ISNUMBER(O1654),ISNUMBER(P1654)),IF(Q1653=0,1,0),0)</f>
        <v>0</v>
      </c>
      <c r="S1654" s="56" t="n">
        <f aca="false">R1654*(B1654&gt;=Train_Start)*(B1654&lt;=Train_End)</f>
        <v>0</v>
      </c>
      <c r="T1654" s="84" t="n">
        <f aca="false">IF(AND(ISNUMBER(O1654),ISNUMBER(P1654)),Coef_A+Coef_B1*O1654+Coef_B2*P1654,"")</f>
        <v>20.3804513083354</v>
      </c>
      <c r="U1654" s="84" t="str">
        <f aca="false">IF(AND(R1654=1,ISNUMBER(T1654)),E1654-T1654,"")</f>
        <v/>
      </c>
      <c r="V1654" s="84" t="n">
        <f aca="false">IF(ISNUMBER(T1654),T1654,-99)</f>
        <v>20.3804513083354</v>
      </c>
      <c r="W1654" s="84" t="str">
        <f aca="false">IF(ISNUMBER(U1654),ABS(U1654),"")</f>
        <v/>
      </c>
    </row>
    <row r="1655" customFormat="false" ht="15" hidden="false" customHeight="false" outlineLevel="0" collapsed="false">
      <c r="A1655" s="57" t="n">
        <v>32752</v>
      </c>
      <c r="B1655" s="56" t="n">
        <v>1989</v>
      </c>
      <c r="C1655" s="56" t="n">
        <v>9</v>
      </c>
      <c r="D1655" s="56" t="n">
        <v>124</v>
      </c>
      <c r="E1655" s="56" t="n">
        <v>18.4</v>
      </c>
      <c r="F1655" s="56" t="n">
        <v>0</v>
      </c>
      <c r="G1655" s="56" t="n">
        <v>9.7</v>
      </c>
      <c r="H1655" s="56" t="n">
        <v>0</v>
      </c>
      <c r="I1655" s="56" t="n">
        <v>15.2</v>
      </c>
      <c r="J1655" s="56" t="n">
        <v>0</v>
      </c>
      <c r="K1655" s="56" t="n">
        <v>1022.4</v>
      </c>
      <c r="L1655" s="56" t="n">
        <v>0</v>
      </c>
      <c r="M1655" s="56" t="n">
        <v>60</v>
      </c>
      <c r="N1655" s="56" t="n">
        <v>10</v>
      </c>
      <c r="O1655" s="56" t="n">
        <f aca="false">IF(D1655=1,"",E1654)</f>
        <v>20.7</v>
      </c>
      <c r="P1655" s="56" t="n">
        <f aca="false">IF(OR(D1655=1,K1654=""),"",K1654)</f>
        <v>1019</v>
      </c>
      <c r="Q1655" s="56" t="n">
        <f aca="false">IF(OR(F1655&lt;&gt;0,AND(I1655&lt;&gt;"",E1655&lt;I1655)),1,0)</f>
        <v>0</v>
      </c>
      <c r="R1655" s="56" t="n">
        <f aca="false">IF(AND(D1655&gt;1,Q1655=0,ISNUMBER(O1655),ISNUMBER(P1655)),IF(Q1654=0,1,0),0)</f>
        <v>1</v>
      </c>
      <c r="S1655" s="56" t="n">
        <f aca="false">R1655*(B1655&gt;=Train_Start)*(B1655&lt;=Train_End)</f>
        <v>1</v>
      </c>
      <c r="T1655" s="84" t="n">
        <f aca="false">IF(AND(ISNUMBER(O1655),ISNUMBER(P1655)),Coef_A+Coef_B1*O1655+Coef_B2*P1655,"")</f>
        <v>21.0132193500139</v>
      </c>
      <c r="U1655" s="84" t="n">
        <f aca="false">IF(AND(R1655=1,ISNUMBER(T1655)),E1655-T1655,"")</f>
        <v>-2.6132193500139</v>
      </c>
      <c r="V1655" s="84" t="n">
        <f aca="false">IF(ISNUMBER(T1655),T1655,-99)</f>
        <v>21.0132193500139</v>
      </c>
      <c r="W1655" s="84" t="n">
        <f aca="false">IF(ISNUMBER(U1655),ABS(U1655),"")</f>
        <v>2.6132193500139</v>
      </c>
    </row>
    <row r="1656" customFormat="false" ht="15" hidden="false" customHeight="false" outlineLevel="0" collapsed="false">
      <c r="A1656" s="57" t="n">
        <v>32753</v>
      </c>
      <c r="B1656" s="56" t="n">
        <v>1989</v>
      </c>
      <c r="C1656" s="56" t="n">
        <v>9</v>
      </c>
      <c r="D1656" s="56" t="n">
        <v>125</v>
      </c>
      <c r="E1656" s="56" t="n">
        <v>18.7</v>
      </c>
      <c r="F1656" s="56" t="n">
        <v>0</v>
      </c>
      <c r="G1656" s="56" t="n">
        <v>11.3</v>
      </c>
      <c r="H1656" s="56" t="n">
        <v>0</v>
      </c>
      <c r="I1656" s="56" t="n">
        <v>14.8</v>
      </c>
      <c r="J1656" s="56" t="n">
        <v>0</v>
      </c>
      <c r="K1656" s="56" t="n">
        <v>1024.1</v>
      </c>
      <c r="L1656" s="56" t="n">
        <v>0</v>
      </c>
      <c r="M1656" s="56" t="n">
        <v>60</v>
      </c>
      <c r="N1656" s="56" t="n">
        <v>9.3</v>
      </c>
      <c r="O1656" s="56" t="n">
        <f aca="false">IF(D1656=1,"",E1655)</f>
        <v>18.4</v>
      </c>
      <c r="P1656" s="56" t="n">
        <f aca="false">IF(OR(D1656=1,K1655=""),"",K1655)</f>
        <v>1022.4</v>
      </c>
      <c r="Q1656" s="56" t="n">
        <f aca="false">IF(OR(F1656&lt;&gt;0,AND(I1656&lt;&gt;"",E1656&lt;I1656)),1,0)</f>
        <v>0</v>
      </c>
      <c r="R1656" s="56" t="n">
        <f aca="false">IF(AND(D1656&gt;1,Q1656=0,ISNUMBER(O1656),ISNUMBER(P1656)),IF(Q1655=0,1,0),0)</f>
        <v>1</v>
      </c>
      <c r="S1656" s="56" t="n">
        <f aca="false">R1656*(B1656&gt;=Train_Start)*(B1656&lt;=Train_End)</f>
        <v>1</v>
      </c>
      <c r="T1656" s="84" t="n">
        <f aca="false">IF(AND(ISNUMBER(O1656),ISNUMBER(P1656)),Coef_A+Coef_B1*O1656+Coef_B2*P1656,"")</f>
        <v>19.2353968477714</v>
      </c>
      <c r="U1656" s="84" t="n">
        <f aca="false">IF(AND(R1656=1,ISNUMBER(T1656)),E1656-T1656,"")</f>
        <v>-0.535396847771356</v>
      </c>
      <c r="V1656" s="84" t="n">
        <f aca="false">IF(ISNUMBER(T1656),T1656,-99)</f>
        <v>19.2353968477714</v>
      </c>
      <c r="W1656" s="84" t="n">
        <f aca="false">IF(ISNUMBER(U1656),ABS(U1656),"")</f>
        <v>0.535396847771356</v>
      </c>
    </row>
    <row r="1657" customFormat="false" ht="15" hidden="false" customHeight="false" outlineLevel="0" collapsed="false">
      <c r="A1657" s="57" t="n">
        <v>32754</v>
      </c>
      <c r="B1657" s="56" t="n">
        <v>1989</v>
      </c>
      <c r="C1657" s="56" t="n">
        <v>9</v>
      </c>
      <c r="D1657" s="56" t="n">
        <v>126</v>
      </c>
      <c r="E1657" s="56" t="n">
        <v>21.2</v>
      </c>
      <c r="F1657" s="56" t="n">
        <v>0</v>
      </c>
      <c r="G1657" s="56" t="n">
        <v>7.8</v>
      </c>
      <c r="H1657" s="56" t="n">
        <v>0</v>
      </c>
      <c r="I1657" s="56" t="n">
        <v>13.2</v>
      </c>
      <c r="J1657" s="56" t="n">
        <v>0</v>
      </c>
      <c r="K1657" s="56" t="n">
        <v>1026.3</v>
      </c>
      <c r="L1657" s="56" t="n">
        <v>0</v>
      </c>
      <c r="M1657" s="56" t="n">
        <v>60</v>
      </c>
      <c r="N1657" s="56" t="n">
        <v>7.4</v>
      </c>
      <c r="O1657" s="56" t="n">
        <f aca="false">IF(D1657=1,"",E1656)</f>
        <v>18.7</v>
      </c>
      <c r="P1657" s="56" t="n">
        <f aca="false">IF(OR(D1657=1,K1656=""),"",K1656)</f>
        <v>1024.1</v>
      </c>
      <c r="Q1657" s="56" t="n">
        <f aca="false">IF(OR(F1657&lt;&gt;0,AND(I1657&lt;&gt;"",E1657&lt;I1657)),1,0)</f>
        <v>0</v>
      </c>
      <c r="R1657" s="56" t="n">
        <f aca="false">IF(AND(D1657&gt;1,Q1657=0,ISNUMBER(O1657),ISNUMBER(P1657)),IF(Q1656=0,1,0),0)</f>
        <v>1</v>
      </c>
      <c r="S1657" s="56" t="n">
        <f aca="false">R1657*(B1657&gt;=Train_Start)*(B1657&lt;=Train_End)</f>
        <v>1</v>
      </c>
      <c r="T1657" s="84" t="n">
        <f aca="false">IF(AND(ISNUMBER(O1657),ISNUMBER(P1657)),Coef_A+Coef_B1*O1657+Coef_B2*P1657,"")</f>
        <v>19.5345274265619</v>
      </c>
      <c r="U1657" s="84" t="n">
        <f aca="false">IF(AND(R1657=1,ISNUMBER(T1657)),E1657-T1657,"")</f>
        <v>1.66547257343808</v>
      </c>
      <c r="V1657" s="84" t="n">
        <f aca="false">IF(ISNUMBER(T1657),T1657,-99)</f>
        <v>19.5345274265619</v>
      </c>
      <c r="W1657" s="84" t="n">
        <f aca="false">IF(ISNUMBER(U1657),ABS(U1657),"")</f>
        <v>1.66547257343808</v>
      </c>
    </row>
    <row r="1658" customFormat="false" ht="15" hidden="false" customHeight="false" outlineLevel="0" collapsed="false">
      <c r="A1658" s="57" t="n">
        <v>32755</v>
      </c>
      <c r="B1658" s="56" t="n">
        <v>1989</v>
      </c>
      <c r="C1658" s="56" t="n">
        <v>9</v>
      </c>
      <c r="D1658" s="56" t="n">
        <v>127</v>
      </c>
      <c r="E1658" s="56" t="n">
        <v>22.9</v>
      </c>
      <c r="F1658" s="56" t="n">
        <v>0</v>
      </c>
      <c r="G1658" s="56" t="n">
        <v>12</v>
      </c>
      <c r="H1658" s="56" t="n">
        <v>0</v>
      </c>
      <c r="I1658" s="56" t="n">
        <v>16.6</v>
      </c>
      <c r="J1658" s="56" t="n">
        <v>0</v>
      </c>
      <c r="K1658" s="56" t="n">
        <v>1024.9</v>
      </c>
      <c r="L1658" s="56" t="n">
        <v>0</v>
      </c>
      <c r="M1658" s="56" t="n">
        <v>53</v>
      </c>
      <c r="N1658" s="56" t="n">
        <v>5.5</v>
      </c>
      <c r="O1658" s="56" t="n">
        <f aca="false">IF(D1658=1,"",E1657)</f>
        <v>21.2</v>
      </c>
      <c r="P1658" s="56" t="n">
        <f aca="false">IF(OR(D1658=1,K1657=""),"",K1657)</f>
        <v>1026.3</v>
      </c>
      <c r="Q1658" s="56" t="n">
        <f aca="false">IF(OR(F1658&lt;&gt;0,AND(I1658&lt;&gt;"",E1658&lt;I1658)),1,0)</f>
        <v>0</v>
      </c>
      <c r="R1658" s="56" t="n">
        <f aca="false">IF(AND(D1658&gt;1,Q1658=0,ISNUMBER(O1658),ISNUMBER(P1658)),IF(Q1657=0,1,0),0)</f>
        <v>1</v>
      </c>
      <c r="S1658" s="56" t="n">
        <f aca="false">R1658*(B1658&gt;=Train_Start)*(B1658&lt;=Train_End)</f>
        <v>1</v>
      </c>
      <c r="T1658" s="84" t="n">
        <f aca="false">IF(AND(ISNUMBER(O1658),ISNUMBER(P1658)),Coef_A+Coef_B1*O1658+Coef_B2*P1658,"")</f>
        <v>21.6518891773633</v>
      </c>
      <c r="U1658" s="84" t="n">
        <f aca="false">IF(AND(R1658=1,ISNUMBER(T1658)),E1658-T1658,"")</f>
        <v>1.24811082263665</v>
      </c>
      <c r="V1658" s="84" t="n">
        <f aca="false">IF(ISNUMBER(T1658),T1658,-99)</f>
        <v>21.6518891773633</v>
      </c>
      <c r="W1658" s="84" t="n">
        <f aca="false">IF(ISNUMBER(U1658),ABS(U1658),"")</f>
        <v>1.24811082263665</v>
      </c>
    </row>
    <row r="1659" customFormat="false" ht="15" hidden="false" customHeight="false" outlineLevel="0" collapsed="false">
      <c r="A1659" s="57" t="n">
        <v>32756</v>
      </c>
      <c r="B1659" s="56" t="n">
        <v>1989</v>
      </c>
      <c r="C1659" s="56" t="n">
        <v>9</v>
      </c>
      <c r="D1659" s="56" t="n">
        <v>128</v>
      </c>
      <c r="E1659" s="56" t="n">
        <v>25.7</v>
      </c>
      <c r="F1659" s="56" t="n">
        <v>0</v>
      </c>
      <c r="G1659" s="56" t="n">
        <v>12.5</v>
      </c>
      <c r="H1659" s="56" t="n">
        <v>0</v>
      </c>
      <c r="I1659" s="56" t="n">
        <v>17.7</v>
      </c>
      <c r="J1659" s="56" t="n">
        <v>0</v>
      </c>
      <c r="K1659" s="56" t="n">
        <v>1026.7</v>
      </c>
      <c r="L1659" s="56" t="n">
        <v>0</v>
      </c>
      <c r="M1659" s="56" t="n">
        <v>61</v>
      </c>
      <c r="N1659" s="56" t="n">
        <v>9.2</v>
      </c>
      <c r="O1659" s="56" t="n">
        <f aca="false">IF(D1659=1,"",E1658)</f>
        <v>22.9</v>
      </c>
      <c r="P1659" s="56" t="n">
        <f aca="false">IF(OR(D1659=1,K1658=""),"",K1658)</f>
        <v>1024.9</v>
      </c>
      <c r="Q1659" s="56" t="n">
        <f aca="false">IF(OR(F1659&lt;&gt;0,AND(I1659&lt;&gt;"",E1659&lt;I1659)),1,0)</f>
        <v>0</v>
      </c>
      <c r="R1659" s="56" t="n">
        <f aca="false">IF(AND(D1659&gt;1,Q1659=0,ISNUMBER(O1659),ISNUMBER(P1659)),IF(Q1658=0,1,0),0)</f>
        <v>1</v>
      </c>
      <c r="S1659" s="56" t="n">
        <f aca="false">R1659*(B1659&gt;=Train_Start)*(B1659&lt;=Train_End)</f>
        <v>1</v>
      </c>
      <c r="T1659" s="84" t="n">
        <f aca="false">IF(AND(ISNUMBER(O1659),ISNUMBER(P1659)),Coef_A+Coef_B1*O1659+Coef_B2*P1659,"")</f>
        <v>23.0008479530483</v>
      </c>
      <c r="U1659" s="84" t="n">
        <f aca="false">IF(AND(R1659=1,ISNUMBER(T1659)),E1659-T1659,"")</f>
        <v>2.69915204695172</v>
      </c>
      <c r="V1659" s="84" t="n">
        <f aca="false">IF(ISNUMBER(T1659),T1659,-99)</f>
        <v>23.0008479530483</v>
      </c>
      <c r="W1659" s="84" t="n">
        <f aca="false">IF(ISNUMBER(U1659),ABS(U1659),"")</f>
        <v>2.69915204695172</v>
      </c>
    </row>
    <row r="1660" customFormat="false" ht="15" hidden="false" customHeight="false" outlineLevel="0" collapsed="false">
      <c r="A1660" s="57" t="n">
        <v>32757</v>
      </c>
      <c r="B1660" s="56" t="n">
        <v>1989</v>
      </c>
      <c r="C1660" s="56" t="n">
        <v>9</v>
      </c>
      <c r="D1660" s="56" t="n">
        <v>129</v>
      </c>
      <c r="E1660" s="56" t="n">
        <v>26.7</v>
      </c>
      <c r="F1660" s="56" t="n">
        <v>0</v>
      </c>
      <c r="G1660" s="56" t="n">
        <v>11.1</v>
      </c>
      <c r="H1660" s="56" t="n">
        <v>0</v>
      </c>
      <c r="I1660" s="56" t="n">
        <v>18.4</v>
      </c>
      <c r="J1660" s="56" t="n">
        <v>0</v>
      </c>
      <c r="K1660" s="56" t="n">
        <v>1025.8</v>
      </c>
      <c r="L1660" s="56" t="n">
        <v>0</v>
      </c>
      <c r="M1660" s="56" t="n">
        <v>62</v>
      </c>
      <c r="N1660" s="56" t="n">
        <v>11.3</v>
      </c>
      <c r="O1660" s="56" t="n">
        <f aca="false">IF(D1660=1,"",E1659)</f>
        <v>25.7</v>
      </c>
      <c r="P1660" s="56" t="n">
        <f aca="false">IF(OR(D1660=1,K1659=""),"",K1659)</f>
        <v>1026.7</v>
      </c>
      <c r="Q1660" s="56" t="n">
        <f aca="false">IF(OR(F1660&lt;&gt;0,AND(I1660&lt;&gt;"",E1660&lt;I1660)),1,0)</f>
        <v>0</v>
      </c>
      <c r="R1660" s="56" t="n">
        <f aca="false">IF(AND(D1660&gt;1,Q1660=0,ISNUMBER(O1660),ISNUMBER(P1660)),IF(Q1659=0,1,0),0)</f>
        <v>1</v>
      </c>
      <c r="S1660" s="56" t="n">
        <f aca="false">R1660*(B1660&gt;=Train_Start)*(B1660&lt;=Train_End)</f>
        <v>1</v>
      </c>
      <c r="T1660" s="84" t="n">
        <f aca="false">IF(AND(ISNUMBER(O1660),ISNUMBER(P1660)),Coef_A+Coef_B1*O1660+Coef_B2*P1660,"")</f>
        <v>25.3514635039089</v>
      </c>
      <c r="U1660" s="84" t="n">
        <f aca="false">IF(AND(R1660=1,ISNUMBER(T1660)),E1660-T1660,"")</f>
        <v>1.34853649609109</v>
      </c>
      <c r="V1660" s="84" t="n">
        <f aca="false">IF(ISNUMBER(T1660),T1660,-99)</f>
        <v>25.3514635039089</v>
      </c>
      <c r="W1660" s="84" t="n">
        <f aca="false">IF(ISNUMBER(U1660),ABS(U1660),"")</f>
        <v>1.34853649609109</v>
      </c>
    </row>
    <row r="1661" customFormat="false" ht="15" hidden="false" customHeight="false" outlineLevel="0" collapsed="false">
      <c r="A1661" s="57" t="n">
        <v>32758</v>
      </c>
      <c r="B1661" s="56" t="n">
        <v>1989</v>
      </c>
      <c r="C1661" s="56" t="n">
        <v>9</v>
      </c>
      <c r="D1661" s="56" t="n">
        <v>130</v>
      </c>
      <c r="E1661" s="56" t="n">
        <v>22.6</v>
      </c>
      <c r="F1661" s="56" t="n">
        <v>0</v>
      </c>
      <c r="G1661" s="56" t="n">
        <v>12.8</v>
      </c>
      <c r="H1661" s="56" t="n">
        <v>0</v>
      </c>
      <c r="I1661" s="56" t="n">
        <v>19.8</v>
      </c>
      <c r="J1661" s="56" t="n">
        <v>0</v>
      </c>
      <c r="K1661" s="56" t="n">
        <v>1020.6</v>
      </c>
      <c r="L1661" s="56" t="n">
        <v>0</v>
      </c>
      <c r="M1661" s="56" t="n">
        <v>61</v>
      </c>
      <c r="N1661" s="56" t="n">
        <v>10.3</v>
      </c>
      <c r="O1661" s="56" t="n">
        <f aca="false">IF(D1661=1,"",E1660)</f>
        <v>26.7</v>
      </c>
      <c r="P1661" s="56" t="n">
        <f aca="false">IF(OR(D1661=1,K1660=""),"",K1660)</f>
        <v>1025.8</v>
      </c>
      <c r="Q1661" s="56" t="n">
        <f aca="false">IF(OR(F1661&lt;&gt;0,AND(I1661&lt;&gt;"",E1661&lt;I1661)),1,0)</f>
        <v>0</v>
      </c>
      <c r="R1661" s="56" t="n">
        <f aca="false">IF(AND(D1661&gt;1,Q1661=0,ISNUMBER(O1661),ISNUMBER(P1661)),IF(Q1660=0,1,0),0)</f>
        <v>1</v>
      </c>
      <c r="S1661" s="56" t="n">
        <f aca="false">R1661*(B1661&gt;=Train_Start)*(B1661&lt;=Train_End)</f>
        <v>1</v>
      </c>
      <c r="T1661" s="84" t="n">
        <f aca="false">IF(AND(ISNUMBER(O1661),ISNUMBER(P1661)),Coef_A+Coef_B1*O1661+Coef_B2*P1661,"")</f>
        <v>26.142569791781</v>
      </c>
      <c r="U1661" s="84" t="n">
        <f aca="false">IF(AND(R1661=1,ISNUMBER(T1661)),E1661-T1661,"")</f>
        <v>-3.54256979178097</v>
      </c>
      <c r="V1661" s="84" t="n">
        <f aca="false">IF(ISNUMBER(T1661),T1661,-99)</f>
        <v>26.142569791781</v>
      </c>
      <c r="W1661" s="84" t="n">
        <f aca="false">IF(ISNUMBER(U1661),ABS(U1661),"")</f>
        <v>3.54256979178097</v>
      </c>
    </row>
    <row r="1662" customFormat="false" ht="15" hidden="false" customHeight="false" outlineLevel="0" collapsed="false">
      <c r="A1662" s="57" t="n">
        <v>32759</v>
      </c>
      <c r="B1662" s="56" t="n">
        <v>1989</v>
      </c>
      <c r="C1662" s="56" t="n">
        <v>9</v>
      </c>
      <c r="D1662" s="56" t="n">
        <v>131</v>
      </c>
      <c r="E1662" s="56" t="n">
        <v>16.5</v>
      </c>
      <c r="F1662" s="56" t="n">
        <v>1</v>
      </c>
      <c r="G1662" s="56" t="n">
        <v>16</v>
      </c>
      <c r="H1662" s="56" t="n">
        <v>0</v>
      </c>
      <c r="I1662" s="56" t="n">
        <v>19.3</v>
      </c>
      <c r="J1662" s="56" t="n">
        <v>1</v>
      </c>
      <c r="K1662" s="56" t="n">
        <v>1016.1</v>
      </c>
      <c r="L1662" s="56" t="n">
        <v>0</v>
      </c>
      <c r="M1662" s="56" t="n">
        <v>69</v>
      </c>
      <c r="N1662" s="56" t="n">
        <v>2.9</v>
      </c>
      <c r="O1662" s="56" t="n">
        <f aca="false">IF(D1662=1,"",E1661)</f>
        <v>22.6</v>
      </c>
      <c r="P1662" s="56" t="n">
        <f aca="false">IF(OR(D1662=1,K1661=""),"",K1661)</f>
        <v>1020.6</v>
      </c>
      <c r="Q1662" s="56" t="n">
        <f aca="false">IF(OR(F1662&lt;&gt;0,AND(I1662&lt;&gt;"",E1662&lt;I1662)),1,0)</f>
        <v>1</v>
      </c>
      <c r="R1662" s="56" t="n">
        <f aca="false">IF(AND(D1662&gt;1,Q1662=0,ISNUMBER(O1662),ISNUMBER(P1662)),IF(Q1661=0,1,0),0)</f>
        <v>0</v>
      </c>
      <c r="S1662" s="56" t="n">
        <f aca="false">R1662*(B1662&gt;=Train_Start)*(B1662&lt;=Train_End)</f>
        <v>0</v>
      </c>
      <c r="T1662" s="84" t="n">
        <f aca="false">IF(AND(ISNUMBER(O1662),ISNUMBER(P1662)),Coef_A+Coef_B1*O1662+Coef_B2*P1662,"")</f>
        <v>22.6201556482093</v>
      </c>
      <c r="U1662" s="84" t="str">
        <f aca="false">IF(AND(R1662=1,ISNUMBER(T1662)),E1662-T1662,"")</f>
        <v/>
      </c>
      <c r="V1662" s="84" t="n">
        <f aca="false">IF(ISNUMBER(T1662),T1662,-99)</f>
        <v>22.6201556482093</v>
      </c>
      <c r="W1662" s="84" t="str">
        <f aca="false">IF(ISNUMBER(U1662),ABS(U1662),"")</f>
        <v/>
      </c>
    </row>
    <row r="1663" customFormat="false" ht="15" hidden="false" customHeight="false" outlineLevel="0" collapsed="false">
      <c r="A1663" s="57" t="n">
        <v>32760</v>
      </c>
      <c r="B1663" s="56" t="n">
        <v>1989</v>
      </c>
      <c r="C1663" s="56" t="n">
        <v>9</v>
      </c>
      <c r="D1663" s="56" t="n">
        <v>132</v>
      </c>
      <c r="E1663" s="56" t="n">
        <v>19.7</v>
      </c>
      <c r="F1663" s="56" t="n">
        <v>0</v>
      </c>
      <c r="G1663" s="56" t="n">
        <v>14.1</v>
      </c>
      <c r="H1663" s="56" t="n">
        <v>0</v>
      </c>
      <c r="I1663" s="56" t="n">
        <v>15.3</v>
      </c>
      <c r="J1663" s="56" t="n">
        <v>0</v>
      </c>
      <c r="K1663" s="56" t="n">
        <v>1016.3</v>
      </c>
      <c r="L1663" s="56" t="n">
        <v>0</v>
      </c>
      <c r="M1663" s="56" t="n">
        <v>81</v>
      </c>
      <c r="N1663" s="56" t="n">
        <v>0</v>
      </c>
      <c r="O1663" s="56" t="n">
        <f aca="false">IF(D1663=1,"",E1662)</f>
        <v>16.5</v>
      </c>
      <c r="P1663" s="56" t="n">
        <f aca="false">IF(OR(D1663=1,K1662=""),"",K1662)</f>
        <v>1016.1</v>
      </c>
      <c r="Q1663" s="56" t="n">
        <f aca="false">IF(OR(F1663&lt;&gt;0,AND(I1663&lt;&gt;"",E1663&lt;I1663)),1,0)</f>
        <v>0</v>
      </c>
      <c r="R1663" s="56" t="n">
        <f aca="false">IF(AND(D1663&gt;1,Q1663=0,ISNUMBER(O1663),ISNUMBER(P1663)),IF(Q1662=0,1,0),0)</f>
        <v>0</v>
      </c>
      <c r="S1663" s="56" t="n">
        <f aca="false">R1663*(B1663&gt;=Train_Start)*(B1663&lt;=Train_End)</f>
        <v>0</v>
      </c>
      <c r="T1663" s="84" t="n">
        <f aca="false">IF(AND(ISNUMBER(O1663),ISNUMBER(P1663)),Coef_A+Coef_B1*O1663+Coef_B2*P1663,"")</f>
        <v>17.4810220447962</v>
      </c>
      <c r="U1663" s="84" t="str">
        <f aca="false">IF(AND(R1663=1,ISNUMBER(T1663)),E1663-T1663,"")</f>
        <v/>
      </c>
      <c r="V1663" s="84" t="n">
        <f aca="false">IF(ISNUMBER(T1663),T1663,-99)</f>
        <v>17.4810220447962</v>
      </c>
      <c r="W1663" s="84" t="str">
        <f aca="false">IF(ISNUMBER(U1663),ABS(U1663),"")</f>
        <v/>
      </c>
    </row>
    <row r="1664" customFormat="false" ht="15" hidden="false" customHeight="false" outlineLevel="0" collapsed="false">
      <c r="A1664" s="57" t="n">
        <v>32761</v>
      </c>
      <c r="B1664" s="56" t="n">
        <v>1989</v>
      </c>
      <c r="C1664" s="56" t="n">
        <v>9</v>
      </c>
      <c r="D1664" s="56" t="n">
        <v>133</v>
      </c>
      <c r="E1664" s="56" t="n">
        <v>19.4</v>
      </c>
      <c r="F1664" s="56" t="n">
        <v>0</v>
      </c>
      <c r="G1664" s="56" t="n">
        <v>13.4</v>
      </c>
      <c r="H1664" s="56" t="n">
        <v>0</v>
      </c>
      <c r="I1664" s="56" t="n">
        <v>16.6</v>
      </c>
      <c r="J1664" s="56" t="n">
        <v>0</v>
      </c>
      <c r="K1664" s="56" t="n">
        <v>1016.7</v>
      </c>
      <c r="L1664" s="56" t="n">
        <v>0</v>
      </c>
      <c r="M1664" s="56" t="n">
        <v>73</v>
      </c>
      <c r="N1664" s="56" t="n">
        <v>0.1</v>
      </c>
      <c r="O1664" s="56" t="n">
        <f aca="false">IF(D1664=1,"",E1663)</f>
        <v>19.7</v>
      </c>
      <c r="P1664" s="56" t="n">
        <f aca="false">IF(OR(D1664=1,K1663=""),"",K1663)</f>
        <v>1016.3</v>
      </c>
      <c r="Q1664" s="56" t="n">
        <f aca="false">IF(OR(F1664&lt;&gt;0,AND(I1664&lt;&gt;"",E1664&lt;I1664)),1,0)</f>
        <v>0</v>
      </c>
      <c r="R1664" s="56" t="n">
        <f aca="false">IF(AND(D1664&gt;1,Q1664=0,ISNUMBER(O1664),ISNUMBER(P1664)),IF(Q1663=0,1,0),0)</f>
        <v>1</v>
      </c>
      <c r="S1664" s="56" t="n">
        <f aca="false">R1664*(B1664&gt;=Train_Start)*(B1664&lt;=Train_End)</f>
        <v>1</v>
      </c>
      <c r="T1664" s="84" t="n">
        <f aca="false">IF(AND(ISNUMBER(O1664),ISNUMBER(P1664)),Coef_A+Coef_B1*O1664+Coef_B2*P1664,"")</f>
        <v>20.1091814414595</v>
      </c>
      <c r="U1664" s="84" t="n">
        <f aca="false">IF(AND(R1664=1,ISNUMBER(T1664)),E1664-T1664,"")</f>
        <v>-0.709181441459471</v>
      </c>
      <c r="V1664" s="84" t="n">
        <f aca="false">IF(ISNUMBER(T1664),T1664,-99)</f>
        <v>20.1091814414595</v>
      </c>
      <c r="W1664" s="84" t="n">
        <f aca="false">IF(ISNUMBER(U1664),ABS(U1664),"")</f>
        <v>0.709181441459471</v>
      </c>
    </row>
    <row r="1665" customFormat="false" ht="15" hidden="false" customHeight="false" outlineLevel="0" collapsed="false">
      <c r="A1665" s="57" t="n">
        <v>32762</v>
      </c>
      <c r="B1665" s="56" t="n">
        <v>1989</v>
      </c>
      <c r="C1665" s="56" t="n">
        <v>9</v>
      </c>
      <c r="D1665" s="56" t="n">
        <v>134</v>
      </c>
      <c r="E1665" s="56" t="n">
        <v>21.2</v>
      </c>
      <c r="F1665" s="56" t="n">
        <v>0</v>
      </c>
      <c r="G1665" s="56" t="n">
        <v>16.2</v>
      </c>
      <c r="H1665" s="56" t="n">
        <v>0</v>
      </c>
      <c r="I1665" s="56" t="n">
        <v>17.8</v>
      </c>
      <c r="J1665" s="56" t="n">
        <v>0</v>
      </c>
      <c r="K1665" s="56" t="n">
        <v>1017.5</v>
      </c>
      <c r="L1665" s="56" t="n">
        <v>0</v>
      </c>
      <c r="M1665" s="56" t="n">
        <v>81</v>
      </c>
      <c r="N1665" s="56" t="n">
        <v>0</v>
      </c>
      <c r="O1665" s="56" t="n">
        <f aca="false">IF(D1665=1,"",E1664)</f>
        <v>19.4</v>
      </c>
      <c r="P1665" s="56" t="n">
        <f aca="false">IF(OR(D1665=1,K1664=""),"",K1664)</f>
        <v>1016.7</v>
      </c>
      <c r="Q1665" s="56" t="n">
        <f aca="false">IF(OR(F1665&lt;&gt;0,AND(I1665&lt;&gt;"",E1665&lt;I1665)),1,0)</f>
        <v>0</v>
      </c>
      <c r="R1665" s="56" t="n">
        <f aca="false">IF(AND(D1665&gt;1,Q1665=0,ISNUMBER(O1665),ISNUMBER(P1665)),IF(Q1664=0,1,0),0)</f>
        <v>1</v>
      </c>
      <c r="S1665" s="56" t="n">
        <f aca="false">R1665*(B1665&gt;=Train_Start)*(B1665&lt;=Train_End)</f>
        <v>1</v>
      </c>
      <c r="T1665" s="84" t="n">
        <f aca="false">IF(AND(ISNUMBER(O1665),ISNUMBER(P1665)),Coef_A+Coef_B1*O1665+Coef_B2*P1665,"")</f>
        <v>19.8759276414003</v>
      </c>
      <c r="U1665" s="84" t="n">
        <f aca="false">IF(AND(R1665=1,ISNUMBER(T1665)),E1665-T1665,"")</f>
        <v>1.32407235859973</v>
      </c>
      <c r="V1665" s="84" t="n">
        <f aca="false">IF(ISNUMBER(T1665),T1665,-99)</f>
        <v>19.8759276414003</v>
      </c>
      <c r="W1665" s="84" t="n">
        <f aca="false">IF(ISNUMBER(U1665),ABS(U1665),"")</f>
        <v>1.32407235859973</v>
      </c>
    </row>
    <row r="1666" customFormat="false" ht="15" hidden="false" customHeight="false" outlineLevel="0" collapsed="false">
      <c r="A1666" s="57" t="n">
        <v>32763</v>
      </c>
      <c r="B1666" s="56" t="n">
        <v>1989</v>
      </c>
      <c r="C1666" s="56" t="n">
        <v>9</v>
      </c>
      <c r="D1666" s="56" t="n">
        <v>135</v>
      </c>
      <c r="E1666" s="56" t="n">
        <v>19.4</v>
      </c>
      <c r="F1666" s="56" t="n">
        <v>0</v>
      </c>
      <c r="G1666" s="56" t="n">
        <v>15.4</v>
      </c>
      <c r="H1666" s="56" t="n">
        <v>0</v>
      </c>
      <c r="I1666" s="56" t="n">
        <v>18.3</v>
      </c>
      <c r="J1666" s="56" t="n">
        <v>0</v>
      </c>
      <c r="K1666" s="56" t="n">
        <v>1016.2</v>
      </c>
      <c r="L1666" s="56" t="n">
        <v>0</v>
      </c>
      <c r="M1666" s="56" t="n">
        <v>85</v>
      </c>
      <c r="N1666" s="56" t="n">
        <v>0.6</v>
      </c>
      <c r="O1666" s="56" t="n">
        <f aca="false">IF(D1666=1,"",E1665)</f>
        <v>21.2</v>
      </c>
      <c r="P1666" s="56" t="n">
        <f aca="false">IF(OR(D1666=1,K1665=""),"",K1665)</f>
        <v>1017.5</v>
      </c>
      <c r="Q1666" s="56" t="n">
        <f aca="false">IF(OR(F1666&lt;&gt;0,AND(I1666&lt;&gt;"",E1666&lt;I1666)),1,0)</f>
        <v>0</v>
      </c>
      <c r="R1666" s="56" t="n">
        <f aca="false">IF(AND(D1666&gt;1,Q1666=0,ISNUMBER(O1666),ISNUMBER(P1666)),IF(Q1665=0,1,0),0)</f>
        <v>1</v>
      </c>
      <c r="S1666" s="56" t="n">
        <f aca="false">R1666*(B1666&gt;=Train_Start)*(B1666&lt;=Train_End)</f>
        <v>1</v>
      </c>
      <c r="T1666" s="84" t="n">
        <f aca="false">IF(AND(ISNUMBER(O1666),ISNUMBER(P1666)),Coef_A+Coef_B1*O1666+Coef_B2*P1666,"")</f>
        <v>21.3758341045842</v>
      </c>
      <c r="U1666" s="84" t="n">
        <f aca="false">IF(AND(R1666=1,ISNUMBER(T1666)),E1666-T1666,"")</f>
        <v>-1.97583410458425</v>
      </c>
      <c r="V1666" s="84" t="n">
        <f aca="false">IF(ISNUMBER(T1666),T1666,-99)</f>
        <v>21.3758341045842</v>
      </c>
      <c r="W1666" s="84" t="n">
        <f aca="false">IF(ISNUMBER(U1666),ABS(U1666),"")</f>
        <v>1.97583410458425</v>
      </c>
    </row>
    <row r="1667" customFormat="false" ht="15" hidden="false" customHeight="false" outlineLevel="0" collapsed="false">
      <c r="A1667" s="57" t="n">
        <v>32764</v>
      </c>
      <c r="B1667" s="56" t="n">
        <v>1989</v>
      </c>
      <c r="C1667" s="56" t="n">
        <v>9</v>
      </c>
      <c r="D1667" s="56" t="n">
        <v>136</v>
      </c>
      <c r="E1667" s="56" t="n">
        <v>16.7</v>
      </c>
      <c r="F1667" s="56" t="n">
        <v>0</v>
      </c>
      <c r="G1667" s="56" t="n">
        <v>13.7</v>
      </c>
      <c r="H1667" s="56" t="n">
        <v>0</v>
      </c>
      <c r="I1667" s="56" t="n">
        <v>16.6</v>
      </c>
      <c r="J1667" s="56" t="n">
        <v>0</v>
      </c>
      <c r="K1667" s="56" t="n">
        <v>1012</v>
      </c>
      <c r="L1667" s="56" t="n">
        <v>0</v>
      </c>
      <c r="M1667" s="56" t="n">
        <v>84</v>
      </c>
      <c r="N1667" s="56" t="n">
        <v>0.5</v>
      </c>
      <c r="O1667" s="56" t="n">
        <f aca="false">IF(D1667=1,"",E1666)</f>
        <v>19.4</v>
      </c>
      <c r="P1667" s="56" t="n">
        <f aca="false">IF(OR(D1667=1,K1666=""),"",K1666)</f>
        <v>1016.2</v>
      </c>
      <c r="Q1667" s="56" t="n">
        <f aca="false">IF(OR(F1667&lt;&gt;0,AND(I1667&lt;&gt;"",E1667&lt;I1667)),1,0)</f>
        <v>0</v>
      </c>
      <c r="R1667" s="56" t="n">
        <f aca="false">IF(AND(D1667&gt;1,Q1667=0,ISNUMBER(O1667),ISNUMBER(P1667)),IF(Q1666=0,1,0),0)</f>
        <v>1</v>
      </c>
      <c r="S1667" s="56" t="n">
        <f aca="false">R1667*(B1667&gt;=Train_Start)*(B1667&lt;=Train_End)</f>
        <v>1</v>
      </c>
      <c r="T1667" s="84" t="n">
        <f aca="false">IF(AND(ISNUMBER(O1667),ISNUMBER(P1667)),Coef_A+Coef_B1*O1667+Coef_B2*P1667,"")</f>
        <v>19.8602426940833</v>
      </c>
      <c r="U1667" s="84" t="n">
        <f aca="false">IF(AND(R1667=1,ISNUMBER(T1667)),E1667-T1667,"")</f>
        <v>-3.16024269408328</v>
      </c>
      <c r="V1667" s="84" t="n">
        <f aca="false">IF(ISNUMBER(T1667),T1667,-99)</f>
        <v>19.8602426940833</v>
      </c>
      <c r="W1667" s="84" t="n">
        <f aca="false">IF(ISNUMBER(U1667),ABS(U1667),"")</f>
        <v>3.16024269408328</v>
      </c>
    </row>
    <row r="1668" customFormat="false" ht="15" hidden="false" customHeight="false" outlineLevel="0" collapsed="false">
      <c r="A1668" s="57" t="n">
        <v>32765</v>
      </c>
      <c r="B1668" s="56" t="n">
        <v>1989</v>
      </c>
      <c r="C1668" s="56" t="n">
        <v>9</v>
      </c>
      <c r="D1668" s="56" t="n">
        <v>137</v>
      </c>
      <c r="E1668" s="56" t="n">
        <v>21.5</v>
      </c>
      <c r="F1668" s="56" t="n">
        <v>0</v>
      </c>
      <c r="G1668" s="56" t="n">
        <v>8.5</v>
      </c>
      <c r="H1668" s="56" t="n">
        <v>0</v>
      </c>
      <c r="I1668" s="56" t="n">
        <v>12.6</v>
      </c>
      <c r="J1668" s="56" t="n">
        <v>0</v>
      </c>
      <c r="K1668" s="56" t="n">
        <v>1011.4</v>
      </c>
      <c r="L1668" s="56" t="n">
        <v>0</v>
      </c>
      <c r="M1668" s="56" t="n">
        <v>82</v>
      </c>
      <c r="N1668" s="56" t="n">
        <v>2.1</v>
      </c>
      <c r="O1668" s="56" t="n">
        <f aca="false">IF(D1668=1,"",E1667)</f>
        <v>16.7</v>
      </c>
      <c r="P1668" s="56" t="n">
        <f aca="false">IF(OR(D1668=1,K1667=""),"",K1667)</f>
        <v>1012</v>
      </c>
      <c r="Q1668" s="56" t="n">
        <f aca="false">IF(OR(F1668&lt;&gt;0,AND(I1668&lt;&gt;"",E1668&lt;I1668)),1,0)</f>
        <v>0</v>
      </c>
      <c r="R1668" s="56" t="n">
        <f aca="false">IF(AND(D1668&gt;1,Q1668=0,ISNUMBER(O1668),ISNUMBER(P1668)),IF(Q1667=0,1,0),0)</f>
        <v>1</v>
      </c>
      <c r="S1668" s="56" t="n">
        <f aca="false">R1668*(B1668&gt;=Train_Start)*(B1668&lt;=Train_End)</f>
        <v>1</v>
      </c>
      <c r="T1668" s="84" t="n">
        <f aca="false">IF(AND(ISNUMBER(O1668),ISNUMBER(P1668)),Coef_A+Coef_B1*O1668+Coef_B2*P1668,"")</f>
        <v>17.5162733154053</v>
      </c>
      <c r="U1668" s="84" t="n">
        <f aca="false">IF(AND(R1668=1,ISNUMBER(T1668)),E1668-T1668,"")</f>
        <v>3.98372668459466</v>
      </c>
      <c r="V1668" s="84" t="n">
        <f aca="false">IF(ISNUMBER(T1668),T1668,-99)</f>
        <v>17.5162733154053</v>
      </c>
      <c r="W1668" s="84" t="n">
        <f aca="false">IF(ISNUMBER(U1668),ABS(U1668),"")</f>
        <v>3.98372668459466</v>
      </c>
    </row>
    <row r="1669" customFormat="false" ht="15" hidden="false" customHeight="false" outlineLevel="0" collapsed="false">
      <c r="A1669" s="57" t="n">
        <v>32766</v>
      </c>
      <c r="B1669" s="56" t="n">
        <v>1989</v>
      </c>
      <c r="C1669" s="56" t="n">
        <v>9</v>
      </c>
      <c r="D1669" s="56" t="n">
        <v>138</v>
      </c>
      <c r="E1669" s="56" t="n">
        <v>22.2</v>
      </c>
      <c r="F1669" s="56" t="n">
        <v>0</v>
      </c>
      <c r="G1669" s="56" t="n">
        <v>11.6</v>
      </c>
      <c r="H1669" s="56" t="n">
        <v>0</v>
      </c>
      <c r="I1669" s="56" t="n">
        <v>16.6</v>
      </c>
      <c r="J1669" s="56" t="n">
        <v>0</v>
      </c>
      <c r="K1669" s="56" t="n">
        <v>1007</v>
      </c>
      <c r="L1669" s="56" t="n">
        <v>0</v>
      </c>
      <c r="M1669" s="56" t="n">
        <v>86</v>
      </c>
      <c r="N1669" s="56" t="n">
        <v>0.4</v>
      </c>
      <c r="O1669" s="56" t="n">
        <f aca="false">IF(D1669=1,"",E1668)</f>
        <v>21.5</v>
      </c>
      <c r="P1669" s="56" t="n">
        <f aca="false">IF(OR(D1669=1,K1668=""),"",K1668)</f>
        <v>1011.4</v>
      </c>
      <c r="Q1669" s="56" t="n">
        <f aca="false">IF(OR(F1669&lt;&gt;0,AND(I1669&lt;&gt;"",E1669&lt;I1669)),1,0)</f>
        <v>0</v>
      </c>
      <c r="R1669" s="56" t="n">
        <f aca="false">IF(AND(D1669&gt;1,Q1669=0,ISNUMBER(O1669),ISNUMBER(P1669)),IF(Q1668=0,1,0),0)</f>
        <v>1</v>
      </c>
      <c r="S1669" s="56" t="n">
        <f aca="false">R1669*(B1669&gt;=Train_Start)*(B1669&lt;=Train_End)</f>
        <v>1</v>
      </c>
      <c r="T1669" s="84" t="n">
        <f aca="false">IF(AND(ISNUMBER(O1669),ISNUMBER(P1669)),Coef_A+Coef_B1*O1669+Coef_B2*P1669,"")</f>
        <v>21.4302795052297</v>
      </c>
      <c r="U1669" s="84" t="n">
        <f aca="false">IF(AND(R1669=1,ISNUMBER(T1669)),E1669-T1669,"")</f>
        <v>0.769720494770294</v>
      </c>
      <c r="V1669" s="84" t="n">
        <f aca="false">IF(ISNUMBER(T1669),T1669,-99)</f>
        <v>21.4302795052297</v>
      </c>
      <c r="W1669" s="84" t="n">
        <f aca="false">IF(ISNUMBER(U1669),ABS(U1669),"")</f>
        <v>0.769720494770294</v>
      </c>
    </row>
    <row r="1670" customFormat="false" ht="15" hidden="false" customHeight="false" outlineLevel="0" collapsed="false">
      <c r="A1670" s="57" t="n">
        <v>32767</v>
      </c>
      <c r="B1670" s="56" t="n">
        <v>1989</v>
      </c>
      <c r="C1670" s="56" t="n">
        <v>9</v>
      </c>
      <c r="D1670" s="56" t="n">
        <v>139</v>
      </c>
      <c r="E1670" s="56" t="n">
        <v>21.1</v>
      </c>
      <c r="F1670" s="56" t="n">
        <v>0</v>
      </c>
      <c r="G1670" s="56" t="n">
        <v>15.6</v>
      </c>
      <c r="H1670" s="56" t="n">
        <v>0</v>
      </c>
      <c r="I1670" s="56" t="n">
        <v>18.9</v>
      </c>
      <c r="J1670" s="56" t="n">
        <v>0</v>
      </c>
      <c r="K1670" s="56" t="n">
        <v>1009.1</v>
      </c>
      <c r="L1670" s="56" t="n">
        <v>0</v>
      </c>
      <c r="M1670" s="56" t="n">
        <v>85</v>
      </c>
      <c r="N1670" s="56" t="n">
        <v>1.6</v>
      </c>
      <c r="O1670" s="56" t="n">
        <f aca="false">IF(D1670=1,"",E1669)</f>
        <v>22.2</v>
      </c>
      <c r="P1670" s="56" t="n">
        <f aca="false">IF(OR(D1670=1,K1669=""),"",K1669)</f>
        <v>1007</v>
      </c>
      <c r="Q1670" s="56" t="n">
        <f aca="false">IF(OR(F1670&lt;&gt;0,AND(I1670&lt;&gt;"",E1670&lt;I1670)),1,0)</f>
        <v>0</v>
      </c>
      <c r="R1670" s="56" t="n">
        <f aca="false">IF(AND(D1670&gt;1,Q1670=0,ISNUMBER(O1670),ISNUMBER(P1670)),IF(Q1669=0,1,0),0)</f>
        <v>1</v>
      </c>
      <c r="S1670" s="56" t="n">
        <f aca="false">R1670*(B1670&gt;=Train_Start)*(B1670&lt;=Train_End)</f>
        <v>1</v>
      </c>
      <c r="T1670" s="84" t="n">
        <f aca="false">IF(AND(ISNUMBER(O1670),ISNUMBER(P1670)),Coef_A+Coef_B1*O1670+Coef_B2*P1670,"")</f>
        <v>21.86578940397</v>
      </c>
      <c r="U1670" s="84" t="n">
        <f aca="false">IF(AND(R1670=1,ISNUMBER(T1670)),E1670-T1670,"")</f>
        <v>-0.765789403970015</v>
      </c>
      <c r="V1670" s="84" t="n">
        <f aca="false">IF(ISNUMBER(T1670),T1670,-99)</f>
        <v>21.86578940397</v>
      </c>
      <c r="W1670" s="84" t="n">
        <f aca="false">IF(ISNUMBER(U1670),ABS(U1670),"")</f>
        <v>0.765789403970015</v>
      </c>
    </row>
    <row r="1671" customFormat="false" ht="15" hidden="false" customHeight="false" outlineLevel="0" collapsed="false">
      <c r="A1671" s="57" t="n">
        <v>32768</v>
      </c>
      <c r="B1671" s="56" t="n">
        <v>1989</v>
      </c>
      <c r="C1671" s="56" t="n">
        <v>9</v>
      </c>
      <c r="D1671" s="56" t="n">
        <v>140</v>
      </c>
      <c r="E1671" s="56" t="n">
        <v>23.9</v>
      </c>
      <c r="F1671" s="56" t="n">
        <v>0</v>
      </c>
      <c r="G1671" s="56" t="n">
        <v>17.5</v>
      </c>
      <c r="H1671" s="56" t="n">
        <v>0</v>
      </c>
      <c r="I1671" s="56" t="n">
        <v>19.3</v>
      </c>
      <c r="J1671" s="56" t="n">
        <v>0</v>
      </c>
      <c r="K1671" s="56" t="n">
        <v>1009.2</v>
      </c>
      <c r="L1671" s="56" t="n">
        <v>0</v>
      </c>
      <c r="M1671" s="56" t="n">
        <v>80</v>
      </c>
      <c r="N1671" s="56" t="n">
        <v>0.1</v>
      </c>
      <c r="O1671" s="56" t="n">
        <f aca="false">IF(D1671=1,"",E1670)</f>
        <v>21.1</v>
      </c>
      <c r="P1671" s="56" t="n">
        <f aca="false">IF(OR(D1671=1,K1670=""),"",K1670)</f>
        <v>1009.1</v>
      </c>
      <c r="Q1671" s="56" t="n">
        <f aca="false">IF(OR(F1671&lt;&gt;0,AND(I1671&lt;&gt;"",E1671&lt;I1671)),1,0)</f>
        <v>0</v>
      </c>
      <c r="R1671" s="56" t="n">
        <f aca="false">IF(AND(D1671&gt;1,Q1671=0,ISNUMBER(O1671),ISNUMBER(P1671)),IF(Q1670=0,1,0),0)</f>
        <v>1</v>
      </c>
      <c r="S1671" s="56" t="n">
        <f aca="false">R1671*(B1671&gt;=Train_Start)*(B1671&lt;=Train_End)</f>
        <v>1</v>
      </c>
      <c r="T1671" s="84" t="n">
        <f aca="false">IF(AND(ISNUMBER(O1671),ISNUMBER(P1671)),Coef_A+Coef_B1*O1671+Coef_B2*P1671,"")</f>
        <v>21.0303930703545</v>
      </c>
      <c r="U1671" s="84" t="n">
        <f aca="false">IF(AND(R1671=1,ISNUMBER(T1671)),E1671-T1671,"")</f>
        <v>2.86960692964553</v>
      </c>
      <c r="V1671" s="84" t="n">
        <f aca="false">IF(ISNUMBER(T1671),T1671,-99)</f>
        <v>21.0303930703545</v>
      </c>
      <c r="W1671" s="84" t="n">
        <f aca="false">IF(ISNUMBER(U1671),ABS(U1671),"")</f>
        <v>2.86960692964553</v>
      </c>
    </row>
    <row r="1672" customFormat="false" ht="15" hidden="false" customHeight="false" outlineLevel="0" collapsed="false">
      <c r="A1672" s="57" t="n">
        <v>32769</v>
      </c>
      <c r="B1672" s="56" t="n">
        <v>1989</v>
      </c>
      <c r="C1672" s="56" t="n">
        <v>9</v>
      </c>
      <c r="D1672" s="56" t="n">
        <v>141</v>
      </c>
      <c r="E1672" s="56" t="n">
        <v>21</v>
      </c>
      <c r="F1672" s="56" t="n">
        <v>0</v>
      </c>
      <c r="G1672" s="56" t="n">
        <v>13.7</v>
      </c>
      <c r="H1672" s="56" t="n">
        <v>0</v>
      </c>
      <c r="I1672" s="56" t="n">
        <v>18.8</v>
      </c>
      <c r="J1672" s="56" t="n">
        <v>0</v>
      </c>
      <c r="K1672" s="56" t="n">
        <v>1010</v>
      </c>
      <c r="L1672" s="56" t="n">
        <v>0</v>
      </c>
      <c r="M1672" s="56" t="n">
        <v>79</v>
      </c>
      <c r="N1672" s="56" t="n">
        <v>6.1</v>
      </c>
      <c r="O1672" s="56" t="n">
        <f aca="false">IF(D1672=1,"",E1671)</f>
        <v>23.9</v>
      </c>
      <c r="P1672" s="56" t="n">
        <f aca="false">IF(OR(D1672=1,K1671=""),"",K1671)</f>
        <v>1009.2</v>
      </c>
      <c r="Q1672" s="56" t="n">
        <f aca="false">IF(OR(F1672&lt;&gt;0,AND(I1672&lt;&gt;"",E1672&lt;I1672)),1,0)</f>
        <v>0</v>
      </c>
      <c r="R1672" s="56" t="n">
        <f aca="false">IF(AND(D1672&gt;1,Q1672=0,ISNUMBER(O1672),ISNUMBER(P1672)),IF(Q1671=0,1,0),0)</f>
        <v>1</v>
      </c>
      <c r="S1672" s="56" t="n">
        <f aca="false">R1672*(B1672&gt;=Train_Start)*(B1672&lt;=Train_End)</f>
        <v>1</v>
      </c>
      <c r="T1672" s="84" t="n">
        <f aca="false">IF(AND(ISNUMBER(O1672),ISNUMBER(P1672)),Coef_A+Coef_B1*O1672+Coef_B2*P1672,"")</f>
        <v>23.3276798003373</v>
      </c>
      <c r="U1672" s="84" t="n">
        <f aca="false">IF(AND(R1672=1,ISNUMBER(T1672)),E1672-T1672,"")</f>
        <v>-2.32767980033731</v>
      </c>
      <c r="V1672" s="84" t="n">
        <f aca="false">IF(ISNUMBER(T1672),T1672,-99)</f>
        <v>23.3276798003373</v>
      </c>
      <c r="W1672" s="84" t="n">
        <f aca="false">IF(ISNUMBER(U1672),ABS(U1672),"")</f>
        <v>2.32767980033731</v>
      </c>
    </row>
    <row r="1673" customFormat="false" ht="15" hidden="false" customHeight="false" outlineLevel="0" collapsed="false">
      <c r="A1673" s="57" t="n">
        <v>32770</v>
      </c>
      <c r="B1673" s="56" t="n">
        <v>1989</v>
      </c>
      <c r="C1673" s="56" t="n">
        <v>9</v>
      </c>
      <c r="D1673" s="56" t="n">
        <v>142</v>
      </c>
      <c r="E1673" s="56" t="n">
        <v>22.4</v>
      </c>
      <c r="F1673" s="56" t="n">
        <v>0</v>
      </c>
      <c r="G1673" s="56" t="n">
        <v>14.6</v>
      </c>
      <c r="H1673" s="56" t="n">
        <v>0</v>
      </c>
      <c r="I1673" s="56" t="n">
        <v>17.8</v>
      </c>
      <c r="J1673" s="56" t="n">
        <v>0</v>
      </c>
      <c r="K1673" s="56" t="n">
        <v>1015.5</v>
      </c>
      <c r="L1673" s="56" t="n">
        <v>0</v>
      </c>
      <c r="M1673" s="56" t="n">
        <v>67</v>
      </c>
      <c r="N1673" s="56" t="n">
        <v>9</v>
      </c>
      <c r="O1673" s="56" t="n">
        <f aca="false">IF(D1673=1,"",E1672)</f>
        <v>21</v>
      </c>
      <c r="P1673" s="56" t="n">
        <f aca="false">IF(OR(D1673=1,K1672=""),"",K1672)</f>
        <v>1010</v>
      </c>
      <c r="Q1673" s="56" t="n">
        <f aca="false">IF(OR(F1673&lt;&gt;0,AND(I1673&lt;&gt;"",E1673&lt;I1673)),1,0)</f>
        <v>0</v>
      </c>
      <c r="R1673" s="56" t="n">
        <f aca="false">IF(AND(D1673&gt;1,Q1673=0,ISNUMBER(O1673),ISNUMBER(P1673)),IF(Q1672=0,1,0),0)</f>
        <v>1</v>
      </c>
      <c r="S1673" s="56" t="n">
        <f aca="false">R1673*(B1673&gt;=Train_Start)*(B1673&lt;=Train_End)</f>
        <v>1</v>
      </c>
      <c r="T1673" s="84" t="n">
        <f aca="false">IF(AND(ISNUMBER(O1673),ISNUMBER(P1673)),Coef_A+Coef_B1*O1673+Coef_B2*P1673,"")</f>
        <v>20.9766920562208</v>
      </c>
      <c r="U1673" s="84" t="n">
        <f aca="false">IF(AND(R1673=1,ISNUMBER(T1673)),E1673-T1673,"")</f>
        <v>1.42330794377921</v>
      </c>
      <c r="V1673" s="84" t="n">
        <f aca="false">IF(ISNUMBER(T1673),T1673,-99)</f>
        <v>20.9766920562208</v>
      </c>
      <c r="W1673" s="84" t="n">
        <f aca="false">IF(ISNUMBER(U1673),ABS(U1673),"")</f>
        <v>1.42330794377921</v>
      </c>
    </row>
    <row r="1674" customFormat="false" ht="15" hidden="false" customHeight="false" outlineLevel="0" collapsed="false">
      <c r="A1674" s="57" t="n">
        <v>32771</v>
      </c>
      <c r="B1674" s="56" t="n">
        <v>1989</v>
      </c>
      <c r="C1674" s="56" t="n">
        <v>9</v>
      </c>
      <c r="D1674" s="56" t="n">
        <v>143</v>
      </c>
      <c r="E1674" s="56" t="n">
        <v>26.7</v>
      </c>
      <c r="F1674" s="56" t="n">
        <v>0</v>
      </c>
      <c r="G1674" s="56" t="n">
        <v>11.5</v>
      </c>
      <c r="H1674" s="56" t="n">
        <v>0</v>
      </c>
      <c r="I1674" s="56" t="n">
        <v>17</v>
      </c>
      <c r="J1674" s="56" t="n">
        <v>0</v>
      </c>
      <c r="K1674" s="56" t="n">
        <v>1021</v>
      </c>
      <c r="L1674" s="56" t="n">
        <v>0</v>
      </c>
      <c r="M1674" s="56" t="n">
        <v>66</v>
      </c>
      <c r="N1674" s="56" t="n">
        <v>10.8</v>
      </c>
      <c r="O1674" s="56" t="n">
        <f aca="false">IF(D1674=1,"",E1673)</f>
        <v>22.4</v>
      </c>
      <c r="P1674" s="56" t="n">
        <f aca="false">IF(OR(D1674=1,K1673=""),"",K1673)</f>
        <v>1015.5</v>
      </c>
      <c r="Q1674" s="56" t="n">
        <f aca="false">IF(OR(F1674&lt;&gt;0,AND(I1674&lt;&gt;"",E1674&lt;I1674)),1,0)</f>
        <v>0</v>
      </c>
      <c r="R1674" s="56" t="n">
        <f aca="false">IF(AND(D1674&gt;1,Q1674=0,ISNUMBER(O1674),ISNUMBER(P1674)),IF(Q1673=0,1,0),0)</f>
        <v>1</v>
      </c>
      <c r="S1674" s="56" t="n">
        <f aca="false">R1674*(B1674&gt;=Train_Start)*(B1674&lt;=Train_End)</f>
        <v>1</v>
      </c>
      <c r="T1674" s="84" t="n">
        <f aca="false">IF(AND(ISNUMBER(O1674),ISNUMBER(P1674)),Coef_A+Coef_B1*O1674+Coef_B2*P1674,"")</f>
        <v>22.2963013469675</v>
      </c>
      <c r="U1674" s="84" t="n">
        <f aca="false">IF(AND(R1674=1,ISNUMBER(T1674)),E1674-T1674,"")</f>
        <v>4.40369865303255</v>
      </c>
      <c r="V1674" s="84" t="n">
        <f aca="false">IF(ISNUMBER(T1674),T1674,-99)</f>
        <v>22.2963013469675</v>
      </c>
      <c r="W1674" s="84" t="n">
        <f aca="false">IF(ISNUMBER(U1674),ABS(U1674),"")</f>
        <v>4.40369865303255</v>
      </c>
    </row>
    <row r="1675" customFormat="false" ht="15" hidden="false" customHeight="false" outlineLevel="0" collapsed="false">
      <c r="A1675" s="57" t="n">
        <v>32772</v>
      </c>
      <c r="B1675" s="56" t="n">
        <v>1989</v>
      </c>
      <c r="C1675" s="56" t="n">
        <v>9</v>
      </c>
      <c r="D1675" s="56" t="n">
        <v>144</v>
      </c>
      <c r="E1675" s="56" t="n">
        <v>19.4</v>
      </c>
      <c r="F1675" s="56" t="n">
        <v>0</v>
      </c>
      <c r="G1675" s="56" t="n">
        <v>12</v>
      </c>
      <c r="H1675" s="56" t="n">
        <v>0</v>
      </c>
      <c r="I1675" s="56" t="n">
        <v>19.4</v>
      </c>
      <c r="J1675" s="56" t="n">
        <v>0</v>
      </c>
      <c r="K1675" s="56" t="n">
        <v>1016.6</v>
      </c>
      <c r="L1675" s="56" t="n">
        <v>0</v>
      </c>
      <c r="M1675" s="56" t="n">
        <v>65</v>
      </c>
      <c r="N1675" s="56" t="n">
        <v>9.4</v>
      </c>
      <c r="O1675" s="56" t="n">
        <f aca="false">IF(D1675=1,"",E1674)</f>
        <v>26.7</v>
      </c>
      <c r="P1675" s="56" t="n">
        <f aca="false">IF(OR(D1675=1,K1674=""),"",K1674)</f>
        <v>1021</v>
      </c>
      <c r="Q1675" s="56" t="n">
        <f aca="false">IF(OR(F1675&lt;&gt;0,AND(I1675&lt;&gt;"",E1675&lt;I1675)),1,0)</f>
        <v>0</v>
      </c>
      <c r="R1675" s="56" t="n">
        <f aca="false">IF(AND(D1675&gt;1,Q1675=0,ISNUMBER(O1675),ISNUMBER(P1675)),IF(Q1674=0,1,0),0)</f>
        <v>1</v>
      </c>
      <c r="S1675" s="56" t="n">
        <f aca="false">R1675*(B1675&gt;=Train_Start)*(B1675&lt;=Train_End)</f>
        <v>1</v>
      </c>
      <c r="T1675" s="84" t="n">
        <f aca="false">IF(AND(ISNUMBER(O1675),ISNUMBER(P1675)),Coef_A+Coef_B1*O1675+Coef_B2*P1675,"")</f>
        <v>25.9919942975378</v>
      </c>
      <c r="U1675" s="84" t="n">
        <f aca="false">IF(AND(R1675=1,ISNUMBER(T1675)),E1675-T1675,"")</f>
        <v>-6.59199429753782</v>
      </c>
      <c r="V1675" s="84" t="n">
        <f aca="false">IF(ISNUMBER(T1675),T1675,-99)</f>
        <v>25.9919942975378</v>
      </c>
      <c r="W1675" s="84" t="n">
        <f aca="false">IF(ISNUMBER(U1675),ABS(U1675),"")</f>
        <v>6.59199429753782</v>
      </c>
    </row>
    <row r="1676" customFormat="false" ht="15" hidden="false" customHeight="false" outlineLevel="0" collapsed="false">
      <c r="A1676" s="57" t="n">
        <v>32773</v>
      </c>
      <c r="B1676" s="56" t="n">
        <v>1989</v>
      </c>
      <c r="C1676" s="56" t="n">
        <v>9</v>
      </c>
      <c r="D1676" s="56" t="n">
        <v>145</v>
      </c>
      <c r="E1676" s="56" t="n">
        <v>18.7</v>
      </c>
      <c r="F1676" s="56" t="n">
        <v>0</v>
      </c>
      <c r="G1676" s="56" t="n">
        <v>16.9</v>
      </c>
      <c r="H1676" s="56" t="n">
        <v>0</v>
      </c>
      <c r="I1676" s="56" t="n">
        <v>18.2</v>
      </c>
      <c r="J1676" s="56" t="n">
        <v>0</v>
      </c>
      <c r="K1676" s="56" t="n">
        <v>1011.8</v>
      </c>
      <c r="L1676" s="56" t="n">
        <v>0</v>
      </c>
      <c r="M1676" s="56" t="n">
        <v>70</v>
      </c>
      <c r="N1676" s="56" t="n">
        <v>1.7</v>
      </c>
      <c r="O1676" s="56" t="n">
        <f aca="false">IF(D1676=1,"",E1675)</f>
        <v>19.4</v>
      </c>
      <c r="P1676" s="56" t="n">
        <f aca="false">IF(OR(D1676=1,K1675=""),"",K1675)</f>
        <v>1016.6</v>
      </c>
      <c r="Q1676" s="56" t="n">
        <f aca="false">IF(OR(F1676&lt;&gt;0,AND(I1676&lt;&gt;"",E1676&lt;I1676)),1,0)</f>
        <v>0</v>
      </c>
      <c r="R1676" s="56" t="n">
        <f aca="false">IF(AND(D1676&gt;1,Q1676=0,ISNUMBER(O1676),ISNUMBER(P1676)),IF(Q1675=0,1,0),0)</f>
        <v>1</v>
      </c>
      <c r="S1676" s="56" t="n">
        <f aca="false">R1676*(B1676&gt;=Train_Start)*(B1676&lt;=Train_End)</f>
        <v>1</v>
      </c>
      <c r="T1676" s="84" t="n">
        <f aca="false">IF(AND(ISNUMBER(O1676),ISNUMBER(P1676)),Coef_A+Coef_B1*O1676+Coef_B2*P1676,"")</f>
        <v>19.8727906519369</v>
      </c>
      <c r="U1676" s="84" t="n">
        <f aca="false">IF(AND(R1676=1,ISNUMBER(T1676)),E1676-T1676,"")</f>
        <v>-1.17279065193687</v>
      </c>
      <c r="V1676" s="84" t="n">
        <f aca="false">IF(ISNUMBER(T1676),T1676,-99)</f>
        <v>19.8727906519369</v>
      </c>
      <c r="W1676" s="84" t="n">
        <f aca="false">IF(ISNUMBER(U1676),ABS(U1676),"")</f>
        <v>1.17279065193687</v>
      </c>
    </row>
    <row r="1677" customFormat="false" ht="15" hidden="false" customHeight="false" outlineLevel="0" collapsed="false">
      <c r="A1677" s="57" t="n">
        <v>32774</v>
      </c>
      <c r="B1677" s="56" t="n">
        <v>1989</v>
      </c>
      <c r="C1677" s="56" t="n">
        <v>9</v>
      </c>
      <c r="D1677" s="56" t="n">
        <v>146</v>
      </c>
      <c r="E1677" s="56" t="n">
        <v>22.1</v>
      </c>
      <c r="F1677" s="56" t="n">
        <v>0</v>
      </c>
      <c r="G1677" s="56" t="n">
        <v>10.4</v>
      </c>
      <c r="H1677" s="56" t="n">
        <v>0</v>
      </c>
      <c r="I1677" s="56" t="n">
        <v>14.6</v>
      </c>
      <c r="J1677" s="56" t="n">
        <v>0</v>
      </c>
      <c r="K1677" s="56" t="n">
        <v>1019.3</v>
      </c>
      <c r="L1677" s="56" t="n">
        <v>0</v>
      </c>
      <c r="M1677" s="56" t="n">
        <v>71</v>
      </c>
      <c r="N1677" s="56" t="n">
        <v>3.1</v>
      </c>
      <c r="O1677" s="56" t="n">
        <f aca="false">IF(D1677=1,"",E1676)</f>
        <v>18.7</v>
      </c>
      <c r="P1677" s="56" t="n">
        <f aca="false">IF(OR(D1677=1,K1676=""),"",K1676)</f>
        <v>1011.8</v>
      </c>
      <c r="Q1677" s="56" t="n">
        <f aca="false">IF(OR(F1677&lt;&gt;0,AND(I1677&lt;&gt;"",E1677&lt;I1677)),1,0)</f>
        <v>0</v>
      </c>
      <c r="R1677" s="56" t="n">
        <f aca="false">IF(AND(D1677&gt;1,Q1677=0,ISNUMBER(O1677),ISNUMBER(P1677)),IF(Q1676=0,1,0),0)</f>
        <v>1</v>
      </c>
      <c r="S1677" s="56" t="n">
        <f aca="false">R1677*(B1677&gt;=Train_Start)*(B1677&lt;=Train_End)</f>
        <v>1</v>
      </c>
      <c r="T1677" s="84" t="n">
        <f aca="false">IF(AND(ISNUMBER(O1677),ISNUMBER(P1677)),Coef_A+Coef_B1*O1677+Coef_B2*P1677,"")</f>
        <v>19.1486777225639</v>
      </c>
      <c r="U1677" s="84" t="n">
        <f aca="false">IF(AND(R1677=1,ISNUMBER(T1677)),E1677-T1677,"")</f>
        <v>2.95132227743614</v>
      </c>
      <c r="V1677" s="84" t="n">
        <f aca="false">IF(ISNUMBER(T1677),T1677,-99)</f>
        <v>19.1486777225639</v>
      </c>
      <c r="W1677" s="84" t="n">
        <f aca="false">IF(ISNUMBER(U1677),ABS(U1677),"")</f>
        <v>2.95132227743614</v>
      </c>
    </row>
    <row r="1678" customFormat="false" ht="15" hidden="false" customHeight="false" outlineLevel="0" collapsed="false">
      <c r="A1678" s="57" t="n">
        <v>32775</v>
      </c>
      <c r="B1678" s="56" t="n">
        <v>1989</v>
      </c>
      <c r="C1678" s="56" t="n">
        <v>9</v>
      </c>
      <c r="D1678" s="56" t="n">
        <v>147</v>
      </c>
      <c r="E1678" s="56" t="n">
        <v>22.7</v>
      </c>
      <c r="F1678" s="56" t="n">
        <v>0</v>
      </c>
      <c r="G1678" s="56" t="n">
        <v>13</v>
      </c>
      <c r="H1678" s="56" t="n">
        <v>0</v>
      </c>
      <c r="I1678" s="56" t="n">
        <v>17.6</v>
      </c>
      <c r="J1678" s="56" t="n">
        <v>0</v>
      </c>
      <c r="K1678" s="56" t="n">
        <v>1022.6</v>
      </c>
      <c r="L1678" s="56" t="n">
        <v>0</v>
      </c>
      <c r="M1678" s="56" t="n">
        <v>73</v>
      </c>
      <c r="N1678" s="56" t="n">
        <v>2.6</v>
      </c>
      <c r="O1678" s="56" t="n">
        <f aca="false">IF(D1678=1,"",E1677)</f>
        <v>22.1</v>
      </c>
      <c r="P1678" s="56" t="n">
        <f aca="false">IF(OR(D1678=1,K1677=""),"",K1677)</f>
        <v>1019.3</v>
      </c>
      <c r="Q1678" s="56" t="n">
        <f aca="false">IF(OR(F1678&lt;&gt;0,AND(I1678&lt;&gt;"",E1678&lt;I1678)),1,0)</f>
        <v>0</v>
      </c>
      <c r="R1678" s="56" t="n">
        <f aca="false">IF(AND(D1678&gt;1,Q1678=0,ISNUMBER(O1678),ISNUMBER(P1678)),IF(Q1677=0,1,0),0)</f>
        <v>1</v>
      </c>
      <c r="S1678" s="56" t="n">
        <f aca="false">R1678*(B1678&gt;=Train_Start)*(B1678&lt;=Train_End)</f>
        <v>1</v>
      </c>
      <c r="T1678" s="84" t="n">
        <f aca="false">IF(AND(ISNUMBER(O1678),ISNUMBER(P1678)),Coef_A+Coef_B1*O1678+Coef_B2*P1678,"")</f>
        <v>22.1697051886638</v>
      </c>
      <c r="U1678" s="84" t="n">
        <f aca="false">IF(AND(R1678=1,ISNUMBER(T1678)),E1678-T1678,"")</f>
        <v>0.530294811336184</v>
      </c>
      <c r="V1678" s="84" t="n">
        <f aca="false">IF(ISNUMBER(T1678),T1678,-99)</f>
        <v>22.1697051886638</v>
      </c>
      <c r="W1678" s="84" t="n">
        <f aca="false">IF(ISNUMBER(U1678),ABS(U1678),"")</f>
        <v>0.530294811336184</v>
      </c>
    </row>
    <row r="1679" customFormat="false" ht="15" hidden="false" customHeight="false" outlineLevel="0" collapsed="false">
      <c r="A1679" s="57" t="n">
        <v>32776</v>
      </c>
      <c r="B1679" s="56" t="n">
        <v>1989</v>
      </c>
      <c r="C1679" s="56" t="n">
        <v>9</v>
      </c>
      <c r="D1679" s="56" t="n">
        <v>148</v>
      </c>
      <c r="E1679" s="56" t="n">
        <v>20.4</v>
      </c>
      <c r="F1679" s="56" t="n">
        <v>0</v>
      </c>
      <c r="G1679" s="56" t="n">
        <v>10.6</v>
      </c>
      <c r="H1679" s="56" t="n">
        <v>0</v>
      </c>
      <c r="I1679" s="56" t="n">
        <v>16.6</v>
      </c>
      <c r="J1679" s="56" t="n">
        <v>0</v>
      </c>
      <c r="K1679" s="56" t="n">
        <v>1022.2</v>
      </c>
      <c r="L1679" s="56" t="n">
        <v>0</v>
      </c>
      <c r="M1679" s="56" t="n">
        <v>74</v>
      </c>
      <c r="N1679" s="56" t="n">
        <v>6.5</v>
      </c>
      <c r="O1679" s="56" t="n">
        <f aca="false">IF(D1679=1,"",E1678)</f>
        <v>22.7</v>
      </c>
      <c r="P1679" s="56" t="n">
        <f aca="false">IF(OR(D1679=1,K1678=""),"",K1678)</f>
        <v>1022.6</v>
      </c>
      <c r="Q1679" s="56" t="n">
        <f aca="false">IF(OR(F1679&lt;&gt;0,AND(I1679&lt;&gt;"",E1679&lt;I1679)),1,0)</f>
        <v>0</v>
      </c>
      <c r="R1679" s="56" t="n">
        <f aca="false">IF(AND(D1679&gt;1,Q1679=0,ISNUMBER(O1679),ISNUMBER(P1679)),IF(Q1678=0,1,0),0)</f>
        <v>1</v>
      </c>
      <c r="S1679" s="56" t="n">
        <f aca="false">R1679*(B1679&gt;=Train_Start)*(B1679&lt;=Train_End)</f>
        <v>1</v>
      </c>
      <c r="T1679" s="84" t="n">
        <f aca="false">IF(AND(ISNUMBER(O1679),ISNUMBER(P1679)),Coef_A+Coef_B1*O1679+Coef_B2*P1679,"")</f>
        <v>22.7648293567816</v>
      </c>
      <c r="U1679" s="84" t="n">
        <f aca="false">IF(AND(R1679=1,ISNUMBER(T1679)),E1679-T1679,"")</f>
        <v>-2.36482935678158</v>
      </c>
      <c r="V1679" s="84" t="n">
        <f aca="false">IF(ISNUMBER(T1679),T1679,-99)</f>
        <v>22.7648293567816</v>
      </c>
      <c r="W1679" s="84" t="n">
        <f aca="false">IF(ISNUMBER(U1679),ABS(U1679),"")</f>
        <v>2.36482935678158</v>
      </c>
    </row>
    <row r="1680" customFormat="false" ht="15" hidden="false" customHeight="false" outlineLevel="0" collapsed="false">
      <c r="A1680" s="57" t="n">
        <v>32777</v>
      </c>
      <c r="B1680" s="56" t="n">
        <v>1989</v>
      </c>
      <c r="C1680" s="56" t="n">
        <v>9</v>
      </c>
      <c r="D1680" s="56" t="n">
        <v>149</v>
      </c>
      <c r="E1680" s="56" t="n">
        <v>18.4</v>
      </c>
      <c r="F1680" s="56" t="n">
        <v>0</v>
      </c>
      <c r="G1680" s="56" t="n">
        <v>11.4</v>
      </c>
      <c r="H1680" s="56" t="n">
        <v>0</v>
      </c>
      <c r="I1680" s="56" t="n">
        <v>15.9</v>
      </c>
      <c r="J1680" s="56" t="n">
        <v>0</v>
      </c>
      <c r="K1680" s="56" t="n">
        <v>1022.1</v>
      </c>
      <c r="L1680" s="56" t="n">
        <v>0</v>
      </c>
      <c r="M1680" s="56" t="n">
        <v>79</v>
      </c>
      <c r="N1680" s="56" t="n">
        <v>2.2</v>
      </c>
      <c r="O1680" s="56" t="n">
        <f aca="false">IF(D1680=1,"",E1679)</f>
        <v>20.4</v>
      </c>
      <c r="P1680" s="56" t="n">
        <f aca="false">IF(OR(D1680=1,K1679=""),"",K1679)</f>
        <v>1022.2</v>
      </c>
      <c r="Q1680" s="56" t="n">
        <f aca="false">IF(OR(F1680&lt;&gt;0,AND(I1680&lt;&gt;"",E1680&lt;I1680)),1,0)</f>
        <v>0</v>
      </c>
      <c r="R1680" s="56" t="n">
        <f aca="false">IF(AND(D1680&gt;1,Q1680=0,ISNUMBER(O1680),ISNUMBER(P1680)),IF(Q1679=0,1,0),0)</f>
        <v>1</v>
      </c>
      <c r="S1680" s="56" t="n">
        <f aca="false">R1680*(B1680&gt;=Train_Start)*(B1680&lt;=Train_End)</f>
        <v>1</v>
      </c>
      <c r="T1680" s="84" t="n">
        <f aca="false">IF(AND(ISNUMBER(O1680),ISNUMBER(P1680)),Coef_A+Coef_B1*O1680+Coef_B2*P1680,"")</f>
        <v>20.8678012549299</v>
      </c>
      <c r="U1680" s="84" t="n">
        <f aca="false">IF(AND(R1680=1,ISNUMBER(T1680)),E1680-T1680,"")</f>
        <v>-2.46780125492987</v>
      </c>
      <c r="V1680" s="84" t="n">
        <f aca="false">IF(ISNUMBER(T1680),T1680,-99)</f>
        <v>20.8678012549299</v>
      </c>
      <c r="W1680" s="84" t="n">
        <f aca="false">IF(ISNUMBER(U1680),ABS(U1680),"")</f>
        <v>2.46780125492987</v>
      </c>
    </row>
    <row r="1681" customFormat="false" ht="15" hidden="false" customHeight="false" outlineLevel="0" collapsed="false">
      <c r="A1681" s="57" t="n">
        <v>32778</v>
      </c>
      <c r="B1681" s="56" t="n">
        <v>1989</v>
      </c>
      <c r="C1681" s="56" t="n">
        <v>9</v>
      </c>
      <c r="D1681" s="56" t="n">
        <v>150</v>
      </c>
      <c r="E1681" s="56" t="n">
        <v>16.9</v>
      </c>
      <c r="F1681" s="56" t="n">
        <v>0</v>
      </c>
      <c r="G1681" s="56" t="n">
        <v>14.9</v>
      </c>
      <c r="H1681" s="56" t="n">
        <v>0</v>
      </c>
      <c r="I1681" s="56" t="n">
        <v>16.6</v>
      </c>
      <c r="J1681" s="56" t="n">
        <v>0</v>
      </c>
      <c r="K1681" s="56" t="n">
        <v>1023.8</v>
      </c>
      <c r="L1681" s="56" t="n">
        <v>0</v>
      </c>
      <c r="M1681" s="56" t="n">
        <v>77</v>
      </c>
      <c r="N1681" s="56" t="n">
        <v>1</v>
      </c>
      <c r="O1681" s="56" t="n">
        <f aca="false">IF(D1681=1,"",E1680)</f>
        <v>18.4</v>
      </c>
      <c r="P1681" s="56" t="n">
        <f aca="false">IF(OR(D1681=1,K1680=""),"",K1680)</f>
        <v>1022.1</v>
      </c>
      <c r="Q1681" s="56" t="n">
        <f aca="false">IF(OR(F1681&lt;&gt;0,AND(I1681&lt;&gt;"",E1681&lt;I1681)),1,0)</f>
        <v>0</v>
      </c>
      <c r="R1681" s="56" t="n">
        <f aca="false">IF(AND(D1681&gt;1,Q1681=0,ISNUMBER(O1681),ISNUMBER(P1681)),IF(Q1680=0,1,0),0)</f>
        <v>1</v>
      </c>
      <c r="S1681" s="56" t="n">
        <f aca="false">R1681*(B1681&gt;=Train_Start)*(B1681&lt;=Train_End)</f>
        <v>1</v>
      </c>
      <c r="T1681" s="84" t="n">
        <f aca="false">IF(AND(ISNUMBER(O1681),ISNUMBER(P1681)),Coef_A+Coef_B1*O1681+Coef_B2*P1681,"")</f>
        <v>19.2259858793812</v>
      </c>
      <c r="U1681" s="84" t="n">
        <f aca="false">IF(AND(R1681=1,ISNUMBER(T1681)),E1681-T1681,"")</f>
        <v>-2.32598587938116</v>
      </c>
      <c r="V1681" s="84" t="n">
        <f aca="false">IF(ISNUMBER(T1681),T1681,-99)</f>
        <v>19.2259858793812</v>
      </c>
      <c r="W1681" s="84" t="n">
        <f aca="false">IF(ISNUMBER(U1681),ABS(U1681),"")</f>
        <v>2.32598587938116</v>
      </c>
    </row>
    <row r="1682" customFormat="false" ht="15" hidden="false" customHeight="false" outlineLevel="0" collapsed="false">
      <c r="A1682" s="57" t="n">
        <v>32779</v>
      </c>
      <c r="B1682" s="56" t="n">
        <v>1989</v>
      </c>
      <c r="C1682" s="56" t="n">
        <v>9</v>
      </c>
      <c r="D1682" s="56" t="n">
        <v>151</v>
      </c>
      <c r="E1682" s="56" t="n">
        <v>18.2</v>
      </c>
      <c r="F1682" s="56" t="n">
        <v>0</v>
      </c>
      <c r="G1682" s="56" t="n">
        <v>11.4</v>
      </c>
      <c r="H1682" s="56" t="n">
        <v>0</v>
      </c>
      <c r="I1682" s="56" t="n">
        <v>14.2</v>
      </c>
      <c r="J1682" s="56" t="n">
        <v>0</v>
      </c>
      <c r="K1682" s="56" t="n">
        <v>1031.4</v>
      </c>
      <c r="L1682" s="56" t="n">
        <v>0</v>
      </c>
      <c r="M1682" s="56" t="n">
        <v>68</v>
      </c>
      <c r="N1682" s="56" t="n">
        <v>1.6</v>
      </c>
      <c r="O1682" s="56" t="n">
        <f aca="false">IF(D1682=1,"",E1681)</f>
        <v>16.9</v>
      </c>
      <c r="P1682" s="56" t="n">
        <f aca="false">IF(OR(D1682=1,K1681=""),"",K1681)</f>
        <v>1023.8</v>
      </c>
      <c r="Q1682" s="56" t="n">
        <f aca="false">IF(OR(F1682&lt;&gt;0,AND(I1682&lt;&gt;"",E1682&lt;I1682)),1,0)</f>
        <v>0</v>
      </c>
      <c r="R1682" s="56" t="n">
        <f aca="false">IF(AND(D1682&gt;1,Q1682=0,ISNUMBER(O1682),ISNUMBER(P1682)),IF(Q1681=0,1,0),0)</f>
        <v>1</v>
      </c>
      <c r="S1682" s="56" t="n">
        <f aca="false">R1682*(B1682&gt;=Train_Start)*(B1682&lt;=Train_End)</f>
        <v>1</v>
      </c>
      <c r="T1682" s="84" t="n">
        <f aca="false">IF(AND(ISNUMBER(O1682),ISNUMBER(P1682)),Coef_A+Coef_B1*O1682+Coef_B2*P1682,"")</f>
        <v>18.050305910695</v>
      </c>
      <c r="U1682" s="84" t="n">
        <f aca="false">IF(AND(R1682=1,ISNUMBER(T1682)),E1682-T1682,"")</f>
        <v>0.149694089305051</v>
      </c>
      <c r="V1682" s="84" t="n">
        <f aca="false">IF(ISNUMBER(T1682),T1682,-99)</f>
        <v>18.050305910695</v>
      </c>
      <c r="W1682" s="84" t="n">
        <f aca="false">IF(ISNUMBER(U1682),ABS(U1682),"")</f>
        <v>0.149694089305051</v>
      </c>
    </row>
    <row r="1683" customFormat="false" ht="15" hidden="false" customHeight="false" outlineLevel="0" collapsed="false">
      <c r="A1683" s="57" t="n">
        <v>32780</v>
      </c>
      <c r="B1683" s="56" t="n">
        <v>1989</v>
      </c>
      <c r="C1683" s="56" t="n">
        <v>9</v>
      </c>
      <c r="D1683" s="56" t="n">
        <v>152</v>
      </c>
      <c r="E1683" s="56" t="n">
        <v>15.6</v>
      </c>
      <c r="F1683" s="56" t="n">
        <v>0</v>
      </c>
      <c r="G1683" s="56" t="n">
        <v>7.8</v>
      </c>
      <c r="H1683" s="56" t="n">
        <v>0</v>
      </c>
      <c r="I1683" s="56" t="n">
        <v>13</v>
      </c>
      <c r="J1683" s="56" t="n">
        <v>0</v>
      </c>
      <c r="K1683" s="56" t="n">
        <v>1033.3</v>
      </c>
      <c r="L1683" s="56" t="n">
        <v>0</v>
      </c>
      <c r="M1683" s="56" t="n">
        <v>67</v>
      </c>
      <c r="N1683" s="56" t="n">
        <v>5.8</v>
      </c>
      <c r="O1683" s="56" t="n">
        <f aca="false">IF(D1683=1,"",E1682)</f>
        <v>18.2</v>
      </c>
      <c r="P1683" s="56" t="n">
        <f aca="false">IF(OR(D1683=1,K1682=""),"",K1682)</f>
        <v>1031.4</v>
      </c>
      <c r="Q1683" s="56" t="n">
        <f aca="false">IF(OR(F1683&lt;&gt;0,AND(I1683&lt;&gt;"",E1683&lt;I1683)),1,0)</f>
        <v>0</v>
      </c>
      <c r="R1683" s="56" t="n">
        <f aca="false">IF(AND(D1683&gt;1,Q1683=0,ISNUMBER(O1683),ISNUMBER(P1683)),IF(Q1682=0,1,0),0)</f>
        <v>1</v>
      </c>
      <c r="S1683" s="56" t="n">
        <f aca="false">R1683*(B1683&gt;=Train_Start)*(B1683&lt;=Train_End)</f>
        <v>1</v>
      </c>
      <c r="T1683" s="84" t="n">
        <f aca="false">IF(AND(ISNUMBER(O1683),ISNUMBER(P1683)),Coef_A+Coef_B1*O1683+Coef_B2*P1683,"")</f>
        <v>19.3538580608687</v>
      </c>
      <c r="U1683" s="84" t="n">
        <f aca="false">IF(AND(R1683=1,ISNUMBER(T1683)),E1683-T1683,"")</f>
        <v>-3.75385806086873</v>
      </c>
      <c r="V1683" s="84" t="n">
        <f aca="false">IF(ISNUMBER(T1683),T1683,-99)</f>
        <v>19.3538580608687</v>
      </c>
      <c r="W1683" s="84" t="n">
        <f aca="false">IF(ISNUMBER(U1683),ABS(U1683),"")</f>
        <v>3.75385806086873</v>
      </c>
    </row>
    <row r="1684" customFormat="false" ht="15" hidden="false" customHeight="false" outlineLevel="0" collapsed="false">
      <c r="A1684" s="57" t="n">
        <v>32781</v>
      </c>
      <c r="B1684" s="56" t="n">
        <v>1989</v>
      </c>
      <c r="C1684" s="56" t="n">
        <v>9</v>
      </c>
      <c r="D1684" s="56" t="n">
        <v>153</v>
      </c>
      <c r="E1684" s="56" t="n">
        <v>15.5</v>
      </c>
      <c r="F1684" s="56" t="n">
        <v>0</v>
      </c>
      <c r="G1684" s="56" t="n">
        <v>10.9</v>
      </c>
      <c r="H1684" s="56" t="n">
        <v>0</v>
      </c>
      <c r="I1684" s="56" t="n">
        <v>13.2</v>
      </c>
      <c r="J1684" s="56" t="n">
        <v>0</v>
      </c>
      <c r="K1684" s="56" t="n">
        <v>1033.1</v>
      </c>
      <c r="L1684" s="56" t="n">
        <v>0</v>
      </c>
      <c r="M1684" s="56" t="n">
        <v>83</v>
      </c>
      <c r="N1684" s="56" t="n">
        <v>0.1</v>
      </c>
      <c r="O1684" s="56" t="n">
        <f aca="false">IF(D1684=1,"",E1683)</f>
        <v>15.6</v>
      </c>
      <c r="P1684" s="56" t="n">
        <f aca="false">IF(OR(D1684=1,K1683=""),"",K1683)</f>
        <v>1033.3</v>
      </c>
      <c r="Q1684" s="56" t="n">
        <f aca="false">IF(OR(F1684&lt;&gt;0,AND(I1684&lt;&gt;"",E1684&lt;I1684)),1,0)</f>
        <v>0</v>
      </c>
      <c r="R1684" s="56" t="n">
        <f aca="false">IF(AND(D1684&gt;1,Q1684=0,ISNUMBER(O1684),ISNUMBER(P1684)),IF(Q1683=0,1,0),0)</f>
        <v>1</v>
      </c>
      <c r="S1684" s="56" t="n">
        <f aca="false">R1684*(B1684&gt;=Train_Start)*(B1684&lt;=Train_End)</f>
        <v>1</v>
      </c>
      <c r="T1684" s="84" t="n">
        <f aca="false">IF(AND(ISNUMBER(O1684),ISNUMBER(P1684)),Coef_A+Coef_B1*O1684+Coef_B2*P1684,"")</f>
        <v>17.2831789587624</v>
      </c>
      <c r="U1684" s="84" t="n">
        <f aca="false">IF(AND(R1684=1,ISNUMBER(T1684)),E1684-T1684,"")</f>
        <v>-1.78317895876239</v>
      </c>
      <c r="V1684" s="84" t="n">
        <f aca="false">IF(ISNUMBER(T1684),T1684,-99)</f>
        <v>17.2831789587624</v>
      </c>
      <c r="W1684" s="84" t="n">
        <f aca="false">IF(ISNUMBER(U1684),ABS(U1684),"")</f>
        <v>1.78317895876239</v>
      </c>
    </row>
    <row r="1685" customFormat="false" ht="15" hidden="false" customHeight="false" outlineLevel="0" collapsed="false">
      <c r="A1685" s="57" t="n">
        <v>32994</v>
      </c>
      <c r="B1685" s="56" t="n">
        <v>1990</v>
      </c>
      <c r="C1685" s="56" t="n">
        <v>5</v>
      </c>
      <c r="D1685" s="56" t="n">
        <v>1</v>
      </c>
      <c r="E1685" s="56" t="n">
        <v>26.2</v>
      </c>
      <c r="F1685" s="56" t="n">
        <v>0</v>
      </c>
      <c r="G1685" s="56" t="n">
        <v>11.3</v>
      </c>
      <c r="H1685" s="56" t="n">
        <v>0</v>
      </c>
      <c r="I1685" s="56" t="n">
        <v>17.6</v>
      </c>
      <c r="J1685" s="56" t="n">
        <v>0</v>
      </c>
      <c r="K1685" s="56" t="n">
        <v>1031.4</v>
      </c>
      <c r="L1685" s="56" t="n">
        <v>0</v>
      </c>
      <c r="M1685" s="56" t="n">
        <v>64</v>
      </c>
      <c r="N1685" s="56" t="n">
        <v>13.8</v>
      </c>
      <c r="O1685" s="56" t="str">
        <f aca="false">IF(D1685=1,"",E1684)</f>
        <v/>
      </c>
      <c r="P1685" s="56" t="str">
        <f aca="false">IF(OR(D1685=1,K1684=""),"",K1684)</f>
        <v/>
      </c>
      <c r="Q1685" s="56" t="n">
        <f aca="false">IF(OR(F1685&lt;&gt;0,AND(I1685&lt;&gt;"",E1685&lt;I1685)),1,0)</f>
        <v>0</v>
      </c>
      <c r="R1685" s="56" t="n">
        <f aca="false">IF(AND(D1685&gt;1,Q1685=0,ISNUMBER(O1685),ISNUMBER(P1685)),IF(Q1684=0,1,0),0)</f>
        <v>0</v>
      </c>
      <c r="S1685" s="56" t="n">
        <f aca="false">R1685*(B1685&gt;=Train_Start)*(B1685&lt;=Train_End)</f>
        <v>0</v>
      </c>
      <c r="T1685" s="84" t="str">
        <f aca="false">IF(AND(ISNUMBER(O1685),ISNUMBER(P1685)),Coef_A+Coef_B1*O1685+Coef_B2*P1685,"")</f>
        <v/>
      </c>
      <c r="U1685" s="84" t="str">
        <f aca="false">IF(AND(R1685=1,ISNUMBER(T1685)),E1685-T1685,"")</f>
        <v/>
      </c>
      <c r="V1685" s="84" t="n">
        <f aca="false">IF(ISNUMBER(T1685),T1685,-99)</f>
        <v>-99</v>
      </c>
      <c r="W1685" s="84" t="str">
        <f aca="false">IF(ISNUMBER(U1685),ABS(U1685),"")</f>
        <v/>
      </c>
    </row>
    <row r="1686" customFormat="false" ht="15" hidden="false" customHeight="false" outlineLevel="0" collapsed="false">
      <c r="A1686" s="57" t="n">
        <v>32995</v>
      </c>
      <c r="B1686" s="56" t="n">
        <v>1990</v>
      </c>
      <c r="C1686" s="56" t="n">
        <v>5</v>
      </c>
      <c r="D1686" s="56" t="n">
        <v>2</v>
      </c>
      <c r="E1686" s="56" t="n">
        <v>28.1</v>
      </c>
      <c r="F1686" s="56" t="n">
        <v>0</v>
      </c>
      <c r="G1686" s="56" t="n">
        <v>8.9</v>
      </c>
      <c r="H1686" s="56" t="n">
        <v>0</v>
      </c>
      <c r="I1686" s="56" t="n">
        <v>17.6</v>
      </c>
      <c r="J1686" s="56" t="n">
        <v>0</v>
      </c>
      <c r="K1686" s="56" t="n">
        <v>1031.8</v>
      </c>
      <c r="L1686" s="56" t="n">
        <v>0</v>
      </c>
      <c r="M1686" s="56" t="n">
        <v>63</v>
      </c>
      <c r="N1686" s="56" t="n">
        <v>13.9</v>
      </c>
      <c r="O1686" s="56" t="n">
        <f aca="false">IF(D1686=1,"",E1685)</f>
        <v>26.2</v>
      </c>
      <c r="P1686" s="56" t="n">
        <f aca="false">IF(OR(D1686=1,K1685=""),"",K1685)</f>
        <v>1031.4</v>
      </c>
      <c r="Q1686" s="56" t="n">
        <f aca="false">IF(OR(F1686&lt;&gt;0,AND(I1686&lt;&gt;"",E1686&lt;I1686)),1,0)</f>
        <v>0</v>
      </c>
      <c r="R1686" s="56" t="n">
        <f aca="false">IF(AND(D1686&gt;1,Q1686=0,ISNUMBER(O1686),ISNUMBER(P1686)),IF(Q1685=0,1,0),0)</f>
        <v>1</v>
      </c>
      <c r="S1686" s="56" t="n">
        <f aca="false">R1686*(B1686&gt;=Train_Start)*(B1686&lt;=Train_End)</f>
        <v>1</v>
      </c>
      <c r="T1686" s="84" t="n">
        <f aca="false">IF(AND(ISNUMBER(O1686),ISNUMBER(P1686)),Coef_A+Coef_B1*O1686+Coef_B2*P1686,"")</f>
        <v>25.90857160521</v>
      </c>
      <c r="U1686" s="84" t="n">
        <f aca="false">IF(AND(R1686=1,ISNUMBER(T1686)),E1686-T1686,"")</f>
        <v>2.19142839479001</v>
      </c>
      <c r="V1686" s="84" t="n">
        <f aca="false">IF(ISNUMBER(T1686),T1686,-99)</f>
        <v>25.90857160521</v>
      </c>
      <c r="W1686" s="84" t="n">
        <f aca="false">IF(ISNUMBER(U1686),ABS(U1686),"")</f>
        <v>2.19142839479001</v>
      </c>
    </row>
    <row r="1687" customFormat="false" ht="15" hidden="false" customHeight="false" outlineLevel="0" collapsed="false">
      <c r="A1687" s="57" t="n">
        <v>32996</v>
      </c>
      <c r="B1687" s="56" t="n">
        <v>1990</v>
      </c>
      <c r="C1687" s="56" t="n">
        <v>5</v>
      </c>
      <c r="D1687" s="56" t="n">
        <v>3</v>
      </c>
      <c r="E1687" s="56" t="n">
        <v>26.9</v>
      </c>
      <c r="F1687" s="56" t="n">
        <v>0</v>
      </c>
      <c r="G1687" s="56" t="n">
        <v>12</v>
      </c>
      <c r="H1687" s="56" t="n">
        <v>0</v>
      </c>
      <c r="I1687" s="56" t="n">
        <v>20</v>
      </c>
      <c r="J1687" s="56" t="n">
        <v>0</v>
      </c>
      <c r="K1687" s="56" t="n">
        <v>1028.8</v>
      </c>
      <c r="L1687" s="56" t="n">
        <v>0</v>
      </c>
      <c r="M1687" s="56" t="n">
        <v>59</v>
      </c>
      <c r="N1687" s="56" t="n">
        <v>13.5</v>
      </c>
      <c r="O1687" s="56" t="n">
        <f aca="false">IF(D1687=1,"",E1686)</f>
        <v>28.1</v>
      </c>
      <c r="P1687" s="56" t="n">
        <f aca="false">IF(OR(D1687=1,K1686=""),"",K1686)</f>
        <v>1031.8</v>
      </c>
      <c r="Q1687" s="56" t="n">
        <f aca="false">IF(OR(F1687&lt;&gt;0,AND(I1687&lt;&gt;"",E1687&lt;I1687)),1,0)</f>
        <v>0</v>
      </c>
      <c r="R1687" s="56" t="n">
        <f aca="false">IF(AND(D1687&gt;1,Q1687=0,ISNUMBER(O1687),ISNUMBER(P1687)),IF(Q1686=0,1,0),0)</f>
        <v>1</v>
      </c>
      <c r="S1687" s="56" t="n">
        <f aca="false">R1687*(B1687&gt;=Train_Start)*(B1687&lt;=Train_End)</f>
        <v>1</v>
      </c>
      <c r="T1687" s="84" t="n">
        <f aca="false">IF(AND(ISNUMBER(O1687),ISNUMBER(P1687)),Coef_A+Coef_B1*O1687+Coef_B2*P1687,"")</f>
        <v>27.4778640298446</v>
      </c>
      <c r="U1687" s="84" t="n">
        <f aca="false">IF(AND(R1687=1,ISNUMBER(T1687)),E1687-T1687,"")</f>
        <v>-0.577864029844633</v>
      </c>
      <c r="V1687" s="84" t="n">
        <f aca="false">IF(ISNUMBER(T1687),T1687,-99)</f>
        <v>27.4778640298446</v>
      </c>
      <c r="W1687" s="84" t="n">
        <f aca="false">IF(ISNUMBER(U1687),ABS(U1687),"")</f>
        <v>0.577864029844633</v>
      </c>
    </row>
    <row r="1688" customFormat="false" ht="15" hidden="false" customHeight="false" outlineLevel="0" collapsed="false">
      <c r="A1688" s="57" t="n">
        <v>32997</v>
      </c>
      <c r="B1688" s="56" t="n">
        <v>1990</v>
      </c>
      <c r="C1688" s="56" t="n">
        <v>5</v>
      </c>
      <c r="D1688" s="56" t="n">
        <v>4</v>
      </c>
      <c r="E1688" s="56" t="n">
        <v>27.2</v>
      </c>
      <c r="F1688" s="56" t="n">
        <v>0</v>
      </c>
      <c r="G1688" s="56" t="n">
        <v>11.3</v>
      </c>
      <c r="H1688" s="56" t="n">
        <v>0</v>
      </c>
      <c r="I1688" s="56" t="n">
        <v>19.1</v>
      </c>
      <c r="J1688" s="56" t="n">
        <v>0</v>
      </c>
      <c r="K1688" s="56" t="n">
        <v>1024.9</v>
      </c>
      <c r="L1688" s="56" t="n">
        <v>0</v>
      </c>
      <c r="M1688" s="56" t="n">
        <v>52</v>
      </c>
      <c r="N1688" s="56" t="n">
        <v>13.9</v>
      </c>
      <c r="O1688" s="56" t="n">
        <f aca="false">IF(D1688=1,"",E1687)</f>
        <v>26.9</v>
      </c>
      <c r="P1688" s="56" t="n">
        <f aca="false">IF(OR(D1688=1,K1687=""),"",K1687)</f>
        <v>1028.8</v>
      </c>
      <c r="Q1688" s="56" t="n">
        <f aca="false">IF(OR(F1688&lt;&gt;0,AND(I1688&lt;&gt;"",E1688&lt;I1688)),1,0)</f>
        <v>0</v>
      </c>
      <c r="R1688" s="56" t="n">
        <f aca="false">IF(AND(D1688&gt;1,Q1688=0,ISNUMBER(O1688),ISNUMBER(P1688)),IF(Q1687=0,1,0),0)</f>
        <v>1</v>
      </c>
      <c r="S1688" s="56" t="n">
        <f aca="false">R1688*(B1688&gt;=Train_Start)*(B1688&lt;=Train_End)</f>
        <v>1</v>
      </c>
      <c r="T1688" s="84" t="n">
        <f aca="false">IF(AND(ISNUMBER(O1688),ISNUMBER(P1688)),Coef_A+Coef_B1*O1688+Coef_B2*P1688,"")</f>
        <v>26.4005473142915</v>
      </c>
      <c r="U1688" s="84" t="n">
        <f aca="false">IF(AND(R1688=1,ISNUMBER(T1688)),E1688-T1688,"")</f>
        <v>0.799452685708527</v>
      </c>
      <c r="V1688" s="84" t="n">
        <f aca="false">IF(ISNUMBER(T1688),T1688,-99)</f>
        <v>26.4005473142915</v>
      </c>
      <c r="W1688" s="84" t="n">
        <f aca="false">IF(ISNUMBER(U1688),ABS(U1688),"")</f>
        <v>0.799452685708527</v>
      </c>
    </row>
    <row r="1689" customFormat="false" ht="15" hidden="false" customHeight="false" outlineLevel="0" collapsed="false">
      <c r="A1689" s="57" t="n">
        <v>32998</v>
      </c>
      <c r="B1689" s="56" t="n">
        <v>1990</v>
      </c>
      <c r="C1689" s="56" t="n">
        <v>5</v>
      </c>
      <c r="D1689" s="56" t="n">
        <v>5</v>
      </c>
      <c r="E1689" s="56" t="n">
        <v>26</v>
      </c>
      <c r="F1689" s="56" t="n">
        <v>0</v>
      </c>
      <c r="G1689" s="56" t="n">
        <v>10.9</v>
      </c>
      <c r="H1689" s="56" t="n">
        <v>0</v>
      </c>
      <c r="I1689" s="56" t="n">
        <v>19</v>
      </c>
      <c r="J1689" s="56" t="n">
        <v>0</v>
      </c>
      <c r="K1689" s="56" t="n">
        <v>1020.5</v>
      </c>
      <c r="L1689" s="56" t="n">
        <v>0</v>
      </c>
      <c r="M1689" s="56" t="n">
        <v>50</v>
      </c>
      <c r="N1689" s="56" t="n">
        <v>13.5</v>
      </c>
      <c r="O1689" s="56" t="n">
        <f aca="false">IF(D1689=1,"",E1688)</f>
        <v>27.2</v>
      </c>
      <c r="P1689" s="56" t="n">
        <f aca="false">IF(OR(D1689=1,K1688=""),"",K1688)</f>
        <v>1024.9</v>
      </c>
      <c r="Q1689" s="56" t="n">
        <f aca="false">IF(OR(F1689&lt;&gt;0,AND(I1689&lt;&gt;"",E1689&lt;I1689)),1,0)</f>
        <v>0</v>
      </c>
      <c r="R1689" s="56" t="n">
        <f aca="false">IF(AND(D1689&gt;1,Q1689=0,ISNUMBER(O1689),ISNUMBER(P1689)),IF(Q1688=0,1,0),0)</f>
        <v>1</v>
      </c>
      <c r="S1689" s="56" t="n">
        <f aca="false">R1689*(B1689&gt;=Train_Start)*(B1689&lt;=Train_End)</f>
        <v>1</v>
      </c>
      <c r="T1689" s="84" t="n">
        <f aca="false">IF(AND(ISNUMBER(O1689),ISNUMBER(P1689)),Coef_A+Coef_B1*O1689+Coef_B2*P1689,"")</f>
        <v>26.5240064831317</v>
      </c>
      <c r="U1689" s="84" t="n">
        <f aca="false">IF(AND(R1689=1,ISNUMBER(T1689)),E1689-T1689,"")</f>
        <v>-0.524006483131711</v>
      </c>
      <c r="V1689" s="84" t="n">
        <f aca="false">IF(ISNUMBER(T1689),T1689,-99)</f>
        <v>26.5240064831317</v>
      </c>
      <c r="W1689" s="84" t="n">
        <f aca="false">IF(ISNUMBER(U1689),ABS(U1689),"")</f>
        <v>0.524006483131711</v>
      </c>
    </row>
    <row r="1690" customFormat="false" ht="15" hidden="false" customHeight="false" outlineLevel="0" collapsed="false">
      <c r="A1690" s="57" t="n">
        <v>32999</v>
      </c>
      <c r="B1690" s="56" t="n">
        <v>1990</v>
      </c>
      <c r="C1690" s="56" t="n">
        <v>5</v>
      </c>
      <c r="D1690" s="56" t="n">
        <v>6</v>
      </c>
      <c r="E1690" s="56" t="n">
        <v>18</v>
      </c>
      <c r="F1690" s="56" t="n">
        <v>1</v>
      </c>
      <c r="G1690" s="56" t="n">
        <v>11.8</v>
      </c>
      <c r="H1690" s="56" t="n">
        <v>0</v>
      </c>
      <c r="I1690" s="56" t="n">
        <v>18.9</v>
      </c>
      <c r="J1690" s="56" t="n">
        <v>1</v>
      </c>
      <c r="K1690" s="56" t="n">
        <v>1015.9</v>
      </c>
      <c r="L1690" s="56" t="n">
        <v>0</v>
      </c>
      <c r="M1690" s="56" t="n">
        <v>58</v>
      </c>
      <c r="N1690" s="56" t="n">
        <v>12.7</v>
      </c>
      <c r="O1690" s="56" t="n">
        <f aca="false">IF(D1690=1,"",E1689)</f>
        <v>26</v>
      </c>
      <c r="P1690" s="56" t="n">
        <f aca="false">IF(OR(D1690=1,K1689=""),"",K1689)</f>
        <v>1020.5</v>
      </c>
      <c r="Q1690" s="56" t="n">
        <f aca="false">IF(OR(F1690&lt;&gt;0,AND(I1690&lt;&gt;"",E1690&lt;I1690)),1,0)</f>
        <v>1</v>
      </c>
      <c r="R1690" s="56" t="n">
        <f aca="false">IF(AND(D1690&gt;1,Q1690=0,ISNUMBER(O1690),ISNUMBER(P1690)),IF(Q1689=0,1,0),0)</f>
        <v>0</v>
      </c>
      <c r="S1690" s="56" t="n">
        <f aca="false">R1690*(B1690&gt;=Train_Start)*(B1690&lt;=Train_End)</f>
        <v>0</v>
      </c>
      <c r="T1690" s="84" t="n">
        <f aca="false">IF(AND(ISNUMBER(O1690),ISNUMBER(P1690)),Coef_A+Coef_B1*O1690+Coef_B2*P1690,"")</f>
        <v>25.402771915091</v>
      </c>
      <c r="U1690" s="84" t="str">
        <f aca="false">IF(AND(R1690=1,ISNUMBER(T1690)),E1690-T1690,"")</f>
        <v/>
      </c>
      <c r="V1690" s="84" t="n">
        <f aca="false">IF(ISNUMBER(T1690),T1690,-99)</f>
        <v>25.402771915091</v>
      </c>
      <c r="W1690" s="84" t="str">
        <f aca="false">IF(ISNUMBER(U1690),ABS(U1690),"")</f>
        <v/>
      </c>
    </row>
    <row r="1691" customFormat="false" ht="15" hidden="false" customHeight="false" outlineLevel="0" collapsed="false">
      <c r="A1691" s="57" t="n">
        <v>33000</v>
      </c>
      <c r="B1691" s="56" t="n">
        <v>1990</v>
      </c>
      <c r="C1691" s="56" t="n">
        <v>5</v>
      </c>
      <c r="D1691" s="56" t="n">
        <v>7</v>
      </c>
      <c r="E1691" s="56" t="n">
        <v>19.4</v>
      </c>
      <c r="F1691" s="56" t="n">
        <v>0</v>
      </c>
      <c r="G1691" s="56" t="n">
        <v>8.8</v>
      </c>
      <c r="H1691" s="56" t="n">
        <v>0</v>
      </c>
      <c r="I1691" s="56" t="n">
        <v>13.4</v>
      </c>
      <c r="J1691" s="56" t="n">
        <v>0</v>
      </c>
      <c r="K1691" s="56" t="n">
        <v>1015.8</v>
      </c>
      <c r="L1691" s="56" t="n">
        <v>0</v>
      </c>
      <c r="M1691" s="56" t="n">
        <v>58</v>
      </c>
      <c r="N1691" s="56" t="n">
        <v>11.1</v>
      </c>
      <c r="O1691" s="56" t="n">
        <f aca="false">IF(D1691=1,"",E1690)</f>
        <v>18</v>
      </c>
      <c r="P1691" s="56" t="n">
        <f aca="false">IF(OR(D1691=1,K1690=""),"",K1690)</f>
        <v>1015.9</v>
      </c>
      <c r="Q1691" s="56" t="n">
        <f aca="false">IF(OR(F1691&lt;&gt;0,AND(I1691&lt;&gt;"",E1691&lt;I1691)),1,0)</f>
        <v>0</v>
      </c>
      <c r="R1691" s="56" t="n">
        <f aca="false">IF(AND(D1691&gt;1,Q1691=0,ISNUMBER(O1691),ISNUMBER(P1691)),IF(Q1690=0,1,0),0)</f>
        <v>0</v>
      </c>
      <c r="S1691" s="56" t="n">
        <f aca="false">R1691*(B1691&gt;=Train_Start)*(B1691&lt;=Train_End)</f>
        <v>0</v>
      </c>
      <c r="T1691" s="84" t="n">
        <f aca="false">IF(AND(ISNUMBER(O1691),ISNUMBER(P1691)),Coef_A+Coef_B1*O1691+Coef_B2*P1691,"")</f>
        <v>18.7037568554334</v>
      </c>
      <c r="U1691" s="84" t="str">
        <f aca="false">IF(AND(R1691=1,ISNUMBER(T1691)),E1691-T1691,"")</f>
        <v/>
      </c>
      <c r="V1691" s="84" t="n">
        <f aca="false">IF(ISNUMBER(T1691),T1691,-99)</f>
        <v>18.7037568554334</v>
      </c>
      <c r="W1691" s="84" t="str">
        <f aca="false">IF(ISNUMBER(U1691),ABS(U1691),"")</f>
        <v/>
      </c>
    </row>
    <row r="1692" customFormat="false" ht="15" hidden="false" customHeight="false" outlineLevel="0" collapsed="false">
      <c r="A1692" s="57" t="n">
        <v>33001</v>
      </c>
      <c r="B1692" s="56" t="n">
        <v>1990</v>
      </c>
      <c r="C1692" s="56" t="n">
        <v>5</v>
      </c>
      <c r="D1692" s="56" t="n">
        <v>8</v>
      </c>
      <c r="E1692" s="56" t="n">
        <v>15.8</v>
      </c>
      <c r="F1692" s="56" t="n">
        <v>0</v>
      </c>
      <c r="G1692" s="56" t="n">
        <v>6.8</v>
      </c>
      <c r="H1692" s="56" t="n">
        <v>0</v>
      </c>
      <c r="I1692" s="56" t="n">
        <v>13.1</v>
      </c>
      <c r="J1692" s="56" t="n">
        <v>0</v>
      </c>
      <c r="K1692" s="56" t="n">
        <v>1016.2</v>
      </c>
      <c r="L1692" s="56" t="n">
        <v>0</v>
      </c>
      <c r="M1692" s="56" t="n">
        <v>61</v>
      </c>
      <c r="N1692" s="56" t="n">
        <v>10.5</v>
      </c>
      <c r="O1692" s="56" t="n">
        <f aca="false">IF(D1692=1,"",E1691)</f>
        <v>19.4</v>
      </c>
      <c r="P1692" s="56" t="n">
        <f aca="false">IF(OR(D1692=1,K1691=""),"",K1691)</f>
        <v>1015.8</v>
      </c>
      <c r="Q1692" s="56" t="n">
        <f aca="false">IF(OR(F1692&lt;&gt;0,AND(I1692&lt;&gt;"",E1692&lt;I1692)),1,0)</f>
        <v>0</v>
      </c>
      <c r="R1692" s="56" t="n">
        <f aca="false">IF(AND(D1692&gt;1,Q1692=0,ISNUMBER(O1692),ISNUMBER(P1692)),IF(Q1691=0,1,0),0)</f>
        <v>1</v>
      </c>
      <c r="S1692" s="56" t="n">
        <f aca="false">R1692*(B1692&gt;=Train_Start)*(B1692&lt;=Train_End)</f>
        <v>1</v>
      </c>
      <c r="T1692" s="84" t="n">
        <f aca="false">IF(AND(ISNUMBER(O1692),ISNUMBER(P1692)),Coef_A+Coef_B1*O1692+Coef_B2*P1692,"")</f>
        <v>19.8476947362297</v>
      </c>
      <c r="U1692" s="84" t="n">
        <f aca="false">IF(AND(R1692=1,ISNUMBER(T1692)),E1692-T1692,"")</f>
        <v>-4.04769473622968</v>
      </c>
      <c r="V1692" s="84" t="n">
        <f aca="false">IF(ISNUMBER(T1692),T1692,-99)</f>
        <v>19.8476947362297</v>
      </c>
      <c r="W1692" s="84" t="n">
        <f aca="false">IF(ISNUMBER(U1692),ABS(U1692),"")</f>
        <v>4.04769473622968</v>
      </c>
    </row>
    <row r="1693" customFormat="false" ht="15" hidden="false" customHeight="false" outlineLevel="0" collapsed="false">
      <c r="A1693" s="57" t="n">
        <v>33002</v>
      </c>
      <c r="B1693" s="56" t="n">
        <v>1990</v>
      </c>
      <c r="C1693" s="56" t="n">
        <v>5</v>
      </c>
      <c r="D1693" s="56" t="n">
        <v>9</v>
      </c>
      <c r="E1693" s="56" t="n">
        <v>15.4</v>
      </c>
      <c r="F1693" s="56" t="n">
        <v>0</v>
      </c>
      <c r="G1693" s="56" t="n">
        <v>10</v>
      </c>
      <c r="H1693" s="56" t="n">
        <v>0</v>
      </c>
      <c r="I1693" s="56" t="n">
        <v>12.9</v>
      </c>
      <c r="J1693" s="56" t="n">
        <v>0</v>
      </c>
      <c r="K1693" s="56" t="n">
        <v>1015.4</v>
      </c>
      <c r="L1693" s="56" t="n">
        <v>0</v>
      </c>
      <c r="M1693" s="56" t="n">
        <v>73</v>
      </c>
      <c r="N1693" s="56" t="n">
        <v>0.3</v>
      </c>
      <c r="O1693" s="56" t="n">
        <f aca="false">IF(D1693=1,"",E1692)</f>
        <v>15.8</v>
      </c>
      <c r="P1693" s="56" t="n">
        <f aca="false">IF(OR(D1693=1,K1692=""),"",K1692)</f>
        <v>1016.2</v>
      </c>
      <c r="Q1693" s="56" t="n">
        <f aca="false">IF(OR(F1693&lt;&gt;0,AND(I1693&lt;&gt;"",E1693&lt;I1693)),1,0)</f>
        <v>0</v>
      </c>
      <c r="R1693" s="56" t="n">
        <f aca="false">IF(AND(D1693&gt;1,Q1693=0,ISNUMBER(O1693),ISNUMBER(P1693)),IF(Q1692=0,1,0),0)</f>
        <v>1</v>
      </c>
      <c r="S1693" s="56" t="n">
        <f aca="false">R1693*(B1693&gt;=Train_Start)*(B1693&lt;=Train_End)</f>
        <v>1</v>
      </c>
      <c r="T1693" s="84" t="n">
        <f aca="false">IF(AND(ISNUMBER(O1693),ISNUMBER(P1693)),Coef_A+Coef_B1*O1693+Coef_B2*P1693,"")</f>
        <v>16.9106215991297</v>
      </c>
      <c r="U1693" s="84" t="n">
        <f aca="false">IF(AND(R1693=1,ISNUMBER(T1693)),E1693-T1693,"")</f>
        <v>-1.51062159912971</v>
      </c>
      <c r="V1693" s="84" t="n">
        <f aca="false">IF(ISNUMBER(T1693),T1693,-99)</f>
        <v>16.9106215991297</v>
      </c>
      <c r="W1693" s="84" t="n">
        <f aca="false">IF(ISNUMBER(U1693),ABS(U1693),"")</f>
        <v>1.51062159912971</v>
      </c>
    </row>
    <row r="1694" customFormat="false" ht="15" hidden="false" customHeight="false" outlineLevel="0" collapsed="false">
      <c r="A1694" s="57" t="n">
        <v>33003</v>
      </c>
      <c r="B1694" s="56" t="n">
        <v>1990</v>
      </c>
      <c r="C1694" s="56" t="n">
        <v>5</v>
      </c>
      <c r="D1694" s="56" t="n">
        <v>10</v>
      </c>
      <c r="E1694" s="56" t="n">
        <v>14</v>
      </c>
      <c r="F1694" s="56" t="n">
        <v>0</v>
      </c>
      <c r="G1694" s="56" t="n">
        <v>6.8</v>
      </c>
      <c r="H1694" s="56" t="n">
        <v>0</v>
      </c>
      <c r="I1694" s="56" t="n">
        <v>11.1</v>
      </c>
      <c r="J1694" s="56" t="n">
        <v>0</v>
      </c>
      <c r="K1694" s="56" t="n">
        <v>1012.7</v>
      </c>
      <c r="L1694" s="56" t="n">
        <v>0</v>
      </c>
      <c r="M1694" s="56" t="n">
        <v>80</v>
      </c>
      <c r="N1694" s="56" t="n">
        <v>4.1</v>
      </c>
      <c r="O1694" s="56" t="n">
        <f aca="false">IF(D1694=1,"",E1693)</f>
        <v>15.4</v>
      </c>
      <c r="P1694" s="56" t="n">
        <f aca="false">IF(OR(D1694=1,K1693=""),"",K1693)</f>
        <v>1015.4</v>
      </c>
      <c r="Q1694" s="56" t="n">
        <f aca="false">IF(OR(F1694&lt;&gt;0,AND(I1694&lt;&gt;"",E1694&lt;I1694)),1,0)</f>
        <v>0</v>
      </c>
      <c r="R1694" s="56" t="n">
        <f aca="false">IF(AND(D1694&gt;1,Q1694=0,ISNUMBER(O1694),ISNUMBER(P1694)),IF(Q1693=0,1,0),0)</f>
        <v>1</v>
      </c>
      <c r="S1694" s="56" t="n">
        <f aca="false">R1694*(B1694&gt;=Train_Start)*(B1694&lt;=Train_End)</f>
        <v>1</v>
      </c>
      <c r="T1694" s="84" t="n">
        <f aca="false">IF(AND(ISNUMBER(O1694),ISNUMBER(P1694)),Coef_A+Coef_B1*O1694+Coef_B2*P1694,"")</f>
        <v>16.5577900062055</v>
      </c>
      <c r="U1694" s="84" t="n">
        <f aca="false">IF(AND(R1694=1,ISNUMBER(T1694)),E1694-T1694,"")</f>
        <v>-2.55779000620545</v>
      </c>
      <c r="V1694" s="84" t="n">
        <f aca="false">IF(ISNUMBER(T1694),T1694,-99)</f>
        <v>16.5577900062055</v>
      </c>
      <c r="W1694" s="84" t="n">
        <f aca="false">IF(ISNUMBER(U1694),ABS(U1694),"")</f>
        <v>2.55779000620545</v>
      </c>
    </row>
    <row r="1695" customFormat="false" ht="15" hidden="false" customHeight="false" outlineLevel="0" collapsed="false">
      <c r="A1695" s="57" t="n">
        <v>33004</v>
      </c>
      <c r="B1695" s="56" t="n">
        <v>1990</v>
      </c>
      <c r="C1695" s="56" t="n">
        <v>5</v>
      </c>
      <c r="D1695" s="56" t="n">
        <v>11</v>
      </c>
      <c r="E1695" s="56" t="n">
        <v>15.9</v>
      </c>
      <c r="F1695" s="56" t="n">
        <v>0</v>
      </c>
      <c r="G1695" s="56" t="n">
        <v>6.3</v>
      </c>
      <c r="H1695" s="56" t="n">
        <v>0</v>
      </c>
      <c r="I1695" s="56" t="n">
        <v>10.2</v>
      </c>
      <c r="J1695" s="56" t="n">
        <v>0</v>
      </c>
      <c r="K1695" s="56" t="n">
        <v>1012.2</v>
      </c>
      <c r="L1695" s="56" t="n">
        <v>0</v>
      </c>
      <c r="M1695" s="56" t="n">
        <v>76</v>
      </c>
      <c r="N1695" s="56" t="n">
        <v>0.6</v>
      </c>
      <c r="O1695" s="56" t="n">
        <f aca="false">IF(D1695=1,"",E1694)</f>
        <v>14</v>
      </c>
      <c r="P1695" s="56" t="n">
        <f aca="false">IF(OR(D1695=1,K1694=""),"",K1694)</f>
        <v>1012.7</v>
      </c>
      <c r="Q1695" s="56" t="n">
        <f aca="false">IF(OR(F1695&lt;&gt;0,AND(I1695&lt;&gt;"",E1695&lt;I1695)),1,0)</f>
        <v>0</v>
      </c>
      <c r="R1695" s="56" t="n">
        <f aca="false">IF(AND(D1695&gt;1,Q1695=0,ISNUMBER(O1695),ISNUMBER(P1695)),IF(Q1694=0,1,0),0)</f>
        <v>1</v>
      </c>
      <c r="S1695" s="56" t="n">
        <f aca="false">R1695*(B1695&gt;=Train_Start)*(B1695&lt;=Train_End)</f>
        <v>1</v>
      </c>
      <c r="T1695" s="84" t="n">
        <f aca="false">IF(AND(ISNUMBER(O1695),ISNUMBER(P1695)),Coef_A+Coef_B1*O1695+Coef_B2*P1695,"")</f>
        <v>15.326016420434</v>
      </c>
      <c r="U1695" s="84" t="n">
        <f aca="false">IF(AND(R1695=1,ISNUMBER(T1695)),E1695-T1695,"")</f>
        <v>0.573983579566038</v>
      </c>
      <c r="V1695" s="84" t="n">
        <f aca="false">IF(ISNUMBER(T1695),T1695,-99)</f>
        <v>15.326016420434</v>
      </c>
      <c r="W1695" s="84" t="n">
        <f aca="false">IF(ISNUMBER(U1695),ABS(U1695),"")</f>
        <v>0.573983579566038</v>
      </c>
    </row>
    <row r="1696" customFormat="false" ht="15" hidden="false" customHeight="false" outlineLevel="0" collapsed="false">
      <c r="A1696" s="57" t="n">
        <v>33005</v>
      </c>
      <c r="B1696" s="56" t="n">
        <v>1990</v>
      </c>
      <c r="C1696" s="56" t="n">
        <v>5</v>
      </c>
      <c r="D1696" s="56" t="n">
        <v>12</v>
      </c>
      <c r="E1696" s="56" t="n">
        <v>17.2</v>
      </c>
      <c r="F1696" s="56" t="n">
        <v>0</v>
      </c>
      <c r="G1696" s="56" t="n">
        <v>10</v>
      </c>
      <c r="H1696" s="56" t="n">
        <v>0</v>
      </c>
      <c r="I1696" s="56" t="n">
        <v>13</v>
      </c>
      <c r="J1696" s="56" t="n">
        <v>0</v>
      </c>
      <c r="K1696" s="56" t="n">
        <v>1012.7</v>
      </c>
      <c r="L1696" s="56" t="n">
        <v>0</v>
      </c>
      <c r="M1696" s="56" t="n">
        <v>71</v>
      </c>
      <c r="N1696" s="56" t="n">
        <v>3.8</v>
      </c>
      <c r="O1696" s="56" t="n">
        <f aca="false">IF(D1696=1,"",E1695)</f>
        <v>15.9</v>
      </c>
      <c r="P1696" s="56" t="n">
        <f aca="false">IF(OR(D1696=1,K1695=""),"",K1695)</f>
        <v>1012.2</v>
      </c>
      <c r="Q1696" s="56" t="n">
        <f aca="false">IF(OR(F1696&lt;&gt;0,AND(I1696&lt;&gt;"",E1696&lt;I1696)),1,0)</f>
        <v>0</v>
      </c>
      <c r="R1696" s="56" t="n">
        <f aca="false">IF(AND(D1696&gt;1,Q1696=0,ISNUMBER(O1696),ISNUMBER(P1696)),IF(Q1695=0,1,0),0)</f>
        <v>1</v>
      </c>
      <c r="S1696" s="56" t="n">
        <f aca="false">R1696*(B1696&gt;=Train_Start)*(B1696&lt;=Train_End)</f>
        <v>1</v>
      </c>
      <c r="T1696" s="84" t="n">
        <f aca="false">IF(AND(ISNUMBER(O1696),ISNUMBER(P1696)),Coef_A+Coef_B1*O1696+Coef_B2*P1696,"")</f>
        <v>16.867075939898</v>
      </c>
      <c r="U1696" s="84" t="n">
        <f aca="false">IF(AND(R1696=1,ISNUMBER(T1696)),E1696-T1696,"")</f>
        <v>0.332924060101984</v>
      </c>
      <c r="V1696" s="84" t="n">
        <f aca="false">IF(ISNUMBER(T1696),T1696,-99)</f>
        <v>16.867075939898</v>
      </c>
      <c r="W1696" s="84" t="n">
        <f aca="false">IF(ISNUMBER(U1696),ABS(U1696),"")</f>
        <v>0.332924060101984</v>
      </c>
    </row>
    <row r="1697" customFormat="false" ht="15" hidden="false" customHeight="false" outlineLevel="0" collapsed="false">
      <c r="A1697" s="57" t="n">
        <v>33006</v>
      </c>
      <c r="B1697" s="56" t="n">
        <v>1990</v>
      </c>
      <c r="C1697" s="56" t="n">
        <v>5</v>
      </c>
      <c r="D1697" s="56" t="n">
        <v>13</v>
      </c>
      <c r="E1697" s="56" t="n">
        <v>20.2</v>
      </c>
      <c r="F1697" s="56" t="n">
        <v>0</v>
      </c>
      <c r="G1697" s="56" t="n">
        <v>7.7</v>
      </c>
      <c r="H1697" s="56" t="n">
        <v>0</v>
      </c>
      <c r="I1697" s="56" t="n">
        <v>12.4</v>
      </c>
      <c r="J1697" s="56" t="n">
        <v>0</v>
      </c>
      <c r="K1697" s="56" t="n">
        <v>1016.6</v>
      </c>
      <c r="L1697" s="56" t="n">
        <v>0</v>
      </c>
      <c r="M1697" s="56" t="n">
        <v>73</v>
      </c>
      <c r="N1697" s="56" t="n">
        <v>4.8</v>
      </c>
      <c r="O1697" s="56" t="n">
        <f aca="false">IF(D1697=1,"",E1696)</f>
        <v>17.2</v>
      </c>
      <c r="P1697" s="56" t="n">
        <f aca="false">IF(OR(D1697=1,K1696=""),"",K1696)</f>
        <v>1012.7</v>
      </c>
      <c r="Q1697" s="56" t="n">
        <f aca="false">IF(OR(F1697&lt;&gt;0,AND(I1697&lt;&gt;"",E1697&lt;I1697)),1,0)</f>
        <v>0</v>
      </c>
      <c r="R1697" s="56" t="n">
        <f aca="false">IF(AND(D1697&gt;1,Q1697=0,ISNUMBER(O1697),ISNUMBER(P1697)),IF(Q1696=0,1,0),0)</f>
        <v>1</v>
      </c>
      <c r="S1697" s="56" t="n">
        <f aca="false">R1697*(B1697&gt;=Train_Start)*(B1697&lt;=Train_End)</f>
        <v>1</v>
      </c>
      <c r="T1697" s="84" t="n">
        <f aca="false">IF(AND(ISNUMBER(O1697),ISNUMBER(P1697)),Coef_A+Coef_B1*O1697+Coef_B2*P1697,"")</f>
        <v>17.9479018381705</v>
      </c>
      <c r="U1697" s="84" t="n">
        <f aca="false">IF(AND(R1697=1,ISNUMBER(T1697)),E1697-T1697,"")</f>
        <v>2.25209816182953</v>
      </c>
      <c r="V1697" s="84" t="n">
        <f aca="false">IF(ISNUMBER(T1697),T1697,-99)</f>
        <v>17.9479018381705</v>
      </c>
      <c r="W1697" s="84" t="n">
        <f aca="false">IF(ISNUMBER(U1697),ABS(U1697),"")</f>
        <v>2.25209816182953</v>
      </c>
    </row>
    <row r="1698" customFormat="false" ht="15" hidden="false" customHeight="false" outlineLevel="0" collapsed="false">
      <c r="A1698" s="57" t="n">
        <v>33007</v>
      </c>
      <c r="B1698" s="56" t="n">
        <v>1990</v>
      </c>
      <c r="C1698" s="56" t="n">
        <v>5</v>
      </c>
      <c r="D1698" s="56" t="n">
        <v>14</v>
      </c>
      <c r="E1698" s="56" t="n">
        <v>22.1</v>
      </c>
      <c r="F1698" s="56" t="n">
        <v>0</v>
      </c>
      <c r="G1698" s="56" t="n">
        <v>7.3</v>
      </c>
      <c r="H1698" s="56" t="n">
        <v>0</v>
      </c>
      <c r="I1698" s="56" t="n">
        <v>13.8</v>
      </c>
      <c r="J1698" s="56" t="n">
        <v>0</v>
      </c>
      <c r="K1698" s="56" t="n">
        <v>1016.3</v>
      </c>
      <c r="L1698" s="56" t="n">
        <v>0</v>
      </c>
      <c r="M1698" s="56" t="n">
        <v>66</v>
      </c>
      <c r="N1698" s="56" t="n">
        <v>7.8</v>
      </c>
      <c r="O1698" s="56" t="n">
        <f aca="false">IF(D1698=1,"",E1697)</f>
        <v>20.2</v>
      </c>
      <c r="P1698" s="56" t="n">
        <f aca="false">IF(OR(D1698=1,K1697=""),"",K1697)</f>
        <v>1016.6</v>
      </c>
      <c r="Q1698" s="56" t="n">
        <f aca="false">IF(OR(F1698&lt;&gt;0,AND(I1698&lt;&gt;"",E1698&lt;I1698)),1,0)</f>
        <v>0</v>
      </c>
      <c r="R1698" s="56" t="n">
        <f aca="false">IF(AND(D1698&gt;1,Q1698=0,ISNUMBER(O1698),ISNUMBER(P1698)),IF(Q1697=0,1,0),0)</f>
        <v>1</v>
      </c>
      <c r="S1698" s="56" t="n">
        <f aca="false">R1698*(B1698&gt;=Train_Start)*(B1698&lt;=Train_End)</f>
        <v>1</v>
      </c>
      <c r="T1698" s="84" t="n">
        <f aca="false">IF(AND(ISNUMBER(O1698),ISNUMBER(P1698)),Coef_A+Coef_B1*O1698+Coef_B2*P1698,"")</f>
        <v>20.528262006371</v>
      </c>
      <c r="U1698" s="84" t="n">
        <f aca="false">IF(AND(R1698=1,ISNUMBER(T1698)),E1698-T1698,"")</f>
        <v>1.571737993629</v>
      </c>
      <c r="V1698" s="84" t="n">
        <f aca="false">IF(ISNUMBER(T1698),T1698,-99)</f>
        <v>20.528262006371</v>
      </c>
      <c r="W1698" s="84" t="n">
        <f aca="false">IF(ISNUMBER(U1698),ABS(U1698),"")</f>
        <v>1.571737993629</v>
      </c>
    </row>
    <row r="1699" customFormat="false" ht="15" hidden="false" customHeight="false" outlineLevel="0" collapsed="false">
      <c r="A1699" s="57" t="n">
        <v>33008</v>
      </c>
      <c r="B1699" s="56" t="n">
        <v>1990</v>
      </c>
      <c r="C1699" s="56" t="n">
        <v>5</v>
      </c>
      <c r="D1699" s="56" t="n">
        <v>15</v>
      </c>
      <c r="E1699" s="56" t="n">
        <v>21</v>
      </c>
      <c r="F1699" s="56" t="n">
        <v>0</v>
      </c>
      <c r="G1699" s="56" t="n">
        <v>12.5</v>
      </c>
      <c r="H1699" s="56" t="n">
        <v>0</v>
      </c>
      <c r="I1699" s="56" t="n">
        <v>17.3</v>
      </c>
      <c r="J1699" s="56" t="n">
        <v>0</v>
      </c>
      <c r="K1699" s="56" t="n">
        <v>1014</v>
      </c>
      <c r="L1699" s="56" t="n">
        <v>0</v>
      </c>
      <c r="M1699" s="56" t="n">
        <v>62</v>
      </c>
      <c r="N1699" s="56" t="n">
        <v>12.3</v>
      </c>
      <c r="O1699" s="56" t="n">
        <f aca="false">IF(D1699=1,"",E1698)</f>
        <v>22.1</v>
      </c>
      <c r="P1699" s="56" t="n">
        <f aca="false">IF(OR(D1699=1,K1698=""),"",K1698)</f>
        <v>1016.3</v>
      </c>
      <c r="Q1699" s="56" t="n">
        <f aca="false">IF(OR(F1699&lt;&gt;0,AND(I1699&lt;&gt;"",E1699&lt;I1699)),1,0)</f>
        <v>0</v>
      </c>
      <c r="R1699" s="56" t="n">
        <f aca="false">IF(AND(D1699&gt;1,Q1699=0,ISNUMBER(O1699),ISNUMBER(P1699)),IF(Q1698=0,1,0),0)</f>
        <v>1</v>
      </c>
      <c r="S1699" s="56" t="n">
        <f aca="false">R1699*(B1699&gt;=Train_Start)*(B1699&lt;=Train_End)</f>
        <v>1</v>
      </c>
      <c r="T1699" s="84" t="n">
        <f aca="false">IF(AND(ISNUMBER(O1699),ISNUMBER(P1699)),Coef_A+Coef_B1*O1699+Coef_B2*P1699,"")</f>
        <v>22.0755955047619</v>
      </c>
      <c r="U1699" s="84" t="n">
        <f aca="false">IF(AND(R1699=1,ISNUMBER(T1699)),E1699-T1699,"")</f>
        <v>-1.07559550476185</v>
      </c>
      <c r="V1699" s="84" t="n">
        <f aca="false">IF(ISNUMBER(T1699),T1699,-99)</f>
        <v>22.0755955047619</v>
      </c>
      <c r="W1699" s="84" t="n">
        <f aca="false">IF(ISNUMBER(U1699),ABS(U1699),"")</f>
        <v>1.07559550476185</v>
      </c>
    </row>
    <row r="1700" customFormat="false" ht="15" hidden="false" customHeight="false" outlineLevel="0" collapsed="false">
      <c r="A1700" s="57" t="n">
        <v>33009</v>
      </c>
      <c r="B1700" s="56" t="n">
        <v>1990</v>
      </c>
      <c r="C1700" s="56" t="n">
        <v>5</v>
      </c>
      <c r="D1700" s="56" t="n">
        <v>16</v>
      </c>
      <c r="E1700" s="56" t="n">
        <v>21.5</v>
      </c>
      <c r="F1700" s="56" t="n">
        <v>0</v>
      </c>
      <c r="G1700" s="56" t="n">
        <v>10.7</v>
      </c>
      <c r="H1700" s="56" t="n">
        <v>0</v>
      </c>
      <c r="I1700" s="56" t="n">
        <v>15.8</v>
      </c>
      <c r="J1700" s="56" t="n">
        <v>0</v>
      </c>
      <c r="K1700" s="56" t="n">
        <v>1016</v>
      </c>
      <c r="L1700" s="56" t="n">
        <v>0</v>
      </c>
      <c r="M1700" s="56" t="n">
        <v>68</v>
      </c>
      <c r="N1700" s="56" t="n">
        <v>5.3</v>
      </c>
      <c r="O1700" s="56" t="n">
        <f aca="false">IF(D1700=1,"",E1699)</f>
        <v>21</v>
      </c>
      <c r="P1700" s="56" t="n">
        <f aca="false">IF(OR(D1700=1,K1699=""),"",K1699)</f>
        <v>1014</v>
      </c>
      <c r="Q1700" s="56" t="n">
        <f aca="false">IF(OR(F1700&lt;&gt;0,AND(I1700&lt;&gt;"",E1700&lt;I1700)),1,0)</f>
        <v>0</v>
      </c>
      <c r="R1700" s="56" t="n">
        <f aca="false">IF(AND(D1700&gt;1,Q1700=0,ISNUMBER(O1700),ISNUMBER(P1700)),IF(Q1699=0,1,0),0)</f>
        <v>1</v>
      </c>
      <c r="S1700" s="56" t="n">
        <f aca="false">R1700*(B1700&gt;=Train_Start)*(B1700&lt;=Train_End)</f>
        <v>1</v>
      </c>
      <c r="T1700" s="84" t="n">
        <f aca="false">IF(AND(ISNUMBER(O1700),ISNUMBER(P1700)),Coef_A+Coef_B1*O1700+Coef_B2*P1700,"")</f>
        <v>21.1021716347568</v>
      </c>
      <c r="U1700" s="84" t="n">
        <f aca="false">IF(AND(R1700=1,ISNUMBER(T1700)),E1700-T1700,"")</f>
        <v>0.39782836524325</v>
      </c>
      <c r="V1700" s="84" t="n">
        <f aca="false">IF(ISNUMBER(T1700),T1700,-99)</f>
        <v>21.1021716347568</v>
      </c>
      <c r="W1700" s="84" t="n">
        <f aca="false">IF(ISNUMBER(U1700),ABS(U1700),"")</f>
        <v>0.39782836524325</v>
      </c>
    </row>
    <row r="1701" customFormat="false" ht="15" hidden="false" customHeight="false" outlineLevel="0" collapsed="false">
      <c r="A1701" s="57" t="n">
        <v>33010</v>
      </c>
      <c r="B1701" s="56" t="n">
        <v>1990</v>
      </c>
      <c r="C1701" s="56" t="n">
        <v>5</v>
      </c>
      <c r="D1701" s="56" t="n">
        <v>17</v>
      </c>
      <c r="E1701" s="56" t="n">
        <v>14.5</v>
      </c>
      <c r="F1701" s="56" t="n">
        <v>1</v>
      </c>
      <c r="G1701" s="56" t="n">
        <v>7.6</v>
      </c>
      <c r="H1701" s="56" t="n">
        <v>0</v>
      </c>
      <c r="I1701" s="56" t="n">
        <v>14.6</v>
      </c>
      <c r="J1701" s="56" t="n">
        <v>1</v>
      </c>
      <c r="K1701" s="56" t="n">
        <v>1020.1</v>
      </c>
      <c r="L1701" s="56" t="n">
        <v>0</v>
      </c>
      <c r="M1701" s="56" t="n">
        <v>68</v>
      </c>
      <c r="N1701" s="56" t="n">
        <v>12.6</v>
      </c>
      <c r="O1701" s="56" t="n">
        <f aca="false">IF(D1701=1,"",E1700)</f>
        <v>21.5</v>
      </c>
      <c r="P1701" s="56" t="n">
        <f aca="false">IF(OR(D1701=1,K1700=""),"",K1700)</f>
        <v>1016</v>
      </c>
      <c r="Q1701" s="56" t="n">
        <f aca="false">IF(OR(F1701&lt;&gt;0,AND(I1701&lt;&gt;"",E1701&lt;I1701)),1,0)</f>
        <v>1</v>
      </c>
      <c r="R1701" s="56" t="n">
        <f aca="false">IF(AND(D1701&gt;1,Q1701=0,ISNUMBER(O1701),ISNUMBER(P1701)),IF(Q1700=0,1,0),0)</f>
        <v>0</v>
      </c>
      <c r="S1701" s="56" t="n">
        <f aca="false">R1701*(B1701&gt;=Train_Start)*(B1701&lt;=Train_End)</f>
        <v>0</v>
      </c>
      <c r="T1701" s="84" t="n">
        <f aca="false">IF(AND(ISNUMBER(O1701),ISNUMBER(P1701)),Coef_A+Coef_B1*O1701+Coef_B2*P1701,"")</f>
        <v>21.5745810205461</v>
      </c>
      <c r="U1701" s="84" t="str">
        <f aca="false">IF(AND(R1701=1,ISNUMBER(T1701)),E1701-T1701,"")</f>
        <v/>
      </c>
      <c r="V1701" s="84" t="n">
        <f aca="false">IF(ISNUMBER(T1701),T1701,-99)</f>
        <v>21.5745810205461</v>
      </c>
      <c r="W1701" s="84" t="str">
        <f aca="false">IF(ISNUMBER(U1701),ABS(U1701),"")</f>
        <v/>
      </c>
    </row>
    <row r="1702" customFormat="false" ht="15" hidden="false" customHeight="false" outlineLevel="0" collapsed="false">
      <c r="A1702" s="57" t="n">
        <v>33011</v>
      </c>
      <c r="B1702" s="56" t="n">
        <v>1990</v>
      </c>
      <c r="C1702" s="56" t="n">
        <v>5</v>
      </c>
      <c r="D1702" s="56" t="n">
        <v>18</v>
      </c>
      <c r="E1702" s="56" t="n">
        <v>16.9</v>
      </c>
      <c r="F1702" s="56" t="n">
        <v>0</v>
      </c>
      <c r="G1702" s="56" t="n">
        <v>9.5</v>
      </c>
      <c r="H1702" s="56" t="n">
        <v>0</v>
      </c>
      <c r="I1702" s="56" t="n">
        <v>12</v>
      </c>
      <c r="J1702" s="56" t="n">
        <v>0</v>
      </c>
      <c r="K1702" s="56" t="n">
        <v>1023.9</v>
      </c>
      <c r="L1702" s="56" t="n">
        <v>0</v>
      </c>
      <c r="M1702" s="56" t="n">
        <v>63</v>
      </c>
      <c r="N1702" s="56" t="n">
        <v>4.4</v>
      </c>
      <c r="O1702" s="56" t="n">
        <f aca="false">IF(D1702=1,"",E1701)</f>
        <v>14.5</v>
      </c>
      <c r="P1702" s="56" t="n">
        <f aca="false">IF(OR(D1702=1,K1701=""),"",K1701)</f>
        <v>1020.1</v>
      </c>
      <c r="Q1702" s="56" t="n">
        <f aca="false">IF(OR(F1702&lt;&gt;0,AND(I1702&lt;&gt;"",E1702&lt;I1702)),1,0)</f>
        <v>0</v>
      </c>
      <c r="R1702" s="56" t="n">
        <f aca="false">IF(AND(D1702&gt;1,Q1702=0,ISNUMBER(O1702),ISNUMBER(P1702)),IF(Q1701=0,1,0),0)</f>
        <v>0</v>
      </c>
      <c r="S1702" s="56" t="n">
        <f aca="false">R1702*(B1702&gt;=Train_Start)*(B1702&lt;=Train_End)</f>
        <v>0</v>
      </c>
      <c r="T1702" s="84" t="n">
        <f aca="false">IF(AND(ISNUMBER(O1702),ISNUMBER(P1702)),Coef_A+Coef_B1*O1702+Coef_B2*P1702,"")</f>
        <v>15.9678232372468</v>
      </c>
      <c r="U1702" s="84" t="str">
        <f aca="false">IF(AND(R1702=1,ISNUMBER(T1702)),E1702-T1702,"")</f>
        <v/>
      </c>
      <c r="V1702" s="84" t="n">
        <f aca="false">IF(ISNUMBER(T1702),T1702,-99)</f>
        <v>15.9678232372468</v>
      </c>
      <c r="W1702" s="84" t="str">
        <f aca="false">IF(ISNUMBER(U1702),ABS(U1702),"")</f>
        <v/>
      </c>
    </row>
    <row r="1703" customFormat="false" ht="15" hidden="false" customHeight="false" outlineLevel="0" collapsed="false">
      <c r="A1703" s="57" t="n">
        <v>33012</v>
      </c>
      <c r="B1703" s="56" t="n">
        <v>1990</v>
      </c>
      <c r="C1703" s="56" t="n">
        <v>5</v>
      </c>
      <c r="D1703" s="56" t="n">
        <v>19</v>
      </c>
      <c r="E1703" s="56" t="n">
        <v>19.5</v>
      </c>
      <c r="F1703" s="56" t="n">
        <v>0</v>
      </c>
      <c r="G1703" s="56" t="n">
        <v>7</v>
      </c>
      <c r="H1703" s="56" t="n">
        <v>0</v>
      </c>
      <c r="I1703" s="56" t="n">
        <v>12</v>
      </c>
      <c r="J1703" s="56" t="n">
        <v>0</v>
      </c>
      <c r="K1703" s="56" t="n">
        <v>1024.4</v>
      </c>
      <c r="L1703" s="56" t="n">
        <v>0</v>
      </c>
      <c r="M1703" s="56" t="n">
        <v>59</v>
      </c>
      <c r="N1703" s="56" t="n">
        <v>12.2</v>
      </c>
      <c r="O1703" s="56" t="n">
        <f aca="false">IF(D1703=1,"",E1702)</f>
        <v>16.9</v>
      </c>
      <c r="P1703" s="56" t="n">
        <f aca="false">IF(OR(D1703=1,K1702=""),"",K1702)</f>
        <v>1023.9</v>
      </c>
      <c r="Q1703" s="56" t="n">
        <f aca="false">IF(OR(F1703&lt;&gt;0,AND(I1703&lt;&gt;"",E1703&lt;I1703)),1,0)</f>
        <v>0</v>
      </c>
      <c r="R1703" s="56" t="n">
        <f aca="false">IF(AND(D1703&gt;1,Q1703=0,ISNUMBER(O1703),ISNUMBER(P1703)),IF(Q1702=0,1,0),0)</f>
        <v>1</v>
      </c>
      <c r="S1703" s="56" t="n">
        <f aca="false">R1703*(B1703&gt;=Train_Start)*(B1703&lt;=Train_End)</f>
        <v>1</v>
      </c>
      <c r="T1703" s="84" t="n">
        <f aca="false">IF(AND(ISNUMBER(O1703),ISNUMBER(P1703)),Coef_A+Coef_B1*O1703+Coef_B2*P1703,"")</f>
        <v>18.0534429001584</v>
      </c>
      <c r="U1703" s="84" t="n">
        <f aca="false">IF(AND(R1703=1,ISNUMBER(T1703)),E1703-T1703,"")</f>
        <v>1.44655709984165</v>
      </c>
      <c r="V1703" s="84" t="n">
        <f aca="false">IF(ISNUMBER(T1703),T1703,-99)</f>
        <v>18.0534429001584</v>
      </c>
      <c r="W1703" s="84" t="n">
        <f aca="false">IF(ISNUMBER(U1703),ABS(U1703),"")</f>
        <v>1.44655709984165</v>
      </c>
    </row>
    <row r="1704" customFormat="false" ht="15" hidden="false" customHeight="false" outlineLevel="0" collapsed="false">
      <c r="A1704" s="57" t="n">
        <v>33013</v>
      </c>
      <c r="B1704" s="56" t="n">
        <v>1990</v>
      </c>
      <c r="C1704" s="56" t="n">
        <v>5</v>
      </c>
      <c r="D1704" s="56" t="n">
        <v>20</v>
      </c>
      <c r="E1704" s="56" t="n">
        <v>20.8</v>
      </c>
      <c r="F1704" s="56" t="n">
        <v>0</v>
      </c>
      <c r="G1704" s="56" t="n">
        <v>6.6</v>
      </c>
      <c r="H1704" s="56" t="n">
        <v>0</v>
      </c>
      <c r="I1704" s="56" t="n">
        <v>13</v>
      </c>
      <c r="J1704" s="56" t="n">
        <v>0</v>
      </c>
      <c r="K1704" s="56" t="n">
        <v>1021.5</v>
      </c>
      <c r="L1704" s="56" t="n">
        <v>0</v>
      </c>
      <c r="M1704" s="56" t="n">
        <v>65</v>
      </c>
      <c r="N1704" s="56" t="n">
        <v>7.2</v>
      </c>
      <c r="O1704" s="56" t="n">
        <f aca="false">IF(D1704=1,"",E1703)</f>
        <v>19.5</v>
      </c>
      <c r="P1704" s="56" t="n">
        <f aca="false">IF(OR(D1704=1,K1703=""),"",K1703)</f>
        <v>1024.4</v>
      </c>
      <c r="Q1704" s="56" t="n">
        <f aca="false">IF(OR(F1704&lt;&gt;0,AND(I1704&lt;&gt;"",E1704&lt;I1704)),1,0)</f>
        <v>0</v>
      </c>
      <c r="R1704" s="56" t="n">
        <f aca="false">IF(AND(D1704&gt;1,Q1704=0,ISNUMBER(O1704),ISNUMBER(P1704)),IF(Q1703=0,1,0),0)</f>
        <v>1</v>
      </c>
      <c r="S1704" s="56" t="n">
        <f aca="false">R1704*(B1704&gt;=Train_Start)*(B1704&lt;=Train_End)</f>
        <v>1</v>
      </c>
      <c r="T1704" s="84" t="n">
        <f aca="false">IF(AND(ISNUMBER(O1704),ISNUMBER(P1704)),Coef_A+Coef_B1*O1704+Coef_B2*P1704,"")</f>
        <v>20.1994097493863</v>
      </c>
      <c r="U1704" s="84" t="n">
        <f aca="false">IF(AND(R1704=1,ISNUMBER(T1704)),E1704-T1704,"")</f>
        <v>0.600590250613745</v>
      </c>
      <c r="V1704" s="84" t="n">
        <f aca="false">IF(ISNUMBER(T1704),T1704,-99)</f>
        <v>20.1994097493863</v>
      </c>
      <c r="W1704" s="84" t="n">
        <f aca="false">IF(ISNUMBER(U1704),ABS(U1704),"")</f>
        <v>0.600590250613745</v>
      </c>
    </row>
    <row r="1705" customFormat="false" ht="15" hidden="false" customHeight="false" outlineLevel="0" collapsed="false">
      <c r="A1705" s="57" t="n">
        <v>33014</v>
      </c>
      <c r="B1705" s="56" t="n">
        <v>1990</v>
      </c>
      <c r="C1705" s="56" t="n">
        <v>5</v>
      </c>
      <c r="D1705" s="56" t="n">
        <v>21</v>
      </c>
      <c r="E1705" s="56" t="n">
        <v>18.7</v>
      </c>
      <c r="F1705" s="56" t="n">
        <v>0</v>
      </c>
      <c r="G1705" s="56" t="n">
        <v>8.8</v>
      </c>
      <c r="H1705" s="56" t="n">
        <v>0</v>
      </c>
      <c r="I1705" s="56" t="n">
        <v>14.8</v>
      </c>
      <c r="J1705" s="56" t="n">
        <v>0</v>
      </c>
      <c r="K1705" s="56" t="n">
        <v>1018.4</v>
      </c>
      <c r="L1705" s="56" t="n">
        <v>0</v>
      </c>
      <c r="M1705" s="56" t="n">
        <v>66</v>
      </c>
      <c r="N1705" s="56" t="n">
        <v>7.2</v>
      </c>
      <c r="O1705" s="56" t="n">
        <f aca="false">IF(D1705=1,"",E1704)</f>
        <v>20.8</v>
      </c>
      <c r="P1705" s="56" t="n">
        <f aca="false">IF(OR(D1705=1,K1704=""),"",K1704)</f>
        <v>1021.5</v>
      </c>
      <c r="Q1705" s="56" t="n">
        <f aca="false">IF(OR(F1705&lt;&gt;0,AND(I1705&lt;&gt;"",E1705&lt;I1705)),1,0)</f>
        <v>0</v>
      </c>
      <c r="R1705" s="56" t="n">
        <f aca="false">IF(AND(D1705&gt;1,Q1705=0,ISNUMBER(O1705),ISNUMBER(P1705)),IF(Q1704=0,1,0),0)</f>
        <v>1</v>
      </c>
      <c r="S1705" s="56" t="n">
        <f aca="false">R1705*(B1705&gt;=Train_Start)*(B1705&lt;=Train_End)</f>
        <v>1</v>
      </c>
      <c r="T1705" s="84" t="n">
        <f aca="false">IF(AND(ISNUMBER(O1705),ISNUMBER(P1705)),Coef_A+Coef_B1*O1705+Coef_B2*P1705,"")</f>
        <v>21.1735780059031</v>
      </c>
      <c r="U1705" s="84" t="n">
        <f aca="false">IF(AND(R1705=1,ISNUMBER(T1705)),E1705-T1705,"")</f>
        <v>-2.47357800590314</v>
      </c>
      <c r="V1705" s="84" t="n">
        <f aca="false">IF(ISNUMBER(T1705),T1705,-99)</f>
        <v>21.1735780059031</v>
      </c>
      <c r="W1705" s="84" t="n">
        <f aca="false">IF(ISNUMBER(U1705),ABS(U1705),"")</f>
        <v>2.47357800590314</v>
      </c>
    </row>
    <row r="1706" customFormat="false" ht="15" hidden="false" customHeight="false" outlineLevel="0" collapsed="false">
      <c r="A1706" s="57" t="n">
        <v>33015</v>
      </c>
      <c r="B1706" s="56" t="n">
        <v>1990</v>
      </c>
      <c r="C1706" s="56" t="n">
        <v>5</v>
      </c>
      <c r="D1706" s="56" t="n">
        <v>22</v>
      </c>
      <c r="E1706" s="56" t="n">
        <v>21.8</v>
      </c>
      <c r="F1706" s="56" t="n">
        <v>0</v>
      </c>
      <c r="G1706" s="56" t="n">
        <v>6.4</v>
      </c>
      <c r="H1706" s="56" t="n">
        <v>0</v>
      </c>
      <c r="I1706" s="56" t="n">
        <v>12.6</v>
      </c>
      <c r="J1706" s="56" t="n">
        <v>0</v>
      </c>
      <c r="K1706" s="56" t="n">
        <v>1019.5</v>
      </c>
      <c r="L1706" s="56" t="n">
        <v>0</v>
      </c>
      <c r="M1706" s="56" t="n">
        <v>64</v>
      </c>
      <c r="N1706" s="56" t="n">
        <v>12.9</v>
      </c>
      <c r="O1706" s="56" t="n">
        <f aca="false">IF(D1706=1,"",E1705)</f>
        <v>18.7</v>
      </c>
      <c r="P1706" s="56" t="n">
        <f aca="false">IF(OR(D1706=1,K1705=""),"",K1705)</f>
        <v>1018.4</v>
      </c>
      <c r="Q1706" s="56" t="n">
        <f aca="false">IF(OR(F1706&lt;&gt;0,AND(I1706&lt;&gt;"",E1706&lt;I1706)),1,0)</f>
        <v>0</v>
      </c>
      <c r="R1706" s="56" t="n">
        <f aca="false">IF(AND(D1706&gt;1,Q1706=0,ISNUMBER(O1706),ISNUMBER(P1706)),IF(Q1705=0,1,0),0)</f>
        <v>1</v>
      </c>
      <c r="S1706" s="56" t="n">
        <f aca="false">R1706*(B1706&gt;=Train_Start)*(B1706&lt;=Train_End)</f>
        <v>1</v>
      </c>
      <c r="T1706" s="84" t="n">
        <f aca="false">IF(AND(ISNUMBER(O1706),ISNUMBER(P1706)),Coef_A+Coef_B1*O1706+Coef_B2*P1706,"")</f>
        <v>19.3557190271482</v>
      </c>
      <c r="U1706" s="84" t="n">
        <f aca="false">IF(AND(R1706=1,ISNUMBER(T1706)),E1706-T1706,"")</f>
        <v>2.44428097285181</v>
      </c>
      <c r="V1706" s="84" t="n">
        <f aca="false">IF(ISNUMBER(T1706),T1706,-99)</f>
        <v>19.3557190271482</v>
      </c>
      <c r="W1706" s="84" t="n">
        <f aca="false">IF(ISNUMBER(U1706),ABS(U1706),"")</f>
        <v>2.44428097285181</v>
      </c>
    </row>
    <row r="1707" customFormat="false" ht="15" hidden="false" customHeight="false" outlineLevel="0" collapsed="false">
      <c r="A1707" s="57" t="n">
        <v>33016</v>
      </c>
      <c r="B1707" s="56" t="n">
        <v>1990</v>
      </c>
      <c r="C1707" s="56" t="n">
        <v>5</v>
      </c>
      <c r="D1707" s="56" t="n">
        <v>23</v>
      </c>
      <c r="E1707" s="56" t="n">
        <v>19</v>
      </c>
      <c r="F1707" s="56" t="n">
        <v>0</v>
      </c>
      <c r="G1707" s="56" t="n">
        <v>6.8</v>
      </c>
      <c r="H1707" s="56" t="n">
        <v>0</v>
      </c>
      <c r="I1707" s="56" t="n">
        <v>14.3</v>
      </c>
      <c r="J1707" s="56" t="n">
        <v>0</v>
      </c>
      <c r="K1707" s="56" t="n">
        <v>1018.8</v>
      </c>
      <c r="L1707" s="56" t="n">
        <v>0</v>
      </c>
      <c r="M1707" s="56" t="n">
        <v>60</v>
      </c>
      <c r="N1707" s="56" t="n">
        <v>8.4</v>
      </c>
      <c r="O1707" s="56" t="n">
        <f aca="false">IF(D1707=1,"",E1706)</f>
        <v>21.8</v>
      </c>
      <c r="P1707" s="56" t="n">
        <f aca="false">IF(OR(D1707=1,K1706=""),"",K1706)</f>
        <v>1019.5</v>
      </c>
      <c r="Q1707" s="56" t="n">
        <f aca="false">IF(OR(F1707&lt;&gt;0,AND(I1707&lt;&gt;"",E1707&lt;I1707)),1,0)</f>
        <v>0</v>
      </c>
      <c r="R1707" s="56" t="n">
        <f aca="false">IF(AND(D1707&gt;1,Q1707=0,ISNUMBER(O1707),ISNUMBER(P1707)),IF(Q1706=0,1,0),0)</f>
        <v>1</v>
      </c>
      <c r="S1707" s="56" t="n">
        <f aca="false">R1707*(B1707&gt;=Train_Start)*(B1707&lt;=Train_End)</f>
        <v>1</v>
      </c>
      <c r="T1707" s="84" t="n">
        <f aca="false">IF(AND(ISNUMBER(O1707),ISNUMBER(P1707)),Coef_A+Coef_B1*O1707+Coef_B2*P1707,"")</f>
        <v>21.9301774096778</v>
      </c>
      <c r="U1707" s="84" t="n">
        <f aca="false">IF(AND(R1707=1,ISNUMBER(T1707)),E1707-T1707,"")</f>
        <v>-2.93017740967782</v>
      </c>
      <c r="V1707" s="84" t="n">
        <f aca="false">IF(ISNUMBER(T1707),T1707,-99)</f>
        <v>21.9301774096778</v>
      </c>
      <c r="W1707" s="84" t="n">
        <f aca="false">IF(ISNUMBER(U1707),ABS(U1707),"")</f>
        <v>2.93017740967782</v>
      </c>
    </row>
    <row r="1708" customFormat="false" ht="15" hidden="false" customHeight="false" outlineLevel="0" collapsed="false">
      <c r="A1708" s="57" t="n">
        <v>33017</v>
      </c>
      <c r="B1708" s="56" t="n">
        <v>1990</v>
      </c>
      <c r="C1708" s="56" t="n">
        <v>5</v>
      </c>
      <c r="D1708" s="56" t="n">
        <v>24</v>
      </c>
      <c r="E1708" s="56" t="n">
        <v>17.5</v>
      </c>
      <c r="F1708" s="56" t="n">
        <v>0</v>
      </c>
      <c r="G1708" s="56" t="n">
        <v>10.3</v>
      </c>
      <c r="H1708" s="56" t="n">
        <v>0</v>
      </c>
      <c r="I1708" s="56" t="n">
        <v>14.6</v>
      </c>
      <c r="J1708" s="56" t="n">
        <v>0</v>
      </c>
      <c r="K1708" s="56" t="n">
        <v>1021.8</v>
      </c>
      <c r="L1708" s="56" t="n">
        <v>0</v>
      </c>
      <c r="M1708" s="56" t="n">
        <v>51</v>
      </c>
      <c r="N1708" s="56" t="n">
        <v>13.8</v>
      </c>
      <c r="O1708" s="56" t="n">
        <f aca="false">IF(D1708=1,"",E1707)</f>
        <v>19</v>
      </c>
      <c r="P1708" s="56" t="n">
        <f aca="false">IF(OR(D1708=1,K1707=""),"",K1707)</f>
        <v>1018.8</v>
      </c>
      <c r="Q1708" s="56" t="n">
        <f aca="false">IF(OR(F1708&lt;&gt;0,AND(I1708&lt;&gt;"",E1708&lt;I1708)),1,0)</f>
        <v>0</v>
      </c>
      <c r="R1708" s="56" t="n">
        <f aca="false">IF(AND(D1708&gt;1,Q1708=0,ISNUMBER(O1708),ISNUMBER(P1708)),IF(Q1707=0,1,0),0)</f>
        <v>1</v>
      </c>
      <c r="S1708" s="56" t="n">
        <f aca="false">R1708*(B1708&gt;=Train_Start)*(B1708&lt;=Train_End)</f>
        <v>1</v>
      </c>
      <c r="T1708" s="84" t="n">
        <f aca="false">IF(AND(ISNUMBER(O1708),ISNUMBER(P1708)),Coef_A+Coef_B1*O1708+Coef_B2*P1708,"")</f>
        <v>19.6140687429146</v>
      </c>
      <c r="U1708" s="84" t="n">
        <f aca="false">IF(AND(R1708=1,ISNUMBER(T1708)),E1708-T1708,"")</f>
        <v>-2.11406874291458</v>
      </c>
      <c r="V1708" s="84" t="n">
        <f aca="false">IF(ISNUMBER(T1708),T1708,-99)</f>
        <v>19.6140687429146</v>
      </c>
      <c r="W1708" s="84" t="n">
        <f aca="false">IF(ISNUMBER(U1708),ABS(U1708),"")</f>
        <v>2.11406874291458</v>
      </c>
    </row>
    <row r="1709" customFormat="false" ht="15" hidden="false" customHeight="false" outlineLevel="0" collapsed="false">
      <c r="A1709" s="57" t="n">
        <v>33018</v>
      </c>
      <c r="B1709" s="56" t="n">
        <v>1990</v>
      </c>
      <c r="C1709" s="56" t="n">
        <v>5</v>
      </c>
      <c r="D1709" s="56" t="n">
        <v>25</v>
      </c>
      <c r="E1709" s="56" t="n">
        <v>18.3</v>
      </c>
      <c r="F1709" s="56" t="n">
        <v>0</v>
      </c>
      <c r="G1709" s="56" t="n">
        <v>5.4</v>
      </c>
      <c r="H1709" s="56" t="n">
        <v>0</v>
      </c>
      <c r="I1709" s="56" t="n">
        <v>11.4</v>
      </c>
      <c r="J1709" s="56" t="n">
        <v>0</v>
      </c>
      <c r="K1709" s="56" t="n">
        <v>1026.6</v>
      </c>
      <c r="L1709" s="56" t="n">
        <v>0</v>
      </c>
      <c r="M1709" s="56" t="n">
        <v>56</v>
      </c>
      <c r="N1709" s="56" t="n">
        <v>13.7</v>
      </c>
      <c r="O1709" s="56" t="n">
        <f aca="false">IF(D1709=1,"",E1708)</f>
        <v>17.5</v>
      </c>
      <c r="P1709" s="56" t="n">
        <f aca="false">IF(OR(D1709=1,K1708=""),"",K1708)</f>
        <v>1021.8</v>
      </c>
      <c r="Q1709" s="56" t="n">
        <f aca="false">IF(OR(F1709&lt;&gt;0,AND(I1709&lt;&gt;"",E1709&lt;I1709)),1,0)</f>
        <v>0</v>
      </c>
      <c r="R1709" s="56" t="n">
        <f aca="false">IF(AND(D1709&gt;1,Q1709=0,ISNUMBER(O1709),ISNUMBER(P1709)),IF(Q1708=0,1,0),0)</f>
        <v>1</v>
      </c>
      <c r="S1709" s="56" t="n">
        <f aca="false">R1709*(B1709&gt;=Train_Start)*(B1709&lt;=Train_End)</f>
        <v>1</v>
      </c>
      <c r="T1709" s="84" t="n">
        <f aca="false">IF(AND(ISNUMBER(O1709),ISNUMBER(P1709)),Coef_A+Coef_B1*O1709+Coef_B2*P1709,"")</f>
        <v>18.4791696372526</v>
      </c>
      <c r="U1709" s="84" t="n">
        <f aca="false">IF(AND(R1709=1,ISNUMBER(T1709)),E1709-T1709,"")</f>
        <v>-0.179169637252564</v>
      </c>
      <c r="V1709" s="84" t="n">
        <f aca="false">IF(ISNUMBER(T1709),T1709,-99)</f>
        <v>18.4791696372526</v>
      </c>
      <c r="W1709" s="84" t="n">
        <f aca="false">IF(ISNUMBER(U1709),ABS(U1709),"")</f>
        <v>0.179169637252564</v>
      </c>
    </row>
    <row r="1710" customFormat="false" ht="15" hidden="false" customHeight="false" outlineLevel="0" collapsed="false">
      <c r="A1710" s="57" t="n">
        <v>33019</v>
      </c>
      <c r="B1710" s="56" t="n">
        <v>1990</v>
      </c>
      <c r="C1710" s="56" t="n">
        <v>5</v>
      </c>
      <c r="D1710" s="56" t="n">
        <v>26</v>
      </c>
      <c r="E1710" s="56" t="n">
        <v>21.6</v>
      </c>
      <c r="F1710" s="56" t="n">
        <v>0</v>
      </c>
      <c r="G1710" s="56" t="n">
        <v>6.1</v>
      </c>
      <c r="H1710" s="56" t="n">
        <v>0</v>
      </c>
      <c r="I1710" s="56" t="n">
        <v>12.2</v>
      </c>
      <c r="J1710" s="56" t="n">
        <v>0</v>
      </c>
      <c r="K1710" s="56" t="n">
        <v>1028.3</v>
      </c>
      <c r="L1710" s="56" t="n">
        <v>0</v>
      </c>
      <c r="M1710" s="56" t="n">
        <v>56</v>
      </c>
      <c r="N1710" s="56" t="n">
        <v>14.7</v>
      </c>
      <c r="O1710" s="56" t="n">
        <f aca="false">IF(D1710=1,"",E1709)</f>
        <v>18.3</v>
      </c>
      <c r="P1710" s="56" t="n">
        <f aca="false">IF(OR(D1710=1,K1709=""),"",K1709)</f>
        <v>1026.6</v>
      </c>
      <c r="Q1710" s="56" t="n">
        <f aca="false">IF(OR(F1710&lt;&gt;0,AND(I1710&lt;&gt;"",E1710&lt;I1710)),1,0)</f>
        <v>0</v>
      </c>
      <c r="R1710" s="56" t="n">
        <f aca="false">IF(AND(D1710&gt;1,Q1710=0,ISNUMBER(O1710),ISNUMBER(P1710)),IF(Q1709=0,1,0),0)</f>
        <v>1</v>
      </c>
      <c r="S1710" s="56" t="n">
        <f aca="false">R1710*(B1710&gt;=Train_Start)*(B1710&lt;=Train_End)</f>
        <v>1</v>
      </c>
      <c r="T1710" s="84" t="n">
        <f aca="false">IF(AND(ISNUMBER(O1710),ISNUMBER(P1710)),Coef_A+Coef_B1*O1710+Coef_B2*P1710,"")</f>
        <v>19.2852164859298</v>
      </c>
      <c r="U1710" s="84" t="n">
        <f aca="false">IF(AND(R1710=1,ISNUMBER(T1710)),E1710-T1710,"")</f>
        <v>2.31478351407016</v>
      </c>
      <c r="V1710" s="84" t="n">
        <f aca="false">IF(ISNUMBER(T1710),T1710,-99)</f>
        <v>19.2852164859298</v>
      </c>
      <c r="W1710" s="84" t="n">
        <f aca="false">IF(ISNUMBER(U1710),ABS(U1710),"")</f>
        <v>2.31478351407016</v>
      </c>
    </row>
    <row r="1711" customFormat="false" ht="15" hidden="false" customHeight="false" outlineLevel="0" collapsed="false">
      <c r="A1711" s="57" t="n">
        <v>33020</v>
      </c>
      <c r="B1711" s="56" t="n">
        <v>1990</v>
      </c>
      <c r="C1711" s="56" t="n">
        <v>5</v>
      </c>
      <c r="D1711" s="56" t="n">
        <v>27</v>
      </c>
      <c r="E1711" s="56" t="n">
        <v>22</v>
      </c>
      <c r="F1711" s="56" t="n">
        <v>0</v>
      </c>
      <c r="G1711" s="56" t="n">
        <v>5.9</v>
      </c>
      <c r="H1711" s="56" t="n">
        <v>0</v>
      </c>
      <c r="I1711" s="56" t="n">
        <v>13.8</v>
      </c>
      <c r="J1711" s="56" t="n">
        <v>0</v>
      </c>
      <c r="K1711" s="56" t="n">
        <v>1028.6</v>
      </c>
      <c r="L1711" s="56" t="n">
        <v>0</v>
      </c>
      <c r="M1711" s="56" t="n">
        <v>52</v>
      </c>
      <c r="N1711" s="56" t="n">
        <v>13.7</v>
      </c>
      <c r="O1711" s="56" t="n">
        <f aca="false">IF(D1711=1,"",E1710)</f>
        <v>21.6</v>
      </c>
      <c r="P1711" s="56" t="n">
        <f aca="false">IF(OR(D1711=1,K1710=""),"",K1710)</f>
        <v>1028.3</v>
      </c>
      <c r="Q1711" s="56" t="n">
        <f aca="false">IF(OR(F1711&lt;&gt;0,AND(I1711&lt;&gt;"",E1711&lt;I1711)),1,0)</f>
        <v>0</v>
      </c>
      <c r="R1711" s="56" t="n">
        <f aca="false">IF(AND(D1711&gt;1,Q1711=0,ISNUMBER(O1711),ISNUMBER(P1711)),IF(Q1710=0,1,0),0)</f>
        <v>1</v>
      </c>
      <c r="S1711" s="56" t="n">
        <f aca="false">R1711*(B1711&gt;=Train_Start)*(B1711&lt;=Train_End)</f>
        <v>1</v>
      </c>
      <c r="T1711" s="84" t="n">
        <f aca="false">IF(AND(ISNUMBER(O1711),ISNUMBER(P1711)),Coef_A+Coef_B1*O1711+Coef_B2*P1711,"")</f>
        <v>22.0423646438484</v>
      </c>
      <c r="U1711" s="84" t="n">
        <f aca="false">IF(AND(R1711=1,ISNUMBER(T1711)),E1711-T1711,"")</f>
        <v>-0.0423646438483907</v>
      </c>
      <c r="V1711" s="84" t="n">
        <f aca="false">IF(ISNUMBER(T1711),T1711,-99)</f>
        <v>22.0423646438484</v>
      </c>
      <c r="W1711" s="84" t="n">
        <f aca="false">IF(ISNUMBER(U1711),ABS(U1711),"")</f>
        <v>0.0423646438483907</v>
      </c>
    </row>
    <row r="1712" customFormat="false" ht="15" hidden="false" customHeight="false" outlineLevel="0" collapsed="false">
      <c r="A1712" s="57" t="n">
        <v>33021</v>
      </c>
      <c r="B1712" s="56" t="n">
        <v>1990</v>
      </c>
      <c r="C1712" s="56" t="n">
        <v>5</v>
      </c>
      <c r="D1712" s="56" t="n">
        <v>28</v>
      </c>
      <c r="E1712" s="56" t="n">
        <v>21.5</v>
      </c>
      <c r="F1712" s="56" t="n">
        <v>0</v>
      </c>
      <c r="G1712" s="56" t="n">
        <v>10.4</v>
      </c>
      <c r="H1712" s="56" t="n">
        <v>0</v>
      </c>
      <c r="I1712" s="56" t="n">
        <v>16.2</v>
      </c>
      <c r="J1712" s="56" t="n">
        <v>0</v>
      </c>
      <c r="K1712" s="56" t="n">
        <v>1030.1</v>
      </c>
      <c r="L1712" s="56" t="n">
        <v>0</v>
      </c>
      <c r="M1712" s="56" t="n">
        <v>53</v>
      </c>
      <c r="N1712" s="56" t="n">
        <v>10.6</v>
      </c>
      <c r="O1712" s="56" t="n">
        <f aca="false">IF(D1712=1,"",E1711)</f>
        <v>22</v>
      </c>
      <c r="P1712" s="56" t="n">
        <f aca="false">IF(OR(D1712=1,K1711=""),"",K1711)</f>
        <v>1028.6</v>
      </c>
      <c r="Q1712" s="56" t="n">
        <f aca="false">IF(OR(F1712&lt;&gt;0,AND(I1712&lt;&gt;"",E1712&lt;I1712)),1,0)</f>
        <v>0</v>
      </c>
      <c r="R1712" s="56" t="n">
        <f aca="false">IF(AND(D1712&gt;1,Q1712=0,ISNUMBER(O1712),ISNUMBER(P1712)),IF(Q1711=0,1,0),0)</f>
        <v>1</v>
      </c>
      <c r="S1712" s="56" t="n">
        <f aca="false">R1712*(B1712&gt;=Train_Start)*(B1712&lt;=Train_End)</f>
        <v>1</v>
      </c>
      <c r="T1712" s="84" t="n">
        <f aca="false">IF(AND(ISNUMBER(O1712),ISNUMBER(P1712)),Coef_A+Coef_B1*O1712+Coef_B2*P1712,"")</f>
        <v>22.3795112894557</v>
      </c>
      <c r="U1712" s="84" t="n">
        <f aca="false">IF(AND(R1712=1,ISNUMBER(T1712)),E1712-T1712,"")</f>
        <v>-0.879511289455653</v>
      </c>
      <c r="V1712" s="84" t="n">
        <f aca="false">IF(ISNUMBER(T1712),T1712,-99)</f>
        <v>22.3795112894557</v>
      </c>
      <c r="W1712" s="84" t="n">
        <f aca="false">IF(ISNUMBER(U1712),ABS(U1712),"")</f>
        <v>0.879511289455653</v>
      </c>
    </row>
    <row r="1713" customFormat="false" ht="15" hidden="false" customHeight="false" outlineLevel="0" collapsed="false">
      <c r="A1713" s="57" t="n">
        <v>33022</v>
      </c>
      <c r="B1713" s="56" t="n">
        <v>1990</v>
      </c>
      <c r="C1713" s="56" t="n">
        <v>5</v>
      </c>
      <c r="D1713" s="56" t="n">
        <v>29</v>
      </c>
      <c r="E1713" s="56" t="n">
        <v>19</v>
      </c>
      <c r="F1713" s="56" t="n">
        <v>0</v>
      </c>
      <c r="G1713" s="56" t="n">
        <v>11.1</v>
      </c>
      <c r="H1713" s="56" t="n">
        <v>0</v>
      </c>
      <c r="I1713" s="56" t="n">
        <v>16.3</v>
      </c>
      <c r="J1713" s="56" t="n">
        <v>0</v>
      </c>
      <c r="K1713" s="56" t="n">
        <v>1024.9</v>
      </c>
      <c r="L1713" s="56" t="n">
        <v>0</v>
      </c>
      <c r="M1713" s="56" t="n">
        <v>49</v>
      </c>
      <c r="N1713" s="56" t="n">
        <v>1.1</v>
      </c>
      <c r="O1713" s="56" t="n">
        <f aca="false">IF(D1713=1,"",E1712)</f>
        <v>21.5</v>
      </c>
      <c r="P1713" s="56" t="n">
        <f aca="false">IF(OR(D1713=1,K1712=""),"",K1712)</f>
        <v>1030.1</v>
      </c>
      <c r="Q1713" s="56" t="n">
        <f aca="false">IF(OR(F1713&lt;&gt;0,AND(I1713&lt;&gt;"",E1713&lt;I1713)),1,0)</f>
        <v>0</v>
      </c>
      <c r="R1713" s="56" t="n">
        <f aca="false">IF(AND(D1713&gt;1,Q1713=0,ISNUMBER(O1713),ISNUMBER(P1713)),IF(Q1712=0,1,0),0)</f>
        <v>1</v>
      </c>
      <c r="S1713" s="56" t="n">
        <f aca="false">R1713*(B1713&gt;=Train_Start)*(B1713&lt;=Train_End)</f>
        <v>1</v>
      </c>
      <c r="T1713" s="84" t="n">
        <f aca="false">IF(AND(ISNUMBER(O1713),ISNUMBER(P1713)),Coef_A+Coef_B1*O1713+Coef_B2*P1713,"")</f>
        <v>22.0168965348853</v>
      </c>
      <c r="U1713" s="84" t="n">
        <f aca="false">IF(AND(R1713=1,ISNUMBER(T1713)),E1713-T1713,"")</f>
        <v>-3.01689653488531</v>
      </c>
      <c r="V1713" s="84" t="n">
        <f aca="false">IF(ISNUMBER(T1713),T1713,-99)</f>
        <v>22.0168965348853</v>
      </c>
      <c r="W1713" s="84" t="n">
        <f aca="false">IF(ISNUMBER(U1713),ABS(U1713),"")</f>
        <v>3.01689653488531</v>
      </c>
    </row>
    <row r="1714" customFormat="false" ht="15" hidden="false" customHeight="false" outlineLevel="0" collapsed="false">
      <c r="A1714" s="57" t="n">
        <v>33023</v>
      </c>
      <c r="B1714" s="56" t="n">
        <v>1990</v>
      </c>
      <c r="C1714" s="56" t="n">
        <v>5</v>
      </c>
      <c r="D1714" s="56" t="n">
        <v>30</v>
      </c>
      <c r="E1714" s="56" t="n">
        <v>24.4</v>
      </c>
      <c r="F1714" s="56" t="n">
        <v>0</v>
      </c>
      <c r="G1714" s="56" t="n">
        <v>11.8</v>
      </c>
      <c r="H1714" s="56" t="n">
        <v>0</v>
      </c>
      <c r="I1714" s="56" t="n">
        <v>15.4</v>
      </c>
      <c r="J1714" s="56" t="n">
        <v>0</v>
      </c>
      <c r="K1714" s="56" t="n">
        <v>1020.2</v>
      </c>
      <c r="L1714" s="56" t="n">
        <v>0</v>
      </c>
      <c r="M1714" s="56" t="n">
        <v>73</v>
      </c>
      <c r="N1714" s="56" t="n">
        <v>0.1</v>
      </c>
      <c r="O1714" s="56" t="n">
        <f aca="false">IF(D1714=1,"",E1713)</f>
        <v>19</v>
      </c>
      <c r="P1714" s="56" t="n">
        <f aca="false">IF(OR(D1714=1,K1713=""),"",K1713)</f>
        <v>1024.9</v>
      </c>
      <c r="Q1714" s="56" t="n">
        <f aca="false">IF(OR(F1714&lt;&gt;0,AND(I1714&lt;&gt;"",E1714&lt;I1714)),1,0)</f>
        <v>0</v>
      </c>
      <c r="R1714" s="56" t="n">
        <f aca="false">IF(AND(D1714&gt;1,Q1714=0,ISNUMBER(O1714),ISNUMBER(P1714)),IF(Q1713=0,1,0),0)</f>
        <v>1</v>
      </c>
      <c r="S1714" s="56" t="n">
        <f aca="false">R1714*(B1714&gt;=Train_Start)*(B1714&lt;=Train_End)</f>
        <v>1</v>
      </c>
      <c r="T1714" s="84" t="n">
        <f aca="false">IF(AND(ISNUMBER(O1714),ISNUMBER(P1714)),Coef_A+Coef_B1*O1714+Coef_B2*P1714,"")</f>
        <v>19.8054251001819</v>
      </c>
      <c r="U1714" s="84" t="n">
        <f aca="false">IF(AND(R1714=1,ISNUMBER(T1714)),E1714-T1714,"")</f>
        <v>4.59457489981808</v>
      </c>
      <c r="V1714" s="84" t="n">
        <f aca="false">IF(ISNUMBER(T1714),T1714,-99)</f>
        <v>19.8054251001819</v>
      </c>
      <c r="W1714" s="84" t="n">
        <f aca="false">IF(ISNUMBER(U1714),ABS(U1714),"")</f>
        <v>4.59457489981808</v>
      </c>
    </row>
    <row r="1715" customFormat="false" ht="15" hidden="false" customHeight="false" outlineLevel="0" collapsed="false">
      <c r="A1715" s="57" t="n">
        <v>33024</v>
      </c>
      <c r="B1715" s="56" t="n">
        <v>1990</v>
      </c>
      <c r="C1715" s="56" t="n">
        <v>5</v>
      </c>
      <c r="D1715" s="56" t="n">
        <v>31</v>
      </c>
      <c r="E1715" s="56" t="n">
        <v>23.6</v>
      </c>
      <c r="F1715" s="56" t="n">
        <v>0</v>
      </c>
      <c r="G1715" s="56" t="n">
        <v>12.2</v>
      </c>
      <c r="H1715" s="56" t="n">
        <v>0</v>
      </c>
      <c r="I1715" s="56" t="n">
        <v>18.3</v>
      </c>
      <c r="J1715" s="56" t="n">
        <v>0</v>
      </c>
      <c r="K1715" s="56" t="n">
        <v>1019.3</v>
      </c>
      <c r="L1715" s="56" t="n">
        <v>0</v>
      </c>
      <c r="M1715" s="56" t="n">
        <v>61</v>
      </c>
      <c r="N1715" s="56" t="n">
        <v>12.5</v>
      </c>
      <c r="O1715" s="56" t="n">
        <f aca="false">IF(D1715=1,"",E1714)</f>
        <v>24.4</v>
      </c>
      <c r="P1715" s="56" t="n">
        <f aca="false">IF(OR(D1715=1,K1714=""),"",K1714)</f>
        <v>1020.2</v>
      </c>
      <c r="Q1715" s="56" t="n">
        <f aca="false">IF(OR(F1715&lt;&gt;0,AND(I1715&lt;&gt;"",E1715&lt;I1715)),1,0)</f>
        <v>0</v>
      </c>
      <c r="R1715" s="56" t="n">
        <f aca="false">IF(AND(D1715&gt;1,Q1715=0,ISNUMBER(O1715),ISNUMBER(P1715)),IF(Q1714=0,1,0),0)</f>
        <v>1</v>
      </c>
      <c r="S1715" s="56" t="n">
        <f aca="false">R1715*(B1715&gt;=Train_Start)*(B1715&lt;=Train_End)</f>
        <v>1</v>
      </c>
      <c r="T1715" s="84" t="n">
        <f aca="false">IF(AND(ISNUMBER(O1715),ISNUMBER(P1715)),Coef_A+Coef_B1*O1715+Coef_B2*P1715,"")</f>
        <v>24.0824182378325</v>
      </c>
      <c r="U1715" s="84" t="n">
        <f aca="false">IF(AND(R1715=1,ISNUMBER(T1715)),E1715-T1715,"")</f>
        <v>-0.482418237832519</v>
      </c>
      <c r="V1715" s="84" t="n">
        <f aca="false">IF(ISNUMBER(T1715),T1715,-99)</f>
        <v>24.0824182378325</v>
      </c>
      <c r="W1715" s="84" t="n">
        <f aca="false">IF(ISNUMBER(U1715),ABS(U1715),"")</f>
        <v>0.482418237832519</v>
      </c>
    </row>
    <row r="1716" customFormat="false" ht="15" hidden="false" customHeight="false" outlineLevel="0" collapsed="false">
      <c r="A1716" s="57" t="n">
        <v>33025</v>
      </c>
      <c r="B1716" s="56" t="n">
        <v>1990</v>
      </c>
      <c r="C1716" s="56" t="n">
        <v>6</v>
      </c>
      <c r="D1716" s="56" t="n">
        <v>32</v>
      </c>
      <c r="E1716" s="56" t="n">
        <v>18.8</v>
      </c>
      <c r="F1716" s="56" t="n">
        <v>0</v>
      </c>
      <c r="G1716" s="56" t="n">
        <v>12.5</v>
      </c>
      <c r="H1716" s="56" t="n">
        <v>0</v>
      </c>
      <c r="I1716" s="56" t="n">
        <v>18</v>
      </c>
      <c r="J1716" s="56" t="n">
        <v>0</v>
      </c>
      <c r="K1716" s="56" t="n">
        <v>1012.2</v>
      </c>
      <c r="L1716" s="56" t="n">
        <v>0</v>
      </c>
      <c r="M1716" s="56" t="n">
        <v>69</v>
      </c>
      <c r="N1716" s="56" t="n">
        <v>2.4</v>
      </c>
      <c r="O1716" s="56" t="n">
        <f aca="false">IF(D1716=1,"",E1715)</f>
        <v>23.6</v>
      </c>
      <c r="P1716" s="56" t="n">
        <f aca="false">IF(OR(D1716=1,K1715=""),"",K1715)</f>
        <v>1019.3</v>
      </c>
      <c r="Q1716" s="56" t="n">
        <f aca="false">IF(OR(F1716&lt;&gt;0,AND(I1716&lt;&gt;"",E1716&lt;I1716)),1,0)</f>
        <v>0</v>
      </c>
      <c r="R1716" s="56" t="n">
        <f aca="false">IF(AND(D1716&gt;1,Q1716=0,ISNUMBER(O1716),ISNUMBER(P1716)),IF(Q1715=0,1,0),0)</f>
        <v>1</v>
      </c>
      <c r="S1716" s="56" t="n">
        <f aca="false">R1716*(B1716&gt;=Train_Start)*(B1716&lt;=Train_End)</f>
        <v>1</v>
      </c>
      <c r="T1716" s="84" t="n">
        <f aca="false">IF(AND(ISNUMBER(O1716),ISNUMBER(P1716)),Coef_A+Coef_B1*O1716+Coef_B2*P1716,"")</f>
        <v>23.3987139782278</v>
      </c>
      <c r="U1716" s="84" t="n">
        <f aca="false">IF(AND(R1716=1,ISNUMBER(T1716)),E1716-T1716,"")</f>
        <v>-4.5987139782278</v>
      </c>
      <c r="V1716" s="84" t="n">
        <f aca="false">IF(ISNUMBER(T1716),T1716,-99)</f>
        <v>23.3987139782278</v>
      </c>
      <c r="W1716" s="84" t="n">
        <f aca="false">IF(ISNUMBER(U1716),ABS(U1716),"")</f>
        <v>4.5987139782278</v>
      </c>
    </row>
    <row r="1717" customFormat="false" ht="15" hidden="false" customHeight="false" outlineLevel="0" collapsed="false">
      <c r="A1717" s="57" t="n">
        <v>33026</v>
      </c>
      <c r="B1717" s="56" t="n">
        <v>1990</v>
      </c>
      <c r="C1717" s="56" t="n">
        <v>6</v>
      </c>
      <c r="D1717" s="56" t="n">
        <v>33</v>
      </c>
      <c r="E1717" s="56" t="n">
        <v>16.9</v>
      </c>
      <c r="F1717" s="56" t="n">
        <v>0</v>
      </c>
      <c r="G1717" s="56" t="n">
        <v>9.8</v>
      </c>
      <c r="H1717" s="56" t="n">
        <v>0</v>
      </c>
      <c r="I1717" s="56" t="n">
        <v>14.3</v>
      </c>
      <c r="J1717" s="56" t="n">
        <v>0</v>
      </c>
      <c r="K1717" s="56" t="n">
        <v>1009.1</v>
      </c>
      <c r="L1717" s="56" t="n">
        <v>0</v>
      </c>
      <c r="M1717" s="56" t="n">
        <v>68</v>
      </c>
      <c r="N1717" s="56" t="n">
        <v>6.8</v>
      </c>
      <c r="O1717" s="56" t="n">
        <f aca="false">IF(D1717=1,"",E1716)</f>
        <v>18.8</v>
      </c>
      <c r="P1717" s="56" t="n">
        <f aca="false">IF(OR(D1717=1,K1716=""),"",K1716)</f>
        <v>1012.2</v>
      </c>
      <c r="Q1717" s="56" t="n">
        <f aca="false">IF(OR(F1717&lt;&gt;0,AND(I1717&lt;&gt;"",E1717&lt;I1717)),1,0)</f>
        <v>0</v>
      </c>
      <c r="R1717" s="56" t="n">
        <f aca="false">IF(AND(D1717&gt;1,Q1717=0,ISNUMBER(O1717),ISNUMBER(P1717)),IF(Q1716=0,1,0),0)</f>
        <v>1</v>
      </c>
      <c r="S1717" s="56" t="n">
        <f aca="false">R1717*(B1717&gt;=Train_Start)*(B1717&lt;=Train_End)</f>
        <v>1</v>
      </c>
      <c r="T1717" s="84" t="n">
        <f aca="false">IF(AND(ISNUMBER(O1717),ISNUMBER(P1717)),Coef_A+Coef_B1*O1717+Coef_B2*P1717,"")</f>
        <v>19.2431595997217</v>
      </c>
      <c r="U1717" s="84" t="n">
        <f aca="false">IF(AND(R1717=1,ISNUMBER(T1717)),E1717-T1717,"")</f>
        <v>-2.34315959972173</v>
      </c>
      <c r="V1717" s="84" t="n">
        <f aca="false">IF(ISNUMBER(T1717),T1717,-99)</f>
        <v>19.2431595997217</v>
      </c>
      <c r="W1717" s="84" t="n">
        <f aca="false">IF(ISNUMBER(U1717),ABS(U1717),"")</f>
        <v>2.34315959972173</v>
      </c>
    </row>
    <row r="1718" customFormat="false" ht="15" hidden="false" customHeight="false" outlineLevel="0" collapsed="false">
      <c r="A1718" s="57" t="n">
        <v>33027</v>
      </c>
      <c r="B1718" s="56" t="n">
        <v>1990</v>
      </c>
      <c r="C1718" s="56" t="n">
        <v>6</v>
      </c>
      <c r="D1718" s="56" t="n">
        <v>34</v>
      </c>
      <c r="E1718" s="56" t="n">
        <v>19.2</v>
      </c>
      <c r="F1718" s="56" t="n">
        <v>0</v>
      </c>
      <c r="G1718" s="56" t="n">
        <v>12.2</v>
      </c>
      <c r="H1718" s="56" t="n">
        <v>0</v>
      </c>
      <c r="I1718" s="56" t="n">
        <v>14.6</v>
      </c>
      <c r="J1718" s="56" t="n">
        <v>0</v>
      </c>
      <c r="K1718" s="56" t="n">
        <v>1005.5</v>
      </c>
      <c r="L1718" s="56" t="n">
        <v>0</v>
      </c>
      <c r="M1718" s="56" t="n">
        <v>78</v>
      </c>
      <c r="N1718" s="56" t="n">
        <v>1.2</v>
      </c>
      <c r="O1718" s="56" t="n">
        <f aca="false">IF(D1718=1,"",E1717)</f>
        <v>16.9</v>
      </c>
      <c r="P1718" s="56" t="n">
        <f aca="false">IF(OR(D1718=1,K1717=""),"",K1717)</f>
        <v>1009.1</v>
      </c>
      <c r="Q1718" s="56" t="n">
        <f aca="false">IF(OR(F1718&lt;&gt;0,AND(I1718&lt;&gt;"",E1718&lt;I1718)),1,0)</f>
        <v>0</v>
      </c>
      <c r="R1718" s="56" t="n">
        <f aca="false">IF(AND(D1718&gt;1,Q1718=0,ISNUMBER(O1718),ISNUMBER(P1718)),IF(Q1717=0,1,0),0)</f>
        <v>1</v>
      </c>
      <c r="S1718" s="56" t="n">
        <f aca="false">R1718*(B1718&gt;=Train_Start)*(B1718&lt;=Train_End)</f>
        <v>1</v>
      </c>
      <c r="T1718" s="84" t="n">
        <f aca="false">IF(AND(ISNUMBER(O1718),ISNUMBER(P1718)),Coef_A+Coef_B1*O1718+Coef_B2*P1718,"")</f>
        <v>17.5891684595753</v>
      </c>
      <c r="U1718" s="84" t="n">
        <f aca="false">IF(AND(R1718=1,ISNUMBER(T1718)),E1718-T1718,"")</f>
        <v>1.61083154042469</v>
      </c>
      <c r="V1718" s="84" t="n">
        <f aca="false">IF(ISNUMBER(T1718),T1718,-99)</f>
        <v>17.5891684595753</v>
      </c>
      <c r="W1718" s="84" t="n">
        <f aca="false">IF(ISNUMBER(U1718),ABS(U1718),"")</f>
        <v>1.61083154042469</v>
      </c>
    </row>
    <row r="1719" customFormat="false" ht="15" hidden="false" customHeight="false" outlineLevel="0" collapsed="false">
      <c r="A1719" s="57" t="n">
        <v>33028</v>
      </c>
      <c r="B1719" s="56" t="n">
        <v>1990</v>
      </c>
      <c r="C1719" s="56" t="n">
        <v>6</v>
      </c>
      <c r="D1719" s="56" t="n">
        <v>35</v>
      </c>
      <c r="E1719" s="56" t="n">
        <v>16</v>
      </c>
      <c r="F1719" s="56" t="n">
        <v>0</v>
      </c>
      <c r="G1719" s="56" t="n">
        <v>7.3</v>
      </c>
      <c r="H1719" s="56" t="n">
        <v>0</v>
      </c>
      <c r="I1719" s="56" t="n">
        <v>13.2</v>
      </c>
      <c r="J1719" s="56" t="n">
        <v>0</v>
      </c>
      <c r="K1719" s="56" t="n">
        <v>1008.2</v>
      </c>
      <c r="L1719" s="56" t="n">
        <v>0</v>
      </c>
      <c r="M1719" s="56" t="n">
        <v>60</v>
      </c>
      <c r="N1719" s="56" t="n">
        <v>13.1</v>
      </c>
      <c r="O1719" s="56" t="n">
        <f aca="false">IF(D1719=1,"",E1718)</f>
        <v>19.2</v>
      </c>
      <c r="P1719" s="56" t="n">
        <f aca="false">IF(OR(D1719=1,K1718=""),"",K1718)</f>
        <v>1005.5</v>
      </c>
      <c r="Q1719" s="56" t="n">
        <f aca="false">IF(OR(F1719&lt;&gt;0,AND(I1719&lt;&gt;"",E1719&lt;I1719)),1,0)</f>
        <v>0</v>
      </c>
      <c r="R1719" s="56" t="n">
        <f aca="false">IF(AND(D1719&gt;1,Q1719=0,ISNUMBER(O1719),ISNUMBER(P1719)),IF(Q1718=0,1,0),0)</f>
        <v>1</v>
      </c>
      <c r="S1719" s="56" t="n">
        <f aca="false">R1719*(B1719&gt;=Train_Start)*(B1719&lt;=Train_End)</f>
        <v>1</v>
      </c>
      <c r="T1719" s="84" t="n">
        <f aca="false">IF(AND(ISNUMBER(O1719),ISNUMBER(P1719)),Coef_A+Coef_B1*O1719+Coef_B2*P1719,"")</f>
        <v>19.3607169828911</v>
      </c>
      <c r="U1719" s="84" t="n">
        <f aca="false">IF(AND(R1719=1,ISNUMBER(T1719)),E1719-T1719,"")</f>
        <v>-3.36071698289106</v>
      </c>
      <c r="V1719" s="84" t="n">
        <f aca="false">IF(ISNUMBER(T1719),T1719,-99)</f>
        <v>19.3607169828911</v>
      </c>
      <c r="W1719" s="84" t="n">
        <f aca="false">IF(ISNUMBER(U1719),ABS(U1719),"")</f>
        <v>3.36071698289106</v>
      </c>
    </row>
    <row r="1720" customFormat="false" ht="15" hidden="false" customHeight="false" outlineLevel="0" collapsed="false">
      <c r="A1720" s="57" t="n">
        <v>33029</v>
      </c>
      <c r="B1720" s="56" t="n">
        <v>1990</v>
      </c>
      <c r="C1720" s="56" t="n">
        <v>6</v>
      </c>
      <c r="D1720" s="56" t="n">
        <v>36</v>
      </c>
      <c r="E1720" s="56" t="n">
        <v>16.9</v>
      </c>
      <c r="F1720" s="56" t="n">
        <v>0</v>
      </c>
      <c r="G1720" s="56" t="n">
        <v>7.6</v>
      </c>
      <c r="H1720" s="56" t="n">
        <v>0</v>
      </c>
      <c r="I1720" s="56" t="n">
        <v>11.8</v>
      </c>
      <c r="J1720" s="56" t="n">
        <v>0</v>
      </c>
      <c r="K1720" s="56" t="n">
        <v>1009.9</v>
      </c>
      <c r="L1720" s="56" t="n">
        <v>0</v>
      </c>
      <c r="M1720" s="56" t="n">
        <v>77</v>
      </c>
      <c r="N1720" s="56" t="n">
        <v>0.5</v>
      </c>
      <c r="O1720" s="56" t="n">
        <f aca="false">IF(D1720=1,"",E1719)</f>
        <v>16</v>
      </c>
      <c r="P1720" s="56" t="n">
        <f aca="false">IF(OR(D1720=1,K1719=""),"",K1719)</f>
        <v>1008.2</v>
      </c>
      <c r="Q1720" s="56" t="n">
        <f aca="false">IF(OR(F1720&lt;&gt;0,AND(I1720&lt;&gt;"",E1720&lt;I1720)),1,0)</f>
        <v>0</v>
      </c>
      <c r="R1720" s="56" t="n">
        <f aca="false">IF(AND(D1720&gt;1,Q1720=0,ISNUMBER(O1720),ISNUMBER(P1720)),IF(Q1719=0,1,0),0)</f>
        <v>1</v>
      </c>
      <c r="S1720" s="56" t="n">
        <f aca="false">R1720*(B1720&gt;=Train_Start)*(B1720&lt;=Train_End)</f>
        <v>1</v>
      </c>
      <c r="T1720" s="84" t="n">
        <f aca="false">IF(AND(ISNUMBER(O1720),ISNUMBER(P1720)),Coef_A+Coef_B1*O1720+Coef_B2*P1720,"")</f>
        <v>16.8235302806663</v>
      </c>
      <c r="U1720" s="84" t="n">
        <f aca="false">IF(AND(R1720=1,ISNUMBER(T1720)),E1720-T1720,"")</f>
        <v>0.076469719333673</v>
      </c>
      <c r="V1720" s="84" t="n">
        <f aca="false">IF(ISNUMBER(T1720),T1720,-99)</f>
        <v>16.8235302806663</v>
      </c>
      <c r="W1720" s="84" t="n">
        <f aca="false">IF(ISNUMBER(U1720),ABS(U1720),"")</f>
        <v>0.076469719333673</v>
      </c>
    </row>
    <row r="1721" customFormat="false" ht="15" hidden="false" customHeight="false" outlineLevel="0" collapsed="false">
      <c r="A1721" s="57" t="n">
        <v>33030</v>
      </c>
      <c r="B1721" s="56" t="n">
        <v>1990</v>
      </c>
      <c r="C1721" s="56" t="n">
        <v>6</v>
      </c>
      <c r="D1721" s="56" t="n">
        <v>37</v>
      </c>
      <c r="E1721" s="56" t="n">
        <v>18.5</v>
      </c>
      <c r="F1721" s="56" t="n">
        <v>0</v>
      </c>
      <c r="G1721" s="56" t="n">
        <v>10.2</v>
      </c>
      <c r="H1721" s="56" t="n">
        <v>0</v>
      </c>
      <c r="I1721" s="56" t="n">
        <v>13.6</v>
      </c>
      <c r="J1721" s="56" t="n">
        <v>0</v>
      </c>
      <c r="K1721" s="56" t="n">
        <v>1006.9</v>
      </c>
      <c r="L1721" s="56" t="n">
        <v>0</v>
      </c>
      <c r="M1721" s="56" t="n">
        <v>81</v>
      </c>
      <c r="N1721" s="56" t="n">
        <v>1.2</v>
      </c>
      <c r="O1721" s="56" t="n">
        <f aca="false">IF(D1721=1,"",E1720)</f>
        <v>16.9</v>
      </c>
      <c r="P1721" s="56" t="n">
        <f aca="false">IF(OR(D1721=1,K1720=""),"",K1720)</f>
        <v>1009.9</v>
      </c>
      <c r="Q1721" s="56" t="n">
        <f aca="false">IF(OR(F1721&lt;&gt;0,AND(I1721&lt;&gt;"",E1721&lt;I1721)),1,0)</f>
        <v>0</v>
      </c>
      <c r="R1721" s="56" t="n">
        <f aca="false">IF(AND(D1721&gt;1,Q1721=0,ISNUMBER(O1721),ISNUMBER(P1721)),IF(Q1720=0,1,0),0)</f>
        <v>1</v>
      </c>
      <c r="S1721" s="56" t="n">
        <f aca="false">R1721*(B1721&gt;=Train_Start)*(B1721&lt;=Train_End)</f>
        <v>1</v>
      </c>
      <c r="T1721" s="84" t="n">
        <f aca="false">IF(AND(ISNUMBER(O1721),ISNUMBER(P1721)),Coef_A+Coef_B1*O1721+Coef_B2*P1721,"")</f>
        <v>17.6142643752825</v>
      </c>
      <c r="U1721" s="84" t="n">
        <f aca="false">IF(AND(R1721=1,ISNUMBER(T1721)),E1721-T1721,"")</f>
        <v>0.885735624717505</v>
      </c>
      <c r="V1721" s="84" t="n">
        <f aca="false">IF(ISNUMBER(T1721),T1721,-99)</f>
        <v>17.6142643752825</v>
      </c>
      <c r="W1721" s="84" t="n">
        <f aca="false">IF(ISNUMBER(U1721),ABS(U1721),"")</f>
        <v>0.885735624717505</v>
      </c>
    </row>
    <row r="1722" customFormat="false" ht="15" hidden="false" customHeight="false" outlineLevel="0" collapsed="false">
      <c r="A1722" s="57" t="n">
        <v>33031</v>
      </c>
      <c r="B1722" s="56" t="n">
        <v>1990</v>
      </c>
      <c r="C1722" s="56" t="n">
        <v>6</v>
      </c>
      <c r="D1722" s="56" t="n">
        <v>38</v>
      </c>
      <c r="E1722" s="56" t="n">
        <v>15.1</v>
      </c>
      <c r="F1722" s="56" t="n">
        <v>0</v>
      </c>
      <c r="G1722" s="56" t="n">
        <v>5.6</v>
      </c>
      <c r="H1722" s="56" t="n">
        <v>0</v>
      </c>
      <c r="I1722" s="56" t="n">
        <v>12</v>
      </c>
      <c r="J1722" s="56" t="n">
        <v>0</v>
      </c>
      <c r="K1722" s="56" t="n">
        <v>1006</v>
      </c>
      <c r="L1722" s="56" t="n">
        <v>0</v>
      </c>
      <c r="M1722" s="56" t="n">
        <v>75</v>
      </c>
      <c r="N1722" s="56" t="n">
        <v>3.4</v>
      </c>
      <c r="O1722" s="56" t="n">
        <f aca="false">IF(D1722=1,"",E1721)</f>
        <v>18.5</v>
      </c>
      <c r="P1722" s="56" t="n">
        <f aca="false">IF(OR(D1722=1,K1721=""),"",K1721)</f>
        <v>1006.9</v>
      </c>
      <c r="Q1722" s="56" t="n">
        <f aca="false">IF(OR(F1722&lt;&gt;0,AND(I1722&lt;&gt;"",E1722&lt;I1722)),1,0)</f>
        <v>0</v>
      </c>
      <c r="R1722" s="56" t="n">
        <f aca="false">IF(AND(D1722&gt;1,Q1722=0,ISNUMBER(O1722),ISNUMBER(P1722)),IF(Q1721=0,1,0),0)</f>
        <v>1</v>
      </c>
      <c r="S1722" s="56" t="n">
        <f aca="false">R1722*(B1722&gt;=Train_Start)*(B1722&lt;=Train_End)</f>
        <v>1</v>
      </c>
      <c r="T1722" s="84" t="n">
        <f aca="false">IF(AND(ISNUMBER(O1722),ISNUMBER(P1722)),Coef_A+Coef_B1*O1722+Coef_B2*P1722,"")</f>
        <v>18.8310974002488</v>
      </c>
      <c r="U1722" s="84" t="n">
        <f aca="false">IF(AND(R1722=1,ISNUMBER(T1722)),E1722-T1722,"")</f>
        <v>-3.73109740024878</v>
      </c>
      <c r="V1722" s="84" t="n">
        <f aca="false">IF(ISNUMBER(T1722),T1722,-99)</f>
        <v>18.8310974002488</v>
      </c>
      <c r="W1722" s="84" t="n">
        <f aca="false">IF(ISNUMBER(U1722),ABS(U1722),"")</f>
        <v>3.73109740024878</v>
      </c>
    </row>
    <row r="1723" customFormat="false" ht="15" hidden="false" customHeight="false" outlineLevel="0" collapsed="false">
      <c r="A1723" s="57" t="n">
        <v>33032</v>
      </c>
      <c r="B1723" s="56" t="n">
        <v>1990</v>
      </c>
      <c r="C1723" s="56" t="n">
        <v>6</v>
      </c>
      <c r="D1723" s="56" t="n">
        <v>39</v>
      </c>
      <c r="E1723" s="56" t="n">
        <v>19.4</v>
      </c>
      <c r="F1723" s="56" t="n">
        <v>0</v>
      </c>
      <c r="G1723" s="56" t="n">
        <v>7.3</v>
      </c>
      <c r="H1723" s="56" t="n">
        <v>0</v>
      </c>
      <c r="I1723" s="56" t="n">
        <v>11.2</v>
      </c>
      <c r="J1723" s="56" t="n">
        <v>0</v>
      </c>
      <c r="K1723" s="56" t="n">
        <v>1007.4</v>
      </c>
      <c r="L1723" s="56" t="n">
        <v>0</v>
      </c>
      <c r="M1723" s="56" t="n">
        <v>80</v>
      </c>
      <c r="N1723" s="56" t="n">
        <v>2.6</v>
      </c>
      <c r="O1723" s="56" t="n">
        <f aca="false">IF(D1723=1,"",E1722)</f>
        <v>15.1</v>
      </c>
      <c r="P1723" s="56" t="n">
        <f aca="false">IF(OR(D1723=1,K1722=""),"",K1722)</f>
        <v>1006</v>
      </c>
      <c r="Q1723" s="56" t="n">
        <f aca="false">IF(OR(F1723&lt;&gt;0,AND(I1723&lt;&gt;"",E1723&lt;I1723)),1,0)</f>
        <v>0</v>
      </c>
      <c r="R1723" s="56" t="n">
        <f aca="false">IF(AND(D1723&gt;1,Q1723=0,ISNUMBER(O1723),ISNUMBER(P1723)),IF(Q1722=0,1,0),0)</f>
        <v>1</v>
      </c>
      <c r="S1723" s="56" t="n">
        <f aca="false">R1723*(B1723&gt;=Train_Start)*(B1723&lt;=Train_End)</f>
        <v>1</v>
      </c>
      <c r="T1723" s="84" t="n">
        <f aca="false">IF(AND(ISNUMBER(O1723),ISNUMBER(P1723)),Coef_A+Coef_B1*O1723+Coef_B2*P1723,"")</f>
        <v>16.0171112387332</v>
      </c>
      <c r="U1723" s="84" t="n">
        <f aca="false">IF(AND(R1723=1,ISNUMBER(T1723)),E1723-T1723,"")</f>
        <v>3.38288876126684</v>
      </c>
      <c r="V1723" s="84" t="n">
        <f aca="false">IF(ISNUMBER(T1723),T1723,-99)</f>
        <v>16.0171112387332</v>
      </c>
      <c r="W1723" s="84" t="n">
        <f aca="false">IF(ISNUMBER(U1723),ABS(U1723),"")</f>
        <v>3.38288876126684</v>
      </c>
    </row>
    <row r="1724" customFormat="false" ht="15" hidden="false" customHeight="false" outlineLevel="0" collapsed="false">
      <c r="A1724" s="57" t="n">
        <v>33033</v>
      </c>
      <c r="B1724" s="56" t="n">
        <v>1990</v>
      </c>
      <c r="C1724" s="56" t="n">
        <v>6</v>
      </c>
      <c r="D1724" s="56" t="n">
        <v>40</v>
      </c>
      <c r="E1724" s="56" t="n">
        <v>19.6</v>
      </c>
      <c r="F1724" s="56" t="n">
        <v>0</v>
      </c>
      <c r="G1724" s="56" t="n">
        <v>8.7</v>
      </c>
      <c r="H1724" s="56" t="n">
        <v>0</v>
      </c>
      <c r="I1724" s="56" t="n">
        <v>14</v>
      </c>
      <c r="J1724" s="56" t="n">
        <v>0</v>
      </c>
      <c r="K1724" s="56" t="n">
        <v>1012.8</v>
      </c>
      <c r="L1724" s="56" t="n">
        <v>0</v>
      </c>
      <c r="M1724" s="56" t="n">
        <v>73</v>
      </c>
      <c r="N1724" s="56" t="n">
        <v>6.8</v>
      </c>
      <c r="O1724" s="56" t="n">
        <f aca="false">IF(D1724=1,"",E1723)</f>
        <v>19.4</v>
      </c>
      <c r="P1724" s="56" t="n">
        <f aca="false">IF(OR(D1724=1,K1723=""),"",K1723)</f>
        <v>1007.4</v>
      </c>
      <c r="Q1724" s="56" t="n">
        <f aca="false">IF(OR(F1724&lt;&gt;0,AND(I1724&lt;&gt;"",E1724&lt;I1724)),1,0)</f>
        <v>0</v>
      </c>
      <c r="R1724" s="56" t="n">
        <f aca="false">IF(AND(D1724&gt;1,Q1724=0,ISNUMBER(O1724),ISNUMBER(P1724)),IF(Q1723=0,1,0),0)</f>
        <v>1</v>
      </c>
      <c r="S1724" s="56" t="n">
        <f aca="false">R1724*(B1724&gt;=Train_Start)*(B1724&lt;=Train_End)</f>
        <v>1</v>
      </c>
      <c r="T1724" s="84" t="n">
        <f aca="false">IF(AND(ISNUMBER(O1724),ISNUMBER(P1724)),Coef_A+Coef_B1*O1724+Coef_B2*P1724,"")</f>
        <v>19.5841876213042</v>
      </c>
      <c r="U1724" s="84" t="n">
        <f aca="false">IF(AND(R1724=1,ISNUMBER(T1724)),E1724-T1724,"")</f>
        <v>0.0158123786958342</v>
      </c>
      <c r="V1724" s="84" t="n">
        <f aca="false">IF(ISNUMBER(T1724),T1724,-99)</f>
        <v>19.5841876213042</v>
      </c>
      <c r="W1724" s="84" t="n">
        <f aca="false">IF(ISNUMBER(U1724),ABS(U1724),"")</f>
        <v>0.0158123786958342</v>
      </c>
    </row>
    <row r="1725" customFormat="false" ht="15" hidden="false" customHeight="false" outlineLevel="0" collapsed="false">
      <c r="A1725" s="57" t="n">
        <v>33034</v>
      </c>
      <c r="B1725" s="56" t="n">
        <v>1990</v>
      </c>
      <c r="C1725" s="56" t="n">
        <v>6</v>
      </c>
      <c r="D1725" s="56" t="n">
        <v>41</v>
      </c>
      <c r="E1725" s="56" t="n">
        <v>14.5</v>
      </c>
      <c r="F1725" s="56" t="n">
        <v>1</v>
      </c>
      <c r="G1725" s="56" t="n">
        <v>12</v>
      </c>
      <c r="H1725" s="56" t="n">
        <v>0</v>
      </c>
      <c r="I1725" s="56" t="n">
        <v>15.8</v>
      </c>
      <c r="J1725" s="56" t="n">
        <v>1</v>
      </c>
      <c r="K1725" s="56" t="n">
        <v>1019.1</v>
      </c>
      <c r="L1725" s="56" t="n">
        <v>0</v>
      </c>
      <c r="M1725" s="56" t="n">
        <v>76</v>
      </c>
      <c r="N1725" s="56" t="n">
        <v>5.3</v>
      </c>
      <c r="O1725" s="56" t="n">
        <f aca="false">IF(D1725=1,"",E1724)</f>
        <v>19.6</v>
      </c>
      <c r="P1725" s="56" t="n">
        <f aca="false">IF(OR(D1725=1,K1724=""),"",K1724)</f>
        <v>1012.8</v>
      </c>
      <c r="Q1725" s="56" t="n">
        <f aca="false">IF(OR(F1725&lt;&gt;0,AND(I1725&lt;&gt;"",E1725&lt;I1725)),1,0)</f>
        <v>1</v>
      </c>
      <c r="R1725" s="56" t="n">
        <f aca="false">IF(AND(D1725&gt;1,Q1725=0,ISNUMBER(O1725),ISNUMBER(P1725)),IF(Q1724=0,1,0),0)</f>
        <v>0</v>
      </c>
      <c r="S1725" s="56" t="n">
        <f aca="false">R1725*(B1725&gt;=Train_Start)*(B1725&lt;=Train_End)</f>
        <v>0</v>
      </c>
      <c r="T1725" s="84" t="n">
        <f aca="false">IF(AND(ISNUMBER(O1725),ISNUMBER(P1725)),Coef_A+Coef_B1*O1725+Coef_B2*P1725,"")</f>
        <v>19.9174528909362</v>
      </c>
      <c r="U1725" s="84" t="str">
        <f aca="false">IF(AND(R1725=1,ISNUMBER(T1725)),E1725-T1725,"")</f>
        <v/>
      </c>
      <c r="V1725" s="84" t="n">
        <f aca="false">IF(ISNUMBER(T1725),T1725,-99)</f>
        <v>19.9174528909362</v>
      </c>
      <c r="W1725" s="84" t="str">
        <f aca="false">IF(ISNUMBER(U1725),ABS(U1725),"")</f>
        <v/>
      </c>
    </row>
    <row r="1726" customFormat="false" ht="15" hidden="false" customHeight="false" outlineLevel="0" collapsed="false">
      <c r="A1726" s="57" t="n">
        <v>33035</v>
      </c>
      <c r="B1726" s="56" t="n">
        <v>1990</v>
      </c>
      <c r="C1726" s="56" t="n">
        <v>6</v>
      </c>
      <c r="D1726" s="56" t="n">
        <v>42</v>
      </c>
      <c r="E1726" s="56" t="n">
        <v>14.5</v>
      </c>
      <c r="F1726" s="56" t="n">
        <v>0</v>
      </c>
      <c r="G1726" s="56" t="n">
        <v>11.8</v>
      </c>
      <c r="H1726" s="56" t="n">
        <v>0</v>
      </c>
      <c r="I1726" s="56" t="n">
        <v>13.2</v>
      </c>
      <c r="J1726" s="56" t="n">
        <v>0</v>
      </c>
      <c r="K1726" s="56" t="n">
        <v>1021.4</v>
      </c>
      <c r="L1726" s="56" t="n">
        <v>0</v>
      </c>
      <c r="M1726" s="56" t="n">
        <v>68</v>
      </c>
      <c r="N1726" s="56" t="n">
        <v>0</v>
      </c>
      <c r="O1726" s="56" t="n">
        <f aca="false">IF(D1726=1,"",E1725)</f>
        <v>14.5</v>
      </c>
      <c r="P1726" s="56" t="n">
        <f aca="false">IF(OR(D1726=1,K1725=""),"",K1725)</f>
        <v>1019.1</v>
      </c>
      <c r="Q1726" s="56" t="n">
        <f aca="false">IF(OR(F1726&lt;&gt;0,AND(I1726&lt;&gt;"",E1726&lt;I1726)),1,0)</f>
        <v>0</v>
      </c>
      <c r="R1726" s="56" t="n">
        <f aca="false">IF(AND(D1726&gt;1,Q1726=0,ISNUMBER(O1726),ISNUMBER(P1726)),IF(Q1725=0,1,0),0)</f>
        <v>0</v>
      </c>
      <c r="S1726" s="56" t="n">
        <f aca="false">R1726*(B1726&gt;=Train_Start)*(B1726&lt;=Train_End)</f>
        <v>0</v>
      </c>
      <c r="T1726" s="84" t="n">
        <f aca="false">IF(AND(ISNUMBER(O1726),ISNUMBER(P1726)),Coef_A+Coef_B1*O1726+Coef_B2*P1726,"")</f>
        <v>15.9364533426128</v>
      </c>
      <c r="U1726" s="84" t="str">
        <f aca="false">IF(AND(R1726=1,ISNUMBER(T1726)),E1726-T1726,"")</f>
        <v/>
      </c>
      <c r="V1726" s="84" t="n">
        <f aca="false">IF(ISNUMBER(T1726),T1726,-99)</f>
        <v>15.9364533426128</v>
      </c>
      <c r="W1726" s="84" t="str">
        <f aca="false">IF(ISNUMBER(U1726),ABS(U1726),"")</f>
        <v/>
      </c>
    </row>
    <row r="1727" customFormat="false" ht="15" hidden="false" customHeight="false" outlineLevel="0" collapsed="false">
      <c r="A1727" s="57" t="n">
        <v>33036</v>
      </c>
      <c r="B1727" s="56" t="n">
        <v>1990</v>
      </c>
      <c r="C1727" s="56" t="n">
        <v>6</v>
      </c>
      <c r="D1727" s="56" t="n">
        <v>43</v>
      </c>
      <c r="E1727" s="56" t="n">
        <v>14.8</v>
      </c>
      <c r="F1727" s="56" t="n">
        <v>0</v>
      </c>
      <c r="G1727" s="56" t="n">
        <v>7.5</v>
      </c>
      <c r="H1727" s="56" t="n">
        <v>0</v>
      </c>
      <c r="I1727" s="56" t="n">
        <v>11</v>
      </c>
      <c r="J1727" s="56" t="n">
        <v>0</v>
      </c>
      <c r="K1727" s="56" t="n">
        <v>1022.1</v>
      </c>
      <c r="L1727" s="56" t="n">
        <v>0</v>
      </c>
      <c r="M1727" s="56" t="n">
        <v>74</v>
      </c>
      <c r="N1727" s="56" t="n">
        <v>0</v>
      </c>
      <c r="O1727" s="56" t="n">
        <f aca="false">IF(D1727=1,"",E1726)</f>
        <v>14.5</v>
      </c>
      <c r="P1727" s="56" t="n">
        <f aca="false">IF(OR(D1727=1,K1726=""),"",K1726)</f>
        <v>1021.4</v>
      </c>
      <c r="Q1727" s="56" t="n">
        <f aca="false">IF(OR(F1727&lt;&gt;0,AND(I1727&lt;&gt;"",E1727&lt;I1727)),1,0)</f>
        <v>0</v>
      </c>
      <c r="R1727" s="56" t="n">
        <f aca="false">IF(AND(D1727&gt;1,Q1727=0,ISNUMBER(O1727),ISNUMBER(P1727)),IF(Q1726=0,1,0),0)</f>
        <v>1</v>
      </c>
      <c r="S1727" s="56" t="n">
        <f aca="false">R1727*(B1727&gt;=Train_Start)*(B1727&lt;=Train_End)</f>
        <v>1</v>
      </c>
      <c r="T1727" s="84" t="n">
        <f aca="false">IF(AND(ISNUMBER(O1727),ISNUMBER(P1727)),Coef_A+Coef_B1*O1727+Coef_B2*P1727,"")</f>
        <v>16.008604100271</v>
      </c>
      <c r="U1727" s="84" t="n">
        <f aca="false">IF(AND(R1727=1,ISNUMBER(T1727)),E1727-T1727,"")</f>
        <v>-1.208604100271</v>
      </c>
      <c r="V1727" s="84" t="n">
        <f aca="false">IF(ISNUMBER(T1727),T1727,-99)</f>
        <v>16.008604100271</v>
      </c>
      <c r="W1727" s="84" t="n">
        <f aca="false">IF(ISNUMBER(U1727),ABS(U1727),"")</f>
        <v>1.208604100271</v>
      </c>
    </row>
    <row r="1728" customFormat="false" ht="15" hidden="false" customHeight="false" outlineLevel="0" collapsed="false">
      <c r="A1728" s="57" t="n">
        <v>33037</v>
      </c>
      <c r="B1728" s="56" t="n">
        <v>1990</v>
      </c>
      <c r="C1728" s="56" t="n">
        <v>6</v>
      </c>
      <c r="D1728" s="56" t="n">
        <v>44</v>
      </c>
      <c r="E1728" s="56" t="n">
        <v>17.4</v>
      </c>
      <c r="F1728" s="56" t="n">
        <v>0</v>
      </c>
      <c r="G1728" s="56" t="n">
        <v>9.8</v>
      </c>
      <c r="H1728" s="56" t="n">
        <v>0</v>
      </c>
      <c r="I1728" s="56" t="n">
        <v>12.3</v>
      </c>
      <c r="J1728" s="56" t="n">
        <v>0</v>
      </c>
      <c r="K1728" s="56" t="n">
        <v>1024</v>
      </c>
      <c r="L1728" s="56" t="n">
        <v>0</v>
      </c>
      <c r="M1728" s="56" t="n">
        <v>68</v>
      </c>
      <c r="N1728" s="56" t="n">
        <v>0.1</v>
      </c>
      <c r="O1728" s="56" t="n">
        <f aca="false">IF(D1728=1,"",E1727)</f>
        <v>14.8</v>
      </c>
      <c r="P1728" s="56" t="n">
        <f aca="false">IF(OR(D1728=1,K1727=""),"",K1727)</f>
        <v>1022.1</v>
      </c>
      <c r="Q1728" s="56" t="n">
        <f aca="false">IF(OR(F1728&lt;&gt;0,AND(I1728&lt;&gt;"",E1728&lt;I1728)),1,0)</f>
        <v>0</v>
      </c>
      <c r="R1728" s="56" t="n">
        <f aca="false">IF(AND(D1728&gt;1,Q1728=0,ISNUMBER(O1728),ISNUMBER(P1728)),IF(Q1727=0,1,0),0)</f>
        <v>1</v>
      </c>
      <c r="S1728" s="56" t="n">
        <f aca="false">R1728*(B1728&gt;=Train_Start)*(B1728&lt;=Train_End)</f>
        <v>1</v>
      </c>
      <c r="T1728" s="84" t="n">
        <f aca="false">IF(AND(ISNUMBER(O1728),ISNUMBER(P1728)),Coef_A+Coef_B1*O1728+Coef_B2*P1728,"")</f>
        <v>16.2763647844276</v>
      </c>
      <c r="U1728" s="84" t="n">
        <f aca="false">IF(AND(R1728=1,ISNUMBER(T1728)),E1728-T1728,"")</f>
        <v>1.12363521557241</v>
      </c>
      <c r="V1728" s="84" t="n">
        <f aca="false">IF(ISNUMBER(T1728),T1728,-99)</f>
        <v>16.2763647844276</v>
      </c>
      <c r="W1728" s="84" t="n">
        <f aca="false">IF(ISNUMBER(U1728),ABS(U1728),"")</f>
        <v>1.12363521557241</v>
      </c>
    </row>
    <row r="1729" customFormat="false" ht="15" hidden="false" customHeight="false" outlineLevel="0" collapsed="false">
      <c r="A1729" s="57" t="n">
        <v>33038</v>
      </c>
      <c r="B1729" s="56" t="n">
        <v>1990</v>
      </c>
      <c r="C1729" s="56" t="n">
        <v>6</v>
      </c>
      <c r="D1729" s="56" t="n">
        <v>45</v>
      </c>
      <c r="E1729" s="56" t="n">
        <v>20</v>
      </c>
      <c r="F1729" s="56" t="n">
        <v>0</v>
      </c>
      <c r="G1729" s="56" t="n">
        <v>11.1</v>
      </c>
      <c r="H1729" s="56" t="n">
        <v>0</v>
      </c>
      <c r="I1729" s="56" t="n">
        <v>14.2</v>
      </c>
      <c r="J1729" s="56" t="n">
        <v>0</v>
      </c>
      <c r="K1729" s="56" t="n">
        <v>1021.8</v>
      </c>
      <c r="L1729" s="56" t="n">
        <v>0</v>
      </c>
      <c r="M1729" s="56" t="n">
        <v>65</v>
      </c>
      <c r="N1729" s="56" t="n">
        <v>0</v>
      </c>
      <c r="O1729" s="56" t="n">
        <f aca="false">IF(D1729=1,"",E1728)</f>
        <v>17.4</v>
      </c>
      <c r="P1729" s="56" t="n">
        <f aca="false">IF(OR(D1729=1,K1728=""),"",K1728)</f>
        <v>1024</v>
      </c>
      <c r="Q1729" s="56" t="n">
        <f aca="false">IF(OR(F1729&lt;&gt;0,AND(I1729&lt;&gt;"",E1729&lt;I1729)),1,0)</f>
        <v>0</v>
      </c>
      <c r="R1729" s="56" t="n">
        <f aca="false">IF(AND(D1729&gt;1,Q1729=0,ISNUMBER(O1729),ISNUMBER(P1729)),IF(Q1728=0,1,0),0)</f>
        <v>1</v>
      </c>
      <c r="S1729" s="56" t="n">
        <f aca="false">R1729*(B1729&gt;=Train_Start)*(B1729&lt;=Train_End)</f>
        <v>1</v>
      </c>
      <c r="T1729" s="84" t="n">
        <f aca="false">IF(AND(ISNUMBER(O1729),ISNUMBER(P1729)),Coef_A+Coef_B1*O1729+Coef_B2*P1729,"")</f>
        <v>18.4662494861431</v>
      </c>
      <c r="U1729" s="84" t="n">
        <f aca="false">IF(AND(R1729=1,ISNUMBER(T1729)),E1729-T1729,"")</f>
        <v>1.53375051385692</v>
      </c>
      <c r="V1729" s="84" t="n">
        <f aca="false">IF(ISNUMBER(T1729),T1729,-99)</f>
        <v>18.4662494861431</v>
      </c>
      <c r="W1729" s="84" t="n">
        <f aca="false">IF(ISNUMBER(U1729),ABS(U1729),"")</f>
        <v>1.53375051385692</v>
      </c>
    </row>
    <row r="1730" customFormat="false" ht="15" hidden="false" customHeight="false" outlineLevel="0" collapsed="false">
      <c r="A1730" s="57" t="n">
        <v>33039</v>
      </c>
      <c r="B1730" s="56" t="n">
        <v>1990</v>
      </c>
      <c r="C1730" s="56" t="n">
        <v>6</v>
      </c>
      <c r="D1730" s="56" t="n">
        <v>46</v>
      </c>
      <c r="E1730" s="56" t="n">
        <v>21.3</v>
      </c>
      <c r="F1730" s="56" t="n">
        <v>0</v>
      </c>
      <c r="G1730" s="56" t="n">
        <v>10.2</v>
      </c>
      <c r="H1730" s="56" t="n">
        <v>0</v>
      </c>
      <c r="I1730" s="56" t="n">
        <v>15.1</v>
      </c>
      <c r="J1730" s="56" t="n">
        <v>0</v>
      </c>
      <c r="K1730" s="56" t="n">
        <v>1020.7</v>
      </c>
      <c r="L1730" s="56" t="n">
        <v>0</v>
      </c>
      <c r="M1730" s="56" t="n">
        <v>63</v>
      </c>
      <c r="N1730" s="56" t="n">
        <v>1.5</v>
      </c>
      <c r="O1730" s="56" t="n">
        <f aca="false">IF(D1730=1,"",E1729)</f>
        <v>20</v>
      </c>
      <c r="P1730" s="56" t="n">
        <f aca="false">IF(OR(D1730=1,K1729=""),"",K1729)</f>
        <v>1021.8</v>
      </c>
      <c r="Q1730" s="56" t="n">
        <f aca="false">IF(OR(F1730&lt;&gt;0,AND(I1730&lt;&gt;"",E1730&lt;I1730)),1,0)</f>
        <v>0</v>
      </c>
      <c r="R1730" s="56" t="n">
        <f aca="false">IF(AND(D1730&gt;1,Q1730=0,ISNUMBER(O1730),ISNUMBER(P1730)),IF(Q1729=0,1,0),0)</f>
        <v>1</v>
      </c>
      <c r="S1730" s="56" t="n">
        <f aca="false">R1730*(B1730&gt;=Train_Start)*(B1730&lt;=Train_End)</f>
        <v>1</v>
      </c>
      <c r="T1730" s="84" t="n">
        <f aca="false">IF(AND(ISNUMBER(O1730),ISNUMBER(P1730)),Coef_A+Coef_B1*O1730+Coef_B2*P1730,"")</f>
        <v>20.5275176198592</v>
      </c>
      <c r="U1730" s="84" t="n">
        <f aca="false">IF(AND(R1730=1,ISNUMBER(T1730)),E1730-T1730,"")</f>
        <v>0.772482380140794</v>
      </c>
      <c r="V1730" s="84" t="n">
        <f aca="false">IF(ISNUMBER(T1730),T1730,-99)</f>
        <v>20.5275176198592</v>
      </c>
      <c r="W1730" s="84" t="n">
        <f aca="false">IF(ISNUMBER(U1730),ABS(U1730),"")</f>
        <v>0.772482380140794</v>
      </c>
    </row>
    <row r="1731" customFormat="false" ht="15" hidden="false" customHeight="false" outlineLevel="0" collapsed="false">
      <c r="A1731" s="57" t="n">
        <v>33040</v>
      </c>
      <c r="B1731" s="56" t="n">
        <v>1990</v>
      </c>
      <c r="C1731" s="56" t="n">
        <v>6</v>
      </c>
      <c r="D1731" s="56" t="n">
        <v>47</v>
      </c>
      <c r="E1731" s="56" t="n">
        <v>24.1</v>
      </c>
      <c r="F1731" s="56" t="n">
        <v>0</v>
      </c>
      <c r="G1731" s="56" t="n">
        <v>11.2</v>
      </c>
      <c r="H1731" s="56" t="n">
        <v>0</v>
      </c>
      <c r="I1731" s="56" t="n">
        <v>16.2</v>
      </c>
      <c r="J1731" s="56" t="n">
        <v>0</v>
      </c>
      <c r="K1731" s="56" t="n">
        <v>1018.9</v>
      </c>
      <c r="L1731" s="56" t="n">
        <v>0</v>
      </c>
      <c r="M1731" s="56" t="n">
        <v>64</v>
      </c>
      <c r="N1731" s="56" t="n">
        <v>0.7</v>
      </c>
      <c r="O1731" s="56" t="n">
        <f aca="false">IF(D1731=1,"",E1730)</f>
        <v>21.3</v>
      </c>
      <c r="P1731" s="56" t="n">
        <f aca="false">IF(OR(D1731=1,K1730=""),"",K1730)</f>
        <v>1020.7</v>
      </c>
      <c r="Q1731" s="56" t="n">
        <f aca="false">IF(OR(F1731&lt;&gt;0,AND(I1731&lt;&gt;"",E1731&lt;I1731)),1,0)</f>
        <v>0</v>
      </c>
      <c r="R1731" s="56" t="n">
        <f aca="false">IF(AND(D1731&gt;1,Q1731=0,ISNUMBER(O1731),ISNUMBER(P1731)),IF(Q1730=0,1,0),0)</f>
        <v>1</v>
      </c>
      <c r="S1731" s="56" t="n">
        <f aca="false">R1731*(B1731&gt;=Train_Start)*(B1731&lt;=Train_End)</f>
        <v>1</v>
      </c>
      <c r="T1731" s="84" t="n">
        <f aca="false">IF(AND(ISNUMBER(O1731),ISNUMBER(P1731)),Coef_A+Coef_B1*O1731+Coef_B2*P1731,"")</f>
        <v>21.5581516867173</v>
      </c>
      <c r="U1731" s="84" t="n">
        <f aca="false">IF(AND(R1731=1,ISNUMBER(T1731)),E1731-T1731,"")</f>
        <v>2.54184831328272</v>
      </c>
      <c r="V1731" s="84" t="n">
        <f aca="false">IF(ISNUMBER(T1731),T1731,-99)</f>
        <v>21.5581516867173</v>
      </c>
      <c r="W1731" s="84" t="n">
        <f aca="false">IF(ISNUMBER(U1731),ABS(U1731),"")</f>
        <v>2.54184831328272</v>
      </c>
    </row>
    <row r="1732" customFormat="false" ht="15" hidden="false" customHeight="false" outlineLevel="0" collapsed="false">
      <c r="A1732" s="57" t="n">
        <v>33041</v>
      </c>
      <c r="B1732" s="56" t="n">
        <v>1990</v>
      </c>
      <c r="C1732" s="56" t="n">
        <v>6</v>
      </c>
      <c r="D1732" s="56" t="n">
        <v>48</v>
      </c>
      <c r="E1732" s="56" t="n">
        <v>20.3</v>
      </c>
      <c r="F1732" s="56" t="n">
        <v>0</v>
      </c>
      <c r="G1732" s="56" t="n">
        <v>11.1</v>
      </c>
      <c r="H1732" s="56" t="n">
        <v>0</v>
      </c>
      <c r="I1732" s="56" t="n">
        <v>17.6</v>
      </c>
      <c r="J1732" s="56" t="n">
        <v>0</v>
      </c>
      <c r="K1732" s="56" t="n">
        <v>1014</v>
      </c>
      <c r="L1732" s="56" t="n">
        <v>0</v>
      </c>
      <c r="M1732" s="56" t="n">
        <v>58</v>
      </c>
      <c r="N1732" s="56" t="n">
        <v>7.2</v>
      </c>
      <c r="O1732" s="56" t="n">
        <f aca="false">IF(D1732=1,"",E1731)</f>
        <v>24.1</v>
      </c>
      <c r="P1732" s="56" t="n">
        <f aca="false">IF(OR(D1732=1,K1731=""),"",K1731)</f>
        <v>1018.9</v>
      </c>
      <c r="Q1732" s="56" t="n">
        <f aca="false">IF(OR(F1732&lt;&gt;0,AND(I1732&lt;&gt;"",E1732&lt;I1732)),1,0)</f>
        <v>0</v>
      </c>
      <c r="R1732" s="56" t="n">
        <f aca="false">IF(AND(D1732&gt;1,Q1732=0,ISNUMBER(O1732),ISNUMBER(P1732)),IF(Q1731=0,1,0),0)</f>
        <v>1</v>
      </c>
      <c r="S1732" s="56" t="n">
        <f aca="false">R1732*(B1732&gt;=Train_Start)*(B1732&lt;=Train_End)</f>
        <v>1</v>
      </c>
      <c r="T1732" s="84" t="n">
        <f aca="false">IF(AND(ISNUMBER(O1732),ISNUMBER(P1732)),Coef_A+Coef_B1*O1732+Coef_B2*P1732,"")</f>
        <v>23.7958356168955</v>
      </c>
      <c r="U1732" s="84" t="n">
        <f aca="false">IF(AND(R1732=1,ISNUMBER(T1732)),E1732-T1732,"")</f>
        <v>-3.49583561689554</v>
      </c>
      <c r="V1732" s="84" t="n">
        <f aca="false">IF(ISNUMBER(T1732),T1732,-99)</f>
        <v>23.7958356168955</v>
      </c>
      <c r="W1732" s="84" t="n">
        <f aca="false">IF(ISNUMBER(U1732),ABS(U1732),"")</f>
        <v>3.49583561689554</v>
      </c>
    </row>
    <row r="1733" customFormat="false" ht="15" hidden="false" customHeight="false" outlineLevel="0" collapsed="false">
      <c r="A1733" s="57" t="n">
        <v>33042</v>
      </c>
      <c r="B1733" s="56" t="n">
        <v>1990</v>
      </c>
      <c r="C1733" s="56" t="n">
        <v>6</v>
      </c>
      <c r="D1733" s="56" t="n">
        <v>49</v>
      </c>
      <c r="E1733" s="56" t="n">
        <v>22</v>
      </c>
      <c r="F1733" s="56" t="n">
        <v>0</v>
      </c>
      <c r="G1733" s="56" t="n">
        <v>12.6</v>
      </c>
      <c r="H1733" s="56" t="n">
        <v>0</v>
      </c>
      <c r="I1733" s="56" t="n">
        <v>16.4</v>
      </c>
      <c r="J1733" s="56" t="n">
        <v>0</v>
      </c>
      <c r="K1733" s="56" t="n">
        <v>1008.7</v>
      </c>
      <c r="L1733" s="56" t="n">
        <v>0</v>
      </c>
      <c r="M1733" s="56" t="n">
        <v>77</v>
      </c>
      <c r="N1733" s="56" t="n">
        <v>4.6</v>
      </c>
      <c r="O1733" s="56" t="n">
        <f aca="false">IF(D1733=1,"",E1732)</f>
        <v>20.3</v>
      </c>
      <c r="P1733" s="56" t="n">
        <f aca="false">IF(OR(D1733=1,K1732=""),"",K1732)</f>
        <v>1014</v>
      </c>
      <c r="Q1733" s="56" t="n">
        <f aca="false">IF(OR(F1733&lt;&gt;0,AND(I1733&lt;&gt;"",E1733&lt;I1733)),1,0)</f>
        <v>0</v>
      </c>
      <c r="R1733" s="56" t="n">
        <f aca="false">IF(AND(D1733&gt;1,Q1733=0,ISNUMBER(O1733),ISNUMBER(P1733)),IF(Q1732=0,1,0),0)</f>
        <v>1</v>
      </c>
      <c r="S1733" s="56" t="n">
        <f aca="false">R1733*(B1733&gt;=Train_Start)*(B1733&lt;=Train_End)</f>
        <v>1</v>
      </c>
      <c r="T1733" s="84" t="n">
        <f aca="false">IF(AND(ISNUMBER(O1733),ISNUMBER(P1733)),Coef_A+Coef_B1*O1733+Coef_B2*P1733,"")</f>
        <v>20.5286341996269</v>
      </c>
      <c r="U1733" s="84" t="n">
        <f aca="false">IF(AND(R1733=1,ISNUMBER(T1733)),E1733-T1733,"")</f>
        <v>1.47136580037311</v>
      </c>
      <c r="V1733" s="84" t="n">
        <f aca="false">IF(ISNUMBER(T1733),T1733,-99)</f>
        <v>20.5286341996269</v>
      </c>
      <c r="W1733" s="84" t="n">
        <f aca="false">IF(ISNUMBER(U1733),ABS(U1733),"")</f>
        <v>1.47136580037311</v>
      </c>
    </row>
    <row r="1734" customFormat="false" ht="15" hidden="false" customHeight="false" outlineLevel="0" collapsed="false">
      <c r="A1734" s="57" t="n">
        <v>33043</v>
      </c>
      <c r="B1734" s="56" t="n">
        <v>1990</v>
      </c>
      <c r="C1734" s="56" t="n">
        <v>6</v>
      </c>
      <c r="D1734" s="56" t="n">
        <v>50</v>
      </c>
      <c r="E1734" s="56" t="n">
        <v>21.1</v>
      </c>
      <c r="F1734" s="56" t="n">
        <v>0</v>
      </c>
      <c r="G1734" s="56" t="n">
        <v>12.7</v>
      </c>
      <c r="H1734" s="56" t="n">
        <v>0</v>
      </c>
      <c r="I1734" s="56" t="n">
        <v>17.4</v>
      </c>
      <c r="J1734" s="56" t="n">
        <v>0</v>
      </c>
      <c r="K1734" s="56" t="n">
        <v>1008.6</v>
      </c>
      <c r="L1734" s="56" t="n">
        <v>0</v>
      </c>
      <c r="M1734" s="56" t="n">
        <v>62</v>
      </c>
      <c r="N1734" s="56" t="n">
        <v>10.9</v>
      </c>
      <c r="O1734" s="56" t="n">
        <f aca="false">IF(D1734=1,"",E1733)</f>
        <v>22</v>
      </c>
      <c r="P1734" s="56" t="n">
        <f aca="false">IF(OR(D1734=1,K1733=""),"",K1733)</f>
        <v>1008.7</v>
      </c>
      <c r="Q1734" s="56" t="n">
        <f aca="false">IF(OR(F1734&lt;&gt;0,AND(I1734&lt;&gt;"",E1734&lt;I1734)),1,0)</f>
        <v>0</v>
      </c>
      <c r="R1734" s="56" t="n">
        <f aca="false">IF(AND(D1734&gt;1,Q1734=0,ISNUMBER(O1734),ISNUMBER(P1734)),IF(Q1733=0,1,0),0)</f>
        <v>1</v>
      </c>
      <c r="S1734" s="56" t="n">
        <f aca="false">R1734*(B1734&gt;=Train_Start)*(B1734&lt;=Train_End)</f>
        <v>1</v>
      </c>
      <c r="T1734" s="84" t="n">
        <f aca="false">IF(AND(ISNUMBER(O1734),ISNUMBER(P1734)),Coef_A+Coef_B1*O1734+Coef_B2*P1734,"")</f>
        <v>21.7552503862393</v>
      </c>
      <c r="U1734" s="84" t="n">
        <f aca="false">IF(AND(R1734=1,ISNUMBER(T1734)),E1734-T1734,"")</f>
        <v>-0.655250386239267</v>
      </c>
      <c r="V1734" s="84" t="n">
        <f aca="false">IF(ISNUMBER(T1734),T1734,-99)</f>
        <v>21.7552503862393</v>
      </c>
      <c r="W1734" s="84" t="n">
        <f aca="false">IF(ISNUMBER(U1734),ABS(U1734),"")</f>
        <v>0.655250386239267</v>
      </c>
    </row>
    <row r="1735" customFormat="false" ht="15" hidden="false" customHeight="false" outlineLevel="0" collapsed="false">
      <c r="A1735" s="57" t="n">
        <v>33044</v>
      </c>
      <c r="B1735" s="56" t="n">
        <v>1990</v>
      </c>
      <c r="C1735" s="56" t="n">
        <v>6</v>
      </c>
      <c r="D1735" s="56" t="n">
        <v>51</v>
      </c>
      <c r="E1735" s="56" t="n">
        <v>16.1</v>
      </c>
      <c r="F1735" s="56" t="n">
        <v>0</v>
      </c>
      <c r="G1735" s="56" t="n">
        <v>10</v>
      </c>
      <c r="H1735" s="56" t="n">
        <v>0</v>
      </c>
      <c r="I1735" s="56" t="n">
        <v>15.6</v>
      </c>
      <c r="J1735" s="56" t="n">
        <v>0</v>
      </c>
      <c r="K1735" s="56" t="n">
        <v>1008.6</v>
      </c>
      <c r="L1735" s="56" t="n">
        <v>0</v>
      </c>
      <c r="M1735" s="56" t="n">
        <v>70</v>
      </c>
      <c r="N1735" s="56" t="n">
        <v>11</v>
      </c>
      <c r="O1735" s="56" t="n">
        <f aca="false">IF(D1735=1,"",E1734)</f>
        <v>21.1</v>
      </c>
      <c r="P1735" s="56" t="n">
        <f aca="false">IF(OR(D1735=1,K1734=""),"",K1734)</f>
        <v>1008.6</v>
      </c>
      <c r="Q1735" s="56" t="n">
        <f aca="false">IF(OR(F1735&lt;&gt;0,AND(I1735&lt;&gt;"",E1735&lt;I1735)),1,0)</f>
        <v>0</v>
      </c>
      <c r="R1735" s="56" t="n">
        <f aca="false">IF(AND(D1735&gt;1,Q1735=0,ISNUMBER(O1735),ISNUMBER(P1735)),IF(Q1734=0,1,0),0)</f>
        <v>1</v>
      </c>
      <c r="S1735" s="56" t="n">
        <f aca="false">R1735*(B1735&gt;=Train_Start)*(B1735&lt;=Train_End)</f>
        <v>1</v>
      </c>
      <c r="T1735" s="84" t="n">
        <f aca="false">IF(AND(ISNUMBER(O1735),ISNUMBER(P1735)),Coef_A+Coef_B1*O1735+Coef_B2*P1735,"")</f>
        <v>21.0147081230375</v>
      </c>
      <c r="U1735" s="84" t="n">
        <f aca="false">IF(AND(R1735=1,ISNUMBER(T1735)),E1735-T1735,"")</f>
        <v>-4.91470812303747</v>
      </c>
      <c r="V1735" s="84" t="n">
        <f aca="false">IF(ISNUMBER(T1735),T1735,-99)</f>
        <v>21.0147081230375</v>
      </c>
      <c r="W1735" s="84" t="n">
        <f aca="false">IF(ISNUMBER(U1735),ABS(U1735),"")</f>
        <v>4.91470812303747</v>
      </c>
    </row>
    <row r="1736" customFormat="false" ht="15" hidden="false" customHeight="false" outlineLevel="0" collapsed="false">
      <c r="A1736" s="57" t="n">
        <v>33045</v>
      </c>
      <c r="B1736" s="56" t="n">
        <v>1990</v>
      </c>
      <c r="C1736" s="56" t="n">
        <v>6</v>
      </c>
      <c r="D1736" s="56" t="n">
        <v>52</v>
      </c>
      <c r="E1736" s="56" t="n">
        <v>20.8</v>
      </c>
      <c r="F1736" s="56" t="n">
        <v>0</v>
      </c>
      <c r="G1736" s="56" t="n">
        <v>11.2</v>
      </c>
      <c r="H1736" s="56" t="n">
        <v>0</v>
      </c>
      <c r="I1736" s="56" t="n">
        <v>13.6</v>
      </c>
      <c r="J1736" s="56" t="n">
        <v>0</v>
      </c>
      <c r="K1736" s="56" t="n">
        <v>999.5</v>
      </c>
      <c r="L1736" s="56" t="n">
        <v>0</v>
      </c>
      <c r="M1736" s="56" t="n">
        <v>81</v>
      </c>
      <c r="N1736" s="56" t="n">
        <v>3.9</v>
      </c>
      <c r="O1736" s="56" t="n">
        <f aca="false">IF(D1736=1,"",E1735)</f>
        <v>16.1</v>
      </c>
      <c r="P1736" s="56" t="n">
        <f aca="false">IF(OR(D1736=1,K1735=""),"",K1735)</f>
        <v>1008.6</v>
      </c>
      <c r="Q1736" s="56" t="n">
        <f aca="false">IF(OR(F1736&lt;&gt;0,AND(I1736&lt;&gt;"",E1736&lt;I1736)),1,0)</f>
        <v>0</v>
      </c>
      <c r="R1736" s="56" t="n">
        <f aca="false">IF(AND(D1736&gt;1,Q1736=0,ISNUMBER(O1736),ISNUMBER(P1736)),IF(Q1735=0,1,0),0)</f>
        <v>1</v>
      </c>
      <c r="S1736" s="56" t="n">
        <f aca="false">R1736*(B1736&gt;=Train_Start)*(B1736&lt;=Train_End)</f>
        <v>1</v>
      </c>
      <c r="T1736" s="84" t="n">
        <f aca="false">IF(AND(ISNUMBER(O1736),ISNUMBER(P1736)),Coef_A+Coef_B1*O1736+Coef_B2*P1736,"")</f>
        <v>16.9180121578242</v>
      </c>
      <c r="U1736" s="84" t="n">
        <f aca="false">IF(AND(R1736=1,ISNUMBER(T1736)),E1736-T1736,"")</f>
        <v>3.88198784217581</v>
      </c>
      <c r="V1736" s="84" t="n">
        <f aca="false">IF(ISNUMBER(T1736),T1736,-99)</f>
        <v>16.9180121578242</v>
      </c>
      <c r="W1736" s="84" t="n">
        <f aca="false">IF(ISNUMBER(U1736),ABS(U1736),"")</f>
        <v>3.88198784217581</v>
      </c>
    </row>
    <row r="1737" customFormat="false" ht="15" hidden="false" customHeight="false" outlineLevel="0" collapsed="false">
      <c r="A1737" s="57" t="n">
        <v>33046</v>
      </c>
      <c r="B1737" s="56" t="n">
        <v>1990</v>
      </c>
      <c r="C1737" s="56" t="n">
        <v>6</v>
      </c>
      <c r="D1737" s="56" t="n">
        <v>53</v>
      </c>
      <c r="E1737" s="56" t="n">
        <v>19.4</v>
      </c>
      <c r="F1737" s="56" t="n">
        <v>0</v>
      </c>
      <c r="G1737" s="56" t="n">
        <v>10.7</v>
      </c>
      <c r="H1737" s="56" t="n">
        <v>0</v>
      </c>
      <c r="I1737" s="56" t="n">
        <v>15.8</v>
      </c>
      <c r="J1737" s="56" t="n">
        <v>0</v>
      </c>
      <c r="K1737" s="56" t="n">
        <v>998.9</v>
      </c>
      <c r="L1737" s="56" t="n">
        <v>0</v>
      </c>
      <c r="M1737" s="56" t="n">
        <v>73</v>
      </c>
      <c r="N1737" s="56" t="n">
        <v>6.5</v>
      </c>
      <c r="O1737" s="56" t="n">
        <f aca="false">IF(D1737=1,"",E1736)</f>
        <v>20.8</v>
      </c>
      <c r="P1737" s="56" t="n">
        <f aca="false">IF(OR(D1737=1,K1736=""),"",K1736)</f>
        <v>999.5</v>
      </c>
      <c r="Q1737" s="56" t="n">
        <f aca="false">IF(OR(F1737&lt;&gt;0,AND(I1737&lt;&gt;"",E1737&lt;I1737)),1,0)</f>
        <v>0</v>
      </c>
      <c r="R1737" s="56" t="n">
        <f aca="false">IF(AND(D1737&gt;1,Q1737=0,ISNUMBER(O1737),ISNUMBER(P1737)),IF(Q1736=0,1,0),0)</f>
        <v>1</v>
      </c>
      <c r="S1737" s="56" t="n">
        <f aca="false">R1737*(B1737&gt;=Train_Start)*(B1737&lt;=Train_End)</f>
        <v>1</v>
      </c>
      <c r="T1737" s="84" t="n">
        <f aca="false">IF(AND(ISNUMBER(O1737),ISNUMBER(P1737)),Coef_A+Coef_B1*O1737+Coef_B2*P1737,"")</f>
        <v>20.4834403239554</v>
      </c>
      <c r="U1737" s="84" t="n">
        <f aca="false">IF(AND(R1737=1,ISNUMBER(T1737)),E1737-T1737,"")</f>
        <v>-1.08344032395537</v>
      </c>
      <c r="V1737" s="84" t="n">
        <f aca="false">IF(ISNUMBER(T1737),T1737,-99)</f>
        <v>20.4834403239554</v>
      </c>
      <c r="W1737" s="84" t="n">
        <f aca="false">IF(ISNUMBER(U1737),ABS(U1737),"")</f>
        <v>1.08344032395537</v>
      </c>
    </row>
    <row r="1738" customFormat="false" ht="15" hidden="false" customHeight="false" outlineLevel="0" collapsed="false">
      <c r="A1738" s="57" t="n">
        <v>33047</v>
      </c>
      <c r="B1738" s="56" t="n">
        <v>1990</v>
      </c>
      <c r="C1738" s="56" t="n">
        <v>6</v>
      </c>
      <c r="D1738" s="56" t="n">
        <v>54</v>
      </c>
      <c r="E1738" s="56" t="n">
        <v>18.4</v>
      </c>
      <c r="F1738" s="56" t="n">
        <v>0</v>
      </c>
      <c r="G1738" s="56" t="n">
        <v>10.5</v>
      </c>
      <c r="H1738" s="56" t="n">
        <v>0</v>
      </c>
      <c r="I1738" s="56" t="n">
        <v>15</v>
      </c>
      <c r="J1738" s="56" t="n">
        <v>0</v>
      </c>
      <c r="K1738" s="56" t="n">
        <v>1012.3</v>
      </c>
      <c r="L1738" s="56" t="n">
        <v>0</v>
      </c>
      <c r="M1738" s="56" t="n">
        <v>69</v>
      </c>
      <c r="N1738" s="56" t="n">
        <v>7.2</v>
      </c>
      <c r="O1738" s="56" t="n">
        <f aca="false">IF(D1738=1,"",E1737)</f>
        <v>19.4</v>
      </c>
      <c r="P1738" s="56" t="n">
        <f aca="false">IF(OR(D1738=1,K1737=""),"",K1737)</f>
        <v>998.9</v>
      </c>
      <c r="Q1738" s="56" t="n">
        <f aca="false">IF(OR(F1738&lt;&gt;0,AND(I1738&lt;&gt;"",E1738&lt;I1738)),1,0)</f>
        <v>0</v>
      </c>
      <c r="R1738" s="56" t="n">
        <f aca="false">IF(AND(D1738&gt;1,Q1738=0,ISNUMBER(O1738),ISNUMBER(P1738)),IF(Q1737=0,1,0),0)</f>
        <v>1</v>
      </c>
      <c r="S1738" s="56" t="n">
        <f aca="false">R1738*(B1738&gt;=Train_Start)*(B1738&lt;=Train_End)</f>
        <v>1</v>
      </c>
      <c r="T1738" s="84" t="n">
        <f aca="false">IF(AND(ISNUMBER(O1738),ISNUMBER(P1738)),Coef_A+Coef_B1*O1738+Coef_B2*P1738,"")</f>
        <v>19.3175435169153</v>
      </c>
      <c r="U1738" s="84" t="n">
        <f aca="false">IF(AND(R1738=1,ISNUMBER(T1738)),E1738-T1738,"")</f>
        <v>-0.917543516915259</v>
      </c>
      <c r="V1738" s="84" t="n">
        <f aca="false">IF(ISNUMBER(T1738),T1738,-99)</f>
        <v>19.3175435169153</v>
      </c>
      <c r="W1738" s="84" t="n">
        <f aca="false">IF(ISNUMBER(U1738),ABS(U1738),"")</f>
        <v>0.917543516915259</v>
      </c>
    </row>
    <row r="1739" customFormat="false" ht="15" hidden="false" customHeight="false" outlineLevel="0" collapsed="false">
      <c r="A1739" s="57" t="n">
        <v>33048</v>
      </c>
      <c r="B1739" s="56" t="n">
        <v>1990</v>
      </c>
      <c r="C1739" s="56" t="n">
        <v>6</v>
      </c>
      <c r="D1739" s="56" t="n">
        <v>55</v>
      </c>
      <c r="E1739" s="56" t="n">
        <v>23.3</v>
      </c>
      <c r="F1739" s="56" t="n">
        <v>0</v>
      </c>
      <c r="G1739" s="56" t="n">
        <v>9.2</v>
      </c>
      <c r="H1739" s="56" t="n">
        <v>0</v>
      </c>
      <c r="I1739" s="56" t="n">
        <v>13.8</v>
      </c>
      <c r="J1739" s="56" t="n">
        <v>0</v>
      </c>
      <c r="K1739" s="56" t="n">
        <v>1019.8</v>
      </c>
      <c r="L1739" s="56" t="n">
        <v>0</v>
      </c>
      <c r="M1739" s="56" t="n">
        <v>75</v>
      </c>
      <c r="N1739" s="56" t="n">
        <v>5</v>
      </c>
      <c r="O1739" s="56" t="n">
        <f aca="false">IF(D1739=1,"",E1738)</f>
        <v>18.4</v>
      </c>
      <c r="P1739" s="56" t="n">
        <f aca="false">IF(OR(D1739=1,K1738=""),"",K1738)</f>
        <v>1012.3</v>
      </c>
      <c r="Q1739" s="56" t="n">
        <f aca="false">IF(OR(F1739&lt;&gt;0,AND(I1739&lt;&gt;"",E1739&lt;I1739)),1,0)</f>
        <v>0</v>
      </c>
      <c r="R1739" s="56" t="n">
        <f aca="false">IF(AND(D1739&gt;1,Q1739=0,ISNUMBER(O1739),ISNUMBER(P1739)),IF(Q1738=0,1,0),0)</f>
        <v>1</v>
      </c>
      <c r="S1739" s="56" t="n">
        <f aca="false">R1739*(B1739&gt;=Train_Start)*(B1739&lt;=Train_End)</f>
        <v>1</v>
      </c>
      <c r="T1739" s="84" t="n">
        <f aca="false">IF(AND(ISNUMBER(O1739),ISNUMBER(P1739)),Coef_A+Coef_B1*O1739+Coef_B2*P1739,"")</f>
        <v>18.9185609119681</v>
      </c>
      <c r="U1739" s="84" t="n">
        <f aca="false">IF(AND(R1739=1,ISNUMBER(T1739)),E1739-T1739,"")</f>
        <v>4.38143908803194</v>
      </c>
      <c r="V1739" s="84" t="n">
        <f aca="false">IF(ISNUMBER(T1739),T1739,-99)</f>
        <v>18.9185609119681</v>
      </c>
      <c r="W1739" s="84" t="n">
        <f aca="false">IF(ISNUMBER(U1739),ABS(U1739),"")</f>
        <v>4.38143908803194</v>
      </c>
    </row>
    <row r="1740" customFormat="false" ht="15" hidden="false" customHeight="false" outlineLevel="0" collapsed="false">
      <c r="A1740" s="57" t="n">
        <v>33049</v>
      </c>
      <c r="B1740" s="56" t="n">
        <v>1990</v>
      </c>
      <c r="C1740" s="56" t="n">
        <v>6</v>
      </c>
      <c r="D1740" s="56" t="n">
        <v>56</v>
      </c>
      <c r="E1740" s="56" t="n">
        <v>23.2</v>
      </c>
      <c r="F1740" s="56" t="n">
        <v>0</v>
      </c>
      <c r="G1740" s="56" t="n">
        <v>15.1</v>
      </c>
      <c r="H1740" s="56" t="n">
        <v>0</v>
      </c>
      <c r="I1740" s="56" t="n">
        <v>19.2</v>
      </c>
      <c r="J1740" s="56" t="n">
        <v>0</v>
      </c>
      <c r="K1740" s="56" t="n">
        <v>1021.4</v>
      </c>
      <c r="L1740" s="56" t="n">
        <v>0</v>
      </c>
      <c r="M1740" s="56" t="n">
        <v>78</v>
      </c>
      <c r="N1740" s="56" t="n">
        <v>2.2</v>
      </c>
      <c r="O1740" s="56" t="n">
        <f aca="false">IF(D1740=1,"",E1739)</f>
        <v>23.3</v>
      </c>
      <c r="P1740" s="56" t="n">
        <f aca="false">IF(OR(D1740=1,K1739=""),"",K1739)</f>
        <v>1019.8</v>
      </c>
      <c r="Q1740" s="56" t="n">
        <f aca="false">IF(OR(F1740&lt;&gt;0,AND(I1740&lt;&gt;"",E1740&lt;I1740)),1,0)</f>
        <v>0</v>
      </c>
      <c r="R1740" s="56" t="n">
        <f aca="false">IF(AND(D1740&gt;1,Q1740=0,ISNUMBER(O1740),ISNUMBER(P1740)),IF(Q1739=0,1,0),0)</f>
        <v>1</v>
      </c>
      <c r="S1740" s="56" t="n">
        <f aca="false">R1740*(B1740&gt;=Train_Start)*(B1740&lt;=Train_End)</f>
        <v>1</v>
      </c>
      <c r="T1740" s="84" t="n">
        <f aca="false">IF(AND(ISNUMBER(O1740),ISNUMBER(P1740)),Coef_A+Coef_B1*O1740+Coef_B2*P1740,"")</f>
        <v>23.168597167632</v>
      </c>
      <c r="U1740" s="84" t="n">
        <f aca="false">IF(AND(R1740=1,ISNUMBER(T1740)),E1740-T1740,"")</f>
        <v>0.0314028323679985</v>
      </c>
      <c r="V1740" s="84" t="n">
        <f aca="false">IF(ISNUMBER(T1740),T1740,-99)</f>
        <v>23.168597167632</v>
      </c>
      <c r="W1740" s="84" t="n">
        <f aca="false">IF(ISNUMBER(U1740),ABS(U1740),"")</f>
        <v>0.0314028323679985</v>
      </c>
    </row>
    <row r="1741" customFormat="false" ht="15" hidden="false" customHeight="false" outlineLevel="0" collapsed="false">
      <c r="A1741" s="57" t="n">
        <v>33050</v>
      </c>
      <c r="B1741" s="56" t="n">
        <v>1990</v>
      </c>
      <c r="C1741" s="56" t="n">
        <v>6</v>
      </c>
      <c r="D1741" s="56" t="n">
        <v>57</v>
      </c>
      <c r="E1741" s="56" t="n">
        <v>25.1</v>
      </c>
      <c r="F1741" s="56" t="n">
        <v>0</v>
      </c>
      <c r="G1741" s="56" t="n">
        <v>15.5</v>
      </c>
      <c r="H1741" s="56" t="n">
        <v>0</v>
      </c>
      <c r="I1741" s="56" t="n">
        <v>19.4</v>
      </c>
      <c r="J1741" s="56" t="n">
        <v>0</v>
      </c>
      <c r="K1741" s="56" t="n">
        <v>1018.9</v>
      </c>
      <c r="L1741" s="56" t="n">
        <v>0</v>
      </c>
      <c r="M1741" s="56" t="n">
        <v>81</v>
      </c>
      <c r="N1741" s="56" t="n">
        <v>1.5</v>
      </c>
      <c r="O1741" s="56" t="n">
        <f aca="false">IF(D1741=1,"",E1740)</f>
        <v>23.2</v>
      </c>
      <c r="P1741" s="56" t="n">
        <f aca="false">IF(OR(D1741=1,K1740=""),"",K1740)</f>
        <v>1021.4</v>
      </c>
      <c r="Q1741" s="56" t="n">
        <f aca="false">IF(OR(F1741&lt;&gt;0,AND(I1741&lt;&gt;"",E1741&lt;I1741)),1,0)</f>
        <v>0</v>
      </c>
      <c r="R1741" s="56" t="n">
        <f aca="false">IF(AND(D1741&gt;1,Q1741=0,ISNUMBER(O1741),ISNUMBER(P1741)),IF(Q1740=0,1,0),0)</f>
        <v>1</v>
      </c>
      <c r="S1741" s="56" t="n">
        <f aca="false">R1741*(B1741&gt;=Train_Start)*(B1741&lt;=Train_End)</f>
        <v>1</v>
      </c>
      <c r="T1741" s="84" t="n">
        <f aca="false">IF(AND(ISNUMBER(O1741),ISNUMBER(P1741)),Coef_A+Coef_B1*O1741+Coef_B2*P1741,"")</f>
        <v>23.1368550797421</v>
      </c>
      <c r="U1741" s="84" t="n">
        <f aca="false">IF(AND(R1741=1,ISNUMBER(T1741)),E1741-T1741,"")</f>
        <v>1.96314492025788</v>
      </c>
      <c r="V1741" s="84" t="n">
        <f aca="false">IF(ISNUMBER(T1741),T1741,-99)</f>
        <v>23.1368550797421</v>
      </c>
      <c r="W1741" s="84" t="n">
        <f aca="false">IF(ISNUMBER(U1741),ABS(U1741),"")</f>
        <v>1.96314492025788</v>
      </c>
    </row>
    <row r="1742" customFormat="false" ht="15" hidden="false" customHeight="false" outlineLevel="0" collapsed="false">
      <c r="A1742" s="57" t="n">
        <v>33051</v>
      </c>
      <c r="B1742" s="56" t="n">
        <v>1990</v>
      </c>
      <c r="C1742" s="56" t="n">
        <v>6</v>
      </c>
      <c r="D1742" s="56" t="n">
        <v>58</v>
      </c>
      <c r="E1742" s="56" t="n">
        <v>20.2</v>
      </c>
      <c r="F1742" s="56" t="n">
        <v>1</v>
      </c>
      <c r="G1742" s="56" t="n">
        <v>15.8</v>
      </c>
      <c r="H1742" s="56" t="n">
        <v>0</v>
      </c>
      <c r="I1742" s="56" t="n">
        <v>20.4</v>
      </c>
      <c r="J1742" s="56" t="n">
        <v>1</v>
      </c>
      <c r="K1742" s="56" t="n">
        <v>1012.8</v>
      </c>
      <c r="L1742" s="56" t="n">
        <v>0</v>
      </c>
      <c r="M1742" s="56" t="n">
        <v>72</v>
      </c>
      <c r="N1742" s="56" t="n">
        <v>7.1</v>
      </c>
      <c r="O1742" s="56" t="n">
        <f aca="false">IF(D1742=1,"",E1741)</f>
        <v>25.1</v>
      </c>
      <c r="P1742" s="56" t="n">
        <f aca="false">IF(OR(D1742=1,K1741=""),"",K1741)</f>
        <v>1018.9</v>
      </c>
      <c r="Q1742" s="56" t="n">
        <f aca="false">IF(OR(F1742&lt;&gt;0,AND(I1742&lt;&gt;"",E1742&lt;I1742)),1,0)</f>
        <v>1</v>
      </c>
      <c r="R1742" s="56" t="n">
        <f aca="false">IF(AND(D1742&gt;1,Q1742=0,ISNUMBER(O1742),ISNUMBER(P1742)),IF(Q1741=0,1,0),0)</f>
        <v>0</v>
      </c>
      <c r="S1742" s="56" t="n">
        <f aca="false">R1742*(B1742&gt;=Train_Start)*(B1742&lt;=Train_End)</f>
        <v>0</v>
      </c>
      <c r="T1742" s="84" t="n">
        <f aca="false">IF(AND(ISNUMBER(O1742),ISNUMBER(P1742)),Coef_A+Coef_B1*O1742+Coef_B2*P1742,"")</f>
        <v>24.6151748099382</v>
      </c>
      <c r="U1742" s="84" t="str">
        <f aca="false">IF(AND(R1742=1,ISNUMBER(T1742)),E1742-T1742,"")</f>
        <v/>
      </c>
      <c r="V1742" s="84" t="n">
        <f aca="false">IF(ISNUMBER(T1742),T1742,-99)</f>
        <v>24.6151748099382</v>
      </c>
      <c r="W1742" s="84" t="str">
        <f aca="false">IF(ISNUMBER(U1742),ABS(U1742),"")</f>
        <v/>
      </c>
    </row>
    <row r="1743" customFormat="false" ht="15" hidden="false" customHeight="false" outlineLevel="0" collapsed="false">
      <c r="A1743" s="57" t="n">
        <v>33052</v>
      </c>
      <c r="B1743" s="56" t="n">
        <v>1990</v>
      </c>
      <c r="C1743" s="56" t="n">
        <v>6</v>
      </c>
      <c r="D1743" s="56" t="n">
        <v>59</v>
      </c>
      <c r="E1743" s="56" t="n">
        <v>23.5</v>
      </c>
      <c r="F1743" s="56" t="n">
        <v>0</v>
      </c>
      <c r="G1743" s="56" t="n">
        <v>10.7</v>
      </c>
      <c r="H1743" s="56" t="n">
        <v>0</v>
      </c>
      <c r="I1743" s="56" t="n">
        <v>15.4</v>
      </c>
      <c r="J1743" s="56" t="n">
        <v>0</v>
      </c>
      <c r="K1743" s="56" t="n">
        <v>1016</v>
      </c>
      <c r="L1743" s="56" t="n">
        <v>0</v>
      </c>
      <c r="M1743" s="56" t="n">
        <v>66</v>
      </c>
      <c r="N1743" s="56" t="n">
        <v>4.2</v>
      </c>
      <c r="O1743" s="56" t="n">
        <f aca="false">IF(D1743=1,"",E1742)</f>
        <v>20.2</v>
      </c>
      <c r="P1743" s="56" t="n">
        <f aca="false">IF(OR(D1743=1,K1742=""),"",K1742)</f>
        <v>1012.8</v>
      </c>
      <c r="Q1743" s="56" t="n">
        <f aca="false">IF(OR(F1743&lt;&gt;0,AND(I1743&lt;&gt;"",E1743&lt;I1743)),1,0)</f>
        <v>0</v>
      </c>
      <c r="R1743" s="56" t="n">
        <f aca="false">IF(AND(D1743&gt;1,Q1743=0,ISNUMBER(O1743),ISNUMBER(P1743)),IF(Q1742=0,1,0),0)</f>
        <v>0</v>
      </c>
      <c r="S1743" s="56" t="n">
        <f aca="false">R1743*(B1743&gt;=Train_Start)*(B1743&lt;=Train_End)</f>
        <v>0</v>
      </c>
      <c r="T1743" s="84" t="n">
        <f aca="false">IF(AND(ISNUMBER(O1743),ISNUMBER(P1743)),Coef_A+Coef_B1*O1743+Coef_B2*P1743,"")</f>
        <v>20.4090564067618</v>
      </c>
      <c r="U1743" s="84" t="str">
        <f aca="false">IF(AND(R1743=1,ISNUMBER(T1743)),E1743-T1743,"")</f>
        <v/>
      </c>
      <c r="V1743" s="84" t="n">
        <f aca="false">IF(ISNUMBER(T1743),T1743,-99)</f>
        <v>20.4090564067618</v>
      </c>
      <c r="W1743" s="84" t="str">
        <f aca="false">IF(ISNUMBER(U1743),ABS(U1743),"")</f>
        <v/>
      </c>
    </row>
    <row r="1744" customFormat="false" ht="15" hidden="false" customHeight="false" outlineLevel="0" collapsed="false">
      <c r="A1744" s="57" t="n">
        <v>33053</v>
      </c>
      <c r="B1744" s="56" t="n">
        <v>1990</v>
      </c>
      <c r="C1744" s="56" t="n">
        <v>6</v>
      </c>
      <c r="D1744" s="56" t="n">
        <v>60</v>
      </c>
      <c r="E1744" s="56" t="n">
        <v>21.7</v>
      </c>
      <c r="F1744" s="56" t="n">
        <v>0</v>
      </c>
      <c r="G1744" s="56" t="n">
        <v>9.9</v>
      </c>
      <c r="H1744" s="56" t="n">
        <v>0</v>
      </c>
      <c r="I1744" s="56" t="n">
        <v>16.7</v>
      </c>
      <c r="J1744" s="56" t="n">
        <v>0</v>
      </c>
      <c r="K1744" s="56" t="n">
        <v>1015.8</v>
      </c>
      <c r="L1744" s="56" t="n">
        <v>0</v>
      </c>
      <c r="M1744" s="56" t="n">
        <v>61</v>
      </c>
      <c r="N1744" s="56" t="n">
        <v>8</v>
      </c>
      <c r="O1744" s="56" t="n">
        <f aca="false">IF(D1744=1,"",E1743)</f>
        <v>23.5</v>
      </c>
      <c r="P1744" s="56" t="n">
        <f aca="false">IF(OR(D1744=1,K1743=""),"",K1743)</f>
        <v>1016</v>
      </c>
      <c r="Q1744" s="56" t="n">
        <f aca="false">IF(OR(F1744&lt;&gt;0,AND(I1744&lt;&gt;"",E1744&lt;I1744)),1,0)</f>
        <v>0</v>
      </c>
      <c r="R1744" s="56" t="n">
        <f aca="false">IF(AND(D1744&gt;1,Q1744=0,ISNUMBER(O1744),ISNUMBER(P1744)),IF(Q1743=0,1,0),0)</f>
        <v>1</v>
      </c>
      <c r="S1744" s="56" t="n">
        <f aca="false">R1744*(B1744&gt;=Train_Start)*(B1744&lt;=Train_End)</f>
        <v>1</v>
      </c>
      <c r="T1744" s="84" t="n">
        <f aca="false">IF(AND(ISNUMBER(O1744),ISNUMBER(P1744)),Coef_A+Coef_B1*O1744+Coef_B2*P1744,"")</f>
        <v>23.2132594066314</v>
      </c>
      <c r="U1744" s="84" t="n">
        <f aca="false">IF(AND(R1744=1,ISNUMBER(T1744)),E1744-T1744,"")</f>
        <v>-1.51325940663137</v>
      </c>
      <c r="V1744" s="84" t="n">
        <f aca="false">IF(ISNUMBER(T1744),T1744,-99)</f>
        <v>23.2132594066314</v>
      </c>
      <c r="W1744" s="84" t="n">
        <f aca="false">IF(ISNUMBER(U1744),ABS(U1744),"")</f>
        <v>1.51325940663137</v>
      </c>
    </row>
    <row r="1745" customFormat="false" ht="15" hidden="false" customHeight="false" outlineLevel="0" collapsed="false">
      <c r="A1745" s="57" t="n">
        <v>33054</v>
      </c>
      <c r="B1745" s="56" t="n">
        <v>1990</v>
      </c>
      <c r="C1745" s="56" t="n">
        <v>6</v>
      </c>
      <c r="D1745" s="56" t="n">
        <v>61</v>
      </c>
      <c r="E1745" s="56" t="n">
        <v>18.9</v>
      </c>
      <c r="F1745" s="56" t="n">
        <v>0</v>
      </c>
      <c r="G1745" s="56" t="n">
        <v>15.1</v>
      </c>
      <c r="H1745" s="56" t="n">
        <v>0</v>
      </c>
      <c r="I1745" s="56" t="n">
        <v>18.4</v>
      </c>
      <c r="J1745" s="56" t="n">
        <v>0</v>
      </c>
      <c r="K1745" s="56" t="n">
        <v>1006.6</v>
      </c>
      <c r="L1745" s="56" t="n">
        <v>0</v>
      </c>
      <c r="M1745" s="56" t="n">
        <v>69</v>
      </c>
      <c r="N1745" s="56" t="n">
        <v>7.6</v>
      </c>
      <c r="O1745" s="56" t="n">
        <f aca="false">IF(D1745=1,"",E1744)</f>
        <v>21.7</v>
      </c>
      <c r="P1745" s="56" t="n">
        <f aca="false">IF(OR(D1745=1,K1744=""),"",K1744)</f>
        <v>1015.8</v>
      </c>
      <c r="Q1745" s="56" t="n">
        <f aca="false">IF(OR(F1745&lt;&gt;0,AND(I1745&lt;&gt;"",E1745&lt;I1745)),1,0)</f>
        <v>0</v>
      </c>
      <c r="R1745" s="56" t="n">
        <f aca="false">IF(AND(D1745&gt;1,Q1745=0,ISNUMBER(O1745),ISNUMBER(P1745)),IF(Q1744=0,1,0),0)</f>
        <v>1</v>
      </c>
      <c r="S1745" s="56" t="n">
        <f aca="false">R1745*(B1745&gt;=Train_Start)*(B1745&lt;=Train_End)</f>
        <v>1</v>
      </c>
      <c r="T1745" s="84" t="n">
        <f aca="false">IF(AND(ISNUMBER(O1745),ISNUMBER(P1745)),Coef_A+Coef_B1*O1745+Coef_B2*P1745,"")</f>
        <v>21.7321748802278</v>
      </c>
      <c r="U1745" s="84" t="n">
        <f aca="false">IF(AND(R1745=1,ISNUMBER(T1745)),E1745-T1745,"")</f>
        <v>-2.83217488022779</v>
      </c>
      <c r="V1745" s="84" t="n">
        <f aca="false">IF(ISNUMBER(T1745),T1745,-99)</f>
        <v>21.7321748802278</v>
      </c>
      <c r="W1745" s="84" t="n">
        <f aca="false">IF(ISNUMBER(U1745),ABS(U1745),"")</f>
        <v>2.83217488022779</v>
      </c>
    </row>
    <row r="1746" customFormat="false" ht="15" hidden="false" customHeight="false" outlineLevel="0" collapsed="false">
      <c r="A1746" s="57" t="n">
        <v>33055</v>
      </c>
      <c r="B1746" s="56" t="n">
        <v>1990</v>
      </c>
      <c r="C1746" s="56" t="n">
        <v>7</v>
      </c>
      <c r="D1746" s="56" t="n">
        <v>62</v>
      </c>
      <c r="E1746" s="56" t="n">
        <v>19.6</v>
      </c>
      <c r="F1746" s="56" t="n">
        <v>0</v>
      </c>
      <c r="G1746" s="56" t="n">
        <v>13.1</v>
      </c>
      <c r="H1746" s="56" t="n">
        <v>0</v>
      </c>
      <c r="I1746" s="56" t="n">
        <v>16</v>
      </c>
      <c r="J1746" s="56" t="n">
        <v>0</v>
      </c>
      <c r="K1746" s="56" t="n">
        <v>1006.3</v>
      </c>
      <c r="L1746" s="56" t="n">
        <v>0</v>
      </c>
      <c r="M1746" s="56" t="n">
        <v>74</v>
      </c>
      <c r="N1746" s="56" t="n">
        <v>3.4</v>
      </c>
      <c r="O1746" s="56" t="n">
        <f aca="false">IF(D1746=1,"",E1745)</f>
        <v>18.9</v>
      </c>
      <c r="P1746" s="56" t="n">
        <f aca="false">IF(OR(D1746=1,K1745=""),"",K1745)</f>
        <v>1006.6</v>
      </c>
      <c r="Q1746" s="56" t="n">
        <f aca="false">IF(OR(F1746&lt;&gt;0,AND(I1746&lt;&gt;"",E1746&lt;I1746)),1,0)</f>
        <v>0</v>
      </c>
      <c r="R1746" s="56" t="n">
        <f aca="false">IF(AND(D1746&gt;1,Q1746=0,ISNUMBER(O1746),ISNUMBER(P1746)),IF(Q1745=0,1,0),0)</f>
        <v>1</v>
      </c>
      <c r="S1746" s="56" t="n">
        <f aca="false">R1746*(B1746&gt;=Train_Start)*(B1746&lt;=Train_End)</f>
        <v>1</v>
      </c>
      <c r="T1746" s="84" t="n">
        <f aca="false">IF(AND(ISNUMBER(O1746),ISNUMBER(P1746)),Coef_A+Coef_B1*O1746+Coef_B2*P1746,"")</f>
        <v>19.1494221090757</v>
      </c>
      <c r="U1746" s="84" t="n">
        <f aca="false">IF(AND(R1746=1,ISNUMBER(T1746)),E1746-T1746,"")</f>
        <v>0.45057789092435</v>
      </c>
      <c r="V1746" s="84" t="n">
        <f aca="false">IF(ISNUMBER(T1746),T1746,-99)</f>
        <v>19.1494221090757</v>
      </c>
      <c r="W1746" s="84" t="n">
        <f aca="false">IF(ISNUMBER(U1746),ABS(U1746),"")</f>
        <v>0.45057789092435</v>
      </c>
    </row>
    <row r="1747" customFormat="false" ht="15" hidden="false" customHeight="false" outlineLevel="0" collapsed="false">
      <c r="A1747" s="57" t="n">
        <v>33056</v>
      </c>
      <c r="B1747" s="56" t="n">
        <v>1990</v>
      </c>
      <c r="C1747" s="56" t="n">
        <v>7</v>
      </c>
      <c r="D1747" s="56" t="n">
        <v>63</v>
      </c>
      <c r="E1747" s="56" t="n">
        <v>20.2</v>
      </c>
      <c r="F1747" s="56" t="n">
        <v>0</v>
      </c>
      <c r="G1747" s="56" t="n">
        <v>8.2</v>
      </c>
      <c r="H1747" s="56" t="n">
        <v>0</v>
      </c>
      <c r="I1747" s="56" t="n">
        <v>13.9</v>
      </c>
      <c r="J1747" s="56" t="n">
        <v>0</v>
      </c>
      <c r="K1747" s="56" t="n">
        <v>1012.5</v>
      </c>
      <c r="L1747" s="56" t="n">
        <v>0</v>
      </c>
      <c r="M1747" s="56" t="n">
        <v>60</v>
      </c>
      <c r="N1747" s="56" t="n">
        <v>9.5</v>
      </c>
      <c r="O1747" s="56" t="n">
        <f aca="false">IF(D1747=1,"",E1746)</f>
        <v>19.6</v>
      </c>
      <c r="P1747" s="56" t="n">
        <f aca="false">IF(OR(D1747=1,K1746=""),"",K1746)</f>
        <v>1006.3</v>
      </c>
      <c r="Q1747" s="56" t="n">
        <f aca="false">IF(OR(F1747&lt;&gt;0,AND(I1747&lt;&gt;"",E1747&lt;I1747)),1,0)</f>
        <v>0</v>
      </c>
      <c r="R1747" s="56" t="n">
        <f aca="false">IF(AND(D1747&gt;1,Q1747=0,ISNUMBER(O1747),ISNUMBER(P1747)),IF(Q1746=0,1,0),0)</f>
        <v>1</v>
      </c>
      <c r="S1747" s="56" t="n">
        <f aca="false">R1747*(B1747&gt;=Train_Start)*(B1747&lt;=Train_End)</f>
        <v>1</v>
      </c>
      <c r="T1747" s="84" t="n">
        <f aca="false">IF(AND(ISNUMBER(O1747),ISNUMBER(P1747)),Coef_A+Coef_B1*O1747+Coef_B2*P1747,"")</f>
        <v>19.7135485758153</v>
      </c>
      <c r="U1747" s="84" t="n">
        <f aca="false">IF(AND(R1747=1,ISNUMBER(T1747)),E1747-T1747,"")</f>
        <v>0.486451424184686</v>
      </c>
      <c r="V1747" s="84" t="n">
        <f aca="false">IF(ISNUMBER(T1747),T1747,-99)</f>
        <v>19.7135485758153</v>
      </c>
      <c r="W1747" s="84" t="n">
        <f aca="false">IF(ISNUMBER(U1747),ABS(U1747),"")</f>
        <v>0.486451424184686</v>
      </c>
    </row>
    <row r="1748" customFormat="false" ht="15" hidden="false" customHeight="false" outlineLevel="0" collapsed="false">
      <c r="A1748" s="57" t="n">
        <v>33057</v>
      </c>
      <c r="B1748" s="56" t="n">
        <v>1990</v>
      </c>
      <c r="C1748" s="56" t="n">
        <v>7</v>
      </c>
      <c r="D1748" s="56" t="n">
        <v>64</v>
      </c>
      <c r="E1748" s="56" t="n">
        <v>18</v>
      </c>
      <c r="F1748" s="56" t="n">
        <v>0</v>
      </c>
      <c r="G1748" s="56" t="n">
        <v>7.8</v>
      </c>
      <c r="H1748" s="56" t="n">
        <v>0</v>
      </c>
      <c r="I1748" s="56" t="n">
        <v>14</v>
      </c>
      <c r="J1748" s="56" t="n">
        <v>0</v>
      </c>
      <c r="K1748" s="56" t="n">
        <v>1015.6</v>
      </c>
      <c r="L1748" s="56" t="n">
        <v>0</v>
      </c>
      <c r="M1748" s="56" t="n">
        <v>56</v>
      </c>
      <c r="N1748" s="56" t="n">
        <v>11</v>
      </c>
      <c r="O1748" s="56" t="n">
        <f aca="false">IF(D1748=1,"",E1747)</f>
        <v>20.2</v>
      </c>
      <c r="P1748" s="56" t="n">
        <f aca="false">IF(OR(D1748=1,K1747=""),"",K1747)</f>
        <v>1012.5</v>
      </c>
      <c r="Q1748" s="56" t="n">
        <f aca="false">IF(OR(F1748&lt;&gt;0,AND(I1748&lt;&gt;"",E1748&lt;I1748)),1,0)</f>
        <v>0</v>
      </c>
      <c r="R1748" s="56" t="n">
        <f aca="false">IF(AND(D1748&gt;1,Q1748=0,ISNUMBER(O1748),ISNUMBER(P1748)),IF(Q1747=0,1,0),0)</f>
        <v>1</v>
      </c>
      <c r="S1748" s="56" t="n">
        <f aca="false">R1748*(B1748&gt;=Train_Start)*(B1748&lt;=Train_End)</f>
        <v>1</v>
      </c>
      <c r="T1748" s="84" t="n">
        <f aca="false">IF(AND(ISNUMBER(O1748),ISNUMBER(P1748)),Coef_A+Coef_B1*O1748+Coef_B2*P1748,"")</f>
        <v>20.3996454383716</v>
      </c>
      <c r="U1748" s="84" t="n">
        <f aca="false">IF(AND(R1748=1,ISNUMBER(T1748)),E1748-T1748,"")</f>
        <v>-2.39964543837164</v>
      </c>
      <c r="V1748" s="84" t="n">
        <f aca="false">IF(ISNUMBER(T1748),T1748,-99)</f>
        <v>20.3996454383716</v>
      </c>
      <c r="W1748" s="84" t="n">
        <f aca="false">IF(ISNUMBER(U1748),ABS(U1748),"")</f>
        <v>2.39964543837164</v>
      </c>
    </row>
    <row r="1749" customFormat="false" ht="15" hidden="false" customHeight="false" outlineLevel="0" collapsed="false">
      <c r="A1749" s="57" t="n">
        <v>33058</v>
      </c>
      <c r="B1749" s="56" t="n">
        <v>1990</v>
      </c>
      <c r="C1749" s="56" t="n">
        <v>7</v>
      </c>
      <c r="D1749" s="56" t="n">
        <v>65</v>
      </c>
      <c r="E1749" s="56" t="n">
        <v>18.8</v>
      </c>
      <c r="F1749" s="56" t="n">
        <v>0</v>
      </c>
      <c r="G1749" s="56" t="n">
        <v>11.4</v>
      </c>
      <c r="H1749" s="56" t="n">
        <v>0</v>
      </c>
      <c r="I1749" s="56" t="n">
        <v>14.7</v>
      </c>
      <c r="J1749" s="56" t="n">
        <v>0</v>
      </c>
      <c r="K1749" s="56" t="n">
        <v>1007</v>
      </c>
      <c r="L1749" s="56" t="n">
        <v>0</v>
      </c>
      <c r="M1749" s="56" t="n">
        <v>83</v>
      </c>
      <c r="N1749" s="56" t="n">
        <v>2.2</v>
      </c>
      <c r="O1749" s="56" t="n">
        <f aca="false">IF(D1749=1,"",E1748)</f>
        <v>18</v>
      </c>
      <c r="P1749" s="56" t="n">
        <f aca="false">IF(OR(D1749=1,K1748=""),"",K1748)</f>
        <v>1015.6</v>
      </c>
      <c r="Q1749" s="56" t="n">
        <f aca="false">IF(OR(F1749&lt;&gt;0,AND(I1749&lt;&gt;"",E1749&lt;I1749)),1,0)</f>
        <v>0</v>
      </c>
      <c r="R1749" s="56" t="n">
        <f aca="false">IF(AND(D1749&gt;1,Q1749=0,ISNUMBER(O1749),ISNUMBER(P1749)),IF(Q1748=0,1,0),0)</f>
        <v>1</v>
      </c>
      <c r="S1749" s="56" t="n">
        <f aca="false">R1749*(B1749&gt;=Train_Start)*(B1749&lt;=Train_End)</f>
        <v>1</v>
      </c>
      <c r="T1749" s="84" t="n">
        <f aca="false">IF(AND(ISNUMBER(O1749),ISNUMBER(P1749)),Coef_A+Coef_B1*O1749+Coef_B2*P1749,"")</f>
        <v>18.6943458870432</v>
      </c>
      <c r="U1749" s="84" t="n">
        <f aca="false">IF(AND(R1749=1,ISNUMBER(T1749)),E1749-T1749,"")</f>
        <v>0.105654112956838</v>
      </c>
      <c r="V1749" s="84" t="n">
        <f aca="false">IF(ISNUMBER(T1749),T1749,-99)</f>
        <v>18.6943458870432</v>
      </c>
      <c r="W1749" s="84" t="n">
        <f aca="false">IF(ISNUMBER(U1749),ABS(U1749),"")</f>
        <v>0.105654112956838</v>
      </c>
    </row>
    <row r="1750" customFormat="false" ht="15" hidden="false" customHeight="false" outlineLevel="0" collapsed="false">
      <c r="A1750" s="57" t="n">
        <v>33059</v>
      </c>
      <c r="B1750" s="56" t="n">
        <v>1990</v>
      </c>
      <c r="C1750" s="56" t="n">
        <v>7</v>
      </c>
      <c r="D1750" s="56" t="n">
        <v>66</v>
      </c>
      <c r="E1750" s="56" t="n">
        <v>20.2</v>
      </c>
      <c r="F1750" s="56" t="n">
        <v>0</v>
      </c>
      <c r="G1750" s="56" t="n">
        <v>11.5</v>
      </c>
      <c r="H1750" s="56" t="n">
        <v>0</v>
      </c>
      <c r="I1750" s="56" t="n">
        <v>15.2</v>
      </c>
      <c r="J1750" s="56" t="n">
        <v>0</v>
      </c>
      <c r="K1750" s="56" t="n">
        <v>1000.6</v>
      </c>
      <c r="L1750" s="56" t="n">
        <v>0</v>
      </c>
      <c r="M1750" s="56" t="n">
        <v>68</v>
      </c>
      <c r="N1750" s="56" t="n">
        <v>2.9</v>
      </c>
      <c r="O1750" s="56" t="n">
        <f aca="false">IF(D1750=1,"",E1749)</f>
        <v>18.8</v>
      </c>
      <c r="P1750" s="56" t="n">
        <f aca="false">IF(OR(D1750=1,K1749=""),"",K1749)</f>
        <v>1007</v>
      </c>
      <c r="Q1750" s="56" t="n">
        <f aca="false">IF(OR(F1750&lt;&gt;0,AND(I1750&lt;&gt;"",E1750&lt;I1750)),1,0)</f>
        <v>0</v>
      </c>
      <c r="R1750" s="56" t="n">
        <f aca="false">IF(AND(D1750&gt;1,Q1750=0,ISNUMBER(O1750),ISNUMBER(P1750)),IF(Q1749=0,1,0),0)</f>
        <v>1</v>
      </c>
      <c r="S1750" s="56" t="n">
        <f aca="false">R1750*(B1750&gt;=Train_Start)*(B1750&lt;=Train_End)</f>
        <v>1</v>
      </c>
      <c r="T1750" s="84" t="n">
        <f aca="false">IF(AND(ISNUMBER(O1750),ISNUMBER(P1750)),Coef_A+Coef_B1*O1750+Coef_B2*P1750,"")</f>
        <v>19.080036147625</v>
      </c>
      <c r="U1750" s="84" t="n">
        <f aca="false">IF(AND(R1750=1,ISNUMBER(T1750)),E1750-T1750,"")</f>
        <v>1.11996385237502</v>
      </c>
      <c r="V1750" s="84" t="n">
        <f aca="false">IF(ISNUMBER(T1750),T1750,-99)</f>
        <v>19.080036147625</v>
      </c>
      <c r="W1750" s="84" t="n">
        <f aca="false">IF(ISNUMBER(U1750),ABS(U1750),"")</f>
        <v>1.11996385237502</v>
      </c>
    </row>
    <row r="1751" customFormat="false" ht="15" hidden="false" customHeight="false" outlineLevel="0" collapsed="false">
      <c r="A1751" s="57" t="n">
        <v>33060</v>
      </c>
      <c r="B1751" s="56" t="n">
        <v>1990</v>
      </c>
      <c r="C1751" s="56" t="n">
        <v>7</v>
      </c>
      <c r="D1751" s="56" t="n">
        <v>67</v>
      </c>
      <c r="E1751" s="56" t="n">
        <v>23.3</v>
      </c>
      <c r="F1751" s="56" t="n">
        <v>0</v>
      </c>
      <c r="G1751" s="56" t="n">
        <v>8.5</v>
      </c>
      <c r="H1751" s="56" t="n">
        <v>0</v>
      </c>
      <c r="I1751" s="56" t="n">
        <v>14.4</v>
      </c>
      <c r="J1751" s="56" t="n">
        <v>0</v>
      </c>
      <c r="K1751" s="56" t="n">
        <v>1018.3</v>
      </c>
      <c r="L1751" s="56" t="n">
        <v>0</v>
      </c>
      <c r="M1751" s="56" t="n">
        <v>62</v>
      </c>
      <c r="N1751" s="56" t="n">
        <v>4.9</v>
      </c>
      <c r="O1751" s="56" t="n">
        <f aca="false">IF(D1751=1,"",E1750)</f>
        <v>20.2</v>
      </c>
      <c r="P1751" s="56" t="n">
        <f aca="false">IF(OR(D1751=1,K1750=""),"",K1750)</f>
        <v>1000.6</v>
      </c>
      <c r="Q1751" s="56" t="n">
        <f aca="false">IF(OR(F1751&lt;&gt;0,AND(I1751&lt;&gt;"",E1751&lt;I1751)),1,0)</f>
        <v>0</v>
      </c>
      <c r="R1751" s="56" t="n">
        <f aca="false">IF(AND(D1751&gt;1,Q1751=0,ISNUMBER(O1751),ISNUMBER(P1751)),IF(Q1750=0,1,0),0)</f>
        <v>1</v>
      </c>
      <c r="S1751" s="56" t="n">
        <f aca="false">R1751*(B1751&gt;=Train_Start)*(B1751&lt;=Train_End)</f>
        <v>1</v>
      </c>
      <c r="T1751" s="84" t="n">
        <f aca="false">IF(AND(ISNUMBER(O1751),ISNUMBER(P1751)),Coef_A+Coef_B1*O1751+Coef_B2*P1751,"")</f>
        <v>20.0263436922272</v>
      </c>
      <c r="U1751" s="84" t="n">
        <f aca="false">IF(AND(R1751=1,ISNUMBER(T1751)),E1751-T1751,"")</f>
        <v>3.27365630777284</v>
      </c>
      <c r="V1751" s="84" t="n">
        <f aca="false">IF(ISNUMBER(T1751),T1751,-99)</f>
        <v>20.0263436922272</v>
      </c>
      <c r="W1751" s="84" t="n">
        <f aca="false">IF(ISNUMBER(U1751),ABS(U1751),"")</f>
        <v>3.27365630777284</v>
      </c>
    </row>
    <row r="1752" customFormat="false" ht="15" hidden="false" customHeight="false" outlineLevel="0" collapsed="false">
      <c r="A1752" s="57" t="n">
        <v>33061</v>
      </c>
      <c r="B1752" s="56" t="n">
        <v>1990</v>
      </c>
      <c r="C1752" s="56" t="n">
        <v>7</v>
      </c>
      <c r="D1752" s="56" t="n">
        <v>68</v>
      </c>
      <c r="E1752" s="56" t="n">
        <v>26.8</v>
      </c>
      <c r="F1752" s="56" t="n">
        <v>0</v>
      </c>
      <c r="G1752" s="56" t="n">
        <v>12.5</v>
      </c>
      <c r="H1752" s="56" t="n">
        <v>0</v>
      </c>
      <c r="I1752" s="56" t="n">
        <v>17.9</v>
      </c>
      <c r="J1752" s="56" t="n">
        <v>0</v>
      </c>
      <c r="K1752" s="56" t="n">
        <v>1016.2</v>
      </c>
      <c r="L1752" s="56" t="n">
        <v>0</v>
      </c>
      <c r="M1752" s="56" t="n">
        <v>82</v>
      </c>
      <c r="N1752" s="56" t="n">
        <v>1.6</v>
      </c>
      <c r="O1752" s="56" t="n">
        <f aca="false">IF(D1752=1,"",E1751)</f>
        <v>23.3</v>
      </c>
      <c r="P1752" s="56" t="n">
        <f aca="false">IF(OR(D1752=1,K1751=""),"",K1751)</f>
        <v>1018.3</v>
      </c>
      <c r="Q1752" s="56" t="n">
        <f aca="false">IF(OR(F1752&lt;&gt;0,AND(I1752&lt;&gt;"",E1752&lt;I1752)),1,0)</f>
        <v>0</v>
      </c>
      <c r="R1752" s="56" t="n">
        <f aca="false">IF(AND(D1752&gt;1,Q1752=0,ISNUMBER(O1752),ISNUMBER(P1752)),IF(Q1751=0,1,0),0)</f>
        <v>1</v>
      </c>
      <c r="S1752" s="56" t="n">
        <f aca="false">R1752*(B1752&gt;=Train_Start)*(B1752&lt;=Train_End)</f>
        <v>1</v>
      </c>
      <c r="T1752" s="84" t="n">
        <f aca="false">IF(AND(ISNUMBER(O1752),ISNUMBER(P1752)),Coef_A+Coef_B1*O1752+Coef_B2*P1752,"")</f>
        <v>23.121542325681</v>
      </c>
      <c r="U1752" s="84" t="n">
        <f aca="false">IF(AND(R1752=1,ISNUMBER(T1752)),E1752-T1752,"")</f>
        <v>3.67845767431898</v>
      </c>
      <c r="V1752" s="84" t="n">
        <f aca="false">IF(ISNUMBER(T1752),T1752,-99)</f>
        <v>23.121542325681</v>
      </c>
      <c r="W1752" s="84" t="n">
        <f aca="false">IF(ISNUMBER(U1752),ABS(U1752),"")</f>
        <v>3.67845767431898</v>
      </c>
    </row>
    <row r="1753" customFormat="false" ht="15" hidden="false" customHeight="false" outlineLevel="0" collapsed="false">
      <c r="A1753" s="57" t="n">
        <v>33062</v>
      </c>
      <c r="B1753" s="56" t="n">
        <v>1990</v>
      </c>
      <c r="C1753" s="56" t="n">
        <v>7</v>
      </c>
      <c r="D1753" s="56" t="n">
        <v>69</v>
      </c>
      <c r="E1753" s="56" t="n">
        <v>18.3</v>
      </c>
      <c r="F1753" s="56" t="n">
        <v>1</v>
      </c>
      <c r="G1753" s="56" t="n">
        <v>16.4</v>
      </c>
      <c r="H1753" s="56" t="n">
        <v>0</v>
      </c>
      <c r="I1753" s="56" t="n">
        <v>21.6</v>
      </c>
      <c r="J1753" s="56" t="n">
        <v>1</v>
      </c>
      <c r="K1753" s="56" t="n">
        <v>1013</v>
      </c>
      <c r="L1753" s="56" t="n">
        <v>0</v>
      </c>
      <c r="M1753" s="56" t="n">
        <v>64</v>
      </c>
      <c r="N1753" s="56" t="n">
        <v>9.4</v>
      </c>
      <c r="O1753" s="56" t="n">
        <f aca="false">IF(D1753=1,"",E1752)</f>
        <v>26.8</v>
      </c>
      <c r="P1753" s="56" t="n">
        <f aca="false">IF(OR(D1753=1,K1752=""),"",K1752)</f>
        <v>1016.2</v>
      </c>
      <c r="Q1753" s="56" t="n">
        <f aca="false">IF(OR(F1753&lt;&gt;0,AND(I1753&lt;&gt;"",E1753&lt;I1753)),1,0)</f>
        <v>1</v>
      </c>
      <c r="R1753" s="56" t="n">
        <f aca="false">IF(AND(D1753&gt;1,Q1753=0,ISNUMBER(O1753),ISNUMBER(P1753)),IF(Q1752=0,1,0),0)</f>
        <v>0</v>
      </c>
      <c r="S1753" s="56" t="n">
        <f aca="false">R1753*(B1753&gt;=Train_Start)*(B1753&lt;=Train_End)</f>
        <v>0</v>
      </c>
      <c r="T1753" s="84" t="n">
        <f aca="false">IF(AND(ISNUMBER(O1753),ISNUMBER(P1753)),Coef_A+Coef_B1*O1753+Coef_B2*P1753,"")</f>
        <v>25.9233527225989</v>
      </c>
      <c r="U1753" s="84" t="str">
        <f aca="false">IF(AND(R1753=1,ISNUMBER(T1753)),E1753-T1753,"")</f>
        <v/>
      </c>
      <c r="V1753" s="84" t="n">
        <f aca="false">IF(ISNUMBER(T1753),T1753,-99)</f>
        <v>25.9233527225989</v>
      </c>
      <c r="W1753" s="84" t="str">
        <f aca="false">IF(ISNUMBER(U1753),ABS(U1753),"")</f>
        <v/>
      </c>
    </row>
    <row r="1754" customFormat="false" ht="15" hidden="false" customHeight="false" outlineLevel="0" collapsed="false">
      <c r="A1754" s="57" t="n">
        <v>33063</v>
      </c>
      <c r="B1754" s="56" t="n">
        <v>1990</v>
      </c>
      <c r="C1754" s="56" t="n">
        <v>7</v>
      </c>
      <c r="D1754" s="56" t="n">
        <v>70</v>
      </c>
      <c r="E1754" s="56" t="n">
        <v>20.1</v>
      </c>
      <c r="F1754" s="56" t="n">
        <v>0</v>
      </c>
      <c r="G1754" s="56" t="n">
        <v>12</v>
      </c>
      <c r="H1754" s="56" t="n">
        <v>0</v>
      </c>
      <c r="I1754" s="56" t="n">
        <v>15.2</v>
      </c>
      <c r="J1754" s="56" t="n">
        <v>0</v>
      </c>
      <c r="K1754" s="56" t="n">
        <v>1015.5</v>
      </c>
      <c r="L1754" s="56" t="n">
        <v>0</v>
      </c>
      <c r="M1754" s="56" t="n">
        <v>61</v>
      </c>
      <c r="N1754" s="56" t="n">
        <v>2.4</v>
      </c>
      <c r="O1754" s="56" t="n">
        <f aca="false">IF(D1754=1,"",E1753)</f>
        <v>18.3</v>
      </c>
      <c r="P1754" s="56" t="n">
        <f aca="false">IF(OR(D1754=1,K1753=""),"",K1753)</f>
        <v>1013</v>
      </c>
      <c r="Q1754" s="56" t="n">
        <f aca="false">IF(OR(F1754&lt;&gt;0,AND(I1754&lt;&gt;"",E1754&lt;I1754)),1,0)</f>
        <v>0</v>
      </c>
      <c r="R1754" s="56" t="n">
        <f aca="false">IF(AND(D1754&gt;1,Q1754=0,ISNUMBER(O1754),ISNUMBER(P1754)),IF(Q1753=0,1,0),0)</f>
        <v>0</v>
      </c>
      <c r="S1754" s="56" t="n">
        <f aca="false">R1754*(B1754&gt;=Train_Start)*(B1754&lt;=Train_End)</f>
        <v>0</v>
      </c>
      <c r="T1754" s="84" t="n">
        <f aca="false">IF(AND(ISNUMBER(O1754),ISNUMBER(P1754)),Coef_A+Coef_B1*O1754+Coef_B2*P1754,"")</f>
        <v>18.8585859189076</v>
      </c>
      <c r="U1754" s="84" t="str">
        <f aca="false">IF(AND(R1754=1,ISNUMBER(T1754)),E1754-T1754,"")</f>
        <v/>
      </c>
      <c r="V1754" s="84" t="n">
        <f aca="false">IF(ISNUMBER(T1754),T1754,-99)</f>
        <v>18.8585859189076</v>
      </c>
      <c r="W1754" s="84" t="str">
        <f aca="false">IF(ISNUMBER(U1754),ABS(U1754),"")</f>
        <v/>
      </c>
    </row>
    <row r="1755" customFormat="false" ht="15" hidden="false" customHeight="false" outlineLevel="0" collapsed="false">
      <c r="A1755" s="57" t="n">
        <v>33064</v>
      </c>
      <c r="B1755" s="56" t="n">
        <v>1990</v>
      </c>
      <c r="C1755" s="56" t="n">
        <v>7</v>
      </c>
      <c r="D1755" s="56" t="n">
        <v>71</v>
      </c>
      <c r="E1755" s="56" t="n">
        <v>27.3</v>
      </c>
      <c r="F1755" s="56" t="n">
        <v>0</v>
      </c>
      <c r="G1755" s="56" t="n">
        <v>10.7</v>
      </c>
      <c r="H1755" s="56" t="n">
        <v>0</v>
      </c>
      <c r="I1755" s="56" t="n">
        <v>15.4</v>
      </c>
      <c r="J1755" s="56" t="n">
        <v>0</v>
      </c>
      <c r="K1755" s="56" t="n">
        <v>1024.9</v>
      </c>
      <c r="L1755" s="56" t="n">
        <v>0</v>
      </c>
      <c r="M1755" s="56" t="n">
        <v>57</v>
      </c>
      <c r="N1755" s="56" t="n">
        <v>8.6</v>
      </c>
      <c r="O1755" s="56" t="n">
        <f aca="false">IF(D1755=1,"",E1754)</f>
        <v>20.1</v>
      </c>
      <c r="P1755" s="56" t="n">
        <f aca="false">IF(OR(D1755=1,K1754=""),"",K1754)</f>
        <v>1015.5</v>
      </c>
      <c r="Q1755" s="56" t="n">
        <f aca="false">IF(OR(F1755&lt;&gt;0,AND(I1755&lt;&gt;"",E1755&lt;I1755)),1,0)</f>
        <v>0</v>
      </c>
      <c r="R1755" s="56" t="n">
        <f aca="false">IF(AND(D1755&gt;1,Q1755=0,ISNUMBER(O1755),ISNUMBER(P1755)),IF(Q1754=0,1,0),0)</f>
        <v>1</v>
      </c>
      <c r="S1755" s="56" t="n">
        <f aca="false">R1755*(B1755&gt;=Train_Start)*(B1755&lt;=Train_End)</f>
        <v>1</v>
      </c>
      <c r="T1755" s="84" t="n">
        <f aca="false">IF(AND(ISNUMBER(O1755),ISNUMBER(P1755)),Coef_A+Coef_B1*O1755+Coef_B2*P1755,"")</f>
        <v>20.4118212029693</v>
      </c>
      <c r="U1755" s="84" t="n">
        <f aca="false">IF(AND(R1755=1,ISNUMBER(T1755)),E1755-T1755,"")</f>
        <v>6.88817879703066</v>
      </c>
      <c r="V1755" s="84" t="n">
        <f aca="false">IF(ISNUMBER(T1755),T1755,-99)</f>
        <v>20.4118212029693</v>
      </c>
      <c r="W1755" s="84" t="n">
        <f aca="false">IF(ISNUMBER(U1755),ABS(U1755),"")</f>
        <v>6.88817879703066</v>
      </c>
    </row>
    <row r="1756" customFormat="false" ht="15" hidden="false" customHeight="false" outlineLevel="0" collapsed="false">
      <c r="A1756" s="57" t="n">
        <v>33065</v>
      </c>
      <c r="B1756" s="56" t="n">
        <v>1990</v>
      </c>
      <c r="C1756" s="56" t="n">
        <v>7</v>
      </c>
      <c r="D1756" s="56" t="n">
        <v>72</v>
      </c>
      <c r="E1756" s="56" t="n">
        <v>27.7</v>
      </c>
      <c r="F1756" s="56" t="n">
        <v>0</v>
      </c>
      <c r="G1756" s="56" t="n">
        <v>9.3</v>
      </c>
      <c r="H1756" s="56" t="n">
        <v>0</v>
      </c>
      <c r="I1756" s="56" t="n">
        <v>18.3</v>
      </c>
      <c r="J1756" s="56" t="n">
        <v>0</v>
      </c>
      <c r="K1756" s="56" t="n">
        <v>1028.2</v>
      </c>
      <c r="L1756" s="56" t="n">
        <v>0</v>
      </c>
      <c r="M1756" s="56" t="n">
        <v>58</v>
      </c>
      <c r="N1756" s="56" t="n">
        <v>15.1</v>
      </c>
      <c r="O1756" s="56" t="n">
        <f aca="false">IF(D1756=1,"",E1755)</f>
        <v>27.3</v>
      </c>
      <c r="P1756" s="56" t="n">
        <f aca="false">IF(OR(D1756=1,K1755=""),"",K1755)</f>
        <v>1024.9</v>
      </c>
      <c r="Q1756" s="56" t="n">
        <f aca="false">IF(OR(F1756&lt;&gt;0,AND(I1756&lt;&gt;"",E1756&lt;I1756)),1,0)</f>
        <v>0</v>
      </c>
      <c r="R1756" s="56" t="n">
        <f aca="false">IF(AND(D1756&gt;1,Q1756=0,ISNUMBER(O1756),ISNUMBER(P1756)),IF(Q1755=0,1,0),0)</f>
        <v>1</v>
      </c>
      <c r="S1756" s="56" t="n">
        <f aca="false">R1756*(B1756&gt;=Train_Start)*(B1756&lt;=Train_End)</f>
        <v>1</v>
      </c>
      <c r="T1756" s="84" t="n">
        <f aca="false">IF(AND(ISNUMBER(O1756),ISNUMBER(P1756)),Coef_A+Coef_B1*O1756+Coef_B2*P1756,"")</f>
        <v>26.605940402436</v>
      </c>
      <c r="U1756" s="84" t="n">
        <f aca="false">IF(AND(R1756=1,ISNUMBER(T1756)),E1756-T1756,"")</f>
        <v>1.09405959756402</v>
      </c>
      <c r="V1756" s="84" t="n">
        <f aca="false">IF(ISNUMBER(T1756),T1756,-99)</f>
        <v>26.605940402436</v>
      </c>
      <c r="W1756" s="84" t="n">
        <f aca="false">IF(ISNUMBER(U1756),ABS(U1756),"")</f>
        <v>1.09405959756402</v>
      </c>
    </row>
    <row r="1757" customFormat="false" ht="15" hidden="false" customHeight="false" outlineLevel="0" collapsed="false">
      <c r="A1757" s="57" t="n">
        <v>33066</v>
      </c>
      <c r="B1757" s="56" t="n">
        <v>1990</v>
      </c>
      <c r="C1757" s="56" t="n">
        <v>7</v>
      </c>
      <c r="D1757" s="56" t="n">
        <v>73</v>
      </c>
      <c r="E1757" s="56" t="n">
        <v>26.8</v>
      </c>
      <c r="F1757" s="56" t="n">
        <v>0</v>
      </c>
      <c r="G1757" s="56" t="n">
        <v>15.7</v>
      </c>
      <c r="H1757" s="56" t="n">
        <v>0</v>
      </c>
      <c r="I1757" s="56" t="n">
        <v>21.7</v>
      </c>
      <c r="J1757" s="56" t="n">
        <v>0</v>
      </c>
      <c r="K1757" s="56" t="n">
        <v>1025.7</v>
      </c>
      <c r="L1757" s="56" t="n">
        <v>0</v>
      </c>
      <c r="M1757" s="56" t="n">
        <v>63</v>
      </c>
      <c r="N1757" s="56" t="n">
        <v>9.6</v>
      </c>
      <c r="O1757" s="56" t="n">
        <f aca="false">IF(D1757=1,"",E1756)</f>
        <v>27.7</v>
      </c>
      <c r="P1757" s="56" t="n">
        <f aca="false">IF(OR(D1757=1,K1756=""),"",K1756)</f>
        <v>1028.2</v>
      </c>
      <c r="Q1757" s="56" t="n">
        <f aca="false">IF(OR(F1757&lt;&gt;0,AND(I1757&lt;&gt;"",E1757&lt;I1757)),1,0)</f>
        <v>0</v>
      </c>
      <c r="R1757" s="56" t="n">
        <f aca="false">IF(AND(D1757&gt;1,Q1757=0,ISNUMBER(O1757),ISNUMBER(P1757)),IF(Q1756=0,1,0),0)</f>
        <v>1</v>
      </c>
      <c r="S1757" s="56" t="n">
        <f aca="false">R1757*(B1757&gt;=Train_Start)*(B1757&lt;=Train_End)</f>
        <v>1</v>
      </c>
      <c r="T1757" s="84" t="n">
        <f aca="false">IF(AND(ISNUMBER(O1757),ISNUMBER(P1757)),Coef_A+Coef_B1*O1757+Coef_B2*P1757,"")</f>
        <v>27.0371967319452</v>
      </c>
      <c r="U1757" s="84" t="n">
        <f aca="false">IF(AND(R1757=1,ISNUMBER(T1757)),E1757-T1757,"")</f>
        <v>-0.237196731945208</v>
      </c>
      <c r="V1757" s="84" t="n">
        <f aca="false">IF(ISNUMBER(T1757),T1757,-99)</f>
        <v>27.0371967319452</v>
      </c>
      <c r="W1757" s="84" t="n">
        <f aca="false">IF(ISNUMBER(U1757),ABS(U1757),"")</f>
        <v>0.237196731945208</v>
      </c>
    </row>
    <row r="1758" customFormat="false" ht="15" hidden="false" customHeight="false" outlineLevel="0" collapsed="false">
      <c r="A1758" s="57" t="n">
        <v>33067</v>
      </c>
      <c r="B1758" s="56" t="n">
        <v>1990</v>
      </c>
      <c r="C1758" s="56" t="n">
        <v>7</v>
      </c>
      <c r="D1758" s="56" t="n">
        <v>74</v>
      </c>
      <c r="E1758" s="56" t="n">
        <v>24</v>
      </c>
      <c r="F1758" s="56" t="n">
        <v>0</v>
      </c>
      <c r="G1758" s="56" t="n">
        <v>14.4</v>
      </c>
      <c r="H1758" s="56" t="n">
        <v>0</v>
      </c>
      <c r="I1758" s="56" t="n">
        <v>20.6</v>
      </c>
      <c r="J1758" s="56" t="n">
        <v>0</v>
      </c>
      <c r="K1758" s="56" t="n">
        <v>1022.7</v>
      </c>
      <c r="L1758" s="56" t="n">
        <v>0</v>
      </c>
      <c r="M1758" s="56" t="n">
        <v>58</v>
      </c>
      <c r="N1758" s="56" t="n">
        <v>14.9</v>
      </c>
      <c r="O1758" s="56" t="n">
        <f aca="false">IF(D1758=1,"",E1757)</f>
        <v>26.8</v>
      </c>
      <c r="P1758" s="56" t="n">
        <f aca="false">IF(OR(D1758=1,K1757=""),"",K1757)</f>
        <v>1025.7</v>
      </c>
      <c r="Q1758" s="56" t="n">
        <f aca="false">IF(OR(F1758&lt;&gt;0,AND(I1758&lt;&gt;"",E1758&lt;I1758)),1,0)</f>
        <v>0</v>
      </c>
      <c r="R1758" s="56" t="n">
        <f aca="false">IF(AND(D1758&gt;1,Q1758=0,ISNUMBER(O1758),ISNUMBER(P1758)),IF(Q1757=0,1,0),0)</f>
        <v>1</v>
      </c>
      <c r="S1758" s="56" t="n">
        <f aca="false">R1758*(B1758&gt;=Train_Start)*(B1758&lt;=Train_End)</f>
        <v>1</v>
      </c>
      <c r="T1758" s="84" t="n">
        <f aca="false">IF(AND(ISNUMBER(O1758),ISNUMBER(P1758)),Coef_A+Coef_B1*O1758+Coef_B2*P1758,"")</f>
        <v>26.2213667216218</v>
      </c>
      <c r="U1758" s="84" t="n">
        <f aca="false">IF(AND(R1758=1,ISNUMBER(T1758)),E1758-T1758,"")</f>
        <v>-2.22136672162184</v>
      </c>
      <c r="V1758" s="84" t="n">
        <f aca="false">IF(ISNUMBER(T1758),T1758,-99)</f>
        <v>26.2213667216218</v>
      </c>
      <c r="W1758" s="84" t="n">
        <f aca="false">IF(ISNUMBER(U1758),ABS(U1758),"")</f>
        <v>2.22136672162184</v>
      </c>
    </row>
    <row r="1759" customFormat="false" ht="15" hidden="false" customHeight="false" outlineLevel="0" collapsed="false">
      <c r="A1759" s="57" t="n">
        <v>33068</v>
      </c>
      <c r="B1759" s="56" t="n">
        <v>1990</v>
      </c>
      <c r="C1759" s="56" t="n">
        <v>7</v>
      </c>
      <c r="D1759" s="56" t="n">
        <v>75</v>
      </c>
      <c r="E1759" s="56" t="n">
        <v>31.3</v>
      </c>
      <c r="F1759" s="56" t="n">
        <v>0</v>
      </c>
      <c r="G1759" s="56" t="n">
        <v>13.5</v>
      </c>
      <c r="H1759" s="56" t="n">
        <v>0</v>
      </c>
      <c r="I1759" s="56" t="n">
        <v>18.8</v>
      </c>
      <c r="J1759" s="56" t="n">
        <v>0</v>
      </c>
      <c r="K1759" s="56" t="n">
        <v>1019.9</v>
      </c>
      <c r="L1759" s="56" t="n">
        <v>0</v>
      </c>
      <c r="M1759" s="56" t="n">
        <v>56</v>
      </c>
      <c r="N1759" s="56" t="n">
        <v>15</v>
      </c>
      <c r="O1759" s="56" t="n">
        <f aca="false">IF(D1759=1,"",E1758)</f>
        <v>24</v>
      </c>
      <c r="P1759" s="56" t="n">
        <f aca="false">IF(OR(D1759=1,K1758=""),"",K1758)</f>
        <v>1022.7</v>
      </c>
      <c r="Q1759" s="56" t="n">
        <f aca="false">IF(OR(F1759&lt;&gt;0,AND(I1759&lt;&gt;"",E1759&lt;I1759)),1,0)</f>
        <v>0</v>
      </c>
      <c r="R1759" s="56" t="n">
        <f aca="false">IF(AND(D1759&gt;1,Q1759=0,ISNUMBER(O1759),ISNUMBER(P1759)),IF(Q1758=0,1,0),0)</f>
        <v>1</v>
      </c>
      <c r="S1759" s="56" t="n">
        <f aca="false">R1759*(B1759&gt;=Train_Start)*(B1759&lt;=Train_End)</f>
        <v>1</v>
      </c>
      <c r="T1759" s="84" t="n">
        <f aca="false">IF(AND(ISNUMBER(O1759),ISNUMBER(P1759)),Coef_A+Coef_B1*O1759+Coef_B2*P1759,"")</f>
        <v>23.8331072972004</v>
      </c>
      <c r="U1759" s="84" t="n">
        <f aca="false">IF(AND(R1759=1,ISNUMBER(T1759)),E1759-T1759,"")</f>
        <v>7.46689270279957</v>
      </c>
      <c r="V1759" s="84" t="n">
        <f aca="false">IF(ISNUMBER(T1759),T1759,-99)</f>
        <v>23.8331072972004</v>
      </c>
      <c r="W1759" s="84" t="n">
        <f aca="false">IF(ISNUMBER(U1759),ABS(U1759),"")</f>
        <v>7.46689270279957</v>
      </c>
    </row>
    <row r="1760" customFormat="false" ht="15" hidden="false" customHeight="false" outlineLevel="0" collapsed="false">
      <c r="A1760" s="57" t="n">
        <v>33069</v>
      </c>
      <c r="B1760" s="56" t="n">
        <v>1990</v>
      </c>
      <c r="C1760" s="56" t="n">
        <v>7</v>
      </c>
      <c r="D1760" s="56" t="n">
        <v>76</v>
      </c>
      <c r="E1760" s="56" t="n">
        <v>24.9</v>
      </c>
      <c r="F1760" s="56" t="n">
        <v>0</v>
      </c>
      <c r="G1760" s="56" t="n">
        <v>12.6</v>
      </c>
      <c r="H1760" s="56" t="n">
        <v>0</v>
      </c>
      <c r="I1760" s="56" t="n">
        <v>22</v>
      </c>
      <c r="J1760" s="56" t="n">
        <v>0</v>
      </c>
      <c r="K1760" s="56" t="n">
        <v>1018.2</v>
      </c>
      <c r="L1760" s="56" t="n">
        <v>0</v>
      </c>
      <c r="M1760" s="56" t="n">
        <v>58</v>
      </c>
      <c r="N1760" s="56" t="n">
        <v>10.8</v>
      </c>
      <c r="O1760" s="56" t="n">
        <f aca="false">IF(D1760=1,"",E1759)</f>
        <v>31.3</v>
      </c>
      <c r="P1760" s="56" t="n">
        <f aca="false">IF(OR(D1760=1,K1759=""),"",K1759)</f>
        <v>1019.9</v>
      </c>
      <c r="Q1760" s="56" t="n">
        <f aca="false">IF(OR(F1760&lt;&gt;0,AND(I1760&lt;&gt;"",E1760&lt;I1760)),1,0)</f>
        <v>0</v>
      </c>
      <c r="R1760" s="56" t="n">
        <f aca="false">IF(AND(D1760&gt;1,Q1760=0,ISNUMBER(O1760),ISNUMBER(P1760)),IF(Q1759=0,1,0),0)</f>
        <v>1</v>
      </c>
      <c r="S1760" s="56" t="n">
        <f aca="false">R1760*(B1760&gt;=Train_Start)*(B1760&lt;=Train_End)</f>
        <v>1</v>
      </c>
      <c r="T1760" s="84" t="n">
        <f aca="false">IF(AND(ISNUMBER(O1760),ISNUMBER(P1760)),Coef_A+Coef_B1*O1760+Coef_B2*P1760,"")</f>
        <v>29.7264477014367</v>
      </c>
      <c r="U1760" s="84" t="n">
        <f aca="false">IF(AND(R1760=1,ISNUMBER(T1760)),E1760-T1760,"")</f>
        <v>-4.82644770143666</v>
      </c>
      <c r="V1760" s="84" t="n">
        <f aca="false">IF(ISNUMBER(T1760),T1760,-99)</f>
        <v>29.7264477014367</v>
      </c>
      <c r="W1760" s="84" t="n">
        <f aca="false">IF(ISNUMBER(U1760),ABS(U1760),"")</f>
        <v>4.82644770143666</v>
      </c>
    </row>
    <row r="1761" customFormat="false" ht="15" hidden="false" customHeight="false" outlineLevel="0" collapsed="false">
      <c r="A1761" s="57" t="n">
        <v>33070</v>
      </c>
      <c r="B1761" s="56" t="n">
        <v>1990</v>
      </c>
      <c r="C1761" s="56" t="n">
        <v>7</v>
      </c>
      <c r="D1761" s="56" t="n">
        <v>77</v>
      </c>
      <c r="E1761" s="56" t="n">
        <v>26.4</v>
      </c>
      <c r="F1761" s="56" t="n">
        <v>0</v>
      </c>
      <c r="G1761" s="56" t="n">
        <v>16.6</v>
      </c>
      <c r="H1761" s="56" t="n">
        <v>0</v>
      </c>
      <c r="I1761" s="56" t="n">
        <v>20.8</v>
      </c>
      <c r="J1761" s="56" t="n">
        <v>0</v>
      </c>
      <c r="K1761" s="56" t="n">
        <v>1022.9</v>
      </c>
      <c r="L1761" s="56" t="n">
        <v>0</v>
      </c>
      <c r="M1761" s="56" t="n">
        <v>68</v>
      </c>
      <c r="N1761" s="56" t="n">
        <v>3.6</v>
      </c>
      <c r="O1761" s="56" t="n">
        <f aca="false">IF(D1761=1,"",E1760)</f>
        <v>24.9</v>
      </c>
      <c r="P1761" s="56" t="n">
        <f aca="false">IF(OR(D1761=1,K1760=""),"",K1760)</f>
        <v>1018.2</v>
      </c>
      <c r="Q1761" s="56" t="n">
        <f aca="false">IF(OR(F1761&lt;&gt;0,AND(I1761&lt;&gt;"",E1761&lt;I1761)),1,0)</f>
        <v>0</v>
      </c>
      <c r="R1761" s="56" t="n">
        <f aca="false">IF(AND(D1761&gt;1,Q1761=0,ISNUMBER(O1761),ISNUMBER(P1761)),IF(Q1760=0,1,0),0)</f>
        <v>1</v>
      </c>
      <c r="S1761" s="56" t="n">
        <f aca="false">R1761*(B1761&gt;=Train_Start)*(B1761&lt;=Train_End)</f>
        <v>1</v>
      </c>
      <c r="T1761" s="84" t="n">
        <f aca="false">IF(AND(ISNUMBER(O1761),ISNUMBER(P1761)),Coef_A+Coef_B1*O1761+Coef_B2*P1761,"")</f>
        <v>24.4293480450859</v>
      </c>
      <c r="U1761" s="84" t="n">
        <f aca="false">IF(AND(R1761=1,ISNUMBER(T1761)),E1761-T1761,"")</f>
        <v>1.97065195491412</v>
      </c>
      <c r="V1761" s="84" t="n">
        <f aca="false">IF(ISNUMBER(T1761),T1761,-99)</f>
        <v>24.4293480450859</v>
      </c>
      <c r="W1761" s="84" t="n">
        <f aca="false">IF(ISNUMBER(U1761),ABS(U1761),"")</f>
        <v>1.97065195491412</v>
      </c>
    </row>
    <row r="1762" customFormat="false" ht="15" hidden="false" customHeight="false" outlineLevel="0" collapsed="false">
      <c r="A1762" s="57" t="n">
        <v>33071</v>
      </c>
      <c r="B1762" s="56" t="n">
        <v>1990</v>
      </c>
      <c r="C1762" s="56" t="n">
        <v>7</v>
      </c>
      <c r="D1762" s="56" t="n">
        <v>78</v>
      </c>
      <c r="E1762" s="56" t="n">
        <v>27.6</v>
      </c>
      <c r="F1762" s="56" t="n">
        <v>0</v>
      </c>
      <c r="G1762" s="56" t="n">
        <v>14.6</v>
      </c>
      <c r="H1762" s="56" t="n">
        <v>0</v>
      </c>
      <c r="I1762" s="56" t="n">
        <v>20.5</v>
      </c>
      <c r="J1762" s="56" t="n">
        <v>0</v>
      </c>
      <c r="K1762" s="56" t="n">
        <v>1027.2</v>
      </c>
      <c r="L1762" s="56" t="n">
        <v>0</v>
      </c>
      <c r="M1762" s="56" t="n">
        <v>66</v>
      </c>
      <c r="N1762" s="56" t="n">
        <v>6.3</v>
      </c>
      <c r="O1762" s="56" t="n">
        <f aca="false">IF(D1762=1,"",E1761)</f>
        <v>26.4</v>
      </c>
      <c r="P1762" s="56" t="n">
        <f aca="false">IF(OR(D1762=1,K1761=""),"",K1761)</f>
        <v>1022.9</v>
      </c>
      <c r="Q1762" s="56" t="n">
        <f aca="false">IF(OR(F1762&lt;&gt;0,AND(I1762&lt;&gt;"",E1762&lt;I1762)),1,0)</f>
        <v>0</v>
      </c>
      <c r="R1762" s="56" t="n">
        <f aca="false">IF(AND(D1762&gt;1,Q1762=0,ISNUMBER(O1762),ISNUMBER(P1762)),IF(Q1761=0,1,0),0)</f>
        <v>1</v>
      </c>
      <c r="S1762" s="56" t="n">
        <f aca="false">R1762*(B1762&gt;=Train_Start)*(B1762&lt;=Train_End)</f>
        <v>1</v>
      </c>
      <c r="T1762" s="84" t="n">
        <f aca="false">IF(AND(ISNUMBER(O1762),ISNUMBER(P1762)),Coef_A+Coef_B1*O1762+Coef_B2*P1762,"")</f>
        <v>25.8057953394296</v>
      </c>
      <c r="U1762" s="84" t="n">
        <f aca="false">IF(AND(R1762=1,ISNUMBER(T1762)),E1762-T1762,"")</f>
        <v>1.7942046605704</v>
      </c>
      <c r="V1762" s="84" t="n">
        <f aca="false">IF(ISNUMBER(T1762),T1762,-99)</f>
        <v>25.8057953394296</v>
      </c>
      <c r="W1762" s="84" t="n">
        <f aca="false">IF(ISNUMBER(U1762),ABS(U1762),"")</f>
        <v>1.7942046605704</v>
      </c>
    </row>
    <row r="1763" customFormat="false" ht="15" hidden="false" customHeight="false" outlineLevel="0" collapsed="false">
      <c r="A1763" s="57" t="n">
        <v>33072</v>
      </c>
      <c r="B1763" s="56" t="n">
        <v>1990</v>
      </c>
      <c r="C1763" s="56" t="n">
        <v>7</v>
      </c>
      <c r="D1763" s="56" t="n">
        <v>79</v>
      </c>
      <c r="E1763" s="56" t="n">
        <v>30.1</v>
      </c>
      <c r="F1763" s="56" t="n">
        <v>0</v>
      </c>
      <c r="G1763" s="56" t="n">
        <v>14.1</v>
      </c>
      <c r="H1763" s="56" t="n">
        <v>0</v>
      </c>
      <c r="I1763" s="56" t="n">
        <v>20.8</v>
      </c>
      <c r="J1763" s="56" t="n">
        <v>0</v>
      </c>
      <c r="K1763" s="56" t="n">
        <v>1027.3</v>
      </c>
      <c r="L1763" s="56" t="n">
        <v>0</v>
      </c>
      <c r="M1763" s="56" t="n">
        <v>55</v>
      </c>
      <c r="N1763" s="56" t="n">
        <v>14.4</v>
      </c>
      <c r="O1763" s="56" t="n">
        <f aca="false">IF(D1763=1,"",E1762)</f>
        <v>27.6</v>
      </c>
      <c r="P1763" s="56" t="n">
        <f aca="false">IF(OR(D1763=1,K1762=""),"",K1762)</f>
        <v>1027.2</v>
      </c>
      <c r="Q1763" s="56" t="n">
        <f aca="false">IF(OR(F1763&lt;&gt;0,AND(I1763&lt;&gt;"",E1763&lt;I1763)),1,0)</f>
        <v>0</v>
      </c>
      <c r="R1763" s="56" t="n">
        <f aca="false">IF(AND(D1763&gt;1,Q1763=0,ISNUMBER(O1763),ISNUMBER(P1763)),IF(Q1762=0,1,0),0)</f>
        <v>1</v>
      </c>
      <c r="S1763" s="56" t="n">
        <f aca="false">R1763*(B1763&gt;=Train_Start)*(B1763&lt;=Train_End)</f>
        <v>1</v>
      </c>
      <c r="T1763" s="84" t="n">
        <f aca="false">IF(AND(ISNUMBER(O1763),ISNUMBER(P1763)),Coef_A+Coef_B1*O1763+Coef_B2*P1763,"")</f>
        <v>26.923892918007</v>
      </c>
      <c r="U1763" s="84" t="n">
        <f aca="false">IF(AND(R1763=1,ISNUMBER(T1763)),E1763-T1763,"")</f>
        <v>3.17610708199305</v>
      </c>
      <c r="V1763" s="84" t="n">
        <f aca="false">IF(ISNUMBER(T1763),T1763,-99)</f>
        <v>26.923892918007</v>
      </c>
      <c r="W1763" s="84" t="n">
        <f aca="false">IF(ISNUMBER(U1763),ABS(U1763),"")</f>
        <v>3.17610708199305</v>
      </c>
    </row>
    <row r="1764" customFormat="false" ht="15" hidden="false" customHeight="false" outlineLevel="0" collapsed="false">
      <c r="A1764" s="57" t="n">
        <v>33073</v>
      </c>
      <c r="B1764" s="56" t="n">
        <v>1990</v>
      </c>
      <c r="C1764" s="56" t="n">
        <v>7</v>
      </c>
      <c r="D1764" s="56" t="n">
        <v>80</v>
      </c>
      <c r="E1764" s="56" t="n">
        <v>31.8</v>
      </c>
      <c r="F1764" s="56" t="n">
        <v>0</v>
      </c>
      <c r="G1764" s="56" t="n">
        <v>14</v>
      </c>
      <c r="H1764" s="56" t="n">
        <v>0</v>
      </c>
      <c r="I1764" s="56" t="n">
        <v>22</v>
      </c>
      <c r="J1764" s="56" t="n">
        <v>0</v>
      </c>
      <c r="K1764" s="56" t="n">
        <v>1024</v>
      </c>
      <c r="L1764" s="56" t="n">
        <v>0</v>
      </c>
      <c r="M1764" s="56" t="n">
        <v>54</v>
      </c>
      <c r="N1764" s="56" t="n">
        <v>14.6</v>
      </c>
      <c r="O1764" s="56" t="n">
        <f aca="false">IF(D1764=1,"",E1763)</f>
        <v>30.1</v>
      </c>
      <c r="P1764" s="56" t="n">
        <f aca="false">IF(OR(D1764=1,K1763=""),"",K1763)</f>
        <v>1027.3</v>
      </c>
      <c r="Q1764" s="56" t="n">
        <f aca="false">IF(OR(F1764&lt;&gt;0,AND(I1764&lt;&gt;"",E1764&lt;I1764)),1,0)</f>
        <v>0</v>
      </c>
      <c r="R1764" s="56" t="n">
        <f aca="false">IF(AND(D1764&gt;1,Q1764=0,ISNUMBER(O1764),ISNUMBER(P1764)),IF(Q1763=0,1,0),0)</f>
        <v>1</v>
      </c>
      <c r="S1764" s="56" t="n">
        <f aca="false">R1764*(B1764&gt;=Train_Start)*(B1764&lt;=Train_End)</f>
        <v>1</v>
      </c>
      <c r="T1764" s="84" t="n">
        <f aca="false">IF(AND(ISNUMBER(O1764),ISNUMBER(P1764)),Coef_A+Coef_B1*O1764+Coef_B2*P1764,"")</f>
        <v>28.975377890077</v>
      </c>
      <c r="U1764" s="84" t="n">
        <f aca="false">IF(AND(R1764=1,ISNUMBER(T1764)),E1764-T1764,"")</f>
        <v>2.82462210992301</v>
      </c>
      <c r="V1764" s="84" t="n">
        <f aca="false">IF(ISNUMBER(T1764),T1764,-99)</f>
        <v>28.975377890077</v>
      </c>
      <c r="W1764" s="84" t="n">
        <f aca="false">IF(ISNUMBER(U1764),ABS(U1764),"")</f>
        <v>2.82462210992301</v>
      </c>
    </row>
    <row r="1765" customFormat="false" ht="15" hidden="false" customHeight="false" outlineLevel="0" collapsed="false">
      <c r="A1765" s="57" t="n">
        <v>33074</v>
      </c>
      <c r="B1765" s="56" t="n">
        <v>1990</v>
      </c>
      <c r="C1765" s="56" t="n">
        <v>7</v>
      </c>
      <c r="D1765" s="56" t="n">
        <v>81</v>
      </c>
      <c r="E1765" s="56" t="n">
        <v>32.5</v>
      </c>
      <c r="F1765" s="56" t="n">
        <v>0</v>
      </c>
      <c r="G1765" s="56" t="n">
        <v>15.5</v>
      </c>
      <c r="H1765" s="56" t="n">
        <v>0</v>
      </c>
      <c r="I1765" s="56" t="n">
        <v>23.6</v>
      </c>
      <c r="J1765" s="56" t="n">
        <v>0</v>
      </c>
      <c r="K1765" s="56" t="n">
        <v>1022.2</v>
      </c>
      <c r="L1765" s="56" t="n">
        <v>0</v>
      </c>
      <c r="M1765" s="56" t="n">
        <v>50</v>
      </c>
      <c r="N1765" s="56" t="n">
        <v>14.2</v>
      </c>
      <c r="O1765" s="56" t="n">
        <f aca="false">IF(D1765=1,"",E1764)</f>
        <v>31.8</v>
      </c>
      <c r="P1765" s="56" t="n">
        <f aca="false">IF(OR(D1765=1,K1764=""),"",K1764)</f>
        <v>1024</v>
      </c>
      <c r="Q1765" s="56" t="n">
        <f aca="false">IF(OR(F1765&lt;&gt;0,AND(I1765&lt;&gt;"",E1765&lt;I1765)),1,0)</f>
        <v>0</v>
      </c>
      <c r="R1765" s="56" t="n">
        <f aca="false">IF(AND(D1765&gt;1,Q1765=0,ISNUMBER(O1765),ISNUMBER(P1765)),IF(Q1764=0,1,0),0)</f>
        <v>1</v>
      </c>
      <c r="S1765" s="56" t="n">
        <f aca="false">R1765*(B1765&gt;=Train_Start)*(B1765&lt;=Train_End)</f>
        <v>1</v>
      </c>
      <c r="T1765" s="84" t="n">
        <f aca="false">IF(AND(ISNUMBER(O1765),ISNUMBER(P1765)),Coef_A+Coef_B1*O1765+Coef_B2*P1765,"")</f>
        <v>30.2647338659573</v>
      </c>
      <c r="U1765" s="84" t="n">
        <f aca="false">IF(AND(R1765=1,ISNUMBER(T1765)),E1765-T1765,"")</f>
        <v>2.23526613404265</v>
      </c>
      <c r="V1765" s="84" t="n">
        <f aca="false">IF(ISNUMBER(T1765),T1765,-99)</f>
        <v>30.2647338659573</v>
      </c>
      <c r="W1765" s="84" t="n">
        <f aca="false">IF(ISNUMBER(U1765),ABS(U1765),"")</f>
        <v>2.23526613404265</v>
      </c>
    </row>
    <row r="1766" customFormat="false" ht="15" hidden="false" customHeight="false" outlineLevel="0" collapsed="false">
      <c r="A1766" s="57" t="n">
        <v>33075</v>
      </c>
      <c r="B1766" s="56" t="n">
        <v>1990</v>
      </c>
      <c r="C1766" s="56" t="n">
        <v>7</v>
      </c>
      <c r="D1766" s="56" t="n">
        <v>82</v>
      </c>
      <c r="E1766" s="56" t="n">
        <v>24</v>
      </c>
      <c r="F1766" s="56" t="n">
        <v>1</v>
      </c>
      <c r="G1766" s="56" t="n">
        <v>17.7</v>
      </c>
      <c r="H1766" s="56" t="n">
        <v>0</v>
      </c>
      <c r="I1766" s="56" t="n">
        <v>25.1</v>
      </c>
      <c r="J1766" s="56" t="n">
        <v>1</v>
      </c>
      <c r="K1766" s="56" t="n">
        <v>1022.2</v>
      </c>
      <c r="L1766" s="56" t="n">
        <v>0</v>
      </c>
      <c r="M1766" s="56" t="n">
        <v>57</v>
      </c>
      <c r="N1766" s="56" t="n">
        <v>12.6</v>
      </c>
      <c r="O1766" s="56" t="n">
        <f aca="false">IF(D1766=1,"",E1765)</f>
        <v>32.5</v>
      </c>
      <c r="P1766" s="56" t="n">
        <f aca="false">IF(OR(D1766=1,K1765=""),"",K1765)</f>
        <v>1022.2</v>
      </c>
      <c r="Q1766" s="56" t="n">
        <f aca="false">IF(OR(F1766&lt;&gt;0,AND(I1766&lt;&gt;"",E1766&lt;I1766)),1,0)</f>
        <v>1</v>
      </c>
      <c r="R1766" s="56" t="n">
        <f aca="false">IF(AND(D1766&gt;1,Q1766=0,ISNUMBER(O1766),ISNUMBER(P1766)),IF(Q1765=0,1,0),0)</f>
        <v>0</v>
      </c>
      <c r="S1766" s="56" t="n">
        <f aca="false">R1766*(B1766&gt;=Train_Start)*(B1766&lt;=Train_End)</f>
        <v>0</v>
      </c>
      <c r="T1766" s="84" t="n">
        <f aca="false">IF(AND(ISNUMBER(O1766),ISNUMBER(P1766)),Coef_A+Coef_B1*O1766+Coef_B2*P1766,"")</f>
        <v>30.781805490746</v>
      </c>
      <c r="U1766" s="84" t="str">
        <f aca="false">IF(AND(R1766=1,ISNUMBER(T1766)),E1766-T1766,"")</f>
        <v/>
      </c>
      <c r="V1766" s="84" t="n">
        <f aca="false">IF(ISNUMBER(T1766),T1766,-99)</f>
        <v>30.781805490746</v>
      </c>
      <c r="W1766" s="84" t="str">
        <f aca="false">IF(ISNUMBER(U1766),ABS(U1766),"")</f>
        <v/>
      </c>
    </row>
    <row r="1767" customFormat="false" ht="15" hidden="false" customHeight="false" outlineLevel="0" collapsed="false">
      <c r="A1767" s="57" t="n">
        <v>33076</v>
      </c>
      <c r="B1767" s="56" t="n">
        <v>1990</v>
      </c>
      <c r="C1767" s="56" t="n">
        <v>7</v>
      </c>
      <c r="D1767" s="56" t="n">
        <v>83</v>
      </c>
      <c r="E1767" s="56" t="n">
        <v>24.1</v>
      </c>
      <c r="F1767" s="56" t="n">
        <v>0</v>
      </c>
      <c r="G1767" s="56" t="n">
        <v>15.1</v>
      </c>
      <c r="H1767" s="56" t="n">
        <v>0</v>
      </c>
      <c r="I1767" s="56" t="n">
        <v>19.6</v>
      </c>
      <c r="J1767" s="56" t="n">
        <v>0</v>
      </c>
      <c r="K1767" s="56" t="n">
        <v>1025.6</v>
      </c>
      <c r="L1767" s="56" t="n">
        <v>0</v>
      </c>
      <c r="M1767" s="56" t="n">
        <v>63</v>
      </c>
      <c r="N1767" s="56" t="n">
        <v>11.5</v>
      </c>
      <c r="O1767" s="56" t="n">
        <f aca="false">IF(D1767=1,"",E1766)</f>
        <v>24</v>
      </c>
      <c r="P1767" s="56" t="n">
        <f aca="false">IF(OR(D1767=1,K1766=""),"",K1766)</f>
        <v>1022.2</v>
      </c>
      <c r="Q1767" s="56" t="n">
        <f aca="false">IF(OR(F1767&lt;&gt;0,AND(I1767&lt;&gt;"",E1767&lt;I1767)),1,0)</f>
        <v>0</v>
      </c>
      <c r="R1767" s="56" t="n">
        <f aca="false">IF(AND(D1767&gt;1,Q1767=0,ISNUMBER(O1767),ISNUMBER(P1767)),IF(Q1766=0,1,0),0)</f>
        <v>0</v>
      </c>
      <c r="S1767" s="56" t="n">
        <f aca="false">R1767*(B1767&gt;=Train_Start)*(B1767&lt;=Train_End)</f>
        <v>0</v>
      </c>
      <c r="T1767" s="84" t="n">
        <f aca="false">IF(AND(ISNUMBER(O1767),ISNUMBER(P1767)),Coef_A+Coef_B1*O1767+Coef_B2*P1767,"")</f>
        <v>23.8174223498834</v>
      </c>
      <c r="U1767" s="84" t="str">
        <f aca="false">IF(AND(R1767=1,ISNUMBER(T1767)),E1767-T1767,"")</f>
        <v/>
      </c>
      <c r="V1767" s="84" t="n">
        <f aca="false">IF(ISNUMBER(T1767),T1767,-99)</f>
        <v>23.8174223498834</v>
      </c>
      <c r="W1767" s="84" t="str">
        <f aca="false">IF(ISNUMBER(U1767),ABS(U1767),"")</f>
        <v/>
      </c>
    </row>
    <row r="1768" customFormat="false" ht="15" hidden="false" customHeight="false" outlineLevel="0" collapsed="false">
      <c r="A1768" s="57" t="n">
        <v>33077</v>
      </c>
      <c r="B1768" s="56" t="n">
        <v>1990</v>
      </c>
      <c r="C1768" s="56" t="n">
        <v>7</v>
      </c>
      <c r="D1768" s="56" t="n">
        <v>84</v>
      </c>
      <c r="E1768" s="56" t="n">
        <v>23.9</v>
      </c>
      <c r="F1768" s="56" t="n">
        <v>0</v>
      </c>
      <c r="G1768" s="56" t="n">
        <v>13.5</v>
      </c>
      <c r="H1768" s="56" t="n">
        <v>0</v>
      </c>
      <c r="I1768" s="56" t="n">
        <v>18.8</v>
      </c>
      <c r="J1768" s="56" t="n">
        <v>0</v>
      </c>
      <c r="K1768" s="56" t="n">
        <v>1026.1</v>
      </c>
      <c r="L1768" s="56" t="n">
        <v>0</v>
      </c>
      <c r="M1768" s="56" t="n">
        <v>61</v>
      </c>
      <c r="N1768" s="56" t="n">
        <v>12.3</v>
      </c>
      <c r="O1768" s="56" t="n">
        <f aca="false">IF(D1768=1,"",E1767)</f>
        <v>24.1</v>
      </c>
      <c r="P1768" s="56" t="n">
        <f aca="false">IF(OR(D1768=1,K1767=""),"",K1767)</f>
        <v>1025.6</v>
      </c>
      <c r="Q1768" s="56" t="n">
        <f aca="false">IF(OR(F1768&lt;&gt;0,AND(I1768&lt;&gt;"",E1768&lt;I1768)),1,0)</f>
        <v>0</v>
      </c>
      <c r="R1768" s="56" t="n">
        <f aca="false">IF(AND(D1768&gt;1,Q1768=0,ISNUMBER(O1768),ISNUMBER(P1768)),IF(Q1767=0,1,0),0)</f>
        <v>1</v>
      </c>
      <c r="S1768" s="56" t="n">
        <f aca="false">R1768*(B1768&gt;=Train_Start)*(B1768&lt;=Train_End)</f>
        <v>1</v>
      </c>
      <c r="T1768" s="84" t="n">
        <f aca="false">IF(AND(ISNUMBER(O1768),ISNUMBER(P1768)),Coef_A+Coef_B1*O1768+Coef_B2*P1768,"")</f>
        <v>24.0060139109433</v>
      </c>
      <c r="U1768" s="84" t="n">
        <f aca="false">IF(AND(R1768=1,ISNUMBER(T1768)),E1768-T1768,"")</f>
        <v>-0.106013910943268</v>
      </c>
      <c r="V1768" s="84" t="n">
        <f aca="false">IF(ISNUMBER(T1768),T1768,-99)</f>
        <v>24.0060139109433</v>
      </c>
      <c r="W1768" s="84" t="n">
        <f aca="false">IF(ISNUMBER(U1768),ABS(U1768),"")</f>
        <v>0.106013910943268</v>
      </c>
    </row>
    <row r="1769" customFormat="false" ht="15" hidden="false" customHeight="false" outlineLevel="0" collapsed="false">
      <c r="A1769" s="57" t="n">
        <v>33078</v>
      </c>
      <c r="B1769" s="56" t="n">
        <v>1990</v>
      </c>
      <c r="C1769" s="56" t="n">
        <v>7</v>
      </c>
      <c r="D1769" s="56" t="n">
        <v>85</v>
      </c>
      <c r="E1769" s="56" t="n">
        <v>25.9</v>
      </c>
      <c r="F1769" s="56" t="n">
        <v>0</v>
      </c>
      <c r="G1769" s="56" t="n">
        <v>11.3</v>
      </c>
      <c r="H1769" s="56" t="n">
        <v>0</v>
      </c>
      <c r="I1769" s="56" t="n">
        <v>17.6</v>
      </c>
      <c r="J1769" s="56" t="n">
        <v>0</v>
      </c>
      <c r="K1769" s="56" t="n">
        <v>1024.6</v>
      </c>
      <c r="L1769" s="56" t="n">
        <v>0</v>
      </c>
      <c r="M1769" s="56" t="n">
        <v>57</v>
      </c>
      <c r="N1769" s="56" t="n">
        <v>13.7</v>
      </c>
      <c r="O1769" s="56" t="n">
        <f aca="false">IF(D1769=1,"",E1768)</f>
        <v>23.9</v>
      </c>
      <c r="P1769" s="56" t="n">
        <f aca="false">IF(OR(D1769=1,K1768=""),"",K1768)</f>
        <v>1026.1</v>
      </c>
      <c r="Q1769" s="56" t="n">
        <f aca="false">IF(OR(F1769&lt;&gt;0,AND(I1769&lt;&gt;"",E1769&lt;I1769)),1,0)</f>
        <v>0</v>
      </c>
      <c r="R1769" s="56" t="n">
        <f aca="false">IF(AND(D1769&gt;1,Q1769=0,ISNUMBER(O1769),ISNUMBER(P1769)),IF(Q1768=0,1,0),0)</f>
        <v>1</v>
      </c>
      <c r="S1769" s="56" t="n">
        <f aca="false">R1769*(B1769&gt;=Train_Start)*(B1769&lt;=Train_End)</f>
        <v>1</v>
      </c>
      <c r="T1769" s="84" t="n">
        <f aca="false">IF(AND(ISNUMBER(O1769),ISNUMBER(P1769)),Coef_A+Coef_B1*O1769+Coef_B2*P1769,"")</f>
        <v>23.8578310196517</v>
      </c>
      <c r="U1769" s="84" t="n">
        <f aca="false">IF(AND(R1769=1,ISNUMBER(T1769)),E1769-T1769,"")</f>
        <v>2.04216898034828</v>
      </c>
      <c r="V1769" s="84" t="n">
        <f aca="false">IF(ISNUMBER(T1769),T1769,-99)</f>
        <v>23.8578310196517</v>
      </c>
      <c r="W1769" s="84" t="n">
        <f aca="false">IF(ISNUMBER(U1769),ABS(U1769),"")</f>
        <v>2.04216898034828</v>
      </c>
    </row>
    <row r="1770" customFormat="false" ht="15" hidden="false" customHeight="false" outlineLevel="0" collapsed="false">
      <c r="A1770" s="57" t="n">
        <v>33079</v>
      </c>
      <c r="B1770" s="56" t="n">
        <v>1990</v>
      </c>
      <c r="C1770" s="56" t="n">
        <v>7</v>
      </c>
      <c r="D1770" s="56" t="n">
        <v>86</v>
      </c>
      <c r="E1770" s="56" t="n">
        <v>24.4</v>
      </c>
      <c r="F1770" s="56" t="n">
        <v>0</v>
      </c>
      <c r="G1770" s="56" t="n">
        <v>11.3</v>
      </c>
      <c r="H1770" s="56" t="n">
        <v>0</v>
      </c>
      <c r="I1770" s="56" t="n">
        <v>18.6</v>
      </c>
      <c r="J1770" s="56" t="n">
        <v>0</v>
      </c>
      <c r="K1770" s="56" t="n">
        <v>1021.8</v>
      </c>
      <c r="L1770" s="56" t="n">
        <v>0</v>
      </c>
      <c r="M1770" s="56" t="n">
        <v>56</v>
      </c>
      <c r="N1770" s="56" t="n">
        <v>13.9</v>
      </c>
      <c r="O1770" s="56" t="n">
        <f aca="false">IF(D1770=1,"",E1769)</f>
        <v>25.9</v>
      </c>
      <c r="P1770" s="56" t="n">
        <f aca="false">IF(OR(D1770=1,K1769=""),"",K1769)</f>
        <v>1024.6</v>
      </c>
      <c r="Q1770" s="56" t="n">
        <f aca="false">IF(OR(F1770&lt;&gt;0,AND(I1770&lt;&gt;"",E1770&lt;I1770)),1,0)</f>
        <v>0</v>
      </c>
      <c r="R1770" s="56" t="n">
        <f aca="false">IF(AND(D1770&gt;1,Q1770=0,ISNUMBER(O1770),ISNUMBER(P1770)),IF(Q1769=0,1,0),0)</f>
        <v>1</v>
      </c>
      <c r="S1770" s="56" t="n">
        <f aca="false">R1770*(B1770&gt;=Train_Start)*(B1770&lt;=Train_End)</f>
        <v>1</v>
      </c>
      <c r="T1770" s="84" t="n">
        <f aca="false">IF(AND(ISNUMBER(O1770),ISNUMBER(P1770)),Coef_A+Coef_B1*O1770+Coef_B2*P1770,"")</f>
        <v>25.4494545637861</v>
      </c>
      <c r="U1770" s="84" t="n">
        <f aca="false">IF(AND(R1770=1,ISNUMBER(T1770)),E1770-T1770,"")</f>
        <v>-1.04945456378606</v>
      </c>
      <c r="V1770" s="84" t="n">
        <f aca="false">IF(ISNUMBER(T1770),T1770,-99)</f>
        <v>25.4494545637861</v>
      </c>
      <c r="W1770" s="84" t="n">
        <f aca="false">IF(ISNUMBER(U1770),ABS(U1770),"")</f>
        <v>1.04945456378606</v>
      </c>
    </row>
    <row r="1771" customFormat="false" ht="15" hidden="false" customHeight="false" outlineLevel="0" collapsed="false">
      <c r="A1771" s="57" t="n">
        <v>33080</v>
      </c>
      <c r="B1771" s="56" t="n">
        <v>1990</v>
      </c>
      <c r="C1771" s="56" t="n">
        <v>7</v>
      </c>
      <c r="D1771" s="56" t="n">
        <v>87</v>
      </c>
      <c r="E1771" s="56" t="n">
        <v>26.1</v>
      </c>
      <c r="F1771" s="56" t="n">
        <v>0</v>
      </c>
      <c r="G1771" s="56" t="n">
        <v>12</v>
      </c>
      <c r="H1771" s="56" t="n">
        <v>0</v>
      </c>
      <c r="I1771" s="56" t="n">
        <v>18.2</v>
      </c>
      <c r="J1771" s="56" t="n">
        <v>0</v>
      </c>
      <c r="K1771" s="56" t="n">
        <v>1017.2</v>
      </c>
      <c r="L1771" s="56" t="n">
        <v>0</v>
      </c>
      <c r="M1771" s="56" t="n">
        <v>65</v>
      </c>
      <c r="N1771" s="56" t="n">
        <v>10.4</v>
      </c>
      <c r="O1771" s="56" t="n">
        <f aca="false">IF(D1771=1,"",E1770)</f>
        <v>24.4</v>
      </c>
      <c r="P1771" s="56" t="n">
        <f aca="false">IF(OR(D1771=1,K1770=""),"",K1770)</f>
        <v>1021.8</v>
      </c>
      <c r="Q1771" s="56" t="n">
        <f aca="false">IF(OR(F1771&lt;&gt;0,AND(I1771&lt;&gt;"",E1771&lt;I1771)),1,0)</f>
        <v>0</v>
      </c>
      <c r="R1771" s="56" t="n">
        <f aca="false">IF(AND(D1771&gt;1,Q1771=0,ISNUMBER(O1771),ISNUMBER(P1771)),IF(Q1770=0,1,0),0)</f>
        <v>1</v>
      </c>
      <c r="S1771" s="56" t="n">
        <f aca="false">R1771*(B1771&gt;=Train_Start)*(B1771&lt;=Train_End)</f>
        <v>1</v>
      </c>
      <c r="T1771" s="84" t="n">
        <f aca="false">IF(AND(ISNUMBER(O1771),ISNUMBER(P1771)),Coef_A+Coef_B1*O1771+Coef_B2*P1771,"")</f>
        <v>24.1326100692469</v>
      </c>
      <c r="U1771" s="84" t="n">
        <f aca="false">IF(AND(R1771=1,ISNUMBER(T1771)),E1771-T1771,"")</f>
        <v>1.9673899307531</v>
      </c>
      <c r="V1771" s="84" t="n">
        <f aca="false">IF(ISNUMBER(T1771),T1771,-99)</f>
        <v>24.1326100692469</v>
      </c>
      <c r="W1771" s="84" t="n">
        <f aca="false">IF(ISNUMBER(U1771),ABS(U1771),"")</f>
        <v>1.9673899307531</v>
      </c>
    </row>
    <row r="1772" customFormat="false" ht="15" hidden="false" customHeight="false" outlineLevel="0" collapsed="false">
      <c r="A1772" s="57" t="n">
        <v>33081</v>
      </c>
      <c r="B1772" s="56" t="n">
        <v>1990</v>
      </c>
      <c r="C1772" s="56" t="n">
        <v>7</v>
      </c>
      <c r="D1772" s="56" t="n">
        <v>88</v>
      </c>
      <c r="E1772" s="56" t="n">
        <v>26</v>
      </c>
      <c r="F1772" s="56" t="n">
        <v>0</v>
      </c>
      <c r="G1772" s="56" t="n">
        <v>15.9</v>
      </c>
      <c r="H1772" s="56" t="n">
        <v>0</v>
      </c>
      <c r="I1772" s="56" t="n">
        <v>21</v>
      </c>
      <c r="J1772" s="56" t="n">
        <v>0</v>
      </c>
      <c r="K1772" s="56" t="n">
        <v>1011.6</v>
      </c>
      <c r="L1772" s="56" t="n">
        <v>0</v>
      </c>
      <c r="M1772" s="56" t="n">
        <v>67</v>
      </c>
      <c r="N1772" s="56" t="n">
        <v>1</v>
      </c>
      <c r="O1772" s="56" t="n">
        <f aca="false">IF(D1772=1,"",E1771)</f>
        <v>26.1</v>
      </c>
      <c r="P1772" s="56" t="n">
        <f aca="false">IF(OR(D1772=1,K1771=""),"",K1771)</f>
        <v>1017.2</v>
      </c>
      <c r="Q1772" s="56" t="n">
        <f aca="false">IF(OR(F1772&lt;&gt;0,AND(I1772&lt;&gt;"",E1772&lt;I1772)),1,0)</f>
        <v>0</v>
      </c>
      <c r="R1772" s="56" t="n">
        <f aca="false">IF(AND(D1772&gt;1,Q1772=0,ISNUMBER(O1772),ISNUMBER(P1772)),IF(Q1771=0,1,0),0)</f>
        <v>1</v>
      </c>
      <c r="S1772" s="56" t="n">
        <f aca="false">R1772*(B1772&gt;=Train_Start)*(B1772&lt;=Train_End)</f>
        <v>1</v>
      </c>
      <c r="T1772" s="84" t="n">
        <f aca="false">IF(AND(ISNUMBER(O1772),ISNUMBER(P1772)),Coef_A+Coef_B1*O1772+Coef_B2*P1772,"")</f>
        <v>25.3811851821031</v>
      </c>
      <c r="U1772" s="84" t="n">
        <f aca="false">IF(AND(R1772=1,ISNUMBER(T1772)),E1772-T1772,"")</f>
        <v>0.618814817896926</v>
      </c>
      <c r="V1772" s="84" t="n">
        <f aca="false">IF(ISNUMBER(T1772),T1772,-99)</f>
        <v>25.3811851821031</v>
      </c>
      <c r="W1772" s="84" t="n">
        <f aca="false">IF(ISNUMBER(U1772),ABS(U1772),"")</f>
        <v>0.618814817896926</v>
      </c>
    </row>
    <row r="1773" customFormat="false" ht="15" hidden="false" customHeight="false" outlineLevel="0" collapsed="false">
      <c r="A1773" s="57" t="n">
        <v>33082</v>
      </c>
      <c r="B1773" s="56" t="n">
        <v>1990</v>
      </c>
      <c r="C1773" s="56" t="n">
        <v>7</v>
      </c>
      <c r="D1773" s="56" t="n">
        <v>89</v>
      </c>
      <c r="E1773" s="56" t="n">
        <v>25.3</v>
      </c>
      <c r="F1773" s="56" t="n">
        <v>0</v>
      </c>
      <c r="G1773" s="56" t="n">
        <v>15</v>
      </c>
      <c r="H1773" s="56" t="n">
        <v>0</v>
      </c>
      <c r="I1773" s="56" t="n">
        <v>20.5</v>
      </c>
      <c r="J1773" s="56" t="n">
        <v>0</v>
      </c>
      <c r="K1773" s="56" t="n">
        <v>1015.6</v>
      </c>
      <c r="L1773" s="56" t="n">
        <v>0</v>
      </c>
      <c r="M1773" s="56" t="n">
        <v>65</v>
      </c>
      <c r="N1773" s="56" t="n">
        <v>7.3</v>
      </c>
      <c r="O1773" s="56" t="n">
        <f aca="false">IF(D1773=1,"",E1772)</f>
        <v>26</v>
      </c>
      <c r="P1773" s="56" t="n">
        <f aca="false">IF(OR(D1773=1,K1772=""),"",K1772)</f>
        <v>1011.6</v>
      </c>
      <c r="Q1773" s="56" t="n">
        <f aca="false">IF(OR(F1773&lt;&gt;0,AND(I1773&lt;&gt;"",E1773&lt;I1773)),1,0)</f>
        <v>0</v>
      </c>
      <c r="R1773" s="56" t="n">
        <f aca="false">IF(AND(D1773&gt;1,Q1773=0,ISNUMBER(O1773),ISNUMBER(P1773)),IF(Q1772=0,1,0),0)</f>
        <v>1</v>
      </c>
      <c r="S1773" s="56" t="n">
        <f aca="false">R1773*(B1773&gt;=Train_Start)*(B1773&lt;=Train_End)</f>
        <v>1</v>
      </c>
      <c r="T1773" s="84" t="n">
        <f aca="false">IF(AND(ISNUMBER(O1773),ISNUMBER(P1773)),Coef_A+Coef_B1*O1773+Coef_B2*P1773,"")</f>
        <v>25.1235798528485</v>
      </c>
      <c r="U1773" s="84" t="n">
        <f aca="false">IF(AND(R1773=1,ISNUMBER(T1773)),E1773-T1773,"")</f>
        <v>0.176420147151536</v>
      </c>
      <c r="V1773" s="84" t="n">
        <f aca="false">IF(ISNUMBER(T1773),T1773,-99)</f>
        <v>25.1235798528485</v>
      </c>
      <c r="W1773" s="84" t="n">
        <f aca="false">IF(ISNUMBER(U1773),ABS(U1773),"")</f>
        <v>0.176420147151536</v>
      </c>
    </row>
    <row r="1774" customFormat="false" ht="15" hidden="false" customHeight="false" outlineLevel="0" collapsed="false">
      <c r="A1774" s="57" t="n">
        <v>33083</v>
      </c>
      <c r="B1774" s="56" t="n">
        <v>1990</v>
      </c>
      <c r="C1774" s="56" t="n">
        <v>7</v>
      </c>
      <c r="D1774" s="56" t="n">
        <v>90</v>
      </c>
      <c r="E1774" s="56" t="n">
        <v>23.9</v>
      </c>
      <c r="F1774" s="56" t="n">
        <v>0</v>
      </c>
      <c r="G1774" s="56" t="n">
        <v>13</v>
      </c>
      <c r="H1774" s="56" t="n">
        <v>0</v>
      </c>
      <c r="I1774" s="56" t="n">
        <v>19.2</v>
      </c>
      <c r="J1774" s="56" t="n">
        <v>0</v>
      </c>
      <c r="K1774" s="56" t="n">
        <v>1020.5</v>
      </c>
      <c r="L1774" s="56" t="n">
        <v>0</v>
      </c>
      <c r="M1774" s="56" t="n">
        <v>65</v>
      </c>
      <c r="N1774" s="56" t="n">
        <v>6</v>
      </c>
      <c r="O1774" s="56" t="n">
        <f aca="false">IF(D1774=1,"",E1773)</f>
        <v>25.3</v>
      </c>
      <c r="P1774" s="56" t="n">
        <f aca="false">IF(OR(D1774=1,K1773=""),"",K1773)</f>
        <v>1015.6</v>
      </c>
      <c r="Q1774" s="56" t="n">
        <f aca="false">IF(OR(F1774&lt;&gt;0,AND(I1774&lt;&gt;"",E1774&lt;I1774)),1,0)</f>
        <v>0</v>
      </c>
      <c r="R1774" s="56" t="n">
        <f aca="false">IF(AND(D1774&gt;1,Q1774=0,ISNUMBER(O1774),ISNUMBER(P1774)),IF(Q1773=0,1,0),0)</f>
        <v>1</v>
      </c>
      <c r="S1774" s="56" t="n">
        <f aca="false">R1774*(B1774&gt;=Train_Start)*(B1774&lt;=Train_End)</f>
        <v>1</v>
      </c>
      <c r="T1774" s="84" t="n">
        <f aca="false">IF(AND(ISNUMBER(O1774),ISNUMBER(P1774)),Coef_A+Coef_B1*O1774+Coef_B2*P1774,"")</f>
        <v>24.6755219962546</v>
      </c>
      <c r="U1774" s="84" t="n">
        <f aca="false">IF(AND(R1774=1,ISNUMBER(T1774)),E1774-T1774,"")</f>
        <v>-0.775521996254565</v>
      </c>
      <c r="V1774" s="84" t="n">
        <f aca="false">IF(ISNUMBER(T1774),T1774,-99)</f>
        <v>24.6755219962546</v>
      </c>
      <c r="W1774" s="84" t="n">
        <f aca="false">IF(ISNUMBER(U1774),ABS(U1774),"")</f>
        <v>0.775521996254565</v>
      </c>
    </row>
    <row r="1775" customFormat="false" ht="15" hidden="false" customHeight="false" outlineLevel="0" collapsed="false">
      <c r="A1775" s="57" t="n">
        <v>33084</v>
      </c>
      <c r="B1775" s="56" t="n">
        <v>1990</v>
      </c>
      <c r="C1775" s="56" t="n">
        <v>7</v>
      </c>
      <c r="D1775" s="56" t="n">
        <v>91</v>
      </c>
      <c r="E1775" s="56" t="n">
        <v>27.3</v>
      </c>
      <c r="F1775" s="56" t="n">
        <v>0</v>
      </c>
      <c r="G1775" s="56" t="n">
        <v>17</v>
      </c>
      <c r="H1775" s="56" t="n">
        <v>0</v>
      </c>
      <c r="I1775" s="56" t="n">
        <v>20.4</v>
      </c>
      <c r="J1775" s="56" t="n">
        <v>0</v>
      </c>
      <c r="K1775" s="56" t="n">
        <v>1021.5</v>
      </c>
      <c r="L1775" s="56" t="n">
        <v>0</v>
      </c>
      <c r="M1775" s="56" t="n">
        <v>74</v>
      </c>
      <c r="N1775" s="56" t="n">
        <v>2.1</v>
      </c>
      <c r="O1775" s="56" t="n">
        <f aca="false">IF(D1775=1,"",E1774)</f>
        <v>23.9</v>
      </c>
      <c r="P1775" s="56" t="n">
        <f aca="false">IF(OR(D1775=1,K1774=""),"",K1774)</f>
        <v>1020.5</v>
      </c>
      <c r="Q1775" s="56" t="n">
        <f aca="false">IF(OR(F1775&lt;&gt;0,AND(I1775&lt;&gt;"",E1775&lt;I1775)),1,0)</f>
        <v>0</v>
      </c>
      <c r="R1775" s="56" t="n">
        <f aca="false">IF(AND(D1775&gt;1,Q1775=0,ISNUMBER(O1775),ISNUMBER(P1775)),IF(Q1774=0,1,0),0)</f>
        <v>1</v>
      </c>
      <c r="S1775" s="56" t="n">
        <f aca="false">R1775*(B1775&gt;=Train_Start)*(B1775&lt;=Train_End)</f>
        <v>1</v>
      </c>
      <c r="T1775" s="84" t="n">
        <f aca="false">IF(AND(ISNUMBER(O1775),ISNUMBER(P1775)),Coef_A+Coef_B1*O1775+Coef_B2*P1775,"")</f>
        <v>23.6821596097014</v>
      </c>
      <c r="U1775" s="84" t="n">
        <f aca="false">IF(AND(R1775=1,ISNUMBER(T1775)),E1775-T1775,"")</f>
        <v>3.61784039029861</v>
      </c>
      <c r="V1775" s="84" t="n">
        <f aca="false">IF(ISNUMBER(T1775),T1775,-99)</f>
        <v>23.6821596097014</v>
      </c>
      <c r="W1775" s="84" t="n">
        <f aca="false">IF(ISNUMBER(U1775),ABS(U1775),"")</f>
        <v>3.61784039029861</v>
      </c>
    </row>
    <row r="1776" customFormat="false" ht="15" hidden="false" customHeight="false" outlineLevel="0" collapsed="false">
      <c r="A1776" s="57" t="n">
        <v>33085</v>
      </c>
      <c r="B1776" s="56" t="n">
        <v>1990</v>
      </c>
      <c r="C1776" s="56" t="n">
        <v>7</v>
      </c>
      <c r="D1776" s="56" t="n">
        <v>92</v>
      </c>
      <c r="E1776" s="56" t="n">
        <v>32.5</v>
      </c>
      <c r="F1776" s="56" t="n">
        <v>0</v>
      </c>
      <c r="G1776" s="56" t="n">
        <v>15</v>
      </c>
      <c r="H1776" s="56" t="n">
        <v>0</v>
      </c>
      <c r="I1776" s="56" t="n">
        <v>21.2</v>
      </c>
      <c r="J1776" s="56" t="n">
        <v>0</v>
      </c>
      <c r="K1776" s="56" t="n">
        <v>1024.7</v>
      </c>
      <c r="L1776" s="56" t="n">
        <v>0</v>
      </c>
      <c r="M1776" s="56" t="n">
        <v>67</v>
      </c>
      <c r="N1776" s="56" t="n">
        <v>8</v>
      </c>
      <c r="O1776" s="56" t="n">
        <f aca="false">IF(D1776=1,"",E1775)</f>
        <v>27.3</v>
      </c>
      <c r="P1776" s="56" t="n">
        <f aca="false">IF(OR(D1776=1,K1775=""),"",K1775)</f>
        <v>1021.5</v>
      </c>
      <c r="Q1776" s="56" t="n">
        <f aca="false">IF(OR(F1776&lt;&gt;0,AND(I1776&lt;&gt;"",E1776&lt;I1776)),1,0)</f>
        <v>0</v>
      </c>
      <c r="R1776" s="56" t="n">
        <f aca="false">IF(AND(D1776&gt;1,Q1776=0,ISNUMBER(O1776),ISNUMBER(P1776)),IF(Q1775=0,1,0),0)</f>
        <v>1</v>
      </c>
      <c r="S1776" s="56" t="n">
        <f aca="false">R1776*(B1776&gt;=Train_Start)*(B1776&lt;=Train_End)</f>
        <v>1</v>
      </c>
      <c r="T1776" s="84" t="n">
        <f aca="false">IF(AND(ISNUMBER(O1776),ISNUMBER(P1776)),Coef_A+Coef_B1*O1776+Coef_B2*P1776,"")</f>
        <v>26.4992827606804</v>
      </c>
      <c r="U1776" s="84" t="n">
        <f aca="false">IF(AND(R1776=1,ISNUMBER(T1776)),E1776-T1776,"")</f>
        <v>6.00071723931958</v>
      </c>
      <c r="V1776" s="84" t="n">
        <f aca="false">IF(ISNUMBER(T1776),T1776,-99)</f>
        <v>26.4992827606804</v>
      </c>
      <c r="W1776" s="84" t="n">
        <f aca="false">IF(ISNUMBER(U1776),ABS(U1776),"")</f>
        <v>6.00071723931958</v>
      </c>
    </row>
    <row r="1777" customFormat="false" ht="15" hidden="false" customHeight="false" outlineLevel="0" collapsed="false">
      <c r="A1777" s="57" t="n">
        <v>33086</v>
      </c>
      <c r="B1777" s="56" t="n">
        <v>1990</v>
      </c>
      <c r="C1777" s="56" t="n">
        <v>8</v>
      </c>
      <c r="D1777" s="56" t="n">
        <v>93</v>
      </c>
      <c r="E1777" s="56" t="n">
        <v>34</v>
      </c>
      <c r="F1777" s="56" t="n">
        <v>0</v>
      </c>
      <c r="G1777" s="56" t="n">
        <v>15</v>
      </c>
      <c r="H1777" s="56" t="n">
        <v>0</v>
      </c>
      <c r="I1777" s="56" t="n">
        <v>23.8</v>
      </c>
      <c r="J1777" s="56" t="n">
        <v>0</v>
      </c>
      <c r="K1777" s="56" t="n">
        <v>1025.4</v>
      </c>
      <c r="L1777" s="56" t="n">
        <v>0</v>
      </c>
      <c r="M1777" s="56" t="n">
        <v>58</v>
      </c>
      <c r="N1777" s="56" t="n">
        <v>13.7</v>
      </c>
      <c r="O1777" s="56" t="n">
        <f aca="false">IF(D1777=1,"",E1776)</f>
        <v>32.5</v>
      </c>
      <c r="P1777" s="56" t="n">
        <f aca="false">IF(OR(D1777=1,K1776=""),"",K1776)</f>
        <v>1024.7</v>
      </c>
      <c r="Q1777" s="56" t="n">
        <f aca="false">IF(OR(F1777&lt;&gt;0,AND(I1777&lt;&gt;"",E1777&lt;I1777)),1,0)</f>
        <v>0</v>
      </c>
      <c r="R1777" s="56" t="n">
        <f aca="false">IF(AND(D1777&gt;1,Q1777=0,ISNUMBER(O1777),ISNUMBER(P1777)),IF(Q1776=0,1,0),0)</f>
        <v>1</v>
      </c>
      <c r="S1777" s="56" t="n">
        <f aca="false">R1777*(B1777&gt;=Train_Start)*(B1777&lt;=Train_End)</f>
        <v>1</v>
      </c>
      <c r="T1777" s="84" t="n">
        <f aca="false">IF(AND(ISNUMBER(O1777),ISNUMBER(P1777)),Coef_A+Coef_B1*O1777+Coef_B2*P1777,"")</f>
        <v>30.860230227331</v>
      </c>
      <c r="U1777" s="84" t="n">
        <f aca="false">IF(AND(R1777=1,ISNUMBER(T1777)),E1777-T1777,"")</f>
        <v>3.139769772669</v>
      </c>
      <c r="V1777" s="84" t="n">
        <f aca="false">IF(ISNUMBER(T1777),T1777,-99)</f>
        <v>30.860230227331</v>
      </c>
      <c r="W1777" s="84" t="n">
        <f aca="false">IF(ISNUMBER(U1777),ABS(U1777),"")</f>
        <v>3.139769772669</v>
      </c>
    </row>
    <row r="1778" customFormat="false" ht="15" hidden="false" customHeight="false" outlineLevel="0" collapsed="false">
      <c r="A1778" s="57" t="n">
        <v>33087</v>
      </c>
      <c r="B1778" s="56" t="n">
        <v>1990</v>
      </c>
      <c r="C1778" s="56" t="n">
        <v>8</v>
      </c>
      <c r="D1778" s="56" t="n">
        <v>94</v>
      </c>
      <c r="E1778" s="56" t="n">
        <v>36.5</v>
      </c>
      <c r="F1778" s="56" t="n">
        <v>0</v>
      </c>
      <c r="G1778" s="56" t="n">
        <v>18.4</v>
      </c>
      <c r="H1778" s="56" t="n">
        <v>0</v>
      </c>
      <c r="I1778" s="56" t="n">
        <v>26.2</v>
      </c>
      <c r="J1778" s="56" t="n">
        <v>0</v>
      </c>
      <c r="K1778" s="56" t="n">
        <v>1023.3</v>
      </c>
      <c r="L1778" s="56" t="n">
        <v>0</v>
      </c>
      <c r="M1778" s="56" t="n">
        <v>51</v>
      </c>
      <c r="N1778" s="56" t="n">
        <v>11.9</v>
      </c>
      <c r="O1778" s="56" t="n">
        <f aca="false">IF(D1778=1,"",E1777)</f>
        <v>34</v>
      </c>
      <c r="P1778" s="56" t="n">
        <f aca="false">IF(OR(D1778=1,K1777=""),"",K1777)</f>
        <v>1025.4</v>
      </c>
      <c r="Q1778" s="56" t="n">
        <f aca="false">IF(OR(F1778&lt;&gt;0,AND(I1778&lt;&gt;"",E1778&lt;I1778)),1,0)</f>
        <v>0</v>
      </c>
      <c r="R1778" s="56" t="n">
        <f aca="false">IF(AND(D1778&gt;1,Q1778=0,ISNUMBER(O1778),ISNUMBER(P1778)),IF(Q1777=0,1,0),0)</f>
        <v>1</v>
      </c>
      <c r="S1778" s="56" t="n">
        <f aca="false">R1778*(B1778&gt;=Train_Start)*(B1778&lt;=Train_End)</f>
        <v>1</v>
      </c>
      <c r="T1778" s="84" t="n">
        <f aca="false">IF(AND(ISNUMBER(O1778),ISNUMBER(P1778)),Coef_A+Coef_B1*O1778+Coef_B2*P1778,"")</f>
        <v>32.1111979431388</v>
      </c>
      <c r="U1778" s="84" t="n">
        <f aca="false">IF(AND(R1778=1,ISNUMBER(T1778)),E1778-T1778,"")</f>
        <v>4.38880205686122</v>
      </c>
      <c r="V1778" s="84" t="n">
        <f aca="false">IF(ISNUMBER(T1778),T1778,-99)</f>
        <v>32.1111979431388</v>
      </c>
      <c r="W1778" s="84" t="n">
        <f aca="false">IF(ISNUMBER(U1778),ABS(U1778),"")</f>
        <v>4.38880205686122</v>
      </c>
    </row>
    <row r="1779" customFormat="false" ht="15" hidden="false" customHeight="false" outlineLevel="0" collapsed="false">
      <c r="A1779" s="57" t="n">
        <v>33088</v>
      </c>
      <c r="B1779" s="56" t="n">
        <v>1990</v>
      </c>
      <c r="C1779" s="56" t="n">
        <v>8</v>
      </c>
      <c r="D1779" s="56" t="n">
        <v>95</v>
      </c>
      <c r="E1779" s="56" t="n">
        <v>34.4</v>
      </c>
      <c r="F1779" s="56" t="n">
        <v>0</v>
      </c>
      <c r="G1779" s="56" t="n">
        <v>18.3</v>
      </c>
      <c r="H1779" s="56" t="n">
        <v>0</v>
      </c>
      <c r="I1779" s="56" t="n">
        <v>27.4</v>
      </c>
      <c r="J1779" s="56" t="n">
        <v>0</v>
      </c>
      <c r="K1779" s="56" t="n">
        <v>1021.5</v>
      </c>
      <c r="L1779" s="56" t="n">
        <v>0</v>
      </c>
      <c r="M1779" s="56" t="n">
        <v>47</v>
      </c>
      <c r="N1779" s="56" t="n">
        <v>12.7</v>
      </c>
      <c r="O1779" s="56" t="n">
        <f aca="false">IF(D1779=1,"",E1778)</f>
        <v>36.5</v>
      </c>
      <c r="P1779" s="56" t="n">
        <f aca="false">IF(OR(D1779=1,K1778=""),"",K1778)</f>
        <v>1023.3</v>
      </c>
      <c r="Q1779" s="56" t="n">
        <f aca="false">IF(OR(F1779&lt;&gt;0,AND(I1779&lt;&gt;"",E1779&lt;I1779)),1,0)</f>
        <v>0</v>
      </c>
      <c r="R1779" s="56" t="n">
        <f aca="false">IF(AND(D1779&gt;1,Q1779=0,ISNUMBER(O1779),ISNUMBER(P1779)),IF(Q1778=0,1,0),0)</f>
        <v>1</v>
      </c>
      <c r="S1779" s="56" t="n">
        <f aca="false">R1779*(B1779&gt;=Train_Start)*(B1779&lt;=Train_End)</f>
        <v>1</v>
      </c>
      <c r="T1779" s="84" t="n">
        <f aca="false">IF(AND(ISNUMBER(O1779),ISNUMBER(P1779)),Coef_A+Coef_B1*O1779+Coef_B2*P1779,"")</f>
        <v>34.0936691470141</v>
      </c>
      <c r="U1779" s="84" t="n">
        <f aca="false">IF(AND(R1779=1,ISNUMBER(T1779)),E1779-T1779,"")</f>
        <v>0.306330852985951</v>
      </c>
      <c r="V1779" s="84" t="n">
        <f aca="false">IF(ISNUMBER(T1779),T1779,-99)</f>
        <v>34.0936691470141</v>
      </c>
      <c r="W1779" s="84" t="n">
        <f aca="false">IF(ISNUMBER(U1779),ABS(U1779),"")</f>
        <v>0.306330852985951</v>
      </c>
    </row>
    <row r="1780" customFormat="false" ht="15" hidden="false" customHeight="false" outlineLevel="0" collapsed="false">
      <c r="A1780" s="57" t="n">
        <v>33089</v>
      </c>
      <c r="B1780" s="56" t="n">
        <v>1990</v>
      </c>
      <c r="C1780" s="56" t="n">
        <v>8</v>
      </c>
      <c r="D1780" s="56" t="n">
        <v>96</v>
      </c>
      <c r="E1780" s="56" t="n">
        <v>24.2</v>
      </c>
      <c r="F1780" s="56" t="n">
        <v>1</v>
      </c>
      <c r="G1780" s="56" t="n">
        <v>19.4</v>
      </c>
      <c r="H1780" s="56" t="n">
        <v>0</v>
      </c>
      <c r="I1780" s="56" t="n">
        <v>26.9</v>
      </c>
      <c r="J1780" s="56" t="n">
        <v>1</v>
      </c>
      <c r="K1780" s="56" t="n">
        <v>1019.9</v>
      </c>
      <c r="L1780" s="56" t="n">
        <v>0</v>
      </c>
      <c r="M1780" s="56" t="n">
        <v>48</v>
      </c>
      <c r="N1780" s="56" t="n">
        <v>13.2</v>
      </c>
      <c r="O1780" s="56" t="n">
        <f aca="false">IF(D1780=1,"",E1779)</f>
        <v>34.4</v>
      </c>
      <c r="P1780" s="56" t="n">
        <f aca="false">IF(OR(D1780=1,K1779=""),"",K1779)</f>
        <v>1021.5</v>
      </c>
      <c r="Q1780" s="56" t="n">
        <f aca="false">IF(OR(F1780&lt;&gt;0,AND(I1780&lt;&gt;"",E1780&lt;I1780)),1,0)</f>
        <v>1</v>
      </c>
      <c r="R1780" s="56" t="n">
        <f aca="false">IF(AND(D1780&gt;1,Q1780=0,ISNUMBER(O1780),ISNUMBER(P1780)),IF(Q1779=0,1,0),0)</f>
        <v>0</v>
      </c>
      <c r="S1780" s="56" t="n">
        <f aca="false">R1780*(B1780&gt;=Train_Start)*(B1780&lt;=Train_End)</f>
        <v>0</v>
      </c>
      <c r="T1780" s="84" t="n">
        <f aca="false">IF(AND(ISNUMBER(O1780),ISNUMBER(P1780)),Coef_A+Coef_B1*O1780+Coef_B2*P1780,"")</f>
        <v>32.3165910312833</v>
      </c>
      <c r="U1780" s="84" t="str">
        <f aca="false">IF(AND(R1780=1,ISNUMBER(T1780)),E1780-T1780,"")</f>
        <v/>
      </c>
      <c r="V1780" s="84" t="n">
        <f aca="false">IF(ISNUMBER(T1780),T1780,-99)</f>
        <v>32.3165910312833</v>
      </c>
      <c r="W1780" s="84" t="str">
        <f aca="false">IF(ISNUMBER(U1780),ABS(U1780),"")</f>
        <v/>
      </c>
    </row>
    <row r="1781" customFormat="false" ht="15" hidden="false" customHeight="false" outlineLevel="0" collapsed="false">
      <c r="A1781" s="57" t="n">
        <v>33090</v>
      </c>
      <c r="B1781" s="56" t="n">
        <v>1990</v>
      </c>
      <c r="C1781" s="56" t="n">
        <v>8</v>
      </c>
      <c r="D1781" s="56" t="n">
        <v>97</v>
      </c>
      <c r="E1781" s="56" t="n">
        <v>21.5</v>
      </c>
      <c r="F1781" s="56" t="n">
        <v>0</v>
      </c>
      <c r="G1781" s="56" t="n">
        <v>15.1</v>
      </c>
      <c r="H1781" s="56" t="n">
        <v>0</v>
      </c>
      <c r="I1781" s="56" t="n">
        <v>19.6</v>
      </c>
      <c r="J1781" s="56" t="n">
        <v>0</v>
      </c>
      <c r="K1781" s="56" t="n">
        <v>1020.3</v>
      </c>
      <c r="L1781" s="56" t="n">
        <v>0</v>
      </c>
      <c r="M1781" s="56" t="n">
        <v>54</v>
      </c>
      <c r="N1781" s="56" t="n">
        <v>8.9</v>
      </c>
      <c r="O1781" s="56" t="n">
        <f aca="false">IF(D1781=1,"",E1780)</f>
        <v>24.2</v>
      </c>
      <c r="P1781" s="56" t="n">
        <f aca="false">IF(OR(D1781=1,K1780=""),"",K1780)</f>
        <v>1019.9</v>
      </c>
      <c r="Q1781" s="56" t="n">
        <f aca="false">IF(OR(F1781&lt;&gt;0,AND(I1781&lt;&gt;"",E1781&lt;I1781)),1,0)</f>
        <v>0</v>
      </c>
      <c r="R1781" s="56" t="n">
        <f aca="false">IF(AND(D1781&gt;1,Q1781=0,ISNUMBER(O1781),ISNUMBER(P1781)),IF(Q1780=0,1,0),0)</f>
        <v>0</v>
      </c>
      <c r="S1781" s="56" t="n">
        <f aca="false">R1781*(B1781&gt;=Train_Start)*(B1781&lt;=Train_End)</f>
        <v>0</v>
      </c>
      <c r="T1781" s="84" t="n">
        <f aca="false">IF(AND(ISNUMBER(O1781),ISNUMBER(P1781)),Coef_A+Coef_B1*O1781+Coef_B2*P1781,"")</f>
        <v>23.9091394308338</v>
      </c>
      <c r="U1781" s="84" t="str">
        <f aca="false">IF(AND(R1781=1,ISNUMBER(T1781)),E1781-T1781,"")</f>
        <v/>
      </c>
      <c r="V1781" s="84" t="n">
        <f aca="false">IF(ISNUMBER(T1781),T1781,-99)</f>
        <v>23.9091394308338</v>
      </c>
      <c r="W1781" s="84" t="str">
        <f aca="false">IF(ISNUMBER(U1781),ABS(U1781),"")</f>
        <v/>
      </c>
    </row>
    <row r="1782" customFormat="false" ht="15" hidden="false" customHeight="false" outlineLevel="0" collapsed="false">
      <c r="A1782" s="57" t="n">
        <v>33091</v>
      </c>
      <c r="B1782" s="56" t="n">
        <v>1990</v>
      </c>
      <c r="C1782" s="56" t="n">
        <v>8</v>
      </c>
      <c r="D1782" s="56" t="n">
        <v>98</v>
      </c>
      <c r="E1782" s="56" t="n">
        <v>21.3</v>
      </c>
      <c r="F1782" s="56" t="n">
        <v>0</v>
      </c>
      <c r="G1782" s="56" t="n">
        <v>12.4</v>
      </c>
      <c r="H1782" s="56" t="n">
        <v>0</v>
      </c>
      <c r="I1782" s="56" t="n">
        <v>17</v>
      </c>
      <c r="J1782" s="56" t="n">
        <v>0</v>
      </c>
      <c r="K1782" s="56" t="n">
        <v>1022.4</v>
      </c>
      <c r="L1782" s="56" t="n">
        <v>0</v>
      </c>
      <c r="M1782" s="56" t="n">
        <v>53</v>
      </c>
      <c r="N1782" s="56" t="n">
        <v>8.1</v>
      </c>
      <c r="O1782" s="56" t="n">
        <f aca="false">IF(D1782=1,"",E1781)</f>
        <v>21.5</v>
      </c>
      <c r="P1782" s="56" t="n">
        <f aca="false">IF(OR(D1782=1,K1781=""),"",K1781)</f>
        <v>1020.3</v>
      </c>
      <c r="Q1782" s="56" t="n">
        <f aca="false">IF(OR(F1782&lt;&gt;0,AND(I1782&lt;&gt;"",E1782&lt;I1782)),1,0)</f>
        <v>0</v>
      </c>
      <c r="R1782" s="56" t="n">
        <f aca="false">IF(AND(D1782&gt;1,Q1782=0,ISNUMBER(O1782),ISNUMBER(P1782)),IF(Q1781=0,1,0),0)</f>
        <v>1</v>
      </c>
      <c r="S1782" s="56" t="n">
        <f aca="false">R1782*(B1782&gt;=Train_Start)*(B1782&lt;=Train_End)</f>
        <v>1</v>
      </c>
      <c r="T1782" s="84" t="n">
        <f aca="false">IF(AND(ISNUMBER(O1782),ISNUMBER(P1782)),Coef_A+Coef_B1*O1782+Coef_B2*P1782,"")</f>
        <v>21.7094715674722</v>
      </c>
      <c r="U1782" s="84" t="n">
        <f aca="false">IF(AND(R1782=1,ISNUMBER(T1782)),E1782-T1782,"")</f>
        <v>-0.409471567472213</v>
      </c>
      <c r="V1782" s="84" t="n">
        <f aca="false">IF(ISNUMBER(T1782),T1782,-99)</f>
        <v>21.7094715674722</v>
      </c>
      <c r="W1782" s="84" t="n">
        <f aca="false">IF(ISNUMBER(U1782),ABS(U1782),"")</f>
        <v>0.409471567472213</v>
      </c>
    </row>
    <row r="1783" customFormat="false" ht="15" hidden="false" customHeight="false" outlineLevel="0" collapsed="false">
      <c r="A1783" s="57" t="n">
        <v>33092</v>
      </c>
      <c r="B1783" s="56" t="n">
        <v>1990</v>
      </c>
      <c r="C1783" s="56" t="n">
        <v>8</v>
      </c>
      <c r="D1783" s="56" t="n">
        <v>99</v>
      </c>
      <c r="E1783" s="56" t="n">
        <v>25.8</v>
      </c>
      <c r="F1783" s="56" t="n">
        <v>0</v>
      </c>
      <c r="G1783" s="56" t="n">
        <v>11.7</v>
      </c>
      <c r="H1783" s="56" t="n">
        <v>0</v>
      </c>
      <c r="I1783" s="56" t="n">
        <v>16.5</v>
      </c>
      <c r="J1783" s="56" t="n">
        <v>0</v>
      </c>
      <c r="K1783" s="56" t="n">
        <v>1025.4</v>
      </c>
      <c r="L1783" s="56" t="n">
        <v>0</v>
      </c>
      <c r="M1783" s="56" t="n">
        <v>57</v>
      </c>
      <c r="N1783" s="56" t="n">
        <v>6.8</v>
      </c>
      <c r="O1783" s="56" t="n">
        <f aca="false">IF(D1783=1,"",E1782)</f>
        <v>21.3</v>
      </c>
      <c r="P1783" s="56" t="n">
        <f aca="false">IF(OR(D1783=1,K1782=""),"",K1782)</f>
        <v>1022.4</v>
      </c>
      <c r="Q1783" s="56" t="n">
        <f aca="false">IF(OR(F1783&lt;&gt;0,AND(I1783&lt;&gt;"",E1783&lt;I1783)),1,0)</f>
        <v>0</v>
      </c>
      <c r="R1783" s="56" t="n">
        <f aca="false">IF(AND(D1783&gt;1,Q1783=0,ISNUMBER(O1783),ISNUMBER(P1783)),IF(Q1782=0,1,0),0)</f>
        <v>1</v>
      </c>
      <c r="S1783" s="56" t="n">
        <f aca="false">R1783*(B1783&gt;=Train_Start)*(B1783&lt;=Train_End)</f>
        <v>1</v>
      </c>
      <c r="T1783" s="84" t="n">
        <f aca="false">IF(AND(ISNUMBER(O1783),ISNUMBER(P1783)),Coef_A+Coef_B1*O1783+Coef_B2*P1783,"")</f>
        <v>21.6114805075951</v>
      </c>
      <c r="U1783" s="84" t="n">
        <f aca="false">IF(AND(R1783=1,ISNUMBER(T1783)),E1783-T1783,"")</f>
        <v>4.18851949240494</v>
      </c>
      <c r="V1783" s="84" t="n">
        <f aca="false">IF(ISNUMBER(T1783),T1783,-99)</f>
        <v>21.6114805075951</v>
      </c>
      <c r="W1783" s="84" t="n">
        <f aca="false">IF(ISNUMBER(U1783),ABS(U1783),"")</f>
        <v>4.18851949240494</v>
      </c>
    </row>
    <row r="1784" customFormat="false" ht="15" hidden="false" customHeight="false" outlineLevel="0" collapsed="false">
      <c r="A1784" s="57" t="n">
        <v>33093</v>
      </c>
      <c r="B1784" s="56" t="n">
        <v>1990</v>
      </c>
      <c r="C1784" s="56" t="n">
        <v>8</v>
      </c>
      <c r="D1784" s="56" t="n">
        <v>100</v>
      </c>
      <c r="E1784" s="56" t="n">
        <v>27.6</v>
      </c>
      <c r="F1784" s="56" t="n">
        <v>0</v>
      </c>
      <c r="G1784" s="56" t="n">
        <v>11.2</v>
      </c>
      <c r="H1784" s="56" t="n">
        <v>0</v>
      </c>
      <c r="I1784" s="56" t="n">
        <v>18.5</v>
      </c>
      <c r="J1784" s="56" t="n">
        <v>0</v>
      </c>
      <c r="K1784" s="56" t="n">
        <v>1025.4</v>
      </c>
      <c r="L1784" s="56" t="n">
        <v>0</v>
      </c>
      <c r="M1784" s="56" t="n">
        <v>58</v>
      </c>
      <c r="N1784" s="56" t="n">
        <v>9.8</v>
      </c>
      <c r="O1784" s="56" t="n">
        <f aca="false">IF(D1784=1,"",E1783)</f>
        <v>25.8</v>
      </c>
      <c r="P1784" s="56" t="n">
        <f aca="false">IF(OR(D1784=1,K1783=""),"",K1783)</f>
        <v>1025.4</v>
      </c>
      <c r="Q1784" s="56" t="n">
        <f aca="false">IF(OR(F1784&lt;&gt;0,AND(I1784&lt;&gt;"",E1784&lt;I1784)),1,0)</f>
        <v>0</v>
      </c>
      <c r="R1784" s="56" t="n">
        <f aca="false">IF(AND(D1784&gt;1,Q1784=0,ISNUMBER(O1784),ISNUMBER(P1784)),IF(Q1783=0,1,0),0)</f>
        <v>1</v>
      </c>
      <c r="S1784" s="56" t="n">
        <f aca="false">R1784*(B1784&gt;=Train_Start)*(B1784&lt;=Train_End)</f>
        <v>1</v>
      </c>
      <c r="T1784" s="84" t="n">
        <f aca="false">IF(AND(ISNUMBER(O1784),ISNUMBER(P1784)),Coef_A+Coef_B1*O1784+Coef_B2*P1784,"")</f>
        <v>25.392616560189</v>
      </c>
      <c r="U1784" s="84" t="n">
        <f aca="false">IF(AND(R1784=1,ISNUMBER(T1784)),E1784-T1784,"")</f>
        <v>2.20738343981101</v>
      </c>
      <c r="V1784" s="84" t="n">
        <f aca="false">IF(ISNUMBER(T1784),T1784,-99)</f>
        <v>25.392616560189</v>
      </c>
      <c r="W1784" s="84" t="n">
        <f aca="false">IF(ISNUMBER(U1784),ABS(U1784),"")</f>
        <v>2.20738343981101</v>
      </c>
    </row>
    <row r="1785" customFormat="false" ht="15" hidden="false" customHeight="false" outlineLevel="0" collapsed="false">
      <c r="A1785" s="57" t="n">
        <v>33094</v>
      </c>
      <c r="B1785" s="56" t="n">
        <v>1990</v>
      </c>
      <c r="C1785" s="56" t="n">
        <v>8</v>
      </c>
      <c r="D1785" s="56" t="n">
        <v>101</v>
      </c>
      <c r="E1785" s="56" t="n">
        <v>28.2</v>
      </c>
      <c r="F1785" s="56" t="n">
        <v>0</v>
      </c>
      <c r="G1785" s="56" t="n">
        <v>13.7</v>
      </c>
      <c r="H1785" s="56" t="n">
        <v>0</v>
      </c>
      <c r="I1785" s="56" t="n">
        <v>20.6</v>
      </c>
      <c r="J1785" s="56" t="n">
        <v>0</v>
      </c>
      <c r="K1785" s="56" t="n">
        <v>1023.3</v>
      </c>
      <c r="L1785" s="56" t="n">
        <v>0</v>
      </c>
      <c r="M1785" s="56" t="n">
        <v>63</v>
      </c>
      <c r="N1785" s="56" t="n">
        <v>13</v>
      </c>
      <c r="O1785" s="56" t="n">
        <f aca="false">IF(D1785=1,"",E1784)</f>
        <v>27.6</v>
      </c>
      <c r="P1785" s="56" t="n">
        <f aca="false">IF(OR(D1785=1,K1784=""),"",K1784)</f>
        <v>1025.4</v>
      </c>
      <c r="Q1785" s="56" t="n">
        <f aca="false">IF(OR(F1785&lt;&gt;0,AND(I1785&lt;&gt;"",E1785&lt;I1785)),1,0)</f>
        <v>0</v>
      </c>
      <c r="R1785" s="56" t="n">
        <f aca="false">IF(AND(D1785&gt;1,Q1785=0,ISNUMBER(O1785),ISNUMBER(P1785)),IF(Q1784=0,1,0),0)</f>
        <v>1</v>
      </c>
      <c r="S1785" s="56" t="n">
        <f aca="false">R1785*(B1785&gt;=Train_Start)*(B1785&lt;=Train_End)</f>
        <v>1</v>
      </c>
      <c r="T1785" s="84" t="n">
        <f aca="false">IF(AND(ISNUMBER(O1785),ISNUMBER(P1785)),Coef_A+Coef_B1*O1785+Coef_B2*P1785,"")</f>
        <v>26.8674271076658</v>
      </c>
      <c r="U1785" s="84" t="n">
        <f aca="false">IF(AND(R1785=1,ISNUMBER(T1785)),E1785-T1785,"")</f>
        <v>1.33257289233422</v>
      </c>
      <c r="V1785" s="84" t="n">
        <f aca="false">IF(ISNUMBER(T1785),T1785,-99)</f>
        <v>26.8674271076658</v>
      </c>
      <c r="W1785" s="84" t="n">
        <f aca="false">IF(ISNUMBER(U1785),ABS(U1785),"")</f>
        <v>1.33257289233422</v>
      </c>
    </row>
    <row r="1786" customFormat="false" ht="15" hidden="false" customHeight="false" outlineLevel="0" collapsed="false">
      <c r="A1786" s="57" t="n">
        <v>33095</v>
      </c>
      <c r="B1786" s="56" t="n">
        <v>1990</v>
      </c>
      <c r="C1786" s="56" t="n">
        <v>8</v>
      </c>
      <c r="D1786" s="56" t="n">
        <v>102</v>
      </c>
      <c r="E1786" s="56" t="n">
        <v>27.5</v>
      </c>
      <c r="F1786" s="56" t="n">
        <v>0</v>
      </c>
      <c r="G1786" s="56" t="n">
        <v>14.6</v>
      </c>
      <c r="H1786" s="56" t="n">
        <v>0</v>
      </c>
      <c r="I1786" s="56" t="n">
        <v>21.4</v>
      </c>
      <c r="J1786" s="56" t="n">
        <v>0</v>
      </c>
      <c r="K1786" s="56" t="n">
        <v>1022</v>
      </c>
      <c r="L1786" s="56" t="n">
        <v>0</v>
      </c>
      <c r="M1786" s="56" t="n">
        <v>68</v>
      </c>
      <c r="N1786" s="56" t="n">
        <v>6.7</v>
      </c>
      <c r="O1786" s="56" t="n">
        <f aca="false">IF(D1786=1,"",E1785)</f>
        <v>28.2</v>
      </c>
      <c r="P1786" s="56" t="n">
        <f aca="false">IF(OR(D1786=1,K1785=""),"",K1785)</f>
        <v>1023.3</v>
      </c>
      <c r="Q1786" s="56" t="n">
        <f aca="false">IF(OR(F1786&lt;&gt;0,AND(I1786&lt;&gt;"",E1786&lt;I1786)),1,0)</f>
        <v>0</v>
      </c>
      <c r="R1786" s="56" t="n">
        <f aca="false">IF(AND(D1786&gt;1,Q1786=0,ISNUMBER(O1786),ISNUMBER(P1786)),IF(Q1785=0,1,0),0)</f>
        <v>1</v>
      </c>
      <c r="S1786" s="56" t="n">
        <f aca="false">R1786*(B1786&gt;=Train_Start)*(B1786&lt;=Train_End)</f>
        <v>1</v>
      </c>
      <c r="T1786" s="84" t="n">
        <f aca="false">IF(AND(ISNUMBER(O1786),ISNUMBER(P1786)),Coef_A+Coef_B1*O1786+Coef_B2*P1786,"")</f>
        <v>27.29315384476</v>
      </c>
      <c r="U1786" s="84" t="n">
        <f aca="false">IF(AND(R1786=1,ISNUMBER(T1786)),E1786-T1786,"")</f>
        <v>0.206846155240012</v>
      </c>
      <c r="V1786" s="84" t="n">
        <f aca="false">IF(ISNUMBER(T1786),T1786,-99)</f>
        <v>27.29315384476</v>
      </c>
      <c r="W1786" s="84" t="n">
        <f aca="false">IF(ISNUMBER(U1786),ABS(U1786),"")</f>
        <v>0.206846155240012</v>
      </c>
    </row>
    <row r="1787" customFormat="false" ht="15" hidden="false" customHeight="false" outlineLevel="0" collapsed="false">
      <c r="A1787" s="57" t="n">
        <v>33096</v>
      </c>
      <c r="B1787" s="56" t="n">
        <v>1990</v>
      </c>
      <c r="C1787" s="56" t="n">
        <v>8</v>
      </c>
      <c r="D1787" s="56" t="n">
        <v>103</v>
      </c>
      <c r="E1787" s="56" t="n">
        <v>29.4</v>
      </c>
      <c r="F1787" s="56" t="n">
        <v>0</v>
      </c>
      <c r="G1787" s="56" t="n">
        <v>14.5</v>
      </c>
      <c r="H1787" s="56" t="n">
        <v>0</v>
      </c>
      <c r="I1787" s="56" t="n">
        <v>21</v>
      </c>
      <c r="J1787" s="56" t="n">
        <v>0</v>
      </c>
      <c r="K1787" s="56" t="n">
        <v>1017.9</v>
      </c>
      <c r="L1787" s="56" t="n">
        <v>0</v>
      </c>
      <c r="M1787" s="56" t="n">
        <v>61</v>
      </c>
      <c r="N1787" s="56" t="n">
        <v>10.1</v>
      </c>
      <c r="O1787" s="56" t="n">
        <f aca="false">IF(D1787=1,"",E1786)</f>
        <v>27.5</v>
      </c>
      <c r="P1787" s="56" t="n">
        <f aca="false">IF(OR(D1787=1,K1786=""),"",K1786)</f>
        <v>1022</v>
      </c>
      <c r="Q1787" s="56" t="n">
        <f aca="false">IF(OR(F1787&lt;&gt;0,AND(I1787&lt;&gt;"",E1787&lt;I1787)),1,0)</f>
        <v>0</v>
      </c>
      <c r="R1787" s="56" t="n">
        <f aca="false">IF(AND(D1787&gt;1,Q1787=0,ISNUMBER(O1787),ISNUMBER(P1787)),IF(Q1786=0,1,0),0)</f>
        <v>1</v>
      </c>
      <c r="S1787" s="56" t="n">
        <f aca="false">R1787*(B1787&gt;=Train_Start)*(B1787&lt;=Train_End)</f>
        <v>1</v>
      </c>
      <c r="T1787" s="84" t="n">
        <f aca="false">IF(AND(ISNUMBER(O1787),ISNUMBER(P1787)),Coef_A+Coef_B1*O1787+Coef_B2*P1787,"")</f>
        <v>26.6788355466059</v>
      </c>
      <c r="U1787" s="84" t="n">
        <f aca="false">IF(AND(R1787=1,ISNUMBER(T1787)),E1787-T1787,"")</f>
        <v>2.72116445339406</v>
      </c>
      <c r="V1787" s="84" t="n">
        <f aca="false">IF(ISNUMBER(T1787),T1787,-99)</f>
        <v>26.6788355466059</v>
      </c>
      <c r="W1787" s="84" t="n">
        <f aca="false">IF(ISNUMBER(U1787),ABS(U1787),"")</f>
        <v>2.72116445339406</v>
      </c>
    </row>
    <row r="1788" customFormat="false" ht="15" hidden="false" customHeight="false" outlineLevel="0" collapsed="false">
      <c r="A1788" s="57" t="n">
        <v>33097</v>
      </c>
      <c r="B1788" s="56" t="n">
        <v>1990</v>
      </c>
      <c r="C1788" s="56" t="n">
        <v>8</v>
      </c>
      <c r="D1788" s="56" t="n">
        <v>104</v>
      </c>
      <c r="E1788" s="56" t="n">
        <v>26</v>
      </c>
      <c r="F1788" s="56" t="n">
        <v>0</v>
      </c>
      <c r="G1788" s="56" t="n">
        <v>16.5</v>
      </c>
      <c r="H1788" s="56" t="n">
        <v>0</v>
      </c>
      <c r="I1788" s="56" t="n">
        <v>23</v>
      </c>
      <c r="J1788" s="56" t="n">
        <v>0</v>
      </c>
      <c r="K1788" s="56" t="n">
        <v>1013.4</v>
      </c>
      <c r="L1788" s="56" t="n">
        <v>0</v>
      </c>
      <c r="M1788" s="56" t="n">
        <v>58</v>
      </c>
      <c r="N1788" s="56" t="n">
        <v>12.2</v>
      </c>
      <c r="O1788" s="56" t="n">
        <f aca="false">IF(D1788=1,"",E1787)</f>
        <v>29.4</v>
      </c>
      <c r="P1788" s="56" t="n">
        <f aca="false">IF(OR(D1788=1,K1787=""),"",K1787)</f>
        <v>1017.9</v>
      </c>
      <c r="Q1788" s="56" t="n">
        <f aca="false">IF(OR(F1788&lt;&gt;0,AND(I1788&lt;&gt;"",E1788&lt;I1788)),1,0)</f>
        <v>0</v>
      </c>
      <c r="R1788" s="56" t="n">
        <f aca="false">IF(AND(D1788&gt;1,Q1788=0,ISNUMBER(O1788),ISNUMBER(P1788)),IF(Q1787=0,1,0),0)</f>
        <v>1</v>
      </c>
      <c r="S1788" s="56" t="n">
        <f aca="false">R1788*(B1788&gt;=Train_Start)*(B1788&lt;=Train_End)</f>
        <v>1</v>
      </c>
      <c r="T1788" s="84" t="n">
        <f aca="false">IF(AND(ISNUMBER(O1788),ISNUMBER(P1788)),Coef_A+Coef_B1*O1788+Coef_B2*P1788,"")</f>
        <v>28.1069634453876</v>
      </c>
      <c r="U1788" s="84" t="n">
        <f aca="false">IF(AND(R1788=1,ISNUMBER(T1788)),E1788-T1788,"")</f>
        <v>-2.10696344538763</v>
      </c>
      <c r="V1788" s="84" t="n">
        <f aca="false">IF(ISNUMBER(T1788),T1788,-99)</f>
        <v>28.1069634453876</v>
      </c>
      <c r="W1788" s="84" t="n">
        <f aca="false">IF(ISNUMBER(U1788),ABS(U1788),"")</f>
        <v>2.10696344538763</v>
      </c>
    </row>
    <row r="1789" customFormat="false" ht="15" hidden="false" customHeight="false" outlineLevel="0" collapsed="false">
      <c r="A1789" s="57" t="n">
        <v>33098</v>
      </c>
      <c r="B1789" s="56" t="n">
        <v>1990</v>
      </c>
      <c r="C1789" s="56" t="n">
        <v>8</v>
      </c>
      <c r="D1789" s="56" t="n">
        <v>105</v>
      </c>
      <c r="E1789" s="56" t="n">
        <v>23.9</v>
      </c>
      <c r="F1789" s="56" t="n">
        <v>0</v>
      </c>
      <c r="G1789" s="56" t="n">
        <v>13.7</v>
      </c>
      <c r="H1789" s="56" t="n">
        <v>0</v>
      </c>
      <c r="I1789" s="56" t="n">
        <v>19.8</v>
      </c>
      <c r="J1789" s="56" t="n">
        <v>0</v>
      </c>
      <c r="K1789" s="56" t="n">
        <v>1012.2</v>
      </c>
      <c r="L1789" s="56" t="n">
        <v>0</v>
      </c>
      <c r="M1789" s="56" t="n">
        <v>65</v>
      </c>
      <c r="N1789" s="56" t="n">
        <v>9.7</v>
      </c>
      <c r="O1789" s="56" t="n">
        <f aca="false">IF(D1789=1,"",E1788)</f>
        <v>26</v>
      </c>
      <c r="P1789" s="56" t="n">
        <f aca="false">IF(OR(D1789=1,K1788=""),"",K1788)</f>
        <v>1013.4</v>
      </c>
      <c r="Q1789" s="56" t="n">
        <f aca="false">IF(OR(F1789&lt;&gt;0,AND(I1789&lt;&gt;"",E1789&lt;I1789)),1,0)</f>
        <v>0</v>
      </c>
      <c r="R1789" s="56" t="n">
        <f aca="false">IF(AND(D1789&gt;1,Q1789=0,ISNUMBER(O1789),ISNUMBER(P1789)),IF(Q1788=0,1,0),0)</f>
        <v>1</v>
      </c>
      <c r="S1789" s="56" t="n">
        <f aca="false">R1789*(B1789&gt;=Train_Start)*(B1789&lt;=Train_End)</f>
        <v>1</v>
      </c>
      <c r="T1789" s="84" t="n">
        <f aca="false">IF(AND(ISNUMBER(O1789),ISNUMBER(P1789)),Coef_A+Coef_B1*O1789+Coef_B2*P1789,"")</f>
        <v>25.1800456631896</v>
      </c>
      <c r="U1789" s="84" t="n">
        <f aca="false">IF(AND(R1789=1,ISNUMBER(T1789)),E1789-T1789,"")</f>
        <v>-1.28004566318965</v>
      </c>
      <c r="V1789" s="84" t="n">
        <f aca="false">IF(ISNUMBER(T1789),T1789,-99)</f>
        <v>25.1800456631896</v>
      </c>
      <c r="W1789" s="84" t="n">
        <f aca="false">IF(ISNUMBER(U1789),ABS(U1789),"")</f>
        <v>1.28004566318965</v>
      </c>
    </row>
    <row r="1790" customFormat="false" ht="15" hidden="false" customHeight="false" outlineLevel="0" collapsed="false">
      <c r="A1790" s="57" t="n">
        <v>33099</v>
      </c>
      <c r="B1790" s="56" t="n">
        <v>1990</v>
      </c>
      <c r="C1790" s="56" t="n">
        <v>8</v>
      </c>
      <c r="D1790" s="56" t="n">
        <v>106</v>
      </c>
      <c r="E1790" s="56" t="n">
        <v>23.6</v>
      </c>
      <c r="F1790" s="56" t="n">
        <v>0</v>
      </c>
      <c r="G1790" s="56" t="n">
        <v>14.7</v>
      </c>
      <c r="H1790" s="56" t="n">
        <v>0</v>
      </c>
      <c r="I1790" s="56" t="n">
        <v>19.3</v>
      </c>
      <c r="J1790" s="56" t="n">
        <v>0</v>
      </c>
      <c r="K1790" s="56" t="n">
        <v>1011.9</v>
      </c>
      <c r="L1790" s="56" t="n">
        <v>0</v>
      </c>
      <c r="M1790" s="56" t="n">
        <v>71</v>
      </c>
      <c r="N1790" s="56" t="n">
        <v>1.1</v>
      </c>
      <c r="O1790" s="56" t="n">
        <f aca="false">IF(D1790=1,"",E1789)</f>
        <v>23.9</v>
      </c>
      <c r="P1790" s="56" t="n">
        <f aca="false">IF(OR(D1790=1,K1789=""),"",K1789)</f>
        <v>1012.2</v>
      </c>
      <c r="Q1790" s="56" t="n">
        <f aca="false">IF(OR(F1790&lt;&gt;0,AND(I1790&lt;&gt;"",E1790&lt;I1790)),1,0)</f>
        <v>0</v>
      </c>
      <c r="R1790" s="56" t="n">
        <f aca="false">IF(AND(D1790&gt;1,Q1790=0,ISNUMBER(O1790),ISNUMBER(P1790)),IF(Q1789=0,1,0),0)</f>
        <v>1</v>
      </c>
      <c r="S1790" s="56" t="n">
        <f aca="false">R1790*(B1790&gt;=Train_Start)*(B1790&lt;=Train_End)</f>
        <v>1</v>
      </c>
      <c r="T1790" s="84" t="n">
        <f aca="false">IF(AND(ISNUMBER(O1790),ISNUMBER(P1790)),Coef_A+Coef_B1*O1790+Coef_B2*P1790,"")</f>
        <v>23.4217894842393</v>
      </c>
      <c r="U1790" s="84" t="n">
        <f aca="false">IF(AND(R1790=1,ISNUMBER(T1790)),E1790-T1790,"")</f>
        <v>0.178210515760725</v>
      </c>
      <c r="V1790" s="84" t="n">
        <f aca="false">IF(ISNUMBER(T1790),T1790,-99)</f>
        <v>23.4217894842393</v>
      </c>
      <c r="W1790" s="84" t="n">
        <f aca="false">IF(ISNUMBER(U1790),ABS(U1790),"")</f>
        <v>0.178210515760725</v>
      </c>
    </row>
    <row r="1791" customFormat="false" ht="15" hidden="false" customHeight="false" outlineLevel="0" collapsed="false">
      <c r="A1791" s="57" t="n">
        <v>33100</v>
      </c>
      <c r="B1791" s="56" t="n">
        <v>1990</v>
      </c>
      <c r="C1791" s="56" t="n">
        <v>8</v>
      </c>
      <c r="D1791" s="56" t="n">
        <v>107</v>
      </c>
      <c r="E1791" s="56" t="n">
        <v>22</v>
      </c>
      <c r="F1791" s="56" t="n">
        <v>0</v>
      </c>
      <c r="G1791" s="56" t="n">
        <v>15.4</v>
      </c>
      <c r="H1791" s="56" t="n">
        <v>0</v>
      </c>
      <c r="I1791" s="56" t="n">
        <v>19.5</v>
      </c>
      <c r="J1791" s="56" t="n">
        <v>0</v>
      </c>
      <c r="K1791" s="56" t="n">
        <v>1006.6</v>
      </c>
      <c r="L1791" s="56" t="n">
        <v>0</v>
      </c>
      <c r="M1791" s="56" t="n">
        <v>79</v>
      </c>
      <c r="N1791" s="56" t="n">
        <v>1.2</v>
      </c>
      <c r="O1791" s="56" t="n">
        <f aca="false">IF(D1791=1,"",E1790)</f>
        <v>23.6</v>
      </c>
      <c r="P1791" s="56" t="n">
        <f aca="false">IF(OR(D1791=1,K1790=""),"",K1790)</f>
        <v>1011.9</v>
      </c>
      <c r="Q1791" s="56" t="n">
        <f aca="false">IF(OR(F1791&lt;&gt;0,AND(I1791&lt;&gt;"",E1791&lt;I1791)),1,0)</f>
        <v>0</v>
      </c>
      <c r="R1791" s="56" t="n">
        <f aca="false">IF(AND(D1791&gt;1,Q1791=0,ISNUMBER(O1791),ISNUMBER(P1791)),IF(Q1790=0,1,0),0)</f>
        <v>1</v>
      </c>
      <c r="S1791" s="56" t="n">
        <f aca="false">R1791*(B1791&gt;=Train_Start)*(B1791&lt;=Train_End)</f>
        <v>1</v>
      </c>
      <c r="T1791" s="84" t="n">
        <f aca="false">IF(AND(ISNUMBER(O1791),ISNUMBER(P1791)),Coef_A+Coef_B1*O1791+Coef_B2*P1791,"")</f>
        <v>23.1665767579363</v>
      </c>
      <c r="U1791" s="84" t="n">
        <f aca="false">IF(AND(R1791=1,ISNUMBER(T1791)),E1791-T1791,"")</f>
        <v>-1.16657675793628</v>
      </c>
      <c r="V1791" s="84" t="n">
        <f aca="false">IF(ISNUMBER(T1791),T1791,-99)</f>
        <v>23.1665767579363</v>
      </c>
      <c r="W1791" s="84" t="n">
        <f aca="false">IF(ISNUMBER(U1791),ABS(U1791),"")</f>
        <v>1.16657675793628</v>
      </c>
    </row>
    <row r="1792" customFormat="false" ht="15" hidden="false" customHeight="false" outlineLevel="0" collapsed="false">
      <c r="A1792" s="57" t="n">
        <v>33101</v>
      </c>
      <c r="B1792" s="56" t="n">
        <v>1990</v>
      </c>
      <c r="C1792" s="56" t="n">
        <v>8</v>
      </c>
      <c r="D1792" s="56" t="n">
        <v>108</v>
      </c>
      <c r="E1792" s="56" t="n">
        <v>20.5</v>
      </c>
      <c r="F1792" s="56" t="n">
        <v>0</v>
      </c>
      <c r="G1792" s="56" t="n">
        <v>13.2</v>
      </c>
      <c r="H1792" s="56" t="n">
        <v>0</v>
      </c>
      <c r="I1792" s="56" t="n">
        <v>17.6</v>
      </c>
      <c r="J1792" s="56" t="n">
        <v>0</v>
      </c>
      <c r="K1792" s="56" t="n">
        <v>1010</v>
      </c>
      <c r="L1792" s="56" t="n">
        <v>0</v>
      </c>
      <c r="M1792" s="56" t="n">
        <v>57</v>
      </c>
      <c r="N1792" s="56" t="n">
        <v>12.1</v>
      </c>
      <c r="O1792" s="56" t="n">
        <f aca="false">IF(D1792=1,"",E1791)</f>
        <v>22</v>
      </c>
      <c r="P1792" s="56" t="n">
        <f aca="false">IF(OR(D1792=1,K1791=""),"",K1791)</f>
        <v>1006.6</v>
      </c>
      <c r="Q1792" s="56" t="n">
        <f aca="false">IF(OR(F1792&lt;&gt;0,AND(I1792&lt;&gt;"",E1792&lt;I1792)),1,0)</f>
        <v>0</v>
      </c>
      <c r="R1792" s="56" t="n">
        <f aca="false">IF(AND(D1792&gt;1,Q1792=0,ISNUMBER(O1792),ISNUMBER(P1792)),IF(Q1791=0,1,0),0)</f>
        <v>1</v>
      </c>
      <c r="S1792" s="56" t="n">
        <f aca="false">R1792*(B1792&gt;=Train_Start)*(B1792&lt;=Train_End)</f>
        <v>1</v>
      </c>
      <c r="T1792" s="84" t="n">
        <f aca="false">IF(AND(ISNUMBER(O1792),ISNUMBER(P1792)),Coef_A+Coef_B1*O1792+Coef_B2*P1792,"")</f>
        <v>21.6893736075079</v>
      </c>
      <c r="U1792" s="84" t="n">
        <f aca="false">IF(AND(R1792=1,ISNUMBER(T1792)),E1792-T1792,"")</f>
        <v>-1.18937360750789</v>
      </c>
      <c r="V1792" s="84" t="n">
        <f aca="false">IF(ISNUMBER(T1792),T1792,-99)</f>
        <v>21.6893736075079</v>
      </c>
      <c r="W1792" s="84" t="n">
        <f aca="false">IF(ISNUMBER(U1792),ABS(U1792),"")</f>
        <v>1.18937360750789</v>
      </c>
    </row>
    <row r="1793" customFormat="false" ht="15" hidden="false" customHeight="false" outlineLevel="0" collapsed="false">
      <c r="A1793" s="57" t="n">
        <v>33102</v>
      </c>
      <c r="B1793" s="56" t="n">
        <v>1990</v>
      </c>
      <c r="C1793" s="56" t="n">
        <v>8</v>
      </c>
      <c r="D1793" s="56" t="n">
        <v>109</v>
      </c>
      <c r="E1793" s="56" t="n">
        <v>18.5</v>
      </c>
      <c r="F1793" s="56" t="n">
        <v>0</v>
      </c>
      <c r="G1793" s="56" t="n">
        <v>10.4</v>
      </c>
      <c r="H1793" s="56" t="n">
        <v>0</v>
      </c>
      <c r="I1793" s="56" t="n">
        <v>15.4</v>
      </c>
      <c r="J1793" s="56" t="n">
        <v>0</v>
      </c>
      <c r="K1793" s="56" t="n">
        <v>1018.4</v>
      </c>
      <c r="L1793" s="56" t="n">
        <v>0</v>
      </c>
      <c r="M1793" s="56" t="n">
        <v>59</v>
      </c>
      <c r="N1793" s="56" t="n">
        <v>9</v>
      </c>
      <c r="O1793" s="56" t="n">
        <f aca="false">IF(D1793=1,"",E1792)</f>
        <v>20.5</v>
      </c>
      <c r="P1793" s="56" t="n">
        <f aca="false">IF(OR(D1793=1,K1792=""),"",K1792)</f>
        <v>1010</v>
      </c>
      <c r="Q1793" s="56" t="n">
        <f aca="false">IF(OR(F1793&lt;&gt;0,AND(I1793&lt;&gt;"",E1793&lt;I1793)),1,0)</f>
        <v>0</v>
      </c>
      <c r="R1793" s="56" t="n">
        <f aca="false">IF(AND(D1793&gt;1,Q1793=0,ISNUMBER(O1793),ISNUMBER(P1793)),IF(Q1792=0,1,0),0)</f>
        <v>1</v>
      </c>
      <c r="S1793" s="56" t="n">
        <f aca="false">R1793*(B1793&gt;=Train_Start)*(B1793&lt;=Train_End)</f>
        <v>1</v>
      </c>
      <c r="T1793" s="84" t="n">
        <f aca="false">IF(AND(ISNUMBER(O1793),ISNUMBER(P1793)),Coef_A+Coef_B1*O1793+Coef_B2*P1793,"")</f>
        <v>20.5670224596995</v>
      </c>
      <c r="U1793" s="84" t="n">
        <f aca="false">IF(AND(R1793=1,ISNUMBER(T1793)),E1793-T1793,"")</f>
        <v>-2.06702245969946</v>
      </c>
      <c r="V1793" s="84" t="n">
        <f aca="false">IF(ISNUMBER(T1793),T1793,-99)</f>
        <v>20.5670224596995</v>
      </c>
      <c r="W1793" s="84" t="n">
        <f aca="false">IF(ISNUMBER(U1793),ABS(U1793),"")</f>
        <v>2.06702245969946</v>
      </c>
    </row>
    <row r="1794" customFormat="false" ht="15" hidden="false" customHeight="false" outlineLevel="0" collapsed="false">
      <c r="A1794" s="57" t="n">
        <v>33103</v>
      </c>
      <c r="B1794" s="56" t="n">
        <v>1990</v>
      </c>
      <c r="C1794" s="56" t="n">
        <v>8</v>
      </c>
      <c r="D1794" s="56" t="n">
        <v>110</v>
      </c>
      <c r="E1794" s="56" t="n">
        <v>22.2</v>
      </c>
      <c r="F1794" s="56" t="n">
        <v>0</v>
      </c>
      <c r="G1794" s="56" t="n">
        <v>12.8</v>
      </c>
      <c r="H1794" s="56" t="n">
        <v>0</v>
      </c>
      <c r="I1794" s="56" t="n">
        <v>15.6</v>
      </c>
      <c r="J1794" s="56" t="n">
        <v>0</v>
      </c>
      <c r="K1794" s="56" t="n">
        <v>1017.1</v>
      </c>
      <c r="L1794" s="56" t="n">
        <v>0</v>
      </c>
      <c r="M1794" s="56" t="n">
        <v>82</v>
      </c>
      <c r="N1794" s="56" t="n">
        <v>0</v>
      </c>
      <c r="O1794" s="56" t="n">
        <f aca="false">IF(D1794=1,"",E1793)</f>
        <v>18.5</v>
      </c>
      <c r="P1794" s="56" t="n">
        <f aca="false">IF(OR(D1794=1,K1793=""),"",K1793)</f>
        <v>1018.4</v>
      </c>
      <c r="Q1794" s="56" t="n">
        <f aca="false">IF(OR(F1794&lt;&gt;0,AND(I1794&lt;&gt;"",E1794&lt;I1794)),1,0)</f>
        <v>0</v>
      </c>
      <c r="R1794" s="56" t="n">
        <f aca="false">IF(AND(D1794&gt;1,Q1794=0,ISNUMBER(O1794),ISNUMBER(P1794)),IF(Q1793=0,1,0),0)</f>
        <v>1</v>
      </c>
      <c r="S1794" s="56" t="n">
        <f aca="false">R1794*(B1794&gt;=Train_Start)*(B1794&lt;=Train_End)</f>
        <v>1</v>
      </c>
      <c r="T1794" s="84" t="n">
        <f aca="false">IF(AND(ISNUMBER(O1794),ISNUMBER(P1794)),Coef_A+Coef_B1*O1794+Coef_B2*P1794,"")</f>
        <v>19.1918511885397</v>
      </c>
      <c r="U1794" s="84" t="n">
        <f aca="false">IF(AND(R1794=1,ISNUMBER(T1794)),E1794-T1794,"")</f>
        <v>3.00814881146034</v>
      </c>
      <c r="V1794" s="84" t="n">
        <f aca="false">IF(ISNUMBER(T1794),T1794,-99)</f>
        <v>19.1918511885397</v>
      </c>
      <c r="W1794" s="84" t="n">
        <f aca="false">IF(ISNUMBER(U1794),ABS(U1794),"")</f>
        <v>3.00814881146034</v>
      </c>
    </row>
    <row r="1795" customFormat="false" ht="15" hidden="false" customHeight="false" outlineLevel="0" collapsed="false">
      <c r="A1795" s="57" t="n">
        <v>33104</v>
      </c>
      <c r="B1795" s="56" t="n">
        <v>1990</v>
      </c>
      <c r="C1795" s="56" t="n">
        <v>8</v>
      </c>
      <c r="D1795" s="56" t="n">
        <v>111</v>
      </c>
      <c r="E1795" s="56" t="n">
        <v>21.6</v>
      </c>
      <c r="F1795" s="56" t="n">
        <v>0</v>
      </c>
      <c r="G1795" s="56" t="n">
        <v>15.3</v>
      </c>
      <c r="H1795" s="56" t="n">
        <v>0</v>
      </c>
      <c r="I1795" s="56" t="n">
        <v>18.8</v>
      </c>
      <c r="J1795" s="56" t="n">
        <v>0</v>
      </c>
      <c r="K1795" s="56" t="n">
        <v>1013.6</v>
      </c>
      <c r="L1795" s="56" t="n">
        <v>0</v>
      </c>
      <c r="M1795" s="56" t="n">
        <v>91</v>
      </c>
      <c r="N1795" s="56" t="n">
        <v>0.2</v>
      </c>
      <c r="O1795" s="56" t="n">
        <f aca="false">IF(D1795=1,"",E1794)</f>
        <v>22.2</v>
      </c>
      <c r="P1795" s="56" t="n">
        <f aca="false">IF(OR(D1795=1,K1794=""),"",K1794)</f>
        <v>1017.1</v>
      </c>
      <c r="Q1795" s="56" t="n">
        <f aca="false">IF(OR(F1795&lt;&gt;0,AND(I1795&lt;&gt;"",E1795&lt;I1795)),1,0)</f>
        <v>0</v>
      </c>
      <c r="R1795" s="56" t="n">
        <f aca="false">IF(AND(D1795&gt;1,Q1795=0,ISNUMBER(O1795),ISNUMBER(P1795)),IF(Q1794=0,1,0),0)</f>
        <v>1</v>
      </c>
      <c r="S1795" s="56" t="n">
        <f aca="false">R1795*(B1795&gt;=Train_Start)*(B1795&lt;=Train_End)</f>
        <v>1</v>
      </c>
      <c r="T1795" s="84" t="n">
        <f aca="false">IF(AND(ISNUMBER(O1795),ISNUMBER(P1795)),Coef_A+Coef_B1*O1795+Coef_B2*P1795,"")</f>
        <v>22.1826253397733</v>
      </c>
      <c r="U1795" s="84" t="n">
        <f aca="false">IF(AND(R1795=1,ISNUMBER(T1795)),E1795-T1795,"")</f>
        <v>-0.582625339773308</v>
      </c>
      <c r="V1795" s="84" t="n">
        <f aca="false">IF(ISNUMBER(T1795),T1795,-99)</f>
        <v>22.1826253397733</v>
      </c>
      <c r="W1795" s="84" t="n">
        <f aca="false">IF(ISNUMBER(U1795),ABS(U1795),"")</f>
        <v>0.582625339773308</v>
      </c>
    </row>
    <row r="1796" customFormat="false" ht="15" hidden="false" customHeight="false" outlineLevel="0" collapsed="false">
      <c r="A1796" s="57" t="n">
        <v>33105</v>
      </c>
      <c r="B1796" s="56" t="n">
        <v>1990</v>
      </c>
      <c r="C1796" s="56" t="n">
        <v>8</v>
      </c>
      <c r="D1796" s="56" t="n">
        <v>112</v>
      </c>
      <c r="E1796" s="56" t="n">
        <v>22</v>
      </c>
      <c r="F1796" s="56" t="n">
        <v>0</v>
      </c>
      <c r="G1796" s="56" t="n">
        <v>13.6</v>
      </c>
      <c r="H1796" s="56" t="n">
        <v>0</v>
      </c>
      <c r="I1796" s="56" t="n">
        <v>17.6</v>
      </c>
      <c r="J1796" s="56" t="n">
        <v>0</v>
      </c>
      <c r="K1796" s="56" t="n">
        <v>1017</v>
      </c>
      <c r="L1796" s="56" t="n">
        <v>0</v>
      </c>
      <c r="M1796" s="56" t="n">
        <v>64</v>
      </c>
      <c r="N1796" s="56" t="n">
        <v>10.3</v>
      </c>
      <c r="O1796" s="56" t="n">
        <f aca="false">IF(D1796=1,"",E1795)</f>
        <v>21.6</v>
      </c>
      <c r="P1796" s="56" t="n">
        <f aca="false">IF(OR(D1796=1,K1795=""),"",K1795)</f>
        <v>1013.6</v>
      </c>
      <c r="Q1796" s="56" t="n">
        <f aca="false">IF(OR(F1796&lt;&gt;0,AND(I1796&lt;&gt;"",E1796&lt;I1796)),1,0)</f>
        <v>0</v>
      </c>
      <c r="R1796" s="56" t="n">
        <f aca="false">IF(AND(D1796&gt;1,Q1796=0,ISNUMBER(O1796),ISNUMBER(P1796)),IF(Q1795=0,1,0),0)</f>
        <v>1</v>
      </c>
      <c r="S1796" s="56" t="n">
        <f aca="false">R1796*(B1796&gt;=Train_Start)*(B1796&lt;=Train_End)</f>
        <v>1</v>
      </c>
      <c r="T1796" s="84" t="n">
        <f aca="false">IF(AND(ISNUMBER(O1796),ISNUMBER(P1796)),Coef_A+Coef_B1*O1796+Coef_B2*P1796,"")</f>
        <v>21.5812271927288</v>
      </c>
      <c r="U1796" s="84" t="n">
        <f aca="false">IF(AND(R1796=1,ISNUMBER(T1796)),E1796-T1796,"")</f>
        <v>0.41877280727125</v>
      </c>
      <c r="V1796" s="84" t="n">
        <f aca="false">IF(ISNUMBER(T1796),T1796,-99)</f>
        <v>21.5812271927288</v>
      </c>
      <c r="W1796" s="84" t="n">
        <f aca="false">IF(ISNUMBER(U1796),ABS(U1796),"")</f>
        <v>0.41877280727125</v>
      </c>
    </row>
    <row r="1797" customFormat="false" ht="15" hidden="false" customHeight="false" outlineLevel="0" collapsed="false">
      <c r="A1797" s="57" t="n">
        <v>33106</v>
      </c>
      <c r="B1797" s="56" t="n">
        <v>1990</v>
      </c>
      <c r="C1797" s="56" t="n">
        <v>8</v>
      </c>
      <c r="D1797" s="56" t="n">
        <v>113</v>
      </c>
      <c r="E1797" s="56" t="n">
        <v>26.7</v>
      </c>
      <c r="F1797" s="56" t="n">
        <v>0</v>
      </c>
      <c r="G1797" s="56" t="n">
        <v>14.4</v>
      </c>
      <c r="H1797" s="56" t="n">
        <v>0</v>
      </c>
      <c r="I1797" s="56" t="n">
        <v>18.2</v>
      </c>
      <c r="J1797" s="56" t="n">
        <v>0</v>
      </c>
      <c r="K1797" s="56" t="n">
        <v>1023.8</v>
      </c>
      <c r="L1797" s="56" t="n">
        <v>0</v>
      </c>
      <c r="M1797" s="56" t="n">
        <v>68</v>
      </c>
      <c r="N1797" s="56" t="n">
        <v>7.1</v>
      </c>
      <c r="O1797" s="56" t="n">
        <f aca="false">IF(D1797=1,"",E1796)</f>
        <v>22</v>
      </c>
      <c r="P1797" s="56" t="n">
        <f aca="false">IF(OR(D1797=1,K1796=""),"",K1796)</f>
        <v>1017</v>
      </c>
      <c r="Q1797" s="56" t="n">
        <f aca="false">IF(OR(F1797&lt;&gt;0,AND(I1797&lt;&gt;"",E1797&lt;I1797)),1,0)</f>
        <v>0</v>
      </c>
      <c r="R1797" s="56" t="n">
        <f aca="false">IF(AND(D1797&gt;1,Q1797=0,ISNUMBER(O1797),ISNUMBER(P1797)),IF(Q1796=0,1,0),0)</f>
        <v>1</v>
      </c>
      <c r="S1797" s="56" t="n">
        <f aca="false">R1797*(B1797&gt;=Train_Start)*(B1797&lt;=Train_End)</f>
        <v>1</v>
      </c>
      <c r="T1797" s="84" t="n">
        <f aca="false">IF(AND(ISNUMBER(O1797),ISNUMBER(P1797)),Coef_A+Coef_B1*O1797+Coef_B2*P1797,"")</f>
        <v>22.0156205117014</v>
      </c>
      <c r="U1797" s="84" t="n">
        <f aca="false">IF(AND(R1797=1,ISNUMBER(T1797)),E1797-T1797,"")</f>
        <v>4.68437948829862</v>
      </c>
      <c r="V1797" s="84" t="n">
        <f aca="false">IF(ISNUMBER(T1797),T1797,-99)</f>
        <v>22.0156205117014</v>
      </c>
      <c r="W1797" s="84" t="n">
        <f aca="false">IF(ISNUMBER(U1797),ABS(U1797),"")</f>
        <v>4.68437948829862</v>
      </c>
    </row>
    <row r="1798" customFormat="false" ht="15" hidden="false" customHeight="false" outlineLevel="0" collapsed="false">
      <c r="A1798" s="57" t="n">
        <v>33107</v>
      </c>
      <c r="B1798" s="56" t="n">
        <v>1990</v>
      </c>
      <c r="C1798" s="56" t="n">
        <v>8</v>
      </c>
      <c r="D1798" s="56" t="n">
        <v>114</v>
      </c>
      <c r="E1798" s="56" t="n">
        <v>27.6</v>
      </c>
      <c r="F1798" s="56" t="n">
        <v>0</v>
      </c>
      <c r="G1798" s="56" t="n">
        <v>12.9</v>
      </c>
      <c r="H1798" s="56" t="n">
        <v>0</v>
      </c>
      <c r="I1798" s="56" t="n">
        <v>19.8</v>
      </c>
      <c r="J1798" s="56" t="n">
        <v>0</v>
      </c>
      <c r="K1798" s="56" t="n">
        <v>1025.4</v>
      </c>
      <c r="L1798" s="56" t="n">
        <v>0</v>
      </c>
      <c r="M1798" s="56" t="n">
        <v>72</v>
      </c>
      <c r="N1798" s="56" t="n">
        <v>9.1</v>
      </c>
      <c r="O1798" s="56" t="n">
        <f aca="false">IF(D1798=1,"",E1797)</f>
        <v>26.7</v>
      </c>
      <c r="P1798" s="56" t="n">
        <f aca="false">IF(OR(D1798=1,K1797=""),"",K1797)</f>
        <v>1023.8</v>
      </c>
      <c r="Q1798" s="56" t="n">
        <f aca="false">IF(OR(F1798&lt;&gt;0,AND(I1798&lt;&gt;"",E1798&lt;I1798)),1,0)</f>
        <v>0</v>
      </c>
      <c r="R1798" s="56" t="n">
        <f aca="false">IF(AND(D1798&gt;1,Q1798=0,ISNUMBER(O1798),ISNUMBER(P1798)),IF(Q1797=0,1,0),0)</f>
        <v>1</v>
      </c>
      <c r="S1798" s="56" t="n">
        <f aca="false">R1798*(B1798&gt;=Train_Start)*(B1798&lt;=Train_End)</f>
        <v>1</v>
      </c>
      <c r="T1798" s="84" t="n">
        <f aca="false">IF(AND(ISNUMBER(O1798),ISNUMBER(P1798)),Coef_A+Coef_B1*O1798+Coef_B2*P1798,"")</f>
        <v>26.079830002513</v>
      </c>
      <c r="U1798" s="84" t="n">
        <f aca="false">IF(AND(R1798=1,ISNUMBER(T1798)),E1798-T1798,"")</f>
        <v>1.52016999748701</v>
      </c>
      <c r="V1798" s="84" t="n">
        <f aca="false">IF(ISNUMBER(T1798),T1798,-99)</f>
        <v>26.079830002513</v>
      </c>
      <c r="W1798" s="84" t="n">
        <f aca="false">IF(ISNUMBER(U1798),ABS(U1798),"")</f>
        <v>1.52016999748701</v>
      </c>
    </row>
    <row r="1799" customFormat="false" ht="15" hidden="false" customHeight="false" outlineLevel="0" collapsed="false">
      <c r="A1799" s="57" t="n">
        <v>33108</v>
      </c>
      <c r="B1799" s="56" t="n">
        <v>1990</v>
      </c>
      <c r="C1799" s="56" t="n">
        <v>8</v>
      </c>
      <c r="D1799" s="56" t="n">
        <v>115</v>
      </c>
      <c r="E1799" s="56" t="n">
        <v>27.8</v>
      </c>
      <c r="F1799" s="56" t="n">
        <v>0</v>
      </c>
      <c r="G1799" s="56" t="n">
        <v>18</v>
      </c>
      <c r="H1799" s="56" t="n">
        <v>0</v>
      </c>
      <c r="I1799" s="56" t="n">
        <v>22.8</v>
      </c>
      <c r="J1799" s="56" t="n">
        <v>0</v>
      </c>
      <c r="K1799" s="56" t="n">
        <v>1024.8</v>
      </c>
      <c r="L1799" s="56" t="n">
        <v>0</v>
      </c>
      <c r="M1799" s="56" t="n">
        <v>72</v>
      </c>
      <c r="N1799" s="56" t="n">
        <v>3.8</v>
      </c>
      <c r="O1799" s="56" t="n">
        <f aca="false">IF(D1799=1,"",E1798)</f>
        <v>27.6</v>
      </c>
      <c r="P1799" s="56" t="n">
        <f aca="false">IF(OR(D1799=1,K1798=""),"",K1798)</f>
        <v>1025.4</v>
      </c>
      <c r="Q1799" s="56" t="n">
        <f aca="false">IF(OR(F1799&lt;&gt;0,AND(I1799&lt;&gt;"",E1799&lt;I1799)),1,0)</f>
        <v>0</v>
      </c>
      <c r="R1799" s="56" t="n">
        <f aca="false">IF(AND(D1799&gt;1,Q1799=0,ISNUMBER(O1799),ISNUMBER(P1799)),IF(Q1798=0,1,0),0)</f>
        <v>1</v>
      </c>
      <c r="S1799" s="56" t="n">
        <f aca="false">R1799*(B1799&gt;=Train_Start)*(B1799&lt;=Train_End)</f>
        <v>1</v>
      </c>
      <c r="T1799" s="84" t="n">
        <f aca="false">IF(AND(ISNUMBER(O1799),ISNUMBER(P1799)),Coef_A+Coef_B1*O1799+Coef_B2*P1799,"")</f>
        <v>26.8674271076658</v>
      </c>
      <c r="U1799" s="84" t="n">
        <f aca="false">IF(AND(R1799=1,ISNUMBER(T1799)),E1799-T1799,"")</f>
        <v>0.932572892334225</v>
      </c>
      <c r="V1799" s="84" t="n">
        <f aca="false">IF(ISNUMBER(T1799),T1799,-99)</f>
        <v>26.8674271076658</v>
      </c>
      <c r="W1799" s="84" t="n">
        <f aca="false">IF(ISNUMBER(U1799),ABS(U1799),"")</f>
        <v>0.932572892334225</v>
      </c>
    </row>
    <row r="1800" customFormat="false" ht="15" hidden="false" customHeight="false" outlineLevel="0" collapsed="false">
      <c r="A1800" s="57" t="n">
        <v>33109</v>
      </c>
      <c r="B1800" s="56" t="n">
        <v>1990</v>
      </c>
      <c r="C1800" s="56" t="n">
        <v>8</v>
      </c>
      <c r="D1800" s="56" t="n">
        <v>116</v>
      </c>
      <c r="E1800" s="56" t="n">
        <v>27.7</v>
      </c>
      <c r="F1800" s="56" t="n">
        <v>0</v>
      </c>
      <c r="G1800" s="56" t="n">
        <v>17.9</v>
      </c>
      <c r="H1800" s="56" t="n">
        <v>0</v>
      </c>
      <c r="I1800" s="56" t="n">
        <v>22.8</v>
      </c>
      <c r="J1800" s="56" t="n">
        <v>0</v>
      </c>
      <c r="K1800" s="56" t="n">
        <v>1018.3</v>
      </c>
      <c r="L1800" s="56" t="n">
        <v>0</v>
      </c>
      <c r="M1800" s="56" t="n">
        <v>67</v>
      </c>
      <c r="N1800" s="56" t="n">
        <v>7.3</v>
      </c>
      <c r="O1800" s="56" t="n">
        <f aca="false">IF(D1800=1,"",E1799)</f>
        <v>27.8</v>
      </c>
      <c r="P1800" s="56" t="n">
        <f aca="false">IF(OR(D1800=1,K1799=""),"",K1799)</f>
        <v>1024.8</v>
      </c>
      <c r="Q1800" s="56" t="n">
        <f aca="false">IF(OR(F1800&lt;&gt;0,AND(I1800&lt;&gt;"",E1800&lt;I1800)),1,0)</f>
        <v>0</v>
      </c>
      <c r="R1800" s="56" t="n">
        <f aca="false">IF(AND(D1800&gt;1,Q1800=0,ISNUMBER(O1800),ISNUMBER(P1800)),IF(Q1799=0,1,0),0)</f>
        <v>1</v>
      </c>
      <c r="S1800" s="56" t="n">
        <f aca="false">R1800*(B1800&gt;=Train_Start)*(B1800&lt;=Train_End)</f>
        <v>1</v>
      </c>
      <c r="T1800" s="84" t="n">
        <f aca="false">IF(AND(ISNUMBER(O1800),ISNUMBER(P1800)),Coef_A+Coef_B1*O1800+Coef_B2*P1800,"")</f>
        <v>27.0124730094939</v>
      </c>
      <c r="U1800" s="84" t="n">
        <f aca="false">IF(AND(R1800=1,ISNUMBER(T1800)),E1800-T1800,"")</f>
        <v>0.687526990506093</v>
      </c>
      <c r="V1800" s="84" t="n">
        <f aca="false">IF(ISNUMBER(T1800),T1800,-99)</f>
        <v>27.0124730094939</v>
      </c>
      <c r="W1800" s="84" t="n">
        <f aca="false">IF(ISNUMBER(U1800),ABS(U1800),"")</f>
        <v>0.687526990506093</v>
      </c>
    </row>
    <row r="1801" customFormat="false" ht="15" hidden="false" customHeight="false" outlineLevel="0" collapsed="false">
      <c r="A1801" s="57" t="n">
        <v>33110</v>
      </c>
      <c r="B1801" s="56" t="n">
        <v>1990</v>
      </c>
      <c r="C1801" s="56" t="n">
        <v>8</v>
      </c>
      <c r="D1801" s="56" t="n">
        <v>117</v>
      </c>
      <c r="E1801" s="56" t="n">
        <v>26.9</v>
      </c>
      <c r="F1801" s="56" t="n">
        <v>0</v>
      </c>
      <c r="G1801" s="56" t="n">
        <v>16.9</v>
      </c>
      <c r="H1801" s="56" t="n">
        <v>0</v>
      </c>
      <c r="I1801" s="56" t="n">
        <v>22.3</v>
      </c>
      <c r="J1801" s="56" t="n">
        <v>0</v>
      </c>
      <c r="K1801" s="56" t="n">
        <v>1017.4</v>
      </c>
      <c r="L1801" s="56" t="n">
        <v>0</v>
      </c>
      <c r="M1801" s="56" t="n">
        <v>73</v>
      </c>
      <c r="N1801" s="56" t="n">
        <v>7.2</v>
      </c>
      <c r="O1801" s="56" t="n">
        <f aca="false">IF(D1801=1,"",E1800)</f>
        <v>27.7</v>
      </c>
      <c r="P1801" s="56" t="n">
        <f aca="false">IF(OR(D1801=1,K1800=""),"",K1800)</f>
        <v>1018.3</v>
      </c>
      <c r="Q1801" s="56" t="n">
        <f aca="false">IF(OR(F1801&lt;&gt;0,AND(I1801&lt;&gt;"",E1801&lt;I1801)),1,0)</f>
        <v>0</v>
      </c>
      <c r="R1801" s="56" t="n">
        <f aca="false">IF(AND(D1801&gt;1,Q1801=0,ISNUMBER(O1801),ISNUMBER(P1801)),IF(Q1800=0,1,0),0)</f>
        <v>1</v>
      </c>
      <c r="S1801" s="56" t="n">
        <f aca="false">R1801*(B1801&gt;=Train_Start)*(B1801&lt;=Train_End)</f>
        <v>1</v>
      </c>
      <c r="T1801" s="84" t="n">
        <f aca="false">IF(AND(ISNUMBER(O1801),ISNUMBER(P1801)),Coef_A+Coef_B1*O1801+Coef_B2*P1801,"")</f>
        <v>26.7266347750687</v>
      </c>
      <c r="U1801" s="84" t="n">
        <f aca="false">IF(AND(R1801=1,ISNUMBER(T1801)),E1801-T1801,"")</f>
        <v>0.173365224931288</v>
      </c>
      <c r="V1801" s="84" t="n">
        <f aca="false">IF(ISNUMBER(T1801),T1801,-99)</f>
        <v>26.7266347750687</v>
      </c>
      <c r="W1801" s="84" t="n">
        <f aca="false">IF(ISNUMBER(U1801),ABS(U1801),"")</f>
        <v>0.173365224931288</v>
      </c>
    </row>
    <row r="1802" customFormat="false" ht="15" hidden="false" customHeight="false" outlineLevel="0" collapsed="false">
      <c r="A1802" s="57" t="n">
        <v>33111</v>
      </c>
      <c r="B1802" s="56" t="n">
        <v>1990</v>
      </c>
      <c r="C1802" s="56" t="n">
        <v>8</v>
      </c>
      <c r="D1802" s="56" t="n">
        <v>118</v>
      </c>
      <c r="E1802" s="56" t="n">
        <v>25.2</v>
      </c>
      <c r="F1802" s="56" t="n">
        <v>0</v>
      </c>
      <c r="G1802" s="56" t="n">
        <v>16.8</v>
      </c>
      <c r="H1802" s="56" t="n">
        <v>0</v>
      </c>
      <c r="I1802" s="56" t="n">
        <v>21.8</v>
      </c>
      <c r="J1802" s="56" t="n">
        <v>0</v>
      </c>
      <c r="K1802" s="56" t="n">
        <v>1019.3</v>
      </c>
      <c r="L1802" s="56" t="n">
        <v>0</v>
      </c>
      <c r="M1802" s="56" t="n">
        <v>75</v>
      </c>
      <c r="N1802" s="56" t="n">
        <v>4.9</v>
      </c>
      <c r="O1802" s="56" t="n">
        <f aca="false">IF(D1802=1,"",E1801)</f>
        <v>26.9</v>
      </c>
      <c r="P1802" s="56" t="n">
        <f aca="false">IF(OR(D1802=1,K1801=""),"",K1801)</f>
        <v>1017.4</v>
      </c>
      <c r="Q1802" s="56" t="n">
        <f aca="false">IF(OR(F1802&lt;&gt;0,AND(I1802&lt;&gt;"",E1802&lt;I1802)),1,0)</f>
        <v>0</v>
      </c>
      <c r="R1802" s="56" t="n">
        <f aca="false">IF(AND(D1802&gt;1,Q1802=0,ISNUMBER(O1802),ISNUMBER(P1802)),IF(Q1801=0,1,0),0)</f>
        <v>1</v>
      </c>
      <c r="S1802" s="56" t="n">
        <f aca="false">R1802*(B1802&gt;=Train_Start)*(B1802&lt;=Train_End)</f>
        <v>1</v>
      </c>
      <c r="T1802" s="84" t="n">
        <f aca="false">IF(AND(ISNUMBER(O1802),ISNUMBER(P1802)),Coef_A+Coef_B1*O1802+Coef_B2*P1802,"")</f>
        <v>26.042930515464</v>
      </c>
      <c r="U1802" s="84" t="n">
        <f aca="false">IF(AND(R1802=1,ISNUMBER(T1802)),E1802-T1802,"")</f>
        <v>-0.842930515463994</v>
      </c>
      <c r="V1802" s="84" t="n">
        <f aca="false">IF(ISNUMBER(T1802),T1802,-99)</f>
        <v>26.042930515464</v>
      </c>
      <c r="W1802" s="84" t="n">
        <f aca="false">IF(ISNUMBER(U1802),ABS(U1802),"")</f>
        <v>0.842930515463994</v>
      </c>
    </row>
    <row r="1803" customFormat="false" ht="15" hidden="false" customHeight="false" outlineLevel="0" collapsed="false">
      <c r="A1803" s="57" t="n">
        <v>33112</v>
      </c>
      <c r="B1803" s="56" t="n">
        <v>1990</v>
      </c>
      <c r="C1803" s="56" t="n">
        <v>8</v>
      </c>
      <c r="D1803" s="56" t="n">
        <v>119</v>
      </c>
      <c r="E1803" s="56" t="n">
        <v>27.7</v>
      </c>
      <c r="F1803" s="56" t="n">
        <v>0</v>
      </c>
      <c r="G1803" s="56" t="n">
        <v>15.5</v>
      </c>
      <c r="H1803" s="56" t="n">
        <v>0</v>
      </c>
      <c r="I1803" s="56" t="n">
        <v>20.4</v>
      </c>
      <c r="J1803" s="56" t="n">
        <v>0</v>
      </c>
      <c r="K1803" s="56" t="n">
        <v>1018.4</v>
      </c>
      <c r="L1803" s="56" t="n">
        <v>0</v>
      </c>
      <c r="M1803" s="56" t="n">
        <v>77</v>
      </c>
      <c r="N1803" s="56" t="n">
        <v>3.1</v>
      </c>
      <c r="O1803" s="56" t="n">
        <f aca="false">IF(D1803=1,"",E1802)</f>
        <v>25.2</v>
      </c>
      <c r="P1803" s="56" t="n">
        <f aca="false">IF(OR(D1803=1,K1802=""),"",K1802)</f>
        <v>1019.3</v>
      </c>
      <c r="Q1803" s="56" t="n">
        <f aca="false">IF(OR(F1803&lt;&gt;0,AND(I1803&lt;&gt;"",E1803&lt;I1803)),1,0)</f>
        <v>0</v>
      </c>
      <c r="R1803" s="56" t="n">
        <f aca="false">IF(AND(D1803&gt;1,Q1803=0,ISNUMBER(O1803),ISNUMBER(P1803)),IF(Q1802=0,1,0),0)</f>
        <v>1</v>
      </c>
      <c r="S1803" s="56" t="n">
        <f aca="false">R1803*(B1803&gt;=Train_Start)*(B1803&lt;=Train_End)</f>
        <v>1</v>
      </c>
      <c r="T1803" s="84" t="n">
        <f aca="false">IF(AND(ISNUMBER(O1803),ISNUMBER(P1803)),Coef_A+Coef_B1*O1803+Coef_B2*P1803,"")</f>
        <v>24.7096566870961</v>
      </c>
      <c r="U1803" s="84" t="n">
        <f aca="false">IF(AND(R1803=1,ISNUMBER(T1803)),E1803-T1803,"")</f>
        <v>2.99034331290395</v>
      </c>
      <c r="V1803" s="84" t="n">
        <f aca="false">IF(ISNUMBER(T1803),T1803,-99)</f>
        <v>24.7096566870961</v>
      </c>
      <c r="W1803" s="84" t="n">
        <f aca="false">IF(ISNUMBER(U1803),ABS(U1803),"")</f>
        <v>2.99034331290395</v>
      </c>
    </row>
    <row r="1804" customFormat="false" ht="15" hidden="false" customHeight="false" outlineLevel="0" collapsed="false">
      <c r="A1804" s="57" t="n">
        <v>33113</v>
      </c>
      <c r="B1804" s="56" t="n">
        <v>1990</v>
      </c>
      <c r="C1804" s="56" t="n">
        <v>8</v>
      </c>
      <c r="D1804" s="56" t="n">
        <v>120</v>
      </c>
      <c r="E1804" s="56" t="n">
        <v>30.3</v>
      </c>
      <c r="F1804" s="56" t="n">
        <v>0</v>
      </c>
      <c r="G1804" s="56" t="n">
        <v>15.6</v>
      </c>
      <c r="H1804" s="56" t="n">
        <v>0</v>
      </c>
      <c r="I1804" s="56" t="n">
        <v>21.6</v>
      </c>
      <c r="J1804" s="56" t="n">
        <v>0</v>
      </c>
      <c r="K1804" s="56" t="n">
        <v>1017.5</v>
      </c>
      <c r="L1804" s="56" t="n">
        <v>0</v>
      </c>
      <c r="M1804" s="56" t="n">
        <v>67</v>
      </c>
      <c r="N1804" s="56" t="n">
        <v>11.3</v>
      </c>
      <c r="O1804" s="56" t="n">
        <f aca="false">IF(D1804=1,"",E1803)</f>
        <v>27.7</v>
      </c>
      <c r="P1804" s="56" t="n">
        <f aca="false">IF(OR(D1804=1,K1803=""),"",K1803)</f>
        <v>1018.4</v>
      </c>
      <c r="Q1804" s="56" t="n">
        <f aca="false">IF(OR(F1804&lt;&gt;0,AND(I1804&lt;&gt;"",E1804&lt;I1804)),1,0)</f>
        <v>0</v>
      </c>
      <c r="R1804" s="56" t="n">
        <f aca="false">IF(AND(D1804&gt;1,Q1804=0,ISNUMBER(O1804),ISNUMBER(P1804)),IF(Q1803=0,1,0),0)</f>
        <v>1</v>
      </c>
      <c r="S1804" s="56" t="n">
        <f aca="false">R1804*(B1804&gt;=Train_Start)*(B1804&lt;=Train_End)</f>
        <v>1</v>
      </c>
      <c r="T1804" s="84" t="n">
        <f aca="false">IF(AND(ISNUMBER(O1804),ISNUMBER(P1804)),Coef_A+Coef_B1*O1804+Coef_B2*P1804,"")</f>
        <v>26.7297717645321</v>
      </c>
      <c r="U1804" s="84" t="n">
        <f aca="false">IF(AND(R1804=1,ISNUMBER(T1804)),E1804-T1804,"")</f>
        <v>3.57022823546789</v>
      </c>
      <c r="V1804" s="84" t="n">
        <f aca="false">IF(ISNUMBER(T1804),T1804,-99)</f>
        <v>26.7297717645321</v>
      </c>
      <c r="W1804" s="84" t="n">
        <f aca="false">IF(ISNUMBER(U1804),ABS(U1804),"")</f>
        <v>3.57022823546789</v>
      </c>
    </row>
    <row r="1805" customFormat="false" ht="15" hidden="false" customHeight="false" outlineLevel="0" collapsed="false">
      <c r="A1805" s="57" t="n">
        <v>33114</v>
      </c>
      <c r="B1805" s="56" t="n">
        <v>1990</v>
      </c>
      <c r="C1805" s="56" t="n">
        <v>8</v>
      </c>
      <c r="D1805" s="56" t="n">
        <v>121</v>
      </c>
      <c r="E1805" s="56" t="n">
        <v>21.8</v>
      </c>
      <c r="F1805" s="56" t="n">
        <v>1</v>
      </c>
      <c r="G1805" s="56" t="n">
        <v>15.6</v>
      </c>
      <c r="H1805" s="56" t="n">
        <v>0</v>
      </c>
      <c r="I1805" s="56" t="n">
        <v>23</v>
      </c>
      <c r="J1805" s="56" t="n">
        <v>1</v>
      </c>
      <c r="K1805" s="56" t="n">
        <v>1012</v>
      </c>
      <c r="L1805" s="56" t="n">
        <v>0</v>
      </c>
      <c r="M1805" s="56" t="n">
        <v>67</v>
      </c>
      <c r="N1805" s="56" t="n">
        <v>9.1</v>
      </c>
      <c r="O1805" s="56" t="n">
        <f aca="false">IF(D1805=1,"",E1804)</f>
        <v>30.3</v>
      </c>
      <c r="P1805" s="56" t="n">
        <f aca="false">IF(OR(D1805=1,K1804=""),"",K1804)</f>
        <v>1017.5</v>
      </c>
      <c r="Q1805" s="56" t="n">
        <f aca="false">IF(OR(F1805&lt;&gt;0,AND(I1805&lt;&gt;"",E1805&lt;I1805)),1,0)</f>
        <v>1</v>
      </c>
      <c r="R1805" s="56" t="n">
        <f aca="false">IF(AND(D1805&gt;1,Q1805=0,ISNUMBER(O1805),ISNUMBER(P1805)),IF(Q1804=0,1,0),0)</f>
        <v>0</v>
      </c>
      <c r="S1805" s="56" t="n">
        <f aca="false">R1805*(B1805&gt;=Train_Start)*(B1805&lt;=Train_End)</f>
        <v>0</v>
      </c>
      <c r="T1805" s="84" t="n">
        <f aca="false">IF(AND(ISNUMBER(O1805),ISNUMBER(P1805)),Coef_A+Coef_B1*O1805+Coef_B2*P1805,"")</f>
        <v>28.8318207612724</v>
      </c>
      <c r="U1805" s="84" t="str">
        <f aca="false">IF(AND(R1805=1,ISNUMBER(T1805)),E1805-T1805,"")</f>
        <v/>
      </c>
      <c r="V1805" s="84" t="n">
        <f aca="false">IF(ISNUMBER(T1805),T1805,-99)</f>
        <v>28.8318207612724</v>
      </c>
      <c r="W1805" s="84" t="str">
        <f aca="false">IF(ISNUMBER(U1805),ABS(U1805),"")</f>
        <v/>
      </c>
    </row>
    <row r="1806" customFormat="false" ht="15" hidden="false" customHeight="false" outlineLevel="0" collapsed="false">
      <c r="A1806" s="57" t="n">
        <v>33115</v>
      </c>
      <c r="B1806" s="56" t="n">
        <v>1990</v>
      </c>
      <c r="C1806" s="56" t="n">
        <v>8</v>
      </c>
      <c r="D1806" s="56" t="n">
        <v>122</v>
      </c>
      <c r="E1806" s="56" t="n">
        <v>20.9</v>
      </c>
      <c r="F1806" s="56" t="n">
        <v>0</v>
      </c>
      <c r="G1806" s="56" t="n">
        <v>10.9</v>
      </c>
      <c r="H1806" s="56" t="n">
        <v>0</v>
      </c>
      <c r="I1806" s="56" t="n">
        <v>16.4</v>
      </c>
      <c r="J1806" s="56" t="n">
        <v>0</v>
      </c>
      <c r="K1806" s="56" t="n">
        <v>1016.3</v>
      </c>
      <c r="L1806" s="56" t="n">
        <v>0</v>
      </c>
      <c r="M1806" s="56" t="n">
        <v>66</v>
      </c>
      <c r="N1806" s="56" t="n">
        <v>11.7</v>
      </c>
      <c r="O1806" s="56" t="n">
        <f aca="false">IF(D1806=1,"",E1805)</f>
        <v>21.8</v>
      </c>
      <c r="P1806" s="56" t="n">
        <f aca="false">IF(OR(D1806=1,K1805=""),"",K1805)</f>
        <v>1012</v>
      </c>
      <c r="Q1806" s="56" t="n">
        <f aca="false">IF(OR(F1806&lt;&gt;0,AND(I1806&lt;&gt;"",E1806&lt;I1806)),1,0)</f>
        <v>0</v>
      </c>
      <c r="R1806" s="56" t="n">
        <f aca="false">IF(AND(D1806&gt;1,Q1806=0,ISNUMBER(O1806),ISNUMBER(P1806)),IF(Q1805=0,1,0),0)</f>
        <v>0</v>
      </c>
      <c r="S1806" s="56" t="n">
        <f aca="false">R1806*(B1806&gt;=Train_Start)*(B1806&lt;=Train_End)</f>
        <v>0</v>
      </c>
      <c r="T1806" s="84" t="n">
        <f aca="false">IF(AND(ISNUMBER(O1806),ISNUMBER(P1806)),Coef_A+Coef_B1*O1806+Coef_B2*P1806,"")</f>
        <v>21.6949031999229</v>
      </c>
      <c r="U1806" s="84" t="str">
        <f aca="false">IF(AND(R1806=1,ISNUMBER(T1806)),E1806-T1806,"")</f>
        <v/>
      </c>
      <c r="V1806" s="84" t="n">
        <f aca="false">IF(ISNUMBER(T1806),T1806,-99)</f>
        <v>21.6949031999229</v>
      </c>
      <c r="W1806" s="84" t="str">
        <f aca="false">IF(ISNUMBER(U1806),ABS(U1806),"")</f>
        <v/>
      </c>
    </row>
    <row r="1807" customFormat="false" ht="15" hidden="false" customHeight="false" outlineLevel="0" collapsed="false">
      <c r="A1807" s="57" t="n">
        <v>33116</v>
      </c>
      <c r="B1807" s="56" t="n">
        <v>1990</v>
      </c>
      <c r="C1807" s="56" t="n">
        <v>8</v>
      </c>
      <c r="D1807" s="56" t="n">
        <v>123</v>
      </c>
      <c r="E1807" s="56" t="n">
        <v>23.8</v>
      </c>
      <c r="F1807" s="56" t="n">
        <v>0</v>
      </c>
      <c r="G1807" s="56" t="n">
        <v>10.4</v>
      </c>
      <c r="H1807" s="56" t="n">
        <v>0</v>
      </c>
      <c r="I1807" s="56" t="n">
        <v>15.6</v>
      </c>
      <c r="J1807" s="56" t="n">
        <v>0</v>
      </c>
      <c r="K1807" s="56" t="n">
        <v>1016.7</v>
      </c>
      <c r="L1807" s="56" t="n">
        <v>0</v>
      </c>
      <c r="M1807" s="56" t="n">
        <v>73</v>
      </c>
      <c r="N1807" s="56" t="n">
        <v>4</v>
      </c>
      <c r="O1807" s="56" t="n">
        <f aca="false">IF(D1807=1,"",E1806)</f>
        <v>20.9</v>
      </c>
      <c r="P1807" s="56" t="n">
        <f aca="false">IF(OR(D1807=1,K1806=""),"",K1806)</f>
        <v>1016.3</v>
      </c>
      <c r="Q1807" s="56" t="n">
        <f aca="false">IF(OR(F1807&lt;&gt;0,AND(I1807&lt;&gt;"",E1807&lt;I1807)),1,0)</f>
        <v>0</v>
      </c>
      <c r="R1807" s="56" t="n">
        <f aca="false">IF(AND(D1807&gt;1,Q1807=0,ISNUMBER(O1807),ISNUMBER(P1807)),IF(Q1806=0,1,0),0)</f>
        <v>1</v>
      </c>
      <c r="S1807" s="56" t="n">
        <f aca="false">R1807*(B1807&gt;=Train_Start)*(B1807&lt;=Train_End)</f>
        <v>1</v>
      </c>
      <c r="T1807" s="84" t="n">
        <f aca="false">IF(AND(ISNUMBER(O1807),ISNUMBER(P1807)),Coef_A+Coef_B1*O1807+Coef_B2*P1807,"")</f>
        <v>21.0923884731107</v>
      </c>
      <c r="U1807" s="84" t="n">
        <f aca="false">IF(AND(R1807=1,ISNUMBER(T1807)),E1807-T1807,"")</f>
        <v>2.70761152688934</v>
      </c>
      <c r="V1807" s="84" t="n">
        <f aca="false">IF(ISNUMBER(T1807),T1807,-99)</f>
        <v>21.0923884731107</v>
      </c>
      <c r="W1807" s="84" t="n">
        <f aca="false">IF(ISNUMBER(U1807),ABS(U1807),"")</f>
        <v>2.70761152688934</v>
      </c>
    </row>
    <row r="1808" customFormat="false" ht="15" hidden="false" customHeight="false" outlineLevel="0" collapsed="false">
      <c r="A1808" s="57" t="n">
        <v>33117</v>
      </c>
      <c r="B1808" s="56" t="n">
        <v>1990</v>
      </c>
      <c r="C1808" s="56" t="n">
        <v>9</v>
      </c>
      <c r="D1808" s="56" t="n">
        <v>124</v>
      </c>
      <c r="E1808" s="56" t="n">
        <v>25.6</v>
      </c>
      <c r="F1808" s="56" t="n">
        <v>0</v>
      </c>
      <c r="G1808" s="56" t="n">
        <v>14.1</v>
      </c>
      <c r="H1808" s="56" t="n">
        <v>0</v>
      </c>
      <c r="I1808" s="56" t="n">
        <v>19</v>
      </c>
      <c r="J1808" s="56" t="n">
        <v>0</v>
      </c>
      <c r="K1808" s="56" t="n">
        <v>1018.7</v>
      </c>
      <c r="L1808" s="56" t="n">
        <v>0</v>
      </c>
      <c r="M1808" s="56" t="n">
        <v>66</v>
      </c>
      <c r="N1808" s="56" t="n">
        <v>5.6</v>
      </c>
      <c r="O1808" s="56" t="n">
        <f aca="false">IF(D1808=1,"",E1807)</f>
        <v>23.8</v>
      </c>
      <c r="P1808" s="56" t="n">
        <f aca="false">IF(OR(D1808=1,K1807=""),"",K1807)</f>
        <v>1016.7</v>
      </c>
      <c r="Q1808" s="56" t="n">
        <f aca="false">IF(OR(F1808&lt;&gt;0,AND(I1808&lt;&gt;"",E1808&lt;I1808)),1,0)</f>
        <v>0</v>
      </c>
      <c r="R1808" s="56" t="n">
        <f aca="false">IF(AND(D1808&gt;1,Q1808=0,ISNUMBER(O1808),ISNUMBER(P1808)),IF(Q1807=0,1,0),0)</f>
        <v>1</v>
      </c>
      <c r="S1808" s="56" t="n">
        <f aca="false">R1808*(B1808&gt;=Train_Start)*(B1808&lt;=Train_End)</f>
        <v>1</v>
      </c>
      <c r="T1808" s="84" t="n">
        <f aca="false">IF(AND(ISNUMBER(O1808),ISNUMBER(P1808)),Coef_A+Coef_B1*O1808+Coef_B2*P1808,"")</f>
        <v>23.481020090788</v>
      </c>
      <c r="U1808" s="84" t="n">
        <f aca="false">IF(AND(R1808=1,ISNUMBER(T1808)),E1808-T1808,"")</f>
        <v>2.11897990921204</v>
      </c>
      <c r="V1808" s="84" t="n">
        <f aca="false">IF(ISNUMBER(T1808),T1808,-99)</f>
        <v>23.481020090788</v>
      </c>
      <c r="W1808" s="84" t="n">
        <f aca="false">IF(ISNUMBER(U1808),ABS(U1808),"")</f>
        <v>2.11897990921204</v>
      </c>
    </row>
    <row r="1809" customFormat="false" ht="15" hidden="false" customHeight="false" outlineLevel="0" collapsed="false">
      <c r="A1809" s="57" t="n">
        <v>33118</v>
      </c>
      <c r="B1809" s="56" t="n">
        <v>1990</v>
      </c>
      <c r="C1809" s="56" t="n">
        <v>9</v>
      </c>
      <c r="D1809" s="56" t="n">
        <v>125</v>
      </c>
      <c r="E1809" s="56" t="n">
        <v>24.5</v>
      </c>
      <c r="F1809" s="56" t="n">
        <v>0</v>
      </c>
      <c r="G1809" s="56" t="n">
        <v>14.2</v>
      </c>
      <c r="H1809" s="56" t="n">
        <v>0</v>
      </c>
      <c r="I1809" s="56" t="n">
        <v>19.9</v>
      </c>
      <c r="J1809" s="56" t="n">
        <v>0</v>
      </c>
      <c r="K1809" s="56" t="n">
        <v>1021.1</v>
      </c>
      <c r="L1809" s="56" t="n">
        <v>0</v>
      </c>
      <c r="M1809" s="56" t="n">
        <v>67</v>
      </c>
      <c r="N1809" s="56" t="n">
        <v>8.3</v>
      </c>
      <c r="O1809" s="56" t="n">
        <f aca="false">IF(D1809=1,"",E1808)</f>
        <v>25.6</v>
      </c>
      <c r="P1809" s="56" t="n">
        <f aca="false">IF(OR(D1809=1,K1808=""),"",K1808)</f>
        <v>1018.7</v>
      </c>
      <c r="Q1809" s="56" t="n">
        <f aca="false">IF(OR(F1809&lt;&gt;0,AND(I1809&lt;&gt;"",E1809&lt;I1809)),1,0)</f>
        <v>0</v>
      </c>
      <c r="R1809" s="56" t="n">
        <f aca="false">IF(AND(D1809&gt;1,Q1809=0,ISNUMBER(O1809),ISNUMBER(P1809)),IF(Q1808=0,1,0),0)</f>
        <v>1</v>
      </c>
      <c r="S1809" s="56" t="n">
        <f aca="false">R1809*(B1809&gt;=Train_Start)*(B1809&lt;=Train_End)</f>
        <v>1</v>
      </c>
      <c r="T1809" s="84" t="n">
        <f aca="false">IF(AND(ISNUMBER(O1809),ISNUMBER(P1809)),Coef_A+Coef_B1*O1809+Coef_B2*P1809,"")</f>
        <v>25.0185704275327</v>
      </c>
      <c r="U1809" s="84" t="n">
        <f aca="false">IF(AND(R1809=1,ISNUMBER(T1809)),E1809-T1809,"")</f>
        <v>-0.51857042753273</v>
      </c>
      <c r="V1809" s="84" t="n">
        <f aca="false">IF(ISNUMBER(T1809),T1809,-99)</f>
        <v>25.0185704275327</v>
      </c>
      <c r="W1809" s="84" t="n">
        <f aca="false">IF(ISNUMBER(U1809),ABS(U1809),"")</f>
        <v>0.51857042753273</v>
      </c>
    </row>
    <row r="1810" customFormat="false" ht="15" hidden="false" customHeight="false" outlineLevel="0" collapsed="false">
      <c r="A1810" s="57" t="n">
        <v>33119</v>
      </c>
      <c r="B1810" s="56" t="n">
        <v>1990</v>
      </c>
      <c r="C1810" s="56" t="n">
        <v>9</v>
      </c>
      <c r="D1810" s="56" t="n">
        <v>126</v>
      </c>
      <c r="E1810" s="56" t="n">
        <v>20.9</v>
      </c>
      <c r="F1810" s="56" t="n">
        <v>0</v>
      </c>
      <c r="G1810" s="56" t="n">
        <v>12.7</v>
      </c>
      <c r="H1810" s="56" t="n">
        <v>0</v>
      </c>
      <c r="I1810" s="56" t="n">
        <v>18.6</v>
      </c>
      <c r="J1810" s="56" t="n">
        <v>0</v>
      </c>
      <c r="K1810" s="56" t="n">
        <v>1017.8</v>
      </c>
      <c r="L1810" s="56" t="n">
        <v>0</v>
      </c>
      <c r="M1810" s="56" t="n">
        <v>71</v>
      </c>
      <c r="N1810" s="56" t="n">
        <v>3.1</v>
      </c>
      <c r="O1810" s="56" t="n">
        <f aca="false">IF(D1810=1,"",E1809)</f>
        <v>24.5</v>
      </c>
      <c r="P1810" s="56" t="n">
        <f aca="false">IF(OR(D1810=1,K1809=""),"",K1809)</f>
        <v>1021.1</v>
      </c>
      <c r="Q1810" s="56" t="n">
        <f aca="false">IF(OR(F1810&lt;&gt;0,AND(I1810&lt;&gt;"",E1810&lt;I1810)),1,0)</f>
        <v>0</v>
      </c>
      <c r="R1810" s="56" t="n">
        <f aca="false">IF(AND(D1810&gt;1,Q1810=0,ISNUMBER(O1810),ISNUMBER(P1810)),IF(Q1809=0,1,0),0)</f>
        <v>1</v>
      </c>
      <c r="S1810" s="56" t="n">
        <f aca="false">R1810*(B1810&gt;=Train_Start)*(B1810&lt;=Train_End)</f>
        <v>1</v>
      </c>
      <c r="T1810" s="84" t="n">
        <f aca="false">IF(AND(ISNUMBER(O1810),ISNUMBER(P1810)),Coef_A+Coef_B1*O1810+Coef_B2*P1810,"")</f>
        <v>24.1925850623074</v>
      </c>
      <c r="U1810" s="84" t="n">
        <f aca="false">IF(AND(R1810=1,ISNUMBER(T1810)),E1810-T1810,"")</f>
        <v>-3.29258506230738</v>
      </c>
      <c r="V1810" s="84" t="n">
        <f aca="false">IF(ISNUMBER(T1810),T1810,-99)</f>
        <v>24.1925850623074</v>
      </c>
      <c r="W1810" s="84" t="n">
        <f aca="false">IF(ISNUMBER(U1810),ABS(U1810),"")</f>
        <v>3.29258506230738</v>
      </c>
    </row>
    <row r="1811" customFormat="false" ht="15" hidden="false" customHeight="false" outlineLevel="0" collapsed="false">
      <c r="A1811" s="57" t="n">
        <v>33120</v>
      </c>
      <c r="B1811" s="56" t="n">
        <v>1990</v>
      </c>
      <c r="C1811" s="56" t="n">
        <v>9</v>
      </c>
      <c r="D1811" s="56" t="n">
        <v>127</v>
      </c>
      <c r="E1811" s="56" t="n">
        <v>20.8</v>
      </c>
      <c r="F1811" s="56" t="n">
        <v>0</v>
      </c>
      <c r="G1811" s="56" t="n">
        <v>11</v>
      </c>
      <c r="H1811" s="56" t="n">
        <v>0</v>
      </c>
      <c r="I1811" s="56" t="n">
        <v>16</v>
      </c>
      <c r="J1811" s="56" t="n">
        <v>0</v>
      </c>
      <c r="K1811" s="56" t="n">
        <v>1016.5</v>
      </c>
      <c r="L1811" s="56" t="n">
        <v>0</v>
      </c>
      <c r="M1811" s="56" t="n">
        <v>60</v>
      </c>
      <c r="N1811" s="56" t="n">
        <v>7.7</v>
      </c>
      <c r="O1811" s="56" t="n">
        <f aca="false">IF(D1811=1,"",E1810)</f>
        <v>20.9</v>
      </c>
      <c r="P1811" s="56" t="n">
        <f aca="false">IF(OR(D1811=1,K1810=""),"",K1810)</f>
        <v>1017.8</v>
      </c>
      <c r="Q1811" s="56" t="n">
        <f aca="false">IF(OR(F1811&lt;&gt;0,AND(I1811&lt;&gt;"",E1811&lt;I1811)),1,0)</f>
        <v>0</v>
      </c>
      <c r="R1811" s="56" t="n">
        <f aca="false">IF(AND(D1811&gt;1,Q1811=0,ISNUMBER(O1811),ISNUMBER(P1811)),IF(Q1810=0,1,0),0)</f>
        <v>1</v>
      </c>
      <c r="S1811" s="56" t="n">
        <f aca="false">R1811*(B1811&gt;=Train_Start)*(B1811&lt;=Train_End)</f>
        <v>1</v>
      </c>
      <c r="T1811" s="84" t="n">
        <f aca="false">IF(AND(ISNUMBER(O1811),ISNUMBER(P1811)),Coef_A+Coef_B1*O1811+Coef_B2*P1811,"")</f>
        <v>21.1394433150616</v>
      </c>
      <c r="U1811" s="84" t="n">
        <f aca="false">IF(AND(R1811=1,ISNUMBER(T1811)),E1811-T1811,"")</f>
        <v>-0.339443315061644</v>
      </c>
      <c r="V1811" s="84" t="n">
        <f aca="false">IF(ISNUMBER(T1811),T1811,-99)</f>
        <v>21.1394433150616</v>
      </c>
      <c r="W1811" s="84" t="n">
        <f aca="false">IF(ISNUMBER(U1811),ABS(U1811),"")</f>
        <v>0.339443315061644</v>
      </c>
    </row>
    <row r="1812" customFormat="false" ht="15" hidden="false" customHeight="false" outlineLevel="0" collapsed="false">
      <c r="A1812" s="57" t="n">
        <v>33121</v>
      </c>
      <c r="B1812" s="56" t="n">
        <v>1990</v>
      </c>
      <c r="C1812" s="56" t="n">
        <v>9</v>
      </c>
      <c r="D1812" s="56" t="n">
        <v>128</v>
      </c>
      <c r="E1812" s="56" t="n">
        <v>18.8</v>
      </c>
      <c r="F1812" s="56" t="n">
        <v>0</v>
      </c>
      <c r="G1812" s="56" t="n">
        <v>8.9</v>
      </c>
      <c r="H1812" s="56" t="n">
        <v>0</v>
      </c>
      <c r="I1812" s="56" t="n">
        <v>14.8</v>
      </c>
      <c r="J1812" s="56" t="n">
        <v>0</v>
      </c>
      <c r="K1812" s="56" t="n">
        <v>1013.1</v>
      </c>
      <c r="L1812" s="56" t="n">
        <v>0</v>
      </c>
      <c r="M1812" s="56" t="n">
        <v>71</v>
      </c>
      <c r="N1812" s="56" t="n">
        <v>1.8</v>
      </c>
      <c r="O1812" s="56" t="n">
        <f aca="false">IF(D1812=1,"",E1811)</f>
        <v>20.8</v>
      </c>
      <c r="P1812" s="56" t="n">
        <f aca="false">IF(OR(D1812=1,K1811=""),"",K1811)</f>
        <v>1016.5</v>
      </c>
      <c r="Q1812" s="56" t="n">
        <f aca="false">IF(OR(F1812&lt;&gt;0,AND(I1812&lt;&gt;"",E1812&lt;I1812)),1,0)</f>
        <v>0</v>
      </c>
      <c r="R1812" s="56" t="n">
        <f aca="false">IF(AND(D1812&gt;1,Q1812=0,ISNUMBER(O1812),ISNUMBER(P1812)),IF(Q1811=0,1,0),0)</f>
        <v>1</v>
      </c>
      <c r="S1812" s="56" t="n">
        <f aca="false">R1812*(B1812&gt;=Train_Start)*(B1812&lt;=Train_End)</f>
        <v>1</v>
      </c>
      <c r="T1812" s="84" t="n">
        <f aca="false">IF(AND(ISNUMBER(O1812),ISNUMBER(P1812)),Coef_A+Coef_B1*O1812+Coef_B2*P1812,"")</f>
        <v>21.0167285327332</v>
      </c>
      <c r="U1812" s="84" t="n">
        <f aca="false">IF(AND(R1812=1,ISNUMBER(T1812)),E1812-T1812,"")</f>
        <v>-2.21672853273319</v>
      </c>
      <c r="V1812" s="84" t="n">
        <f aca="false">IF(ISNUMBER(T1812),T1812,-99)</f>
        <v>21.0167285327332</v>
      </c>
      <c r="W1812" s="84" t="n">
        <f aca="false">IF(ISNUMBER(U1812),ABS(U1812),"")</f>
        <v>2.21672853273319</v>
      </c>
    </row>
    <row r="1813" customFormat="false" ht="15" hidden="false" customHeight="false" outlineLevel="0" collapsed="false">
      <c r="A1813" s="57" t="n">
        <v>33122</v>
      </c>
      <c r="B1813" s="56" t="n">
        <v>1990</v>
      </c>
      <c r="C1813" s="56" t="n">
        <v>9</v>
      </c>
      <c r="D1813" s="56" t="n">
        <v>129</v>
      </c>
      <c r="E1813" s="56" t="n">
        <v>20.2</v>
      </c>
      <c r="F1813" s="56" t="n">
        <v>0</v>
      </c>
      <c r="G1813" s="56" t="n">
        <v>12.3</v>
      </c>
      <c r="H1813" s="56" t="n">
        <v>0</v>
      </c>
      <c r="I1813" s="56" t="n">
        <v>15.6</v>
      </c>
      <c r="J1813" s="56" t="n">
        <v>0</v>
      </c>
      <c r="K1813" s="56" t="n">
        <v>1011.4</v>
      </c>
      <c r="L1813" s="56" t="n">
        <v>0</v>
      </c>
      <c r="M1813" s="56" t="n">
        <v>60</v>
      </c>
      <c r="N1813" s="56" t="n">
        <v>9.3</v>
      </c>
      <c r="O1813" s="56" t="n">
        <f aca="false">IF(D1813=1,"",E1812)</f>
        <v>18.8</v>
      </c>
      <c r="P1813" s="56" t="n">
        <f aca="false">IF(OR(D1813=1,K1812=""),"",K1812)</f>
        <v>1013.1</v>
      </c>
      <c r="Q1813" s="56" t="n">
        <f aca="false">IF(OR(F1813&lt;&gt;0,AND(I1813&lt;&gt;"",E1813&lt;I1813)),1,0)</f>
        <v>0</v>
      </c>
      <c r="R1813" s="56" t="n">
        <f aca="false">IF(AND(D1813&gt;1,Q1813=0,ISNUMBER(O1813),ISNUMBER(P1813)),IF(Q1812=0,1,0),0)</f>
        <v>1</v>
      </c>
      <c r="S1813" s="56" t="n">
        <f aca="false">R1813*(B1813&gt;=Train_Start)*(B1813&lt;=Train_End)</f>
        <v>1</v>
      </c>
      <c r="T1813" s="84" t="n">
        <f aca="false">IF(AND(ISNUMBER(O1813),ISNUMBER(P1813)),Coef_A+Coef_B1*O1813+Coef_B2*P1813,"")</f>
        <v>19.2713925048923</v>
      </c>
      <c r="U1813" s="84" t="n">
        <f aca="false">IF(AND(R1813=1,ISNUMBER(T1813)),E1813-T1813,"")</f>
        <v>0.928607495107684</v>
      </c>
      <c r="V1813" s="84" t="n">
        <f aca="false">IF(ISNUMBER(T1813),T1813,-99)</f>
        <v>19.2713925048923</v>
      </c>
      <c r="W1813" s="84" t="n">
        <f aca="false">IF(ISNUMBER(U1813),ABS(U1813),"")</f>
        <v>0.928607495107684</v>
      </c>
    </row>
    <row r="1814" customFormat="false" ht="15" hidden="false" customHeight="false" outlineLevel="0" collapsed="false">
      <c r="A1814" s="57" t="n">
        <v>33123</v>
      </c>
      <c r="B1814" s="56" t="n">
        <v>1990</v>
      </c>
      <c r="C1814" s="56" t="n">
        <v>9</v>
      </c>
      <c r="D1814" s="56" t="n">
        <v>130</v>
      </c>
      <c r="E1814" s="56" t="n">
        <v>19.1</v>
      </c>
      <c r="F1814" s="56" t="n">
        <v>0</v>
      </c>
      <c r="G1814" s="56" t="n">
        <v>11.5</v>
      </c>
      <c r="H1814" s="56" t="n">
        <v>0</v>
      </c>
      <c r="I1814" s="56" t="n">
        <v>15.8</v>
      </c>
      <c r="J1814" s="56" t="n">
        <v>0</v>
      </c>
      <c r="K1814" s="56" t="n">
        <v>1014.3</v>
      </c>
      <c r="L1814" s="56" t="n">
        <v>0</v>
      </c>
      <c r="M1814" s="56" t="n">
        <v>56</v>
      </c>
      <c r="N1814" s="56" t="n">
        <v>7.7</v>
      </c>
      <c r="O1814" s="56" t="n">
        <f aca="false">IF(D1814=1,"",E1813)</f>
        <v>20.2</v>
      </c>
      <c r="P1814" s="56" t="n">
        <f aca="false">IF(OR(D1814=1,K1813=""),"",K1813)</f>
        <v>1011.4</v>
      </c>
      <c r="Q1814" s="56" t="n">
        <f aca="false">IF(OR(F1814&lt;&gt;0,AND(I1814&lt;&gt;"",E1814&lt;I1814)),1,0)</f>
        <v>0</v>
      </c>
      <c r="R1814" s="56" t="n">
        <f aca="false">IF(AND(D1814&gt;1,Q1814=0,ISNUMBER(O1814),ISNUMBER(P1814)),IF(Q1813=0,1,0),0)</f>
        <v>1</v>
      </c>
      <c r="S1814" s="56" t="n">
        <f aca="false">R1814*(B1814&gt;=Train_Start)*(B1814&lt;=Train_End)</f>
        <v>1</v>
      </c>
      <c r="T1814" s="84" t="n">
        <f aca="false">IF(AND(ISNUMBER(O1814),ISNUMBER(P1814)),Coef_A+Coef_B1*O1814+Coef_B2*P1814,"")</f>
        <v>20.3651385542743</v>
      </c>
      <c r="U1814" s="84" t="n">
        <f aca="false">IF(AND(R1814=1,ISNUMBER(T1814)),E1814-T1814,"")</f>
        <v>-1.26513855427425</v>
      </c>
      <c r="V1814" s="84" t="n">
        <f aca="false">IF(ISNUMBER(T1814),T1814,-99)</f>
        <v>20.3651385542743</v>
      </c>
      <c r="W1814" s="84" t="n">
        <f aca="false">IF(ISNUMBER(U1814),ABS(U1814),"")</f>
        <v>1.26513855427425</v>
      </c>
    </row>
    <row r="1815" customFormat="false" ht="15" hidden="false" customHeight="false" outlineLevel="0" collapsed="false">
      <c r="A1815" s="57" t="n">
        <v>33124</v>
      </c>
      <c r="B1815" s="56" t="n">
        <v>1990</v>
      </c>
      <c r="C1815" s="56" t="n">
        <v>9</v>
      </c>
      <c r="D1815" s="56" t="n">
        <v>131</v>
      </c>
      <c r="E1815" s="56" t="n">
        <v>21.8</v>
      </c>
      <c r="F1815" s="56" t="n">
        <v>0</v>
      </c>
      <c r="G1815" s="56" t="n">
        <v>9.2</v>
      </c>
      <c r="H1815" s="56" t="n">
        <v>0</v>
      </c>
      <c r="I1815" s="56" t="n">
        <v>14.2</v>
      </c>
      <c r="J1815" s="56" t="n">
        <v>0</v>
      </c>
      <c r="K1815" s="56" t="n">
        <v>1023.9</v>
      </c>
      <c r="L1815" s="56" t="n">
        <v>0</v>
      </c>
      <c r="M1815" s="56" t="n">
        <v>63</v>
      </c>
      <c r="N1815" s="56" t="n">
        <v>5.6</v>
      </c>
      <c r="O1815" s="56" t="n">
        <f aca="false">IF(D1815=1,"",E1814)</f>
        <v>19.1</v>
      </c>
      <c r="P1815" s="56" t="n">
        <f aca="false">IF(OR(D1815=1,K1814=""),"",K1814)</f>
        <v>1014.3</v>
      </c>
      <c r="Q1815" s="56" t="n">
        <f aca="false">IF(OR(F1815&lt;&gt;0,AND(I1815&lt;&gt;"",E1815&lt;I1815)),1,0)</f>
        <v>0</v>
      </c>
      <c r="R1815" s="56" t="n">
        <f aca="false">IF(AND(D1815&gt;1,Q1815=0,ISNUMBER(O1815),ISNUMBER(P1815)),IF(Q1814=0,1,0),0)</f>
        <v>1</v>
      </c>
      <c r="S1815" s="56" t="n">
        <f aca="false">R1815*(B1815&gt;=Train_Start)*(B1815&lt;=Train_End)</f>
        <v>1</v>
      </c>
      <c r="T1815" s="84" t="n">
        <f aca="false">IF(AND(ISNUMBER(O1815),ISNUMBER(P1815)),Coef_A+Coef_B1*O1815+Coef_B2*P1815,"")</f>
        <v>19.5548381363659</v>
      </c>
      <c r="U1815" s="84" t="n">
        <f aca="false">IF(AND(R1815=1,ISNUMBER(T1815)),E1815-T1815,"")</f>
        <v>2.2451618636341</v>
      </c>
      <c r="V1815" s="84" t="n">
        <f aca="false">IF(ISNUMBER(T1815),T1815,-99)</f>
        <v>19.5548381363659</v>
      </c>
      <c r="W1815" s="84" t="n">
        <f aca="false">IF(ISNUMBER(U1815),ABS(U1815),"")</f>
        <v>2.2451618636341</v>
      </c>
    </row>
    <row r="1816" customFormat="false" ht="15" hidden="false" customHeight="false" outlineLevel="0" collapsed="false">
      <c r="A1816" s="57" t="n">
        <v>33125</v>
      </c>
      <c r="B1816" s="56" t="n">
        <v>1990</v>
      </c>
      <c r="C1816" s="56" t="n">
        <v>9</v>
      </c>
      <c r="D1816" s="56" t="n">
        <v>132</v>
      </c>
      <c r="E1816" s="56" t="n">
        <v>20.5</v>
      </c>
      <c r="F1816" s="56" t="n">
        <v>0</v>
      </c>
      <c r="G1816" s="56" t="n">
        <v>7.7</v>
      </c>
      <c r="H1816" s="56" t="n">
        <v>0</v>
      </c>
      <c r="I1816" s="56" t="n">
        <v>14.8</v>
      </c>
      <c r="J1816" s="56" t="n">
        <v>0</v>
      </c>
      <c r="K1816" s="56" t="n">
        <v>1028.9</v>
      </c>
      <c r="L1816" s="56" t="n">
        <v>0</v>
      </c>
      <c r="M1816" s="56" t="n">
        <v>62</v>
      </c>
      <c r="N1816" s="56" t="n">
        <v>11.1</v>
      </c>
      <c r="O1816" s="56" t="n">
        <f aca="false">IF(D1816=1,"",E1815)</f>
        <v>21.8</v>
      </c>
      <c r="P1816" s="56" t="n">
        <f aca="false">IF(OR(D1816=1,K1815=""),"",K1815)</f>
        <v>1023.9</v>
      </c>
      <c r="Q1816" s="56" t="n">
        <f aca="false">IF(OR(F1816&lt;&gt;0,AND(I1816&lt;&gt;"",E1816&lt;I1816)),1,0)</f>
        <v>0</v>
      </c>
      <c r="R1816" s="56" t="n">
        <f aca="false">IF(AND(D1816&gt;1,Q1816=0,ISNUMBER(O1816),ISNUMBER(P1816)),IF(Q1815=0,1,0),0)</f>
        <v>1</v>
      </c>
      <c r="S1816" s="56" t="n">
        <f aca="false">R1816*(B1816&gt;=Train_Start)*(B1816&lt;=Train_End)</f>
        <v>1</v>
      </c>
      <c r="T1816" s="84" t="n">
        <f aca="false">IF(AND(ISNUMBER(O1816),ISNUMBER(P1816)),Coef_A+Coef_B1*O1816+Coef_B2*P1816,"")</f>
        <v>22.0682049460674</v>
      </c>
      <c r="U1816" s="84" t="n">
        <f aca="false">IF(AND(R1816=1,ISNUMBER(T1816)),E1816-T1816,"")</f>
        <v>-1.56820494606737</v>
      </c>
      <c r="V1816" s="84" t="n">
        <f aca="false">IF(ISNUMBER(T1816),T1816,-99)</f>
        <v>22.0682049460674</v>
      </c>
      <c r="W1816" s="84" t="n">
        <f aca="false">IF(ISNUMBER(U1816),ABS(U1816),"")</f>
        <v>1.56820494606737</v>
      </c>
    </row>
    <row r="1817" customFormat="false" ht="15" hidden="false" customHeight="false" outlineLevel="0" collapsed="false">
      <c r="A1817" s="57" t="n">
        <v>33126</v>
      </c>
      <c r="B1817" s="56" t="n">
        <v>1990</v>
      </c>
      <c r="C1817" s="56" t="n">
        <v>9</v>
      </c>
      <c r="D1817" s="56" t="n">
        <v>133</v>
      </c>
      <c r="E1817" s="56" t="n">
        <v>21.9</v>
      </c>
      <c r="F1817" s="56" t="n">
        <v>0</v>
      </c>
      <c r="G1817" s="56" t="n">
        <v>9.6</v>
      </c>
      <c r="H1817" s="56" t="n">
        <v>0</v>
      </c>
      <c r="I1817" s="56" t="n">
        <v>15</v>
      </c>
      <c r="J1817" s="56" t="n">
        <v>0</v>
      </c>
      <c r="K1817" s="56" t="n">
        <v>1027.4</v>
      </c>
      <c r="L1817" s="56" t="n">
        <v>0</v>
      </c>
      <c r="M1817" s="56" t="n">
        <v>70</v>
      </c>
      <c r="N1817" s="56" t="n">
        <v>6</v>
      </c>
      <c r="O1817" s="56" t="n">
        <f aca="false">IF(D1817=1,"",E1816)</f>
        <v>20.5</v>
      </c>
      <c r="P1817" s="56" t="n">
        <f aca="false">IF(OR(D1817=1,K1816=""),"",K1816)</f>
        <v>1028.9</v>
      </c>
      <c r="Q1817" s="56" t="n">
        <f aca="false">IF(OR(F1817&lt;&gt;0,AND(I1817&lt;&gt;"",E1817&lt;I1817)),1,0)</f>
        <v>0</v>
      </c>
      <c r="R1817" s="56" t="n">
        <f aca="false">IF(AND(D1817&gt;1,Q1817=0,ISNUMBER(O1817),ISNUMBER(P1817)),IF(Q1816=0,1,0),0)</f>
        <v>1</v>
      </c>
      <c r="S1817" s="56" t="n">
        <f aca="false">R1817*(B1817&gt;=Train_Start)*(B1817&lt;=Train_End)</f>
        <v>1</v>
      </c>
      <c r="T1817" s="84" t="n">
        <f aca="false">IF(AND(ISNUMBER(O1817),ISNUMBER(P1817)),Coef_A+Coef_B1*O1817+Coef_B2*P1817,"")</f>
        <v>21.1599134682819</v>
      </c>
      <c r="U1817" s="84" t="n">
        <f aca="false">IF(AND(R1817=1,ISNUMBER(T1817)),E1817-T1817,"")</f>
        <v>0.740086531718134</v>
      </c>
      <c r="V1817" s="84" t="n">
        <f aca="false">IF(ISNUMBER(T1817),T1817,-99)</f>
        <v>21.1599134682819</v>
      </c>
      <c r="W1817" s="84" t="n">
        <f aca="false">IF(ISNUMBER(U1817),ABS(U1817),"")</f>
        <v>0.740086531718134</v>
      </c>
    </row>
    <row r="1818" customFormat="false" ht="15" hidden="false" customHeight="false" outlineLevel="0" collapsed="false">
      <c r="A1818" s="57" t="n">
        <v>33127</v>
      </c>
      <c r="B1818" s="56" t="n">
        <v>1990</v>
      </c>
      <c r="C1818" s="56" t="n">
        <v>9</v>
      </c>
      <c r="D1818" s="56" t="n">
        <v>134</v>
      </c>
      <c r="E1818" s="56" t="n">
        <v>21.2</v>
      </c>
      <c r="F1818" s="56" t="n">
        <v>0</v>
      </c>
      <c r="G1818" s="56" t="n">
        <v>10.9</v>
      </c>
      <c r="H1818" s="56" t="n">
        <v>0</v>
      </c>
      <c r="I1818" s="56" t="n">
        <v>16.4</v>
      </c>
      <c r="J1818" s="56" t="n">
        <v>0</v>
      </c>
      <c r="K1818" s="56" t="n">
        <v>1026.5</v>
      </c>
      <c r="L1818" s="56" t="n">
        <v>0</v>
      </c>
      <c r="M1818" s="56" t="n">
        <v>71</v>
      </c>
      <c r="N1818" s="56" t="n">
        <v>8</v>
      </c>
      <c r="O1818" s="56" t="n">
        <f aca="false">IF(D1818=1,"",E1817)</f>
        <v>21.9</v>
      </c>
      <c r="P1818" s="56" t="n">
        <f aca="false">IF(OR(D1818=1,K1817=""),"",K1817)</f>
        <v>1027.4</v>
      </c>
      <c r="Q1818" s="56" t="n">
        <f aca="false">IF(OR(F1818&lt;&gt;0,AND(I1818&lt;&gt;"",E1818&lt;I1818)),1,0)</f>
        <v>0</v>
      </c>
      <c r="R1818" s="56" t="n">
        <f aca="false">IF(AND(D1818&gt;1,Q1818=0,ISNUMBER(O1818),ISNUMBER(P1818)),IF(Q1817=0,1,0),0)</f>
        <v>1</v>
      </c>
      <c r="S1818" s="56" t="n">
        <f aca="false">R1818*(B1818&gt;=Train_Start)*(B1818&lt;=Train_End)</f>
        <v>1</v>
      </c>
      <c r="T1818" s="84" t="n">
        <f aca="false">IF(AND(ISNUMBER(O1818),ISNUMBER(P1818)),Coef_A+Coef_B1*O1818+Coef_B2*P1818,"")</f>
        <v>22.2599334965906</v>
      </c>
      <c r="U1818" s="84" t="n">
        <f aca="false">IF(AND(R1818=1,ISNUMBER(T1818)),E1818-T1818,"")</f>
        <v>-1.05993349659061</v>
      </c>
      <c r="V1818" s="84" t="n">
        <f aca="false">IF(ISNUMBER(T1818),T1818,-99)</f>
        <v>22.2599334965906</v>
      </c>
      <c r="W1818" s="84" t="n">
        <f aca="false">IF(ISNUMBER(U1818),ABS(U1818),"")</f>
        <v>1.05993349659061</v>
      </c>
    </row>
    <row r="1819" customFormat="false" ht="15" hidden="false" customHeight="false" outlineLevel="0" collapsed="false">
      <c r="A1819" s="57" t="n">
        <v>33128</v>
      </c>
      <c r="B1819" s="56" t="n">
        <v>1990</v>
      </c>
      <c r="C1819" s="56" t="n">
        <v>9</v>
      </c>
      <c r="D1819" s="56" t="n">
        <v>135</v>
      </c>
      <c r="E1819" s="56" t="n">
        <v>22.2</v>
      </c>
      <c r="F1819" s="56" t="n">
        <v>0</v>
      </c>
      <c r="G1819" s="56" t="n">
        <v>12.4</v>
      </c>
      <c r="H1819" s="56" t="n">
        <v>0</v>
      </c>
      <c r="I1819" s="56" t="n">
        <v>16.8</v>
      </c>
      <c r="J1819" s="56" t="n">
        <v>0</v>
      </c>
      <c r="K1819" s="56" t="n">
        <v>1027.5</v>
      </c>
      <c r="L1819" s="56" t="n">
        <v>0</v>
      </c>
      <c r="M1819" s="56" t="n">
        <v>69</v>
      </c>
      <c r="N1819" s="56" t="n">
        <v>10.7</v>
      </c>
      <c r="O1819" s="56" t="n">
        <f aca="false">IF(D1819=1,"",E1818)</f>
        <v>21.2</v>
      </c>
      <c r="P1819" s="56" t="n">
        <f aca="false">IF(OR(D1819=1,K1818=""),"",K1818)</f>
        <v>1026.5</v>
      </c>
      <c r="Q1819" s="56" t="n">
        <f aca="false">IF(OR(F1819&lt;&gt;0,AND(I1819&lt;&gt;"",E1819&lt;I1819)),1,0)</f>
        <v>0</v>
      </c>
      <c r="R1819" s="56" t="n">
        <f aca="false">IF(AND(D1819&gt;1,Q1819=0,ISNUMBER(O1819),ISNUMBER(P1819)),IF(Q1818=0,1,0),0)</f>
        <v>1</v>
      </c>
      <c r="S1819" s="56" t="n">
        <f aca="false">R1819*(B1819&gt;=Train_Start)*(B1819&lt;=Train_End)</f>
        <v>1</v>
      </c>
      <c r="T1819" s="84" t="n">
        <f aca="false">IF(AND(ISNUMBER(O1819),ISNUMBER(P1819)),Coef_A+Coef_B1*O1819+Coef_B2*P1819,"")</f>
        <v>21.6581631562901</v>
      </c>
      <c r="U1819" s="84" t="n">
        <f aca="false">IF(AND(R1819=1,ISNUMBER(T1819)),E1819-T1819,"")</f>
        <v>0.541836843709852</v>
      </c>
      <c r="V1819" s="84" t="n">
        <f aca="false">IF(ISNUMBER(T1819),T1819,-99)</f>
        <v>21.6581631562901</v>
      </c>
      <c r="W1819" s="84" t="n">
        <f aca="false">IF(ISNUMBER(U1819),ABS(U1819),"")</f>
        <v>0.541836843709852</v>
      </c>
    </row>
    <row r="1820" customFormat="false" ht="15" hidden="false" customHeight="false" outlineLevel="0" collapsed="false">
      <c r="A1820" s="57" t="n">
        <v>33129</v>
      </c>
      <c r="B1820" s="56" t="n">
        <v>1990</v>
      </c>
      <c r="C1820" s="56" t="n">
        <v>9</v>
      </c>
      <c r="D1820" s="56" t="n">
        <v>136</v>
      </c>
      <c r="E1820" s="56" t="n">
        <v>22.1</v>
      </c>
      <c r="F1820" s="56" t="n">
        <v>0</v>
      </c>
      <c r="G1820" s="56" t="n">
        <v>10.5</v>
      </c>
      <c r="H1820" s="56" t="n">
        <v>0</v>
      </c>
      <c r="I1820" s="56" t="n">
        <v>16.4</v>
      </c>
      <c r="J1820" s="56" t="n">
        <v>0</v>
      </c>
      <c r="K1820" s="56" t="n">
        <v>1025.3</v>
      </c>
      <c r="L1820" s="56" t="n">
        <v>0</v>
      </c>
      <c r="M1820" s="56" t="n">
        <v>72</v>
      </c>
      <c r="N1820" s="56" t="n">
        <v>8.3</v>
      </c>
      <c r="O1820" s="56" t="n">
        <f aca="false">IF(D1820=1,"",E1819)</f>
        <v>22.2</v>
      </c>
      <c r="P1820" s="56" t="n">
        <f aca="false">IF(OR(D1820=1,K1819=""),"",K1819)</f>
        <v>1027.5</v>
      </c>
      <c r="Q1820" s="56" t="n">
        <f aca="false">IF(OR(F1820&lt;&gt;0,AND(I1820&lt;&gt;"",E1820&lt;I1820)),1,0)</f>
        <v>0</v>
      </c>
      <c r="R1820" s="56" t="n">
        <f aca="false">IF(AND(D1820&gt;1,Q1820=0,ISNUMBER(O1820),ISNUMBER(P1820)),IF(Q1819=0,1,0),0)</f>
        <v>1</v>
      </c>
      <c r="S1820" s="56" t="n">
        <f aca="false">R1820*(B1820&gt;=Train_Start)*(B1820&lt;=Train_End)</f>
        <v>1</v>
      </c>
      <c r="T1820" s="84" t="n">
        <f aca="false">IF(AND(ISNUMBER(O1820),ISNUMBER(P1820)),Coef_A+Coef_B1*O1820+Coef_B2*P1820,"")</f>
        <v>22.5088722439668</v>
      </c>
      <c r="U1820" s="84" t="n">
        <f aca="false">IF(AND(R1820=1,ISNUMBER(T1820)),E1820-T1820,"")</f>
        <v>-0.408872243966794</v>
      </c>
      <c r="V1820" s="84" t="n">
        <f aca="false">IF(ISNUMBER(T1820),T1820,-99)</f>
        <v>22.5088722439668</v>
      </c>
      <c r="W1820" s="84" t="n">
        <f aca="false">IF(ISNUMBER(U1820),ABS(U1820),"")</f>
        <v>0.408872243966794</v>
      </c>
    </row>
    <row r="1821" customFormat="false" ht="15" hidden="false" customHeight="false" outlineLevel="0" collapsed="false">
      <c r="A1821" s="57" t="n">
        <v>33130</v>
      </c>
      <c r="B1821" s="56" t="n">
        <v>1990</v>
      </c>
      <c r="C1821" s="56" t="n">
        <v>9</v>
      </c>
      <c r="D1821" s="56" t="n">
        <v>137</v>
      </c>
      <c r="E1821" s="56" t="n">
        <v>19.5</v>
      </c>
      <c r="F1821" s="56" t="n">
        <v>0</v>
      </c>
      <c r="G1821" s="56" t="n">
        <v>10.4</v>
      </c>
      <c r="H1821" s="56" t="n">
        <v>0</v>
      </c>
      <c r="I1821" s="56" t="n">
        <v>16.2</v>
      </c>
      <c r="J1821" s="56" t="n">
        <v>0</v>
      </c>
      <c r="K1821" s="56" t="n">
        <v>1026.6</v>
      </c>
      <c r="L1821" s="56" t="n">
        <v>0</v>
      </c>
      <c r="M1821" s="56" t="n">
        <v>66</v>
      </c>
      <c r="N1821" s="56" t="n">
        <v>4.8</v>
      </c>
      <c r="O1821" s="56" t="n">
        <f aca="false">IF(D1821=1,"",E1820)</f>
        <v>22.1</v>
      </c>
      <c r="P1821" s="56" t="n">
        <f aca="false">IF(OR(D1821=1,K1820=""),"",K1820)</f>
        <v>1025.3</v>
      </c>
      <c r="Q1821" s="56" t="n">
        <f aca="false">IF(OR(F1821&lt;&gt;0,AND(I1821&lt;&gt;"",E1821&lt;I1821)),1,0)</f>
        <v>0</v>
      </c>
      <c r="R1821" s="56" t="n">
        <f aca="false">IF(AND(D1821&gt;1,Q1821=0,ISNUMBER(O1821),ISNUMBER(P1821)),IF(Q1820=0,1,0),0)</f>
        <v>1</v>
      </c>
      <c r="S1821" s="56" t="n">
        <f aca="false">R1821*(B1821&gt;=Train_Start)*(B1821&lt;=Train_End)</f>
        <v>1</v>
      </c>
      <c r="T1821" s="84" t="n">
        <f aca="false">IF(AND(ISNUMBER(O1821),ISNUMBER(P1821)),Coef_A+Coef_B1*O1821+Coef_B2*P1821,"")</f>
        <v>22.3579245564678</v>
      </c>
      <c r="U1821" s="84" t="n">
        <f aca="false">IF(AND(R1821=1,ISNUMBER(T1821)),E1821-T1821,"")</f>
        <v>-2.85792455646775</v>
      </c>
      <c r="V1821" s="84" t="n">
        <f aca="false">IF(ISNUMBER(T1821),T1821,-99)</f>
        <v>22.3579245564678</v>
      </c>
      <c r="W1821" s="84" t="n">
        <f aca="false">IF(ISNUMBER(U1821),ABS(U1821),"")</f>
        <v>2.85792455646775</v>
      </c>
    </row>
    <row r="1822" customFormat="false" ht="15" hidden="false" customHeight="false" outlineLevel="0" collapsed="false">
      <c r="A1822" s="57" t="n">
        <v>33131</v>
      </c>
      <c r="B1822" s="56" t="n">
        <v>1990</v>
      </c>
      <c r="C1822" s="56" t="n">
        <v>9</v>
      </c>
      <c r="D1822" s="56" t="n">
        <v>138</v>
      </c>
      <c r="E1822" s="56" t="n">
        <v>18.8</v>
      </c>
      <c r="F1822" s="56" t="n">
        <v>0</v>
      </c>
      <c r="G1822" s="56" t="n">
        <v>12.5</v>
      </c>
      <c r="H1822" s="56" t="n">
        <v>0</v>
      </c>
      <c r="I1822" s="56" t="n">
        <v>16</v>
      </c>
      <c r="J1822" s="56" t="n">
        <v>0</v>
      </c>
      <c r="K1822" s="56" t="n">
        <v>1029.4</v>
      </c>
      <c r="L1822" s="56" t="n">
        <v>0</v>
      </c>
      <c r="M1822" s="56" t="n">
        <v>61</v>
      </c>
      <c r="N1822" s="56" t="n">
        <v>7.1</v>
      </c>
      <c r="O1822" s="56" t="n">
        <f aca="false">IF(D1822=1,"",E1821)</f>
        <v>19.5</v>
      </c>
      <c r="P1822" s="56" t="n">
        <f aca="false">IF(OR(D1822=1,K1821=""),"",K1821)</f>
        <v>1026.6</v>
      </c>
      <c r="Q1822" s="56" t="n">
        <f aca="false">IF(OR(F1822&lt;&gt;0,AND(I1822&lt;&gt;"",E1822&lt;I1822)),1,0)</f>
        <v>0</v>
      </c>
      <c r="R1822" s="56" t="n">
        <f aca="false">IF(AND(D1822&gt;1,Q1822=0,ISNUMBER(O1822),ISNUMBER(P1822)),IF(Q1821=0,1,0),0)</f>
        <v>1</v>
      </c>
      <c r="S1822" s="56" t="n">
        <f aca="false">R1822*(B1822&gt;=Train_Start)*(B1822&lt;=Train_End)</f>
        <v>1</v>
      </c>
      <c r="T1822" s="84" t="n">
        <f aca="false">IF(AND(ISNUMBER(O1822),ISNUMBER(P1822)),Coef_A+Coef_B1*O1822+Coef_B2*P1822,"")</f>
        <v>20.268423517581</v>
      </c>
      <c r="U1822" s="84" t="n">
        <f aca="false">IF(AND(R1822=1,ISNUMBER(T1822)),E1822-T1822,"")</f>
        <v>-1.46842351758103</v>
      </c>
      <c r="V1822" s="84" t="n">
        <f aca="false">IF(ISNUMBER(T1822),T1822,-99)</f>
        <v>20.268423517581</v>
      </c>
      <c r="W1822" s="84" t="n">
        <f aca="false">IF(ISNUMBER(U1822),ABS(U1822),"")</f>
        <v>1.46842351758103</v>
      </c>
    </row>
    <row r="1823" customFormat="false" ht="15" hidden="false" customHeight="false" outlineLevel="0" collapsed="false">
      <c r="A1823" s="57" t="n">
        <v>33132</v>
      </c>
      <c r="B1823" s="56" t="n">
        <v>1990</v>
      </c>
      <c r="C1823" s="56" t="n">
        <v>9</v>
      </c>
      <c r="D1823" s="56" t="n">
        <v>139</v>
      </c>
      <c r="E1823" s="56" t="n">
        <v>15.3</v>
      </c>
      <c r="F1823" s="56" t="n">
        <v>1</v>
      </c>
      <c r="G1823" s="56" t="n">
        <v>11.9</v>
      </c>
      <c r="H1823" s="56" t="n">
        <v>0</v>
      </c>
      <c r="I1823" s="56" t="n">
        <v>15.4</v>
      </c>
      <c r="J1823" s="56" t="n">
        <v>1</v>
      </c>
      <c r="K1823" s="56" t="n">
        <v>1025.6</v>
      </c>
      <c r="L1823" s="56" t="n">
        <v>0</v>
      </c>
      <c r="M1823" s="56" t="n">
        <v>56</v>
      </c>
      <c r="N1823" s="56" t="n">
        <v>0.6</v>
      </c>
      <c r="O1823" s="56" t="n">
        <f aca="false">IF(D1823=1,"",E1822)</f>
        <v>18.8</v>
      </c>
      <c r="P1823" s="56" t="n">
        <f aca="false">IF(OR(D1823=1,K1822=""),"",K1822)</f>
        <v>1029.4</v>
      </c>
      <c r="Q1823" s="56" t="n">
        <f aca="false">IF(OR(F1823&lt;&gt;0,AND(I1823&lt;&gt;"",E1823&lt;I1823)),1,0)</f>
        <v>1</v>
      </c>
      <c r="R1823" s="56" t="n">
        <f aca="false">IF(AND(D1823&gt;1,Q1823=0,ISNUMBER(O1823),ISNUMBER(P1823)),IF(Q1822=0,1,0),0)</f>
        <v>0</v>
      </c>
      <c r="S1823" s="56" t="n">
        <f aca="false">R1823*(B1823&gt;=Train_Start)*(B1823&lt;=Train_End)</f>
        <v>0</v>
      </c>
      <c r="T1823" s="84" t="n">
        <f aca="false">IF(AND(ISNUMBER(O1823),ISNUMBER(P1823)),Coef_A+Coef_B1*O1823+Coef_B2*P1823,"")</f>
        <v>19.7827217874263</v>
      </c>
      <c r="U1823" s="84" t="str">
        <f aca="false">IF(AND(R1823=1,ISNUMBER(T1823)),E1823-T1823,"")</f>
        <v/>
      </c>
      <c r="V1823" s="84" t="n">
        <f aca="false">IF(ISNUMBER(T1823),T1823,-99)</f>
        <v>19.7827217874263</v>
      </c>
      <c r="W1823" s="84" t="str">
        <f aca="false">IF(ISNUMBER(U1823),ABS(U1823),"")</f>
        <v/>
      </c>
    </row>
    <row r="1824" customFormat="false" ht="15" hidden="false" customHeight="false" outlineLevel="0" collapsed="false">
      <c r="A1824" s="57" t="n">
        <v>33133</v>
      </c>
      <c r="B1824" s="56" t="n">
        <v>1990</v>
      </c>
      <c r="C1824" s="56" t="n">
        <v>9</v>
      </c>
      <c r="D1824" s="56" t="n">
        <v>140</v>
      </c>
      <c r="E1824" s="56" t="n">
        <v>22.6</v>
      </c>
      <c r="F1824" s="56" t="n">
        <v>0</v>
      </c>
      <c r="G1824" s="56" t="n">
        <v>11</v>
      </c>
      <c r="H1824" s="56" t="n">
        <v>0</v>
      </c>
      <c r="I1824" s="56" t="n">
        <v>13.2</v>
      </c>
      <c r="J1824" s="56" t="n">
        <v>0</v>
      </c>
      <c r="K1824" s="56" t="n">
        <v>1020.6</v>
      </c>
      <c r="L1824" s="56" t="n">
        <v>0</v>
      </c>
      <c r="M1824" s="56" t="n">
        <v>76</v>
      </c>
      <c r="N1824" s="56" t="n">
        <v>1.6</v>
      </c>
      <c r="O1824" s="56" t="n">
        <f aca="false">IF(D1824=1,"",E1823)</f>
        <v>15.3</v>
      </c>
      <c r="P1824" s="56" t="n">
        <f aca="false">IF(OR(D1824=1,K1823=""),"",K1823)</f>
        <v>1025.6</v>
      </c>
      <c r="Q1824" s="56" t="n">
        <f aca="false">IF(OR(F1824&lt;&gt;0,AND(I1824&lt;&gt;"",E1824&lt;I1824)),1,0)</f>
        <v>0</v>
      </c>
      <c r="R1824" s="56" t="n">
        <f aca="false">IF(AND(D1824&gt;1,Q1824=0,ISNUMBER(O1824),ISNUMBER(P1824)),IF(Q1823=0,1,0),0)</f>
        <v>0</v>
      </c>
      <c r="S1824" s="56" t="n">
        <f aca="false">R1824*(B1824&gt;=Train_Start)*(B1824&lt;=Train_End)</f>
        <v>0</v>
      </c>
      <c r="T1824" s="84" t="n">
        <f aca="false">IF(AND(ISNUMBER(O1824),ISNUMBER(P1824)),Coef_A+Coef_B1*O1824+Coef_B2*P1824,"")</f>
        <v>16.7958290121679</v>
      </c>
      <c r="U1824" s="84" t="str">
        <f aca="false">IF(AND(R1824=1,ISNUMBER(T1824)),E1824-T1824,"")</f>
        <v/>
      </c>
      <c r="V1824" s="84" t="n">
        <f aca="false">IF(ISNUMBER(T1824),T1824,-99)</f>
        <v>16.7958290121679</v>
      </c>
      <c r="W1824" s="84" t="str">
        <f aca="false">IF(ISNUMBER(U1824),ABS(U1824),"")</f>
        <v/>
      </c>
    </row>
    <row r="1825" customFormat="false" ht="15" hidden="false" customHeight="false" outlineLevel="0" collapsed="false">
      <c r="A1825" s="57" t="n">
        <v>33134</v>
      </c>
      <c r="B1825" s="56" t="n">
        <v>1990</v>
      </c>
      <c r="C1825" s="56" t="n">
        <v>9</v>
      </c>
      <c r="D1825" s="56" t="n">
        <v>141</v>
      </c>
      <c r="E1825" s="56" t="n">
        <v>17.7</v>
      </c>
      <c r="F1825" s="56" t="n">
        <v>0</v>
      </c>
      <c r="G1825" s="56" t="n">
        <v>7.8</v>
      </c>
      <c r="H1825" s="56" t="n">
        <v>0</v>
      </c>
      <c r="I1825" s="56" t="n">
        <v>15.2</v>
      </c>
      <c r="J1825" s="56" t="n">
        <v>0</v>
      </c>
      <c r="K1825" s="56" t="n">
        <v>1020.3</v>
      </c>
      <c r="L1825" s="56" t="n">
        <v>0</v>
      </c>
      <c r="M1825" s="56" t="n">
        <v>72</v>
      </c>
      <c r="N1825" s="56" t="n">
        <v>2.9</v>
      </c>
      <c r="O1825" s="56" t="n">
        <f aca="false">IF(D1825=1,"",E1824)</f>
        <v>22.6</v>
      </c>
      <c r="P1825" s="56" t="n">
        <f aca="false">IF(OR(D1825=1,K1824=""),"",K1824)</f>
        <v>1020.6</v>
      </c>
      <c r="Q1825" s="56" t="n">
        <f aca="false">IF(OR(F1825&lt;&gt;0,AND(I1825&lt;&gt;"",E1825&lt;I1825)),1,0)</f>
        <v>0</v>
      </c>
      <c r="R1825" s="56" t="n">
        <f aca="false">IF(AND(D1825&gt;1,Q1825=0,ISNUMBER(O1825),ISNUMBER(P1825)),IF(Q1824=0,1,0),0)</f>
        <v>1</v>
      </c>
      <c r="S1825" s="56" t="n">
        <f aca="false">R1825*(B1825&gt;=Train_Start)*(B1825&lt;=Train_End)</f>
        <v>1</v>
      </c>
      <c r="T1825" s="84" t="n">
        <f aca="false">IF(AND(ISNUMBER(O1825),ISNUMBER(P1825)),Coef_A+Coef_B1*O1825+Coef_B2*P1825,"")</f>
        <v>22.6201556482093</v>
      </c>
      <c r="U1825" s="84" t="n">
        <f aca="false">IF(AND(R1825=1,ISNUMBER(T1825)),E1825-T1825,"")</f>
        <v>-4.92015564820934</v>
      </c>
      <c r="V1825" s="84" t="n">
        <f aca="false">IF(ISNUMBER(T1825),T1825,-99)</f>
        <v>22.6201556482093</v>
      </c>
      <c r="W1825" s="84" t="n">
        <f aca="false">IF(ISNUMBER(U1825),ABS(U1825),"")</f>
        <v>4.92015564820934</v>
      </c>
    </row>
    <row r="1826" customFormat="false" ht="15" hidden="false" customHeight="false" outlineLevel="0" collapsed="false">
      <c r="A1826" s="57" t="n">
        <v>33135</v>
      </c>
      <c r="B1826" s="56" t="n">
        <v>1990</v>
      </c>
      <c r="C1826" s="56" t="n">
        <v>9</v>
      </c>
      <c r="D1826" s="56" t="n">
        <v>142</v>
      </c>
      <c r="E1826" s="56" t="n">
        <v>15.5</v>
      </c>
      <c r="F1826" s="56" t="n">
        <v>1</v>
      </c>
      <c r="G1826" s="56" t="n">
        <v>14.4</v>
      </c>
      <c r="H1826" s="56" t="n">
        <v>0</v>
      </c>
      <c r="I1826" s="56" t="n">
        <v>16</v>
      </c>
      <c r="J1826" s="56" t="n">
        <v>1</v>
      </c>
      <c r="K1826" s="56" t="n">
        <v>1010.4</v>
      </c>
      <c r="L1826" s="56" t="n">
        <v>0</v>
      </c>
      <c r="M1826" s="56" t="n">
        <v>61</v>
      </c>
      <c r="N1826" s="56" t="n">
        <v>6.6</v>
      </c>
      <c r="O1826" s="56" t="n">
        <f aca="false">IF(D1826=1,"",E1825)</f>
        <v>17.7</v>
      </c>
      <c r="P1826" s="56" t="n">
        <f aca="false">IF(OR(D1826=1,K1825=""),"",K1825)</f>
        <v>1020.3</v>
      </c>
      <c r="Q1826" s="56" t="n">
        <f aca="false">IF(OR(F1826&lt;&gt;0,AND(I1826&lt;&gt;"",E1826&lt;I1826)),1,0)</f>
        <v>1</v>
      </c>
      <c r="R1826" s="56" t="n">
        <f aca="false">IF(AND(D1826&gt;1,Q1826=0,ISNUMBER(O1826),ISNUMBER(P1826)),IF(Q1825=0,1,0),0)</f>
        <v>0</v>
      </c>
      <c r="S1826" s="56" t="n">
        <f aca="false">R1826*(B1826&gt;=Train_Start)*(B1826&lt;=Train_End)</f>
        <v>0</v>
      </c>
      <c r="T1826" s="84" t="n">
        <f aca="false">IF(AND(ISNUMBER(O1826),ISNUMBER(P1826)),Coef_A+Coef_B1*O1826+Coef_B2*P1826,"")</f>
        <v>18.5959826339101</v>
      </c>
      <c r="U1826" s="84" t="str">
        <f aca="false">IF(AND(R1826=1,ISNUMBER(T1826)),E1826-T1826,"")</f>
        <v/>
      </c>
      <c r="V1826" s="84" t="n">
        <f aca="false">IF(ISNUMBER(T1826),T1826,-99)</f>
        <v>18.5959826339101</v>
      </c>
      <c r="W1826" s="84" t="str">
        <f aca="false">IF(ISNUMBER(U1826),ABS(U1826),"")</f>
        <v/>
      </c>
    </row>
    <row r="1827" customFormat="false" ht="15" hidden="false" customHeight="false" outlineLevel="0" collapsed="false">
      <c r="A1827" s="57" t="n">
        <v>33136</v>
      </c>
      <c r="B1827" s="56" t="n">
        <v>1990</v>
      </c>
      <c r="C1827" s="56" t="n">
        <v>9</v>
      </c>
      <c r="D1827" s="56" t="n">
        <v>143</v>
      </c>
      <c r="E1827" s="56" t="n">
        <v>16.7</v>
      </c>
      <c r="F1827" s="56" t="n">
        <v>0</v>
      </c>
      <c r="G1827" s="56" t="n">
        <v>6</v>
      </c>
      <c r="H1827" s="56" t="n">
        <v>0</v>
      </c>
      <c r="I1827" s="56" t="n">
        <v>10.8</v>
      </c>
      <c r="J1827" s="56" t="n">
        <v>0</v>
      </c>
      <c r="K1827" s="56" t="n">
        <v>1010.5</v>
      </c>
      <c r="L1827" s="56" t="n">
        <v>0</v>
      </c>
      <c r="M1827" s="56" t="n">
        <v>66</v>
      </c>
      <c r="N1827" s="56" t="n">
        <v>0.7</v>
      </c>
      <c r="O1827" s="56" t="n">
        <f aca="false">IF(D1827=1,"",E1826)</f>
        <v>15.5</v>
      </c>
      <c r="P1827" s="56" t="n">
        <f aca="false">IF(OR(D1827=1,K1826=""),"",K1826)</f>
        <v>1010.4</v>
      </c>
      <c r="Q1827" s="56" t="n">
        <f aca="false">IF(OR(F1827&lt;&gt;0,AND(I1827&lt;&gt;"",E1827&lt;I1827)),1,0)</f>
        <v>0</v>
      </c>
      <c r="R1827" s="56" t="n">
        <f aca="false">IF(AND(D1827&gt;1,Q1827=0,ISNUMBER(O1827),ISNUMBER(P1827)),IF(Q1826=0,1,0),0)</f>
        <v>0</v>
      </c>
      <c r="S1827" s="56" t="n">
        <f aca="false">R1827*(B1827&gt;=Train_Start)*(B1827&lt;=Train_End)</f>
        <v>0</v>
      </c>
      <c r="T1827" s="84" t="n">
        <f aca="false">IF(AND(ISNUMBER(O1827),ISNUMBER(P1827)),Coef_A+Coef_B1*O1827+Coef_B2*P1827,"")</f>
        <v>16.4828744523398</v>
      </c>
      <c r="U1827" s="84" t="str">
        <f aca="false">IF(AND(R1827=1,ISNUMBER(T1827)),E1827-T1827,"")</f>
        <v/>
      </c>
      <c r="V1827" s="84" t="n">
        <f aca="false">IF(ISNUMBER(T1827),T1827,-99)</f>
        <v>16.4828744523398</v>
      </c>
      <c r="W1827" s="84" t="str">
        <f aca="false">IF(ISNUMBER(U1827),ABS(U1827),"")</f>
        <v/>
      </c>
    </row>
    <row r="1828" customFormat="false" ht="15" hidden="false" customHeight="false" outlineLevel="0" collapsed="false">
      <c r="A1828" s="57" t="n">
        <v>33137</v>
      </c>
      <c r="B1828" s="56" t="n">
        <v>1990</v>
      </c>
      <c r="C1828" s="56" t="n">
        <v>9</v>
      </c>
      <c r="D1828" s="56" t="n">
        <v>144</v>
      </c>
      <c r="E1828" s="56" t="n">
        <v>15.1</v>
      </c>
      <c r="F1828" s="56" t="n">
        <v>0</v>
      </c>
      <c r="G1828" s="56" t="n">
        <v>9.6</v>
      </c>
      <c r="H1828" s="56" t="n">
        <v>0</v>
      </c>
      <c r="I1828" s="56" t="n">
        <v>13.2</v>
      </c>
      <c r="J1828" s="56" t="n">
        <v>0</v>
      </c>
      <c r="K1828" s="56" t="n">
        <v>1004</v>
      </c>
      <c r="L1828" s="56" t="n">
        <v>0</v>
      </c>
      <c r="M1828" s="56" t="n">
        <v>52</v>
      </c>
      <c r="N1828" s="56" t="n">
        <v>8.3</v>
      </c>
      <c r="O1828" s="56" t="n">
        <f aca="false">IF(D1828=1,"",E1827)</f>
        <v>16.7</v>
      </c>
      <c r="P1828" s="56" t="n">
        <f aca="false">IF(OR(D1828=1,K1827=""),"",K1827)</f>
        <v>1010.5</v>
      </c>
      <c r="Q1828" s="56" t="n">
        <f aca="false">IF(OR(F1828&lt;&gt;0,AND(I1828&lt;&gt;"",E1828&lt;I1828)),1,0)</f>
        <v>0</v>
      </c>
      <c r="R1828" s="56" t="n">
        <f aca="false">IF(AND(D1828&gt;1,Q1828=0,ISNUMBER(O1828),ISNUMBER(P1828)),IF(Q1827=0,1,0),0)</f>
        <v>1</v>
      </c>
      <c r="S1828" s="56" t="n">
        <f aca="false">R1828*(B1828&gt;=Train_Start)*(B1828&lt;=Train_End)</f>
        <v>1</v>
      </c>
      <c r="T1828" s="84" t="n">
        <f aca="false">IF(AND(ISNUMBER(O1828),ISNUMBER(P1828)),Coef_A+Coef_B1*O1828+Coef_B2*P1828,"")</f>
        <v>17.4692184734544</v>
      </c>
      <c r="U1828" s="84" t="n">
        <f aca="false">IF(AND(R1828=1,ISNUMBER(T1828)),E1828-T1828,"")</f>
        <v>-2.36921847345436</v>
      </c>
      <c r="V1828" s="84" t="n">
        <f aca="false">IF(ISNUMBER(T1828),T1828,-99)</f>
        <v>17.4692184734544</v>
      </c>
      <c r="W1828" s="84" t="n">
        <f aca="false">IF(ISNUMBER(U1828),ABS(U1828),"")</f>
        <v>2.36921847345436</v>
      </c>
    </row>
    <row r="1829" customFormat="false" ht="15" hidden="false" customHeight="false" outlineLevel="0" collapsed="false">
      <c r="A1829" s="57" t="n">
        <v>33138</v>
      </c>
      <c r="B1829" s="56" t="n">
        <v>1990</v>
      </c>
      <c r="C1829" s="56" t="n">
        <v>9</v>
      </c>
      <c r="D1829" s="56" t="n">
        <v>145</v>
      </c>
      <c r="E1829" s="56" t="n">
        <v>16.6</v>
      </c>
      <c r="F1829" s="56" t="n">
        <v>0</v>
      </c>
      <c r="G1829" s="56" t="n">
        <v>9</v>
      </c>
      <c r="H1829" s="56" t="n">
        <v>0</v>
      </c>
      <c r="I1829" s="56" t="n">
        <v>12</v>
      </c>
      <c r="J1829" s="56" t="n">
        <v>0</v>
      </c>
      <c r="K1829" s="56" t="n">
        <v>1000.8</v>
      </c>
      <c r="L1829" s="56" t="n">
        <v>0</v>
      </c>
      <c r="M1829" s="56" t="n">
        <v>81</v>
      </c>
      <c r="N1829" s="56" t="n">
        <v>0.7</v>
      </c>
      <c r="O1829" s="56" t="n">
        <f aca="false">IF(D1829=1,"",E1828)</f>
        <v>15.1</v>
      </c>
      <c r="P1829" s="56" t="n">
        <f aca="false">IF(OR(D1829=1,K1828=""),"",K1828)</f>
        <v>1004</v>
      </c>
      <c r="Q1829" s="56" t="n">
        <f aca="false">IF(OR(F1829&lt;&gt;0,AND(I1829&lt;&gt;"",E1829&lt;I1829)),1,0)</f>
        <v>0</v>
      </c>
      <c r="R1829" s="56" t="n">
        <f aca="false">IF(AND(D1829&gt;1,Q1829=0,ISNUMBER(O1829),ISNUMBER(P1829)),IF(Q1828=0,1,0),0)</f>
        <v>1</v>
      </c>
      <c r="S1829" s="56" t="n">
        <f aca="false">R1829*(B1829&gt;=Train_Start)*(B1829&lt;=Train_End)</f>
        <v>1</v>
      </c>
      <c r="T1829" s="84" t="n">
        <f aca="false">IF(AND(ISNUMBER(O1829),ISNUMBER(P1829)),Coef_A+Coef_B1*O1829+Coef_B2*P1829,"")</f>
        <v>15.9543714494652</v>
      </c>
      <c r="U1829" s="84" t="n">
        <f aca="false">IF(AND(R1829=1,ISNUMBER(T1829)),E1829-T1829,"")</f>
        <v>0.645628550534825</v>
      </c>
      <c r="V1829" s="84" t="n">
        <f aca="false">IF(ISNUMBER(T1829),T1829,-99)</f>
        <v>15.9543714494652</v>
      </c>
      <c r="W1829" s="84" t="n">
        <f aca="false">IF(ISNUMBER(U1829),ABS(U1829),"")</f>
        <v>0.645628550534825</v>
      </c>
    </row>
    <row r="1830" customFormat="false" ht="15" hidden="false" customHeight="false" outlineLevel="0" collapsed="false">
      <c r="A1830" s="57" t="n">
        <v>33139</v>
      </c>
      <c r="B1830" s="56" t="n">
        <v>1990</v>
      </c>
      <c r="C1830" s="56" t="n">
        <v>9</v>
      </c>
      <c r="D1830" s="56" t="n">
        <v>146</v>
      </c>
      <c r="E1830" s="56" t="n">
        <v>17.1</v>
      </c>
      <c r="F1830" s="56" t="n">
        <v>0</v>
      </c>
      <c r="G1830" s="56" t="n">
        <v>7.6</v>
      </c>
      <c r="H1830" s="56" t="n">
        <v>0</v>
      </c>
      <c r="I1830" s="56" t="n">
        <v>12.1</v>
      </c>
      <c r="J1830" s="56" t="n">
        <v>0</v>
      </c>
      <c r="K1830" s="56" t="n">
        <v>1000.7</v>
      </c>
      <c r="L1830" s="56" t="n">
        <v>0</v>
      </c>
      <c r="M1830" s="56" t="n">
        <v>82</v>
      </c>
      <c r="N1830" s="56" t="n">
        <v>1.8</v>
      </c>
      <c r="O1830" s="56" t="n">
        <f aca="false">IF(D1830=1,"",E1829)</f>
        <v>16.6</v>
      </c>
      <c r="P1830" s="56" t="n">
        <f aca="false">IF(OR(D1830=1,K1829=""),"",K1829)</f>
        <v>1000.8</v>
      </c>
      <c r="Q1830" s="56" t="n">
        <f aca="false">IF(OR(F1830&lt;&gt;0,AND(I1830&lt;&gt;"",E1830&lt;I1830)),1,0)</f>
        <v>0</v>
      </c>
      <c r="R1830" s="56" t="n">
        <f aca="false">IF(AND(D1830&gt;1,Q1830=0,ISNUMBER(O1830),ISNUMBER(P1830)),IF(Q1829=0,1,0),0)</f>
        <v>1</v>
      </c>
      <c r="S1830" s="56" t="n">
        <f aca="false">R1830*(B1830&gt;=Train_Start)*(B1830&lt;=Train_End)</f>
        <v>1</v>
      </c>
      <c r="T1830" s="84" t="n">
        <f aca="false">IF(AND(ISNUMBER(O1830),ISNUMBER(P1830)),Coef_A+Coef_B1*O1830+Coef_B2*P1830,"")</f>
        <v>17.0829965762004</v>
      </c>
      <c r="U1830" s="84" t="n">
        <f aca="false">IF(AND(R1830=1,ISNUMBER(T1830)),E1830-T1830,"")</f>
        <v>0.0170034237996077</v>
      </c>
      <c r="V1830" s="84" t="n">
        <f aca="false">IF(ISNUMBER(T1830),T1830,-99)</f>
        <v>17.0829965762004</v>
      </c>
      <c r="W1830" s="84" t="n">
        <f aca="false">IF(ISNUMBER(U1830),ABS(U1830),"")</f>
        <v>0.0170034237996077</v>
      </c>
    </row>
    <row r="1831" customFormat="false" ht="15" hidden="false" customHeight="false" outlineLevel="0" collapsed="false">
      <c r="A1831" s="57" t="n">
        <v>33140</v>
      </c>
      <c r="B1831" s="56" t="n">
        <v>1990</v>
      </c>
      <c r="C1831" s="56" t="n">
        <v>9</v>
      </c>
      <c r="D1831" s="56" t="n">
        <v>147</v>
      </c>
      <c r="E1831" s="56" t="n">
        <v>16.7</v>
      </c>
      <c r="F1831" s="56" t="n">
        <v>0</v>
      </c>
      <c r="G1831" s="56" t="n">
        <v>5.2</v>
      </c>
      <c r="H1831" s="56" t="n">
        <v>0</v>
      </c>
      <c r="I1831" s="56" t="n">
        <v>11.2</v>
      </c>
      <c r="J1831" s="56" t="n">
        <v>0</v>
      </c>
      <c r="K1831" s="56" t="n">
        <v>1006</v>
      </c>
      <c r="L1831" s="56" t="n">
        <v>0</v>
      </c>
      <c r="M1831" s="56" t="n">
        <v>75</v>
      </c>
      <c r="N1831" s="56" t="n">
        <v>8.6</v>
      </c>
      <c r="O1831" s="56" t="n">
        <f aca="false">IF(D1831=1,"",E1830)</f>
        <v>17.1</v>
      </c>
      <c r="P1831" s="56" t="n">
        <f aca="false">IF(OR(D1831=1,K1830=""),"",K1830)</f>
        <v>1000.7</v>
      </c>
      <c r="Q1831" s="56" t="n">
        <f aca="false">IF(OR(F1831&lt;&gt;0,AND(I1831&lt;&gt;"",E1831&lt;I1831)),1,0)</f>
        <v>0</v>
      </c>
      <c r="R1831" s="56" t="n">
        <f aca="false">IF(AND(D1831&gt;1,Q1831=0,ISNUMBER(O1831),ISNUMBER(P1831)),IF(Q1830=0,1,0),0)</f>
        <v>1</v>
      </c>
      <c r="S1831" s="56" t="n">
        <f aca="false">R1831*(B1831&gt;=Train_Start)*(B1831&lt;=Train_End)</f>
        <v>1</v>
      </c>
      <c r="T1831" s="84" t="n">
        <f aca="false">IF(AND(ISNUMBER(O1831),ISNUMBER(P1831)),Coef_A+Coef_B1*O1831+Coef_B2*P1831,"")</f>
        <v>17.4895291832583</v>
      </c>
      <c r="U1831" s="84" t="n">
        <f aca="false">IF(AND(R1831=1,ISNUMBER(T1831)),E1831-T1831,"")</f>
        <v>-0.789529183258328</v>
      </c>
      <c r="V1831" s="84" t="n">
        <f aca="false">IF(ISNUMBER(T1831),T1831,-99)</f>
        <v>17.4895291832583</v>
      </c>
      <c r="W1831" s="84" t="n">
        <f aca="false">IF(ISNUMBER(U1831),ABS(U1831),"")</f>
        <v>0.789529183258328</v>
      </c>
    </row>
    <row r="1832" customFormat="false" ht="15" hidden="false" customHeight="false" outlineLevel="0" collapsed="false">
      <c r="A1832" s="57" t="n">
        <v>33141</v>
      </c>
      <c r="B1832" s="56" t="n">
        <v>1990</v>
      </c>
      <c r="C1832" s="56" t="n">
        <v>9</v>
      </c>
      <c r="D1832" s="56" t="n">
        <v>148</v>
      </c>
      <c r="E1832" s="56" t="n">
        <v>17.2</v>
      </c>
      <c r="F1832" s="56" t="n">
        <v>0</v>
      </c>
      <c r="G1832" s="56" t="n">
        <v>8.5</v>
      </c>
      <c r="H1832" s="56" t="n">
        <v>0</v>
      </c>
      <c r="I1832" s="56" t="n">
        <v>12.6</v>
      </c>
      <c r="J1832" s="56" t="n">
        <v>0</v>
      </c>
      <c r="K1832" s="56" t="n">
        <v>1014.4</v>
      </c>
      <c r="L1832" s="56" t="n">
        <v>0</v>
      </c>
      <c r="M1832" s="56" t="n">
        <v>68</v>
      </c>
      <c r="N1832" s="56" t="n">
        <v>9.9</v>
      </c>
      <c r="O1832" s="56" t="n">
        <f aca="false">IF(D1832=1,"",E1831)</f>
        <v>16.7</v>
      </c>
      <c r="P1832" s="56" t="n">
        <f aca="false">IF(OR(D1832=1,K1831=""),"",K1831)</f>
        <v>1006</v>
      </c>
      <c r="Q1832" s="56" t="n">
        <f aca="false">IF(OR(F1832&lt;&gt;0,AND(I1832&lt;&gt;"",E1832&lt;I1832)),1,0)</f>
        <v>0</v>
      </c>
      <c r="R1832" s="56" t="n">
        <f aca="false">IF(AND(D1832&gt;1,Q1832=0,ISNUMBER(O1832),ISNUMBER(P1832)),IF(Q1831=0,1,0),0)</f>
        <v>1</v>
      </c>
      <c r="S1832" s="56" t="n">
        <f aca="false">R1832*(B1832&gt;=Train_Start)*(B1832&lt;=Train_End)</f>
        <v>1</v>
      </c>
      <c r="T1832" s="84" t="n">
        <f aca="false">IF(AND(ISNUMBER(O1832),ISNUMBER(P1832)),Coef_A+Coef_B1*O1832+Coef_B2*P1832,"")</f>
        <v>17.3280539476014</v>
      </c>
      <c r="U1832" s="84" t="n">
        <f aca="false">IF(AND(R1832=1,ISNUMBER(T1832)),E1832-T1832,"")</f>
        <v>-0.128053947601408</v>
      </c>
      <c r="V1832" s="84" t="n">
        <f aca="false">IF(ISNUMBER(T1832),T1832,-99)</f>
        <v>17.3280539476014</v>
      </c>
      <c r="W1832" s="84" t="n">
        <f aca="false">IF(ISNUMBER(U1832),ABS(U1832),"")</f>
        <v>0.128053947601408</v>
      </c>
    </row>
    <row r="1833" customFormat="false" ht="15" hidden="false" customHeight="false" outlineLevel="0" collapsed="false">
      <c r="A1833" s="57" t="n">
        <v>33142</v>
      </c>
      <c r="B1833" s="56" t="n">
        <v>1990</v>
      </c>
      <c r="C1833" s="56" t="n">
        <v>9</v>
      </c>
      <c r="D1833" s="56" t="n">
        <v>149</v>
      </c>
      <c r="E1833" s="56" t="n">
        <v>17.3</v>
      </c>
      <c r="F1833" s="56" t="n">
        <v>0</v>
      </c>
      <c r="G1833" s="56" t="n">
        <v>6.4</v>
      </c>
      <c r="H1833" s="56" t="n">
        <v>0</v>
      </c>
      <c r="I1833" s="56" t="n">
        <v>11.8</v>
      </c>
      <c r="J1833" s="56" t="n">
        <v>0</v>
      </c>
      <c r="K1833" s="56" t="n">
        <v>1025.6</v>
      </c>
      <c r="L1833" s="56" t="n">
        <v>0</v>
      </c>
      <c r="M1833" s="56" t="n">
        <v>69</v>
      </c>
      <c r="N1833" s="56" t="n">
        <v>8.1</v>
      </c>
      <c r="O1833" s="56" t="n">
        <f aca="false">IF(D1833=1,"",E1832)</f>
        <v>17.2</v>
      </c>
      <c r="P1833" s="56" t="n">
        <f aca="false">IF(OR(D1833=1,K1832=""),"",K1832)</f>
        <v>1014.4</v>
      </c>
      <c r="Q1833" s="56" t="n">
        <f aca="false">IF(OR(F1833&lt;&gt;0,AND(I1833&lt;&gt;"",E1833&lt;I1833)),1,0)</f>
        <v>0</v>
      </c>
      <c r="R1833" s="56" t="n">
        <f aca="false">IF(AND(D1833&gt;1,Q1833=0,ISNUMBER(O1833),ISNUMBER(P1833)),IF(Q1832=0,1,0),0)</f>
        <v>1</v>
      </c>
      <c r="S1833" s="56" t="n">
        <f aca="false">R1833*(B1833&gt;=Train_Start)*(B1833&lt;=Train_End)</f>
        <v>1</v>
      </c>
      <c r="T1833" s="84" t="n">
        <f aca="false">IF(AND(ISNUMBER(O1833),ISNUMBER(P1833)),Coef_A+Coef_B1*O1833+Coef_B2*P1833,"")</f>
        <v>18.0012306590482</v>
      </c>
      <c r="U1833" s="84" t="n">
        <f aca="false">IF(AND(R1833=1,ISNUMBER(T1833)),E1833-T1833,"")</f>
        <v>-0.701230659048246</v>
      </c>
      <c r="V1833" s="84" t="n">
        <f aca="false">IF(ISNUMBER(T1833),T1833,-99)</f>
        <v>18.0012306590482</v>
      </c>
      <c r="W1833" s="84" t="n">
        <f aca="false">IF(ISNUMBER(U1833),ABS(U1833),"")</f>
        <v>0.701230659048246</v>
      </c>
    </row>
    <row r="1834" customFormat="false" ht="15" hidden="false" customHeight="false" outlineLevel="0" collapsed="false">
      <c r="A1834" s="57" t="n">
        <v>33143</v>
      </c>
      <c r="B1834" s="56" t="n">
        <v>1990</v>
      </c>
      <c r="C1834" s="56" t="n">
        <v>9</v>
      </c>
      <c r="D1834" s="56" t="n">
        <v>150</v>
      </c>
      <c r="E1834" s="56" t="n">
        <v>21.4</v>
      </c>
      <c r="F1834" s="56" t="n">
        <v>0</v>
      </c>
      <c r="G1834" s="56" t="n">
        <v>5.3</v>
      </c>
      <c r="H1834" s="56" t="n">
        <v>0</v>
      </c>
      <c r="I1834" s="56" t="n">
        <v>11.3</v>
      </c>
      <c r="J1834" s="56" t="n">
        <v>0</v>
      </c>
      <c r="K1834" s="56" t="n">
        <v>1028.5</v>
      </c>
      <c r="L1834" s="56" t="n">
        <v>0</v>
      </c>
      <c r="M1834" s="56" t="n">
        <v>68</v>
      </c>
      <c r="N1834" s="56" t="n">
        <v>7.7</v>
      </c>
      <c r="O1834" s="56" t="n">
        <f aca="false">IF(D1834=1,"",E1833)</f>
        <v>17.3</v>
      </c>
      <c r="P1834" s="56" t="n">
        <f aca="false">IF(OR(D1834=1,K1833=""),"",K1833)</f>
        <v>1025.6</v>
      </c>
      <c r="Q1834" s="56" t="n">
        <f aca="false">IF(OR(F1834&lt;&gt;0,AND(I1834&lt;&gt;"",E1834&lt;I1834)),1,0)</f>
        <v>0</v>
      </c>
      <c r="R1834" s="56" t="n">
        <f aca="false">IF(AND(D1834&gt;1,Q1834=0,ISNUMBER(O1834),ISNUMBER(P1834)),IF(Q1833=0,1,0),0)</f>
        <v>1</v>
      </c>
      <c r="S1834" s="56" t="n">
        <f aca="false">R1834*(B1834&gt;=Train_Start)*(B1834&lt;=Train_End)</f>
        <v>1</v>
      </c>
      <c r="T1834" s="84" t="n">
        <f aca="false">IF(AND(ISNUMBER(O1834),ISNUMBER(P1834)),Coef_A+Coef_B1*O1834+Coef_B2*P1834,"")</f>
        <v>18.4345073982532</v>
      </c>
      <c r="U1834" s="84" t="n">
        <f aca="false">IF(AND(R1834=1,ISNUMBER(T1834)),E1834-T1834,"")</f>
        <v>2.9654926017468</v>
      </c>
      <c r="V1834" s="84" t="n">
        <f aca="false">IF(ISNUMBER(T1834),T1834,-99)</f>
        <v>18.4345073982532</v>
      </c>
      <c r="W1834" s="84" t="n">
        <f aca="false">IF(ISNUMBER(U1834),ABS(U1834),"")</f>
        <v>2.9654926017468</v>
      </c>
    </row>
    <row r="1835" customFormat="false" ht="15" hidden="false" customHeight="false" outlineLevel="0" collapsed="false">
      <c r="A1835" s="57" t="n">
        <v>33144</v>
      </c>
      <c r="B1835" s="56" t="n">
        <v>1990</v>
      </c>
      <c r="C1835" s="56" t="n">
        <v>9</v>
      </c>
      <c r="D1835" s="56" t="n">
        <v>151</v>
      </c>
      <c r="E1835" s="56" t="n">
        <v>18.1</v>
      </c>
      <c r="F1835" s="56" t="n">
        <v>0</v>
      </c>
      <c r="G1835" s="56" t="n">
        <v>5.3</v>
      </c>
      <c r="H1835" s="56" t="n">
        <v>0</v>
      </c>
      <c r="I1835" s="56" t="n">
        <v>13.4</v>
      </c>
      <c r="J1835" s="56" t="n">
        <v>0</v>
      </c>
      <c r="K1835" s="56" t="n">
        <v>1024.1</v>
      </c>
      <c r="L1835" s="56" t="n">
        <v>0</v>
      </c>
      <c r="M1835" s="56" t="n">
        <v>66</v>
      </c>
      <c r="N1835" s="56" t="n">
        <v>9.9</v>
      </c>
      <c r="O1835" s="56" t="n">
        <f aca="false">IF(D1835=1,"",E1834)</f>
        <v>21.4</v>
      </c>
      <c r="P1835" s="56" t="n">
        <f aca="false">IF(OR(D1835=1,K1834=""),"",K1834)</f>
        <v>1028.5</v>
      </c>
      <c r="Q1835" s="56" t="n">
        <f aca="false">IF(OR(F1835&lt;&gt;0,AND(I1835&lt;&gt;"",E1835&lt;I1835)),1,0)</f>
        <v>0</v>
      </c>
      <c r="R1835" s="56" t="n">
        <f aca="false">IF(AND(D1835&gt;1,Q1835=0,ISNUMBER(O1835),ISNUMBER(P1835)),IF(Q1834=0,1,0),0)</f>
        <v>1</v>
      </c>
      <c r="S1835" s="56" t="n">
        <f aca="false">R1835*(B1835&gt;=Train_Start)*(B1835&lt;=Train_End)</f>
        <v>1</v>
      </c>
      <c r="T1835" s="84" t="n">
        <f aca="false">IF(AND(ISNUMBER(O1835),ISNUMBER(P1835)),Coef_A+Coef_B1*O1835+Coef_B2*P1835,"")</f>
        <v>21.8847707841667</v>
      </c>
      <c r="U1835" s="84" t="n">
        <f aca="false">IF(AND(R1835=1,ISNUMBER(T1835)),E1835-T1835,"")</f>
        <v>-3.78477078416666</v>
      </c>
      <c r="V1835" s="84" t="n">
        <f aca="false">IF(ISNUMBER(T1835),T1835,-99)</f>
        <v>21.8847707841667</v>
      </c>
      <c r="W1835" s="84" t="n">
        <f aca="false">IF(ISNUMBER(U1835),ABS(U1835),"")</f>
        <v>3.78477078416666</v>
      </c>
    </row>
    <row r="1836" customFormat="false" ht="15" hidden="false" customHeight="false" outlineLevel="0" collapsed="false">
      <c r="A1836" s="57" t="n">
        <v>33145</v>
      </c>
      <c r="B1836" s="56" t="n">
        <v>1990</v>
      </c>
      <c r="C1836" s="56" t="n">
        <v>9</v>
      </c>
      <c r="D1836" s="56" t="n">
        <v>152</v>
      </c>
      <c r="E1836" s="56" t="n">
        <v>20.8</v>
      </c>
      <c r="F1836" s="56" t="n">
        <v>0</v>
      </c>
      <c r="G1836" s="56" t="n">
        <v>9.6</v>
      </c>
      <c r="H1836" s="56" t="n">
        <v>0</v>
      </c>
      <c r="I1836" s="56" t="n">
        <v>13.8</v>
      </c>
      <c r="J1836" s="56" t="n">
        <v>0</v>
      </c>
      <c r="K1836" s="56" t="n">
        <v>1012.7</v>
      </c>
      <c r="L1836" s="56" t="n">
        <v>0</v>
      </c>
      <c r="M1836" s="56" t="n">
        <v>83</v>
      </c>
      <c r="N1836" s="56" t="n">
        <v>0.3</v>
      </c>
      <c r="O1836" s="56" t="n">
        <f aca="false">IF(D1836=1,"",E1835)</f>
        <v>18.1</v>
      </c>
      <c r="P1836" s="56" t="n">
        <f aca="false">IF(OR(D1836=1,K1835=""),"",K1835)</f>
        <v>1024.1</v>
      </c>
      <c r="Q1836" s="56" t="n">
        <f aca="false">IF(OR(F1836&lt;&gt;0,AND(I1836&lt;&gt;"",E1836&lt;I1836)),1,0)</f>
        <v>0</v>
      </c>
      <c r="R1836" s="56" t="n">
        <f aca="false">IF(AND(D1836&gt;1,Q1836=0,ISNUMBER(O1836),ISNUMBER(P1836)),IF(Q1835=0,1,0),0)</f>
        <v>1</v>
      </c>
      <c r="S1836" s="56" t="n">
        <f aca="false">R1836*(B1836&gt;=Train_Start)*(B1836&lt;=Train_End)</f>
        <v>1</v>
      </c>
      <c r="T1836" s="84" t="n">
        <f aca="false">IF(AND(ISNUMBER(O1836),ISNUMBER(P1836)),Coef_A+Coef_B1*O1836+Coef_B2*P1836,"")</f>
        <v>19.0429239107363</v>
      </c>
      <c r="U1836" s="84" t="n">
        <f aca="false">IF(AND(R1836=1,ISNUMBER(T1836)),E1836-T1836,"")</f>
        <v>1.75707608926367</v>
      </c>
      <c r="V1836" s="84" t="n">
        <f aca="false">IF(ISNUMBER(T1836),T1836,-99)</f>
        <v>19.0429239107363</v>
      </c>
      <c r="W1836" s="84" t="n">
        <f aca="false">IF(ISNUMBER(U1836),ABS(U1836),"")</f>
        <v>1.75707608926367</v>
      </c>
    </row>
    <row r="1837" customFormat="false" ht="15" hidden="false" customHeight="false" outlineLevel="0" collapsed="false">
      <c r="A1837" s="57" t="n">
        <v>33146</v>
      </c>
      <c r="B1837" s="56" t="n">
        <v>1990</v>
      </c>
      <c r="C1837" s="56" t="n">
        <v>9</v>
      </c>
      <c r="D1837" s="56" t="n">
        <v>153</v>
      </c>
      <c r="E1837" s="56" t="n">
        <v>17.7</v>
      </c>
      <c r="F1837" s="56" t="n">
        <v>0</v>
      </c>
      <c r="G1837" s="56" t="n">
        <v>13.8</v>
      </c>
      <c r="H1837" s="56" t="n">
        <v>0</v>
      </c>
      <c r="I1837" s="56" t="n">
        <v>17.3</v>
      </c>
      <c r="J1837" s="56" t="n">
        <v>0</v>
      </c>
      <c r="K1837" s="56" t="n">
        <v>1005</v>
      </c>
      <c r="L1837" s="56" t="n">
        <v>0</v>
      </c>
      <c r="M1837" s="56" t="n">
        <v>90</v>
      </c>
      <c r="N1837" s="56" t="n">
        <v>0.6</v>
      </c>
      <c r="O1837" s="56" t="n">
        <f aca="false">IF(D1837=1,"",E1836)</f>
        <v>20.8</v>
      </c>
      <c r="P1837" s="56" t="n">
        <f aca="false">IF(OR(D1837=1,K1836=""),"",K1836)</f>
        <v>1012.7</v>
      </c>
      <c r="Q1837" s="56" t="n">
        <f aca="false">IF(OR(F1837&lt;&gt;0,AND(I1837&lt;&gt;"",E1837&lt;I1837)),1,0)</f>
        <v>0</v>
      </c>
      <c r="R1837" s="56" t="n">
        <f aca="false">IF(AND(D1837&gt;1,Q1837=0,ISNUMBER(O1837),ISNUMBER(P1837)),IF(Q1836=0,1,0),0)</f>
        <v>1</v>
      </c>
      <c r="S1837" s="56" t="n">
        <f aca="false">R1837*(B1837&gt;=Train_Start)*(B1837&lt;=Train_End)</f>
        <v>1</v>
      </c>
      <c r="T1837" s="84" t="n">
        <f aca="false">IF(AND(ISNUMBER(O1837),ISNUMBER(P1837)),Coef_A+Coef_B1*O1837+Coef_B2*P1837,"")</f>
        <v>20.897522933124</v>
      </c>
      <c r="U1837" s="84" t="n">
        <f aca="false">IF(AND(R1837=1,ISNUMBER(T1837)),E1837-T1837,"")</f>
        <v>-3.19752293312403</v>
      </c>
      <c r="V1837" s="84" t="n">
        <f aca="false">IF(ISNUMBER(T1837),T1837,-99)</f>
        <v>20.897522933124</v>
      </c>
      <c r="W1837" s="84" t="n">
        <f aca="false">IF(ISNUMBER(U1837),ABS(U1837),"")</f>
        <v>3.19752293312403</v>
      </c>
    </row>
    <row r="1838" customFormat="false" ht="15" hidden="false" customHeight="false" outlineLevel="0" collapsed="false">
      <c r="A1838" s="57" t="n">
        <v>33359</v>
      </c>
      <c r="B1838" s="56" t="n">
        <v>1991</v>
      </c>
      <c r="C1838" s="56" t="n">
        <v>5</v>
      </c>
      <c r="D1838" s="56" t="n">
        <v>1</v>
      </c>
      <c r="E1838" s="56" t="n">
        <v>11.4</v>
      </c>
      <c r="F1838" s="56" t="n">
        <v>0</v>
      </c>
      <c r="G1838" s="56" t="n">
        <v>5.2</v>
      </c>
      <c r="H1838" s="56" t="n">
        <v>0</v>
      </c>
      <c r="I1838" s="56" t="n">
        <v>8.2</v>
      </c>
      <c r="J1838" s="56" t="n">
        <v>0</v>
      </c>
      <c r="K1838" s="56" t="n">
        <v>1020.6</v>
      </c>
      <c r="L1838" s="56" t="n">
        <v>0</v>
      </c>
      <c r="M1838" s="56" t="n">
        <v>79</v>
      </c>
      <c r="N1838" s="56" t="n">
        <v>0.6</v>
      </c>
      <c r="O1838" s="56" t="str">
        <f aca="false">IF(D1838=1,"",E1837)</f>
        <v/>
      </c>
      <c r="P1838" s="56" t="str">
        <f aca="false">IF(OR(D1838=1,K1837=""),"",K1837)</f>
        <v/>
      </c>
      <c r="Q1838" s="56" t="n">
        <f aca="false">IF(OR(F1838&lt;&gt;0,AND(I1838&lt;&gt;"",E1838&lt;I1838)),1,0)</f>
        <v>0</v>
      </c>
      <c r="R1838" s="56" t="n">
        <f aca="false">IF(AND(D1838&gt;1,Q1838=0,ISNUMBER(O1838),ISNUMBER(P1838)),IF(Q1837=0,1,0),0)</f>
        <v>0</v>
      </c>
      <c r="S1838" s="56" t="n">
        <f aca="false">R1838*(B1838&gt;=Train_Start)*(B1838&lt;=Train_End)</f>
        <v>0</v>
      </c>
      <c r="T1838" s="84" t="str">
        <f aca="false">IF(AND(ISNUMBER(O1838),ISNUMBER(P1838)),Coef_A+Coef_B1*O1838+Coef_B2*P1838,"")</f>
        <v/>
      </c>
      <c r="U1838" s="84" t="str">
        <f aca="false">IF(AND(R1838=1,ISNUMBER(T1838)),E1838-T1838,"")</f>
        <v/>
      </c>
      <c r="V1838" s="84" t="n">
        <f aca="false">IF(ISNUMBER(T1838),T1838,-99)</f>
        <v>-99</v>
      </c>
      <c r="W1838" s="84" t="str">
        <f aca="false">IF(ISNUMBER(U1838),ABS(U1838),"")</f>
        <v/>
      </c>
    </row>
    <row r="1839" customFormat="false" ht="15" hidden="false" customHeight="false" outlineLevel="0" collapsed="false">
      <c r="A1839" s="57" t="n">
        <v>33360</v>
      </c>
      <c r="B1839" s="56" t="n">
        <v>1991</v>
      </c>
      <c r="C1839" s="56" t="n">
        <v>5</v>
      </c>
      <c r="D1839" s="56" t="n">
        <v>2</v>
      </c>
      <c r="E1839" s="56" t="n">
        <v>11.4</v>
      </c>
      <c r="F1839" s="56" t="n">
        <v>0</v>
      </c>
      <c r="G1839" s="56" t="n">
        <v>2.2</v>
      </c>
      <c r="H1839" s="56" t="n">
        <v>0</v>
      </c>
      <c r="I1839" s="56" t="n">
        <v>6.8</v>
      </c>
      <c r="J1839" s="56" t="n">
        <v>0</v>
      </c>
      <c r="K1839" s="56" t="n">
        <v>1026.8</v>
      </c>
      <c r="L1839" s="56" t="n">
        <v>0</v>
      </c>
      <c r="M1839" s="56" t="n">
        <v>70</v>
      </c>
      <c r="N1839" s="56" t="n">
        <v>5</v>
      </c>
      <c r="O1839" s="56" t="n">
        <f aca="false">IF(D1839=1,"",E1838)</f>
        <v>11.4</v>
      </c>
      <c r="P1839" s="56" t="n">
        <f aca="false">IF(OR(D1839=1,K1838=""),"",K1838)</f>
        <v>1020.6</v>
      </c>
      <c r="Q1839" s="56" t="n">
        <f aca="false">IF(OR(F1839&lt;&gt;0,AND(I1839&lt;&gt;"",E1839&lt;I1839)),1,0)</f>
        <v>0</v>
      </c>
      <c r="R1839" s="56" t="n">
        <f aca="false">IF(AND(D1839&gt;1,Q1839=0,ISNUMBER(O1839),ISNUMBER(P1839)),IF(Q1838=0,1,0),0)</f>
        <v>1</v>
      </c>
      <c r="S1839" s="56" t="n">
        <f aca="false">R1839*(B1839&gt;=Train_Start)*(B1839&lt;=Train_End)</f>
        <v>1</v>
      </c>
      <c r="T1839" s="84" t="n">
        <f aca="false">IF(AND(ISNUMBER(O1839),ISNUMBER(P1839)),Coef_A+Coef_B1*O1839+Coef_B2*P1839,"")</f>
        <v>13.4435566861316</v>
      </c>
      <c r="U1839" s="84" t="n">
        <f aca="false">IF(AND(R1839=1,ISNUMBER(T1839)),E1839-T1839,"")</f>
        <v>-2.04355668613157</v>
      </c>
      <c r="V1839" s="84" t="n">
        <f aca="false">IF(ISNUMBER(T1839),T1839,-99)</f>
        <v>13.4435566861316</v>
      </c>
      <c r="W1839" s="84" t="n">
        <f aca="false">IF(ISNUMBER(U1839),ABS(U1839),"")</f>
        <v>2.04355668613157</v>
      </c>
    </row>
    <row r="1840" customFormat="false" ht="15" hidden="false" customHeight="false" outlineLevel="0" collapsed="false">
      <c r="A1840" s="57" t="n">
        <v>33361</v>
      </c>
      <c r="B1840" s="56" t="n">
        <v>1991</v>
      </c>
      <c r="C1840" s="56" t="n">
        <v>5</v>
      </c>
      <c r="D1840" s="56" t="n">
        <v>3</v>
      </c>
      <c r="E1840" s="56" t="n">
        <v>12.3</v>
      </c>
      <c r="F1840" s="56" t="n">
        <v>0</v>
      </c>
      <c r="G1840" s="56" t="n">
        <v>2.7</v>
      </c>
      <c r="H1840" s="56" t="n">
        <v>0</v>
      </c>
      <c r="I1840" s="56" t="n">
        <v>7</v>
      </c>
      <c r="J1840" s="56" t="n">
        <v>0</v>
      </c>
      <c r="K1840" s="56" t="n">
        <v>1024.5</v>
      </c>
      <c r="L1840" s="56" t="n">
        <v>0</v>
      </c>
      <c r="M1840" s="56" t="n">
        <v>63</v>
      </c>
      <c r="N1840" s="56" t="n">
        <v>4.9</v>
      </c>
      <c r="O1840" s="56" t="n">
        <f aca="false">IF(D1840=1,"",E1839)</f>
        <v>11.4</v>
      </c>
      <c r="P1840" s="56" t="n">
        <f aca="false">IF(OR(D1840=1,K1839=""),"",K1839)</f>
        <v>1026.8</v>
      </c>
      <c r="Q1840" s="56" t="n">
        <f aca="false">IF(OR(F1840&lt;&gt;0,AND(I1840&lt;&gt;"",E1840&lt;I1840)),1,0)</f>
        <v>0</v>
      </c>
      <c r="R1840" s="56" t="n">
        <f aca="false">IF(AND(D1840&gt;1,Q1840=0,ISNUMBER(O1840),ISNUMBER(P1840)),IF(Q1839=0,1,0),0)</f>
        <v>1</v>
      </c>
      <c r="S1840" s="56" t="n">
        <f aca="false">R1840*(B1840&gt;=Train_Start)*(B1840&lt;=Train_End)</f>
        <v>1</v>
      </c>
      <c r="T1840" s="84" t="n">
        <f aca="false">IF(AND(ISNUMBER(O1840),ISNUMBER(P1840)),Coef_A+Coef_B1*O1840+Coef_B2*P1840,"")</f>
        <v>13.6380500328623</v>
      </c>
      <c r="U1840" s="84" t="n">
        <f aca="false">IF(AND(R1840=1,ISNUMBER(T1840)),E1840-T1840,"")</f>
        <v>-1.3380500328623</v>
      </c>
      <c r="V1840" s="84" t="n">
        <f aca="false">IF(ISNUMBER(T1840),T1840,-99)</f>
        <v>13.6380500328623</v>
      </c>
      <c r="W1840" s="84" t="n">
        <f aca="false">IF(ISNUMBER(U1840),ABS(U1840),"")</f>
        <v>1.3380500328623</v>
      </c>
    </row>
    <row r="1841" customFormat="false" ht="15" hidden="false" customHeight="false" outlineLevel="0" collapsed="false">
      <c r="A1841" s="57" t="n">
        <v>33362</v>
      </c>
      <c r="B1841" s="56" t="n">
        <v>1991</v>
      </c>
      <c r="C1841" s="56" t="n">
        <v>5</v>
      </c>
      <c r="D1841" s="56" t="n">
        <v>4</v>
      </c>
      <c r="E1841" s="56" t="n">
        <v>10.5</v>
      </c>
      <c r="F1841" s="56" t="n">
        <v>0</v>
      </c>
      <c r="G1841" s="56" t="n">
        <v>5</v>
      </c>
      <c r="H1841" s="56" t="n">
        <v>0</v>
      </c>
      <c r="I1841" s="56" t="n">
        <v>8.6</v>
      </c>
      <c r="J1841" s="56" t="n">
        <v>0</v>
      </c>
      <c r="K1841" s="56" t="n">
        <v>1016.4</v>
      </c>
      <c r="L1841" s="56" t="n">
        <v>0</v>
      </c>
      <c r="M1841" s="56" t="n">
        <v>74</v>
      </c>
      <c r="N1841" s="56" t="n">
        <v>7.1</v>
      </c>
      <c r="O1841" s="56" t="n">
        <f aca="false">IF(D1841=1,"",E1840)</f>
        <v>12.3</v>
      </c>
      <c r="P1841" s="56" t="n">
        <f aca="false">IF(OR(D1841=1,K1840=""),"",K1840)</f>
        <v>1024.5</v>
      </c>
      <c r="Q1841" s="56" t="n">
        <f aca="false">IF(OR(F1841&lt;&gt;0,AND(I1841&lt;&gt;"",E1841&lt;I1841)),1,0)</f>
        <v>0</v>
      </c>
      <c r="R1841" s="56" t="n">
        <f aca="false">IF(AND(D1841&gt;1,Q1841=0,ISNUMBER(O1841),ISNUMBER(P1841)),IF(Q1840=0,1,0),0)</f>
        <v>1</v>
      </c>
      <c r="S1841" s="56" t="n">
        <f aca="false">R1841*(B1841&gt;=Train_Start)*(B1841&lt;=Train_End)</f>
        <v>1</v>
      </c>
      <c r="T1841" s="84" t="n">
        <f aca="false">IF(AND(ISNUMBER(O1841),ISNUMBER(P1841)),Coef_A+Coef_B1*O1841+Coef_B2*P1841,"")</f>
        <v>14.3033045489425</v>
      </c>
      <c r="U1841" s="84" t="n">
        <f aca="false">IF(AND(R1841=1,ISNUMBER(T1841)),E1841-T1841,"")</f>
        <v>-3.80330454894251</v>
      </c>
      <c r="V1841" s="84" t="n">
        <f aca="false">IF(ISNUMBER(T1841),T1841,-99)</f>
        <v>14.3033045489425</v>
      </c>
      <c r="W1841" s="84" t="n">
        <f aca="false">IF(ISNUMBER(U1841),ABS(U1841),"")</f>
        <v>3.80330454894251</v>
      </c>
    </row>
    <row r="1842" customFormat="false" ht="15" hidden="false" customHeight="false" outlineLevel="0" collapsed="false">
      <c r="A1842" s="57" t="n">
        <v>33363</v>
      </c>
      <c r="B1842" s="56" t="n">
        <v>1991</v>
      </c>
      <c r="C1842" s="56" t="n">
        <v>5</v>
      </c>
      <c r="D1842" s="56" t="n">
        <v>5</v>
      </c>
      <c r="E1842" s="56" t="n">
        <v>9.7</v>
      </c>
      <c r="F1842" s="56" t="n">
        <v>0</v>
      </c>
      <c r="G1842" s="56" t="n">
        <v>5.8</v>
      </c>
      <c r="H1842" s="56" t="n">
        <v>0</v>
      </c>
      <c r="I1842" s="56" t="n">
        <v>8.2</v>
      </c>
      <c r="J1842" s="56" t="n">
        <v>0</v>
      </c>
      <c r="K1842" s="56" t="n">
        <v>1017.3</v>
      </c>
      <c r="L1842" s="56" t="n">
        <v>0</v>
      </c>
      <c r="M1842" s="56" t="n">
        <v>71</v>
      </c>
      <c r="N1842" s="56" t="n">
        <v>0.9</v>
      </c>
      <c r="O1842" s="56" t="n">
        <f aca="false">IF(D1842=1,"",E1841)</f>
        <v>10.5</v>
      </c>
      <c r="P1842" s="56" t="n">
        <f aca="false">IF(OR(D1842=1,K1841=""),"",K1841)</f>
        <v>1016.4</v>
      </c>
      <c r="Q1842" s="56" t="n">
        <f aca="false">IF(OR(F1842&lt;&gt;0,AND(I1842&lt;&gt;"",E1842&lt;I1842)),1,0)</f>
        <v>0</v>
      </c>
      <c r="R1842" s="56" t="n">
        <f aca="false">IF(AND(D1842&gt;1,Q1842=0,ISNUMBER(O1842),ISNUMBER(P1842)),IF(Q1841=0,1,0),0)</f>
        <v>1</v>
      </c>
      <c r="S1842" s="56" t="n">
        <f aca="false">R1842*(B1842&gt;=Train_Start)*(B1842&lt;=Train_End)</f>
        <v>1</v>
      </c>
      <c r="T1842" s="84" t="n">
        <f aca="false">IF(AND(ISNUMBER(O1842),ISNUMBER(P1842)),Coef_A+Coef_B1*O1842+Coef_B2*P1842,"")</f>
        <v>12.5743978549304</v>
      </c>
      <c r="U1842" s="84" t="n">
        <f aca="false">IF(AND(R1842=1,ISNUMBER(T1842)),E1842-T1842,"")</f>
        <v>-2.87439785493042</v>
      </c>
      <c r="V1842" s="84" t="n">
        <f aca="false">IF(ISNUMBER(T1842),T1842,-99)</f>
        <v>12.5743978549304</v>
      </c>
      <c r="W1842" s="84" t="n">
        <f aca="false">IF(ISNUMBER(U1842),ABS(U1842),"")</f>
        <v>2.87439785493042</v>
      </c>
    </row>
    <row r="1843" customFormat="false" ht="15" hidden="false" customHeight="false" outlineLevel="0" collapsed="false">
      <c r="A1843" s="57" t="n">
        <v>33364</v>
      </c>
      <c r="B1843" s="56" t="n">
        <v>1991</v>
      </c>
      <c r="C1843" s="56" t="n">
        <v>5</v>
      </c>
      <c r="D1843" s="56" t="n">
        <v>6</v>
      </c>
      <c r="E1843" s="56" t="n">
        <v>11.4</v>
      </c>
      <c r="F1843" s="56" t="n">
        <v>0</v>
      </c>
      <c r="G1843" s="56" t="n">
        <v>5.2</v>
      </c>
      <c r="H1843" s="56" t="n">
        <v>0</v>
      </c>
      <c r="I1843" s="56" t="n">
        <v>7.4</v>
      </c>
      <c r="J1843" s="56" t="n">
        <v>0</v>
      </c>
      <c r="K1843" s="56" t="n">
        <v>1015.4</v>
      </c>
      <c r="L1843" s="56" t="n">
        <v>0</v>
      </c>
      <c r="M1843" s="56" t="n">
        <v>69</v>
      </c>
      <c r="N1843" s="56" t="n">
        <v>0.9</v>
      </c>
      <c r="O1843" s="56" t="n">
        <f aca="false">IF(D1843=1,"",E1842)</f>
        <v>9.7</v>
      </c>
      <c r="P1843" s="56" t="n">
        <f aca="false">IF(OR(D1843=1,K1842=""),"",K1842)</f>
        <v>1017.3</v>
      </c>
      <c r="Q1843" s="56" t="n">
        <f aca="false">IF(OR(F1843&lt;&gt;0,AND(I1843&lt;&gt;"",E1843&lt;I1843)),1,0)</f>
        <v>0</v>
      </c>
      <c r="R1843" s="56" t="n">
        <f aca="false">IF(AND(D1843&gt;1,Q1843=0,ISNUMBER(O1843),ISNUMBER(P1843)),IF(Q1842=0,1,0),0)</f>
        <v>1</v>
      </c>
      <c r="S1843" s="56" t="n">
        <f aca="false">R1843*(B1843&gt;=Train_Start)*(B1843&lt;=Train_End)</f>
        <v>1</v>
      </c>
      <c r="T1843" s="84" t="n">
        <f aca="false">IF(AND(ISNUMBER(O1843),ISNUMBER(P1843)),Coef_A+Coef_B1*O1843+Coef_B2*P1843,"")</f>
        <v>11.9471594056669</v>
      </c>
      <c r="U1843" s="84" t="n">
        <f aca="false">IF(AND(R1843=1,ISNUMBER(T1843)),E1843-T1843,"")</f>
        <v>-0.547159405666884</v>
      </c>
      <c r="V1843" s="84" t="n">
        <f aca="false">IF(ISNUMBER(T1843),T1843,-99)</f>
        <v>11.9471594056669</v>
      </c>
      <c r="W1843" s="84" t="n">
        <f aca="false">IF(ISNUMBER(U1843),ABS(U1843),"")</f>
        <v>0.547159405666884</v>
      </c>
    </row>
    <row r="1844" customFormat="false" ht="15" hidden="false" customHeight="false" outlineLevel="0" collapsed="false">
      <c r="A1844" s="57" t="n">
        <v>33365</v>
      </c>
      <c r="B1844" s="56" t="n">
        <v>1991</v>
      </c>
      <c r="C1844" s="56" t="n">
        <v>5</v>
      </c>
      <c r="D1844" s="56" t="n">
        <v>7</v>
      </c>
      <c r="E1844" s="56" t="n">
        <v>14.1</v>
      </c>
      <c r="F1844" s="56" t="n">
        <v>0</v>
      </c>
      <c r="G1844" s="56" t="n">
        <v>6.2</v>
      </c>
      <c r="H1844" s="56" t="n">
        <v>0</v>
      </c>
      <c r="I1844" s="56" t="n">
        <v>8.8</v>
      </c>
      <c r="J1844" s="56" t="n">
        <v>0</v>
      </c>
      <c r="K1844" s="56" t="n">
        <v>1011.2</v>
      </c>
      <c r="L1844" s="56" t="n">
        <v>0</v>
      </c>
      <c r="M1844" s="56" t="n">
        <v>76</v>
      </c>
      <c r="N1844" s="56" t="n">
        <v>2.2</v>
      </c>
      <c r="O1844" s="56" t="n">
        <f aca="false">IF(D1844=1,"",E1843)</f>
        <v>11.4</v>
      </c>
      <c r="P1844" s="56" t="n">
        <f aca="false">IF(OR(D1844=1,K1843=""),"",K1843)</f>
        <v>1015.4</v>
      </c>
      <c r="Q1844" s="56" t="n">
        <f aca="false">IF(OR(F1844&lt;&gt;0,AND(I1844&lt;&gt;"",E1844&lt;I1844)),1,0)</f>
        <v>0</v>
      </c>
      <c r="R1844" s="56" t="n">
        <f aca="false">IF(AND(D1844&gt;1,Q1844=0,ISNUMBER(O1844),ISNUMBER(P1844)),IF(Q1843=0,1,0),0)</f>
        <v>1</v>
      </c>
      <c r="S1844" s="56" t="n">
        <f aca="false">R1844*(B1844&gt;=Train_Start)*(B1844&lt;=Train_End)</f>
        <v>1</v>
      </c>
      <c r="T1844" s="84" t="n">
        <f aca="false">IF(AND(ISNUMBER(O1844),ISNUMBER(P1844)),Coef_A+Coef_B1*O1844+Coef_B2*P1844,"")</f>
        <v>13.2804332340348</v>
      </c>
      <c r="U1844" s="84" t="n">
        <f aca="false">IF(AND(R1844=1,ISNUMBER(T1844)),E1844-T1844,"")</f>
        <v>0.819566765965176</v>
      </c>
      <c r="V1844" s="84" t="n">
        <f aca="false">IF(ISNUMBER(T1844),T1844,-99)</f>
        <v>13.2804332340348</v>
      </c>
      <c r="W1844" s="84" t="n">
        <f aca="false">IF(ISNUMBER(U1844),ABS(U1844),"")</f>
        <v>0.819566765965176</v>
      </c>
    </row>
    <row r="1845" customFormat="false" ht="15" hidden="false" customHeight="false" outlineLevel="0" collapsed="false">
      <c r="A1845" s="57" t="n">
        <v>33366</v>
      </c>
      <c r="B1845" s="56" t="n">
        <v>1991</v>
      </c>
      <c r="C1845" s="56" t="n">
        <v>5</v>
      </c>
      <c r="D1845" s="56" t="n">
        <v>8</v>
      </c>
      <c r="E1845" s="56" t="n">
        <v>14.6</v>
      </c>
      <c r="F1845" s="56" t="n">
        <v>0</v>
      </c>
      <c r="G1845" s="56" t="n">
        <v>6.8</v>
      </c>
      <c r="H1845" s="56" t="n">
        <v>0</v>
      </c>
      <c r="I1845" s="56" t="n">
        <v>10.4</v>
      </c>
      <c r="J1845" s="56" t="n">
        <v>0</v>
      </c>
      <c r="K1845" s="56" t="n">
        <v>1016</v>
      </c>
      <c r="L1845" s="56" t="n">
        <v>0</v>
      </c>
      <c r="M1845" s="56" t="n">
        <v>71</v>
      </c>
      <c r="N1845" s="56" t="n">
        <v>0.9</v>
      </c>
      <c r="O1845" s="56" t="n">
        <f aca="false">IF(D1845=1,"",E1844)</f>
        <v>14.1</v>
      </c>
      <c r="P1845" s="56" t="n">
        <f aca="false">IF(OR(D1845=1,K1844=""),"",K1844)</f>
        <v>1011.2</v>
      </c>
      <c r="Q1845" s="56" t="n">
        <f aca="false">IF(OR(F1845&lt;&gt;0,AND(I1845&lt;&gt;"",E1845&lt;I1845)),1,0)</f>
        <v>0</v>
      </c>
      <c r="R1845" s="56" t="n">
        <f aca="false">IF(AND(D1845&gt;1,Q1845=0,ISNUMBER(O1845),ISNUMBER(P1845)),IF(Q1844=0,1,0),0)</f>
        <v>1</v>
      </c>
      <c r="S1845" s="56" t="n">
        <f aca="false">R1845*(B1845&gt;=Train_Start)*(B1845&lt;=Train_End)</f>
        <v>1</v>
      </c>
      <c r="T1845" s="84" t="n">
        <f aca="false">IF(AND(ISNUMBER(O1845),ISNUMBER(P1845)),Coef_A+Coef_B1*O1845+Coef_B2*P1845,"")</f>
        <v>15.3608954977872</v>
      </c>
      <c r="U1845" s="84" t="n">
        <f aca="false">IF(AND(R1845=1,ISNUMBER(T1845)),E1845-T1845,"")</f>
        <v>-0.760895497787244</v>
      </c>
      <c r="V1845" s="84" t="n">
        <f aca="false">IF(ISNUMBER(T1845),T1845,-99)</f>
        <v>15.3608954977872</v>
      </c>
      <c r="W1845" s="84" t="n">
        <f aca="false">IF(ISNUMBER(U1845),ABS(U1845),"")</f>
        <v>0.760895497787244</v>
      </c>
    </row>
    <row r="1846" customFormat="false" ht="15" hidden="false" customHeight="false" outlineLevel="0" collapsed="false">
      <c r="A1846" s="57" t="n">
        <v>33367</v>
      </c>
      <c r="B1846" s="56" t="n">
        <v>1991</v>
      </c>
      <c r="C1846" s="56" t="n">
        <v>5</v>
      </c>
      <c r="D1846" s="56" t="n">
        <v>9</v>
      </c>
      <c r="E1846" s="56" t="n">
        <v>16.8</v>
      </c>
      <c r="F1846" s="56" t="n">
        <v>0</v>
      </c>
      <c r="G1846" s="56" t="n">
        <v>2.2</v>
      </c>
      <c r="H1846" s="56" t="n">
        <v>0</v>
      </c>
      <c r="I1846" s="56" t="n">
        <v>8.4</v>
      </c>
      <c r="J1846" s="56" t="n">
        <v>0</v>
      </c>
      <c r="K1846" s="56" t="n">
        <v>1020</v>
      </c>
      <c r="L1846" s="56" t="n">
        <v>0</v>
      </c>
      <c r="M1846" s="56" t="n">
        <v>60</v>
      </c>
      <c r="N1846" s="56" t="n">
        <v>13.1</v>
      </c>
      <c r="O1846" s="56" t="n">
        <f aca="false">IF(D1846=1,"",E1845)</f>
        <v>14.6</v>
      </c>
      <c r="P1846" s="56" t="n">
        <f aca="false">IF(OR(D1846=1,K1845=""),"",K1845)</f>
        <v>1016</v>
      </c>
      <c r="Q1846" s="56" t="n">
        <f aca="false">IF(OR(F1846&lt;&gt;0,AND(I1846&lt;&gt;"",E1846&lt;I1846)),1,0)</f>
        <v>0</v>
      </c>
      <c r="R1846" s="56" t="n">
        <f aca="false">IF(AND(D1846&gt;1,Q1846=0,ISNUMBER(O1846),ISNUMBER(P1846)),IF(Q1845=0,1,0),0)</f>
        <v>1</v>
      </c>
      <c r="S1846" s="56" t="n">
        <f aca="false">R1846*(B1846&gt;=Train_Start)*(B1846&lt;=Train_End)</f>
        <v>1</v>
      </c>
      <c r="T1846" s="84" t="n">
        <f aca="false">IF(AND(ISNUMBER(O1846),ISNUMBER(P1846)),Coef_A+Coef_B1*O1846+Coef_B2*P1846,"")</f>
        <v>15.9211405885517</v>
      </c>
      <c r="U1846" s="84" t="n">
        <f aca="false">IF(AND(R1846=1,ISNUMBER(T1846)),E1846-T1846,"")</f>
        <v>0.878859411448278</v>
      </c>
      <c r="V1846" s="84" t="n">
        <f aca="false">IF(ISNUMBER(T1846),T1846,-99)</f>
        <v>15.9211405885517</v>
      </c>
      <c r="W1846" s="84" t="n">
        <f aca="false">IF(ISNUMBER(U1846),ABS(U1846),"")</f>
        <v>0.878859411448278</v>
      </c>
    </row>
    <row r="1847" customFormat="false" ht="15" hidden="false" customHeight="false" outlineLevel="0" collapsed="false">
      <c r="A1847" s="57" t="n">
        <v>33368</v>
      </c>
      <c r="B1847" s="56" t="n">
        <v>1991</v>
      </c>
      <c r="C1847" s="56" t="n">
        <v>5</v>
      </c>
      <c r="D1847" s="56" t="n">
        <v>10</v>
      </c>
      <c r="E1847" s="56" t="n">
        <v>15.6</v>
      </c>
      <c r="F1847" s="56" t="n">
        <v>0</v>
      </c>
      <c r="G1847" s="56" t="n">
        <v>2.2</v>
      </c>
      <c r="H1847" s="56" t="n">
        <v>0</v>
      </c>
      <c r="I1847" s="56" t="n">
        <v>9.5</v>
      </c>
      <c r="J1847" s="56" t="n">
        <v>0</v>
      </c>
      <c r="K1847" s="56" t="n">
        <v>1018.4</v>
      </c>
      <c r="L1847" s="56" t="n">
        <v>0</v>
      </c>
      <c r="M1847" s="56" t="n">
        <v>62</v>
      </c>
      <c r="N1847" s="56" t="n">
        <v>8.1</v>
      </c>
      <c r="O1847" s="56" t="n">
        <f aca="false">IF(D1847=1,"",E1846)</f>
        <v>16.8</v>
      </c>
      <c r="P1847" s="56" t="n">
        <f aca="false">IF(OR(D1847=1,K1846=""),"",K1846)</f>
        <v>1020</v>
      </c>
      <c r="Q1847" s="56" t="n">
        <f aca="false">IF(OR(F1847&lt;&gt;0,AND(I1847&lt;&gt;"",E1847&lt;I1847)),1,0)</f>
        <v>0</v>
      </c>
      <c r="R1847" s="56" t="n">
        <f aca="false">IF(AND(D1847&gt;1,Q1847=0,ISNUMBER(O1847),ISNUMBER(P1847)),IF(Q1846=0,1,0),0)</f>
        <v>1</v>
      </c>
      <c r="S1847" s="56" t="n">
        <f aca="false">R1847*(B1847&gt;=Train_Start)*(B1847&lt;=Train_End)</f>
        <v>1</v>
      </c>
      <c r="T1847" s="84" t="n">
        <f aca="false">IF(AND(ISNUMBER(O1847),ISNUMBER(P1847)),Coef_A+Coef_B1*O1847+Coef_B2*P1847,"")</f>
        <v>17.8491663917815</v>
      </c>
      <c r="U1847" s="84" t="n">
        <f aca="false">IF(AND(R1847=1,ISNUMBER(T1847)),E1847-T1847,"")</f>
        <v>-2.24916639178152</v>
      </c>
      <c r="V1847" s="84" t="n">
        <f aca="false">IF(ISNUMBER(T1847),T1847,-99)</f>
        <v>17.8491663917815</v>
      </c>
      <c r="W1847" s="84" t="n">
        <f aca="false">IF(ISNUMBER(U1847),ABS(U1847),"")</f>
        <v>2.24916639178152</v>
      </c>
    </row>
    <row r="1848" customFormat="false" ht="15" hidden="false" customHeight="false" outlineLevel="0" collapsed="false">
      <c r="A1848" s="57" t="n">
        <v>33369</v>
      </c>
      <c r="B1848" s="56" t="n">
        <v>1991</v>
      </c>
      <c r="C1848" s="56" t="n">
        <v>5</v>
      </c>
      <c r="D1848" s="56" t="n">
        <v>11</v>
      </c>
      <c r="E1848" s="56" t="n">
        <v>19.1</v>
      </c>
      <c r="F1848" s="56" t="n">
        <v>0</v>
      </c>
      <c r="G1848" s="56" t="n">
        <v>7.7</v>
      </c>
      <c r="H1848" s="56" t="n">
        <v>0</v>
      </c>
      <c r="I1848" s="56" t="n">
        <v>11.6</v>
      </c>
      <c r="J1848" s="56" t="n">
        <v>0</v>
      </c>
      <c r="K1848" s="56" t="n">
        <v>1018.5</v>
      </c>
      <c r="L1848" s="56" t="n">
        <v>0</v>
      </c>
      <c r="M1848" s="56" t="n">
        <v>73</v>
      </c>
      <c r="N1848" s="56" t="n">
        <v>1.7</v>
      </c>
      <c r="O1848" s="56" t="n">
        <f aca="false">IF(D1848=1,"",E1847)</f>
        <v>15.6</v>
      </c>
      <c r="P1848" s="56" t="n">
        <f aca="false">IF(OR(D1848=1,K1847=""),"",K1847)</f>
        <v>1018.4</v>
      </c>
      <c r="Q1848" s="56" t="n">
        <f aca="false">IF(OR(F1848&lt;&gt;0,AND(I1848&lt;&gt;"",E1848&lt;I1848)),1,0)</f>
        <v>0</v>
      </c>
      <c r="R1848" s="56" t="n">
        <f aca="false">IF(AND(D1848&gt;1,Q1848=0,ISNUMBER(O1848),ISNUMBER(P1848)),IF(Q1847=0,1,0),0)</f>
        <v>1</v>
      </c>
      <c r="S1848" s="56" t="n">
        <f aca="false">R1848*(B1848&gt;=Train_Start)*(B1848&lt;=Train_End)</f>
        <v>1</v>
      </c>
      <c r="T1848" s="84" t="n">
        <f aca="false">IF(AND(ISNUMBER(O1848),ISNUMBER(P1848)),Coef_A+Coef_B1*O1848+Coef_B2*P1848,"")</f>
        <v>16.815767528716</v>
      </c>
      <c r="U1848" s="84" t="n">
        <f aca="false">IF(AND(R1848=1,ISNUMBER(T1848)),E1848-T1848,"")</f>
        <v>2.28423247128405</v>
      </c>
      <c r="V1848" s="84" t="n">
        <f aca="false">IF(ISNUMBER(T1848),T1848,-99)</f>
        <v>16.815767528716</v>
      </c>
      <c r="W1848" s="84" t="n">
        <f aca="false">IF(ISNUMBER(U1848),ABS(U1848),"")</f>
        <v>2.28423247128405</v>
      </c>
    </row>
    <row r="1849" customFormat="false" ht="15" hidden="false" customHeight="false" outlineLevel="0" collapsed="false">
      <c r="A1849" s="57" t="n">
        <v>33370</v>
      </c>
      <c r="B1849" s="56" t="n">
        <v>1991</v>
      </c>
      <c r="C1849" s="56" t="n">
        <v>5</v>
      </c>
      <c r="D1849" s="56" t="n">
        <v>12</v>
      </c>
      <c r="E1849" s="56" t="n">
        <v>20.5</v>
      </c>
      <c r="F1849" s="56" t="n">
        <v>0</v>
      </c>
      <c r="G1849" s="56" t="n">
        <v>6.2</v>
      </c>
      <c r="H1849" s="56" t="n">
        <v>0</v>
      </c>
      <c r="I1849" s="56" t="n">
        <v>12.6</v>
      </c>
      <c r="J1849" s="56" t="n">
        <v>0</v>
      </c>
      <c r="K1849" s="56" t="n">
        <v>1023.3</v>
      </c>
      <c r="L1849" s="56" t="n">
        <v>0</v>
      </c>
      <c r="M1849" s="56" t="n">
        <v>68</v>
      </c>
      <c r="N1849" s="56" t="n">
        <v>10.7</v>
      </c>
      <c r="O1849" s="56" t="n">
        <f aca="false">IF(D1849=1,"",E1848)</f>
        <v>19.1</v>
      </c>
      <c r="P1849" s="56" t="n">
        <f aca="false">IF(OR(D1849=1,K1848=""),"",K1848)</f>
        <v>1018.5</v>
      </c>
      <c r="Q1849" s="56" t="n">
        <f aca="false">IF(OR(F1849&lt;&gt;0,AND(I1849&lt;&gt;"",E1849&lt;I1849)),1,0)</f>
        <v>0</v>
      </c>
      <c r="R1849" s="56" t="n">
        <f aca="false">IF(AND(D1849&gt;1,Q1849=0,ISNUMBER(O1849),ISNUMBER(P1849)),IF(Q1848=0,1,0),0)</f>
        <v>1</v>
      </c>
      <c r="S1849" s="56" t="n">
        <f aca="false">R1849*(B1849&gt;=Train_Start)*(B1849&lt;=Train_End)</f>
        <v>1</v>
      </c>
      <c r="T1849" s="84" t="n">
        <f aca="false">IF(AND(ISNUMBER(O1849),ISNUMBER(P1849)),Coef_A+Coef_B1*O1849+Coef_B2*P1849,"")</f>
        <v>19.6865916938287</v>
      </c>
      <c r="U1849" s="84" t="n">
        <f aca="false">IF(AND(R1849=1,ISNUMBER(T1849)),E1849-T1849,"")</f>
        <v>0.813408306171343</v>
      </c>
      <c r="V1849" s="84" t="n">
        <f aca="false">IF(ISNUMBER(T1849),T1849,-99)</f>
        <v>19.6865916938287</v>
      </c>
      <c r="W1849" s="84" t="n">
        <f aca="false">IF(ISNUMBER(U1849),ABS(U1849),"")</f>
        <v>0.813408306171343</v>
      </c>
    </row>
    <row r="1850" customFormat="false" ht="15" hidden="false" customHeight="false" outlineLevel="0" collapsed="false">
      <c r="A1850" s="57" t="n">
        <v>33371</v>
      </c>
      <c r="B1850" s="56" t="n">
        <v>1991</v>
      </c>
      <c r="C1850" s="56" t="n">
        <v>5</v>
      </c>
      <c r="D1850" s="56" t="n">
        <v>13</v>
      </c>
      <c r="E1850" s="56" t="n">
        <v>16.1</v>
      </c>
      <c r="F1850" s="56" t="n">
        <v>0</v>
      </c>
      <c r="G1850" s="56" t="n">
        <v>10</v>
      </c>
      <c r="H1850" s="56" t="n">
        <v>0</v>
      </c>
      <c r="I1850" s="56" t="n">
        <v>15.2</v>
      </c>
      <c r="J1850" s="56" t="n">
        <v>0</v>
      </c>
      <c r="K1850" s="56" t="n">
        <v>1023.7</v>
      </c>
      <c r="L1850" s="56" t="n">
        <v>0</v>
      </c>
      <c r="M1850" s="56" t="n">
        <v>75</v>
      </c>
      <c r="N1850" s="56" t="n">
        <v>3.8</v>
      </c>
      <c r="O1850" s="56" t="n">
        <f aca="false">IF(D1850=1,"",E1849)</f>
        <v>20.5</v>
      </c>
      <c r="P1850" s="56" t="n">
        <f aca="false">IF(OR(D1850=1,K1849=""),"",K1849)</f>
        <v>1023.3</v>
      </c>
      <c r="Q1850" s="56" t="n">
        <f aca="false">IF(OR(F1850&lt;&gt;0,AND(I1850&lt;&gt;"",E1850&lt;I1850)),1,0)</f>
        <v>0</v>
      </c>
      <c r="R1850" s="56" t="n">
        <f aca="false">IF(AND(D1850&gt;1,Q1850=0,ISNUMBER(O1850),ISNUMBER(P1850)),IF(Q1849=0,1,0),0)</f>
        <v>1</v>
      </c>
      <c r="S1850" s="56" t="n">
        <f aca="false">R1850*(B1850&gt;=Train_Start)*(B1850&lt;=Train_End)</f>
        <v>1</v>
      </c>
      <c r="T1850" s="84" t="n">
        <f aca="false">IF(AND(ISNUMBER(O1850),ISNUMBER(P1850)),Coef_A+Coef_B1*O1850+Coef_B2*P1850,"")</f>
        <v>20.9842420583315</v>
      </c>
      <c r="U1850" s="84" t="n">
        <f aca="false">IF(AND(R1850=1,ISNUMBER(T1850)),E1850-T1850,"")</f>
        <v>-4.88424205833152</v>
      </c>
      <c r="V1850" s="84" t="n">
        <f aca="false">IF(ISNUMBER(T1850),T1850,-99)</f>
        <v>20.9842420583315</v>
      </c>
      <c r="W1850" s="84" t="n">
        <f aca="false">IF(ISNUMBER(U1850),ABS(U1850),"")</f>
        <v>4.88424205833152</v>
      </c>
    </row>
    <row r="1851" customFormat="false" ht="15" hidden="false" customHeight="false" outlineLevel="0" collapsed="false">
      <c r="A1851" s="57" t="n">
        <v>33372</v>
      </c>
      <c r="B1851" s="56" t="n">
        <v>1991</v>
      </c>
      <c r="C1851" s="56" t="n">
        <v>5</v>
      </c>
      <c r="D1851" s="56" t="n">
        <v>14</v>
      </c>
      <c r="E1851" s="56" t="n">
        <v>15.7</v>
      </c>
      <c r="F1851" s="56" t="n">
        <v>0</v>
      </c>
      <c r="G1851" s="56" t="n">
        <v>8.8</v>
      </c>
      <c r="H1851" s="56" t="n">
        <v>0</v>
      </c>
      <c r="I1851" s="56" t="n">
        <v>12.4</v>
      </c>
      <c r="J1851" s="56" t="n">
        <v>0</v>
      </c>
      <c r="K1851" s="56" t="n">
        <v>1028.9</v>
      </c>
      <c r="L1851" s="56" t="n">
        <v>0</v>
      </c>
      <c r="M1851" s="56" t="n">
        <v>63</v>
      </c>
      <c r="N1851" s="56" t="n">
        <v>9.5</v>
      </c>
      <c r="O1851" s="56" t="n">
        <f aca="false">IF(D1851=1,"",E1850)</f>
        <v>16.1</v>
      </c>
      <c r="P1851" s="56" t="n">
        <f aca="false">IF(OR(D1851=1,K1850=""),"",K1850)</f>
        <v>1023.7</v>
      </c>
      <c r="Q1851" s="56" t="n">
        <f aca="false">IF(OR(F1851&lt;&gt;0,AND(I1851&lt;&gt;"",E1851&lt;I1851)),1,0)</f>
        <v>0</v>
      </c>
      <c r="R1851" s="56" t="n">
        <f aca="false">IF(AND(D1851&gt;1,Q1851=0,ISNUMBER(O1851),ISNUMBER(P1851)),IF(Q1850=0,1,0),0)</f>
        <v>1</v>
      </c>
      <c r="S1851" s="56" t="n">
        <f aca="false">R1851*(B1851&gt;=Train_Start)*(B1851&lt;=Train_End)</f>
        <v>1</v>
      </c>
      <c r="T1851" s="84" t="n">
        <f aca="false">IF(AND(ISNUMBER(O1851),ISNUMBER(P1851)),Coef_A+Coef_B1*O1851+Coef_B2*P1851,"")</f>
        <v>17.3916975667974</v>
      </c>
      <c r="U1851" s="84" t="n">
        <f aca="false">IF(AND(R1851=1,ISNUMBER(T1851)),E1851-T1851,"")</f>
        <v>-1.69169756679743</v>
      </c>
      <c r="V1851" s="84" t="n">
        <f aca="false">IF(ISNUMBER(T1851),T1851,-99)</f>
        <v>17.3916975667974</v>
      </c>
      <c r="W1851" s="84" t="n">
        <f aca="false">IF(ISNUMBER(U1851),ABS(U1851),"")</f>
        <v>1.69169756679743</v>
      </c>
    </row>
    <row r="1852" customFormat="false" ht="15" hidden="false" customHeight="false" outlineLevel="0" collapsed="false">
      <c r="A1852" s="57" t="n">
        <v>33373</v>
      </c>
      <c r="B1852" s="56" t="n">
        <v>1991</v>
      </c>
      <c r="C1852" s="56" t="n">
        <v>5</v>
      </c>
      <c r="D1852" s="56" t="n">
        <v>15</v>
      </c>
      <c r="E1852" s="56" t="n">
        <v>12.4</v>
      </c>
      <c r="F1852" s="56" t="n">
        <v>0</v>
      </c>
      <c r="G1852" s="56" t="n">
        <v>5.4</v>
      </c>
      <c r="H1852" s="56" t="n">
        <v>0</v>
      </c>
      <c r="I1852" s="56" t="n">
        <v>10.6</v>
      </c>
      <c r="J1852" s="56" t="n">
        <v>0</v>
      </c>
      <c r="K1852" s="56" t="n">
        <v>1028.8</v>
      </c>
      <c r="L1852" s="56" t="n">
        <v>0</v>
      </c>
      <c r="M1852" s="56" t="n">
        <v>72</v>
      </c>
      <c r="N1852" s="56" t="n">
        <v>6.4</v>
      </c>
      <c r="O1852" s="56" t="n">
        <f aca="false">IF(D1852=1,"",E1851)</f>
        <v>15.7</v>
      </c>
      <c r="P1852" s="56" t="n">
        <f aca="false">IF(OR(D1852=1,K1851=""),"",K1851)</f>
        <v>1028.9</v>
      </c>
      <c r="Q1852" s="56" t="n">
        <f aca="false">IF(OR(F1852&lt;&gt;0,AND(I1852&lt;&gt;"",E1852&lt;I1852)),1,0)</f>
        <v>0</v>
      </c>
      <c r="R1852" s="56" t="n">
        <f aca="false">IF(AND(D1852&gt;1,Q1852=0,ISNUMBER(O1852),ISNUMBER(P1852)),IF(Q1851=0,1,0),0)</f>
        <v>1</v>
      </c>
      <c r="S1852" s="56" t="n">
        <f aca="false">R1852*(B1852&gt;=Train_Start)*(B1852&lt;=Train_End)</f>
        <v>1</v>
      </c>
      <c r="T1852" s="84" t="n">
        <f aca="false">IF(AND(ISNUMBER(O1852),ISNUMBER(P1852)),Coef_A+Coef_B1*O1852+Coef_B2*P1852,"")</f>
        <v>17.2270853416771</v>
      </c>
      <c r="U1852" s="84" t="n">
        <f aca="false">IF(AND(R1852=1,ISNUMBER(T1852)),E1852-T1852,"")</f>
        <v>-4.82708534167711</v>
      </c>
      <c r="V1852" s="84" t="n">
        <f aca="false">IF(ISNUMBER(T1852),T1852,-99)</f>
        <v>17.2270853416771</v>
      </c>
      <c r="W1852" s="84" t="n">
        <f aca="false">IF(ISNUMBER(U1852),ABS(U1852),"")</f>
        <v>4.82708534167711</v>
      </c>
    </row>
    <row r="1853" customFormat="false" ht="15" hidden="false" customHeight="false" outlineLevel="0" collapsed="false">
      <c r="A1853" s="57" t="n">
        <v>33374</v>
      </c>
      <c r="B1853" s="56" t="n">
        <v>1991</v>
      </c>
      <c r="C1853" s="56" t="n">
        <v>5</v>
      </c>
      <c r="D1853" s="56" t="n">
        <v>16</v>
      </c>
      <c r="E1853" s="56" t="n">
        <v>12.6</v>
      </c>
      <c r="F1853" s="56" t="n">
        <v>0</v>
      </c>
      <c r="G1853" s="56" t="n">
        <v>8.6</v>
      </c>
      <c r="H1853" s="56" t="n">
        <v>0</v>
      </c>
      <c r="I1853" s="56" t="n">
        <v>10.5</v>
      </c>
      <c r="J1853" s="56" t="n">
        <v>0</v>
      </c>
      <c r="K1853" s="56" t="n">
        <v>1026.8</v>
      </c>
      <c r="L1853" s="56" t="n">
        <v>0</v>
      </c>
      <c r="M1853" s="56" t="n">
        <v>79</v>
      </c>
      <c r="N1853" s="56" t="n">
        <v>0</v>
      </c>
      <c r="O1853" s="56" t="n">
        <f aca="false">IF(D1853=1,"",E1852)</f>
        <v>12.4</v>
      </c>
      <c r="P1853" s="56" t="n">
        <f aca="false">IF(OR(D1853=1,K1852=""),"",K1852)</f>
        <v>1028.8</v>
      </c>
      <c r="Q1853" s="56" t="n">
        <f aca="false">IF(OR(F1853&lt;&gt;0,AND(I1853&lt;&gt;"",E1853&lt;I1853)),1,0)</f>
        <v>0</v>
      </c>
      <c r="R1853" s="56" t="n">
        <f aca="false">IF(AND(D1853&gt;1,Q1853=0,ISNUMBER(O1853),ISNUMBER(P1853)),IF(Q1852=0,1,0),0)</f>
        <v>1</v>
      </c>
      <c r="S1853" s="56" t="n">
        <f aca="false">R1853*(B1853&gt;=Train_Start)*(B1853&lt;=Train_End)</f>
        <v>1</v>
      </c>
      <c r="T1853" s="84" t="n">
        <f aca="false">IF(AND(ISNUMBER(O1853),ISNUMBER(P1853)),Coef_A+Coef_B1*O1853+Coef_B2*P1853,"")</f>
        <v>14.5201290151729</v>
      </c>
      <c r="U1853" s="84" t="n">
        <f aca="false">IF(AND(R1853=1,ISNUMBER(T1853)),E1853-T1853,"")</f>
        <v>-1.92012901517294</v>
      </c>
      <c r="V1853" s="84" t="n">
        <f aca="false">IF(ISNUMBER(T1853),T1853,-99)</f>
        <v>14.5201290151729</v>
      </c>
      <c r="W1853" s="84" t="n">
        <f aca="false">IF(ISNUMBER(U1853),ABS(U1853),"")</f>
        <v>1.92012901517294</v>
      </c>
    </row>
    <row r="1854" customFormat="false" ht="15" hidden="false" customHeight="false" outlineLevel="0" collapsed="false">
      <c r="A1854" s="57" t="n">
        <v>33375</v>
      </c>
      <c r="B1854" s="56" t="n">
        <v>1991</v>
      </c>
      <c r="C1854" s="56" t="n">
        <v>5</v>
      </c>
      <c r="D1854" s="56" t="n">
        <v>17</v>
      </c>
      <c r="E1854" s="56" t="n">
        <v>14.1</v>
      </c>
      <c r="F1854" s="56" t="n">
        <v>0</v>
      </c>
      <c r="G1854" s="56" t="n">
        <v>8</v>
      </c>
      <c r="H1854" s="56" t="n">
        <v>0</v>
      </c>
      <c r="I1854" s="56" t="n">
        <v>10.3</v>
      </c>
      <c r="J1854" s="56" t="n">
        <v>0</v>
      </c>
      <c r="K1854" s="56" t="n">
        <v>1026.5</v>
      </c>
      <c r="L1854" s="56" t="n">
        <v>0</v>
      </c>
      <c r="M1854" s="56" t="n">
        <v>86</v>
      </c>
      <c r="N1854" s="56" t="n">
        <v>0</v>
      </c>
      <c r="O1854" s="56" t="n">
        <f aca="false">IF(D1854=1,"",E1853)</f>
        <v>12.6</v>
      </c>
      <c r="P1854" s="56" t="n">
        <f aca="false">IF(OR(D1854=1,K1853=""),"",K1853)</f>
        <v>1026.8</v>
      </c>
      <c r="Q1854" s="56" t="n">
        <f aca="false">IF(OR(F1854&lt;&gt;0,AND(I1854&lt;&gt;"",E1854&lt;I1854)),1,0)</f>
        <v>0</v>
      </c>
      <c r="R1854" s="56" t="n">
        <f aca="false">IF(AND(D1854&gt;1,Q1854=0,ISNUMBER(O1854),ISNUMBER(P1854)),IF(Q1853=0,1,0),0)</f>
        <v>1</v>
      </c>
      <c r="S1854" s="56" t="n">
        <f aca="false">R1854*(B1854&gt;=Train_Start)*(B1854&lt;=Train_End)</f>
        <v>1</v>
      </c>
      <c r="T1854" s="84" t="n">
        <f aca="false">IF(AND(ISNUMBER(O1854),ISNUMBER(P1854)),Coef_A+Coef_B1*O1854+Coef_B2*P1854,"")</f>
        <v>14.6212570645135</v>
      </c>
      <c r="U1854" s="84" t="n">
        <f aca="false">IF(AND(R1854=1,ISNUMBER(T1854)),E1854-T1854,"")</f>
        <v>-0.521257064513494</v>
      </c>
      <c r="V1854" s="84" t="n">
        <f aca="false">IF(ISNUMBER(T1854),T1854,-99)</f>
        <v>14.6212570645135</v>
      </c>
      <c r="W1854" s="84" t="n">
        <f aca="false">IF(ISNUMBER(U1854),ABS(U1854),"")</f>
        <v>0.521257064513494</v>
      </c>
    </row>
    <row r="1855" customFormat="false" ht="15" hidden="false" customHeight="false" outlineLevel="0" collapsed="false">
      <c r="A1855" s="57" t="n">
        <v>33376</v>
      </c>
      <c r="B1855" s="56" t="n">
        <v>1991</v>
      </c>
      <c r="C1855" s="56" t="n">
        <v>5</v>
      </c>
      <c r="D1855" s="56" t="n">
        <v>18</v>
      </c>
      <c r="E1855" s="56" t="n">
        <v>17.5</v>
      </c>
      <c r="F1855" s="56" t="n">
        <v>0</v>
      </c>
      <c r="G1855" s="56" t="n">
        <v>8.8</v>
      </c>
      <c r="H1855" s="56" t="n">
        <v>0</v>
      </c>
      <c r="I1855" s="56" t="n">
        <v>11.4</v>
      </c>
      <c r="J1855" s="56" t="n">
        <v>0</v>
      </c>
      <c r="K1855" s="56" t="n">
        <v>1026.8</v>
      </c>
      <c r="L1855" s="56" t="n">
        <v>0</v>
      </c>
      <c r="M1855" s="56" t="n">
        <v>81</v>
      </c>
      <c r="N1855" s="56" t="n">
        <v>0.3</v>
      </c>
      <c r="O1855" s="56" t="n">
        <f aca="false">IF(D1855=1,"",E1854)</f>
        <v>14.1</v>
      </c>
      <c r="P1855" s="56" t="n">
        <f aca="false">IF(OR(D1855=1,K1854=""),"",K1854)</f>
        <v>1026.5</v>
      </c>
      <c r="Q1855" s="56" t="n">
        <f aca="false">IF(OR(F1855&lt;&gt;0,AND(I1855&lt;&gt;"",E1855&lt;I1855)),1,0)</f>
        <v>0</v>
      </c>
      <c r="R1855" s="56" t="n">
        <f aca="false">IF(AND(D1855&gt;1,Q1855=0,ISNUMBER(O1855),ISNUMBER(P1855)),IF(Q1854=0,1,0),0)</f>
        <v>1</v>
      </c>
      <c r="S1855" s="56" t="n">
        <f aca="false">R1855*(B1855&gt;=Train_Start)*(B1855&lt;=Train_End)</f>
        <v>1</v>
      </c>
      <c r="T1855" s="84" t="n">
        <f aca="false">IF(AND(ISNUMBER(O1855),ISNUMBER(P1855)),Coef_A+Coef_B1*O1855+Coef_B2*P1855,"")</f>
        <v>15.8408548856873</v>
      </c>
      <c r="U1855" s="84" t="n">
        <f aca="false">IF(AND(R1855=1,ISNUMBER(T1855)),E1855-T1855,"")</f>
        <v>1.65914511431272</v>
      </c>
      <c r="V1855" s="84" t="n">
        <f aca="false">IF(ISNUMBER(T1855),T1855,-99)</f>
        <v>15.8408548856873</v>
      </c>
      <c r="W1855" s="84" t="n">
        <f aca="false">IF(ISNUMBER(U1855),ABS(U1855),"")</f>
        <v>1.65914511431272</v>
      </c>
    </row>
    <row r="1856" customFormat="false" ht="15" hidden="false" customHeight="false" outlineLevel="0" collapsed="false">
      <c r="A1856" s="57" t="n">
        <v>33377</v>
      </c>
      <c r="B1856" s="56" t="n">
        <v>1991</v>
      </c>
      <c r="C1856" s="56" t="n">
        <v>5</v>
      </c>
      <c r="D1856" s="56" t="n">
        <v>19</v>
      </c>
      <c r="E1856" s="56" t="n">
        <v>21.7</v>
      </c>
      <c r="F1856" s="56" t="n">
        <v>0</v>
      </c>
      <c r="G1856" s="56" t="n">
        <v>9.8</v>
      </c>
      <c r="H1856" s="56" t="n">
        <v>0</v>
      </c>
      <c r="I1856" s="56" t="n">
        <v>13.6</v>
      </c>
      <c r="J1856" s="56" t="n">
        <v>0</v>
      </c>
      <c r="K1856" s="56" t="n">
        <v>1024.4</v>
      </c>
      <c r="L1856" s="56" t="n">
        <v>0</v>
      </c>
      <c r="M1856" s="56" t="n">
        <v>80</v>
      </c>
      <c r="N1856" s="56" t="n">
        <v>0.9</v>
      </c>
      <c r="O1856" s="56" t="n">
        <f aca="false">IF(D1856=1,"",E1855)</f>
        <v>17.5</v>
      </c>
      <c r="P1856" s="56" t="n">
        <f aca="false">IF(OR(D1856=1,K1855=""),"",K1855)</f>
        <v>1026.8</v>
      </c>
      <c r="Q1856" s="56" t="n">
        <f aca="false">IF(OR(F1856&lt;&gt;0,AND(I1856&lt;&gt;"",E1856&lt;I1856)),1,0)</f>
        <v>0</v>
      </c>
      <c r="R1856" s="56" t="n">
        <f aca="false">IF(AND(D1856&gt;1,Q1856=0,ISNUMBER(O1856),ISNUMBER(P1856)),IF(Q1855=0,1,0),0)</f>
        <v>1</v>
      </c>
      <c r="S1856" s="56" t="n">
        <f aca="false">R1856*(B1856&gt;=Train_Start)*(B1856&lt;=Train_End)</f>
        <v>1</v>
      </c>
      <c r="T1856" s="84" t="n">
        <f aca="false">IF(AND(ISNUMBER(O1856),ISNUMBER(P1856)),Coef_A+Coef_B1*O1856+Coef_B2*P1856,"")</f>
        <v>18.6360191104225</v>
      </c>
      <c r="U1856" s="84" t="n">
        <f aca="false">IF(AND(R1856=1,ISNUMBER(T1856)),E1856-T1856,"")</f>
        <v>3.06398088957749</v>
      </c>
      <c r="V1856" s="84" t="n">
        <f aca="false">IF(ISNUMBER(T1856),T1856,-99)</f>
        <v>18.6360191104225</v>
      </c>
      <c r="W1856" s="84" t="n">
        <f aca="false">IF(ISNUMBER(U1856),ABS(U1856),"")</f>
        <v>3.06398088957749</v>
      </c>
    </row>
    <row r="1857" customFormat="false" ht="15" hidden="false" customHeight="false" outlineLevel="0" collapsed="false">
      <c r="A1857" s="57" t="n">
        <v>33378</v>
      </c>
      <c r="B1857" s="56" t="n">
        <v>1991</v>
      </c>
      <c r="C1857" s="56" t="n">
        <v>5</v>
      </c>
      <c r="D1857" s="56" t="n">
        <v>20</v>
      </c>
      <c r="E1857" s="56" t="n">
        <v>24.6</v>
      </c>
      <c r="F1857" s="56" t="n">
        <v>0</v>
      </c>
      <c r="G1857" s="56" t="n">
        <v>10.6</v>
      </c>
      <c r="H1857" s="56" t="n">
        <v>0</v>
      </c>
      <c r="I1857" s="56" t="n">
        <v>16.2</v>
      </c>
      <c r="J1857" s="56" t="n">
        <v>0</v>
      </c>
      <c r="K1857" s="56" t="n">
        <v>1025.6</v>
      </c>
      <c r="L1857" s="56" t="n">
        <v>0</v>
      </c>
      <c r="M1857" s="56" t="n">
        <v>78</v>
      </c>
      <c r="N1857" s="56" t="n">
        <v>6.9</v>
      </c>
      <c r="O1857" s="56" t="n">
        <f aca="false">IF(D1857=1,"",E1856)</f>
        <v>21.7</v>
      </c>
      <c r="P1857" s="56" t="n">
        <f aca="false">IF(OR(D1857=1,K1856=""),"",K1856)</f>
        <v>1024.4</v>
      </c>
      <c r="Q1857" s="56" t="n">
        <f aca="false">IF(OR(F1857&lt;&gt;0,AND(I1857&lt;&gt;"",E1857&lt;I1857)),1,0)</f>
        <v>0</v>
      </c>
      <c r="R1857" s="56" t="n">
        <f aca="false">IF(AND(D1857&gt;1,Q1857=0,ISNUMBER(O1857),ISNUMBER(P1857)),IF(Q1856=0,1,0),0)</f>
        <v>1</v>
      </c>
      <c r="S1857" s="56" t="n">
        <f aca="false">R1857*(B1857&gt;=Train_Start)*(B1857&lt;=Train_End)</f>
        <v>1</v>
      </c>
      <c r="T1857" s="84" t="n">
        <f aca="false">IF(AND(ISNUMBER(O1857),ISNUMBER(P1857)),Coef_A+Coef_B1*O1857+Coef_B2*P1857,"")</f>
        <v>22.0019559740801</v>
      </c>
      <c r="U1857" s="84" t="n">
        <f aca="false">IF(AND(R1857=1,ISNUMBER(T1857)),E1857-T1857,"")</f>
        <v>2.5980440259199</v>
      </c>
      <c r="V1857" s="84" t="n">
        <f aca="false">IF(ISNUMBER(T1857),T1857,-99)</f>
        <v>22.0019559740801</v>
      </c>
      <c r="W1857" s="84" t="n">
        <f aca="false">IF(ISNUMBER(U1857),ABS(U1857),"")</f>
        <v>2.5980440259199</v>
      </c>
    </row>
    <row r="1858" customFormat="false" ht="15" hidden="false" customHeight="false" outlineLevel="0" collapsed="false">
      <c r="A1858" s="57" t="n">
        <v>33379</v>
      </c>
      <c r="B1858" s="56" t="n">
        <v>1991</v>
      </c>
      <c r="C1858" s="56" t="n">
        <v>5</v>
      </c>
      <c r="D1858" s="56" t="n">
        <v>21</v>
      </c>
      <c r="E1858" s="56" t="n">
        <v>21.2</v>
      </c>
      <c r="F1858" s="56" t="n">
        <v>0</v>
      </c>
      <c r="G1858" s="56" t="n">
        <v>11.6</v>
      </c>
      <c r="H1858" s="56" t="n">
        <v>0</v>
      </c>
      <c r="I1858" s="56" t="n">
        <v>18.1</v>
      </c>
      <c r="J1858" s="56" t="n">
        <v>0</v>
      </c>
      <c r="K1858" s="56" t="n">
        <v>1031.5</v>
      </c>
      <c r="L1858" s="56" t="n">
        <v>0</v>
      </c>
      <c r="M1858" s="56" t="n">
        <v>72</v>
      </c>
      <c r="N1858" s="56" t="n">
        <v>9.4</v>
      </c>
      <c r="O1858" s="56" t="n">
        <f aca="false">IF(D1858=1,"",E1857)</f>
        <v>24.6</v>
      </c>
      <c r="P1858" s="56" t="n">
        <f aca="false">IF(OR(D1858=1,K1857=""),"",K1857)</f>
        <v>1025.6</v>
      </c>
      <c r="Q1858" s="56" t="n">
        <f aca="false">IF(OR(F1858&lt;&gt;0,AND(I1858&lt;&gt;"",E1858&lt;I1858)),1,0)</f>
        <v>0</v>
      </c>
      <c r="R1858" s="56" t="n">
        <f aca="false">IF(AND(D1858&gt;1,Q1858=0,ISNUMBER(O1858),ISNUMBER(P1858)),IF(Q1857=0,1,0),0)</f>
        <v>1</v>
      </c>
      <c r="S1858" s="56" t="n">
        <f aca="false">R1858*(B1858&gt;=Train_Start)*(B1858&lt;=Train_End)</f>
        <v>1</v>
      </c>
      <c r="T1858" s="84" t="n">
        <f aca="false">IF(AND(ISNUMBER(O1858),ISNUMBER(P1858)),Coef_A+Coef_B1*O1858+Coef_B2*P1858,"")</f>
        <v>24.4156835074646</v>
      </c>
      <c r="U1858" s="84" t="n">
        <f aca="false">IF(AND(R1858=1,ISNUMBER(T1858)),E1858-T1858,"")</f>
        <v>-3.21568350746459</v>
      </c>
      <c r="V1858" s="84" t="n">
        <f aca="false">IF(ISNUMBER(T1858),T1858,-99)</f>
        <v>24.4156835074646</v>
      </c>
      <c r="W1858" s="84" t="n">
        <f aca="false">IF(ISNUMBER(U1858),ABS(U1858),"")</f>
        <v>3.21568350746459</v>
      </c>
    </row>
    <row r="1859" customFormat="false" ht="15" hidden="false" customHeight="false" outlineLevel="0" collapsed="false">
      <c r="A1859" s="57" t="n">
        <v>33380</v>
      </c>
      <c r="B1859" s="56" t="n">
        <v>1991</v>
      </c>
      <c r="C1859" s="56" t="n">
        <v>5</v>
      </c>
      <c r="D1859" s="56" t="n">
        <v>22</v>
      </c>
      <c r="E1859" s="56" t="n">
        <v>18.2</v>
      </c>
      <c r="F1859" s="56" t="n">
        <v>0</v>
      </c>
      <c r="G1859" s="56" t="n">
        <v>12</v>
      </c>
      <c r="H1859" s="56" t="n">
        <v>0</v>
      </c>
      <c r="I1859" s="56" t="n">
        <v>16.6</v>
      </c>
      <c r="J1859" s="56" t="n">
        <v>0</v>
      </c>
      <c r="K1859" s="56" t="n">
        <v>1034.6</v>
      </c>
      <c r="L1859" s="56" t="n">
        <v>0</v>
      </c>
      <c r="M1859" s="56" t="n">
        <v>68</v>
      </c>
      <c r="N1859" s="56" t="n">
        <v>10.5</v>
      </c>
      <c r="O1859" s="56" t="n">
        <f aca="false">IF(D1859=1,"",E1858)</f>
        <v>21.2</v>
      </c>
      <c r="P1859" s="56" t="n">
        <f aca="false">IF(OR(D1859=1,K1858=""),"",K1858)</f>
        <v>1031.5</v>
      </c>
      <c r="Q1859" s="56" t="n">
        <f aca="false">IF(OR(F1859&lt;&gt;0,AND(I1859&lt;&gt;"",E1859&lt;I1859)),1,0)</f>
        <v>0</v>
      </c>
      <c r="R1859" s="56" t="n">
        <f aca="false">IF(AND(D1859&gt;1,Q1859=0,ISNUMBER(O1859),ISNUMBER(P1859)),IF(Q1858=0,1,0),0)</f>
        <v>1</v>
      </c>
      <c r="S1859" s="56" t="n">
        <f aca="false">R1859*(B1859&gt;=Train_Start)*(B1859&lt;=Train_End)</f>
        <v>1</v>
      </c>
      <c r="T1859" s="84" t="n">
        <f aca="false">IF(AND(ISNUMBER(O1859),ISNUMBER(P1859)),Coef_A+Coef_B1*O1859+Coef_B2*P1859,"")</f>
        <v>21.8150126294601</v>
      </c>
      <c r="U1859" s="84" t="n">
        <f aca="false">IF(AND(R1859=1,ISNUMBER(T1859)),E1859-T1859,"")</f>
        <v>-3.6150126294601</v>
      </c>
      <c r="V1859" s="84" t="n">
        <f aca="false">IF(ISNUMBER(T1859),T1859,-99)</f>
        <v>21.8150126294601</v>
      </c>
      <c r="W1859" s="84" t="n">
        <f aca="false">IF(ISNUMBER(U1859),ABS(U1859),"")</f>
        <v>3.6150126294601</v>
      </c>
    </row>
    <row r="1860" customFormat="false" ht="15" hidden="false" customHeight="false" outlineLevel="0" collapsed="false">
      <c r="A1860" s="57" t="n">
        <v>33381</v>
      </c>
      <c r="B1860" s="56" t="n">
        <v>1991</v>
      </c>
      <c r="C1860" s="56" t="n">
        <v>5</v>
      </c>
      <c r="D1860" s="56" t="n">
        <v>23</v>
      </c>
      <c r="E1860" s="56" t="n">
        <v>18.4</v>
      </c>
      <c r="F1860" s="56" t="n">
        <v>0</v>
      </c>
      <c r="G1860" s="56" t="n">
        <v>10.1</v>
      </c>
      <c r="H1860" s="56" t="n">
        <v>0</v>
      </c>
      <c r="I1860" s="56" t="n">
        <v>14.2</v>
      </c>
      <c r="J1860" s="56" t="n">
        <v>0</v>
      </c>
      <c r="K1860" s="56" t="n">
        <v>1033.8</v>
      </c>
      <c r="L1860" s="56" t="n">
        <v>0</v>
      </c>
      <c r="M1860" s="56" t="n">
        <v>69</v>
      </c>
      <c r="N1860" s="56" t="n">
        <v>3.7</v>
      </c>
      <c r="O1860" s="56" t="n">
        <f aca="false">IF(D1860=1,"",E1859)</f>
        <v>18.2</v>
      </c>
      <c r="P1860" s="56" t="n">
        <f aca="false">IF(OR(D1860=1,K1859=""),"",K1859)</f>
        <v>1034.6</v>
      </c>
      <c r="Q1860" s="56" t="n">
        <f aca="false">IF(OR(F1860&lt;&gt;0,AND(I1860&lt;&gt;"",E1860&lt;I1860)),1,0)</f>
        <v>0</v>
      </c>
      <c r="R1860" s="56" t="n">
        <f aca="false">IF(AND(D1860&gt;1,Q1860=0,ISNUMBER(O1860),ISNUMBER(P1860)),IF(Q1859=0,1,0),0)</f>
        <v>1</v>
      </c>
      <c r="S1860" s="56" t="n">
        <f aca="false">R1860*(B1860&gt;=Train_Start)*(B1860&lt;=Train_End)</f>
        <v>1</v>
      </c>
      <c r="T1860" s="84" t="n">
        <f aca="false">IF(AND(ISNUMBER(O1860),ISNUMBER(P1860)),Coef_A+Coef_B1*O1860+Coef_B2*P1860,"")</f>
        <v>19.4542417236975</v>
      </c>
      <c r="U1860" s="84" t="n">
        <f aca="false">IF(AND(R1860=1,ISNUMBER(T1860)),E1860-T1860,"")</f>
        <v>-1.05424172369749</v>
      </c>
      <c r="V1860" s="84" t="n">
        <f aca="false">IF(ISNUMBER(T1860),T1860,-99)</f>
        <v>19.4542417236975</v>
      </c>
      <c r="W1860" s="84" t="n">
        <f aca="false">IF(ISNUMBER(U1860),ABS(U1860),"")</f>
        <v>1.05424172369749</v>
      </c>
    </row>
    <row r="1861" customFormat="false" ht="15" hidden="false" customHeight="false" outlineLevel="0" collapsed="false">
      <c r="A1861" s="57" t="n">
        <v>33382</v>
      </c>
      <c r="B1861" s="56" t="n">
        <v>1991</v>
      </c>
      <c r="C1861" s="56" t="n">
        <v>5</v>
      </c>
      <c r="D1861" s="56" t="n">
        <v>24</v>
      </c>
      <c r="E1861" s="56" t="n">
        <v>21.8</v>
      </c>
      <c r="F1861" s="56" t="n">
        <v>0</v>
      </c>
      <c r="G1861" s="56" t="n">
        <v>8</v>
      </c>
      <c r="H1861" s="56" t="n">
        <v>0</v>
      </c>
      <c r="I1861" s="56" t="n">
        <v>13.2</v>
      </c>
      <c r="J1861" s="56" t="n">
        <v>0</v>
      </c>
      <c r="K1861" s="56" t="n">
        <v>1030.8</v>
      </c>
      <c r="L1861" s="56" t="n">
        <v>0</v>
      </c>
      <c r="M1861" s="56" t="n">
        <v>77</v>
      </c>
      <c r="N1861" s="56" t="n">
        <v>2.3</v>
      </c>
      <c r="O1861" s="56" t="n">
        <f aca="false">IF(D1861=1,"",E1860)</f>
        <v>18.4</v>
      </c>
      <c r="P1861" s="56" t="n">
        <f aca="false">IF(OR(D1861=1,K1860=""),"",K1860)</f>
        <v>1033.8</v>
      </c>
      <c r="Q1861" s="56" t="n">
        <f aca="false">IF(OR(F1861&lt;&gt;0,AND(I1861&lt;&gt;"",E1861&lt;I1861)),1,0)</f>
        <v>0</v>
      </c>
      <c r="R1861" s="56" t="n">
        <f aca="false">IF(AND(D1861&gt;1,Q1861=0,ISNUMBER(O1861),ISNUMBER(P1861)),IF(Q1860=0,1,0),0)</f>
        <v>1</v>
      </c>
      <c r="S1861" s="56" t="n">
        <f aca="false">R1861*(B1861&gt;=Train_Start)*(B1861&lt;=Train_End)</f>
        <v>1</v>
      </c>
      <c r="T1861" s="84" t="n">
        <f aca="false">IF(AND(ISNUMBER(O1861),ISNUMBER(P1861)),Coef_A+Coef_B1*O1861+Coef_B2*P1861,"")</f>
        <v>19.5930136465988</v>
      </c>
      <c r="U1861" s="84" t="n">
        <f aca="false">IF(AND(R1861=1,ISNUMBER(T1861)),E1861-T1861,"")</f>
        <v>2.20698635340117</v>
      </c>
      <c r="V1861" s="84" t="n">
        <f aca="false">IF(ISNUMBER(T1861),T1861,-99)</f>
        <v>19.5930136465988</v>
      </c>
      <c r="W1861" s="84" t="n">
        <f aca="false">IF(ISNUMBER(U1861),ABS(U1861),"")</f>
        <v>2.20698635340117</v>
      </c>
    </row>
    <row r="1862" customFormat="false" ht="15" hidden="false" customHeight="false" outlineLevel="0" collapsed="false">
      <c r="A1862" s="57" t="n">
        <v>33383</v>
      </c>
      <c r="B1862" s="56" t="n">
        <v>1991</v>
      </c>
      <c r="C1862" s="56" t="n">
        <v>5</v>
      </c>
      <c r="D1862" s="56" t="n">
        <v>25</v>
      </c>
      <c r="E1862" s="56" t="n">
        <v>16.9</v>
      </c>
      <c r="F1862" s="56" t="n">
        <v>0</v>
      </c>
      <c r="G1862" s="56" t="n">
        <v>10.1</v>
      </c>
      <c r="H1862" s="56" t="n">
        <v>0</v>
      </c>
      <c r="I1862" s="56" t="n">
        <v>16</v>
      </c>
      <c r="J1862" s="56" t="n">
        <v>0</v>
      </c>
      <c r="K1862" s="56" t="n">
        <v>1029.5</v>
      </c>
      <c r="L1862" s="56" t="n">
        <v>0</v>
      </c>
      <c r="M1862" s="56" t="n">
        <v>73</v>
      </c>
      <c r="N1862" s="56" t="n">
        <v>10.4</v>
      </c>
      <c r="O1862" s="56" t="n">
        <f aca="false">IF(D1862=1,"",E1861)</f>
        <v>21.8</v>
      </c>
      <c r="P1862" s="56" t="n">
        <f aca="false">IF(OR(D1862=1,K1861=""),"",K1861)</f>
        <v>1030.8</v>
      </c>
      <c r="Q1862" s="56" t="n">
        <f aca="false">IF(OR(F1862&lt;&gt;0,AND(I1862&lt;&gt;"",E1862&lt;I1862)),1,0)</f>
        <v>0</v>
      </c>
      <c r="R1862" s="56" t="n">
        <f aca="false">IF(AND(D1862&gt;1,Q1862=0,ISNUMBER(O1862),ISNUMBER(P1862)),IF(Q1861=0,1,0),0)</f>
        <v>1</v>
      </c>
      <c r="S1862" s="56" t="n">
        <f aca="false">R1862*(B1862&gt;=Train_Start)*(B1862&lt;=Train_End)</f>
        <v>1</v>
      </c>
      <c r="T1862" s="84" t="n">
        <f aca="false">IF(AND(ISNUMBER(O1862),ISNUMBER(P1862)),Coef_A+Coef_B1*O1862+Coef_B2*P1862,"")</f>
        <v>22.2846572190419</v>
      </c>
      <c r="U1862" s="84" t="n">
        <f aca="false">IF(AND(R1862=1,ISNUMBER(T1862)),E1862-T1862,"")</f>
        <v>-5.3846572190419</v>
      </c>
      <c r="V1862" s="84" t="n">
        <f aca="false">IF(ISNUMBER(T1862),T1862,-99)</f>
        <v>22.2846572190419</v>
      </c>
      <c r="W1862" s="84" t="n">
        <f aca="false">IF(ISNUMBER(U1862),ABS(U1862),"")</f>
        <v>5.3846572190419</v>
      </c>
    </row>
    <row r="1863" customFormat="false" ht="15" hidden="false" customHeight="false" outlineLevel="0" collapsed="false">
      <c r="A1863" s="57" t="n">
        <v>33384</v>
      </c>
      <c r="B1863" s="56" t="n">
        <v>1991</v>
      </c>
      <c r="C1863" s="56" t="n">
        <v>5</v>
      </c>
      <c r="D1863" s="56" t="n">
        <v>26</v>
      </c>
      <c r="E1863" s="56" t="n">
        <v>20.5</v>
      </c>
      <c r="F1863" s="56" t="n">
        <v>0</v>
      </c>
      <c r="G1863" s="56" t="n">
        <v>12.5</v>
      </c>
      <c r="H1863" s="56" t="n">
        <v>0</v>
      </c>
      <c r="I1863" s="56" t="n">
        <v>14.7</v>
      </c>
      <c r="J1863" s="56" t="n">
        <v>0</v>
      </c>
      <c r="K1863" s="56" t="n">
        <v>1030.6</v>
      </c>
      <c r="L1863" s="56" t="n">
        <v>0</v>
      </c>
      <c r="M1863" s="56" t="n">
        <v>74</v>
      </c>
      <c r="N1863" s="56" t="n">
        <v>1</v>
      </c>
      <c r="O1863" s="56" t="n">
        <f aca="false">IF(D1863=1,"",E1862)</f>
        <v>16.9</v>
      </c>
      <c r="P1863" s="56" t="n">
        <f aca="false">IF(OR(D1863=1,K1862=""),"",K1862)</f>
        <v>1029.5</v>
      </c>
      <c r="Q1863" s="56" t="n">
        <f aca="false">IF(OR(F1863&lt;&gt;0,AND(I1863&lt;&gt;"",E1863&lt;I1863)),1,0)</f>
        <v>0</v>
      </c>
      <c r="R1863" s="56" t="n">
        <f aca="false">IF(AND(D1863&gt;1,Q1863=0,ISNUMBER(O1863),ISNUMBER(P1863)),IF(Q1862=0,1,0),0)</f>
        <v>1</v>
      </c>
      <c r="S1863" s="56" t="n">
        <f aca="false">R1863*(B1863&gt;=Train_Start)*(B1863&lt;=Train_End)</f>
        <v>1</v>
      </c>
      <c r="T1863" s="84" t="n">
        <f aca="false">IF(AND(ISNUMBER(O1863),ISNUMBER(P1863)),Coef_A+Coef_B1*O1863+Coef_B2*P1863,"")</f>
        <v>18.2291143101087</v>
      </c>
      <c r="U1863" s="84" t="n">
        <f aca="false">IF(AND(R1863=1,ISNUMBER(T1863)),E1863-T1863,"")</f>
        <v>2.27088568989131</v>
      </c>
      <c r="V1863" s="84" t="n">
        <f aca="false">IF(ISNUMBER(T1863),T1863,-99)</f>
        <v>18.2291143101087</v>
      </c>
      <c r="W1863" s="84" t="n">
        <f aca="false">IF(ISNUMBER(U1863),ABS(U1863),"")</f>
        <v>2.27088568989131</v>
      </c>
    </row>
    <row r="1864" customFormat="false" ht="15" hidden="false" customHeight="false" outlineLevel="0" collapsed="false">
      <c r="A1864" s="57" t="n">
        <v>33385</v>
      </c>
      <c r="B1864" s="56" t="n">
        <v>1991</v>
      </c>
      <c r="C1864" s="56" t="n">
        <v>5</v>
      </c>
      <c r="D1864" s="56" t="n">
        <v>27</v>
      </c>
      <c r="E1864" s="56" t="n">
        <v>12.5</v>
      </c>
      <c r="F1864" s="56" t="n">
        <v>1</v>
      </c>
      <c r="G1864" s="56" t="n">
        <v>9</v>
      </c>
      <c r="H1864" s="56" t="n">
        <v>0</v>
      </c>
      <c r="I1864" s="56" t="n">
        <v>14.8</v>
      </c>
      <c r="J1864" s="56" t="n">
        <v>1</v>
      </c>
      <c r="K1864" s="56" t="n">
        <v>1030.3</v>
      </c>
      <c r="L1864" s="56" t="n">
        <v>0</v>
      </c>
      <c r="M1864" s="56" t="n">
        <v>70</v>
      </c>
      <c r="N1864" s="56" t="n">
        <v>8.8</v>
      </c>
      <c r="O1864" s="56" t="n">
        <f aca="false">IF(D1864=1,"",E1863)</f>
        <v>20.5</v>
      </c>
      <c r="P1864" s="56" t="n">
        <f aca="false">IF(OR(D1864=1,K1863=""),"",K1863)</f>
        <v>1030.6</v>
      </c>
      <c r="Q1864" s="56" t="n">
        <f aca="false">IF(OR(F1864&lt;&gt;0,AND(I1864&lt;&gt;"",E1864&lt;I1864)),1,0)</f>
        <v>1</v>
      </c>
      <c r="R1864" s="56" t="n">
        <f aca="false">IF(AND(D1864&gt;1,Q1864=0,ISNUMBER(O1864),ISNUMBER(P1864)),IF(Q1863=0,1,0),0)</f>
        <v>0</v>
      </c>
      <c r="S1864" s="56" t="n">
        <f aca="false">R1864*(B1864&gt;=Train_Start)*(B1864&lt;=Train_End)</f>
        <v>0</v>
      </c>
      <c r="T1864" s="84" t="n">
        <f aca="false">IF(AND(ISNUMBER(O1864),ISNUMBER(P1864)),Coef_A+Coef_B1*O1864+Coef_B2*P1864,"")</f>
        <v>21.2132422891596</v>
      </c>
      <c r="U1864" s="84" t="str">
        <f aca="false">IF(AND(R1864=1,ISNUMBER(T1864)),E1864-T1864,"")</f>
        <v/>
      </c>
      <c r="V1864" s="84" t="n">
        <f aca="false">IF(ISNUMBER(T1864),T1864,-99)</f>
        <v>21.2132422891596</v>
      </c>
      <c r="W1864" s="84" t="str">
        <f aca="false">IF(ISNUMBER(U1864),ABS(U1864),"")</f>
        <v/>
      </c>
    </row>
    <row r="1865" customFormat="false" ht="15" hidden="false" customHeight="false" outlineLevel="0" collapsed="false">
      <c r="A1865" s="57" t="n">
        <v>33386</v>
      </c>
      <c r="B1865" s="56" t="n">
        <v>1991</v>
      </c>
      <c r="C1865" s="56" t="n">
        <v>5</v>
      </c>
      <c r="D1865" s="56" t="n">
        <v>28</v>
      </c>
      <c r="E1865" s="56" t="n">
        <v>15.1</v>
      </c>
      <c r="F1865" s="56" t="n">
        <v>0</v>
      </c>
      <c r="G1865" s="56" t="n">
        <v>9.7</v>
      </c>
      <c r="H1865" s="56" t="n">
        <v>0</v>
      </c>
      <c r="I1865" s="56" t="n">
        <v>11.1</v>
      </c>
      <c r="J1865" s="56" t="n">
        <v>0</v>
      </c>
      <c r="K1865" s="56" t="n">
        <v>1027.2</v>
      </c>
      <c r="L1865" s="56" t="n">
        <v>0</v>
      </c>
      <c r="M1865" s="56" t="n">
        <v>74</v>
      </c>
      <c r="N1865" s="56" t="n">
        <v>0</v>
      </c>
      <c r="O1865" s="56" t="n">
        <f aca="false">IF(D1865=1,"",E1864)</f>
        <v>12.5</v>
      </c>
      <c r="P1865" s="56" t="n">
        <f aca="false">IF(OR(D1865=1,K1864=""),"",K1864)</f>
        <v>1030.3</v>
      </c>
      <c r="Q1865" s="56" t="n">
        <f aca="false">IF(OR(F1865&lt;&gt;0,AND(I1865&lt;&gt;"",E1865&lt;I1865)),1,0)</f>
        <v>0</v>
      </c>
      <c r="R1865" s="56" t="n">
        <f aca="false">IF(AND(D1865&gt;1,Q1865=0,ISNUMBER(O1865),ISNUMBER(P1865)),IF(Q1864=0,1,0),0)</f>
        <v>0</v>
      </c>
      <c r="S1865" s="56" t="n">
        <f aca="false">R1865*(B1865&gt;=Train_Start)*(B1865&lt;=Train_End)</f>
        <v>0</v>
      </c>
      <c r="T1865" s="84" t="n">
        <f aca="false">IF(AND(ISNUMBER(O1865),ISNUMBER(P1865)),Coef_A+Coef_B1*O1865+Coef_B2*P1865,"")</f>
        <v>14.6491177764282</v>
      </c>
      <c r="U1865" s="84" t="str">
        <f aca="false">IF(AND(R1865=1,ISNUMBER(T1865)),E1865-T1865,"")</f>
        <v/>
      </c>
      <c r="V1865" s="84" t="n">
        <f aca="false">IF(ISNUMBER(T1865),T1865,-99)</f>
        <v>14.6491177764282</v>
      </c>
      <c r="W1865" s="84" t="str">
        <f aca="false">IF(ISNUMBER(U1865),ABS(U1865),"")</f>
        <v/>
      </c>
    </row>
    <row r="1866" customFormat="false" ht="15" hidden="false" customHeight="false" outlineLevel="0" collapsed="false">
      <c r="A1866" s="57" t="n">
        <v>33387</v>
      </c>
      <c r="B1866" s="56" t="n">
        <v>1991</v>
      </c>
      <c r="C1866" s="56" t="n">
        <v>5</v>
      </c>
      <c r="D1866" s="56" t="n">
        <v>29</v>
      </c>
      <c r="E1866" s="56" t="n">
        <v>16.2</v>
      </c>
      <c r="F1866" s="56" t="n">
        <v>0</v>
      </c>
      <c r="G1866" s="56" t="n">
        <v>8.9</v>
      </c>
      <c r="H1866" s="56" t="n">
        <v>0</v>
      </c>
      <c r="I1866" s="56" t="n">
        <v>12</v>
      </c>
      <c r="J1866" s="56" t="n">
        <v>0</v>
      </c>
      <c r="K1866" s="56" t="n">
        <v>1024.2</v>
      </c>
      <c r="L1866" s="56" t="n">
        <v>0</v>
      </c>
      <c r="M1866" s="56" t="n">
        <v>72</v>
      </c>
      <c r="N1866" s="56" t="n">
        <v>3</v>
      </c>
      <c r="O1866" s="56" t="n">
        <f aca="false">IF(D1866=1,"",E1865)</f>
        <v>15.1</v>
      </c>
      <c r="P1866" s="56" t="n">
        <f aca="false">IF(OR(D1866=1,K1865=""),"",K1865)</f>
        <v>1027.2</v>
      </c>
      <c r="Q1866" s="56" t="n">
        <f aca="false">IF(OR(F1866&lt;&gt;0,AND(I1866&lt;&gt;"",E1866&lt;I1866)),1,0)</f>
        <v>0</v>
      </c>
      <c r="R1866" s="56" t="n">
        <f aca="false">IF(AND(D1866&gt;1,Q1866=0,ISNUMBER(O1866),ISNUMBER(P1866)),IF(Q1865=0,1,0),0)</f>
        <v>1</v>
      </c>
      <c r="S1866" s="56" t="n">
        <f aca="false">R1866*(B1866&gt;=Train_Start)*(B1866&lt;=Train_End)</f>
        <v>1</v>
      </c>
      <c r="T1866" s="84" t="n">
        <f aca="false">IF(AND(ISNUMBER(O1866),ISNUMBER(P1866)),Coef_A+Coef_B1*O1866+Coef_B2*P1866,"")</f>
        <v>16.6821530049737</v>
      </c>
      <c r="U1866" s="84" t="n">
        <f aca="false">IF(AND(R1866=1,ISNUMBER(T1866)),E1866-T1866,"")</f>
        <v>-0.482153004973736</v>
      </c>
      <c r="V1866" s="84" t="n">
        <f aca="false">IF(ISNUMBER(T1866),T1866,-99)</f>
        <v>16.6821530049737</v>
      </c>
      <c r="W1866" s="84" t="n">
        <f aca="false">IF(ISNUMBER(U1866),ABS(U1866),"")</f>
        <v>0.482153004973736</v>
      </c>
    </row>
    <row r="1867" customFormat="false" ht="15" hidden="false" customHeight="false" outlineLevel="0" collapsed="false">
      <c r="A1867" s="57" t="n">
        <v>33388</v>
      </c>
      <c r="B1867" s="56" t="n">
        <v>1991</v>
      </c>
      <c r="C1867" s="56" t="n">
        <v>5</v>
      </c>
      <c r="D1867" s="56" t="n">
        <v>30</v>
      </c>
      <c r="E1867" s="56" t="n">
        <v>13.6</v>
      </c>
      <c r="F1867" s="56" t="n">
        <v>0</v>
      </c>
      <c r="G1867" s="56" t="n">
        <v>9.4</v>
      </c>
      <c r="H1867" s="56" t="n">
        <v>0</v>
      </c>
      <c r="I1867" s="56" t="n">
        <v>12.8</v>
      </c>
      <c r="J1867" s="56" t="n">
        <v>0</v>
      </c>
      <c r="K1867" s="56" t="n">
        <v>1023.9</v>
      </c>
      <c r="L1867" s="56" t="n">
        <v>0</v>
      </c>
      <c r="M1867" s="56" t="n">
        <v>76</v>
      </c>
      <c r="N1867" s="56" t="n">
        <v>5.6</v>
      </c>
      <c r="O1867" s="56" t="n">
        <f aca="false">IF(D1867=1,"",E1866)</f>
        <v>16.2</v>
      </c>
      <c r="P1867" s="56" t="n">
        <f aca="false">IF(OR(D1867=1,K1866=""),"",K1866)</f>
        <v>1024.2</v>
      </c>
      <c r="Q1867" s="56" t="n">
        <f aca="false">IF(OR(F1867&lt;&gt;0,AND(I1867&lt;&gt;"",E1867&lt;I1867)),1,0)</f>
        <v>0</v>
      </c>
      <c r="R1867" s="56" t="n">
        <f aca="false">IF(AND(D1867&gt;1,Q1867=0,ISNUMBER(O1867),ISNUMBER(P1867)),IF(Q1866=0,1,0),0)</f>
        <v>1</v>
      </c>
      <c r="S1867" s="56" t="n">
        <f aca="false">R1867*(B1867&gt;=Train_Start)*(B1867&lt;=Train_End)</f>
        <v>1</v>
      </c>
      <c r="T1867" s="84" t="n">
        <f aca="false">IF(AND(ISNUMBER(O1867),ISNUMBER(P1867)),Coef_A+Coef_B1*O1867+Coef_B2*P1867,"")</f>
        <v>17.4893164334187</v>
      </c>
      <c r="U1867" s="84" t="n">
        <f aca="false">IF(AND(R1867=1,ISNUMBER(T1867)),E1867-T1867,"")</f>
        <v>-3.88931643341869</v>
      </c>
      <c r="V1867" s="84" t="n">
        <f aca="false">IF(ISNUMBER(T1867),T1867,-99)</f>
        <v>17.4893164334187</v>
      </c>
      <c r="W1867" s="84" t="n">
        <f aca="false">IF(ISNUMBER(U1867),ABS(U1867),"")</f>
        <v>3.88931643341869</v>
      </c>
    </row>
    <row r="1868" customFormat="false" ht="15" hidden="false" customHeight="false" outlineLevel="0" collapsed="false">
      <c r="A1868" s="57" t="n">
        <v>33389</v>
      </c>
      <c r="B1868" s="56" t="n">
        <v>1991</v>
      </c>
      <c r="C1868" s="56" t="n">
        <v>5</v>
      </c>
      <c r="D1868" s="56" t="n">
        <v>31</v>
      </c>
      <c r="E1868" s="56" t="n">
        <v>14.1</v>
      </c>
      <c r="F1868" s="56" t="n">
        <v>0</v>
      </c>
      <c r="G1868" s="56" t="n">
        <v>8.7</v>
      </c>
      <c r="H1868" s="56" t="n">
        <v>0</v>
      </c>
      <c r="I1868" s="56" t="n">
        <v>11.2</v>
      </c>
      <c r="J1868" s="56" t="n">
        <v>0</v>
      </c>
      <c r="K1868" s="56" t="n">
        <v>1023.5</v>
      </c>
      <c r="L1868" s="56" t="n">
        <v>0</v>
      </c>
      <c r="M1868" s="56" t="n">
        <v>75</v>
      </c>
      <c r="N1868" s="56" t="n">
        <v>0.1</v>
      </c>
      <c r="O1868" s="56" t="n">
        <f aca="false">IF(D1868=1,"",E1867)</f>
        <v>13.6</v>
      </c>
      <c r="P1868" s="56" t="n">
        <f aca="false">IF(OR(D1868=1,K1867=""),"",K1867)</f>
        <v>1023.9</v>
      </c>
      <c r="Q1868" s="56" t="n">
        <f aca="false">IF(OR(F1868&lt;&gt;0,AND(I1868&lt;&gt;"",E1868&lt;I1868)),1,0)</f>
        <v>0</v>
      </c>
      <c r="R1868" s="56" t="n">
        <f aca="false">IF(AND(D1868&gt;1,Q1868=0,ISNUMBER(O1868),ISNUMBER(P1868)),IF(Q1867=0,1,0),0)</f>
        <v>1</v>
      </c>
      <c r="S1868" s="56" t="n">
        <f aca="false">R1868*(B1868&gt;=Train_Start)*(B1868&lt;=Train_End)</f>
        <v>1</v>
      </c>
      <c r="T1868" s="84" t="n">
        <f aca="false">IF(AND(ISNUMBER(O1868),ISNUMBER(P1868)),Coef_A+Coef_B1*O1868+Coef_B2*P1868,"")</f>
        <v>15.3496235631176</v>
      </c>
      <c r="U1868" s="84" t="n">
        <f aca="false">IF(AND(R1868=1,ISNUMBER(T1868)),E1868-T1868,"")</f>
        <v>-1.24962356311758</v>
      </c>
      <c r="V1868" s="84" t="n">
        <f aca="false">IF(ISNUMBER(T1868),T1868,-99)</f>
        <v>15.3496235631176</v>
      </c>
      <c r="W1868" s="84" t="n">
        <f aca="false">IF(ISNUMBER(U1868),ABS(U1868),"")</f>
        <v>1.24962356311758</v>
      </c>
    </row>
    <row r="1869" customFormat="false" ht="15" hidden="false" customHeight="false" outlineLevel="0" collapsed="false">
      <c r="A1869" s="57" t="n">
        <v>33390</v>
      </c>
      <c r="B1869" s="56" t="n">
        <v>1991</v>
      </c>
      <c r="C1869" s="56" t="n">
        <v>6</v>
      </c>
      <c r="D1869" s="56" t="n">
        <v>32</v>
      </c>
      <c r="E1869" s="56" t="n">
        <v>15.5</v>
      </c>
      <c r="F1869" s="56" t="n">
        <v>0</v>
      </c>
      <c r="G1869" s="56" t="n">
        <v>8.5</v>
      </c>
      <c r="H1869" s="56" t="n">
        <v>0</v>
      </c>
      <c r="I1869" s="56" t="n">
        <v>11.3</v>
      </c>
      <c r="J1869" s="56" t="n">
        <v>0</v>
      </c>
      <c r="K1869" s="56" t="n">
        <v>1024.1</v>
      </c>
      <c r="L1869" s="56" t="n">
        <v>0</v>
      </c>
      <c r="M1869" s="56" t="n">
        <v>61</v>
      </c>
      <c r="N1869" s="56" t="n">
        <v>2.6</v>
      </c>
      <c r="O1869" s="56" t="n">
        <f aca="false">IF(D1869=1,"",E1868)</f>
        <v>14.1</v>
      </c>
      <c r="P1869" s="56" t="n">
        <f aca="false">IF(OR(D1869=1,K1868=""),"",K1868)</f>
        <v>1023.5</v>
      </c>
      <c r="Q1869" s="56" t="n">
        <f aca="false">IF(OR(F1869&lt;&gt;0,AND(I1869&lt;&gt;"",E1869&lt;I1869)),1,0)</f>
        <v>0</v>
      </c>
      <c r="R1869" s="56" t="n">
        <f aca="false">IF(AND(D1869&gt;1,Q1869=0,ISNUMBER(O1869),ISNUMBER(P1869)),IF(Q1868=0,1,0),0)</f>
        <v>1</v>
      </c>
      <c r="S1869" s="56" t="n">
        <f aca="false">R1869*(B1869&gt;=Train_Start)*(B1869&lt;=Train_End)</f>
        <v>1</v>
      </c>
      <c r="T1869" s="84" t="n">
        <f aca="false">IF(AND(ISNUMBER(O1869),ISNUMBER(P1869)),Coef_A+Coef_B1*O1869+Coef_B2*P1869,"")</f>
        <v>15.7467452017853</v>
      </c>
      <c r="U1869" s="84" t="n">
        <f aca="false">IF(AND(R1869=1,ISNUMBER(T1869)),E1869-T1869,"")</f>
        <v>-0.246745201785316</v>
      </c>
      <c r="V1869" s="84" t="n">
        <f aca="false">IF(ISNUMBER(T1869),T1869,-99)</f>
        <v>15.7467452017853</v>
      </c>
      <c r="W1869" s="84" t="n">
        <f aca="false">IF(ISNUMBER(U1869),ABS(U1869),"")</f>
        <v>0.246745201785316</v>
      </c>
    </row>
    <row r="1870" customFormat="false" ht="15" hidden="false" customHeight="false" outlineLevel="0" collapsed="false">
      <c r="A1870" s="57" t="n">
        <v>33391</v>
      </c>
      <c r="B1870" s="56" t="n">
        <v>1991</v>
      </c>
      <c r="C1870" s="56" t="n">
        <v>6</v>
      </c>
      <c r="D1870" s="56" t="n">
        <v>33</v>
      </c>
      <c r="E1870" s="56" t="n">
        <v>14.6</v>
      </c>
      <c r="F1870" s="56" t="n">
        <v>0</v>
      </c>
      <c r="G1870" s="56" t="n">
        <v>5.9</v>
      </c>
      <c r="H1870" s="56" t="n">
        <v>0</v>
      </c>
      <c r="I1870" s="56" t="n">
        <v>10.7</v>
      </c>
      <c r="J1870" s="56" t="n">
        <v>0</v>
      </c>
      <c r="K1870" s="56" t="n">
        <v>1016.9</v>
      </c>
      <c r="L1870" s="56" t="n">
        <v>0</v>
      </c>
      <c r="M1870" s="56" t="n">
        <v>68</v>
      </c>
      <c r="N1870" s="56" t="n">
        <v>3.7</v>
      </c>
      <c r="O1870" s="56" t="n">
        <f aca="false">IF(D1870=1,"",E1869)</f>
        <v>15.5</v>
      </c>
      <c r="P1870" s="56" t="n">
        <f aca="false">IF(OR(D1870=1,K1869=""),"",K1869)</f>
        <v>1024.1</v>
      </c>
      <c r="Q1870" s="56" t="n">
        <f aca="false">IF(OR(F1870&lt;&gt;0,AND(I1870&lt;&gt;"",E1870&lt;I1870)),1,0)</f>
        <v>0</v>
      </c>
      <c r="R1870" s="56" t="n">
        <f aca="false">IF(AND(D1870&gt;1,Q1870=0,ISNUMBER(O1870),ISNUMBER(P1870)),IF(Q1869=0,1,0),0)</f>
        <v>1</v>
      </c>
      <c r="S1870" s="56" t="n">
        <f aca="false">R1870*(B1870&gt;=Train_Start)*(B1870&lt;=Train_End)</f>
        <v>1</v>
      </c>
      <c r="T1870" s="84" t="n">
        <f aca="false">IF(AND(ISNUMBER(O1870),ISNUMBER(P1870)),Coef_A+Coef_B1*O1870+Coef_B2*P1870,"")</f>
        <v>16.9126420088254</v>
      </c>
      <c r="U1870" s="84" t="n">
        <f aca="false">IF(AND(R1870=1,ISNUMBER(T1870)),E1870-T1870,"")</f>
        <v>-2.31264200882542</v>
      </c>
      <c r="V1870" s="84" t="n">
        <f aca="false">IF(ISNUMBER(T1870),T1870,-99)</f>
        <v>16.9126420088254</v>
      </c>
      <c r="W1870" s="84" t="n">
        <f aca="false">IF(ISNUMBER(U1870),ABS(U1870),"")</f>
        <v>2.31264200882542</v>
      </c>
    </row>
    <row r="1871" customFormat="false" ht="15" hidden="false" customHeight="false" outlineLevel="0" collapsed="false">
      <c r="A1871" s="57" t="n">
        <v>33392</v>
      </c>
      <c r="B1871" s="56" t="n">
        <v>1991</v>
      </c>
      <c r="C1871" s="56" t="n">
        <v>6</v>
      </c>
      <c r="D1871" s="56" t="n">
        <v>34</v>
      </c>
      <c r="E1871" s="56" t="n">
        <v>15.8</v>
      </c>
      <c r="F1871" s="56" t="n">
        <v>0</v>
      </c>
      <c r="G1871" s="56" t="n">
        <v>6.9</v>
      </c>
      <c r="H1871" s="56" t="n">
        <v>0</v>
      </c>
      <c r="I1871" s="56" t="n">
        <v>10.8</v>
      </c>
      <c r="J1871" s="56" t="n">
        <v>0</v>
      </c>
      <c r="K1871" s="56" t="n">
        <v>1014.1</v>
      </c>
      <c r="L1871" s="56" t="n">
        <v>0</v>
      </c>
      <c r="M1871" s="56" t="n">
        <v>66</v>
      </c>
      <c r="N1871" s="56" t="n">
        <v>5.6</v>
      </c>
      <c r="O1871" s="56" t="n">
        <f aca="false">IF(D1871=1,"",E1870)</f>
        <v>14.6</v>
      </c>
      <c r="P1871" s="56" t="n">
        <f aca="false">IF(OR(D1871=1,K1870=""),"",K1870)</f>
        <v>1016.9</v>
      </c>
      <c r="Q1871" s="56" t="n">
        <f aca="false">IF(OR(F1871&lt;&gt;0,AND(I1871&lt;&gt;"",E1871&lt;I1871)),1,0)</f>
        <v>0</v>
      </c>
      <c r="R1871" s="56" t="n">
        <f aca="false">IF(AND(D1871&gt;1,Q1871=0,ISNUMBER(O1871),ISNUMBER(P1871)),IF(Q1870=0,1,0),0)</f>
        <v>1</v>
      </c>
      <c r="S1871" s="56" t="n">
        <f aca="false">R1871*(B1871&gt;=Train_Start)*(B1871&lt;=Train_End)</f>
        <v>1</v>
      </c>
      <c r="T1871" s="84" t="n">
        <f aca="false">IF(AND(ISNUMBER(O1871),ISNUMBER(P1871)),Coef_A+Coef_B1*O1871+Coef_B2*P1871,"")</f>
        <v>15.9493734937223</v>
      </c>
      <c r="U1871" s="84" t="n">
        <f aca="false">IF(AND(R1871=1,ISNUMBER(T1871)),E1871-T1871,"")</f>
        <v>-0.149373493722312</v>
      </c>
      <c r="V1871" s="84" t="n">
        <f aca="false">IF(ISNUMBER(T1871),T1871,-99)</f>
        <v>15.9493734937223</v>
      </c>
      <c r="W1871" s="84" t="n">
        <f aca="false">IF(ISNUMBER(U1871),ABS(U1871),"")</f>
        <v>0.149373493722312</v>
      </c>
    </row>
    <row r="1872" customFormat="false" ht="15" hidden="false" customHeight="false" outlineLevel="0" collapsed="false">
      <c r="A1872" s="57" t="n">
        <v>33393</v>
      </c>
      <c r="B1872" s="56" t="n">
        <v>1991</v>
      </c>
      <c r="C1872" s="56" t="n">
        <v>6</v>
      </c>
      <c r="D1872" s="56" t="n">
        <v>35</v>
      </c>
      <c r="E1872" s="56" t="n">
        <v>16.2</v>
      </c>
      <c r="F1872" s="56" t="n">
        <v>0</v>
      </c>
      <c r="G1872" s="56" t="n">
        <v>2.9</v>
      </c>
      <c r="H1872" s="56" t="n">
        <v>0</v>
      </c>
      <c r="I1872" s="56" t="n">
        <v>9.4</v>
      </c>
      <c r="J1872" s="56" t="n">
        <v>0</v>
      </c>
      <c r="K1872" s="56" t="n">
        <v>1015.2</v>
      </c>
      <c r="L1872" s="56" t="n">
        <v>0</v>
      </c>
      <c r="M1872" s="56" t="n">
        <v>64</v>
      </c>
      <c r="N1872" s="56" t="n">
        <v>11.7</v>
      </c>
      <c r="O1872" s="56" t="n">
        <f aca="false">IF(D1872=1,"",E1871)</f>
        <v>15.8</v>
      </c>
      <c r="P1872" s="56" t="n">
        <f aca="false">IF(OR(D1872=1,K1871=""),"",K1871)</f>
        <v>1014.1</v>
      </c>
      <c r="Q1872" s="56" t="n">
        <f aca="false">IF(OR(F1872&lt;&gt;0,AND(I1872&lt;&gt;"",E1872&lt;I1872)),1,0)</f>
        <v>0</v>
      </c>
      <c r="R1872" s="56" t="n">
        <f aca="false">IF(AND(D1872&gt;1,Q1872=0,ISNUMBER(O1872),ISNUMBER(P1872)),IF(Q1871=0,1,0),0)</f>
        <v>1</v>
      </c>
      <c r="S1872" s="56" t="n">
        <f aca="false">R1872*(B1872&gt;=Train_Start)*(B1872&lt;=Train_End)</f>
        <v>1</v>
      </c>
      <c r="T1872" s="84" t="n">
        <f aca="false">IF(AND(ISNUMBER(O1872),ISNUMBER(P1872)),Coef_A+Coef_B1*O1872+Coef_B2*P1872,"")</f>
        <v>16.8447448203983</v>
      </c>
      <c r="U1872" s="84" t="n">
        <f aca="false">IF(AND(R1872=1,ISNUMBER(T1872)),E1872-T1872,"")</f>
        <v>-0.644744820398334</v>
      </c>
      <c r="V1872" s="84" t="n">
        <f aca="false">IF(ISNUMBER(T1872),T1872,-99)</f>
        <v>16.8447448203983</v>
      </c>
      <c r="W1872" s="84" t="n">
        <f aca="false">IF(ISNUMBER(U1872),ABS(U1872),"")</f>
        <v>0.644744820398334</v>
      </c>
    </row>
    <row r="1873" customFormat="false" ht="15" hidden="false" customHeight="false" outlineLevel="0" collapsed="false">
      <c r="A1873" s="57" t="n">
        <v>33394</v>
      </c>
      <c r="B1873" s="56" t="n">
        <v>1991</v>
      </c>
      <c r="C1873" s="56" t="n">
        <v>6</v>
      </c>
      <c r="D1873" s="56" t="n">
        <v>36</v>
      </c>
      <c r="E1873" s="56" t="n">
        <v>17.2</v>
      </c>
      <c r="F1873" s="56" t="n">
        <v>0</v>
      </c>
      <c r="G1873" s="56" t="n">
        <v>4.9</v>
      </c>
      <c r="H1873" s="56" t="n">
        <v>0</v>
      </c>
      <c r="I1873" s="56" t="n">
        <v>10.6</v>
      </c>
      <c r="J1873" s="56" t="n">
        <v>0</v>
      </c>
      <c r="K1873" s="56" t="n">
        <v>1011.5</v>
      </c>
      <c r="L1873" s="56" t="n">
        <v>0</v>
      </c>
      <c r="M1873" s="56" t="n">
        <v>70</v>
      </c>
      <c r="N1873" s="56" t="n">
        <v>5.1</v>
      </c>
      <c r="O1873" s="56" t="n">
        <f aca="false">IF(D1873=1,"",E1872)</f>
        <v>16.2</v>
      </c>
      <c r="P1873" s="56" t="n">
        <f aca="false">IF(OR(D1873=1,K1872=""),"",K1872)</f>
        <v>1015.2</v>
      </c>
      <c r="Q1873" s="56" t="n">
        <f aca="false">IF(OR(F1873&lt;&gt;0,AND(I1873&lt;&gt;"",E1873&lt;I1873)),1,0)</f>
        <v>0</v>
      </c>
      <c r="R1873" s="56" t="n">
        <f aca="false">IF(AND(D1873&gt;1,Q1873=0,ISNUMBER(O1873),ISNUMBER(P1873)),IF(Q1872=0,1,0),0)</f>
        <v>1</v>
      </c>
      <c r="S1873" s="56" t="n">
        <f aca="false">R1873*(B1873&gt;=Train_Start)*(B1873&lt;=Train_End)</f>
        <v>1</v>
      </c>
      <c r="T1873" s="84" t="n">
        <f aca="false">IF(AND(ISNUMBER(O1873),ISNUMBER(P1873)),Coef_A+Coef_B1*O1873+Coef_B2*P1873,"")</f>
        <v>17.2069873817128</v>
      </c>
      <c r="U1873" s="84" t="n">
        <f aca="false">IF(AND(R1873=1,ISNUMBER(T1873)),E1873-T1873,"")</f>
        <v>-0.00698738171278635</v>
      </c>
      <c r="V1873" s="84" t="n">
        <f aca="false">IF(ISNUMBER(T1873),T1873,-99)</f>
        <v>17.2069873817128</v>
      </c>
      <c r="W1873" s="84" t="n">
        <f aca="false">IF(ISNUMBER(U1873),ABS(U1873),"")</f>
        <v>0.00698738171278635</v>
      </c>
    </row>
    <row r="1874" customFormat="false" ht="15" hidden="false" customHeight="false" outlineLevel="0" collapsed="false">
      <c r="A1874" s="57" t="n">
        <v>33395</v>
      </c>
      <c r="B1874" s="56" t="n">
        <v>1991</v>
      </c>
      <c r="C1874" s="56" t="n">
        <v>6</v>
      </c>
      <c r="D1874" s="56" t="n">
        <v>37</v>
      </c>
      <c r="E1874" s="56" t="n">
        <v>16.1</v>
      </c>
      <c r="F1874" s="56" t="n">
        <v>0</v>
      </c>
      <c r="G1874" s="56" t="n">
        <v>9.7</v>
      </c>
      <c r="H1874" s="56" t="n">
        <v>0</v>
      </c>
      <c r="I1874" s="56" t="n">
        <v>13.4</v>
      </c>
      <c r="J1874" s="56" t="n">
        <v>0</v>
      </c>
      <c r="K1874" s="56" t="n">
        <v>1003.2</v>
      </c>
      <c r="L1874" s="56" t="n">
        <v>0</v>
      </c>
      <c r="M1874" s="56" t="n">
        <v>78</v>
      </c>
      <c r="N1874" s="56" t="n">
        <v>1.4</v>
      </c>
      <c r="O1874" s="56" t="n">
        <f aca="false">IF(D1874=1,"",E1873)</f>
        <v>17.2</v>
      </c>
      <c r="P1874" s="56" t="n">
        <f aca="false">IF(OR(D1874=1,K1873=""),"",K1873)</f>
        <v>1011.5</v>
      </c>
      <c r="Q1874" s="56" t="n">
        <f aca="false">IF(OR(F1874&lt;&gt;0,AND(I1874&lt;&gt;"",E1874&lt;I1874)),1,0)</f>
        <v>0</v>
      </c>
      <c r="R1874" s="56" t="n">
        <f aca="false">IF(AND(D1874&gt;1,Q1874=0,ISNUMBER(O1874),ISNUMBER(P1874)),IF(Q1873=0,1,0),0)</f>
        <v>1</v>
      </c>
      <c r="S1874" s="56" t="n">
        <f aca="false">R1874*(B1874&gt;=Train_Start)*(B1874&lt;=Train_End)</f>
        <v>1</v>
      </c>
      <c r="T1874" s="84" t="n">
        <f aca="false">IF(AND(ISNUMBER(O1874),ISNUMBER(P1874)),Coef_A+Coef_B1*O1874+Coef_B2*P1874,"")</f>
        <v>17.9102579646097</v>
      </c>
      <c r="U1874" s="84" t="n">
        <f aca="false">IF(AND(R1874=1,ISNUMBER(T1874)),E1874-T1874,"")</f>
        <v>-1.81025796460968</v>
      </c>
      <c r="V1874" s="84" t="n">
        <f aca="false">IF(ISNUMBER(T1874),T1874,-99)</f>
        <v>17.9102579646097</v>
      </c>
      <c r="W1874" s="84" t="n">
        <f aca="false">IF(ISNUMBER(U1874),ABS(U1874),"")</f>
        <v>1.81025796460968</v>
      </c>
    </row>
    <row r="1875" customFormat="false" ht="15" hidden="false" customHeight="false" outlineLevel="0" collapsed="false">
      <c r="A1875" s="57" t="n">
        <v>33396</v>
      </c>
      <c r="B1875" s="56" t="n">
        <v>1991</v>
      </c>
      <c r="C1875" s="56" t="n">
        <v>6</v>
      </c>
      <c r="D1875" s="56" t="n">
        <v>38</v>
      </c>
      <c r="E1875" s="56" t="n">
        <v>16.3</v>
      </c>
      <c r="F1875" s="56" t="n">
        <v>0</v>
      </c>
      <c r="G1875" s="56" t="n">
        <v>10.9</v>
      </c>
      <c r="H1875" s="56" t="n">
        <v>0</v>
      </c>
      <c r="I1875" s="56" t="n">
        <v>13.5</v>
      </c>
      <c r="J1875" s="56" t="n">
        <v>0</v>
      </c>
      <c r="K1875" s="56" t="n">
        <v>1001.6</v>
      </c>
      <c r="L1875" s="56" t="n">
        <v>0</v>
      </c>
      <c r="M1875" s="56" t="n">
        <v>87</v>
      </c>
      <c r="N1875" s="56" t="n">
        <v>0.2</v>
      </c>
      <c r="O1875" s="56" t="n">
        <f aca="false">IF(D1875=1,"",E1874)</f>
        <v>16.1</v>
      </c>
      <c r="P1875" s="56" t="n">
        <f aca="false">IF(OR(D1875=1,K1874=""),"",K1874)</f>
        <v>1003.2</v>
      </c>
      <c r="Q1875" s="56" t="n">
        <f aca="false">IF(OR(F1875&lt;&gt;0,AND(I1875&lt;&gt;"",E1875&lt;I1875)),1,0)</f>
        <v>0</v>
      </c>
      <c r="R1875" s="56" t="n">
        <f aca="false">IF(AND(D1875&gt;1,Q1875=0,ISNUMBER(O1875),ISNUMBER(P1875)),IF(Q1874=0,1,0),0)</f>
        <v>1</v>
      </c>
      <c r="S1875" s="56" t="n">
        <f aca="false">R1875*(B1875&gt;=Train_Start)*(B1875&lt;=Train_End)</f>
        <v>1</v>
      </c>
      <c r="T1875" s="84" t="n">
        <f aca="false">IF(AND(ISNUMBER(O1875),ISNUMBER(P1875)),Coef_A+Coef_B1*O1875+Coef_B2*P1875,"")</f>
        <v>16.7486147268006</v>
      </c>
      <c r="U1875" s="84" t="n">
        <f aca="false">IF(AND(R1875=1,ISNUMBER(T1875)),E1875-T1875,"")</f>
        <v>-0.448614726800646</v>
      </c>
      <c r="V1875" s="84" t="n">
        <f aca="false">IF(ISNUMBER(T1875),T1875,-99)</f>
        <v>16.7486147268006</v>
      </c>
      <c r="W1875" s="84" t="n">
        <f aca="false">IF(ISNUMBER(U1875),ABS(U1875),"")</f>
        <v>0.448614726800646</v>
      </c>
    </row>
    <row r="1876" customFormat="false" ht="15" hidden="false" customHeight="false" outlineLevel="0" collapsed="false">
      <c r="A1876" s="57" t="n">
        <v>33397</v>
      </c>
      <c r="B1876" s="56" t="n">
        <v>1991</v>
      </c>
      <c r="C1876" s="56" t="n">
        <v>6</v>
      </c>
      <c r="D1876" s="56" t="n">
        <v>39</v>
      </c>
      <c r="E1876" s="56" t="n">
        <v>19</v>
      </c>
      <c r="F1876" s="56" t="n">
        <v>0</v>
      </c>
      <c r="G1876" s="56" t="n">
        <v>10.4</v>
      </c>
      <c r="H1876" s="56" t="n">
        <v>0</v>
      </c>
      <c r="I1876" s="56" t="n">
        <v>13.4</v>
      </c>
      <c r="J1876" s="56" t="n">
        <v>0</v>
      </c>
      <c r="K1876" s="56" t="n">
        <v>1010.2</v>
      </c>
      <c r="L1876" s="56" t="n">
        <v>0</v>
      </c>
      <c r="M1876" s="56" t="n">
        <v>81</v>
      </c>
      <c r="N1876" s="56" t="n">
        <v>0</v>
      </c>
      <c r="O1876" s="56" t="n">
        <f aca="false">IF(D1876=1,"",E1875)</f>
        <v>16.3</v>
      </c>
      <c r="P1876" s="56" t="n">
        <f aca="false">IF(OR(D1876=1,K1875=""),"",K1875)</f>
        <v>1001.6</v>
      </c>
      <c r="Q1876" s="56" t="n">
        <f aca="false">IF(OR(F1876&lt;&gt;0,AND(I1876&lt;&gt;"",E1876&lt;I1876)),1,0)</f>
        <v>0</v>
      </c>
      <c r="R1876" s="56" t="n">
        <f aca="false">IF(AND(D1876&gt;1,Q1876=0,ISNUMBER(O1876),ISNUMBER(P1876)),IF(Q1875=0,1,0),0)</f>
        <v>1</v>
      </c>
      <c r="S1876" s="56" t="n">
        <f aca="false">R1876*(B1876&gt;=Train_Start)*(B1876&lt;=Train_End)</f>
        <v>1</v>
      </c>
      <c r="T1876" s="84" t="n">
        <f aca="false">IF(AND(ISNUMBER(O1876),ISNUMBER(P1876)),Coef_A+Coef_B1*O1876+Coef_B2*P1876,"")</f>
        <v>16.8622907339948</v>
      </c>
      <c r="U1876" s="84" t="n">
        <f aca="false">IF(AND(R1876=1,ISNUMBER(T1876)),E1876-T1876,"")</f>
        <v>2.13770926600521</v>
      </c>
      <c r="V1876" s="84" t="n">
        <f aca="false">IF(ISNUMBER(T1876),T1876,-99)</f>
        <v>16.8622907339948</v>
      </c>
      <c r="W1876" s="84" t="n">
        <f aca="false">IF(ISNUMBER(U1876),ABS(U1876),"")</f>
        <v>2.13770926600521</v>
      </c>
    </row>
    <row r="1877" customFormat="false" ht="15" hidden="false" customHeight="false" outlineLevel="0" collapsed="false">
      <c r="A1877" s="57" t="n">
        <v>33398</v>
      </c>
      <c r="B1877" s="56" t="n">
        <v>1991</v>
      </c>
      <c r="C1877" s="56" t="n">
        <v>6</v>
      </c>
      <c r="D1877" s="56" t="n">
        <v>40</v>
      </c>
      <c r="E1877" s="56" t="n">
        <v>18.9</v>
      </c>
      <c r="F1877" s="56" t="n">
        <v>0</v>
      </c>
      <c r="G1877" s="56" t="n">
        <v>11.4</v>
      </c>
      <c r="H1877" s="56" t="n">
        <v>0</v>
      </c>
      <c r="I1877" s="56" t="n">
        <v>15.2</v>
      </c>
      <c r="J1877" s="56" t="n">
        <v>0</v>
      </c>
      <c r="K1877" s="56" t="n">
        <v>1002.5</v>
      </c>
      <c r="L1877" s="56" t="n">
        <v>0</v>
      </c>
      <c r="M1877" s="56" t="n">
        <v>71</v>
      </c>
      <c r="N1877" s="56" t="n">
        <v>10.9</v>
      </c>
      <c r="O1877" s="56" t="n">
        <f aca="false">IF(D1877=1,"",E1876)</f>
        <v>19</v>
      </c>
      <c r="P1877" s="56" t="n">
        <f aca="false">IF(OR(D1877=1,K1876=""),"",K1876)</f>
        <v>1010.2</v>
      </c>
      <c r="Q1877" s="56" t="n">
        <f aca="false">IF(OR(F1877&lt;&gt;0,AND(I1877&lt;&gt;"",E1877&lt;I1877)),1,0)</f>
        <v>0</v>
      </c>
      <c r="R1877" s="56" t="n">
        <f aca="false">IF(AND(D1877&gt;1,Q1877=0,ISNUMBER(O1877),ISNUMBER(P1877)),IF(Q1876=0,1,0),0)</f>
        <v>1</v>
      </c>
      <c r="S1877" s="56" t="n">
        <f aca="false">R1877*(B1877&gt;=Train_Start)*(B1877&lt;=Train_End)</f>
        <v>1</v>
      </c>
      <c r="T1877" s="84" t="n">
        <f aca="false">IF(AND(ISNUMBER(O1877),ISNUMBER(P1877)),Coef_A+Coef_B1*O1877+Coef_B2*P1877,"")</f>
        <v>19.3442876490623</v>
      </c>
      <c r="U1877" s="84" t="n">
        <f aca="false">IF(AND(R1877=1,ISNUMBER(T1877)),E1877-T1877,"")</f>
        <v>-0.444287649062275</v>
      </c>
      <c r="V1877" s="84" t="n">
        <f aca="false">IF(ISNUMBER(T1877),T1877,-99)</f>
        <v>19.3442876490623</v>
      </c>
      <c r="W1877" s="84" t="n">
        <f aca="false">IF(ISNUMBER(U1877),ABS(U1877),"")</f>
        <v>0.444287649062275</v>
      </c>
    </row>
    <row r="1878" customFormat="false" ht="15" hidden="false" customHeight="false" outlineLevel="0" collapsed="false">
      <c r="A1878" s="57" t="n">
        <v>33399</v>
      </c>
      <c r="B1878" s="56" t="n">
        <v>1991</v>
      </c>
      <c r="C1878" s="56" t="n">
        <v>6</v>
      </c>
      <c r="D1878" s="56" t="n">
        <v>41</v>
      </c>
      <c r="E1878" s="56" t="n">
        <v>16.2</v>
      </c>
      <c r="F1878" s="56" t="n">
        <v>0</v>
      </c>
      <c r="G1878" s="56" t="n">
        <v>11.8</v>
      </c>
      <c r="H1878" s="56" t="n">
        <v>0</v>
      </c>
      <c r="I1878" s="56" t="n">
        <v>15.4</v>
      </c>
      <c r="J1878" s="56" t="n">
        <v>0</v>
      </c>
      <c r="K1878" s="56" t="n">
        <v>1008.2</v>
      </c>
      <c r="L1878" s="56" t="n">
        <v>0</v>
      </c>
      <c r="M1878" s="56" t="n">
        <v>70</v>
      </c>
      <c r="N1878" s="56" t="n">
        <v>4.2</v>
      </c>
      <c r="O1878" s="56" t="n">
        <f aca="false">IF(D1878=1,"",E1877)</f>
        <v>18.9</v>
      </c>
      <c r="P1878" s="56" t="n">
        <f aca="false">IF(OR(D1878=1,K1877=""),"",K1877)</f>
        <v>1002.5</v>
      </c>
      <c r="Q1878" s="56" t="n">
        <f aca="false">IF(OR(F1878&lt;&gt;0,AND(I1878&lt;&gt;"",E1878&lt;I1878)),1,0)</f>
        <v>0</v>
      </c>
      <c r="R1878" s="56" t="n">
        <f aca="false">IF(AND(D1878&gt;1,Q1878=0,ISNUMBER(O1878),ISNUMBER(P1878)),IF(Q1877=0,1,0),0)</f>
        <v>1</v>
      </c>
      <c r="S1878" s="56" t="n">
        <f aca="false">R1878*(B1878&gt;=Train_Start)*(B1878&lt;=Train_End)</f>
        <v>1</v>
      </c>
      <c r="T1878" s="84" t="n">
        <f aca="false">IF(AND(ISNUMBER(O1878),ISNUMBER(P1878)),Coef_A+Coef_B1*O1878+Coef_B2*P1878,"")</f>
        <v>19.0208055410763</v>
      </c>
      <c r="U1878" s="84" t="n">
        <f aca="false">IF(AND(R1878=1,ISNUMBER(T1878)),E1878-T1878,"")</f>
        <v>-2.82080554107629</v>
      </c>
      <c r="V1878" s="84" t="n">
        <f aca="false">IF(ISNUMBER(T1878),T1878,-99)</f>
        <v>19.0208055410763</v>
      </c>
      <c r="W1878" s="84" t="n">
        <f aca="false">IF(ISNUMBER(U1878),ABS(U1878),"")</f>
        <v>2.82080554107629</v>
      </c>
    </row>
    <row r="1879" customFormat="false" ht="15" hidden="false" customHeight="false" outlineLevel="0" collapsed="false">
      <c r="A1879" s="57" t="n">
        <v>33400</v>
      </c>
      <c r="B1879" s="56" t="n">
        <v>1991</v>
      </c>
      <c r="C1879" s="56" t="n">
        <v>6</v>
      </c>
      <c r="D1879" s="56" t="n">
        <v>42</v>
      </c>
      <c r="E1879" s="56" t="n">
        <v>20</v>
      </c>
      <c r="F1879" s="56" t="n">
        <v>0</v>
      </c>
      <c r="G1879" s="56" t="n">
        <v>7.6</v>
      </c>
      <c r="H1879" s="56" t="n">
        <v>0</v>
      </c>
      <c r="I1879" s="56" t="n">
        <v>11.9</v>
      </c>
      <c r="J1879" s="56" t="n">
        <v>0</v>
      </c>
      <c r="K1879" s="56" t="n">
        <v>1017.4</v>
      </c>
      <c r="L1879" s="56" t="n">
        <v>0</v>
      </c>
      <c r="M1879" s="56" t="n">
        <v>78</v>
      </c>
      <c r="N1879" s="56" t="n">
        <v>3.5</v>
      </c>
      <c r="O1879" s="56" t="n">
        <f aca="false">IF(D1879=1,"",E1878)</f>
        <v>16.2</v>
      </c>
      <c r="P1879" s="56" t="n">
        <f aca="false">IF(OR(D1879=1,K1878=""),"",K1878)</f>
        <v>1008.2</v>
      </c>
      <c r="Q1879" s="56" t="n">
        <f aca="false">IF(OR(F1879&lt;&gt;0,AND(I1879&lt;&gt;"",E1879&lt;I1879)),1,0)</f>
        <v>0</v>
      </c>
      <c r="R1879" s="56" t="n">
        <f aca="false">IF(AND(D1879&gt;1,Q1879=0,ISNUMBER(O1879),ISNUMBER(P1879)),IF(Q1878=0,1,0),0)</f>
        <v>1</v>
      </c>
      <c r="S1879" s="56" t="n">
        <f aca="false">R1879*(B1879&gt;=Train_Start)*(B1879&lt;=Train_End)</f>
        <v>1</v>
      </c>
      <c r="T1879" s="84" t="n">
        <f aca="false">IF(AND(ISNUMBER(O1879),ISNUMBER(P1879)),Coef_A+Coef_B1*O1879+Coef_B2*P1879,"")</f>
        <v>16.9873981192749</v>
      </c>
      <c r="U1879" s="84" t="n">
        <f aca="false">IF(AND(R1879=1,ISNUMBER(T1879)),E1879-T1879,"")</f>
        <v>3.01260188072514</v>
      </c>
      <c r="V1879" s="84" t="n">
        <f aca="false">IF(ISNUMBER(T1879),T1879,-99)</f>
        <v>16.9873981192749</v>
      </c>
      <c r="W1879" s="84" t="n">
        <f aca="false">IF(ISNUMBER(U1879),ABS(U1879),"")</f>
        <v>3.01260188072514</v>
      </c>
    </row>
    <row r="1880" customFormat="false" ht="15" hidden="false" customHeight="false" outlineLevel="0" collapsed="false">
      <c r="A1880" s="57" t="n">
        <v>33401</v>
      </c>
      <c r="B1880" s="56" t="n">
        <v>1991</v>
      </c>
      <c r="C1880" s="56" t="n">
        <v>6</v>
      </c>
      <c r="D1880" s="56" t="n">
        <v>43</v>
      </c>
      <c r="E1880" s="56" t="n">
        <v>18.4</v>
      </c>
      <c r="F1880" s="56" t="n">
        <v>0</v>
      </c>
      <c r="G1880" s="56" t="n">
        <v>12.5</v>
      </c>
      <c r="H1880" s="56" t="n">
        <v>0</v>
      </c>
      <c r="I1880" s="56" t="n">
        <v>16.2</v>
      </c>
      <c r="J1880" s="56" t="n">
        <v>0</v>
      </c>
      <c r="K1880" s="56" t="n">
        <v>1006.9</v>
      </c>
      <c r="L1880" s="56" t="n">
        <v>0</v>
      </c>
      <c r="M1880" s="56" t="n">
        <v>76</v>
      </c>
      <c r="N1880" s="56" t="n">
        <v>6.7</v>
      </c>
      <c r="O1880" s="56" t="n">
        <f aca="false">IF(D1880=1,"",E1879)</f>
        <v>20</v>
      </c>
      <c r="P1880" s="56" t="n">
        <f aca="false">IF(OR(D1880=1,K1879=""),"",K1879)</f>
        <v>1017.4</v>
      </c>
      <c r="Q1880" s="56" t="n">
        <f aca="false">IF(OR(F1880&lt;&gt;0,AND(I1880&lt;&gt;"",E1880&lt;I1880)),1,0)</f>
        <v>0</v>
      </c>
      <c r="R1880" s="56" t="n">
        <f aca="false">IF(AND(D1880&gt;1,Q1880=0,ISNUMBER(O1880),ISNUMBER(P1880)),IF(Q1879=0,1,0),0)</f>
        <v>1</v>
      </c>
      <c r="S1880" s="56" t="n">
        <f aca="false">R1880*(B1880&gt;=Train_Start)*(B1880&lt;=Train_End)</f>
        <v>1</v>
      </c>
      <c r="T1880" s="84" t="n">
        <f aca="false">IF(AND(ISNUMBER(O1880),ISNUMBER(P1880)),Coef_A+Coef_B1*O1880+Coef_B2*P1880,"")</f>
        <v>20.3894900834697</v>
      </c>
      <c r="U1880" s="84" t="n">
        <f aca="false">IF(AND(R1880=1,ISNUMBER(T1880)),E1880-T1880,"")</f>
        <v>-1.98949008346966</v>
      </c>
      <c r="V1880" s="84" t="n">
        <f aca="false">IF(ISNUMBER(T1880),T1880,-99)</f>
        <v>20.3894900834697</v>
      </c>
      <c r="W1880" s="84" t="n">
        <f aca="false">IF(ISNUMBER(U1880),ABS(U1880),"")</f>
        <v>1.98949008346966</v>
      </c>
    </row>
    <row r="1881" customFormat="false" ht="15" hidden="false" customHeight="false" outlineLevel="0" collapsed="false">
      <c r="A1881" s="57" t="n">
        <v>33402</v>
      </c>
      <c r="B1881" s="56" t="n">
        <v>1991</v>
      </c>
      <c r="C1881" s="56" t="n">
        <v>6</v>
      </c>
      <c r="D1881" s="56" t="n">
        <v>44</v>
      </c>
      <c r="E1881" s="56" t="n">
        <v>19.2</v>
      </c>
      <c r="F1881" s="56" t="n">
        <v>0</v>
      </c>
      <c r="G1881" s="56" t="n">
        <v>11</v>
      </c>
      <c r="H1881" s="56" t="n">
        <v>0</v>
      </c>
      <c r="I1881" s="56" t="n">
        <v>14.7</v>
      </c>
      <c r="J1881" s="56" t="n">
        <v>0</v>
      </c>
      <c r="K1881" s="56" t="n">
        <v>1006.2</v>
      </c>
      <c r="L1881" s="56" t="n">
        <v>0</v>
      </c>
      <c r="M1881" s="56" t="n">
        <v>64</v>
      </c>
      <c r="N1881" s="56" t="n">
        <v>8.1</v>
      </c>
      <c r="O1881" s="56" t="n">
        <f aca="false">IF(D1881=1,"",E1880)</f>
        <v>18.4</v>
      </c>
      <c r="P1881" s="56" t="n">
        <f aca="false">IF(OR(D1881=1,K1880=""),"",K1880)</f>
        <v>1006.9</v>
      </c>
      <c r="Q1881" s="56" t="n">
        <f aca="false">IF(OR(F1881&lt;&gt;0,AND(I1881&lt;&gt;"",E1881&lt;I1881)),1,0)</f>
        <v>0</v>
      </c>
      <c r="R1881" s="56" t="n">
        <f aca="false">IF(AND(D1881&gt;1,Q1881=0,ISNUMBER(O1881),ISNUMBER(P1881)),IF(Q1880=0,1,0),0)</f>
        <v>1</v>
      </c>
      <c r="S1881" s="56" t="n">
        <f aca="false">R1881*(B1881&gt;=Train_Start)*(B1881&lt;=Train_End)</f>
        <v>1</v>
      </c>
      <c r="T1881" s="84" t="n">
        <f aca="false">IF(AND(ISNUMBER(O1881),ISNUMBER(P1881)),Coef_A+Coef_B1*O1881+Coef_B2*P1881,"")</f>
        <v>18.7491634809445</v>
      </c>
      <c r="U1881" s="84" t="n">
        <f aca="false">IF(AND(R1881=1,ISNUMBER(T1881)),E1881-T1881,"")</f>
        <v>0.450836519055482</v>
      </c>
      <c r="V1881" s="84" t="n">
        <f aca="false">IF(ISNUMBER(T1881),T1881,-99)</f>
        <v>18.7491634809445</v>
      </c>
      <c r="W1881" s="84" t="n">
        <f aca="false">IF(ISNUMBER(U1881),ABS(U1881),"")</f>
        <v>0.450836519055482</v>
      </c>
    </row>
    <row r="1882" customFormat="false" ht="15" hidden="false" customHeight="false" outlineLevel="0" collapsed="false">
      <c r="A1882" s="57" t="n">
        <v>33403</v>
      </c>
      <c r="B1882" s="56" t="n">
        <v>1991</v>
      </c>
      <c r="C1882" s="56" t="n">
        <v>6</v>
      </c>
      <c r="D1882" s="56" t="n">
        <v>45</v>
      </c>
      <c r="E1882" s="56" t="n">
        <v>16.6</v>
      </c>
      <c r="F1882" s="56" t="n">
        <v>0</v>
      </c>
      <c r="G1882" s="56" t="n">
        <v>8.5</v>
      </c>
      <c r="H1882" s="56" t="n">
        <v>0</v>
      </c>
      <c r="I1882" s="56" t="n">
        <v>13.8</v>
      </c>
      <c r="J1882" s="56" t="n">
        <v>0</v>
      </c>
      <c r="K1882" s="56" t="n">
        <v>1011</v>
      </c>
      <c r="L1882" s="56" t="n">
        <v>0</v>
      </c>
      <c r="M1882" s="56" t="n">
        <v>67</v>
      </c>
      <c r="N1882" s="56" t="n">
        <v>9.3</v>
      </c>
      <c r="O1882" s="56" t="n">
        <f aca="false">IF(D1882=1,"",E1881)</f>
        <v>19.2</v>
      </c>
      <c r="P1882" s="56" t="n">
        <f aca="false">IF(OR(D1882=1,K1881=""),"",K1881)</f>
        <v>1006.2</v>
      </c>
      <c r="Q1882" s="56" t="n">
        <f aca="false">IF(OR(F1882&lt;&gt;0,AND(I1882&lt;&gt;"",E1882&lt;I1882)),1,0)</f>
        <v>0</v>
      </c>
      <c r="R1882" s="56" t="n">
        <f aca="false">IF(AND(D1882&gt;1,Q1882=0,ISNUMBER(O1882),ISNUMBER(P1882)),IF(Q1881=0,1,0),0)</f>
        <v>1</v>
      </c>
      <c r="S1882" s="56" t="n">
        <f aca="false">R1882*(B1882&gt;=Train_Start)*(B1882&lt;=Train_End)</f>
        <v>1</v>
      </c>
      <c r="T1882" s="84" t="n">
        <f aca="false">IF(AND(ISNUMBER(O1882),ISNUMBER(P1882)),Coef_A+Coef_B1*O1882+Coef_B2*P1882,"")</f>
        <v>19.3826759091349</v>
      </c>
      <c r="U1882" s="84" t="n">
        <f aca="false">IF(AND(R1882=1,ISNUMBER(T1882)),E1882-T1882,"")</f>
        <v>-2.78267590913485</v>
      </c>
      <c r="V1882" s="84" t="n">
        <f aca="false">IF(ISNUMBER(T1882),T1882,-99)</f>
        <v>19.3826759091349</v>
      </c>
      <c r="W1882" s="84" t="n">
        <f aca="false">IF(ISNUMBER(U1882),ABS(U1882),"")</f>
        <v>2.78267590913485</v>
      </c>
    </row>
    <row r="1883" customFormat="false" ht="15" hidden="false" customHeight="false" outlineLevel="0" collapsed="false">
      <c r="A1883" s="57" t="n">
        <v>33404</v>
      </c>
      <c r="B1883" s="56" t="n">
        <v>1991</v>
      </c>
      <c r="C1883" s="56" t="n">
        <v>6</v>
      </c>
      <c r="D1883" s="56" t="n">
        <v>46</v>
      </c>
      <c r="E1883" s="56" t="n">
        <v>16.5</v>
      </c>
      <c r="F1883" s="56" t="n">
        <v>0</v>
      </c>
      <c r="G1883" s="56" t="n">
        <v>8.8</v>
      </c>
      <c r="H1883" s="56" t="n">
        <v>0</v>
      </c>
      <c r="I1883" s="56" t="n">
        <v>12.7</v>
      </c>
      <c r="J1883" s="56" t="n">
        <v>0</v>
      </c>
      <c r="K1883" s="56" t="n">
        <v>1005.2</v>
      </c>
      <c r="L1883" s="56" t="n">
        <v>0</v>
      </c>
      <c r="M1883" s="56" t="n">
        <v>88</v>
      </c>
      <c r="N1883" s="56" t="n">
        <v>1.3</v>
      </c>
      <c r="O1883" s="56" t="n">
        <f aca="false">IF(D1883=1,"",E1882)</f>
        <v>16.6</v>
      </c>
      <c r="P1883" s="56" t="n">
        <f aca="false">IF(OR(D1883=1,K1882=""),"",K1882)</f>
        <v>1011</v>
      </c>
      <c r="Q1883" s="56" t="n">
        <f aca="false">IF(OR(F1883&lt;&gt;0,AND(I1883&lt;&gt;"",E1883&lt;I1883)),1,0)</f>
        <v>0</v>
      </c>
      <c r="R1883" s="56" t="n">
        <f aca="false">IF(AND(D1883&gt;1,Q1883=0,ISNUMBER(O1883),ISNUMBER(P1883)),IF(Q1882=0,1,0),0)</f>
        <v>1</v>
      </c>
      <c r="S1883" s="56" t="n">
        <f aca="false">R1883*(B1883&gt;=Train_Start)*(B1883&lt;=Train_End)</f>
        <v>1</v>
      </c>
      <c r="T1883" s="84" t="n">
        <f aca="false">IF(AND(ISNUMBER(O1883),ISNUMBER(P1883)),Coef_A+Coef_B1*O1883+Coef_B2*P1883,"")</f>
        <v>17.4029695014671</v>
      </c>
      <c r="U1883" s="84" t="n">
        <f aca="false">IF(AND(R1883=1,ISNUMBER(T1883)),E1883-T1883,"")</f>
        <v>-0.902969501467091</v>
      </c>
      <c r="V1883" s="84" t="n">
        <f aca="false">IF(ISNUMBER(T1883),T1883,-99)</f>
        <v>17.4029695014671</v>
      </c>
      <c r="W1883" s="84" t="n">
        <f aca="false">IF(ISNUMBER(U1883),ABS(U1883),"")</f>
        <v>0.902969501467091</v>
      </c>
    </row>
    <row r="1884" customFormat="false" ht="15" hidden="false" customHeight="false" outlineLevel="0" collapsed="false">
      <c r="A1884" s="57" t="n">
        <v>33405</v>
      </c>
      <c r="B1884" s="56" t="n">
        <v>1991</v>
      </c>
      <c r="C1884" s="56" t="n">
        <v>6</v>
      </c>
      <c r="D1884" s="56" t="n">
        <v>47</v>
      </c>
      <c r="E1884" s="56" t="n">
        <v>15.3</v>
      </c>
      <c r="F1884" s="56" t="n">
        <v>0</v>
      </c>
      <c r="G1884" s="56" t="n">
        <v>9.2</v>
      </c>
      <c r="H1884" s="56" t="n">
        <v>0</v>
      </c>
      <c r="I1884" s="56" t="n">
        <v>12.8</v>
      </c>
      <c r="J1884" s="56" t="n">
        <v>0</v>
      </c>
      <c r="K1884" s="56" t="n">
        <v>1011.9</v>
      </c>
      <c r="L1884" s="56" t="n">
        <v>0</v>
      </c>
      <c r="M1884" s="56" t="n">
        <v>80</v>
      </c>
      <c r="N1884" s="56" t="n">
        <v>6.3</v>
      </c>
      <c r="O1884" s="56" t="n">
        <f aca="false">IF(D1884=1,"",E1883)</f>
        <v>16.5</v>
      </c>
      <c r="P1884" s="56" t="n">
        <f aca="false">IF(OR(D1884=1,K1883=""),"",K1883)</f>
        <v>1005.2</v>
      </c>
      <c r="Q1884" s="56" t="n">
        <f aca="false">IF(OR(F1884&lt;&gt;0,AND(I1884&lt;&gt;"",E1884&lt;I1884)),1,0)</f>
        <v>0</v>
      </c>
      <c r="R1884" s="56" t="n">
        <f aca="false">IF(AND(D1884&gt;1,Q1884=0,ISNUMBER(O1884),ISNUMBER(P1884)),IF(Q1883=0,1,0),0)</f>
        <v>1</v>
      </c>
      <c r="S1884" s="56" t="n">
        <f aca="false">R1884*(B1884&gt;=Train_Start)*(B1884&lt;=Train_End)</f>
        <v>1</v>
      </c>
      <c r="T1884" s="84" t="n">
        <f aca="false">IF(AND(ISNUMBER(O1884),ISNUMBER(P1884)),Coef_A+Coef_B1*O1884+Coef_B2*P1884,"")</f>
        <v>17.1390901932857</v>
      </c>
      <c r="U1884" s="84" t="n">
        <f aca="false">IF(AND(R1884=1,ISNUMBER(T1884)),E1884-T1884,"")</f>
        <v>-1.83909019328569</v>
      </c>
      <c r="V1884" s="84" t="n">
        <f aca="false">IF(ISNUMBER(T1884),T1884,-99)</f>
        <v>17.1390901932857</v>
      </c>
      <c r="W1884" s="84" t="n">
        <f aca="false">IF(ISNUMBER(U1884),ABS(U1884),"")</f>
        <v>1.83909019328569</v>
      </c>
    </row>
    <row r="1885" customFormat="false" ht="15" hidden="false" customHeight="false" outlineLevel="0" collapsed="false">
      <c r="A1885" s="57" t="n">
        <v>33406</v>
      </c>
      <c r="B1885" s="56" t="n">
        <v>1991</v>
      </c>
      <c r="C1885" s="56" t="n">
        <v>6</v>
      </c>
      <c r="D1885" s="56" t="n">
        <v>48</v>
      </c>
      <c r="E1885" s="56" t="n">
        <v>15.6</v>
      </c>
      <c r="F1885" s="56" t="n">
        <v>0</v>
      </c>
      <c r="G1885" s="56" t="n">
        <v>9.9</v>
      </c>
      <c r="H1885" s="56" t="n">
        <v>0</v>
      </c>
      <c r="I1885" s="56" t="n">
        <v>12.6</v>
      </c>
      <c r="J1885" s="56" t="n">
        <v>0</v>
      </c>
      <c r="K1885" s="56" t="n">
        <v>1014.6</v>
      </c>
      <c r="L1885" s="56" t="n">
        <v>0</v>
      </c>
      <c r="M1885" s="56" t="n">
        <v>74</v>
      </c>
      <c r="N1885" s="56" t="n">
        <v>1.9</v>
      </c>
      <c r="O1885" s="56" t="n">
        <f aca="false">IF(D1885=1,"",E1884)</f>
        <v>15.3</v>
      </c>
      <c r="P1885" s="56" t="n">
        <f aca="false">IF(OR(D1885=1,K1884=""),"",K1884)</f>
        <v>1011.9</v>
      </c>
      <c r="Q1885" s="56" t="n">
        <f aca="false">IF(OR(F1885&lt;&gt;0,AND(I1885&lt;&gt;"",E1885&lt;I1885)),1,0)</f>
        <v>0</v>
      </c>
      <c r="R1885" s="56" t="n">
        <f aca="false">IF(AND(D1885&gt;1,Q1885=0,ISNUMBER(O1885),ISNUMBER(P1885)),IF(Q1884=0,1,0),0)</f>
        <v>1</v>
      </c>
      <c r="S1885" s="56" t="n">
        <f aca="false">R1885*(B1885&gt;=Train_Start)*(B1885&lt;=Train_End)</f>
        <v>1</v>
      </c>
      <c r="T1885" s="84" t="n">
        <f aca="false">IF(AND(ISNUMBER(O1885),ISNUMBER(P1885)),Coef_A+Coef_B1*O1885+Coef_B2*P1885,"")</f>
        <v>16.3660614556822</v>
      </c>
      <c r="U1885" s="84" t="n">
        <f aca="false">IF(AND(R1885=1,ISNUMBER(T1885)),E1885-T1885,"")</f>
        <v>-0.766061455682225</v>
      </c>
      <c r="V1885" s="84" t="n">
        <f aca="false">IF(ISNUMBER(T1885),T1885,-99)</f>
        <v>16.3660614556822</v>
      </c>
      <c r="W1885" s="84" t="n">
        <f aca="false">IF(ISNUMBER(U1885),ABS(U1885),"")</f>
        <v>0.766061455682225</v>
      </c>
    </row>
    <row r="1886" customFormat="false" ht="15" hidden="false" customHeight="false" outlineLevel="0" collapsed="false">
      <c r="A1886" s="57" t="n">
        <v>33407</v>
      </c>
      <c r="B1886" s="56" t="n">
        <v>1991</v>
      </c>
      <c r="C1886" s="56" t="n">
        <v>6</v>
      </c>
      <c r="D1886" s="56" t="n">
        <v>49</v>
      </c>
      <c r="E1886" s="56" t="n">
        <v>17.5</v>
      </c>
      <c r="F1886" s="56" t="n">
        <v>0</v>
      </c>
      <c r="G1886" s="56" t="n">
        <v>7</v>
      </c>
      <c r="H1886" s="56" t="n">
        <v>0</v>
      </c>
      <c r="I1886" s="56" t="n">
        <v>11.3</v>
      </c>
      <c r="J1886" s="56" t="n">
        <v>0</v>
      </c>
      <c r="K1886" s="56" t="n">
        <v>1014.6</v>
      </c>
      <c r="L1886" s="56" t="n">
        <v>0</v>
      </c>
      <c r="M1886" s="56" t="n">
        <v>78</v>
      </c>
      <c r="N1886" s="56" t="n">
        <v>2.2</v>
      </c>
      <c r="O1886" s="56" t="n">
        <f aca="false">IF(D1886=1,"",E1885)</f>
        <v>15.6</v>
      </c>
      <c r="P1886" s="56" t="n">
        <f aca="false">IF(OR(D1886=1,K1885=""),"",K1885)</f>
        <v>1014.6</v>
      </c>
      <c r="Q1886" s="56" t="n">
        <f aca="false">IF(OR(F1886&lt;&gt;0,AND(I1886&lt;&gt;"",E1886&lt;I1886)),1,0)</f>
        <v>0</v>
      </c>
      <c r="R1886" s="56" t="n">
        <f aca="false">IF(AND(D1886&gt;1,Q1886=0,ISNUMBER(O1886),ISNUMBER(P1886)),IF(Q1885=0,1,0),0)</f>
        <v>1</v>
      </c>
      <c r="S1886" s="56" t="n">
        <f aca="false">R1886*(B1886&gt;=Train_Start)*(B1886&lt;=Train_End)</f>
        <v>1</v>
      </c>
      <c r="T1886" s="84" t="n">
        <f aca="false">IF(AND(ISNUMBER(O1886),ISNUMBER(P1886)),Coef_A+Coef_B1*O1886+Coef_B2*P1886,"")</f>
        <v>16.6965619291068</v>
      </c>
      <c r="U1886" s="84" t="n">
        <f aca="false">IF(AND(R1886=1,ISNUMBER(T1886)),E1886-T1886,"")</f>
        <v>0.803438070893208</v>
      </c>
      <c r="V1886" s="84" t="n">
        <f aca="false">IF(ISNUMBER(T1886),T1886,-99)</f>
        <v>16.6965619291068</v>
      </c>
      <c r="W1886" s="84" t="n">
        <f aca="false">IF(ISNUMBER(U1886),ABS(U1886),"")</f>
        <v>0.803438070893208</v>
      </c>
    </row>
    <row r="1887" customFormat="false" ht="15" hidden="false" customHeight="false" outlineLevel="0" collapsed="false">
      <c r="A1887" s="57" t="n">
        <v>33408</v>
      </c>
      <c r="B1887" s="56" t="n">
        <v>1991</v>
      </c>
      <c r="C1887" s="56" t="n">
        <v>6</v>
      </c>
      <c r="D1887" s="56" t="n">
        <v>50</v>
      </c>
      <c r="E1887" s="56" t="n">
        <v>19.1</v>
      </c>
      <c r="F1887" s="56" t="n">
        <v>0</v>
      </c>
      <c r="G1887" s="56" t="n">
        <v>9.4</v>
      </c>
      <c r="H1887" s="56" t="n">
        <v>0</v>
      </c>
      <c r="I1887" s="56" t="n">
        <v>13.4</v>
      </c>
      <c r="J1887" s="56" t="n">
        <v>0</v>
      </c>
      <c r="K1887" s="56" t="n">
        <v>1010</v>
      </c>
      <c r="L1887" s="56" t="n">
        <v>0</v>
      </c>
      <c r="M1887" s="56" t="n">
        <v>74</v>
      </c>
      <c r="N1887" s="56" t="n">
        <v>3.9</v>
      </c>
      <c r="O1887" s="56" t="n">
        <f aca="false">IF(D1887=1,"",E1886)</f>
        <v>17.5</v>
      </c>
      <c r="P1887" s="56" t="n">
        <f aca="false">IF(OR(D1887=1,K1886=""),"",K1886)</f>
        <v>1014.6</v>
      </c>
      <c r="Q1887" s="56" t="n">
        <f aca="false">IF(OR(F1887&lt;&gt;0,AND(I1887&lt;&gt;"",E1887&lt;I1887)),1,0)</f>
        <v>0</v>
      </c>
      <c r="R1887" s="56" t="n">
        <f aca="false">IF(AND(D1887&gt;1,Q1887=0,ISNUMBER(O1887),ISNUMBER(P1887)),IF(Q1886=0,1,0),0)</f>
        <v>1</v>
      </c>
      <c r="S1887" s="56" t="n">
        <f aca="false">R1887*(B1887&gt;=Train_Start)*(B1887&lt;=Train_End)</f>
        <v>1</v>
      </c>
      <c r="T1887" s="84" t="n">
        <f aca="false">IF(AND(ISNUMBER(O1887),ISNUMBER(P1887)),Coef_A+Coef_B1*O1887+Coef_B2*P1887,"")</f>
        <v>18.2533063958878</v>
      </c>
      <c r="U1887" s="84" t="n">
        <f aca="false">IF(AND(R1887=1,ISNUMBER(T1887)),E1887-T1887,"")</f>
        <v>0.846693604112158</v>
      </c>
      <c r="V1887" s="84" t="n">
        <f aca="false">IF(ISNUMBER(T1887),T1887,-99)</f>
        <v>18.2533063958878</v>
      </c>
      <c r="W1887" s="84" t="n">
        <f aca="false">IF(ISNUMBER(U1887),ABS(U1887),"")</f>
        <v>0.846693604112158</v>
      </c>
    </row>
    <row r="1888" customFormat="false" ht="15" hidden="false" customHeight="false" outlineLevel="0" collapsed="false">
      <c r="A1888" s="57" t="n">
        <v>33409</v>
      </c>
      <c r="B1888" s="56" t="n">
        <v>1991</v>
      </c>
      <c r="C1888" s="56" t="n">
        <v>6</v>
      </c>
      <c r="D1888" s="56" t="n">
        <v>51</v>
      </c>
      <c r="E1888" s="56" t="n">
        <v>22.6</v>
      </c>
      <c r="F1888" s="56" t="n">
        <v>0</v>
      </c>
      <c r="G1888" s="56" t="n">
        <v>10.6</v>
      </c>
      <c r="H1888" s="56" t="n">
        <v>0</v>
      </c>
      <c r="I1888" s="56" t="n">
        <v>14.8</v>
      </c>
      <c r="J1888" s="56" t="n">
        <v>0</v>
      </c>
      <c r="K1888" s="56" t="n">
        <v>1007.1</v>
      </c>
      <c r="L1888" s="56" t="n">
        <v>0</v>
      </c>
      <c r="M1888" s="56" t="n">
        <v>71</v>
      </c>
      <c r="N1888" s="56" t="n">
        <v>4.6</v>
      </c>
      <c r="O1888" s="56" t="n">
        <f aca="false">IF(D1888=1,"",E1887)</f>
        <v>19.1</v>
      </c>
      <c r="P1888" s="56" t="n">
        <f aca="false">IF(OR(D1888=1,K1887=""),"",K1887)</f>
        <v>1010</v>
      </c>
      <c r="Q1888" s="56" t="n">
        <f aca="false">IF(OR(F1888&lt;&gt;0,AND(I1888&lt;&gt;"",E1888&lt;I1888)),1,0)</f>
        <v>0</v>
      </c>
      <c r="R1888" s="56" t="n">
        <f aca="false">IF(AND(D1888&gt;1,Q1888=0,ISNUMBER(O1888),ISNUMBER(P1888)),IF(Q1887=0,1,0),0)</f>
        <v>1</v>
      </c>
      <c r="S1888" s="56" t="n">
        <f aca="false">R1888*(B1888&gt;=Train_Start)*(B1888&lt;=Train_End)</f>
        <v>1</v>
      </c>
      <c r="T1888" s="84" t="n">
        <f aca="false">IF(AND(ISNUMBER(O1888),ISNUMBER(P1888)),Coef_A+Coef_B1*O1888+Coef_B2*P1888,"")</f>
        <v>19.4199475894397</v>
      </c>
      <c r="U1888" s="84" t="n">
        <f aca="false">IF(AND(R1888=1,ISNUMBER(T1888)),E1888-T1888,"")</f>
        <v>3.18005241056026</v>
      </c>
      <c r="V1888" s="84" t="n">
        <f aca="false">IF(ISNUMBER(T1888),T1888,-99)</f>
        <v>19.4199475894397</v>
      </c>
      <c r="W1888" s="84" t="n">
        <f aca="false">IF(ISNUMBER(U1888),ABS(U1888),"")</f>
        <v>3.18005241056026</v>
      </c>
    </row>
    <row r="1889" customFormat="false" ht="15" hidden="false" customHeight="false" outlineLevel="0" collapsed="false">
      <c r="A1889" s="57" t="n">
        <v>33410</v>
      </c>
      <c r="B1889" s="56" t="n">
        <v>1991</v>
      </c>
      <c r="C1889" s="56" t="n">
        <v>6</v>
      </c>
      <c r="D1889" s="56" t="n">
        <v>52</v>
      </c>
      <c r="E1889" s="56" t="n">
        <v>19.9</v>
      </c>
      <c r="F1889" s="56" t="n">
        <v>0</v>
      </c>
      <c r="G1889" s="56" t="n">
        <v>10.5</v>
      </c>
      <c r="H1889" s="56" t="n">
        <v>0</v>
      </c>
      <c r="I1889" s="56" t="n">
        <v>16.6</v>
      </c>
      <c r="J1889" s="56" t="n">
        <v>0</v>
      </c>
      <c r="K1889" s="56" t="n">
        <v>1008.4</v>
      </c>
      <c r="L1889" s="56" t="n">
        <v>0</v>
      </c>
      <c r="M1889" s="56" t="n">
        <v>74</v>
      </c>
      <c r="N1889" s="56" t="n">
        <v>8.5</v>
      </c>
      <c r="O1889" s="56" t="n">
        <f aca="false">IF(D1889=1,"",E1888)</f>
        <v>22.6</v>
      </c>
      <c r="P1889" s="56" t="n">
        <f aca="false">IF(OR(D1889=1,K1888=""),"",K1888)</f>
        <v>1007.1</v>
      </c>
      <c r="Q1889" s="56" t="n">
        <f aca="false">IF(OR(F1889&lt;&gt;0,AND(I1889&lt;&gt;"",E1889&lt;I1889)),1,0)</f>
        <v>0</v>
      </c>
      <c r="R1889" s="56" t="n">
        <f aca="false">IF(AND(D1889&gt;1,Q1889=0,ISNUMBER(O1889),ISNUMBER(P1889)),IF(Q1888=0,1,0),0)</f>
        <v>1</v>
      </c>
      <c r="S1889" s="56" t="n">
        <f aca="false">R1889*(B1889&gt;=Train_Start)*(B1889&lt;=Train_End)</f>
        <v>1</v>
      </c>
      <c r="T1889" s="84" t="n">
        <f aca="false">IF(AND(ISNUMBER(O1889),ISNUMBER(P1889)),Coef_A+Coef_B1*O1889+Coef_B2*P1889,"")</f>
        <v>22.1966620706505</v>
      </c>
      <c r="U1889" s="84" t="n">
        <f aca="false">IF(AND(R1889=1,ISNUMBER(T1889)),E1889-T1889,"")</f>
        <v>-2.29666207065048</v>
      </c>
      <c r="V1889" s="84" t="n">
        <f aca="false">IF(ISNUMBER(T1889),T1889,-99)</f>
        <v>22.1966620706505</v>
      </c>
      <c r="W1889" s="84" t="n">
        <f aca="false">IF(ISNUMBER(U1889),ABS(U1889),"")</f>
        <v>2.29666207065048</v>
      </c>
    </row>
    <row r="1890" customFormat="false" ht="15" hidden="false" customHeight="false" outlineLevel="0" collapsed="false">
      <c r="A1890" s="57" t="n">
        <v>33411</v>
      </c>
      <c r="B1890" s="56" t="n">
        <v>1991</v>
      </c>
      <c r="C1890" s="56" t="n">
        <v>6</v>
      </c>
      <c r="D1890" s="56" t="n">
        <v>53</v>
      </c>
      <c r="E1890" s="56" t="n">
        <v>15.9</v>
      </c>
      <c r="F1890" s="56" t="n">
        <v>0</v>
      </c>
      <c r="G1890" s="56" t="n">
        <v>11.9</v>
      </c>
      <c r="H1890" s="56" t="n">
        <v>0</v>
      </c>
      <c r="I1890" s="56" t="n">
        <v>15.9</v>
      </c>
      <c r="J1890" s="56" t="n">
        <v>0</v>
      </c>
      <c r="K1890" s="56" t="n">
        <v>1012.8</v>
      </c>
      <c r="L1890" s="56" t="n">
        <v>0</v>
      </c>
      <c r="M1890" s="56" t="n">
        <v>69</v>
      </c>
      <c r="N1890" s="56" t="n">
        <v>6.6</v>
      </c>
      <c r="O1890" s="56" t="n">
        <f aca="false">IF(D1890=1,"",E1889)</f>
        <v>19.9</v>
      </c>
      <c r="P1890" s="56" t="n">
        <f aca="false">IF(OR(D1890=1,K1889=""),"",K1889)</f>
        <v>1008.4</v>
      </c>
      <c r="Q1890" s="56" t="n">
        <f aca="false">IF(OR(F1890&lt;&gt;0,AND(I1890&lt;&gt;"",E1890&lt;I1890)),1,0)</f>
        <v>0</v>
      </c>
      <c r="R1890" s="56" t="n">
        <f aca="false">IF(AND(D1890&gt;1,Q1890=0,ISNUMBER(O1890),ISNUMBER(P1890)),IF(Q1889=0,1,0),0)</f>
        <v>1</v>
      </c>
      <c r="S1890" s="56" t="n">
        <f aca="false">R1890*(B1890&gt;=Train_Start)*(B1890&lt;=Train_End)</f>
        <v>1</v>
      </c>
      <c r="T1890" s="84" t="n">
        <f aca="false">IF(AND(ISNUMBER(O1890),ISNUMBER(P1890)),Coef_A+Coef_B1*O1890+Coef_B2*P1890,"")</f>
        <v>20.0252271124595</v>
      </c>
      <c r="U1890" s="84" t="n">
        <f aca="false">IF(AND(R1890=1,ISNUMBER(T1890)),E1890-T1890,"")</f>
        <v>-4.12522711245949</v>
      </c>
      <c r="V1890" s="84" t="n">
        <f aca="false">IF(ISNUMBER(T1890),T1890,-99)</f>
        <v>20.0252271124595</v>
      </c>
      <c r="W1890" s="84" t="n">
        <f aca="false">IF(ISNUMBER(U1890),ABS(U1890),"")</f>
        <v>4.12522711245949</v>
      </c>
    </row>
    <row r="1891" customFormat="false" ht="15" hidden="false" customHeight="false" outlineLevel="0" collapsed="false">
      <c r="A1891" s="57" t="n">
        <v>33412</v>
      </c>
      <c r="B1891" s="56" t="n">
        <v>1991</v>
      </c>
      <c r="C1891" s="56" t="n">
        <v>6</v>
      </c>
      <c r="D1891" s="56" t="n">
        <v>54</v>
      </c>
      <c r="E1891" s="56" t="n">
        <v>17</v>
      </c>
      <c r="F1891" s="56" t="n">
        <v>0</v>
      </c>
      <c r="G1891" s="56" t="n">
        <v>11.2</v>
      </c>
      <c r="H1891" s="56" t="n">
        <v>0</v>
      </c>
      <c r="I1891" s="56" t="n">
        <v>13.6</v>
      </c>
      <c r="J1891" s="56" t="n">
        <v>0</v>
      </c>
      <c r="K1891" s="56" t="n">
        <v>1015.4</v>
      </c>
      <c r="L1891" s="56" t="n">
        <v>0</v>
      </c>
      <c r="M1891" s="56" t="n">
        <v>89</v>
      </c>
      <c r="N1891" s="56" t="n">
        <v>0</v>
      </c>
      <c r="O1891" s="56" t="n">
        <f aca="false">IF(D1891=1,"",E1890)</f>
        <v>15.9</v>
      </c>
      <c r="P1891" s="56" t="n">
        <f aca="false">IF(OR(D1891=1,K1890=""),"",K1890)</f>
        <v>1012.8</v>
      </c>
      <c r="Q1891" s="56" t="n">
        <f aca="false">IF(OR(F1891&lt;&gt;0,AND(I1891&lt;&gt;"",E1891&lt;I1891)),1,0)</f>
        <v>0</v>
      </c>
      <c r="R1891" s="56" t="n">
        <f aca="false">IF(AND(D1891&gt;1,Q1891=0,ISNUMBER(O1891),ISNUMBER(P1891)),IF(Q1890=0,1,0),0)</f>
        <v>1</v>
      </c>
      <c r="S1891" s="56" t="n">
        <f aca="false">R1891*(B1891&gt;=Train_Start)*(B1891&lt;=Train_End)</f>
        <v>1</v>
      </c>
      <c r="T1891" s="84" t="n">
        <f aca="false">IF(AND(ISNUMBER(O1891),ISNUMBER(P1891)),Coef_A+Coef_B1*O1891+Coef_B2*P1891,"")</f>
        <v>16.8858978766784</v>
      </c>
      <c r="U1891" s="84" t="n">
        <f aca="false">IF(AND(R1891=1,ISNUMBER(T1891)),E1891-T1891,"")</f>
        <v>0.114102123321594</v>
      </c>
      <c r="V1891" s="84" t="n">
        <f aca="false">IF(ISNUMBER(T1891),T1891,-99)</f>
        <v>16.8858978766784</v>
      </c>
      <c r="W1891" s="84" t="n">
        <f aca="false">IF(ISNUMBER(U1891),ABS(U1891),"")</f>
        <v>0.114102123321594</v>
      </c>
    </row>
    <row r="1892" customFormat="false" ht="15" hidden="false" customHeight="false" outlineLevel="0" collapsed="false">
      <c r="A1892" s="57" t="n">
        <v>33413</v>
      </c>
      <c r="B1892" s="56" t="n">
        <v>1991</v>
      </c>
      <c r="C1892" s="56" t="n">
        <v>6</v>
      </c>
      <c r="D1892" s="56" t="n">
        <v>55</v>
      </c>
      <c r="E1892" s="56" t="n">
        <v>18.6</v>
      </c>
      <c r="F1892" s="56" t="n">
        <v>0</v>
      </c>
      <c r="G1892" s="56" t="n">
        <v>12</v>
      </c>
      <c r="H1892" s="56" t="n">
        <v>0</v>
      </c>
      <c r="I1892" s="56" t="n">
        <v>14.5</v>
      </c>
      <c r="J1892" s="56" t="n">
        <v>0</v>
      </c>
      <c r="K1892" s="56" t="n">
        <v>1016.3</v>
      </c>
      <c r="L1892" s="56" t="n">
        <v>0</v>
      </c>
      <c r="M1892" s="56" t="n">
        <v>91</v>
      </c>
      <c r="N1892" s="56" t="n">
        <v>0</v>
      </c>
      <c r="O1892" s="56" t="n">
        <f aca="false">IF(D1892=1,"",E1891)</f>
        <v>17</v>
      </c>
      <c r="P1892" s="56" t="n">
        <f aca="false">IF(OR(D1892=1,K1891=""),"",K1891)</f>
        <v>1015.4</v>
      </c>
      <c r="Q1892" s="56" t="n">
        <f aca="false">IF(OR(F1892&lt;&gt;0,AND(I1892&lt;&gt;"",E1892&lt;I1892)),1,0)</f>
        <v>0</v>
      </c>
      <c r="R1892" s="56" t="n">
        <f aca="false">IF(AND(D1892&gt;1,Q1892=0,ISNUMBER(O1892),ISNUMBER(P1892)),IF(Q1891=0,1,0),0)</f>
        <v>1</v>
      </c>
      <c r="S1892" s="56" t="n">
        <f aca="false">R1892*(B1892&gt;=Train_Start)*(B1892&lt;=Train_End)</f>
        <v>1</v>
      </c>
      <c r="T1892" s="84" t="n">
        <f aca="false">IF(AND(ISNUMBER(O1892),ISNUMBER(P1892)),Coef_A+Coef_B1*O1892+Coef_B2*P1892,"")</f>
        <v>17.8687327150737</v>
      </c>
      <c r="U1892" s="84" t="n">
        <f aca="false">IF(AND(R1892=1,ISNUMBER(T1892)),E1892-T1892,"")</f>
        <v>0.731267284926297</v>
      </c>
      <c r="V1892" s="84" t="n">
        <f aca="false">IF(ISNUMBER(T1892),T1892,-99)</f>
        <v>17.8687327150737</v>
      </c>
      <c r="W1892" s="84" t="n">
        <f aca="false">IF(ISNUMBER(U1892),ABS(U1892),"")</f>
        <v>0.731267284926297</v>
      </c>
    </row>
    <row r="1893" customFormat="false" ht="15" hidden="false" customHeight="false" outlineLevel="0" collapsed="false">
      <c r="A1893" s="57" t="n">
        <v>33414</v>
      </c>
      <c r="B1893" s="56" t="n">
        <v>1991</v>
      </c>
      <c r="C1893" s="56" t="n">
        <v>6</v>
      </c>
      <c r="D1893" s="56" t="n">
        <v>56</v>
      </c>
      <c r="E1893" s="56" t="n">
        <v>18.1</v>
      </c>
      <c r="F1893" s="56" t="n">
        <v>0</v>
      </c>
      <c r="G1893" s="56" t="n">
        <v>13.1</v>
      </c>
      <c r="H1893" s="56" t="n">
        <v>0</v>
      </c>
      <c r="I1893" s="56" t="n">
        <v>15.8</v>
      </c>
      <c r="J1893" s="56" t="n">
        <v>0</v>
      </c>
      <c r="K1893" s="56" t="n">
        <v>1012.2</v>
      </c>
      <c r="L1893" s="56" t="n">
        <v>0</v>
      </c>
      <c r="M1893" s="56" t="n">
        <v>92</v>
      </c>
      <c r="N1893" s="56" t="n">
        <v>0</v>
      </c>
      <c r="O1893" s="56" t="n">
        <f aca="false">IF(D1893=1,"",E1892)</f>
        <v>18.6</v>
      </c>
      <c r="P1893" s="56" t="n">
        <f aca="false">IF(OR(D1893=1,K1892=""),"",K1892)</f>
        <v>1016.3</v>
      </c>
      <c r="Q1893" s="56" t="n">
        <f aca="false">IF(OR(F1893&lt;&gt;0,AND(I1893&lt;&gt;"",E1893&lt;I1893)),1,0)</f>
        <v>0</v>
      </c>
      <c r="R1893" s="56" t="n">
        <f aca="false">IF(AND(D1893&gt;1,Q1893=0,ISNUMBER(O1893),ISNUMBER(P1893)),IF(Q1892=0,1,0),0)</f>
        <v>1</v>
      </c>
      <c r="S1893" s="56" t="n">
        <f aca="false">R1893*(B1893&gt;=Train_Start)*(B1893&lt;=Train_End)</f>
        <v>1</v>
      </c>
      <c r="T1893" s="84" t="n">
        <f aca="false">IF(AND(ISNUMBER(O1893),ISNUMBER(P1893)),Coef_A+Coef_B1*O1893+Coef_B2*P1893,"")</f>
        <v>19.2079083291126</v>
      </c>
      <c r="U1893" s="84" t="n">
        <f aca="false">IF(AND(R1893=1,ISNUMBER(T1893)),E1893-T1893,"")</f>
        <v>-1.10790832911255</v>
      </c>
      <c r="V1893" s="84" t="n">
        <f aca="false">IF(ISNUMBER(T1893),T1893,-99)</f>
        <v>19.2079083291126</v>
      </c>
      <c r="W1893" s="84" t="n">
        <f aca="false">IF(ISNUMBER(U1893),ABS(U1893),"")</f>
        <v>1.10790832911255</v>
      </c>
    </row>
    <row r="1894" customFormat="false" ht="15" hidden="false" customHeight="false" outlineLevel="0" collapsed="false">
      <c r="A1894" s="57" t="n">
        <v>33415</v>
      </c>
      <c r="B1894" s="56" t="n">
        <v>1991</v>
      </c>
      <c r="C1894" s="56" t="n">
        <v>6</v>
      </c>
      <c r="D1894" s="56" t="n">
        <v>57</v>
      </c>
      <c r="E1894" s="56" t="n">
        <v>19.9</v>
      </c>
      <c r="F1894" s="56" t="n">
        <v>0</v>
      </c>
      <c r="G1894" s="56" t="n">
        <v>10.6</v>
      </c>
      <c r="H1894" s="56" t="n">
        <v>0</v>
      </c>
      <c r="I1894" s="56" t="n">
        <v>14.4</v>
      </c>
      <c r="J1894" s="56" t="n">
        <v>0</v>
      </c>
      <c r="K1894" s="56" t="n">
        <v>1010.9</v>
      </c>
      <c r="L1894" s="56" t="n">
        <v>0</v>
      </c>
      <c r="M1894" s="56" t="n">
        <v>82</v>
      </c>
      <c r="N1894" s="56" t="n">
        <v>6.5</v>
      </c>
      <c r="O1894" s="56" t="n">
        <f aca="false">IF(D1894=1,"",E1893)</f>
        <v>18.1</v>
      </c>
      <c r="P1894" s="56" t="n">
        <f aca="false">IF(OR(D1894=1,K1893=""),"",K1893)</f>
        <v>1012.2</v>
      </c>
      <c r="Q1894" s="56" t="n">
        <f aca="false">IF(OR(F1894&lt;&gt;0,AND(I1894&lt;&gt;"",E1894&lt;I1894)),1,0)</f>
        <v>0</v>
      </c>
      <c r="R1894" s="56" t="n">
        <f aca="false">IF(AND(D1894&gt;1,Q1894=0,ISNUMBER(O1894),ISNUMBER(P1894)),IF(Q1893=0,1,0),0)</f>
        <v>1</v>
      </c>
      <c r="S1894" s="56" t="n">
        <f aca="false">R1894*(B1894&gt;=Train_Start)*(B1894&lt;=Train_End)</f>
        <v>1</v>
      </c>
      <c r="T1894" s="84" t="n">
        <f aca="false">IF(AND(ISNUMBER(O1894),ISNUMBER(P1894)),Coef_A+Coef_B1*O1894+Coef_B2*P1894,"")</f>
        <v>18.6696221645919</v>
      </c>
      <c r="U1894" s="84" t="n">
        <f aca="false">IF(AND(R1894=1,ISNUMBER(T1894)),E1894-T1894,"")</f>
        <v>1.23037783540813</v>
      </c>
      <c r="V1894" s="84" t="n">
        <f aca="false">IF(ISNUMBER(T1894),T1894,-99)</f>
        <v>18.6696221645919</v>
      </c>
      <c r="W1894" s="84" t="n">
        <f aca="false">IF(ISNUMBER(U1894),ABS(U1894),"")</f>
        <v>1.23037783540813</v>
      </c>
    </row>
    <row r="1895" customFormat="false" ht="15" hidden="false" customHeight="false" outlineLevel="0" collapsed="false">
      <c r="A1895" s="57" t="n">
        <v>33416</v>
      </c>
      <c r="B1895" s="56" t="n">
        <v>1991</v>
      </c>
      <c r="C1895" s="56" t="n">
        <v>6</v>
      </c>
      <c r="D1895" s="56" t="n">
        <v>58</v>
      </c>
      <c r="E1895" s="56" t="n">
        <v>20.5</v>
      </c>
      <c r="F1895" s="56" t="n">
        <v>0</v>
      </c>
      <c r="G1895" s="56" t="n">
        <v>9.5</v>
      </c>
      <c r="H1895" s="56" t="n">
        <v>0</v>
      </c>
      <c r="I1895" s="56" t="n">
        <v>14.7</v>
      </c>
      <c r="J1895" s="56" t="n">
        <v>0</v>
      </c>
      <c r="K1895" s="56" t="n">
        <v>1009.3</v>
      </c>
      <c r="L1895" s="56" t="n">
        <v>0</v>
      </c>
      <c r="M1895" s="56" t="n">
        <v>84</v>
      </c>
      <c r="N1895" s="56" t="n">
        <v>3.9</v>
      </c>
      <c r="O1895" s="56" t="n">
        <f aca="false">IF(D1895=1,"",E1894)</f>
        <v>19.9</v>
      </c>
      <c r="P1895" s="56" t="n">
        <f aca="false">IF(OR(D1895=1,K1894=""),"",K1894)</f>
        <v>1010.9</v>
      </c>
      <c r="Q1895" s="56" t="n">
        <f aca="false">IF(OR(F1895&lt;&gt;0,AND(I1895&lt;&gt;"",E1895&lt;I1895)),1,0)</f>
        <v>0</v>
      </c>
      <c r="R1895" s="56" t="n">
        <f aca="false">IF(AND(D1895&gt;1,Q1895=0,ISNUMBER(O1895),ISNUMBER(P1895)),IF(Q1894=0,1,0),0)</f>
        <v>1</v>
      </c>
      <c r="S1895" s="56" t="n">
        <f aca="false">R1895*(B1895&gt;=Train_Start)*(B1895&lt;=Train_End)</f>
        <v>1</v>
      </c>
      <c r="T1895" s="84" t="n">
        <f aca="false">IF(AND(ISNUMBER(O1895),ISNUMBER(P1895)),Coef_A+Coef_B1*O1895+Coef_B2*P1895,"")</f>
        <v>20.1036518490445</v>
      </c>
      <c r="U1895" s="84" t="n">
        <f aca="false">IF(AND(R1895=1,ISNUMBER(T1895)),E1895-T1895,"")</f>
        <v>0.396348150955543</v>
      </c>
      <c r="V1895" s="84" t="n">
        <f aca="false">IF(ISNUMBER(T1895),T1895,-99)</f>
        <v>20.1036518490445</v>
      </c>
      <c r="W1895" s="84" t="n">
        <f aca="false">IF(ISNUMBER(U1895),ABS(U1895),"")</f>
        <v>0.396348150955543</v>
      </c>
    </row>
    <row r="1896" customFormat="false" ht="15" hidden="false" customHeight="false" outlineLevel="0" collapsed="false">
      <c r="A1896" s="57" t="n">
        <v>33417</v>
      </c>
      <c r="B1896" s="56" t="n">
        <v>1991</v>
      </c>
      <c r="C1896" s="56" t="n">
        <v>6</v>
      </c>
      <c r="D1896" s="56" t="n">
        <v>59</v>
      </c>
      <c r="E1896" s="56" t="n">
        <v>20.5</v>
      </c>
      <c r="F1896" s="56" t="n">
        <v>0</v>
      </c>
      <c r="G1896" s="56" t="n">
        <v>10.9</v>
      </c>
      <c r="H1896" s="56" t="n">
        <v>0</v>
      </c>
      <c r="I1896" s="56" t="n">
        <v>15.7</v>
      </c>
      <c r="J1896" s="56" t="n">
        <v>0</v>
      </c>
      <c r="K1896" s="56" t="n">
        <v>1018.1</v>
      </c>
      <c r="L1896" s="56" t="n">
        <v>0</v>
      </c>
      <c r="M1896" s="56" t="n">
        <v>74</v>
      </c>
      <c r="N1896" s="56" t="n">
        <v>6.7</v>
      </c>
      <c r="O1896" s="56" t="n">
        <f aca="false">IF(D1896=1,"",E1895)</f>
        <v>20.5</v>
      </c>
      <c r="P1896" s="56" t="n">
        <f aca="false">IF(OR(D1896=1,K1895=""),"",K1895)</f>
        <v>1009.3</v>
      </c>
      <c r="Q1896" s="56" t="n">
        <f aca="false">IF(OR(F1896&lt;&gt;0,AND(I1896&lt;&gt;"",E1896&lt;I1896)),1,0)</f>
        <v>0</v>
      </c>
      <c r="R1896" s="56" t="n">
        <f aca="false">IF(AND(D1896&gt;1,Q1896=0,ISNUMBER(O1896),ISNUMBER(P1896)),IF(Q1895=0,1,0),0)</f>
        <v>1</v>
      </c>
      <c r="S1896" s="56" t="n">
        <f aca="false">R1896*(B1896&gt;=Train_Start)*(B1896&lt;=Train_End)</f>
        <v>1</v>
      </c>
      <c r="T1896" s="84" t="n">
        <f aca="false">IF(AND(ISNUMBER(O1896),ISNUMBER(P1896)),Coef_A+Coef_B1*O1896+Coef_B2*P1896,"")</f>
        <v>20.5450635334557</v>
      </c>
      <c r="U1896" s="84" t="n">
        <f aca="false">IF(AND(R1896=1,ISNUMBER(T1896)),E1896-T1896,"")</f>
        <v>-0.0450635334556679</v>
      </c>
      <c r="V1896" s="84" t="n">
        <f aca="false">IF(ISNUMBER(T1896),T1896,-99)</f>
        <v>20.5450635334557</v>
      </c>
      <c r="W1896" s="84" t="n">
        <f aca="false">IF(ISNUMBER(U1896),ABS(U1896),"")</f>
        <v>0.0450635334556679</v>
      </c>
    </row>
    <row r="1897" customFormat="false" ht="15" hidden="false" customHeight="false" outlineLevel="0" collapsed="false">
      <c r="A1897" s="57" t="n">
        <v>33418</v>
      </c>
      <c r="B1897" s="56" t="n">
        <v>1991</v>
      </c>
      <c r="C1897" s="56" t="n">
        <v>6</v>
      </c>
      <c r="D1897" s="56" t="n">
        <v>60</v>
      </c>
      <c r="E1897" s="56" t="n">
        <v>21.3</v>
      </c>
      <c r="F1897" s="56" t="n">
        <v>0</v>
      </c>
      <c r="G1897" s="56" t="n">
        <v>9.1</v>
      </c>
      <c r="H1897" s="56" t="n">
        <v>0</v>
      </c>
      <c r="I1897" s="56" t="n">
        <v>14.8</v>
      </c>
      <c r="J1897" s="56" t="n">
        <v>0</v>
      </c>
      <c r="K1897" s="56" t="n">
        <v>1022.4</v>
      </c>
      <c r="L1897" s="56" t="n">
        <v>0</v>
      </c>
      <c r="M1897" s="56" t="n">
        <v>67</v>
      </c>
      <c r="N1897" s="56" t="n">
        <v>8.5</v>
      </c>
      <c r="O1897" s="56" t="n">
        <f aca="false">IF(D1897=1,"",E1896)</f>
        <v>20.5</v>
      </c>
      <c r="P1897" s="56" t="n">
        <f aca="false">IF(OR(D1897=1,K1896=""),"",K1896)</f>
        <v>1018.1</v>
      </c>
      <c r="Q1897" s="56" t="n">
        <f aca="false">IF(OR(F1897&lt;&gt;0,AND(I1897&lt;&gt;"",E1897&lt;I1897)),1,0)</f>
        <v>0</v>
      </c>
      <c r="R1897" s="56" t="n">
        <f aca="false">IF(AND(D1897&gt;1,Q1897=0,ISNUMBER(O1897),ISNUMBER(P1897)),IF(Q1896=0,1,0),0)</f>
        <v>1</v>
      </c>
      <c r="S1897" s="56" t="n">
        <f aca="false">R1897*(B1897&gt;=Train_Start)*(B1897&lt;=Train_End)</f>
        <v>1</v>
      </c>
      <c r="T1897" s="84" t="n">
        <f aca="false">IF(AND(ISNUMBER(O1897),ISNUMBER(P1897)),Coef_A+Coef_B1*O1897+Coef_B2*P1897,"")</f>
        <v>20.8211186062348</v>
      </c>
      <c r="U1897" s="84" t="n">
        <f aca="false">IF(AND(R1897=1,ISNUMBER(T1897)),E1897-T1897,"")</f>
        <v>0.478881393765221</v>
      </c>
      <c r="V1897" s="84" t="n">
        <f aca="false">IF(ISNUMBER(T1897),T1897,-99)</f>
        <v>20.8211186062348</v>
      </c>
      <c r="W1897" s="84" t="n">
        <f aca="false">IF(ISNUMBER(U1897),ABS(U1897),"")</f>
        <v>0.478881393765221</v>
      </c>
    </row>
    <row r="1898" customFormat="false" ht="15" hidden="false" customHeight="false" outlineLevel="0" collapsed="false">
      <c r="A1898" s="57" t="n">
        <v>33419</v>
      </c>
      <c r="B1898" s="56" t="n">
        <v>1991</v>
      </c>
      <c r="C1898" s="56" t="n">
        <v>6</v>
      </c>
      <c r="D1898" s="56" t="n">
        <v>61</v>
      </c>
      <c r="E1898" s="56" t="n">
        <v>20.7</v>
      </c>
      <c r="F1898" s="56" t="n">
        <v>0</v>
      </c>
      <c r="G1898" s="56" t="n">
        <v>13.1</v>
      </c>
      <c r="H1898" s="56" t="n">
        <v>0</v>
      </c>
      <c r="I1898" s="56" t="n">
        <v>17.2</v>
      </c>
      <c r="J1898" s="56" t="n">
        <v>0</v>
      </c>
      <c r="K1898" s="56" t="n">
        <v>1019.8</v>
      </c>
      <c r="L1898" s="56" t="n">
        <v>0</v>
      </c>
      <c r="M1898" s="56" t="n">
        <v>86</v>
      </c>
      <c r="N1898" s="56" t="n">
        <v>1.1</v>
      </c>
      <c r="O1898" s="56" t="n">
        <f aca="false">IF(D1898=1,"",E1897)</f>
        <v>21.3</v>
      </c>
      <c r="P1898" s="56" t="n">
        <f aca="false">IF(OR(D1898=1,K1897=""),"",K1897)</f>
        <v>1022.4</v>
      </c>
      <c r="Q1898" s="56" t="n">
        <f aca="false">IF(OR(F1898&lt;&gt;0,AND(I1898&lt;&gt;"",E1898&lt;I1898)),1,0)</f>
        <v>0</v>
      </c>
      <c r="R1898" s="56" t="n">
        <f aca="false">IF(AND(D1898&gt;1,Q1898=0,ISNUMBER(O1898),ISNUMBER(P1898)),IF(Q1897=0,1,0),0)</f>
        <v>1</v>
      </c>
      <c r="S1898" s="56" t="n">
        <f aca="false">R1898*(B1898&gt;=Train_Start)*(B1898&lt;=Train_End)</f>
        <v>1</v>
      </c>
      <c r="T1898" s="84" t="n">
        <f aca="false">IF(AND(ISNUMBER(O1898),ISNUMBER(P1898)),Coef_A+Coef_B1*O1898+Coef_B2*P1898,"")</f>
        <v>21.6114805075951</v>
      </c>
      <c r="U1898" s="84" t="n">
        <f aca="false">IF(AND(R1898=1,ISNUMBER(T1898)),E1898-T1898,"")</f>
        <v>-0.911480507595062</v>
      </c>
      <c r="V1898" s="84" t="n">
        <f aca="false">IF(ISNUMBER(T1898),T1898,-99)</f>
        <v>21.6114805075951</v>
      </c>
      <c r="W1898" s="84" t="n">
        <f aca="false">IF(ISNUMBER(U1898),ABS(U1898),"")</f>
        <v>0.911480507595062</v>
      </c>
    </row>
    <row r="1899" customFormat="false" ht="15" hidden="false" customHeight="false" outlineLevel="0" collapsed="false">
      <c r="A1899" s="57" t="n">
        <v>33420</v>
      </c>
      <c r="B1899" s="56" t="n">
        <v>1991</v>
      </c>
      <c r="C1899" s="56" t="n">
        <v>7</v>
      </c>
      <c r="D1899" s="56" t="n">
        <v>62</v>
      </c>
      <c r="E1899" s="56" t="n">
        <v>20</v>
      </c>
      <c r="F1899" s="56" t="n">
        <v>0</v>
      </c>
      <c r="G1899" s="56" t="n">
        <v>13.8</v>
      </c>
      <c r="H1899" s="56" t="n">
        <v>0</v>
      </c>
      <c r="I1899" s="56" t="n">
        <v>17.2</v>
      </c>
      <c r="J1899" s="56" t="n">
        <v>0</v>
      </c>
      <c r="K1899" s="56" t="n">
        <v>1018.2</v>
      </c>
      <c r="L1899" s="56" t="n">
        <v>0</v>
      </c>
      <c r="M1899" s="56" t="n">
        <v>80</v>
      </c>
      <c r="N1899" s="56" t="n">
        <v>5.4</v>
      </c>
      <c r="O1899" s="56" t="n">
        <f aca="false">IF(D1899=1,"",E1898)</f>
        <v>20.7</v>
      </c>
      <c r="P1899" s="56" t="n">
        <f aca="false">IF(OR(D1899=1,K1898=""),"",K1898)</f>
        <v>1019.8</v>
      </c>
      <c r="Q1899" s="56" t="n">
        <f aca="false">IF(OR(F1899&lt;&gt;0,AND(I1899&lt;&gt;"",E1899&lt;I1899)),1,0)</f>
        <v>0</v>
      </c>
      <c r="R1899" s="56" t="n">
        <f aca="false">IF(AND(D1899&gt;1,Q1899=0,ISNUMBER(O1899),ISNUMBER(P1899)),IF(Q1898=0,1,0),0)</f>
        <v>1</v>
      </c>
      <c r="S1899" s="56" t="n">
        <f aca="false">R1899*(B1899&gt;=Train_Start)*(B1899&lt;=Train_End)</f>
        <v>1</v>
      </c>
      <c r="T1899" s="84" t="n">
        <f aca="false">IF(AND(ISNUMBER(O1899),ISNUMBER(P1899)),Coef_A+Coef_B1*O1899+Coef_B2*P1899,"")</f>
        <v>21.0383152657211</v>
      </c>
      <c r="U1899" s="84" t="n">
        <f aca="false">IF(AND(R1899=1,ISNUMBER(T1899)),E1899-T1899,"")</f>
        <v>-1.03831526572109</v>
      </c>
      <c r="V1899" s="84" t="n">
        <f aca="false">IF(ISNUMBER(T1899),T1899,-99)</f>
        <v>21.0383152657211</v>
      </c>
      <c r="W1899" s="84" t="n">
        <f aca="false">IF(ISNUMBER(U1899),ABS(U1899),"")</f>
        <v>1.03831526572109</v>
      </c>
    </row>
    <row r="1900" customFormat="false" ht="15" hidden="false" customHeight="false" outlineLevel="0" collapsed="false">
      <c r="A1900" s="57" t="n">
        <v>33421</v>
      </c>
      <c r="B1900" s="56" t="n">
        <v>1991</v>
      </c>
      <c r="C1900" s="56" t="n">
        <v>7</v>
      </c>
      <c r="D1900" s="56" t="n">
        <v>63</v>
      </c>
      <c r="E1900" s="56" t="n">
        <v>24.1</v>
      </c>
      <c r="F1900" s="56" t="n">
        <v>0</v>
      </c>
      <c r="G1900" s="56" t="n">
        <v>11.5</v>
      </c>
      <c r="H1900" s="56" t="n">
        <v>0</v>
      </c>
      <c r="I1900" s="56" t="n">
        <v>15.8</v>
      </c>
      <c r="J1900" s="56" t="n">
        <v>0</v>
      </c>
      <c r="K1900" s="56" t="n">
        <v>1018.1</v>
      </c>
      <c r="L1900" s="56" t="n">
        <v>0</v>
      </c>
      <c r="M1900" s="56" t="n">
        <v>85</v>
      </c>
      <c r="N1900" s="56" t="n">
        <v>3</v>
      </c>
      <c r="O1900" s="56" t="n">
        <f aca="false">IF(D1900=1,"",E1899)</f>
        <v>20</v>
      </c>
      <c r="P1900" s="56" t="n">
        <f aca="false">IF(OR(D1900=1,K1899=""),"",K1899)</f>
        <v>1018.2</v>
      </c>
      <c r="Q1900" s="56" t="n">
        <f aca="false">IF(OR(F1900&lt;&gt;0,AND(I1900&lt;&gt;"",E1900&lt;I1900)),1,0)</f>
        <v>0</v>
      </c>
      <c r="R1900" s="56" t="n">
        <f aca="false">IF(AND(D1900&gt;1,Q1900=0,ISNUMBER(O1900),ISNUMBER(P1900)),IF(Q1899=0,1,0),0)</f>
        <v>1</v>
      </c>
      <c r="S1900" s="56" t="n">
        <f aca="false">R1900*(B1900&gt;=Train_Start)*(B1900&lt;=Train_End)</f>
        <v>1</v>
      </c>
      <c r="T1900" s="84" t="n">
        <f aca="false">IF(AND(ISNUMBER(O1900),ISNUMBER(P1900)),Coef_A+Coef_B1*O1900+Coef_B2*P1900,"")</f>
        <v>20.4145859991769</v>
      </c>
      <c r="U1900" s="84" t="n">
        <f aca="false">IF(AND(R1900=1,ISNUMBER(T1900)),E1900-T1900,"")</f>
        <v>3.68541400082315</v>
      </c>
      <c r="V1900" s="84" t="n">
        <f aca="false">IF(ISNUMBER(T1900),T1900,-99)</f>
        <v>20.4145859991769</v>
      </c>
      <c r="W1900" s="84" t="n">
        <f aca="false">IF(ISNUMBER(U1900),ABS(U1900),"")</f>
        <v>3.68541400082315</v>
      </c>
    </row>
    <row r="1901" customFormat="false" ht="15" hidden="false" customHeight="false" outlineLevel="0" collapsed="false">
      <c r="A1901" s="57" t="n">
        <v>33422</v>
      </c>
      <c r="B1901" s="56" t="n">
        <v>1991</v>
      </c>
      <c r="C1901" s="56" t="n">
        <v>7</v>
      </c>
      <c r="D1901" s="56" t="n">
        <v>64</v>
      </c>
      <c r="E1901" s="56" t="n">
        <v>27.4</v>
      </c>
      <c r="F1901" s="56" t="n">
        <v>0</v>
      </c>
      <c r="G1901" s="56" t="n">
        <v>13.5</v>
      </c>
      <c r="H1901" s="56" t="n">
        <v>0</v>
      </c>
      <c r="I1901" s="56" t="n">
        <v>18.8</v>
      </c>
      <c r="J1901" s="56" t="n">
        <v>0</v>
      </c>
      <c r="K1901" s="56" t="n">
        <v>1020.3</v>
      </c>
      <c r="L1901" s="56" t="n">
        <v>0</v>
      </c>
      <c r="M1901" s="56" t="n">
        <v>80</v>
      </c>
      <c r="N1901" s="56" t="n">
        <v>9.6</v>
      </c>
      <c r="O1901" s="56" t="n">
        <f aca="false">IF(D1901=1,"",E1900)</f>
        <v>24.1</v>
      </c>
      <c r="P1901" s="56" t="n">
        <f aca="false">IF(OR(D1901=1,K1900=""),"",K1900)</f>
        <v>1018.1</v>
      </c>
      <c r="Q1901" s="56" t="n">
        <f aca="false">IF(OR(F1901&lt;&gt;0,AND(I1901&lt;&gt;"",E1901&lt;I1901)),1,0)</f>
        <v>0</v>
      </c>
      <c r="R1901" s="56" t="n">
        <f aca="false">IF(AND(D1901&gt;1,Q1901=0,ISNUMBER(O1901),ISNUMBER(P1901)),IF(Q1900=0,1,0),0)</f>
        <v>1</v>
      </c>
      <c r="S1901" s="56" t="n">
        <f aca="false">R1901*(B1901&gt;=Train_Start)*(B1901&lt;=Train_End)</f>
        <v>1</v>
      </c>
      <c r="T1901" s="84" t="n">
        <f aca="false">IF(AND(ISNUMBER(O1901),ISNUMBER(P1901)),Coef_A+Coef_B1*O1901+Coef_B2*P1901,"")</f>
        <v>23.7707397011884</v>
      </c>
      <c r="U1901" s="84" t="n">
        <f aca="false">IF(AND(R1901=1,ISNUMBER(T1901)),E1901-T1901,"")</f>
        <v>3.62926029881165</v>
      </c>
      <c r="V1901" s="84" t="n">
        <f aca="false">IF(ISNUMBER(T1901),T1901,-99)</f>
        <v>23.7707397011884</v>
      </c>
      <c r="W1901" s="84" t="n">
        <f aca="false">IF(ISNUMBER(U1901),ABS(U1901),"")</f>
        <v>3.62926029881165</v>
      </c>
    </row>
    <row r="1902" customFormat="false" ht="15" hidden="false" customHeight="false" outlineLevel="0" collapsed="false">
      <c r="A1902" s="57" t="n">
        <v>33423</v>
      </c>
      <c r="B1902" s="56" t="n">
        <v>1991</v>
      </c>
      <c r="C1902" s="56" t="n">
        <v>7</v>
      </c>
      <c r="D1902" s="56" t="n">
        <v>65</v>
      </c>
      <c r="E1902" s="56" t="n">
        <v>27.6</v>
      </c>
      <c r="F1902" s="56" t="n">
        <v>0</v>
      </c>
      <c r="G1902" s="56" t="n">
        <v>15.6</v>
      </c>
      <c r="H1902" s="56" t="n">
        <v>0</v>
      </c>
      <c r="I1902" s="56" t="n">
        <v>21.5</v>
      </c>
      <c r="J1902" s="56" t="n">
        <v>0</v>
      </c>
      <c r="K1902" s="56" t="n">
        <v>1021.6</v>
      </c>
      <c r="L1902" s="56" t="n">
        <v>0</v>
      </c>
      <c r="M1902" s="56" t="n">
        <v>70</v>
      </c>
      <c r="N1902" s="56" t="n">
        <v>12.4</v>
      </c>
      <c r="O1902" s="56" t="n">
        <f aca="false">IF(D1902=1,"",E1901)</f>
        <v>27.4</v>
      </c>
      <c r="P1902" s="56" t="n">
        <f aca="false">IF(OR(D1902=1,K1901=""),"",K1901)</f>
        <v>1020.3</v>
      </c>
      <c r="Q1902" s="56" t="n">
        <f aca="false">IF(OR(F1902&lt;&gt;0,AND(I1902&lt;&gt;"",E1902&lt;I1902)),1,0)</f>
        <v>0</v>
      </c>
      <c r="R1902" s="56" t="n">
        <f aca="false">IF(AND(D1902&gt;1,Q1902=0,ISNUMBER(O1902),ISNUMBER(P1902)),IF(Q1901=0,1,0),0)</f>
        <v>1</v>
      </c>
      <c r="S1902" s="56" t="n">
        <f aca="false">R1902*(B1902&gt;=Train_Start)*(B1902&lt;=Train_End)</f>
        <v>1</v>
      </c>
      <c r="T1902" s="84" t="n">
        <f aca="false">IF(AND(ISNUMBER(O1902),ISNUMBER(P1902)),Coef_A+Coef_B1*O1902+Coef_B2*P1902,"")</f>
        <v>26.5435728064239</v>
      </c>
      <c r="U1902" s="84" t="n">
        <f aca="false">IF(AND(R1902=1,ISNUMBER(T1902)),E1902-T1902,"")</f>
        <v>1.05642719357611</v>
      </c>
      <c r="V1902" s="84" t="n">
        <f aca="false">IF(ISNUMBER(T1902),T1902,-99)</f>
        <v>26.5435728064239</v>
      </c>
      <c r="W1902" s="84" t="n">
        <f aca="false">IF(ISNUMBER(U1902),ABS(U1902),"")</f>
        <v>1.05642719357611</v>
      </c>
    </row>
    <row r="1903" customFormat="false" ht="15" hidden="false" customHeight="false" outlineLevel="0" collapsed="false">
      <c r="A1903" s="57" t="n">
        <v>33424</v>
      </c>
      <c r="B1903" s="56" t="n">
        <v>1991</v>
      </c>
      <c r="C1903" s="56" t="n">
        <v>7</v>
      </c>
      <c r="D1903" s="56" t="n">
        <v>66</v>
      </c>
      <c r="E1903" s="56" t="n">
        <v>23.4</v>
      </c>
      <c r="F1903" s="56" t="n">
        <v>0</v>
      </c>
      <c r="G1903" s="56" t="n">
        <v>17.3</v>
      </c>
      <c r="H1903" s="56" t="n">
        <v>0</v>
      </c>
      <c r="I1903" s="56" t="n">
        <v>22.4</v>
      </c>
      <c r="J1903" s="56" t="n">
        <v>0</v>
      </c>
      <c r="K1903" s="56" t="n">
        <v>1015.8</v>
      </c>
      <c r="L1903" s="56" t="n">
        <v>0</v>
      </c>
      <c r="M1903" s="56" t="n">
        <v>69</v>
      </c>
      <c r="N1903" s="56" t="n">
        <v>13</v>
      </c>
      <c r="O1903" s="56" t="n">
        <f aca="false">IF(D1903=1,"",E1902)</f>
        <v>27.6</v>
      </c>
      <c r="P1903" s="56" t="n">
        <f aca="false">IF(OR(D1903=1,K1902=""),"",K1902)</f>
        <v>1021.6</v>
      </c>
      <c r="Q1903" s="56" t="n">
        <f aca="false">IF(OR(F1903&lt;&gt;0,AND(I1903&lt;&gt;"",E1903&lt;I1903)),1,0)</f>
        <v>0</v>
      </c>
      <c r="R1903" s="56" t="n">
        <f aca="false">IF(AND(D1903&gt;1,Q1903=0,ISNUMBER(O1903),ISNUMBER(P1903)),IF(Q1902=0,1,0),0)</f>
        <v>1</v>
      </c>
      <c r="S1903" s="56" t="n">
        <f aca="false">R1903*(B1903&gt;=Train_Start)*(B1903&lt;=Train_End)</f>
        <v>1</v>
      </c>
      <c r="T1903" s="84" t="n">
        <f aca="false">IF(AND(ISNUMBER(O1903),ISNUMBER(P1903)),Coef_A+Coef_B1*O1903+Coef_B2*P1903,"")</f>
        <v>26.7482215080566</v>
      </c>
      <c r="U1903" s="84" t="n">
        <f aca="false">IF(AND(R1903=1,ISNUMBER(T1903)),E1903-T1903,"")</f>
        <v>-3.34822150805662</v>
      </c>
      <c r="V1903" s="84" t="n">
        <f aca="false">IF(ISNUMBER(T1903),T1903,-99)</f>
        <v>26.7482215080566</v>
      </c>
      <c r="W1903" s="84" t="n">
        <f aca="false">IF(ISNUMBER(U1903),ABS(U1903),"")</f>
        <v>3.34822150805662</v>
      </c>
    </row>
    <row r="1904" customFormat="false" ht="15" hidden="false" customHeight="false" outlineLevel="0" collapsed="false">
      <c r="A1904" s="57" t="n">
        <v>33425</v>
      </c>
      <c r="B1904" s="56" t="n">
        <v>1991</v>
      </c>
      <c r="C1904" s="56" t="n">
        <v>7</v>
      </c>
      <c r="D1904" s="56" t="n">
        <v>67</v>
      </c>
      <c r="E1904" s="56" t="n">
        <v>26.5</v>
      </c>
      <c r="F1904" s="56" t="n">
        <v>0</v>
      </c>
      <c r="G1904" s="56" t="n">
        <v>17.7</v>
      </c>
      <c r="H1904" s="56" t="n">
        <v>0</v>
      </c>
      <c r="I1904" s="56" t="n">
        <v>20.6</v>
      </c>
      <c r="J1904" s="56" t="n">
        <v>0</v>
      </c>
      <c r="K1904" s="56" t="n">
        <v>1017.5</v>
      </c>
      <c r="L1904" s="56" t="n">
        <v>0</v>
      </c>
      <c r="M1904" s="56" t="n">
        <v>70</v>
      </c>
      <c r="N1904" s="56" t="n">
        <v>13.1</v>
      </c>
      <c r="O1904" s="56" t="n">
        <f aca="false">IF(D1904=1,"",E1903)</f>
        <v>23.4</v>
      </c>
      <c r="P1904" s="56" t="n">
        <f aca="false">IF(OR(D1904=1,K1903=""),"",K1903)</f>
        <v>1015.8</v>
      </c>
      <c r="Q1904" s="56" t="n">
        <f aca="false">IF(OR(F1904&lt;&gt;0,AND(I1904&lt;&gt;"",E1904&lt;I1904)),1,0)</f>
        <v>0</v>
      </c>
      <c r="R1904" s="56" t="n">
        <f aca="false">IF(AND(D1904&gt;1,Q1904=0,ISNUMBER(O1904),ISNUMBER(P1904)),IF(Q1903=0,1,0),0)</f>
        <v>1</v>
      </c>
      <c r="S1904" s="56" t="n">
        <f aca="false">R1904*(B1904&gt;=Train_Start)*(B1904&lt;=Train_End)</f>
        <v>1</v>
      </c>
      <c r="T1904" s="84" t="n">
        <f aca="false">IF(AND(ISNUMBER(O1904),ISNUMBER(P1904)),Coef_A+Coef_B1*O1904+Coef_B2*P1904,"")</f>
        <v>23.1250515084003</v>
      </c>
      <c r="U1904" s="84" t="n">
        <f aca="false">IF(AND(R1904=1,ISNUMBER(T1904)),E1904-T1904,"")</f>
        <v>3.37494849159969</v>
      </c>
      <c r="V1904" s="84" t="n">
        <f aca="false">IF(ISNUMBER(T1904),T1904,-99)</f>
        <v>23.1250515084003</v>
      </c>
      <c r="W1904" s="84" t="n">
        <f aca="false">IF(ISNUMBER(U1904),ABS(U1904),"")</f>
        <v>3.37494849159969</v>
      </c>
    </row>
    <row r="1905" customFormat="false" ht="15" hidden="false" customHeight="false" outlineLevel="0" collapsed="false">
      <c r="A1905" s="57" t="n">
        <v>33426</v>
      </c>
      <c r="B1905" s="56" t="n">
        <v>1991</v>
      </c>
      <c r="C1905" s="56" t="n">
        <v>7</v>
      </c>
      <c r="D1905" s="56" t="n">
        <v>68</v>
      </c>
      <c r="E1905" s="56" t="n">
        <v>20.8</v>
      </c>
      <c r="F1905" s="56" t="n">
        <v>1</v>
      </c>
      <c r="G1905" s="56" t="n">
        <v>15.9</v>
      </c>
      <c r="H1905" s="56" t="n">
        <v>0</v>
      </c>
      <c r="I1905" s="56" t="n">
        <v>21.2</v>
      </c>
      <c r="J1905" s="56" t="n">
        <v>1</v>
      </c>
      <c r="K1905" s="56" t="n">
        <v>1017.8</v>
      </c>
      <c r="L1905" s="56" t="n">
        <v>0</v>
      </c>
      <c r="M1905" s="56" t="n">
        <v>61</v>
      </c>
      <c r="N1905" s="56" t="n">
        <v>11.5</v>
      </c>
      <c r="O1905" s="56" t="n">
        <f aca="false">IF(D1905=1,"",E1904)</f>
        <v>26.5</v>
      </c>
      <c r="P1905" s="56" t="n">
        <f aca="false">IF(OR(D1905=1,K1904=""),"",K1904)</f>
        <v>1017.5</v>
      </c>
      <c r="Q1905" s="56" t="n">
        <f aca="false">IF(OR(F1905&lt;&gt;0,AND(I1905&lt;&gt;"",E1905&lt;I1905)),1,0)</f>
        <v>1</v>
      </c>
      <c r="R1905" s="56" t="n">
        <f aca="false">IF(AND(D1905&gt;1,Q1905=0,ISNUMBER(O1905),ISNUMBER(P1905)),IF(Q1904=0,1,0),0)</f>
        <v>0</v>
      </c>
      <c r="S1905" s="56" t="n">
        <f aca="false">R1905*(B1905&gt;=Train_Start)*(B1905&lt;=Train_End)</f>
        <v>0</v>
      </c>
      <c r="T1905" s="84" t="n">
        <f aca="false">IF(AND(ISNUMBER(O1905),ISNUMBER(P1905)),Coef_A+Coef_B1*O1905+Coef_B2*P1905,"")</f>
        <v>25.7183318277103</v>
      </c>
      <c r="U1905" s="84" t="str">
        <f aca="false">IF(AND(R1905=1,ISNUMBER(T1905)),E1905-T1905,"")</f>
        <v/>
      </c>
      <c r="V1905" s="84" t="n">
        <f aca="false">IF(ISNUMBER(T1905),T1905,-99)</f>
        <v>25.7183318277103</v>
      </c>
      <c r="W1905" s="84" t="str">
        <f aca="false">IF(ISNUMBER(U1905),ABS(U1905),"")</f>
        <v/>
      </c>
    </row>
    <row r="1906" customFormat="false" ht="15" hidden="false" customHeight="false" outlineLevel="0" collapsed="false">
      <c r="A1906" s="57" t="n">
        <v>33427</v>
      </c>
      <c r="B1906" s="56" t="n">
        <v>1991</v>
      </c>
      <c r="C1906" s="56" t="n">
        <v>7</v>
      </c>
      <c r="D1906" s="56" t="n">
        <v>69</v>
      </c>
      <c r="E1906" s="56" t="n">
        <v>22.7</v>
      </c>
      <c r="F1906" s="56" t="n">
        <v>0</v>
      </c>
      <c r="G1906" s="56" t="n">
        <v>16.5</v>
      </c>
      <c r="H1906" s="56" t="n">
        <v>0</v>
      </c>
      <c r="I1906" s="56" t="n">
        <v>18.6</v>
      </c>
      <c r="J1906" s="56" t="n">
        <v>0</v>
      </c>
      <c r="K1906" s="56" t="n">
        <v>1013</v>
      </c>
      <c r="L1906" s="56" t="n">
        <v>0</v>
      </c>
      <c r="M1906" s="56" t="n">
        <v>82</v>
      </c>
      <c r="N1906" s="56" t="n">
        <v>0.3</v>
      </c>
      <c r="O1906" s="56" t="n">
        <f aca="false">IF(D1906=1,"",E1905)</f>
        <v>20.8</v>
      </c>
      <c r="P1906" s="56" t="n">
        <f aca="false">IF(OR(D1906=1,K1905=""),"",K1905)</f>
        <v>1017.8</v>
      </c>
      <c r="Q1906" s="56" t="n">
        <f aca="false">IF(OR(F1906&lt;&gt;0,AND(I1906&lt;&gt;"",E1906&lt;I1906)),1,0)</f>
        <v>0</v>
      </c>
      <c r="R1906" s="56" t="n">
        <f aca="false">IF(AND(D1906&gt;1,Q1906=0,ISNUMBER(O1906),ISNUMBER(P1906)),IF(Q1905=0,1,0),0)</f>
        <v>0</v>
      </c>
      <c r="S1906" s="56" t="n">
        <f aca="false">R1906*(B1906&gt;=Train_Start)*(B1906&lt;=Train_End)</f>
        <v>0</v>
      </c>
      <c r="T1906" s="84" t="n">
        <f aca="false">IF(AND(ISNUMBER(O1906),ISNUMBER(P1906)),Coef_A+Coef_B1*O1906+Coef_B2*P1906,"")</f>
        <v>21.0575093957574</v>
      </c>
      <c r="U1906" s="84" t="str">
        <f aca="false">IF(AND(R1906=1,ISNUMBER(T1906)),E1906-T1906,"")</f>
        <v/>
      </c>
      <c r="V1906" s="84" t="n">
        <f aca="false">IF(ISNUMBER(T1906),T1906,-99)</f>
        <v>21.0575093957574</v>
      </c>
      <c r="W1906" s="84" t="str">
        <f aca="false">IF(ISNUMBER(U1906),ABS(U1906),"")</f>
        <v/>
      </c>
    </row>
    <row r="1907" customFormat="false" ht="15" hidden="false" customHeight="false" outlineLevel="0" collapsed="false">
      <c r="A1907" s="57" t="n">
        <v>33428</v>
      </c>
      <c r="B1907" s="56" t="n">
        <v>1991</v>
      </c>
      <c r="C1907" s="56" t="n">
        <v>7</v>
      </c>
      <c r="D1907" s="56" t="n">
        <v>70</v>
      </c>
      <c r="E1907" s="56" t="n">
        <v>25.5</v>
      </c>
      <c r="F1907" s="56" t="n">
        <v>0</v>
      </c>
      <c r="G1907" s="56" t="n">
        <v>14.2</v>
      </c>
      <c r="H1907" s="56" t="n">
        <v>0</v>
      </c>
      <c r="I1907" s="56" t="n">
        <v>18.4</v>
      </c>
      <c r="J1907" s="56" t="n">
        <v>0</v>
      </c>
      <c r="K1907" s="56" t="n">
        <v>1020.2</v>
      </c>
      <c r="L1907" s="56" t="n">
        <v>0</v>
      </c>
      <c r="M1907" s="56" t="n">
        <v>66</v>
      </c>
      <c r="N1907" s="56" t="n">
        <v>9.7</v>
      </c>
      <c r="O1907" s="56" t="n">
        <f aca="false">IF(D1907=1,"",E1906)</f>
        <v>22.7</v>
      </c>
      <c r="P1907" s="56" t="n">
        <f aca="false">IF(OR(D1907=1,K1906=""),"",K1906)</f>
        <v>1013</v>
      </c>
      <c r="Q1907" s="56" t="n">
        <f aca="false">IF(OR(F1907&lt;&gt;0,AND(I1907&lt;&gt;"",E1907&lt;I1907)),1,0)</f>
        <v>0</v>
      </c>
      <c r="R1907" s="56" t="n">
        <f aca="false">IF(AND(D1907&gt;1,Q1907=0,ISNUMBER(O1907),ISNUMBER(P1907)),IF(Q1906=0,1,0),0)</f>
        <v>1</v>
      </c>
      <c r="S1907" s="56" t="n">
        <f aca="false">R1907*(B1907&gt;=Train_Start)*(B1907&lt;=Train_End)</f>
        <v>1</v>
      </c>
      <c r="T1907" s="84" t="n">
        <f aca="false">IF(AND(ISNUMBER(O1907),ISNUMBER(P1907)),Coef_A+Coef_B1*O1907+Coef_B2*P1907,"")</f>
        <v>22.4636783682953</v>
      </c>
      <c r="U1907" s="84" t="n">
        <f aca="false">IF(AND(R1907=1,ISNUMBER(T1907)),E1907-T1907,"")</f>
        <v>3.03632163170472</v>
      </c>
      <c r="V1907" s="84" t="n">
        <f aca="false">IF(ISNUMBER(T1907),T1907,-99)</f>
        <v>22.4636783682953</v>
      </c>
      <c r="W1907" s="84" t="n">
        <f aca="false">IF(ISNUMBER(U1907),ABS(U1907),"")</f>
        <v>3.03632163170472</v>
      </c>
    </row>
    <row r="1908" customFormat="false" ht="15" hidden="false" customHeight="false" outlineLevel="0" collapsed="false">
      <c r="A1908" s="57" t="n">
        <v>33429</v>
      </c>
      <c r="B1908" s="56" t="n">
        <v>1991</v>
      </c>
      <c r="C1908" s="56" t="n">
        <v>7</v>
      </c>
      <c r="D1908" s="56" t="n">
        <v>71</v>
      </c>
      <c r="E1908" s="56" t="n">
        <v>27.6</v>
      </c>
      <c r="F1908" s="56" t="n">
        <v>0</v>
      </c>
      <c r="G1908" s="56" t="n">
        <v>12.1</v>
      </c>
      <c r="H1908" s="56" t="n">
        <v>0</v>
      </c>
      <c r="I1908" s="56" t="n">
        <v>18.8</v>
      </c>
      <c r="J1908" s="56" t="n">
        <v>0</v>
      </c>
      <c r="K1908" s="56" t="n">
        <v>1020.9</v>
      </c>
      <c r="L1908" s="56" t="n">
        <v>0</v>
      </c>
      <c r="M1908" s="56" t="n">
        <v>67</v>
      </c>
      <c r="N1908" s="56" t="n">
        <v>12.3</v>
      </c>
      <c r="O1908" s="56" t="n">
        <f aca="false">IF(D1908=1,"",E1907)</f>
        <v>25.5</v>
      </c>
      <c r="P1908" s="56" t="n">
        <f aca="false">IF(OR(D1908=1,K1907=""),"",K1907)</f>
        <v>1020.2</v>
      </c>
      <c r="Q1908" s="56" t="n">
        <f aca="false">IF(OR(F1908&lt;&gt;0,AND(I1908&lt;&gt;"",E1908&lt;I1908)),1,0)</f>
        <v>0</v>
      </c>
      <c r="R1908" s="56" t="n">
        <f aca="false">IF(AND(D1908&gt;1,Q1908=0,ISNUMBER(O1908),ISNUMBER(P1908)),IF(Q1907=0,1,0),0)</f>
        <v>1</v>
      </c>
      <c r="S1908" s="56" t="n">
        <f aca="false">R1908*(B1908&gt;=Train_Start)*(B1908&lt;=Train_End)</f>
        <v>1</v>
      </c>
      <c r="T1908" s="84" t="n">
        <f aca="false">IF(AND(ISNUMBER(O1908),ISNUMBER(P1908)),Coef_A+Coef_B1*O1908+Coef_B2*P1908,"")</f>
        <v>24.9836913501794</v>
      </c>
      <c r="U1908" s="84" t="n">
        <f aca="false">IF(AND(R1908=1,ISNUMBER(T1908)),E1908-T1908,"")</f>
        <v>2.61630864982056</v>
      </c>
      <c r="V1908" s="84" t="n">
        <f aca="false">IF(ISNUMBER(T1908),T1908,-99)</f>
        <v>24.9836913501794</v>
      </c>
      <c r="W1908" s="84" t="n">
        <f aca="false">IF(ISNUMBER(U1908),ABS(U1908),"")</f>
        <v>2.61630864982056</v>
      </c>
    </row>
    <row r="1909" customFormat="false" ht="15" hidden="false" customHeight="false" outlineLevel="0" collapsed="false">
      <c r="A1909" s="57" t="n">
        <v>33430</v>
      </c>
      <c r="B1909" s="56" t="n">
        <v>1991</v>
      </c>
      <c r="C1909" s="56" t="n">
        <v>7</v>
      </c>
      <c r="D1909" s="56" t="n">
        <v>72</v>
      </c>
      <c r="E1909" s="56" t="n">
        <v>20.7</v>
      </c>
      <c r="F1909" s="56" t="n">
        <v>1</v>
      </c>
      <c r="G1909" s="56" t="n">
        <v>16.9</v>
      </c>
      <c r="H1909" s="56" t="n">
        <v>0</v>
      </c>
      <c r="I1909" s="56" t="n">
        <v>22.2</v>
      </c>
      <c r="J1909" s="56" t="n">
        <v>1</v>
      </c>
      <c r="K1909" s="56" t="n">
        <v>1012.7</v>
      </c>
      <c r="L1909" s="56" t="n">
        <v>0</v>
      </c>
      <c r="M1909" s="56" t="n">
        <v>74</v>
      </c>
      <c r="N1909" s="56" t="n">
        <v>10.8</v>
      </c>
      <c r="O1909" s="56" t="n">
        <f aca="false">IF(D1909=1,"",E1908)</f>
        <v>27.6</v>
      </c>
      <c r="P1909" s="56" t="n">
        <f aca="false">IF(OR(D1909=1,K1908=""),"",K1908)</f>
        <v>1020.9</v>
      </c>
      <c r="Q1909" s="56" t="n">
        <f aca="false">IF(OR(F1909&lt;&gt;0,AND(I1909&lt;&gt;"",E1909&lt;I1909)),1,0)</f>
        <v>1</v>
      </c>
      <c r="R1909" s="56" t="n">
        <f aca="false">IF(AND(D1909&gt;1,Q1909=0,ISNUMBER(O1909),ISNUMBER(P1909)),IF(Q1908=0,1,0),0)</f>
        <v>0</v>
      </c>
      <c r="S1909" s="56" t="n">
        <f aca="false">R1909*(B1909&gt;=Train_Start)*(B1909&lt;=Train_End)</f>
        <v>0</v>
      </c>
      <c r="T1909" s="84" t="n">
        <f aca="false">IF(AND(ISNUMBER(O1909),ISNUMBER(P1909)),Coef_A+Coef_B1*O1909+Coef_B2*P1909,"")</f>
        <v>26.7262625818128</v>
      </c>
      <c r="U1909" s="84" t="str">
        <f aca="false">IF(AND(R1909=1,ISNUMBER(T1909)),E1909-T1909,"")</f>
        <v/>
      </c>
      <c r="V1909" s="84" t="n">
        <f aca="false">IF(ISNUMBER(T1909),T1909,-99)</f>
        <v>26.7262625818128</v>
      </c>
      <c r="W1909" s="84" t="str">
        <f aca="false">IF(ISNUMBER(U1909),ABS(U1909),"")</f>
        <v/>
      </c>
    </row>
    <row r="1910" customFormat="false" ht="15" hidden="false" customHeight="false" outlineLevel="0" collapsed="false">
      <c r="A1910" s="57" t="n">
        <v>33431</v>
      </c>
      <c r="B1910" s="56" t="n">
        <v>1991</v>
      </c>
      <c r="C1910" s="56" t="n">
        <v>7</v>
      </c>
      <c r="D1910" s="56" t="n">
        <v>73</v>
      </c>
      <c r="E1910" s="56" t="n">
        <v>19.4</v>
      </c>
      <c r="F1910" s="56" t="n">
        <v>0</v>
      </c>
      <c r="G1910" s="56" t="n">
        <v>13.5</v>
      </c>
      <c r="H1910" s="56" t="n">
        <v>0</v>
      </c>
      <c r="I1910" s="56" t="n">
        <v>17.1</v>
      </c>
      <c r="J1910" s="56" t="n">
        <v>0</v>
      </c>
      <c r="K1910" s="56" t="n">
        <v>1017.2</v>
      </c>
      <c r="L1910" s="56" t="n">
        <v>0</v>
      </c>
      <c r="M1910" s="56" t="n">
        <v>77</v>
      </c>
      <c r="N1910" s="56" t="n">
        <v>1</v>
      </c>
      <c r="O1910" s="56" t="n">
        <f aca="false">IF(D1910=1,"",E1909)</f>
        <v>20.7</v>
      </c>
      <c r="P1910" s="56" t="n">
        <f aca="false">IF(OR(D1910=1,K1909=""),"",K1909)</f>
        <v>1012.7</v>
      </c>
      <c r="Q1910" s="56" t="n">
        <f aca="false">IF(OR(F1910&lt;&gt;0,AND(I1910&lt;&gt;"",E1910&lt;I1910)),1,0)</f>
        <v>0</v>
      </c>
      <c r="R1910" s="56" t="n">
        <f aca="false">IF(AND(D1910&gt;1,Q1910=0,ISNUMBER(O1910),ISNUMBER(P1910)),IF(Q1909=0,1,0),0)</f>
        <v>0</v>
      </c>
      <c r="S1910" s="56" t="n">
        <f aca="false">R1910*(B1910&gt;=Train_Start)*(B1910&lt;=Train_End)</f>
        <v>0</v>
      </c>
      <c r="T1910" s="84" t="n">
        <f aca="false">IF(AND(ISNUMBER(O1910),ISNUMBER(P1910)),Coef_A+Coef_B1*O1910+Coef_B2*P1910,"")</f>
        <v>20.8155890138198</v>
      </c>
      <c r="U1910" s="84" t="str">
        <f aca="false">IF(AND(R1910=1,ISNUMBER(T1910)),E1910-T1910,"")</f>
        <v/>
      </c>
      <c r="V1910" s="84" t="n">
        <f aca="false">IF(ISNUMBER(T1910),T1910,-99)</f>
        <v>20.8155890138198</v>
      </c>
      <c r="W1910" s="84" t="str">
        <f aca="false">IF(ISNUMBER(U1910),ABS(U1910),"")</f>
        <v/>
      </c>
    </row>
    <row r="1911" customFormat="false" ht="15" hidden="false" customHeight="false" outlineLevel="0" collapsed="false">
      <c r="A1911" s="57" t="n">
        <v>33432</v>
      </c>
      <c r="B1911" s="56" t="n">
        <v>1991</v>
      </c>
      <c r="C1911" s="56" t="n">
        <v>7</v>
      </c>
      <c r="D1911" s="56" t="n">
        <v>74</v>
      </c>
      <c r="E1911" s="56" t="n">
        <v>24.1</v>
      </c>
      <c r="F1911" s="56" t="n">
        <v>0</v>
      </c>
      <c r="G1911" s="56" t="n">
        <v>15.2</v>
      </c>
      <c r="H1911" s="56" t="n">
        <v>0</v>
      </c>
      <c r="I1911" s="56" t="n">
        <v>17.3</v>
      </c>
      <c r="J1911" s="56" t="n">
        <v>0</v>
      </c>
      <c r="K1911" s="56" t="n">
        <v>1015.1</v>
      </c>
      <c r="L1911" s="56" t="n">
        <v>0</v>
      </c>
      <c r="M1911" s="56" t="n">
        <v>87</v>
      </c>
      <c r="N1911" s="56" t="n">
        <v>0</v>
      </c>
      <c r="O1911" s="56" t="n">
        <f aca="false">IF(D1911=1,"",E1910)</f>
        <v>19.4</v>
      </c>
      <c r="P1911" s="56" t="n">
        <f aca="false">IF(OR(D1911=1,K1910=""),"",K1910)</f>
        <v>1017.2</v>
      </c>
      <c r="Q1911" s="56" t="n">
        <f aca="false">IF(OR(F1911&lt;&gt;0,AND(I1911&lt;&gt;"",E1911&lt;I1911)),1,0)</f>
        <v>0</v>
      </c>
      <c r="R1911" s="56" t="n">
        <f aca="false">IF(AND(D1911&gt;1,Q1911=0,ISNUMBER(O1911),ISNUMBER(P1911)),IF(Q1910=0,1,0),0)</f>
        <v>1</v>
      </c>
      <c r="S1911" s="56" t="n">
        <f aca="false">R1911*(B1911&gt;=Train_Start)*(B1911&lt;=Train_End)</f>
        <v>1</v>
      </c>
      <c r="T1911" s="84" t="n">
        <f aca="false">IF(AND(ISNUMBER(O1911),ISNUMBER(P1911)),Coef_A+Coef_B1*O1911+Coef_B2*P1911,"")</f>
        <v>19.8916125887173</v>
      </c>
      <c r="U1911" s="84" t="n">
        <f aca="false">IF(AND(R1911=1,ISNUMBER(T1911)),E1911-T1911,"")</f>
        <v>4.20838741128274</v>
      </c>
      <c r="V1911" s="84" t="n">
        <f aca="false">IF(ISNUMBER(T1911),T1911,-99)</f>
        <v>19.8916125887173</v>
      </c>
      <c r="W1911" s="84" t="n">
        <f aca="false">IF(ISNUMBER(U1911),ABS(U1911),"")</f>
        <v>4.20838741128274</v>
      </c>
    </row>
    <row r="1912" customFormat="false" ht="15" hidden="false" customHeight="false" outlineLevel="0" collapsed="false">
      <c r="A1912" s="57" t="n">
        <v>33433</v>
      </c>
      <c r="B1912" s="56" t="n">
        <v>1991</v>
      </c>
      <c r="C1912" s="56" t="n">
        <v>7</v>
      </c>
      <c r="D1912" s="56" t="n">
        <v>75</v>
      </c>
      <c r="E1912" s="56" t="n">
        <v>20.9</v>
      </c>
      <c r="F1912" s="56" t="n">
        <v>0</v>
      </c>
      <c r="G1912" s="56" t="n">
        <v>11.9</v>
      </c>
      <c r="H1912" s="56" t="n">
        <v>0</v>
      </c>
      <c r="I1912" s="56" t="n">
        <v>18</v>
      </c>
      <c r="J1912" s="56" t="n">
        <v>0</v>
      </c>
      <c r="K1912" s="56" t="n">
        <v>1015.3</v>
      </c>
      <c r="L1912" s="56" t="n">
        <v>0</v>
      </c>
      <c r="M1912" s="56" t="n">
        <v>70</v>
      </c>
      <c r="N1912" s="56" t="n">
        <v>9.3</v>
      </c>
      <c r="O1912" s="56" t="n">
        <f aca="false">IF(D1912=1,"",E1911)</f>
        <v>24.1</v>
      </c>
      <c r="P1912" s="56" t="n">
        <f aca="false">IF(OR(D1912=1,K1911=""),"",K1911)</f>
        <v>1015.1</v>
      </c>
      <c r="Q1912" s="56" t="n">
        <f aca="false">IF(OR(F1912&lt;&gt;0,AND(I1912&lt;&gt;"",E1912&lt;I1912)),1,0)</f>
        <v>0</v>
      </c>
      <c r="R1912" s="56" t="n">
        <f aca="false">IF(AND(D1912&gt;1,Q1912=0,ISNUMBER(O1912),ISNUMBER(P1912)),IF(Q1911=0,1,0),0)</f>
        <v>1</v>
      </c>
      <c r="S1912" s="56" t="n">
        <f aca="false">R1912*(B1912&gt;=Train_Start)*(B1912&lt;=Train_End)</f>
        <v>1</v>
      </c>
      <c r="T1912" s="84" t="n">
        <f aca="false">IF(AND(ISNUMBER(O1912),ISNUMBER(P1912)),Coef_A+Coef_B1*O1912+Coef_B2*P1912,"")</f>
        <v>23.6766300172864</v>
      </c>
      <c r="U1912" s="84" t="n">
        <f aca="false">IF(AND(R1912=1,ISNUMBER(T1912)),E1912-T1912,"")</f>
        <v>-2.77663001728638</v>
      </c>
      <c r="V1912" s="84" t="n">
        <f aca="false">IF(ISNUMBER(T1912),T1912,-99)</f>
        <v>23.6766300172864</v>
      </c>
      <c r="W1912" s="84" t="n">
        <f aca="false">IF(ISNUMBER(U1912),ABS(U1912),"")</f>
        <v>2.77663001728638</v>
      </c>
    </row>
    <row r="1913" customFormat="false" ht="15" hidden="false" customHeight="false" outlineLevel="0" collapsed="false">
      <c r="A1913" s="57" t="n">
        <v>33434</v>
      </c>
      <c r="B1913" s="56" t="n">
        <v>1991</v>
      </c>
      <c r="C1913" s="56" t="n">
        <v>7</v>
      </c>
      <c r="D1913" s="56" t="n">
        <v>76</v>
      </c>
      <c r="E1913" s="56" t="n">
        <v>21.4</v>
      </c>
      <c r="F1913" s="56" t="n">
        <v>0</v>
      </c>
      <c r="G1913" s="56" t="n">
        <v>14.1</v>
      </c>
      <c r="H1913" s="56" t="n">
        <v>0</v>
      </c>
      <c r="I1913" s="56" t="n">
        <v>17.5</v>
      </c>
      <c r="J1913" s="56" t="n">
        <v>0</v>
      </c>
      <c r="K1913" s="56" t="n">
        <v>1014.4</v>
      </c>
      <c r="L1913" s="56" t="n">
        <v>0</v>
      </c>
      <c r="M1913" s="56" t="n">
        <v>73</v>
      </c>
      <c r="N1913" s="56" t="n">
        <v>5</v>
      </c>
      <c r="O1913" s="56" t="n">
        <f aca="false">IF(D1913=1,"",E1912)</f>
        <v>20.9</v>
      </c>
      <c r="P1913" s="56" t="n">
        <f aca="false">IF(OR(D1913=1,K1912=""),"",K1912)</f>
        <v>1015.3</v>
      </c>
      <c r="Q1913" s="56" t="n">
        <f aca="false">IF(OR(F1913&lt;&gt;0,AND(I1913&lt;&gt;"",E1913&lt;I1913)),1,0)</f>
        <v>0</v>
      </c>
      <c r="R1913" s="56" t="n">
        <f aca="false">IF(AND(D1913&gt;1,Q1913=0,ISNUMBER(O1913),ISNUMBER(P1913)),IF(Q1912=0,1,0),0)</f>
        <v>1</v>
      </c>
      <c r="S1913" s="56" t="n">
        <f aca="false">R1913*(B1913&gt;=Train_Start)*(B1913&lt;=Train_End)</f>
        <v>1</v>
      </c>
      <c r="T1913" s="84" t="n">
        <f aca="false">IF(AND(ISNUMBER(O1913),ISNUMBER(P1913)),Coef_A+Coef_B1*O1913+Coef_B2*P1913,"")</f>
        <v>21.0610185784767</v>
      </c>
      <c r="U1913" s="84" t="n">
        <f aca="false">IF(AND(R1913=1,ISNUMBER(T1913)),E1913-T1913,"")</f>
        <v>0.338981421523329</v>
      </c>
      <c r="V1913" s="84" t="n">
        <f aca="false">IF(ISNUMBER(T1913),T1913,-99)</f>
        <v>21.0610185784767</v>
      </c>
      <c r="W1913" s="84" t="n">
        <f aca="false">IF(ISNUMBER(U1913),ABS(U1913),"")</f>
        <v>0.338981421523329</v>
      </c>
    </row>
    <row r="1914" customFormat="false" ht="15" hidden="false" customHeight="false" outlineLevel="0" collapsed="false">
      <c r="A1914" s="57" t="n">
        <v>33435</v>
      </c>
      <c r="B1914" s="56" t="n">
        <v>1991</v>
      </c>
      <c r="C1914" s="56" t="n">
        <v>7</v>
      </c>
      <c r="D1914" s="56" t="n">
        <v>77</v>
      </c>
      <c r="E1914" s="56" t="n">
        <v>21.2</v>
      </c>
      <c r="F1914" s="56" t="n">
        <v>0</v>
      </c>
      <c r="G1914" s="56" t="n">
        <v>13.7</v>
      </c>
      <c r="H1914" s="56" t="n">
        <v>0</v>
      </c>
      <c r="I1914" s="56" t="n">
        <v>17.6</v>
      </c>
      <c r="J1914" s="56" t="n">
        <v>0</v>
      </c>
      <c r="K1914" s="56" t="n">
        <v>1015.7</v>
      </c>
      <c r="L1914" s="56" t="n">
        <v>0</v>
      </c>
      <c r="M1914" s="56" t="n">
        <v>72</v>
      </c>
      <c r="N1914" s="56" t="n">
        <v>3.6</v>
      </c>
      <c r="O1914" s="56" t="n">
        <f aca="false">IF(D1914=1,"",E1913)</f>
        <v>21.4</v>
      </c>
      <c r="P1914" s="56" t="n">
        <f aca="false">IF(OR(D1914=1,K1913=""),"",K1913)</f>
        <v>1014.4</v>
      </c>
      <c r="Q1914" s="56" t="n">
        <f aca="false">IF(OR(F1914&lt;&gt;0,AND(I1914&lt;&gt;"",E1914&lt;I1914)),1,0)</f>
        <v>0</v>
      </c>
      <c r="R1914" s="56" t="n">
        <f aca="false">IF(AND(D1914&gt;1,Q1914=0,ISNUMBER(O1914),ISNUMBER(P1914)),IF(Q1913=0,1,0),0)</f>
        <v>1</v>
      </c>
      <c r="S1914" s="56" t="n">
        <f aca="false">R1914*(B1914&gt;=Train_Start)*(B1914&lt;=Train_End)</f>
        <v>1</v>
      </c>
      <c r="T1914" s="84" t="n">
        <f aca="false">IF(AND(ISNUMBER(O1914),ISNUMBER(P1914)),Coef_A+Coef_B1*O1914+Coef_B2*P1914,"")</f>
        <v>21.4424552698274</v>
      </c>
      <c r="U1914" s="84" t="n">
        <f aca="false">IF(AND(R1914=1,ISNUMBER(T1914)),E1914-T1914,"")</f>
        <v>-0.24245526982741</v>
      </c>
      <c r="V1914" s="84" t="n">
        <f aca="false">IF(ISNUMBER(T1914),T1914,-99)</f>
        <v>21.4424552698274</v>
      </c>
      <c r="W1914" s="84" t="n">
        <f aca="false">IF(ISNUMBER(U1914),ABS(U1914),"")</f>
        <v>0.24245526982741</v>
      </c>
    </row>
    <row r="1915" customFormat="false" ht="15" hidden="false" customHeight="false" outlineLevel="0" collapsed="false">
      <c r="A1915" s="57" t="n">
        <v>33436</v>
      </c>
      <c r="B1915" s="56" t="n">
        <v>1991</v>
      </c>
      <c r="C1915" s="56" t="n">
        <v>7</v>
      </c>
      <c r="D1915" s="56" t="n">
        <v>78</v>
      </c>
      <c r="E1915" s="56" t="n">
        <v>23.8</v>
      </c>
      <c r="F1915" s="56" t="n">
        <v>0</v>
      </c>
      <c r="G1915" s="56" t="n">
        <v>10.6</v>
      </c>
      <c r="H1915" s="56" t="n">
        <v>0</v>
      </c>
      <c r="I1915" s="56" t="n">
        <v>15.9</v>
      </c>
      <c r="J1915" s="56" t="n">
        <v>0</v>
      </c>
      <c r="K1915" s="56" t="n">
        <v>1017.3</v>
      </c>
      <c r="L1915" s="56" t="n">
        <v>0</v>
      </c>
      <c r="M1915" s="56" t="n">
        <v>70</v>
      </c>
      <c r="N1915" s="56" t="n">
        <v>7</v>
      </c>
      <c r="O1915" s="56" t="n">
        <f aca="false">IF(D1915=1,"",E1914)</f>
        <v>21.2</v>
      </c>
      <c r="P1915" s="56" t="n">
        <f aca="false">IF(OR(D1915=1,K1914=""),"",K1914)</f>
        <v>1015.7</v>
      </c>
      <c r="Q1915" s="56" t="n">
        <f aca="false">IF(OR(F1915&lt;&gt;0,AND(I1915&lt;&gt;"",E1915&lt;I1915)),1,0)</f>
        <v>0</v>
      </c>
      <c r="R1915" s="56" t="n">
        <f aca="false">IF(AND(D1915&gt;1,Q1915=0,ISNUMBER(O1915),ISNUMBER(P1915)),IF(Q1914=0,1,0),0)</f>
        <v>1</v>
      </c>
      <c r="S1915" s="56" t="n">
        <f aca="false">R1915*(B1915&gt;=Train_Start)*(B1915&lt;=Train_End)</f>
        <v>1</v>
      </c>
      <c r="T1915" s="84" t="n">
        <f aca="false">IF(AND(ISNUMBER(O1915),ISNUMBER(P1915)),Coef_A+Coef_B1*O1915+Coef_B2*P1915,"")</f>
        <v>21.3193682942431</v>
      </c>
      <c r="U1915" s="84" t="n">
        <f aca="false">IF(AND(R1915=1,ISNUMBER(T1915)),E1915-T1915,"")</f>
        <v>2.48063170575693</v>
      </c>
      <c r="V1915" s="84" t="n">
        <f aca="false">IF(ISNUMBER(T1915),T1915,-99)</f>
        <v>21.3193682942431</v>
      </c>
      <c r="W1915" s="84" t="n">
        <f aca="false">IF(ISNUMBER(U1915),ABS(U1915),"")</f>
        <v>2.48063170575693</v>
      </c>
    </row>
    <row r="1916" customFormat="false" ht="15" hidden="false" customHeight="false" outlineLevel="0" collapsed="false">
      <c r="A1916" s="57" t="n">
        <v>33437</v>
      </c>
      <c r="B1916" s="56" t="n">
        <v>1991</v>
      </c>
      <c r="C1916" s="56" t="n">
        <v>7</v>
      </c>
      <c r="D1916" s="56" t="n">
        <v>79</v>
      </c>
      <c r="E1916" s="56" t="n">
        <v>19.9</v>
      </c>
      <c r="F1916" s="56" t="n">
        <v>0</v>
      </c>
      <c r="G1916" s="56" t="n">
        <v>12.8</v>
      </c>
      <c r="H1916" s="56" t="n">
        <v>0</v>
      </c>
      <c r="I1916" s="56" t="n">
        <v>18.3</v>
      </c>
      <c r="J1916" s="56" t="n">
        <v>0</v>
      </c>
      <c r="K1916" s="56" t="n">
        <v>1010</v>
      </c>
      <c r="L1916" s="56" t="n">
        <v>0</v>
      </c>
      <c r="M1916" s="56" t="n">
        <v>79</v>
      </c>
      <c r="N1916" s="56" t="n">
        <v>4.7</v>
      </c>
      <c r="O1916" s="56" t="n">
        <f aca="false">IF(D1916=1,"",E1915)</f>
        <v>23.8</v>
      </c>
      <c r="P1916" s="56" t="n">
        <f aca="false">IF(OR(D1916=1,K1915=""),"",K1915)</f>
        <v>1017.3</v>
      </c>
      <c r="Q1916" s="56" t="n">
        <f aca="false">IF(OR(F1916&lt;&gt;0,AND(I1916&lt;&gt;"",E1916&lt;I1916)),1,0)</f>
        <v>0</v>
      </c>
      <c r="R1916" s="56" t="n">
        <f aca="false">IF(AND(D1916&gt;1,Q1916=0,ISNUMBER(O1916),ISNUMBER(P1916)),IF(Q1915=0,1,0),0)</f>
        <v>1</v>
      </c>
      <c r="S1916" s="56" t="n">
        <f aca="false">R1916*(B1916&gt;=Train_Start)*(B1916&lt;=Train_End)</f>
        <v>1</v>
      </c>
      <c r="T1916" s="84" t="n">
        <f aca="false">IF(AND(ISNUMBER(O1916),ISNUMBER(P1916)),Coef_A+Coef_B1*O1916+Coef_B2*P1916,"")</f>
        <v>23.4998420275684</v>
      </c>
      <c r="U1916" s="84" t="n">
        <f aca="false">IF(AND(R1916=1,ISNUMBER(T1916)),E1916-T1916,"")</f>
        <v>-3.59984202756836</v>
      </c>
      <c r="V1916" s="84" t="n">
        <f aca="false">IF(ISNUMBER(T1916),T1916,-99)</f>
        <v>23.4998420275684</v>
      </c>
      <c r="W1916" s="84" t="n">
        <f aca="false">IF(ISNUMBER(U1916),ABS(U1916),"")</f>
        <v>3.59984202756836</v>
      </c>
    </row>
    <row r="1917" customFormat="false" ht="15" hidden="false" customHeight="false" outlineLevel="0" collapsed="false">
      <c r="A1917" s="57" t="n">
        <v>33438</v>
      </c>
      <c r="B1917" s="56" t="n">
        <v>1991</v>
      </c>
      <c r="C1917" s="56" t="n">
        <v>7</v>
      </c>
      <c r="D1917" s="56" t="n">
        <v>80</v>
      </c>
      <c r="E1917" s="56" t="n">
        <v>23.8</v>
      </c>
      <c r="F1917" s="56" t="n">
        <v>0</v>
      </c>
      <c r="G1917" s="56" t="n">
        <v>14.2</v>
      </c>
      <c r="H1917" s="56" t="n">
        <v>0</v>
      </c>
      <c r="I1917" s="56" t="n">
        <v>17</v>
      </c>
      <c r="J1917" s="56" t="n">
        <v>0</v>
      </c>
      <c r="K1917" s="56" t="n">
        <v>1011.6</v>
      </c>
      <c r="L1917" s="56" t="n">
        <v>0</v>
      </c>
      <c r="M1917" s="56" t="n">
        <v>74</v>
      </c>
      <c r="N1917" s="56" t="n">
        <v>2.5</v>
      </c>
      <c r="O1917" s="56" t="n">
        <f aca="false">IF(D1917=1,"",E1916)</f>
        <v>19.9</v>
      </c>
      <c r="P1917" s="56" t="n">
        <f aca="false">IF(OR(D1917=1,K1916=""),"",K1916)</f>
        <v>1010</v>
      </c>
      <c r="Q1917" s="56" t="n">
        <f aca="false">IF(OR(F1917&lt;&gt;0,AND(I1917&lt;&gt;"",E1917&lt;I1917)),1,0)</f>
        <v>0</v>
      </c>
      <c r="R1917" s="56" t="n">
        <f aca="false">IF(AND(D1917&gt;1,Q1917=0,ISNUMBER(O1917),ISNUMBER(P1917)),IF(Q1916=0,1,0),0)</f>
        <v>1</v>
      </c>
      <c r="S1917" s="56" t="n">
        <f aca="false">R1917*(B1917&gt;=Train_Start)*(B1917&lt;=Train_End)</f>
        <v>1</v>
      </c>
      <c r="T1917" s="84" t="n">
        <f aca="false">IF(AND(ISNUMBER(O1917),ISNUMBER(P1917)),Coef_A+Coef_B1*O1917+Coef_B2*P1917,"")</f>
        <v>20.0754189438739</v>
      </c>
      <c r="U1917" s="84" t="n">
        <f aca="false">IF(AND(R1917=1,ISNUMBER(T1917)),E1917-T1917,"")</f>
        <v>3.72458105612613</v>
      </c>
      <c r="V1917" s="84" t="n">
        <f aca="false">IF(ISNUMBER(T1917),T1917,-99)</f>
        <v>20.0754189438739</v>
      </c>
      <c r="W1917" s="84" t="n">
        <f aca="false">IF(ISNUMBER(U1917),ABS(U1917),"")</f>
        <v>3.72458105612613</v>
      </c>
    </row>
    <row r="1918" customFormat="false" ht="15" hidden="false" customHeight="false" outlineLevel="0" collapsed="false">
      <c r="A1918" s="57" t="n">
        <v>33439</v>
      </c>
      <c r="B1918" s="56" t="n">
        <v>1991</v>
      </c>
      <c r="C1918" s="56" t="n">
        <v>7</v>
      </c>
      <c r="D1918" s="56" t="n">
        <v>81</v>
      </c>
      <c r="E1918" s="56" t="n">
        <v>21.2</v>
      </c>
      <c r="F1918" s="56" t="n">
        <v>0</v>
      </c>
      <c r="G1918" s="56" t="n">
        <v>14</v>
      </c>
      <c r="H1918" s="56" t="n">
        <v>0</v>
      </c>
      <c r="I1918" s="56" t="n">
        <v>18.9</v>
      </c>
      <c r="J1918" s="56" t="n">
        <v>0</v>
      </c>
      <c r="K1918" s="56" t="n">
        <v>1016.4</v>
      </c>
      <c r="L1918" s="56" t="n">
        <v>0</v>
      </c>
      <c r="M1918" s="56" t="n">
        <v>70</v>
      </c>
      <c r="N1918" s="56" t="n">
        <v>8.9</v>
      </c>
      <c r="O1918" s="56" t="n">
        <f aca="false">IF(D1918=1,"",E1917)</f>
        <v>23.8</v>
      </c>
      <c r="P1918" s="56" t="n">
        <f aca="false">IF(OR(D1918=1,K1917=""),"",K1917)</f>
        <v>1011.6</v>
      </c>
      <c r="Q1918" s="56" t="n">
        <f aca="false">IF(OR(F1918&lt;&gt;0,AND(I1918&lt;&gt;"",E1918&lt;I1918)),1,0)</f>
        <v>0</v>
      </c>
      <c r="R1918" s="56" t="n">
        <f aca="false">IF(AND(D1918&gt;1,Q1918=0,ISNUMBER(O1918),ISNUMBER(P1918)),IF(Q1917=0,1,0),0)</f>
        <v>1</v>
      </c>
      <c r="S1918" s="56" t="n">
        <f aca="false">R1918*(B1918&gt;=Train_Start)*(B1918&lt;=Train_End)</f>
        <v>1</v>
      </c>
      <c r="T1918" s="84" t="n">
        <f aca="false">IF(AND(ISNUMBER(O1918),ISNUMBER(P1918)),Coef_A+Coef_B1*O1918+Coef_B2*P1918,"")</f>
        <v>23.3210336281546</v>
      </c>
      <c r="U1918" s="84" t="n">
        <f aca="false">IF(AND(R1918=1,ISNUMBER(T1918)),E1918-T1918,"")</f>
        <v>-2.12103362815462</v>
      </c>
      <c r="V1918" s="84" t="n">
        <f aca="false">IF(ISNUMBER(T1918),T1918,-99)</f>
        <v>23.3210336281546</v>
      </c>
      <c r="W1918" s="84" t="n">
        <f aca="false">IF(ISNUMBER(U1918),ABS(U1918),"")</f>
        <v>2.12103362815462</v>
      </c>
    </row>
    <row r="1919" customFormat="false" ht="15" hidden="false" customHeight="false" outlineLevel="0" collapsed="false">
      <c r="A1919" s="57" t="n">
        <v>33440</v>
      </c>
      <c r="B1919" s="56" t="n">
        <v>1991</v>
      </c>
      <c r="C1919" s="56" t="n">
        <v>7</v>
      </c>
      <c r="D1919" s="56" t="n">
        <v>82</v>
      </c>
      <c r="E1919" s="56" t="n">
        <v>24</v>
      </c>
      <c r="F1919" s="56" t="n">
        <v>0</v>
      </c>
      <c r="G1919" s="56" t="n">
        <v>14.6</v>
      </c>
      <c r="H1919" s="56" t="n">
        <v>0</v>
      </c>
      <c r="I1919" s="56" t="n">
        <v>17.9</v>
      </c>
      <c r="J1919" s="56" t="n">
        <v>0</v>
      </c>
      <c r="K1919" s="56" t="n">
        <v>1020.5</v>
      </c>
      <c r="L1919" s="56" t="n">
        <v>0</v>
      </c>
      <c r="M1919" s="56" t="n">
        <v>67</v>
      </c>
      <c r="N1919" s="56" t="n">
        <v>3.5</v>
      </c>
      <c r="O1919" s="56" t="n">
        <f aca="false">IF(D1919=1,"",E1918)</f>
        <v>21.2</v>
      </c>
      <c r="P1919" s="56" t="n">
        <f aca="false">IF(OR(D1919=1,K1918=""),"",K1918)</f>
        <v>1016.4</v>
      </c>
      <c r="Q1919" s="56" t="n">
        <f aca="false">IF(OR(F1919&lt;&gt;0,AND(I1919&lt;&gt;"",E1919&lt;I1919)),1,0)</f>
        <v>0</v>
      </c>
      <c r="R1919" s="56" t="n">
        <f aca="false">IF(AND(D1919&gt;1,Q1919=0,ISNUMBER(O1919),ISNUMBER(P1919)),IF(Q1918=0,1,0),0)</f>
        <v>1</v>
      </c>
      <c r="S1919" s="56" t="n">
        <f aca="false">R1919*(B1919&gt;=Train_Start)*(B1919&lt;=Train_End)</f>
        <v>1</v>
      </c>
      <c r="T1919" s="84" t="n">
        <f aca="false">IF(AND(ISNUMBER(O1919),ISNUMBER(P1919)),Coef_A+Coef_B1*O1919+Coef_B2*P1919,"")</f>
        <v>21.3413272204869</v>
      </c>
      <c r="U1919" s="84" t="n">
        <f aca="false">IF(AND(R1919=1,ISNUMBER(T1919)),E1919-T1919,"")</f>
        <v>2.65867277951314</v>
      </c>
      <c r="V1919" s="84" t="n">
        <f aca="false">IF(ISNUMBER(T1919),T1919,-99)</f>
        <v>21.3413272204869</v>
      </c>
      <c r="W1919" s="84" t="n">
        <f aca="false">IF(ISNUMBER(U1919),ABS(U1919),"")</f>
        <v>2.65867277951314</v>
      </c>
    </row>
    <row r="1920" customFormat="false" ht="15" hidden="false" customHeight="false" outlineLevel="0" collapsed="false">
      <c r="A1920" s="57" t="n">
        <v>33441</v>
      </c>
      <c r="B1920" s="56" t="n">
        <v>1991</v>
      </c>
      <c r="C1920" s="56" t="n">
        <v>7</v>
      </c>
      <c r="D1920" s="56" t="n">
        <v>83</v>
      </c>
      <c r="E1920" s="56" t="n">
        <v>27.1</v>
      </c>
      <c r="F1920" s="56" t="n">
        <v>0</v>
      </c>
      <c r="G1920" s="56" t="n">
        <v>13</v>
      </c>
      <c r="H1920" s="56" t="n">
        <v>0</v>
      </c>
      <c r="I1920" s="56" t="n">
        <v>18.5</v>
      </c>
      <c r="J1920" s="56" t="n">
        <v>0</v>
      </c>
      <c r="K1920" s="56" t="n">
        <v>1019.2</v>
      </c>
      <c r="L1920" s="56" t="n">
        <v>0</v>
      </c>
      <c r="M1920" s="56" t="n">
        <v>72</v>
      </c>
      <c r="N1920" s="56" t="n">
        <v>7.5</v>
      </c>
      <c r="O1920" s="56" t="n">
        <f aca="false">IF(D1920=1,"",E1919)</f>
        <v>24</v>
      </c>
      <c r="P1920" s="56" t="n">
        <f aca="false">IF(OR(D1920=1,K1919=""),"",K1919)</f>
        <v>1020.5</v>
      </c>
      <c r="Q1920" s="56" t="n">
        <f aca="false">IF(OR(F1920&lt;&gt;0,AND(I1920&lt;&gt;"",E1920&lt;I1920)),1,0)</f>
        <v>0</v>
      </c>
      <c r="R1920" s="56" t="n">
        <f aca="false">IF(AND(D1920&gt;1,Q1920=0,ISNUMBER(O1920),ISNUMBER(P1920)),IF(Q1919=0,1,0),0)</f>
        <v>1</v>
      </c>
      <c r="S1920" s="56" t="n">
        <f aca="false">R1920*(B1920&gt;=Train_Start)*(B1920&lt;=Train_End)</f>
        <v>1</v>
      </c>
      <c r="T1920" s="84" t="n">
        <f aca="false">IF(AND(ISNUMBER(O1920),ISNUMBER(P1920)),Coef_A+Coef_B1*O1920+Coef_B2*P1920,"")</f>
        <v>23.7640935290057</v>
      </c>
      <c r="U1920" s="84" t="n">
        <f aca="false">IF(AND(R1920=1,ISNUMBER(T1920)),E1920-T1920,"")</f>
        <v>3.33590647099435</v>
      </c>
      <c r="V1920" s="84" t="n">
        <f aca="false">IF(ISNUMBER(T1920),T1920,-99)</f>
        <v>23.7640935290057</v>
      </c>
      <c r="W1920" s="84" t="n">
        <f aca="false">IF(ISNUMBER(U1920),ABS(U1920),"")</f>
        <v>3.33590647099435</v>
      </c>
    </row>
    <row r="1921" customFormat="false" ht="15" hidden="false" customHeight="false" outlineLevel="0" collapsed="false">
      <c r="A1921" s="57" t="n">
        <v>33442</v>
      </c>
      <c r="B1921" s="56" t="n">
        <v>1991</v>
      </c>
      <c r="C1921" s="56" t="n">
        <v>7</v>
      </c>
      <c r="D1921" s="56" t="n">
        <v>84</v>
      </c>
      <c r="E1921" s="56" t="n">
        <v>18.6</v>
      </c>
      <c r="F1921" s="56" t="n">
        <v>1</v>
      </c>
      <c r="G1921" s="56" t="n">
        <v>16.6</v>
      </c>
      <c r="H1921" s="56" t="n">
        <v>0</v>
      </c>
      <c r="I1921" s="56" t="n">
        <v>21.8</v>
      </c>
      <c r="J1921" s="56" t="n">
        <v>1</v>
      </c>
      <c r="K1921" s="56" t="n">
        <v>1010.5</v>
      </c>
      <c r="L1921" s="56" t="n">
        <v>0</v>
      </c>
      <c r="M1921" s="56" t="n">
        <v>74</v>
      </c>
      <c r="N1921" s="56" t="n">
        <v>3.5</v>
      </c>
      <c r="O1921" s="56" t="n">
        <f aca="false">IF(D1921=1,"",E1920)</f>
        <v>27.1</v>
      </c>
      <c r="P1921" s="56" t="n">
        <f aca="false">IF(OR(D1921=1,K1920=""),"",K1920)</f>
        <v>1019.2</v>
      </c>
      <c r="Q1921" s="56" t="n">
        <f aca="false">IF(OR(F1921&lt;&gt;0,AND(I1921&lt;&gt;"",E1921&lt;I1921)),1,0)</f>
        <v>1</v>
      </c>
      <c r="R1921" s="56" t="n">
        <f aca="false">IF(AND(D1921&gt;1,Q1921=0,ISNUMBER(O1921),ISNUMBER(P1921)),IF(Q1920=0,1,0),0)</f>
        <v>0</v>
      </c>
      <c r="S1921" s="56" t="n">
        <f aca="false">R1921*(B1921&gt;=Train_Start)*(B1921&lt;=Train_End)</f>
        <v>0</v>
      </c>
      <c r="T1921" s="84" t="n">
        <f aca="false">IF(AND(ISNUMBER(O1921),ISNUMBER(P1921)),Coef_A+Coef_B1*O1921+Coef_B2*P1921,"")</f>
        <v>26.2632641644137</v>
      </c>
      <c r="U1921" s="84" t="str">
        <f aca="false">IF(AND(R1921=1,ISNUMBER(T1921)),E1921-T1921,"")</f>
        <v/>
      </c>
      <c r="V1921" s="84" t="n">
        <f aca="false">IF(ISNUMBER(T1921),T1921,-99)</f>
        <v>26.2632641644137</v>
      </c>
      <c r="W1921" s="84" t="str">
        <f aca="false">IF(ISNUMBER(U1921),ABS(U1921),"")</f>
        <v/>
      </c>
    </row>
    <row r="1922" customFormat="false" ht="15" hidden="false" customHeight="false" outlineLevel="0" collapsed="false">
      <c r="A1922" s="57" t="n">
        <v>33443</v>
      </c>
      <c r="B1922" s="56" t="n">
        <v>1991</v>
      </c>
      <c r="C1922" s="56" t="n">
        <v>7</v>
      </c>
      <c r="D1922" s="56" t="n">
        <v>85</v>
      </c>
      <c r="E1922" s="56" t="n">
        <v>21.8</v>
      </c>
      <c r="F1922" s="56" t="n">
        <v>0</v>
      </c>
      <c r="G1922" s="56" t="n">
        <v>13.6</v>
      </c>
      <c r="H1922" s="56" t="n">
        <v>0</v>
      </c>
      <c r="I1922" s="56" t="n">
        <v>16.1</v>
      </c>
      <c r="J1922" s="56" t="n">
        <v>0</v>
      </c>
      <c r="K1922" s="56" t="n">
        <v>1005.4</v>
      </c>
      <c r="L1922" s="56" t="n">
        <v>0</v>
      </c>
      <c r="M1922" s="56" t="n">
        <v>84</v>
      </c>
      <c r="N1922" s="56" t="n">
        <v>1.3</v>
      </c>
      <c r="O1922" s="56" t="n">
        <f aca="false">IF(D1922=1,"",E1921)</f>
        <v>18.6</v>
      </c>
      <c r="P1922" s="56" t="n">
        <f aca="false">IF(OR(D1922=1,K1921=""),"",K1921)</f>
        <v>1010.5</v>
      </c>
      <c r="Q1922" s="56" t="n">
        <f aca="false">IF(OR(F1922&lt;&gt;0,AND(I1922&lt;&gt;"",E1922&lt;I1922)),1,0)</f>
        <v>0</v>
      </c>
      <c r="R1922" s="56" t="n">
        <f aca="false">IF(AND(D1922&gt;1,Q1922=0,ISNUMBER(O1922),ISNUMBER(P1922)),IF(Q1921=0,1,0),0)</f>
        <v>0</v>
      </c>
      <c r="S1922" s="56" t="n">
        <f aca="false">R1922*(B1922&gt;=Train_Start)*(B1922&lt;=Train_End)</f>
        <v>0</v>
      </c>
      <c r="T1922" s="84" t="n">
        <f aca="false">IF(AND(ISNUMBER(O1922),ISNUMBER(P1922)),Coef_A+Coef_B1*O1922+Coef_B2*P1922,"")</f>
        <v>19.0259629402354</v>
      </c>
      <c r="U1922" s="84" t="str">
        <f aca="false">IF(AND(R1922=1,ISNUMBER(T1922)),E1922-T1922,"")</f>
        <v/>
      </c>
      <c r="V1922" s="84" t="n">
        <f aca="false">IF(ISNUMBER(T1922),T1922,-99)</f>
        <v>19.0259629402354</v>
      </c>
      <c r="W1922" s="84" t="str">
        <f aca="false">IF(ISNUMBER(U1922),ABS(U1922),"")</f>
        <v/>
      </c>
    </row>
    <row r="1923" customFormat="false" ht="15" hidden="false" customHeight="false" outlineLevel="0" collapsed="false">
      <c r="A1923" s="57" t="n">
        <v>33444</v>
      </c>
      <c r="B1923" s="56" t="n">
        <v>1991</v>
      </c>
      <c r="C1923" s="56" t="n">
        <v>7</v>
      </c>
      <c r="D1923" s="56" t="n">
        <v>86</v>
      </c>
      <c r="E1923" s="56" t="n">
        <v>24.1</v>
      </c>
      <c r="F1923" s="56" t="n">
        <v>0</v>
      </c>
      <c r="G1923" s="56" t="n">
        <v>13.2</v>
      </c>
      <c r="H1923" s="56" t="n">
        <v>0</v>
      </c>
      <c r="I1923" s="56" t="n">
        <v>17.5</v>
      </c>
      <c r="J1923" s="56" t="n">
        <v>0</v>
      </c>
      <c r="K1923" s="56" t="n">
        <v>1008.9</v>
      </c>
      <c r="L1923" s="56" t="n">
        <v>0</v>
      </c>
      <c r="M1923" s="56" t="n">
        <v>77</v>
      </c>
      <c r="N1923" s="56" t="n">
        <v>7.4</v>
      </c>
      <c r="O1923" s="56" t="n">
        <f aca="false">IF(D1923=1,"",E1922)</f>
        <v>21.8</v>
      </c>
      <c r="P1923" s="56" t="n">
        <f aca="false">IF(OR(D1923=1,K1922=""),"",K1922)</f>
        <v>1005.4</v>
      </c>
      <c r="Q1923" s="56" t="n">
        <f aca="false">IF(OR(F1923&lt;&gt;0,AND(I1923&lt;&gt;"",E1923&lt;I1923)),1,0)</f>
        <v>0</v>
      </c>
      <c r="R1923" s="56" t="n">
        <f aca="false">IF(AND(D1923&gt;1,Q1923=0,ISNUMBER(O1923),ISNUMBER(P1923)),IF(Q1922=0,1,0),0)</f>
        <v>1</v>
      </c>
      <c r="S1923" s="56" t="n">
        <f aca="false">R1923*(B1923&gt;=Train_Start)*(B1923&lt;=Train_End)</f>
        <v>1</v>
      </c>
      <c r="T1923" s="84" t="n">
        <f aca="false">IF(AND(ISNUMBER(O1923),ISNUMBER(P1923)),Coef_A+Coef_B1*O1923+Coef_B2*P1923,"")</f>
        <v>21.4878618953386</v>
      </c>
      <c r="U1923" s="84" t="n">
        <f aca="false">IF(AND(R1923=1,ISNUMBER(T1923)),E1923-T1923,"")</f>
        <v>2.61213810466143</v>
      </c>
      <c r="V1923" s="84" t="n">
        <f aca="false">IF(ISNUMBER(T1923),T1923,-99)</f>
        <v>21.4878618953386</v>
      </c>
      <c r="W1923" s="84" t="n">
        <f aca="false">IF(ISNUMBER(U1923),ABS(U1923),"")</f>
        <v>2.61213810466143</v>
      </c>
    </row>
    <row r="1924" customFormat="false" ht="15" hidden="false" customHeight="false" outlineLevel="0" collapsed="false">
      <c r="A1924" s="57" t="n">
        <v>33445</v>
      </c>
      <c r="B1924" s="56" t="n">
        <v>1991</v>
      </c>
      <c r="C1924" s="56" t="n">
        <v>7</v>
      </c>
      <c r="D1924" s="56" t="n">
        <v>87</v>
      </c>
      <c r="E1924" s="56" t="n">
        <v>24.6</v>
      </c>
      <c r="F1924" s="56" t="n">
        <v>0</v>
      </c>
      <c r="G1924" s="56" t="n">
        <v>14.5</v>
      </c>
      <c r="H1924" s="56" t="n">
        <v>0</v>
      </c>
      <c r="I1924" s="56" t="n">
        <v>19.3</v>
      </c>
      <c r="J1924" s="56" t="n">
        <v>0</v>
      </c>
      <c r="K1924" s="56" t="n">
        <v>1017.9</v>
      </c>
      <c r="L1924" s="56" t="n">
        <v>0</v>
      </c>
      <c r="M1924" s="56" t="n">
        <v>70</v>
      </c>
      <c r="N1924" s="56" t="n">
        <v>9</v>
      </c>
      <c r="O1924" s="56" t="n">
        <f aca="false">IF(D1924=1,"",E1923)</f>
        <v>24.1</v>
      </c>
      <c r="P1924" s="56" t="n">
        <f aca="false">IF(OR(D1924=1,K1923=""),"",K1923)</f>
        <v>1008.9</v>
      </c>
      <c r="Q1924" s="56" t="n">
        <f aca="false">IF(OR(F1924&lt;&gt;0,AND(I1924&lt;&gt;"",E1924&lt;I1924)),1,0)</f>
        <v>0</v>
      </c>
      <c r="R1924" s="56" t="n">
        <f aca="false">IF(AND(D1924&gt;1,Q1924=0,ISNUMBER(O1924),ISNUMBER(P1924)),IF(Q1923=0,1,0),0)</f>
        <v>1</v>
      </c>
      <c r="S1924" s="56" t="n">
        <f aca="false">R1924*(B1924&gt;=Train_Start)*(B1924&lt;=Train_End)</f>
        <v>1</v>
      </c>
      <c r="T1924" s="84" t="n">
        <f aca="false">IF(AND(ISNUMBER(O1924),ISNUMBER(P1924)),Coef_A+Coef_B1*O1924+Coef_B2*P1924,"")</f>
        <v>23.4821366705556</v>
      </c>
      <c r="U1924" s="84" t="n">
        <f aca="false">IF(AND(R1924=1,ISNUMBER(T1924)),E1924-T1924,"")</f>
        <v>1.11786332944435</v>
      </c>
      <c r="V1924" s="84" t="n">
        <f aca="false">IF(ISNUMBER(T1924),T1924,-99)</f>
        <v>23.4821366705556</v>
      </c>
      <c r="W1924" s="84" t="n">
        <f aca="false">IF(ISNUMBER(U1924),ABS(U1924),"")</f>
        <v>1.11786332944435</v>
      </c>
    </row>
    <row r="1925" customFormat="false" ht="15" hidden="false" customHeight="false" outlineLevel="0" collapsed="false">
      <c r="A1925" s="57" t="n">
        <v>33446</v>
      </c>
      <c r="B1925" s="56" t="n">
        <v>1991</v>
      </c>
      <c r="C1925" s="56" t="n">
        <v>7</v>
      </c>
      <c r="D1925" s="56" t="n">
        <v>88</v>
      </c>
      <c r="E1925" s="56" t="n">
        <v>25.6</v>
      </c>
      <c r="F1925" s="56" t="n">
        <v>0</v>
      </c>
      <c r="G1925" s="56" t="n">
        <v>14.4</v>
      </c>
      <c r="H1925" s="56" t="n">
        <v>0</v>
      </c>
      <c r="I1925" s="56" t="n">
        <v>19.5</v>
      </c>
      <c r="J1925" s="56" t="n">
        <v>0</v>
      </c>
      <c r="K1925" s="56" t="n">
        <v>1018.3</v>
      </c>
      <c r="L1925" s="56" t="n">
        <v>0</v>
      </c>
      <c r="M1925" s="56" t="n">
        <v>75</v>
      </c>
      <c r="N1925" s="56" t="n">
        <v>10.3</v>
      </c>
      <c r="O1925" s="56" t="n">
        <f aca="false">IF(D1925=1,"",E1924)</f>
        <v>24.6</v>
      </c>
      <c r="P1925" s="56" t="n">
        <f aca="false">IF(OR(D1925=1,K1924=""),"",K1924)</f>
        <v>1017.9</v>
      </c>
      <c r="Q1925" s="56" t="n">
        <f aca="false">IF(OR(F1925&lt;&gt;0,AND(I1925&lt;&gt;"",E1925&lt;I1925)),1,0)</f>
        <v>0</v>
      </c>
      <c r="R1925" s="56" t="n">
        <f aca="false">IF(AND(D1925&gt;1,Q1925=0,ISNUMBER(O1925),ISNUMBER(P1925)),IF(Q1924=0,1,0),0)</f>
        <v>1</v>
      </c>
      <c r="S1925" s="56" t="n">
        <f aca="false">R1925*(B1925&gt;=Train_Start)*(B1925&lt;=Train_End)</f>
        <v>1</v>
      </c>
      <c r="T1925" s="84" t="n">
        <f aca="false">IF(AND(ISNUMBER(O1925),ISNUMBER(P1925)),Coef_A+Coef_B1*O1925+Coef_B2*P1925,"")</f>
        <v>24.1741353187829</v>
      </c>
      <c r="U1925" s="84" t="n">
        <f aca="false">IF(AND(R1925=1,ISNUMBER(T1925)),E1925-T1925,"")</f>
        <v>1.42586468121712</v>
      </c>
      <c r="V1925" s="84" t="n">
        <f aca="false">IF(ISNUMBER(T1925),T1925,-99)</f>
        <v>24.1741353187829</v>
      </c>
      <c r="W1925" s="84" t="n">
        <f aca="false">IF(ISNUMBER(U1925),ABS(U1925),"")</f>
        <v>1.42586468121712</v>
      </c>
    </row>
    <row r="1926" customFormat="false" ht="15" hidden="false" customHeight="false" outlineLevel="0" collapsed="false">
      <c r="A1926" s="57" t="n">
        <v>33447</v>
      </c>
      <c r="B1926" s="56" t="n">
        <v>1991</v>
      </c>
      <c r="C1926" s="56" t="n">
        <v>7</v>
      </c>
      <c r="D1926" s="56" t="n">
        <v>89</v>
      </c>
      <c r="E1926" s="56" t="n">
        <v>28.5</v>
      </c>
      <c r="F1926" s="56" t="n">
        <v>0</v>
      </c>
      <c r="G1926" s="56" t="n">
        <v>13.2</v>
      </c>
      <c r="H1926" s="56" t="n">
        <v>0</v>
      </c>
      <c r="I1926" s="56" t="n">
        <v>19.4</v>
      </c>
      <c r="J1926" s="56" t="n">
        <v>0</v>
      </c>
      <c r="K1926" s="56" t="n">
        <v>1015.9</v>
      </c>
      <c r="L1926" s="56" t="n">
        <v>0</v>
      </c>
      <c r="M1926" s="56" t="n">
        <v>74</v>
      </c>
      <c r="N1926" s="56" t="n">
        <v>10.1</v>
      </c>
      <c r="O1926" s="56" t="n">
        <f aca="false">IF(D1926=1,"",E1925)</f>
        <v>25.6</v>
      </c>
      <c r="P1926" s="56" t="n">
        <f aca="false">IF(OR(D1926=1,K1925=""),"",K1925)</f>
        <v>1018.3</v>
      </c>
      <c r="Q1926" s="56" t="n">
        <f aca="false">IF(OR(F1926&lt;&gt;0,AND(I1926&lt;&gt;"",E1926&lt;I1926)),1,0)</f>
        <v>0</v>
      </c>
      <c r="R1926" s="56" t="n">
        <f aca="false">IF(AND(D1926&gt;1,Q1926=0,ISNUMBER(O1926),ISNUMBER(P1926)),IF(Q1925=0,1,0),0)</f>
        <v>1</v>
      </c>
      <c r="S1926" s="56" t="n">
        <f aca="false">R1926*(B1926&gt;=Train_Start)*(B1926&lt;=Train_End)</f>
        <v>1</v>
      </c>
      <c r="T1926" s="84" t="n">
        <f aca="false">IF(AND(ISNUMBER(O1926),ISNUMBER(P1926)),Coef_A+Coef_B1*O1926+Coef_B2*P1926,"")</f>
        <v>25.0060224696791</v>
      </c>
      <c r="U1926" s="84" t="n">
        <f aca="false">IF(AND(R1926=1,ISNUMBER(T1926)),E1926-T1926,"")</f>
        <v>3.49397753032087</v>
      </c>
      <c r="V1926" s="84" t="n">
        <f aca="false">IF(ISNUMBER(T1926),T1926,-99)</f>
        <v>25.0060224696791</v>
      </c>
      <c r="W1926" s="84" t="n">
        <f aca="false">IF(ISNUMBER(U1926),ABS(U1926),"")</f>
        <v>3.49397753032087</v>
      </c>
    </row>
    <row r="1927" customFormat="false" ht="15" hidden="false" customHeight="false" outlineLevel="0" collapsed="false">
      <c r="A1927" s="57" t="n">
        <v>33448</v>
      </c>
      <c r="B1927" s="56" t="n">
        <v>1991</v>
      </c>
      <c r="C1927" s="56" t="n">
        <v>7</v>
      </c>
      <c r="D1927" s="56" t="n">
        <v>90</v>
      </c>
      <c r="E1927" s="56" t="n">
        <v>18.7</v>
      </c>
      <c r="F1927" s="56" t="n">
        <v>1</v>
      </c>
      <c r="G1927" s="56" t="n">
        <v>16.7</v>
      </c>
      <c r="H1927" s="56" t="n">
        <v>0</v>
      </c>
      <c r="I1927" s="56" t="n">
        <v>22.6</v>
      </c>
      <c r="J1927" s="56" t="n">
        <v>1</v>
      </c>
      <c r="K1927" s="56" t="n">
        <v>1009</v>
      </c>
      <c r="L1927" s="56" t="n">
        <v>0</v>
      </c>
      <c r="M1927" s="56" t="n">
        <v>61</v>
      </c>
      <c r="N1927" s="56" t="n">
        <v>11.7</v>
      </c>
      <c r="O1927" s="56" t="n">
        <f aca="false">IF(D1927=1,"",E1926)</f>
        <v>28.5</v>
      </c>
      <c r="P1927" s="56" t="n">
        <f aca="false">IF(OR(D1927=1,K1926=""),"",K1926)</f>
        <v>1015.9</v>
      </c>
      <c r="Q1927" s="56" t="n">
        <f aca="false">IF(OR(F1927&lt;&gt;0,AND(I1927&lt;&gt;"",E1927&lt;I1927)),1,0)</f>
        <v>1</v>
      </c>
      <c r="R1927" s="56" t="n">
        <f aca="false">IF(AND(D1927&gt;1,Q1927=0,ISNUMBER(O1927),ISNUMBER(P1927)),IF(Q1926=0,1,0),0)</f>
        <v>0</v>
      </c>
      <c r="S1927" s="56" t="n">
        <f aca="false">R1927*(B1927&gt;=Train_Start)*(B1927&lt;=Train_End)</f>
        <v>0</v>
      </c>
      <c r="T1927" s="84" t="n">
        <f aca="false">IF(AND(ISNUMBER(O1927),ISNUMBER(P1927)),Coef_A+Coef_B1*O1927+Coef_B2*P1927,"")</f>
        <v>27.3068183823813</v>
      </c>
      <c r="U1927" s="84" t="str">
        <f aca="false">IF(AND(R1927=1,ISNUMBER(T1927)),E1927-T1927,"")</f>
        <v/>
      </c>
      <c r="V1927" s="84" t="n">
        <f aca="false">IF(ISNUMBER(T1927),T1927,-99)</f>
        <v>27.3068183823813</v>
      </c>
      <c r="W1927" s="84" t="str">
        <f aca="false">IF(ISNUMBER(U1927),ABS(U1927),"")</f>
        <v/>
      </c>
    </row>
    <row r="1928" customFormat="false" ht="15" hidden="false" customHeight="false" outlineLevel="0" collapsed="false">
      <c r="A1928" s="57" t="n">
        <v>33449</v>
      </c>
      <c r="B1928" s="56" t="n">
        <v>1991</v>
      </c>
      <c r="C1928" s="56" t="n">
        <v>7</v>
      </c>
      <c r="D1928" s="56" t="n">
        <v>91</v>
      </c>
      <c r="E1928" s="56" t="n">
        <v>23.4</v>
      </c>
      <c r="F1928" s="56" t="n">
        <v>0</v>
      </c>
      <c r="G1928" s="56" t="n">
        <v>17.5</v>
      </c>
      <c r="H1928" s="56" t="n">
        <v>0</v>
      </c>
      <c r="I1928" s="56" t="n">
        <v>18.1</v>
      </c>
      <c r="J1928" s="56" t="n">
        <v>0</v>
      </c>
      <c r="K1928" s="56" t="n">
        <v>1008.5</v>
      </c>
      <c r="L1928" s="56" t="n">
        <v>0</v>
      </c>
      <c r="M1928" s="56" t="n">
        <v>84</v>
      </c>
      <c r="N1928" s="56" t="n">
        <v>0</v>
      </c>
      <c r="O1928" s="56" t="n">
        <f aca="false">IF(D1928=1,"",E1927)</f>
        <v>18.7</v>
      </c>
      <c r="P1928" s="56" t="n">
        <f aca="false">IF(OR(D1928=1,K1927=""),"",K1927)</f>
        <v>1009</v>
      </c>
      <c r="Q1928" s="56" t="n">
        <f aca="false">IF(OR(F1928&lt;&gt;0,AND(I1928&lt;&gt;"",E1928&lt;I1928)),1,0)</f>
        <v>0</v>
      </c>
      <c r="R1928" s="56" t="n">
        <f aca="false">IF(AND(D1928&gt;1,Q1928=0,ISNUMBER(O1928),ISNUMBER(P1928)),IF(Q1927=0,1,0),0)</f>
        <v>0</v>
      </c>
      <c r="S1928" s="56" t="n">
        <f aca="false">R1928*(B1928&gt;=Train_Start)*(B1928&lt;=Train_End)</f>
        <v>0</v>
      </c>
      <c r="T1928" s="84" t="n">
        <f aca="false">IF(AND(ISNUMBER(O1928),ISNUMBER(P1928)),Coef_A+Coef_B1*O1928+Coef_B2*P1928,"")</f>
        <v>19.0608420175887</v>
      </c>
      <c r="U1928" s="84" t="str">
        <f aca="false">IF(AND(R1928=1,ISNUMBER(T1928)),E1928-T1928,"")</f>
        <v/>
      </c>
      <c r="V1928" s="84" t="n">
        <f aca="false">IF(ISNUMBER(T1928),T1928,-99)</f>
        <v>19.0608420175887</v>
      </c>
      <c r="W1928" s="84" t="str">
        <f aca="false">IF(ISNUMBER(U1928),ABS(U1928),"")</f>
        <v/>
      </c>
    </row>
    <row r="1929" customFormat="false" ht="15" hidden="false" customHeight="false" outlineLevel="0" collapsed="false">
      <c r="A1929" s="57" t="n">
        <v>33450</v>
      </c>
      <c r="B1929" s="56" t="n">
        <v>1991</v>
      </c>
      <c r="C1929" s="56" t="n">
        <v>7</v>
      </c>
      <c r="D1929" s="56" t="n">
        <v>92</v>
      </c>
      <c r="E1929" s="56" t="n">
        <v>23.6</v>
      </c>
      <c r="F1929" s="56" t="n">
        <v>0</v>
      </c>
      <c r="G1929" s="56" t="n">
        <v>14.1</v>
      </c>
      <c r="H1929" s="56" t="n">
        <v>0</v>
      </c>
      <c r="I1929" s="56" t="n">
        <v>18.8</v>
      </c>
      <c r="J1929" s="56" t="n">
        <v>0</v>
      </c>
      <c r="K1929" s="56" t="n">
        <v>1007.8</v>
      </c>
      <c r="L1929" s="56" t="n">
        <v>0</v>
      </c>
      <c r="M1929" s="56" t="n">
        <v>76</v>
      </c>
      <c r="N1929" s="56" t="n">
        <v>11.2</v>
      </c>
      <c r="O1929" s="56" t="n">
        <f aca="false">IF(D1929=1,"",E1928)</f>
        <v>23.4</v>
      </c>
      <c r="P1929" s="56" t="n">
        <f aca="false">IF(OR(D1929=1,K1928=""),"",K1928)</f>
        <v>1008.5</v>
      </c>
      <c r="Q1929" s="56" t="n">
        <f aca="false">IF(OR(F1929&lt;&gt;0,AND(I1929&lt;&gt;"",E1929&lt;I1929)),1,0)</f>
        <v>0</v>
      </c>
      <c r="R1929" s="56" t="n">
        <f aca="false">IF(AND(D1929&gt;1,Q1929=0,ISNUMBER(O1929),ISNUMBER(P1929)),IF(Q1928=0,1,0),0)</f>
        <v>1</v>
      </c>
      <c r="S1929" s="56" t="n">
        <f aca="false">R1929*(B1929&gt;=Train_Start)*(B1929&lt;=Train_End)</f>
        <v>1</v>
      </c>
      <c r="T1929" s="84" t="n">
        <f aca="false">IF(AND(ISNUMBER(O1929),ISNUMBER(P1929)),Coef_A+Coef_B1*O1929+Coef_B2*P1929,"")</f>
        <v>22.8960512775722</v>
      </c>
      <c r="U1929" s="84" t="n">
        <f aca="false">IF(AND(R1929=1,ISNUMBER(T1929)),E1929-T1929,"")</f>
        <v>0.703948722427814</v>
      </c>
      <c r="V1929" s="84" t="n">
        <f aca="false">IF(ISNUMBER(T1929),T1929,-99)</f>
        <v>22.8960512775722</v>
      </c>
      <c r="W1929" s="84" t="n">
        <f aca="false">IF(ISNUMBER(U1929),ABS(U1929),"")</f>
        <v>0.703948722427814</v>
      </c>
    </row>
    <row r="1930" customFormat="false" ht="15" hidden="false" customHeight="false" outlineLevel="0" collapsed="false">
      <c r="A1930" s="57" t="n">
        <v>33451</v>
      </c>
      <c r="B1930" s="56" t="n">
        <v>1991</v>
      </c>
      <c r="C1930" s="56" t="n">
        <v>8</v>
      </c>
      <c r="D1930" s="56" t="n">
        <v>93</v>
      </c>
      <c r="E1930" s="56" t="n">
        <v>23.7</v>
      </c>
      <c r="F1930" s="56" t="n">
        <v>0</v>
      </c>
      <c r="G1930" s="56" t="n">
        <v>14.3</v>
      </c>
      <c r="H1930" s="56" t="n">
        <v>0</v>
      </c>
      <c r="I1930" s="56" t="n">
        <v>19</v>
      </c>
      <c r="J1930" s="56" t="n">
        <v>0</v>
      </c>
      <c r="K1930" s="56" t="n">
        <v>1012.8</v>
      </c>
      <c r="L1930" s="56" t="n">
        <v>0</v>
      </c>
      <c r="M1930" s="56" t="n">
        <v>79</v>
      </c>
      <c r="N1930" s="56" t="n">
        <v>8.8</v>
      </c>
      <c r="O1930" s="56" t="n">
        <f aca="false">IF(D1930=1,"",E1929)</f>
        <v>23.6</v>
      </c>
      <c r="P1930" s="56" t="n">
        <f aca="false">IF(OR(D1930=1,K1929=""),"",K1929)</f>
        <v>1007.8</v>
      </c>
      <c r="Q1930" s="56" t="n">
        <f aca="false">IF(OR(F1930&lt;&gt;0,AND(I1930&lt;&gt;"",E1930&lt;I1930)),1,0)</f>
        <v>0</v>
      </c>
      <c r="R1930" s="56" t="n">
        <f aca="false">IF(AND(D1930&gt;1,Q1930=0,ISNUMBER(O1930),ISNUMBER(P1930)),IF(Q1929=0,1,0),0)</f>
        <v>1</v>
      </c>
      <c r="S1930" s="56" t="n">
        <f aca="false">R1930*(B1930&gt;=Train_Start)*(B1930&lt;=Train_End)</f>
        <v>1</v>
      </c>
      <c r="T1930" s="84" t="n">
        <f aca="false">IF(AND(ISNUMBER(O1930),ISNUMBER(P1930)),Coef_A+Coef_B1*O1930+Coef_B2*P1930,"")</f>
        <v>23.0379601899369</v>
      </c>
      <c r="U1930" s="84" t="n">
        <f aca="false">IF(AND(R1930=1,ISNUMBER(T1930)),E1930-T1930,"")</f>
        <v>0.662039810063071</v>
      </c>
      <c r="V1930" s="84" t="n">
        <f aca="false">IF(ISNUMBER(T1930),T1930,-99)</f>
        <v>23.0379601899369</v>
      </c>
      <c r="W1930" s="84" t="n">
        <f aca="false">IF(ISNUMBER(U1930),ABS(U1930),"")</f>
        <v>0.662039810063071</v>
      </c>
    </row>
    <row r="1931" customFormat="false" ht="15" hidden="false" customHeight="false" outlineLevel="0" collapsed="false">
      <c r="A1931" s="57" t="n">
        <v>33452</v>
      </c>
      <c r="B1931" s="56" t="n">
        <v>1991</v>
      </c>
      <c r="C1931" s="56" t="n">
        <v>8</v>
      </c>
      <c r="D1931" s="56" t="n">
        <v>94</v>
      </c>
      <c r="E1931" s="56" t="n">
        <v>23.9</v>
      </c>
      <c r="F1931" s="56" t="n">
        <v>0</v>
      </c>
      <c r="G1931" s="56" t="n">
        <v>13.8</v>
      </c>
      <c r="H1931" s="56" t="n">
        <v>0</v>
      </c>
      <c r="I1931" s="56" t="n">
        <v>18.8</v>
      </c>
      <c r="J1931" s="56" t="n">
        <v>0</v>
      </c>
      <c r="K1931" s="56" t="n">
        <v>1020.3</v>
      </c>
      <c r="L1931" s="56" t="n">
        <v>0</v>
      </c>
      <c r="M1931" s="56" t="n">
        <v>74</v>
      </c>
      <c r="N1931" s="56" t="n">
        <v>11.4</v>
      </c>
      <c r="O1931" s="56" t="n">
        <f aca="false">IF(D1931=1,"",E1930)</f>
        <v>23.7</v>
      </c>
      <c r="P1931" s="56" t="n">
        <f aca="false">IF(OR(D1931=1,K1930=""),"",K1930)</f>
        <v>1012.8</v>
      </c>
      <c r="Q1931" s="56" t="n">
        <f aca="false">IF(OR(F1931&lt;&gt;0,AND(I1931&lt;&gt;"",E1931&lt;I1931)),1,0)</f>
        <v>0</v>
      </c>
      <c r="R1931" s="56" t="n">
        <f aca="false">IF(AND(D1931&gt;1,Q1931=0,ISNUMBER(O1931),ISNUMBER(P1931)),IF(Q1930=0,1,0),0)</f>
        <v>1</v>
      </c>
      <c r="S1931" s="56" t="n">
        <f aca="false">R1931*(B1931&gt;=Train_Start)*(B1931&lt;=Train_End)</f>
        <v>1</v>
      </c>
      <c r="T1931" s="84" t="n">
        <f aca="false">IF(AND(ISNUMBER(O1931),ISNUMBER(P1931)),Coef_A+Coef_B1*O1931+Coef_B2*P1931,"")</f>
        <v>23.2767435824111</v>
      </c>
      <c r="U1931" s="84" t="n">
        <f aca="false">IF(AND(R1931=1,ISNUMBER(T1931)),E1931-T1931,"")</f>
        <v>0.623256417588863</v>
      </c>
      <c r="V1931" s="84" t="n">
        <f aca="false">IF(ISNUMBER(T1931),T1931,-99)</f>
        <v>23.2767435824111</v>
      </c>
      <c r="W1931" s="84" t="n">
        <f aca="false">IF(ISNUMBER(U1931),ABS(U1931),"")</f>
        <v>0.623256417588863</v>
      </c>
    </row>
    <row r="1932" customFormat="false" ht="15" hidden="false" customHeight="false" outlineLevel="0" collapsed="false">
      <c r="A1932" s="57" t="n">
        <v>33453</v>
      </c>
      <c r="B1932" s="56" t="n">
        <v>1991</v>
      </c>
      <c r="C1932" s="56" t="n">
        <v>8</v>
      </c>
      <c r="D1932" s="56" t="n">
        <v>95</v>
      </c>
      <c r="E1932" s="56" t="n">
        <v>24.5</v>
      </c>
      <c r="F1932" s="56" t="n">
        <v>0</v>
      </c>
      <c r="G1932" s="56" t="n">
        <v>16.3</v>
      </c>
      <c r="H1932" s="56" t="n">
        <v>0</v>
      </c>
      <c r="I1932" s="56" t="n">
        <v>20.1</v>
      </c>
      <c r="J1932" s="56" t="n">
        <v>0</v>
      </c>
      <c r="K1932" s="56" t="n">
        <v>1022.7</v>
      </c>
      <c r="L1932" s="56" t="n">
        <v>0</v>
      </c>
      <c r="M1932" s="56" t="n">
        <v>77</v>
      </c>
      <c r="N1932" s="56" t="n">
        <v>2.6</v>
      </c>
      <c r="O1932" s="56" t="n">
        <f aca="false">IF(D1932=1,"",E1931)</f>
        <v>23.9</v>
      </c>
      <c r="P1932" s="56" t="n">
        <f aca="false">IF(OR(D1932=1,K1931=""),"",K1931)</f>
        <v>1020.3</v>
      </c>
      <c r="Q1932" s="56" t="n">
        <f aca="false">IF(OR(F1932&lt;&gt;0,AND(I1932&lt;&gt;"",E1932&lt;I1932)),1,0)</f>
        <v>0</v>
      </c>
      <c r="R1932" s="56" t="n">
        <f aca="false">IF(AND(D1932&gt;1,Q1932=0,ISNUMBER(O1932),ISNUMBER(P1932)),IF(Q1931=0,1,0),0)</f>
        <v>1</v>
      </c>
      <c r="S1932" s="56" t="n">
        <f aca="false">R1932*(B1932&gt;=Train_Start)*(B1932&lt;=Train_End)</f>
        <v>1</v>
      </c>
      <c r="T1932" s="84" t="n">
        <f aca="false">IF(AND(ISNUMBER(O1932),ISNUMBER(P1932)),Coef_A+Coef_B1*O1932+Coef_B2*P1932,"")</f>
        <v>23.6758856307746</v>
      </c>
      <c r="U1932" s="84" t="n">
        <f aca="false">IF(AND(R1932=1,ISNUMBER(T1932)),E1932-T1932,"")</f>
        <v>0.824114369225409</v>
      </c>
      <c r="V1932" s="84" t="n">
        <f aca="false">IF(ISNUMBER(T1932),T1932,-99)</f>
        <v>23.6758856307746</v>
      </c>
      <c r="W1932" s="84" t="n">
        <f aca="false">IF(ISNUMBER(U1932),ABS(U1932),"")</f>
        <v>0.824114369225409</v>
      </c>
    </row>
    <row r="1933" customFormat="false" ht="15" hidden="false" customHeight="false" outlineLevel="0" collapsed="false">
      <c r="A1933" s="57" t="n">
        <v>33454</v>
      </c>
      <c r="B1933" s="56" t="n">
        <v>1991</v>
      </c>
      <c r="C1933" s="56" t="n">
        <v>8</v>
      </c>
      <c r="D1933" s="56" t="n">
        <v>96</v>
      </c>
      <c r="E1933" s="56" t="n">
        <v>23.5</v>
      </c>
      <c r="F1933" s="56" t="n">
        <v>0</v>
      </c>
      <c r="G1933" s="56" t="n">
        <v>14</v>
      </c>
      <c r="H1933" s="56" t="n">
        <v>0</v>
      </c>
      <c r="I1933" s="56" t="n">
        <v>19.2</v>
      </c>
      <c r="J1933" s="56" t="n">
        <v>0</v>
      </c>
      <c r="K1933" s="56" t="n">
        <v>1022.8</v>
      </c>
      <c r="L1933" s="56" t="n">
        <v>0</v>
      </c>
      <c r="M1933" s="56" t="n">
        <v>74</v>
      </c>
      <c r="N1933" s="56" t="n">
        <v>10.1</v>
      </c>
      <c r="O1933" s="56" t="n">
        <f aca="false">IF(D1933=1,"",E1932)</f>
        <v>24.5</v>
      </c>
      <c r="P1933" s="56" t="n">
        <f aca="false">IF(OR(D1933=1,K1932=""),"",K1932)</f>
        <v>1022.7</v>
      </c>
      <c r="Q1933" s="56" t="n">
        <f aca="false">IF(OR(F1933&lt;&gt;0,AND(I1933&lt;&gt;"",E1933&lt;I1933)),1,0)</f>
        <v>0</v>
      </c>
      <c r="R1933" s="56" t="n">
        <f aca="false">IF(AND(D1933&gt;1,Q1933=0,ISNUMBER(O1933),ISNUMBER(P1933)),IF(Q1932=0,1,0),0)</f>
        <v>1</v>
      </c>
      <c r="S1933" s="56" t="n">
        <f aca="false">R1933*(B1933&gt;=Train_Start)*(B1933&lt;=Train_End)</f>
        <v>1</v>
      </c>
      <c r="T1933" s="84" t="n">
        <f aca="false">IF(AND(ISNUMBER(O1933),ISNUMBER(P1933)),Coef_A+Coef_B1*O1933+Coef_B2*P1933,"")</f>
        <v>24.2427768937218</v>
      </c>
      <c r="U1933" s="84" t="n">
        <f aca="false">IF(AND(R1933=1,ISNUMBER(T1933)),E1933-T1933,"")</f>
        <v>-0.742776893721764</v>
      </c>
      <c r="V1933" s="84" t="n">
        <f aca="false">IF(ISNUMBER(T1933),T1933,-99)</f>
        <v>24.2427768937218</v>
      </c>
      <c r="W1933" s="84" t="n">
        <f aca="false">IF(ISNUMBER(U1933),ABS(U1933),"")</f>
        <v>0.742776893721764</v>
      </c>
    </row>
    <row r="1934" customFormat="false" ht="15" hidden="false" customHeight="false" outlineLevel="0" collapsed="false">
      <c r="A1934" s="57" t="n">
        <v>33455</v>
      </c>
      <c r="B1934" s="56" t="n">
        <v>1991</v>
      </c>
      <c r="C1934" s="56" t="n">
        <v>8</v>
      </c>
      <c r="D1934" s="56" t="n">
        <v>97</v>
      </c>
      <c r="E1934" s="56" t="n">
        <v>22.5</v>
      </c>
      <c r="F1934" s="56" t="n">
        <v>0</v>
      </c>
      <c r="G1934" s="56" t="n">
        <v>15</v>
      </c>
      <c r="H1934" s="56" t="n">
        <v>0</v>
      </c>
      <c r="I1934" s="56" t="n">
        <v>19.2</v>
      </c>
      <c r="J1934" s="56" t="n">
        <v>0</v>
      </c>
      <c r="K1934" s="56" t="n">
        <v>1017.6</v>
      </c>
      <c r="L1934" s="56" t="n">
        <v>0</v>
      </c>
      <c r="M1934" s="56" t="n">
        <v>79</v>
      </c>
      <c r="N1934" s="56" t="n">
        <v>3.6</v>
      </c>
      <c r="O1934" s="56" t="n">
        <f aca="false">IF(D1934=1,"",E1933)</f>
        <v>23.5</v>
      </c>
      <c r="P1934" s="56" t="n">
        <f aca="false">IF(OR(D1934=1,K1933=""),"",K1933)</f>
        <v>1022.8</v>
      </c>
      <c r="Q1934" s="56" t="n">
        <f aca="false">IF(OR(F1934&lt;&gt;0,AND(I1934&lt;&gt;"",E1934&lt;I1934)),1,0)</f>
        <v>0</v>
      </c>
      <c r="R1934" s="56" t="n">
        <f aca="false">IF(AND(D1934&gt;1,Q1934=0,ISNUMBER(O1934),ISNUMBER(P1934)),IF(Q1933=0,1,0),0)</f>
        <v>1</v>
      </c>
      <c r="S1934" s="56" t="n">
        <f aca="false">R1934*(B1934&gt;=Train_Start)*(B1934&lt;=Train_End)</f>
        <v>1</v>
      </c>
      <c r="T1934" s="84" t="n">
        <f aca="false">IF(AND(ISNUMBER(O1934),ISNUMBER(P1934)),Coef_A+Coef_B1*O1934+Coef_B2*P1934,"")</f>
        <v>23.4265746901425</v>
      </c>
      <c r="U1934" s="84" t="n">
        <f aca="false">IF(AND(R1934=1,ISNUMBER(T1934)),E1934-T1934,"")</f>
        <v>-0.926574690142498</v>
      </c>
      <c r="V1934" s="84" t="n">
        <f aca="false">IF(ISNUMBER(T1934),T1934,-99)</f>
        <v>23.4265746901425</v>
      </c>
      <c r="W1934" s="84" t="n">
        <f aca="false">IF(ISNUMBER(U1934),ABS(U1934),"")</f>
        <v>0.926574690142498</v>
      </c>
    </row>
    <row r="1935" customFormat="false" ht="15" hidden="false" customHeight="false" outlineLevel="0" collapsed="false">
      <c r="A1935" s="57" t="n">
        <v>33456</v>
      </c>
      <c r="B1935" s="56" t="n">
        <v>1991</v>
      </c>
      <c r="C1935" s="56" t="n">
        <v>8</v>
      </c>
      <c r="D1935" s="56" t="n">
        <v>98</v>
      </c>
      <c r="E1935" s="56" t="n">
        <v>19.9</v>
      </c>
      <c r="F1935" s="56" t="n">
        <v>0</v>
      </c>
      <c r="G1935" s="56" t="n">
        <v>16.9</v>
      </c>
      <c r="H1935" s="56" t="n">
        <v>0</v>
      </c>
      <c r="I1935" s="56" t="n">
        <v>19.7</v>
      </c>
      <c r="J1935" s="56" t="n">
        <v>0</v>
      </c>
      <c r="K1935" s="56" t="n">
        <v>1010.6</v>
      </c>
      <c r="L1935" s="56" t="n">
        <v>0</v>
      </c>
      <c r="M1935" s="56" t="n">
        <v>81</v>
      </c>
      <c r="N1935" s="56" t="n">
        <v>1.5</v>
      </c>
      <c r="O1935" s="56" t="n">
        <f aca="false">IF(D1935=1,"",E1934)</f>
        <v>22.5</v>
      </c>
      <c r="P1935" s="56" t="n">
        <f aca="false">IF(OR(D1935=1,K1934=""),"",K1934)</f>
        <v>1017.6</v>
      </c>
      <c r="Q1935" s="56" t="n">
        <f aca="false">IF(OR(F1935&lt;&gt;0,AND(I1935&lt;&gt;"",E1935&lt;I1935)),1,0)</f>
        <v>0</v>
      </c>
      <c r="R1935" s="56" t="n">
        <f aca="false">IF(AND(D1935&gt;1,Q1935=0,ISNUMBER(O1935),ISNUMBER(P1935)),IF(Q1934=0,1,0),0)</f>
        <v>1</v>
      </c>
      <c r="S1935" s="56" t="n">
        <f aca="false">R1935*(B1935&gt;=Train_Start)*(B1935&lt;=Train_End)</f>
        <v>1</v>
      </c>
      <c r="T1935" s="84" t="n">
        <f aca="false">IF(AND(ISNUMBER(O1935),ISNUMBER(P1935)),Coef_A+Coef_B1*O1935+Coef_B2*P1935,"")</f>
        <v>22.4441120450031</v>
      </c>
      <c r="U1935" s="84" t="n">
        <f aca="false">IF(AND(R1935=1,ISNUMBER(T1935)),E1935-T1935,"")</f>
        <v>-2.5441120450031</v>
      </c>
      <c r="V1935" s="84" t="n">
        <f aca="false">IF(ISNUMBER(T1935),T1935,-99)</f>
        <v>22.4441120450031</v>
      </c>
      <c r="W1935" s="84" t="n">
        <f aca="false">IF(ISNUMBER(U1935),ABS(U1935),"")</f>
        <v>2.5441120450031</v>
      </c>
    </row>
    <row r="1936" customFormat="false" ht="15" hidden="false" customHeight="false" outlineLevel="0" collapsed="false">
      <c r="A1936" s="57" t="n">
        <v>33457</v>
      </c>
      <c r="B1936" s="56" t="n">
        <v>1991</v>
      </c>
      <c r="C1936" s="56" t="n">
        <v>8</v>
      </c>
      <c r="D1936" s="56" t="n">
        <v>99</v>
      </c>
      <c r="E1936" s="56" t="n">
        <v>23.9</v>
      </c>
      <c r="F1936" s="56" t="n">
        <v>0</v>
      </c>
      <c r="G1936" s="56" t="n">
        <v>16.1</v>
      </c>
      <c r="H1936" s="56" t="n">
        <v>0</v>
      </c>
      <c r="I1936" s="56" t="n">
        <v>18</v>
      </c>
      <c r="J1936" s="56" t="n">
        <v>0</v>
      </c>
      <c r="K1936" s="56" t="n">
        <v>1012.8</v>
      </c>
      <c r="L1936" s="56" t="n">
        <v>0</v>
      </c>
      <c r="M1936" s="56" t="n">
        <v>86</v>
      </c>
      <c r="N1936" s="56" t="n">
        <v>0</v>
      </c>
      <c r="O1936" s="56" t="n">
        <f aca="false">IF(D1936=1,"",E1935)</f>
        <v>19.9</v>
      </c>
      <c r="P1936" s="56" t="n">
        <f aca="false">IF(OR(D1936=1,K1935=""),"",K1935)</f>
        <v>1010.6</v>
      </c>
      <c r="Q1936" s="56" t="n">
        <f aca="false">IF(OR(F1936&lt;&gt;0,AND(I1936&lt;&gt;"",E1936&lt;I1936)),1,0)</f>
        <v>0</v>
      </c>
      <c r="R1936" s="56" t="n">
        <f aca="false">IF(AND(D1936&gt;1,Q1936=0,ISNUMBER(O1936),ISNUMBER(P1936)),IF(Q1935=0,1,0),0)</f>
        <v>1</v>
      </c>
      <c r="S1936" s="56" t="n">
        <f aca="false">R1936*(B1936&gt;=Train_Start)*(B1936&lt;=Train_End)</f>
        <v>1</v>
      </c>
      <c r="T1936" s="84" t="n">
        <f aca="false">IF(AND(ISNUMBER(O1936),ISNUMBER(P1936)),Coef_A+Coef_B1*O1936+Coef_B2*P1936,"")</f>
        <v>20.0942408806543</v>
      </c>
      <c r="U1936" s="84" t="n">
        <f aca="false">IF(AND(R1936=1,ISNUMBER(T1936)),E1936-T1936,"")</f>
        <v>3.80575911934574</v>
      </c>
      <c r="V1936" s="84" t="n">
        <f aca="false">IF(ISNUMBER(T1936),T1936,-99)</f>
        <v>20.0942408806543</v>
      </c>
      <c r="W1936" s="84" t="n">
        <f aca="false">IF(ISNUMBER(U1936),ABS(U1936),"")</f>
        <v>3.80575911934574</v>
      </c>
    </row>
    <row r="1937" customFormat="false" ht="15" hidden="false" customHeight="false" outlineLevel="0" collapsed="false">
      <c r="A1937" s="57" t="n">
        <v>33458</v>
      </c>
      <c r="B1937" s="56" t="n">
        <v>1991</v>
      </c>
      <c r="C1937" s="56" t="n">
        <v>8</v>
      </c>
      <c r="D1937" s="56" t="n">
        <v>100</v>
      </c>
      <c r="E1937" s="56" t="n">
        <v>24.6</v>
      </c>
      <c r="F1937" s="56" t="n">
        <v>0</v>
      </c>
      <c r="G1937" s="56" t="n">
        <v>14.7</v>
      </c>
      <c r="H1937" s="56" t="n">
        <v>0</v>
      </c>
      <c r="I1937" s="56" t="n">
        <v>19.3</v>
      </c>
      <c r="J1937" s="56" t="n">
        <v>0</v>
      </c>
      <c r="K1937" s="56" t="n">
        <v>1021</v>
      </c>
      <c r="L1937" s="56" t="n">
        <v>0</v>
      </c>
      <c r="M1937" s="56" t="n">
        <v>69</v>
      </c>
      <c r="N1937" s="56" t="n">
        <v>11.2</v>
      </c>
      <c r="O1937" s="56" t="n">
        <f aca="false">IF(D1937=1,"",E1936)</f>
        <v>23.9</v>
      </c>
      <c r="P1937" s="56" t="n">
        <f aca="false">IF(OR(D1937=1,K1936=""),"",K1936)</f>
        <v>1012.8</v>
      </c>
      <c r="Q1937" s="56" t="n">
        <f aca="false">IF(OR(F1937&lt;&gt;0,AND(I1937&lt;&gt;"",E1937&lt;I1937)),1,0)</f>
        <v>0</v>
      </c>
      <c r="R1937" s="56" t="n">
        <f aca="false">IF(AND(D1937&gt;1,Q1937=0,ISNUMBER(O1937),ISNUMBER(P1937)),IF(Q1936=0,1,0),0)</f>
        <v>1</v>
      </c>
      <c r="S1937" s="56" t="n">
        <f aca="false">R1937*(B1937&gt;=Train_Start)*(B1937&lt;=Train_End)</f>
        <v>1</v>
      </c>
      <c r="T1937" s="84" t="n">
        <f aca="false">IF(AND(ISNUMBER(O1937),ISNUMBER(P1937)),Coef_A+Coef_B1*O1937+Coef_B2*P1937,"")</f>
        <v>23.4406114210197</v>
      </c>
      <c r="U1937" s="84" t="n">
        <f aca="false">IF(AND(R1937=1,ISNUMBER(T1937)),E1937-T1937,"")</f>
        <v>1.15938857898033</v>
      </c>
      <c r="V1937" s="84" t="n">
        <f aca="false">IF(ISNUMBER(T1937),T1937,-99)</f>
        <v>23.4406114210197</v>
      </c>
      <c r="W1937" s="84" t="n">
        <f aca="false">IF(ISNUMBER(U1937),ABS(U1937),"")</f>
        <v>1.15938857898033</v>
      </c>
    </row>
    <row r="1938" customFormat="false" ht="15" hidden="false" customHeight="false" outlineLevel="0" collapsed="false">
      <c r="A1938" s="57" t="n">
        <v>33459</v>
      </c>
      <c r="B1938" s="56" t="n">
        <v>1991</v>
      </c>
      <c r="C1938" s="56" t="n">
        <v>8</v>
      </c>
      <c r="D1938" s="56" t="n">
        <v>101</v>
      </c>
      <c r="E1938" s="56" t="n">
        <v>26.7</v>
      </c>
      <c r="F1938" s="56" t="n">
        <v>0</v>
      </c>
      <c r="G1938" s="56" t="n">
        <v>11.9</v>
      </c>
      <c r="H1938" s="56" t="n">
        <v>0</v>
      </c>
      <c r="I1938" s="56" t="n">
        <v>18.2</v>
      </c>
      <c r="J1938" s="56" t="n">
        <v>0</v>
      </c>
      <c r="K1938" s="56" t="n">
        <v>1025.2</v>
      </c>
      <c r="L1938" s="56" t="n">
        <v>0</v>
      </c>
      <c r="M1938" s="56" t="n">
        <v>75</v>
      </c>
      <c r="N1938" s="56" t="n">
        <v>9.1</v>
      </c>
      <c r="O1938" s="56" t="n">
        <f aca="false">IF(D1938=1,"",E1937)</f>
        <v>24.6</v>
      </c>
      <c r="P1938" s="56" t="n">
        <f aca="false">IF(OR(D1938=1,K1937=""),"",K1937)</f>
        <v>1021</v>
      </c>
      <c r="Q1938" s="56" t="n">
        <f aca="false">IF(OR(F1938&lt;&gt;0,AND(I1938&lt;&gt;"",E1938&lt;I1938)),1,0)</f>
        <v>0</v>
      </c>
      <c r="R1938" s="56" t="n">
        <f aca="false">IF(AND(D1938&gt;1,Q1938=0,ISNUMBER(O1938),ISNUMBER(P1938)),IF(Q1937=0,1,0),0)</f>
        <v>1</v>
      </c>
      <c r="S1938" s="56" t="n">
        <f aca="false">R1938*(B1938&gt;=Train_Start)*(B1938&lt;=Train_End)</f>
        <v>1</v>
      </c>
      <c r="T1938" s="84" t="n">
        <f aca="false">IF(AND(ISNUMBER(O1938),ISNUMBER(P1938)),Coef_A+Coef_B1*O1938+Coef_B2*P1938,"")</f>
        <v>24.2713819921482</v>
      </c>
      <c r="U1938" s="84" t="n">
        <f aca="false">IF(AND(R1938=1,ISNUMBER(T1938)),E1938-T1938,"")</f>
        <v>2.42861800785176</v>
      </c>
      <c r="V1938" s="84" t="n">
        <f aca="false">IF(ISNUMBER(T1938),T1938,-99)</f>
        <v>24.2713819921482</v>
      </c>
      <c r="W1938" s="84" t="n">
        <f aca="false">IF(ISNUMBER(U1938),ABS(U1938),"")</f>
        <v>2.42861800785176</v>
      </c>
    </row>
    <row r="1939" customFormat="false" ht="15" hidden="false" customHeight="false" outlineLevel="0" collapsed="false">
      <c r="A1939" s="57" t="n">
        <v>33460</v>
      </c>
      <c r="B1939" s="56" t="n">
        <v>1991</v>
      </c>
      <c r="C1939" s="56" t="n">
        <v>8</v>
      </c>
      <c r="D1939" s="56" t="n">
        <v>102</v>
      </c>
      <c r="E1939" s="56" t="n">
        <v>21.7</v>
      </c>
      <c r="F1939" s="56" t="n">
        <v>1</v>
      </c>
      <c r="G1939" s="56" t="n">
        <v>17.9</v>
      </c>
      <c r="H1939" s="56" t="n">
        <v>0</v>
      </c>
      <c r="I1939" s="56" t="n">
        <v>22.3</v>
      </c>
      <c r="J1939" s="56" t="n">
        <v>1</v>
      </c>
      <c r="K1939" s="56" t="n">
        <v>1023.9</v>
      </c>
      <c r="L1939" s="56" t="n">
        <v>0</v>
      </c>
      <c r="M1939" s="56" t="n">
        <v>74</v>
      </c>
      <c r="N1939" s="56" t="n">
        <v>8</v>
      </c>
      <c r="O1939" s="56" t="n">
        <f aca="false">IF(D1939=1,"",E1938)</f>
        <v>26.7</v>
      </c>
      <c r="P1939" s="56" t="n">
        <f aca="false">IF(OR(D1939=1,K1938=""),"",K1938)</f>
        <v>1025.2</v>
      </c>
      <c r="Q1939" s="56" t="n">
        <f aca="false">IF(OR(F1939&lt;&gt;0,AND(I1939&lt;&gt;"",E1939&lt;I1939)),1,0)</f>
        <v>1</v>
      </c>
      <c r="R1939" s="56" t="n">
        <f aca="false">IF(AND(D1939&gt;1,Q1939=0,ISNUMBER(O1939),ISNUMBER(P1939)),IF(Q1938=0,1,0),0)</f>
        <v>0</v>
      </c>
      <c r="S1939" s="56" t="n">
        <f aca="false">R1939*(B1939&gt;=Train_Start)*(B1939&lt;=Train_End)</f>
        <v>0</v>
      </c>
      <c r="T1939" s="84" t="n">
        <f aca="false">IF(AND(ISNUMBER(O1939),ISNUMBER(P1939)),Coef_A+Coef_B1*O1939+Coef_B2*P1939,"")</f>
        <v>26.1237478550006</v>
      </c>
      <c r="U1939" s="84" t="str">
        <f aca="false">IF(AND(R1939=1,ISNUMBER(T1939)),E1939-T1939,"")</f>
        <v/>
      </c>
      <c r="V1939" s="84" t="n">
        <f aca="false">IF(ISNUMBER(T1939),T1939,-99)</f>
        <v>26.1237478550006</v>
      </c>
      <c r="W1939" s="84" t="str">
        <f aca="false">IF(ISNUMBER(U1939),ABS(U1939),"")</f>
        <v/>
      </c>
    </row>
    <row r="1940" customFormat="false" ht="15" hidden="false" customHeight="false" outlineLevel="0" collapsed="false">
      <c r="A1940" s="57" t="n">
        <v>33461</v>
      </c>
      <c r="B1940" s="56" t="n">
        <v>1991</v>
      </c>
      <c r="C1940" s="56" t="n">
        <v>8</v>
      </c>
      <c r="D1940" s="56" t="n">
        <v>103</v>
      </c>
      <c r="E1940" s="56" t="n">
        <v>23.2</v>
      </c>
      <c r="F1940" s="56" t="n">
        <v>0</v>
      </c>
      <c r="G1940" s="56" t="n">
        <v>17.5</v>
      </c>
      <c r="H1940" s="56" t="n">
        <v>0</v>
      </c>
      <c r="I1940" s="56" t="n">
        <v>19.6</v>
      </c>
      <c r="J1940" s="56" t="n">
        <v>0</v>
      </c>
      <c r="K1940" s="56" t="n">
        <v>1019.6</v>
      </c>
      <c r="L1940" s="56" t="n">
        <v>0</v>
      </c>
      <c r="M1940" s="56" t="n">
        <v>84</v>
      </c>
      <c r="N1940" s="56" t="n">
        <v>0.5</v>
      </c>
      <c r="O1940" s="56" t="n">
        <f aca="false">IF(D1940=1,"",E1939)</f>
        <v>21.7</v>
      </c>
      <c r="P1940" s="56" t="n">
        <f aca="false">IF(OR(D1940=1,K1939=""),"",K1939)</f>
        <v>1023.9</v>
      </c>
      <c r="Q1940" s="56" t="n">
        <f aca="false">IF(OR(F1940&lt;&gt;0,AND(I1940&lt;&gt;"",E1940&lt;I1940)),1,0)</f>
        <v>0</v>
      </c>
      <c r="R1940" s="56" t="n">
        <f aca="false">IF(AND(D1940&gt;1,Q1940=0,ISNUMBER(O1940),ISNUMBER(P1940)),IF(Q1939=0,1,0),0)</f>
        <v>0</v>
      </c>
      <c r="S1940" s="56" t="n">
        <f aca="false">R1940*(B1940&gt;=Train_Start)*(B1940&lt;=Train_End)</f>
        <v>0</v>
      </c>
      <c r="T1940" s="84" t="n">
        <f aca="false">IF(AND(ISNUMBER(O1940),ISNUMBER(P1940)),Coef_A+Coef_B1*O1940+Coef_B2*P1940,"")</f>
        <v>21.9862710267631</v>
      </c>
      <c r="U1940" s="84" t="str">
        <f aca="false">IF(AND(R1940=1,ISNUMBER(T1940)),E1940-T1940,"")</f>
        <v/>
      </c>
      <c r="V1940" s="84" t="n">
        <f aca="false">IF(ISNUMBER(T1940),T1940,-99)</f>
        <v>21.9862710267631</v>
      </c>
      <c r="W1940" s="84" t="str">
        <f aca="false">IF(ISNUMBER(U1940),ABS(U1940),"")</f>
        <v/>
      </c>
    </row>
    <row r="1941" customFormat="false" ht="15" hidden="false" customHeight="false" outlineLevel="0" collapsed="false">
      <c r="A1941" s="57" t="n">
        <v>33462</v>
      </c>
      <c r="B1941" s="56" t="n">
        <v>1991</v>
      </c>
      <c r="C1941" s="56" t="n">
        <v>8</v>
      </c>
      <c r="D1941" s="56" t="n">
        <v>104</v>
      </c>
      <c r="E1941" s="56" t="n">
        <v>23.7</v>
      </c>
      <c r="F1941" s="56" t="n">
        <v>0</v>
      </c>
      <c r="G1941" s="56" t="n">
        <v>13</v>
      </c>
      <c r="H1941" s="56" t="n">
        <v>0</v>
      </c>
      <c r="I1941" s="56" t="n">
        <v>18.1</v>
      </c>
      <c r="J1941" s="56" t="n">
        <v>0</v>
      </c>
      <c r="K1941" s="56" t="n">
        <v>1018.7</v>
      </c>
      <c r="L1941" s="56" t="n">
        <v>0</v>
      </c>
      <c r="M1941" s="56" t="n">
        <v>70</v>
      </c>
      <c r="N1941" s="56" t="n">
        <v>10.9</v>
      </c>
      <c r="O1941" s="56" t="n">
        <f aca="false">IF(D1941=1,"",E1940)</f>
        <v>23.2</v>
      </c>
      <c r="P1941" s="56" t="n">
        <f aca="false">IF(OR(D1941=1,K1940=""),"",K1940)</f>
        <v>1019.6</v>
      </c>
      <c r="Q1941" s="56" t="n">
        <f aca="false">IF(OR(F1941&lt;&gt;0,AND(I1941&lt;&gt;"",E1941&lt;I1941)),1,0)</f>
        <v>0</v>
      </c>
      <c r="R1941" s="56" t="n">
        <f aca="false">IF(AND(D1941&gt;1,Q1941=0,ISNUMBER(O1941),ISNUMBER(P1941)),IF(Q1940=0,1,0),0)</f>
        <v>1</v>
      </c>
      <c r="S1941" s="56" t="n">
        <f aca="false">R1941*(B1941&gt;=Train_Start)*(B1941&lt;=Train_End)</f>
        <v>1</v>
      </c>
      <c r="T1941" s="84" t="n">
        <f aca="false">IF(AND(ISNUMBER(O1941),ISNUMBER(P1941)),Coef_A+Coef_B1*O1941+Coef_B2*P1941,"")</f>
        <v>23.0803892694009</v>
      </c>
      <c r="U1941" s="84" t="n">
        <f aca="false">IF(AND(R1941=1,ISNUMBER(T1941)),E1941-T1941,"")</f>
        <v>0.619610730599064</v>
      </c>
      <c r="V1941" s="84" t="n">
        <f aca="false">IF(ISNUMBER(T1941),T1941,-99)</f>
        <v>23.0803892694009</v>
      </c>
      <c r="W1941" s="84" t="n">
        <f aca="false">IF(ISNUMBER(U1941),ABS(U1941),"")</f>
        <v>0.619610730599064</v>
      </c>
    </row>
    <row r="1942" customFormat="false" ht="15" hidden="false" customHeight="false" outlineLevel="0" collapsed="false">
      <c r="A1942" s="57" t="n">
        <v>33463</v>
      </c>
      <c r="B1942" s="56" t="n">
        <v>1991</v>
      </c>
      <c r="C1942" s="56" t="n">
        <v>8</v>
      </c>
      <c r="D1942" s="56" t="n">
        <v>105</v>
      </c>
      <c r="E1942" s="56" t="n">
        <v>25.1</v>
      </c>
      <c r="F1942" s="56" t="n">
        <v>0</v>
      </c>
      <c r="G1942" s="56" t="n">
        <v>15.2</v>
      </c>
      <c r="H1942" s="56" t="n">
        <v>0</v>
      </c>
      <c r="I1942" s="56" t="n">
        <v>19.4</v>
      </c>
      <c r="J1942" s="56" t="n">
        <v>0</v>
      </c>
      <c r="K1942" s="56" t="n">
        <v>1017.9</v>
      </c>
      <c r="L1942" s="56" t="n">
        <v>0</v>
      </c>
      <c r="M1942" s="56" t="n">
        <v>64</v>
      </c>
      <c r="N1942" s="56" t="n">
        <v>7.5</v>
      </c>
      <c r="O1942" s="56" t="n">
        <f aca="false">IF(D1942=1,"",E1941)</f>
        <v>23.7</v>
      </c>
      <c r="P1942" s="56" t="n">
        <f aca="false">IF(OR(D1942=1,K1941=""),"",K1941)</f>
        <v>1018.7</v>
      </c>
      <c r="Q1942" s="56" t="n">
        <f aca="false">IF(OR(F1942&lt;&gt;0,AND(I1942&lt;&gt;"",E1942&lt;I1942)),1,0)</f>
        <v>0</v>
      </c>
      <c r="R1942" s="56" t="n">
        <f aca="false">IF(AND(D1942&gt;1,Q1942=0,ISNUMBER(O1942),ISNUMBER(P1942)),IF(Q1941=0,1,0),0)</f>
        <v>1</v>
      </c>
      <c r="S1942" s="56" t="n">
        <f aca="false">R1942*(B1942&gt;=Train_Start)*(B1942&lt;=Train_End)</f>
        <v>1</v>
      </c>
      <c r="T1942" s="84" t="n">
        <f aca="false">IF(AND(ISNUMBER(O1942),ISNUMBER(P1942)),Coef_A+Coef_B1*O1942+Coef_B2*P1942,"")</f>
        <v>23.4618259607517</v>
      </c>
      <c r="U1942" s="84" t="n">
        <f aca="false">IF(AND(R1942=1,ISNUMBER(T1942)),E1942-T1942,"")</f>
        <v>1.63817403924832</v>
      </c>
      <c r="V1942" s="84" t="n">
        <f aca="false">IF(ISNUMBER(T1942),T1942,-99)</f>
        <v>23.4618259607517</v>
      </c>
      <c r="W1942" s="84" t="n">
        <f aca="false">IF(ISNUMBER(U1942),ABS(U1942),"")</f>
        <v>1.63817403924832</v>
      </c>
    </row>
    <row r="1943" customFormat="false" ht="15" hidden="false" customHeight="false" outlineLevel="0" collapsed="false">
      <c r="A1943" s="57" t="n">
        <v>33464</v>
      </c>
      <c r="B1943" s="56" t="n">
        <v>1991</v>
      </c>
      <c r="C1943" s="56" t="n">
        <v>8</v>
      </c>
      <c r="D1943" s="56" t="n">
        <v>106</v>
      </c>
      <c r="E1943" s="56" t="n">
        <v>25.1</v>
      </c>
      <c r="F1943" s="56" t="n">
        <v>0</v>
      </c>
      <c r="G1943" s="56" t="n">
        <v>16.9</v>
      </c>
      <c r="H1943" s="56" t="n">
        <v>0</v>
      </c>
      <c r="I1943" s="56" t="n">
        <v>21</v>
      </c>
      <c r="J1943" s="56" t="n">
        <v>0</v>
      </c>
      <c r="K1943" s="56" t="n">
        <v>1017.8</v>
      </c>
      <c r="L1943" s="56" t="n">
        <v>0</v>
      </c>
      <c r="M1943" s="56" t="n">
        <v>71</v>
      </c>
      <c r="N1943" s="56" t="n">
        <v>5</v>
      </c>
      <c r="O1943" s="56" t="n">
        <f aca="false">IF(D1943=1,"",E1942)</f>
        <v>25.1</v>
      </c>
      <c r="P1943" s="56" t="n">
        <f aca="false">IF(OR(D1943=1,K1942=""),"",K1942)</f>
        <v>1017.9</v>
      </c>
      <c r="Q1943" s="56" t="n">
        <f aca="false">IF(OR(F1943&lt;&gt;0,AND(I1943&lt;&gt;"",E1943&lt;I1943)),1,0)</f>
        <v>0</v>
      </c>
      <c r="R1943" s="56" t="n">
        <f aca="false">IF(AND(D1943&gt;1,Q1943=0,ISNUMBER(O1943),ISNUMBER(P1943)),IF(Q1942=0,1,0),0)</f>
        <v>1</v>
      </c>
      <c r="S1943" s="56" t="n">
        <f aca="false">R1943*(B1943&gt;=Train_Start)*(B1943&lt;=Train_End)</f>
        <v>1</v>
      </c>
      <c r="T1943" s="84" t="n">
        <f aca="false">IF(AND(ISNUMBER(O1943),ISNUMBER(P1943)),Coef_A+Coef_B1*O1943+Coef_B2*P1943,"")</f>
        <v>24.5838049153042</v>
      </c>
      <c r="U1943" s="84" t="n">
        <f aca="false">IF(AND(R1943=1,ISNUMBER(T1943)),E1943-T1943,"")</f>
        <v>0.516195084695795</v>
      </c>
      <c r="V1943" s="84" t="n">
        <f aca="false">IF(ISNUMBER(T1943),T1943,-99)</f>
        <v>24.5838049153042</v>
      </c>
      <c r="W1943" s="84" t="n">
        <f aca="false">IF(ISNUMBER(U1943),ABS(U1943),"")</f>
        <v>0.516195084695795</v>
      </c>
    </row>
    <row r="1944" customFormat="false" ht="15" hidden="false" customHeight="false" outlineLevel="0" collapsed="false">
      <c r="A1944" s="57" t="n">
        <v>33465</v>
      </c>
      <c r="B1944" s="56" t="n">
        <v>1991</v>
      </c>
      <c r="C1944" s="56" t="n">
        <v>8</v>
      </c>
      <c r="D1944" s="56" t="n">
        <v>107</v>
      </c>
      <c r="E1944" s="56" t="n">
        <v>24.1</v>
      </c>
      <c r="F1944" s="56" t="n">
        <v>0</v>
      </c>
      <c r="G1944" s="56" t="n">
        <v>14.4</v>
      </c>
      <c r="H1944" s="56" t="n">
        <v>0</v>
      </c>
      <c r="I1944" s="56" t="n">
        <v>19.8</v>
      </c>
      <c r="J1944" s="56" t="n">
        <v>0</v>
      </c>
      <c r="K1944" s="56" t="n">
        <v>1016.6</v>
      </c>
      <c r="L1944" s="56" t="n">
        <v>0</v>
      </c>
      <c r="M1944" s="56" t="n">
        <v>73</v>
      </c>
      <c r="N1944" s="56" t="n">
        <v>12.7</v>
      </c>
      <c r="O1944" s="56" t="n">
        <f aca="false">IF(D1944=1,"",E1943)</f>
        <v>25.1</v>
      </c>
      <c r="P1944" s="56" t="n">
        <f aca="false">IF(OR(D1944=1,K1943=""),"",K1943)</f>
        <v>1017.8</v>
      </c>
      <c r="Q1944" s="56" t="n">
        <f aca="false">IF(OR(F1944&lt;&gt;0,AND(I1944&lt;&gt;"",E1944&lt;I1944)),1,0)</f>
        <v>0</v>
      </c>
      <c r="R1944" s="56" t="n">
        <f aca="false">IF(AND(D1944&gt;1,Q1944=0,ISNUMBER(O1944),ISNUMBER(P1944)),IF(Q1943=0,1,0),0)</f>
        <v>1</v>
      </c>
      <c r="S1944" s="56" t="n">
        <f aca="false">R1944*(B1944&gt;=Train_Start)*(B1944&lt;=Train_End)</f>
        <v>1</v>
      </c>
      <c r="T1944" s="84" t="n">
        <f aca="false">IF(AND(ISNUMBER(O1944),ISNUMBER(P1944)),Coef_A+Coef_B1*O1944+Coef_B2*P1944,"")</f>
        <v>24.5806679258408</v>
      </c>
      <c r="U1944" s="84" t="n">
        <f aca="false">IF(AND(R1944=1,ISNUMBER(T1944)),E1944-T1944,"")</f>
        <v>-0.480667925840805</v>
      </c>
      <c r="V1944" s="84" t="n">
        <f aca="false">IF(ISNUMBER(T1944),T1944,-99)</f>
        <v>24.5806679258408</v>
      </c>
      <c r="W1944" s="84" t="n">
        <f aca="false">IF(ISNUMBER(U1944),ABS(U1944),"")</f>
        <v>0.480667925840805</v>
      </c>
    </row>
    <row r="1945" customFormat="false" ht="15" hidden="false" customHeight="false" outlineLevel="0" collapsed="false">
      <c r="A1945" s="57" t="n">
        <v>33466</v>
      </c>
      <c r="B1945" s="56" t="n">
        <v>1991</v>
      </c>
      <c r="C1945" s="56" t="n">
        <v>8</v>
      </c>
      <c r="D1945" s="56" t="n">
        <v>108</v>
      </c>
      <c r="E1945" s="56" t="n">
        <v>24</v>
      </c>
      <c r="F1945" s="56" t="n">
        <v>0</v>
      </c>
      <c r="G1945" s="56" t="n">
        <v>15.1</v>
      </c>
      <c r="H1945" s="56" t="n">
        <v>0</v>
      </c>
      <c r="I1945" s="56" t="n">
        <v>19.6</v>
      </c>
      <c r="J1945" s="56" t="n">
        <v>0</v>
      </c>
      <c r="K1945" s="56" t="n">
        <v>1017.4</v>
      </c>
      <c r="L1945" s="56" t="n">
        <v>0</v>
      </c>
      <c r="M1945" s="56" t="n">
        <v>68</v>
      </c>
      <c r="N1945" s="56" t="n">
        <v>12.1</v>
      </c>
      <c r="O1945" s="56" t="n">
        <f aca="false">IF(D1945=1,"",E1944)</f>
        <v>24.1</v>
      </c>
      <c r="P1945" s="56" t="n">
        <f aca="false">IF(OR(D1945=1,K1944=""),"",K1944)</f>
        <v>1016.6</v>
      </c>
      <c r="Q1945" s="56" t="n">
        <f aca="false">IF(OR(F1945&lt;&gt;0,AND(I1945&lt;&gt;"",E1945&lt;I1945)),1,0)</f>
        <v>0</v>
      </c>
      <c r="R1945" s="56" t="n">
        <f aca="false">IF(AND(D1945&gt;1,Q1945=0,ISNUMBER(O1945),ISNUMBER(P1945)),IF(Q1944=0,1,0),0)</f>
        <v>1</v>
      </c>
      <c r="S1945" s="56" t="n">
        <f aca="false">R1945*(B1945&gt;=Train_Start)*(B1945&lt;=Train_End)</f>
        <v>1</v>
      </c>
      <c r="T1945" s="84" t="n">
        <f aca="false">IF(AND(ISNUMBER(O1945),ISNUMBER(P1945)),Coef_A+Coef_B1*O1945+Coef_B2*P1945,"")</f>
        <v>23.7236848592374</v>
      </c>
      <c r="U1945" s="84" t="n">
        <f aca="false">IF(AND(R1945=1,ISNUMBER(T1945)),E1945-T1945,"")</f>
        <v>0.276315140762634</v>
      </c>
      <c r="V1945" s="84" t="n">
        <f aca="false">IF(ISNUMBER(T1945),T1945,-99)</f>
        <v>23.7236848592374</v>
      </c>
      <c r="W1945" s="84" t="n">
        <f aca="false">IF(ISNUMBER(U1945),ABS(U1945),"")</f>
        <v>0.276315140762634</v>
      </c>
    </row>
    <row r="1946" customFormat="false" ht="15" hidden="false" customHeight="false" outlineLevel="0" collapsed="false">
      <c r="A1946" s="57" t="n">
        <v>33467</v>
      </c>
      <c r="B1946" s="56" t="n">
        <v>1991</v>
      </c>
      <c r="C1946" s="56" t="n">
        <v>8</v>
      </c>
      <c r="D1946" s="56" t="n">
        <v>109</v>
      </c>
      <c r="E1946" s="56" t="n">
        <v>21.6</v>
      </c>
      <c r="F1946" s="56" t="n">
        <v>0</v>
      </c>
      <c r="G1946" s="56" t="n">
        <v>14.4</v>
      </c>
      <c r="H1946" s="56" t="n">
        <v>0</v>
      </c>
      <c r="I1946" s="56" t="n">
        <v>19.2</v>
      </c>
      <c r="J1946" s="56" t="n">
        <v>0</v>
      </c>
      <c r="K1946" s="56" t="n">
        <v>1016.9</v>
      </c>
      <c r="L1946" s="56" t="n">
        <v>0</v>
      </c>
      <c r="M1946" s="56" t="n">
        <v>65</v>
      </c>
      <c r="N1946" s="56" t="n">
        <v>9.3</v>
      </c>
      <c r="O1946" s="56" t="n">
        <f aca="false">IF(D1946=1,"",E1945)</f>
        <v>24</v>
      </c>
      <c r="P1946" s="56" t="n">
        <f aca="false">IF(OR(D1946=1,K1945=""),"",K1945)</f>
        <v>1017.4</v>
      </c>
      <c r="Q1946" s="56" t="n">
        <f aca="false">IF(OR(F1946&lt;&gt;0,AND(I1946&lt;&gt;"",E1946&lt;I1946)),1,0)</f>
        <v>0</v>
      </c>
      <c r="R1946" s="56" t="n">
        <f aca="false">IF(AND(D1946&gt;1,Q1946=0,ISNUMBER(O1946),ISNUMBER(P1946)),IF(Q1945=0,1,0),0)</f>
        <v>1</v>
      </c>
      <c r="S1946" s="56" t="n">
        <f aca="false">R1946*(B1946&gt;=Train_Start)*(B1946&lt;=Train_End)</f>
        <v>1</v>
      </c>
      <c r="T1946" s="84" t="n">
        <f aca="false">IF(AND(ISNUMBER(O1946),ISNUMBER(P1946)),Coef_A+Coef_B1*O1946+Coef_B2*P1946,"")</f>
        <v>23.6668468556403</v>
      </c>
      <c r="U1946" s="84" t="n">
        <f aca="false">IF(AND(R1946=1,ISNUMBER(T1946)),E1946-T1946,"")</f>
        <v>-2.06684685564029</v>
      </c>
      <c r="V1946" s="84" t="n">
        <f aca="false">IF(ISNUMBER(T1946),T1946,-99)</f>
        <v>23.6668468556403</v>
      </c>
      <c r="W1946" s="84" t="n">
        <f aca="false">IF(ISNUMBER(U1946),ABS(U1946),"")</f>
        <v>2.06684685564029</v>
      </c>
    </row>
    <row r="1947" customFormat="false" ht="15" hidden="false" customHeight="false" outlineLevel="0" collapsed="false">
      <c r="A1947" s="57" t="n">
        <v>33468</v>
      </c>
      <c r="B1947" s="56" t="n">
        <v>1991</v>
      </c>
      <c r="C1947" s="56" t="n">
        <v>8</v>
      </c>
      <c r="D1947" s="56" t="n">
        <v>110</v>
      </c>
      <c r="E1947" s="56" t="n">
        <v>24.7</v>
      </c>
      <c r="F1947" s="56" t="n">
        <v>0</v>
      </c>
      <c r="G1947" s="56" t="n">
        <v>9.9</v>
      </c>
      <c r="H1947" s="56" t="n">
        <v>0</v>
      </c>
      <c r="I1947" s="56" t="n">
        <v>15.8</v>
      </c>
      <c r="J1947" s="56" t="n">
        <v>0</v>
      </c>
      <c r="K1947" s="56" t="n">
        <v>1022.1</v>
      </c>
      <c r="L1947" s="56" t="n">
        <v>0</v>
      </c>
      <c r="M1947" s="56" t="n">
        <v>63</v>
      </c>
      <c r="N1947" s="56" t="n">
        <v>9.3</v>
      </c>
      <c r="O1947" s="56" t="n">
        <f aca="false">IF(D1947=1,"",E1946)</f>
        <v>21.6</v>
      </c>
      <c r="P1947" s="56" t="n">
        <f aca="false">IF(OR(D1947=1,K1946=""),"",K1946)</f>
        <v>1016.9</v>
      </c>
      <c r="Q1947" s="56" t="n">
        <f aca="false">IF(OR(F1947&lt;&gt;0,AND(I1947&lt;&gt;"",E1947&lt;I1947)),1,0)</f>
        <v>0</v>
      </c>
      <c r="R1947" s="56" t="n">
        <f aca="false">IF(AND(D1947&gt;1,Q1947=0,ISNUMBER(O1947),ISNUMBER(P1947)),IF(Q1946=0,1,0),0)</f>
        <v>1</v>
      </c>
      <c r="S1947" s="56" t="n">
        <f aca="false">R1947*(B1947&gt;=Train_Start)*(B1947&lt;=Train_End)</f>
        <v>1</v>
      </c>
      <c r="T1947" s="84" t="n">
        <f aca="false">IF(AND(ISNUMBER(O1947),ISNUMBER(P1947)),Coef_A+Coef_B1*O1947+Coef_B2*P1947,"")</f>
        <v>21.6847478450209</v>
      </c>
      <c r="U1947" s="84" t="n">
        <f aca="false">IF(AND(R1947=1,ISNUMBER(T1947)),E1947-T1947,"")</f>
        <v>3.01525215497908</v>
      </c>
      <c r="V1947" s="84" t="n">
        <f aca="false">IF(ISNUMBER(T1947),T1947,-99)</f>
        <v>21.6847478450209</v>
      </c>
      <c r="W1947" s="84" t="n">
        <f aca="false">IF(ISNUMBER(U1947),ABS(U1947),"")</f>
        <v>3.01525215497908</v>
      </c>
    </row>
    <row r="1948" customFormat="false" ht="15" hidden="false" customHeight="false" outlineLevel="0" collapsed="false">
      <c r="A1948" s="57" t="n">
        <v>33469</v>
      </c>
      <c r="B1948" s="56" t="n">
        <v>1991</v>
      </c>
      <c r="C1948" s="56" t="n">
        <v>8</v>
      </c>
      <c r="D1948" s="56" t="n">
        <v>111</v>
      </c>
      <c r="E1948" s="56" t="n">
        <v>25.2</v>
      </c>
      <c r="F1948" s="56" t="n">
        <v>0</v>
      </c>
      <c r="G1948" s="56" t="n">
        <v>9.9</v>
      </c>
      <c r="H1948" s="56" t="n">
        <v>0</v>
      </c>
      <c r="I1948" s="56" t="n">
        <v>17.3</v>
      </c>
      <c r="J1948" s="56" t="n">
        <v>0</v>
      </c>
      <c r="K1948" s="56" t="n">
        <v>1021.6</v>
      </c>
      <c r="L1948" s="56" t="n">
        <v>0</v>
      </c>
      <c r="M1948" s="56" t="n">
        <v>63</v>
      </c>
      <c r="N1948" s="56" t="n">
        <v>8.7</v>
      </c>
      <c r="O1948" s="56" t="n">
        <f aca="false">IF(D1948=1,"",E1947)</f>
        <v>24.7</v>
      </c>
      <c r="P1948" s="56" t="n">
        <f aca="false">IF(OR(D1948=1,K1947=""),"",K1947)</f>
        <v>1022.1</v>
      </c>
      <c r="Q1948" s="56" t="n">
        <f aca="false">IF(OR(F1948&lt;&gt;0,AND(I1948&lt;&gt;"",E1948&lt;I1948)),1,0)</f>
        <v>0</v>
      </c>
      <c r="R1948" s="56" t="n">
        <f aca="false">IF(AND(D1948&gt;1,Q1948=0,ISNUMBER(O1948),ISNUMBER(P1948)),IF(Q1947=0,1,0),0)</f>
        <v>1</v>
      </c>
      <c r="S1948" s="56" t="n">
        <f aca="false">R1948*(B1948&gt;=Train_Start)*(B1948&lt;=Train_End)</f>
        <v>1</v>
      </c>
      <c r="T1948" s="84" t="n">
        <f aca="false">IF(AND(ISNUMBER(O1948),ISNUMBER(P1948)),Coef_A+Coef_B1*O1948+Coef_B2*P1948,"")</f>
        <v>24.3878227955499</v>
      </c>
      <c r="U1948" s="84" t="n">
        <f aca="false">IF(AND(R1948=1,ISNUMBER(T1948)),E1948-T1948,"")</f>
        <v>0.812177204450101</v>
      </c>
      <c r="V1948" s="84" t="n">
        <f aca="false">IF(ISNUMBER(T1948),T1948,-99)</f>
        <v>24.3878227955499</v>
      </c>
      <c r="W1948" s="84" t="n">
        <f aca="false">IF(ISNUMBER(U1948),ABS(U1948),"")</f>
        <v>0.812177204450101</v>
      </c>
    </row>
    <row r="1949" customFormat="false" ht="15" hidden="false" customHeight="false" outlineLevel="0" collapsed="false">
      <c r="A1949" s="57" t="n">
        <v>33470</v>
      </c>
      <c r="B1949" s="56" t="n">
        <v>1991</v>
      </c>
      <c r="C1949" s="56" t="n">
        <v>8</v>
      </c>
      <c r="D1949" s="56" t="n">
        <v>112</v>
      </c>
      <c r="E1949" s="56" t="n">
        <v>27.9</v>
      </c>
      <c r="F1949" s="56" t="n">
        <v>0</v>
      </c>
      <c r="G1949" s="56" t="n">
        <v>14.5</v>
      </c>
      <c r="H1949" s="56" t="n">
        <v>0</v>
      </c>
      <c r="I1949" s="56" t="n">
        <v>19.8</v>
      </c>
      <c r="J1949" s="56" t="n">
        <v>0</v>
      </c>
      <c r="K1949" s="56" t="n">
        <v>1020.8</v>
      </c>
      <c r="L1949" s="56" t="n">
        <v>0</v>
      </c>
      <c r="M1949" s="56" t="n">
        <v>67</v>
      </c>
      <c r="N1949" s="56" t="n">
        <v>11.8</v>
      </c>
      <c r="O1949" s="56" t="n">
        <f aca="false">IF(D1949=1,"",E1948)</f>
        <v>25.2</v>
      </c>
      <c r="P1949" s="56" t="n">
        <f aca="false">IF(OR(D1949=1,K1948=""),"",K1948)</f>
        <v>1021.6</v>
      </c>
      <c r="Q1949" s="56" t="n">
        <f aca="false">IF(OR(F1949&lt;&gt;0,AND(I1949&lt;&gt;"",E1949&lt;I1949)),1,0)</f>
        <v>0</v>
      </c>
      <c r="R1949" s="56" t="n">
        <f aca="false">IF(AND(D1949&gt;1,Q1949=0,ISNUMBER(O1949),ISNUMBER(P1949)),IF(Q1948=0,1,0),0)</f>
        <v>1</v>
      </c>
      <c r="S1949" s="56" t="n">
        <f aca="false">R1949*(B1949&gt;=Train_Start)*(B1949&lt;=Train_End)</f>
        <v>1</v>
      </c>
      <c r="T1949" s="84" t="n">
        <f aca="false">IF(AND(ISNUMBER(O1949),ISNUMBER(P1949)),Coef_A+Coef_B1*O1949+Coef_B2*P1949,"")</f>
        <v>24.7818074447542</v>
      </c>
      <c r="U1949" s="84" t="n">
        <f aca="false">IF(AND(R1949=1,ISNUMBER(T1949)),E1949-T1949,"")</f>
        <v>3.11819255524576</v>
      </c>
      <c r="V1949" s="84" t="n">
        <f aca="false">IF(ISNUMBER(T1949),T1949,-99)</f>
        <v>24.7818074447542</v>
      </c>
      <c r="W1949" s="84" t="n">
        <f aca="false">IF(ISNUMBER(U1949),ABS(U1949),"")</f>
        <v>3.11819255524576</v>
      </c>
    </row>
    <row r="1950" customFormat="false" ht="15" hidden="false" customHeight="false" outlineLevel="0" collapsed="false">
      <c r="A1950" s="57" t="n">
        <v>33471</v>
      </c>
      <c r="B1950" s="56" t="n">
        <v>1991</v>
      </c>
      <c r="C1950" s="56" t="n">
        <v>8</v>
      </c>
      <c r="D1950" s="56" t="n">
        <v>113</v>
      </c>
      <c r="E1950" s="56" t="n">
        <v>24.5</v>
      </c>
      <c r="F1950" s="56" t="n">
        <v>0</v>
      </c>
      <c r="G1950" s="56" t="n">
        <v>15.7</v>
      </c>
      <c r="H1950" s="56" t="n">
        <v>0</v>
      </c>
      <c r="I1950" s="56" t="n">
        <v>21.8</v>
      </c>
      <c r="J1950" s="56" t="n">
        <v>0</v>
      </c>
      <c r="K1950" s="56" t="n">
        <v>1013.4</v>
      </c>
      <c r="L1950" s="56" t="n">
        <v>0</v>
      </c>
      <c r="M1950" s="56" t="n">
        <v>69</v>
      </c>
      <c r="N1950" s="56" t="n">
        <v>8.6</v>
      </c>
      <c r="O1950" s="56" t="n">
        <f aca="false">IF(D1950=1,"",E1949)</f>
        <v>27.9</v>
      </c>
      <c r="P1950" s="56" t="n">
        <f aca="false">IF(OR(D1950=1,K1949=""),"",K1949)</f>
        <v>1020.8</v>
      </c>
      <c r="Q1950" s="56" t="n">
        <f aca="false">IF(OR(F1950&lt;&gt;0,AND(I1950&lt;&gt;"",E1950&lt;I1950)),1,0)</f>
        <v>0</v>
      </c>
      <c r="R1950" s="56" t="n">
        <f aca="false">IF(AND(D1950&gt;1,Q1950=0,ISNUMBER(O1950),ISNUMBER(P1950)),IF(Q1949=0,1,0),0)</f>
        <v>1</v>
      </c>
      <c r="S1950" s="56" t="n">
        <f aca="false">R1950*(B1950&gt;=Train_Start)*(B1950&lt;=Train_End)</f>
        <v>1</v>
      </c>
      <c r="T1950" s="84" t="n">
        <f aca="false">IF(AND(ISNUMBER(O1950),ISNUMBER(P1950)),Coef_A+Coef_B1*O1950+Coef_B2*P1950,"")</f>
        <v>26.9689273502622</v>
      </c>
      <c r="U1950" s="84" t="n">
        <f aca="false">IF(AND(R1950=1,ISNUMBER(T1950)),E1950-T1950,"")</f>
        <v>-2.46892735026221</v>
      </c>
      <c r="V1950" s="84" t="n">
        <f aca="false">IF(ISNUMBER(T1950),T1950,-99)</f>
        <v>26.9689273502622</v>
      </c>
      <c r="W1950" s="84" t="n">
        <f aca="false">IF(ISNUMBER(U1950),ABS(U1950),"")</f>
        <v>2.46892735026221</v>
      </c>
    </row>
    <row r="1951" customFormat="false" ht="15" hidden="false" customHeight="false" outlineLevel="0" collapsed="false">
      <c r="A1951" s="57" t="n">
        <v>33472</v>
      </c>
      <c r="B1951" s="56" t="n">
        <v>1991</v>
      </c>
      <c r="C1951" s="56" t="n">
        <v>8</v>
      </c>
      <c r="D1951" s="56" t="n">
        <v>114</v>
      </c>
      <c r="E1951" s="56" t="n">
        <v>17.8</v>
      </c>
      <c r="F1951" s="56" t="n">
        <v>1</v>
      </c>
      <c r="G1951" s="56" t="n">
        <v>18.3</v>
      </c>
      <c r="H1951" s="56" t="n">
        <v>1</v>
      </c>
      <c r="I1951" s="56" t="n">
        <v>21.4</v>
      </c>
      <c r="J1951" s="56" t="n">
        <v>1</v>
      </c>
      <c r="K1951" s="56" t="n">
        <v>1005.7</v>
      </c>
      <c r="L1951" s="56" t="n">
        <v>0</v>
      </c>
      <c r="M1951" s="56" t="n">
        <v>71</v>
      </c>
      <c r="N1951" s="56" t="n">
        <v>3.4</v>
      </c>
      <c r="O1951" s="56" t="n">
        <f aca="false">IF(D1951=1,"",E1950)</f>
        <v>24.5</v>
      </c>
      <c r="P1951" s="56" t="n">
        <f aca="false">IF(OR(D1951=1,K1950=""),"",K1950)</f>
        <v>1013.4</v>
      </c>
      <c r="Q1951" s="56" t="n">
        <f aca="false">IF(OR(F1951&lt;&gt;0,AND(I1951&lt;&gt;"",E1951&lt;I1951)),1,0)</f>
        <v>1</v>
      </c>
      <c r="R1951" s="56" t="n">
        <f aca="false">IF(AND(D1951&gt;1,Q1951=0,ISNUMBER(O1951),ISNUMBER(P1951)),IF(Q1950=0,1,0),0)</f>
        <v>0</v>
      </c>
      <c r="S1951" s="56" t="n">
        <f aca="false">R1951*(B1951&gt;=Train_Start)*(B1951&lt;=Train_End)</f>
        <v>0</v>
      </c>
      <c r="T1951" s="84" t="n">
        <f aca="false">IF(AND(ISNUMBER(O1951),ISNUMBER(P1951)),Coef_A+Coef_B1*O1951+Coef_B2*P1951,"")</f>
        <v>23.9510368736257</v>
      </c>
      <c r="U1951" s="84" t="str">
        <f aca="false">IF(AND(R1951=1,ISNUMBER(T1951)),E1951-T1951,"")</f>
        <v/>
      </c>
      <c r="V1951" s="84" t="n">
        <f aca="false">IF(ISNUMBER(T1951),T1951,-99)</f>
        <v>23.9510368736257</v>
      </c>
      <c r="W1951" s="84" t="str">
        <f aca="false">IF(ISNUMBER(U1951),ABS(U1951),"")</f>
        <v/>
      </c>
    </row>
    <row r="1952" customFormat="false" ht="15" hidden="false" customHeight="false" outlineLevel="0" collapsed="false">
      <c r="A1952" s="57" t="n">
        <v>33473</v>
      </c>
      <c r="B1952" s="56" t="n">
        <v>1991</v>
      </c>
      <c r="C1952" s="56" t="n">
        <v>8</v>
      </c>
      <c r="D1952" s="56" t="n">
        <v>115</v>
      </c>
      <c r="E1952" s="56" t="n">
        <v>22.6</v>
      </c>
      <c r="F1952" s="56" t="n">
        <v>0</v>
      </c>
      <c r="G1952" s="56" t="n">
        <v>13.5</v>
      </c>
      <c r="H1952" s="56" t="n">
        <v>0</v>
      </c>
      <c r="I1952" s="56" t="n">
        <v>15.6</v>
      </c>
      <c r="J1952" s="56" t="n">
        <v>0</v>
      </c>
      <c r="K1952" s="56" t="n">
        <v>1011.6</v>
      </c>
      <c r="L1952" s="56" t="n">
        <v>0</v>
      </c>
      <c r="M1952" s="56" t="n">
        <v>78</v>
      </c>
      <c r="N1952" s="56" t="n">
        <v>1</v>
      </c>
      <c r="O1952" s="56" t="n">
        <f aca="false">IF(D1952=1,"",E1951)</f>
        <v>17.8</v>
      </c>
      <c r="P1952" s="56" t="n">
        <f aca="false">IF(OR(D1952=1,K1951=""),"",K1951)</f>
        <v>1005.7</v>
      </c>
      <c r="Q1952" s="56" t="n">
        <f aca="false">IF(OR(F1952&lt;&gt;0,AND(I1952&lt;&gt;"",E1952&lt;I1952)),1,0)</f>
        <v>0</v>
      </c>
      <c r="R1952" s="56" t="n">
        <f aca="false">IF(AND(D1952&gt;1,Q1952=0,ISNUMBER(O1952),ISNUMBER(P1952)),IF(Q1951=0,1,0),0)</f>
        <v>0</v>
      </c>
      <c r="S1952" s="56" t="n">
        <f aca="false">R1952*(B1952&gt;=Train_Start)*(B1952&lt;=Train_End)</f>
        <v>0</v>
      </c>
      <c r="T1952" s="84" t="n">
        <f aca="false">IF(AND(ISNUMBER(O1952),ISNUMBER(P1952)),Coef_A+Coef_B1*O1952+Coef_B2*P1952,"")</f>
        <v>18.2199160915581</v>
      </c>
      <c r="U1952" s="84" t="str">
        <f aca="false">IF(AND(R1952=1,ISNUMBER(T1952)),E1952-T1952,"")</f>
        <v/>
      </c>
      <c r="V1952" s="84" t="n">
        <f aca="false">IF(ISNUMBER(T1952),T1952,-99)</f>
        <v>18.2199160915581</v>
      </c>
      <c r="W1952" s="84" t="str">
        <f aca="false">IF(ISNUMBER(U1952),ABS(U1952),"")</f>
        <v/>
      </c>
    </row>
    <row r="1953" customFormat="false" ht="15" hidden="false" customHeight="false" outlineLevel="0" collapsed="false">
      <c r="A1953" s="57" t="n">
        <v>33474</v>
      </c>
      <c r="B1953" s="56" t="n">
        <v>1991</v>
      </c>
      <c r="C1953" s="56" t="n">
        <v>8</v>
      </c>
      <c r="D1953" s="56" t="n">
        <v>116</v>
      </c>
      <c r="E1953" s="56" t="n">
        <v>24.6</v>
      </c>
      <c r="F1953" s="56" t="n">
        <v>0</v>
      </c>
      <c r="G1953" s="56" t="n">
        <v>12.9</v>
      </c>
      <c r="H1953" s="56" t="n">
        <v>0</v>
      </c>
      <c r="I1953" s="56" t="n">
        <v>17.8</v>
      </c>
      <c r="J1953" s="56" t="n">
        <v>0</v>
      </c>
      <c r="K1953" s="56" t="n">
        <v>1020.9</v>
      </c>
      <c r="L1953" s="56" t="n">
        <v>0</v>
      </c>
      <c r="M1953" s="56" t="n">
        <v>73</v>
      </c>
      <c r="N1953" s="56" t="n">
        <v>4.4</v>
      </c>
      <c r="O1953" s="56" t="n">
        <f aca="false">IF(D1953=1,"",E1952)</f>
        <v>22.6</v>
      </c>
      <c r="P1953" s="56" t="n">
        <f aca="false">IF(OR(D1953=1,K1952=""),"",K1952)</f>
        <v>1011.6</v>
      </c>
      <c r="Q1953" s="56" t="n">
        <f aca="false">IF(OR(F1953&lt;&gt;0,AND(I1953&lt;&gt;"",E1953&lt;I1953)),1,0)</f>
        <v>0</v>
      </c>
      <c r="R1953" s="56" t="n">
        <f aca="false">IF(AND(D1953&gt;1,Q1953=0,ISNUMBER(O1953),ISNUMBER(P1953)),IF(Q1952=0,1,0),0)</f>
        <v>1</v>
      </c>
      <c r="S1953" s="56" t="n">
        <f aca="false">R1953*(B1953&gt;=Train_Start)*(B1953&lt;=Train_End)</f>
        <v>1</v>
      </c>
      <c r="T1953" s="84" t="n">
        <f aca="false">IF(AND(ISNUMBER(O1953),ISNUMBER(P1953)),Coef_A+Coef_B1*O1953+Coef_B2*P1953,"")</f>
        <v>22.3378265965034</v>
      </c>
      <c r="U1953" s="84" t="n">
        <f aca="false">IF(AND(R1953=1,ISNUMBER(T1953)),E1953-T1953,"")</f>
        <v>2.26217340349657</v>
      </c>
      <c r="V1953" s="84" t="n">
        <f aca="false">IF(ISNUMBER(T1953),T1953,-99)</f>
        <v>22.3378265965034</v>
      </c>
      <c r="W1953" s="84" t="n">
        <f aca="false">IF(ISNUMBER(U1953),ABS(U1953),"")</f>
        <v>2.26217340349657</v>
      </c>
    </row>
    <row r="1954" customFormat="false" ht="15" hidden="false" customHeight="false" outlineLevel="0" collapsed="false">
      <c r="A1954" s="57" t="n">
        <v>33475</v>
      </c>
      <c r="B1954" s="56" t="n">
        <v>1991</v>
      </c>
      <c r="C1954" s="56" t="n">
        <v>8</v>
      </c>
      <c r="D1954" s="56" t="n">
        <v>117</v>
      </c>
      <c r="E1954" s="56" t="n">
        <v>27</v>
      </c>
      <c r="F1954" s="56" t="n">
        <v>0</v>
      </c>
      <c r="G1954" s="56" t="n">
        <v>11.5</v>
      </c>
      <c r="H1954" s="56" t="n">
        <v>0</v>
      </c>
      <c r="I1954" s="56" t="n">
        <v>18</v>
      </c>
      <c r="J1954" s="56" t="n">
        <v>0</v>
      </c>
      <c r="K1954" s="56" t="n">
        <v>1023.1</v>
      </c>
      <c r="L1954" s="56" t="n">
        <v>0</v>
      </c>
      <c r="M1954" s="56" t="n">
        <v>73</v>
      </c>
      <c r="N1954" s="56" t="n">
        <v>7.6</v>
      </c>
      <c r="O1954" s="56" t="n">
        <f aca="false">IF(D1954=1,"",E1953)</f>
        <v>24.6</v>
      </c>
      <c r="P1954" s="56" t="n">
        <f aca="false">IF(OR(D1954=1,K1953=""),"",K1953)</f>
        <v>1020.9</v>
      </c>
      <c r="Q1954" s="56" t="n">
        <f aca="false">IF(OR(F1954&lt;&gt;0,AND(I1954&lt;&gt;"",E1954&lt;I1954)),1,0)</f>
        <v>0</v>
      </c>
      <c r="R1954" s="56" t="n">
        <f aca="false">IF(AND(D1954&gt;1,Q1954=0,ISNUMBER(O1954),ISNUMBER(P1954)),IF(Q1953=0,1,0),0)</f>
        <v>1</v>
      </c>
      <c r="S1954" s="56" t="n">
        <f aca="false">R1954*(B1954&gt;=Train_Start)*(B1954&lt;=Train_End)</f>
        <v>1</v>
      </c>
      <c r="T1954" s="84" t="n">
        <f aca="false">IF(AND(ISNUMBER(O1954),ISNUMBER(P1954)),Coef_A+Coef_B1*O1954+Coef_B2*P1954,"")</f>
        <v>24.2682450026848</v>
      </c>
      <c r="U1954" s="84" t="n">
        <f aca="false">IF(AND(R1954=1,ISNUMBER(T1954)),E1954-T1954,"")</f>
        <v>2.73175499731516</v>
      </c>
      <c r="V1954" s="84" t="n">
        <f aca="false">IF(ISNUMBER(T1954),T1954,-99)</f>
        <v>24.2682450026848</v>
      </c>
      <c r="W1954" s="84" t="n">
        <f aca="false">IF(ISNUMBER(U1954),ABS(U1954),"")</f>
        <v>2.73175499731516</v>
      </c>
    </row>
    <row r="1955" customFormat="false" ht="15" hidden="false" customHeight="false" outlineLevel="0" collapsed="false">
      <c r="A1955" s="57" t="n">
        <v>33476</v>
      </c>
      <c r="B1955" s="56" t="n">
        <v>1991</v>
      </c>
      <c r="C1955" s="56" t="n">
        <v>8</v>
      </c>
      <c r="D1955" s="56" t="n">
        <v>118</v>
      </c>
      <c r="E1955" s="56" t="n">
        <v>26.7</v>
      </c>
      <c r="F1955" s="56" t="n">
        <v>0</v>
      </c>
      <c r="G1955" s="56" t="n">
        <v>13</v>
      </c>
      <c r="H1955" s="56" t="n">
        <v>0</v>
      </c>
      <c r="I1955" s="56" t="n">
        <v>20</v>
      </c>
      <c r="J1955" s="56" t="n">
        <v>0</v>
      </c>
      <c r="K1955" s="56" t="n">
        <v>1023.1</v>
      </c>
      <c r="L1955" s="56" t="n">
        <v>0</v>
      </c>
      <c r="M1955" s="56" t="n">
        <v>68</v>
      </c>
      <c r="N1955" s="56" t="n">
        <v>11.9</v>
      </c>
      <c r="O1955" s="56" t="n">
        <f aca="false">IF(D1955=1,"",E1954)</f>
        <v>27</v>
      </c>
      <c r="P1955" s="56" t="n">
        <f aca="false">IF(OR(D1955=1,K1954=""),"",K1954)</f>
        <v>1023.1</v>
      </c>
      <c r="Q1955" s="56" t="n">
        <f aca="false">IF(OR(F1955&lt;&gt;0,AND(I1955&lt;&gt;"",E1955&lt;I1955)),1,0)</f>
        <v>0</v>
      </c>
      <c r="R1955" s="56" t="n">
        <f aca="false">IF(AND(D1955&gt;1,Q1955=0,ISNUMBER(O1955),ISNUMBER(P1955)),IF(Q1954=0,1,0),0)</f>
        <v>1</v>
      </c>
      <c r="S1955" s="56" t="n">
        <f aca="false">R1955*(B1955&gt;=Train_Start)*(B1955&lt;=Train_End)</f>
        <v>1</v>
      </c>
      <c r="T1955" s="84" t="n">
        <f aca="false">IF(AND(ISNUMBER(O1955),ISNUMBER(P1955)),Coef_A+Coef_B1*O1955+Coef_B2*P1955,"")</f>
        <v>26.303672834182</v>
      </c>
      <c r="U1955" s="84" t="n">
        <f aca="false">IF(AND(R1955=1,ISNUMBER(T1955)),E1955-T1955,"")</f>
        <v>0.396327165818001</v>
      </c>
      <c r="V1955" s="84" t="n">
        <f aca="false">IF(ISNUMBER(T1955),T1955,-99)</f>
        <v>26.303672834182</v>
      </c>
      <c r="W1955" s="84" t="n">
        <f aca="false">IF(ISNUMBER(U1955),ABS(U1955),"")</f>
        <v>0.396327165818001</v>
      </c>
    </row>
    <row r="1956" customFormat="false" ht="15" hidden="false" customHeight="false" outlineLevel="0" collapsed="false">
      <c r="A1956" s="57" t="n">
        <v>33477</v>
      </c>
      <c r="B1956" s="56" t="n">
        <v>1991</v>
      </c>
      <c r="C1956" s="56" t="n">
        <v>8</v>
      </c>
      <c r="D1956" s="56" t="n">
        <v>119</v>
      </c>
      <c r="E1956" s="56" t="n">
        <v>24</v>
      </c>
      <c r="F1956" s="56" t="n">
        <v>0</v>
      </c>
      <c r="G1956" s="56" t="n">
        <v>13.7</v>
      </c>
      <c r="H1956" s="56" t="n">
        <v>0</v>
      </c>
      <c r="I1956" s="56" t="n">
        <v>20.2</v>
      </c>
      <c r="J1956" s="56" t="n">
        <v>0</v>
      </c>
      <c r="K1956" s="56" t="n">
        <v>1026.3</v>
      </c>
      <c r="L1956" s="56" t="n">
        <v>0</v>
      </c>
      <c r="M1956" s="56" t="n">
        <v>67</v>
      </c>
      <c r="N1956" s="56" t="n">
        <v>11.4</v>
      </c>
      <c r="O1956" s="56" t="n">
        <f aca="false">IF(D1956=1,"",E1955)</f>
        <v>26.7</v>
      </c>
      <c r="P1956" s="56" t="n">
        <f aca="false">IF(OR(D1956=1,K1955=""),"",K1955)</f>
        <v>1023.1</v>
      </c>
      <c r="Q1956" s="56" t="n">
        <f aca="false">IF(OR(F1956&lt;&gt;0,AND(I1956&lt;&gt;"",E1956&lt;I1956)),1,0)</f>
        <v>0</v>
      </c>
      <c r="R1956" s="56" t="n">
        <f aca="false">IF(AND(D1956&gt;1,Q1956=0,ISNUMBER(O1956),ISNUMBER(P1956)),IF(Q1955=0,1,0),0)</f>
        <v>1</v>
      </c>
      <c r="S1956" s="56" t="n">
        <f aca="false">R1956*(B1956&gt;=Train_Start)*(B1956&lt;=Train_End)</f>
        <v>1</v>
      </c>
      <c r="T1956" s="84" t="n">
        <f aca="false">IF(AND(ISNUMBER(O1956),ISNUMBER(P1956)),Coef_A+Coef_B1*O1956+Coef_B2*P1956,"")</f>
        <v>26.0578710762692</v>
      </c>
      <c r="U1956" s="84" t="n">
        <f aca="false">IF(AND(R1956=1,ISNUMBER(T1956)),E1956-T1956,"")</f>
        <v>-2.0578710762692</v>
      </c>
      <c r="V1956" s="84" t="n">
        <f aca="false">IF(ISNUMBER(T1956),T1956,-99)</f>
        <v>26.0578710762692</v>
      </c>
      <c r="W1956" s="84" t="n">
        <f aca="false">IF(ISNUMBER(U1956),ABS(U1956),"")</f>
        <v>2.0578710762692</v>
      </c>
    </row>
    <row r="1957" customFormat="false" ht="15" hidden="false" customHeight="false" outlineLevel="0" collapsed="false">
      <c r="A1957" s="57" t="n">
        <v>33478</v>
      </c>
      <c r="B1957" s="56" t="n">
        <v>1991</v>
      </c>
      <c r="C1957" s="56" t="n">
        <v>8</v>
      </c>
      <c r="D1957" s="56" t="n">
        <v>120</v>
      </c>
      <c r="E1957" s="56" t="n">
        <v>23.7</v>
      </c>
      <c r="F1957" s="56" t="n">
        <v>0</v>
      </c>
      <c r="G1957" s="56" t="n">
        <v>14.3</v>
      </c>
      <c r="H1957" s="56" t="n">
        <v>0</v>
      </c>
      <c r="I1957" s="56" t="n">
        <v>19.2</v>
      </c>
      <c r="J1957" s="56" t="n">
        <v>0</v>
      </c>
      <c r="K1957" s="56" t="n">
        <v>1028.6</v>
      </c>
      <c r="L1957" s="56" t="n">
        <v>0</v>
      </c>
      <c r="M1957" s="56" t="n">
        <v>74</v>
      </c>
      <c r="N1957" s="56" t="n">
        <v>3</v>
      </c>
      <c r="O1957" s="56" t="n">
        <f aca="false">IF(D1957=1,"",E1956)</f>
        <v>24</v>
      </c>
      <c r="P1957" s="56" t="n">
        <f aca="false">IF(OR(D1957=1,K1956=""),"",K1956)</f>
        <v>1026.3</v>
      </c>
      <c r="Q1957" s="56" t="n">
        <f aca="false">IF(OR(F1957&lt;&gt;0,AND(I1957&lt;&gt;"",E1957&lt;I1957)),1,0)</f>
        <v>0</v>
      </c>
      <c r="R1957" s="56" t="n">
        <f aca="false">IF(AND(D1957&gt;1,Q1957=0,ISNUMBER(O1957),ISNUMBER(P1957)),IF(Q1956=0,1,0),0)</f>
        <v>1</v>
      </c>
      <c r="S1957" s="56" t="n">
        <f aca="false">R1957*(B1957&gt;=Train_Start)*(B1957&lt;=Train_End)</f>
        <v>1</v>
      </c>
      <c r="T1957" s="84" t="n">
        <f aca="false">IF(AND(ISNUMBER(O1957),ISNUMBER(P1957)),Coef_A+Coef_B1*O1957+Coef_B2*P1957,"")</f>
        <v>23.9460389178828</v>
      </c>
      <c r="U1957" s="84" t="n">
        <f aca="false">IF(AND(R1957=1,ISNUMBER(T1957)),E1957-T1957,"")</f>
        <v>-0.246038917882789</v>
      </c>
      <c r="V1957" s="84" t="n">
        <f aca="false">IF(ISNUMBER(T1957),T1957,-99)</f>
        <v>23.9460389178828</v>
      </c>
      <c r="W1957" s="84" t="n">
        <f aca="false">IF(ISNUMBER(U1957),ABS(U1957),"")</f>
        <v>0.246038917882789</v>
      </c>
    </row>
    <row r="1958" customFormat="false" ht="15" hidden="false" customHeight="false" outlineLevel="0" collapsed="false">
      <c r="A1958" s="57" t="n">
        <v>33479</v>
      </c>
      <c r="B1958" s="56" t="n">
        <v>1991</v>
      </c>
      <c r="C1958" s="56" t="n">
        <v>8</v>
      </c>
      <c r="D1958" s="56" t="n">
        <v>121</v>
      </c>
      <c r="E1958" s="56" t="n">
        <v>25.4</v>
      </c>
      <c r="F1958" s="56" t="n">
        <v>0</v>
      </c>
      <c r="G1958" s="56" t="n">
        <v>12.2</v>
      </c>
      <c r="H1958" s="56" t="n">
        <v>0</v>
      </c>
      <c r="I1958" s="56" t="n">
        <v>18</v>
      </c>
      <c r="J1958" s="56" t="n">
        <v>0</v>
      </c>
      <c r="K1958" s="56" t="n">
        <v>1026.8</v>
      </c>
      <c r="L1958" s="56" t="n">
        <v>0</v>
      </c>
      <c r="M1958" s="56" t="n">
        <v>66</v>
      </c>
      <c r="N1958" s="56" t="n">
        <v>12.5</v>
      </c>
      <c r="O1958" s="56" t="n">
        <f aca="false">IF(D1958=1,"",E1957)</f>
        <v>23.7</v>
      </c>
      <c r="P1958" s="56" t="n">
        <f aca="false">IF(OR(D1958=1,K1957=""),"",K1957)</f>
        <v>1028.6</v>
      </c>
      <c r="Q1958" s="56" t="n">
        <f aca="false">IF(OR(F1958&lt;&gt;0,AND(I1958&lt;&gt;"",E1958&lt;I1958)),1,0)</f>
        <v>0</v>
      </c>
      <c r="R1958" s="56" t="n">
        <f aca="false">IF(AND(D1958&gt;1,Q1958=0,ISNUMBER(O1958),ISNUMBER(P1958)),IF(Q1957=0,1,0),0)</f>
        <v>1</v>
      </c>
      <c r="S1958" s="56" t="n">
        <f aca="false">R1958*(B1958&gt;=Train_Start)*(B1958&lt;=Train_End)</f>
        <v>1</v>
      </c>
      <c r="T1958" s="84" t="n">
        <f aca="false">IF(AND(ISNUMBER(O1958),ISNUMBER(P1958)),Coef_A+Coef_B1*O1958+Coef_B2*P1958,"")</f>
        <v>23.7723879176282</v>
      </c>
      <c r="U1958" s="84" t="n">
        <f aca="false">IF(AND(R1958=1,ISNUMBER(T1958)),E1958-T1958,"")</f>
        <v>1.62761208237183</v>
      </c>
      <c r="V1958" s="84" t="n">
        <f aca="false">IF(ISNUMBER(T1958),T1958,-99)</f>
        <v>23.7723879176282</v>
      </c>
      <c r="W1958" s="84" t="n">
        <f aca="false">IF(ISNUMBER(U1958),ABS(U1958),"")</f>
        <v>1.62761208237183</v>
      </c>
    </row>
    <row r="1959" customFormat="false" ht="15" hidden="false" customHeight="false" outlineLevel="0" collapsed="false">
      <c r="A1959" s="57" t="n">
        <v>33480</v>
      </c>
      <c r="B1959" s="56" t="n">
        <v>1991</v>
      </c>
      <c r="C1959" s="56" t="n">
        <v>8</v>
      </c>
      <c r="D1959" s="56" t="n">
        <v>122</v>
      </c>
      <c r="E1959" s="56" t="n">
        <v>26.7</v>
      </c>
      <c r="F1959" s="56" t="n">
        <v>0</v>
      </c>
      <c r="G1959" s="56" t="n">
        <v>13.4</v>
      </c>
      <c r="H1959" s="56" t="n">
        <v>0</v>
      </c>
      <c r="I1959" s="56" t="n">
        <v>19.4</v>
      </c>
      <c r="J1959" s="56" t="n">
        <v>0</v>
      </c>
      <c r="K1959" s="56" t="n">
        <v>1024.5</v>
      </c>
      <c r="L1959" s="56" t="n">
        <v>0</v>
      </c>
      <c r="M1959" s="56" t="n">
        <v>63</v>
      </c>
      <c r="N1959" s="56" t="n">
        <v>11.7</v>
      </c>
      <c r="O1959" s="56" t="n">
        <f aca="false">IF(D1959=1,"",E1958)</f>
        <v>25.4</v>
      </c>
      <c r="P1959" s="56" t="n">
        <f aca="false">IF(OR(D1959=1,K1958=""),"",K1958)</f>
        <v>1026.8</v>
      </c>
      <c r="Q1959" s="56" t="n">
        <f aca="false">IF(OR(F1959&lt;&gt;0,AND(I1959&lt;&gt;"",E1959&lt;I1959)),1,0)</f>
        <v>0</v>
      </c>
      <c r="R1959" s="56" t="n">
        <f aca="false">IF(AND(D1959&gt;1,Q1959=0,ISNUMBER(O1959),ISNUMBER(P1959)),IF(Q1958=0,1,0),0)</f>
        <v>1</v>
      </c>
      <c r="S1959" s="56" t="n">
        <f aca="false">R1959*(B1959&gt;=Train_Start)*(B1959&lt;=Train_End)</f>
        <v>1</v>
      </c>
      <c r="T1959" s="84" t="n">
        <f aca="false">IF(AND(ISNUMBER(O1959),ISNUMBER(P1959)),Coef_A+Coef_B1*O1959+Coef_B2*P1959,"")</f>
        <v>25.1087987354595</v>
      </c>
      <c r="U1959" s="84" t="n">
        <f aca="false">IF(AND(R1959=1,ISNUMBER(T1959)),E1959-T1959,"")</f>
        <v>1.59120126454049</v>
      </c>
      <c r="V1959" s="84" t="n">
        <f aca="false">IF(ISNUMBER(T1959),T1959,-99)</f>
        <v>25.1087987354595</v>
      </c>
      <c r="W1959" s="84" t="n">
        <f aca="false">IF(ISNUMBER(U1959),ABS(U1959),"")</f>
        <v>1.59120126454049</v>
      </c>
    </row>
    <row r="1960" customFormat="false" ht="15" hidden="false" customHeight="false" outlineLevel="0" collapsed="false">
      <c r="A1960" s="57" t="n">
        <v>33481</v>
      </c>
      <c r="B1960" s="56" t="n">
        <v>1991</v>
      </c>
      <c r="C1960" s="56" t="n">
        <v>8</v>
      </c>
      <c r="D1960" s="56" t="n">
        <v>123</v>
      </c>
      <c r="E1960" s="56" t="n">
        <v>29.7</v>
      </c>
      <c r="F1960" s="56" t="n">
        <v>0</v>
      </c>
      <c r="G1960" s="56" t="n">
        <v>15</v>
      </c>
      <c r="H1960" s="56" t="n">
        <v>0</v>
      </c>
      <c r="I1960" s="56" t="n">
        <v>20.8</v>
      </c>
      <c r="J1960" s="56" t="n">
        <v>0</v>
      </c>
      <c r="K1960" s="56" t="n">
        <v>1021</v>
      </c>
      <c r="L1960" s="56" t="n">
        <v>0</v>
      </c>
      <c r="M1960" s="56" t="n">
        <v>64</v>
      </c>
      <c r="N1960" s="56" t="n">
        <v>12.1</v>
      </c>
      <c r="O1960" s="56" t="n">
        <f aca="false">IF(D1960=1,"",E1959)</f>
        <v>26.7</v>
      </c>
      <c r="P1960" s="56" t="n">
        <f aca="false">IF(OR(D1960=1,K1959=""),"",K1959)</f>
        <v>1024.5</v>
      </c>
      <c r="Q1960" s="56" t="n">
        <f aca="false">IF(OR(F1960&lt;&gt;0,AND(I1960&lt;&gt;"",E1960&lt;I1960)),1,0)</f>
        <v>0</v>
      </c>
      <c r="R1960" s="56" t="n">
        <f aca="false">IF(AND(D1960&gt;1,Q1960=0,ISNUMBER(O1960),ISNUMBER(P1960)),IF(Q1959=0,1,0),0)</f>
        <v>1</v>
      </c>
      <c r="S1960" s="56" t="n">
        <f aca="false">R1960*(B1960&gt;=Train_Start)*(B1960&lt;=Train_End)</f>
        <v>1</v>
      </c>
      <c r="T1960" s="84" t="n">
        <f aca="false">IF(AND(ISNUMBER(O1960),ISNUMBER(P1960)),Coef_A+Coef_B1*O1960+Coef_B2*P1960,"")</f>
        <v>26.1017889287568</v>
      </c>
      <c r="U1960" s="84" t="n">
        <f aca="false">IF(AND(R1960=1,ISNUMBER(T1960)),E1960-T1960,"")</f>
        <v>3.59821107124322</v>
      </c>
      <c r="V1960" s="84" t="n">
        <f aca="false">IF(ISNUMBER(T1960),T1960,-99)</f>
        <v>26.1017889287568</v>
      </c>
      <c r="W1960" s="84" t="n">
        <f aca="false">IF(ISNUMBER(U1960),ABS(U1960),"")</f>
        <v>3.59821107124322</v>
      </c>
    </row>
    <row r="1961" customFormat="false" ht="15" hidden="false" customHeight="false" outlineLevel="0" collapsed="false">
      <c r="A1961" s="57" t="n">
        <v>33482</v>
      </c>
      <c r="B1961" s="56" t="n">
        <v>1991</v>
      </c>
      <c r="C1961" s="56" t="n">
        <v>9</v>
      </c>
      <c r="D1961" s="56" t="n">
        <v>124</v>
      </c>
      <c r="E1961" s="56" t="n">
        <v>26.3</v>
      </c>
      <c r="F1961" s="56" t="n">
        <v>0</v>
      </c>
      <c r="G1961" s="56" t="n">
        <v>13.6</v>
      </c>
      <c r="H1961" s="56" t="n">
        <v>0</v>
      </c>
      <c r="I1961" s="56" t="n">
        <v>21.6</v>
      </c>
      <c r="J1961" s="56" t="n">
        <v>0</v>
      </c>
      <c r="K1961" s="56" t="n">
        <v>1017.5</v>
      </c>
      <c r="L1961" s="56" t="n">
        <v>0</v>
      </c>
      <c r="M1961" s="56" t="n">
        <v>64</v>
      </c>
      <c r="N1961" s="56" t="n">
        <v>10.1</v>
      </c>
      <c r="O1961" s="56" t="n">
        <f aca="false">IF(D1961=1,"",E1960)</f>
        <v>29.7</v>
      </c>
      <c r="P1961" s="56" t="n">
        <f aca="false">IF(OR(D1961=1,K1960=""),"",K1960)</f>
        <v>1021</v>
      </c>
      <c r="Q1961" s="56" t="n">
        <f aca="false">IF(OR(F1961&lt;&gt;0,AND(I1961&lt;&gt;"",E1961&lt;I1961)),1,0)</f>
        <v>0</v>
      </c>
      <c r="R1961" s="56" t="n">
        <f aca="false">IF(AND(D1961&gt;1,Q1961=0,ISNUMBER(O1961),ISNUMBER(P1961)),IF(Q1960=0,1,0),0)</f>
        <v>1</v>
      </c>
      <c r="S1961" s="56" t="n">
        <f aca="false">R1961*(B1961&gt;=Train_Start)*(B1961&lt;=Train_End)</f>
        <v>1</v>
      </c>
      <c r="T1961" s="84" t="n">
        <f aca="false">IF(AND(ISNUMBER(O1961),ISNUMBER(P1961)),Coef_A+Coef_B1*O1961+Coef_B2*P1961,"")</f>
        <v>28.4500118766658</v>
      </c>
      <c r="U1961" s="84" t="n">
        <f aca="false">IF(AND(R1961=1,ISNUMBER(T1961)),E1961-T1961,"")</f>
        <v>-2.15001187666579</v>
      </c>
      <c r="V1961" s="84" t="n">
        <f aca="false">IF(ISNUMBER(T1961),T1961,-99)</f>
        <v>28.4500118766658</v>
      </c>
      <c r="W1961" s="84" t="n">
        <f aca="false">IF(ISNUMBER(U1961),ABS(U1961),"")</f>
        <v>2.15001187666579</v>
      </c>
    </row>
    <row r="1962" customFormat="false" ht="15" hidden="false" customHeight="false" outlineLevel="0" collapsed="false">
      <c r="A1962" s="57" t="n">
        <v>33483</v>
      </c>
      <c r="B1962" s="56" t="n">
        <v>1991</v>
      </c>
      <c r="C1962" s="56" t="n">
        <v>9</v>
      </c>
      <c r="D1962" s="56" t="n">
        <v>125</v>
      </c>
      <c r="E1962" s="56" t="n">
        <v>25.8</v>
      </c>
      <c r="F1962" s="56" t="n">
        <v>0</v>
      </c>
      <c r="G1962" s="56" t="n">
        <v>15</v>
      </c>
      <c r="H1962" s="56" t="n">
        <v>0</v>
      </c>
      <c r="I1962" s="56" t="n">
        <v>20.6</v>
      </c>
      <c r="J1962" s="56" t="n">
        <v>0</v>
      </c>
      <c r="K1962" s="56" t="n">
        <v>1023.2</v>
      </c>
      <c r="L1962" s="56" t="n">
        <v>0</v>
      </c>
      <c r="M1962" s="56" t="n">
        <v>70</v>
      </c>
      <c r="N1962" s="56" t="n">
        <v>9.6</v>
      </c>
      <c r="O1962" s="56" t="n">
        <f aca="false">IF(D1962=1,"",E1961)</f>
        <v>26.3</v>
      </c>
      <c r="P1962" s="56" t="n">
        <f aca="false">IF(OR(D1962=1,K1961=""),"",K1961)</f>
        <v>1017.5</v>
      </c>
      <c r="Q1962" s="56" t="n">
        <f aca="false">IF(OR(F1962&lt;&gt;0,AND(I1962&lt;&gt;"",E1962&lt;I1962)),1,0)</f>
        <v>0</v>
      </c>
      <c r="R1962" s="56" t="n">
        <f aca="false">IF(AND(D1962&gt;1,Q1962=0,ISNUMBER(O1962),ISNUMBER(P1962)),IF(Q1961=0,1,0),0)</f>
        <v>1</v>
      </c>
      <c r="S1962" s="56" t="n">
        <f aca="false">R1962*(B1962&gt;=Train_Start)*(B1962&lt;=Train_End)</f>
        <v>1</v>
      </c>
      <c r="T1962" s="84" t="n">
        <f aca="false">IF(AND(ISNUMBER(O1962),ISNUMBER(P1962)),Coef_A+Coef_B1*O1962+Coef_B2*P1962,"")</f>
        <v>25.5544639891018</v>
      </c>
      <c r="U1962" s="84" t="n">
        <f aca="false">IF(AND(R1962=1,ISNUMBER(T1962)),E1962-T1962,"")</f>
        <v>0.245536010898199</v>
      </c>
      <c r="V1962" s="84" t="n">
        <f aca="false">IF(ISNUMBER(T1962),T1962,-99)</f>
        <v>25.5544639891018</v>
      </c>
      <c r="W1962" s="84" t="n">
        <f aca="false">IF(ISNUMBER(U1962),ABS(U1962),"")</f>
        <v>0.245536010898199</v>
      </c>
    </row>
    <row r="1963" customFormat="false" ht="15" hidden="false" customHeight="false" outlineLevel="0" collapsed="false">
      <c r="A1963" s="57" t="n">
        <v>33484</v>
      </c>
      <c r="B1963" s="56" t="n">
        <v>1991</v>
      </c>
      <c r="C1963" s="56" t="n">
        <v>9</v>
      </c>
      <c r="D1963" s="56" t="n">
        <v>126</v>
      </c>
      <c r="E1963" s="56" t="n">
        <v>27.5</v>
      </c>
      <c r="F1963" s="56" t="n">
        <v>0</v>
      </c>
      <c r="G1963" s="56" t="n">
        <v>14.8</v>
      </c>
      <c r="H1963" s="56" t="n">
        <v>0</v>
      </c>
      <c r="I1963" s="56" t="n">
        <v>20.3</v>
      </c>
      <c r="J1963" s="56" t="n">
        <v>0</v>
      </c>
      <c r="K1963" s="56" t="n">
        <v>1028.7</v>
      </c>
      <c r="L1963" s="56" t="n">
        <v>0</v>
      </c>
      <c r="M1963" s="56" t="n">
        <v>75</v>
      </c>
      <c r="N1963" s="56" t="n">
        <v>9.6</v>
      </c>
      <c r="O1963" s="56" t="n">
        <f aca="false">IF(D1963=1,"",E1962)</f>
        <v>25.8</v>
      </c>
      <c r="P1963" s="56" t="n">
        <f aca="false">IF(OR(D1963=1,K1962=""),"",K1962)</f>
        <v>1023.2</v>
      </c>
      <c r="Q1963" s="56" t="n">
        <f aca="false">IF(OR(F1963&lt;&gt;0,AND(I1963&lt;&gt;"",E1963&lt;I1963)),1,0)</f>
        <v>0</v>
      </c>
      <c r="R1963" s="56" t="n">
        <f aca="false">IF(AND(D1963&gt;1,Q1963=0,ISNUMBER(O1963),ISNUMBER(P1963)),IF(Q1962=0,1,0),0)</f>
        <v>1</v>
      </c>
      <c r="S1963" s="56" t="n">
        <f aca="false">R1963*(B1963&gt;=Train_Start)*(B1963&lt;=Train_End)</f>
        <v>1</v>
      </c>
      <c r="T1963" s="84" t="n">
        <f aca="false">IF(AND(ISNUMBER(O1963),ISNUMBER(P1963)),Coef_A+Coef_B1*O1963+Coef_B2*P1963,"")</f>
        <v>25.3236027919942</v>
      </c>
      <c r="U1963" s="84" t="n">
        <f aca="false">IF(AND(R1963=1,ISNUMBER(T1963)),E1963-T1963,"")</f>
        <v>2.17639720800579</v>
      </c>
      <c r="V1963" s="84" t="n">
        <f aca="false">IF(ISNUMBER(T1963),T1963,-99)</f>
        <v>25.3236027919942</v>
      </c>
      <c r="W1963" s="84" t="n">
        <f aca="false">IF(ISNUMBER(U1963),ABS(U1963),"")</f>
        <v>2.17639720800579</v>
      </c>
    </row>
    <row r="1964" customFormat="false" ht="15" hidden="false" customHeight="false" outlineLevel="0" collapsed="false">
      <c r="A1964" s="57" t="n">
        <v>33485</v>
      </c>
      <c r="B1964" s="56" t="n">
        <v>1991</v>
      </c>
      <c r="C1964" s="56" t="n">
        <v>9</v>
      </c>
      <c r="D1964" s="56" t="n">
        <v>127</v>
      </c>
      <c r="E1964" s="56" t="n">
        <v>25</v>
      </c>
      <c r="F1964" s="56" t="n">
        <v>0</v>
      </c>
      <c r="G1964" s="56" t="n">
        <v>14.1</v>
      </c>
      <c r="H1964" s="56" t="n">
        <v>0</v>
      </c>
      <c r="I1964" s="56" t="n">
        <v>20.8</v>
      </c>
      <c r="J1964" s="56" t="n">
        <v>0</v>
      </c>
      <c r="K1964" s="56" t="n">
        <v>1028</v>
      </c>
      <c r="L1964" s="56" t="n">
        <v>0</v>
      </c>
      <c r="M1964" s="56" t="n">
        <v>74</v>
      </c>
      <c r="N1964" s="56" t="n">
        <v>6.8</v>
      </c>
      <c r="O1964" s="56" t="n">
        <f aca="false">IF(D1964=1,"",E1963)</f>
        <v>27.5</v>
      </c>
      <c r="P1964" s="56" t="n">
        <f aca="false">IF(OR(D1964=1,K1963=""),"",K1963)</f>
        <v>1028.7</v>
      </c>
      <c r="Q1964" s="56" t="n">
        <f aca="false">IF(OR(F1964&lt;&gt;0,AND(I1964&lt;&gt;"",E1964&lt;I1964)),1,0)</f>
        <v>0</v>
      </c>
      <c r="R1964" s="56" t="n">
        <f aca="false">IF(AND(D1964&gt;1,Q1964=0,ISNUMBER(O1964),ISNUMBER(P1964)),IF(Q1963=0,1,0),0)</f>
        <v>1</v>
      </c>
      <c r="S1964" s="56" t="n">
        <f aca="false">R1964*(B1964&gt;=Train_Start)*(B1964&lt;=Train_End)</f>
        <v>1</v>
      </c>
      <c r="T1964" s="84" t="n">
        <f aca="false">IF(AND(ISNUMBER(O1964),ISNUMBER(P1964)),Coef_A+Coef_B1*O1964+Coef_B2*P1964,"")</f>
        <v>26.8890138406537</v>
      </c>
      <c r="U1964" s="84" t="n">
        <f aca="false">IF(AND(R1964=1,ISNUMBER(T1964)),E1964-T1964,"")</f>
        <v>-1.88901384065367</v>
      </c>
      <c r="V1964" s="84" t="n">
        <f aca="false">IF(ISNUMBER(T1964),T1964,-99)</f>
        <v>26.8890138406537</v>
      </c>
      <c r="W1964" s="84" t="n">
        <f aca="false">IF(ISNUMBER(U1964),ABS(U1964),"")</f>
        <v>1.88901384065367</v>
      </c>
    </row>
    <row r="1965" customFormat="false" ht="15" hidden="false" customHeight="false" outlineLevel="0" collapsed="false">
      <c r="A1965" s="57" t="n">
        <v>33486</v>
      </c>
      <c r="B1965" s="56" t="n">
        <v>1991</v>
      </c>
      <c r="C1965" s="56" t="n">
        <v>9</v>
      </c>
      <c r="D1965" s="56" t="n">
        <v>128</v>
      </c>
      <c r="E1965" s="56" t="n">
        <v>20.7</v>
      </c>
      <c r="F1965" s="56" t="n">
        <v>0</v>
      </c>
      <c r="G1965" s="56" t="n">
        <v>14.8</v>
      </c>
      <c r="H1965" s="56" t="n">
        <v>0</v>
      </c>
      <c r="I1965" s="56" t="n">
        <v>19.9</v>
      </c>
      <c r="J1965" s="56" t="n">
        <v>0</v>
      </c>
      <c r="K1965" s="56" t="n">
        <v>1027.5</v>
      </c>
      <c r="L1965" s="56" t="n">
        <v>0</v>
      </c>
      <c r="M1965" s="56" t="n">
        <v>71</v>
      </c>
      <c r="N1965" s="56" t="n">
        <v>7.4</v>
      </c>
      <c r="O1965" s="56" t="n">
        <f aca="false">IF(D1965=1,"",E1964)</f>
        <v>25</v>
      </c>
      <c r="P1965" s="56" t="n">
        <f aca="false">IF(OR(D1965=1,K1964=""),"",K1964)</f>
        <v>1028</v>
      </c>
      <c r="Q1965" s="56" t="n">
        <f aca="false">IF(OR(F1965&lt;&gt;0,AND(I1965&lt;&gt;"",E1965&lt;I1965)),1,0)</f>
        <v>0</v>
      </c>
      <c r="R1965" s="56" t="n">
        <f aca="false">IF(AND(D1965&gt;1,Q1965=0,ISNUMBER(O1965),ISNUMBER(P1965)),IF(Q1964=0,1,0),0)</f>
        <v>1</v>
      </c>
      <c r="S1965" s="56" t="n">
        <f aca="false">R1965*(B1965&gt;=Train_Start)*(B1965&lt;=Train_End)</f>
        <v>1</v>
      </c>
      <c r="T1965" s="84" t="n">
        <f aca="false">IF(AND(ISNUMBER(O1965),ISNUMBER(P1965)),Coef_A+Coef_B1*O1965+Coef_B2*P1965,"")</f>
        <v>24.8187069318032</v>
      </c>
      <c r="U1965" s="84" t="n">
        <f aca="false">IF(AND(R1965=1,ISNUMBER(T1965)),E1965-T1965,"")</f>
        <v>-4.11870693180324</v>
      </c>
      <c r="V1965" s="84" t="n">
        <f aca="false">IF(ISNUMBER(T1965),T1965,-99)</f>
        <v>24.8187069318032</v>
      </c>
      <c r="W1965" s="84" t="n">
        <f aca="false">IF(ISNUMBER(U1965),ABS(U1965),"")</f>
        <v>4.11870693180324</v>
      </c>
    </row>
    <row r="1966" customFormat="false" ht="15" hidden="false" customHeight="false" outlineLevel="0" collapsed="false">
      <c r="A1966" s="57" t="n">
        <v>33487</v>
      </c>
      <c r="B1966" s="56" t="n">
        <v>1991</v>
      </c>
      <c r="C1966" s="56" t="n">
        <v>9</v>
      </c>
      <c r="D1966" s="56" t="n">
        <v>129</v>
      </c>
      <c r="E1966" s="56" t="n">
        <v>21.4</v>
      </c>
      <c r="F1966" s="56" t="n">
        <v>0</v>
      </c>
      <c r="G1966" s="56" t="n">
        <v>14.1</v>
      </c>
      <c r="H1966" s="56" t="n">
        <v>0</v>
      </c>
      <c r="I1966" s="56" t="n">
        <v>17.4</v>
      </c>
      <c r="J1966" s="56" t="n">
        <v>0</v>
      </c>
      <c r="K1966" s="56" t="n">
        <v>1030.7</v>
      </c>
      <c r="L1966" s="56" t="n">
        <v>0</v>
      </c>
      <c r="M1966" s="56" t="n">
        <v>60</v>
      </c>
      <c r="N1966" s="56" t="n">
        <v>10</v>
      </c>
      <c r="O1966" s="56" t="n">
        <f aca="false">IF(D1966=1,"",E1965)</f>
        <v>20.7</v>
      </c>
      <c r="P1966" s="56" t="n">
        <f aca="false">IF(OR(D1966=1,K1965=""),"",K1965)</f>
        <v>1027.5</v>
      </c>
      <c r="Q1966" s="56" t="n">
        <f aca="false">IF(OR(F1966&lt;&gt;0,AND(I1966&lt;&gt;"",E1966&lt;I1966)),1,0)</f>
        <v>0</v>
      </c>
      <c r="R1966" s="56" t="n">
        <f aca="false">IF(AND(D1966&gt;1,Q1966=0,ISNUMBER(O1966),ISNUMBER(P1966)),IF(Q1965=0,1,0),0)</f>
        <v>1</v>
      </c>
      <c r="S1966" s="56" t="n">
        <f aca="false">R1966*(B1966&gt;=Train_Start)*(B1966&lt;=Train_End)</f>
        <v>1</v>
      </c>
      <c r="T1966" s="84" t="n">
        <f aca="false">IF(AND(ISNUMBER(O1966),ISNUMBER(P1966)),Coef_A+Coef_B1*O1966+Coef_B2*P1966,"")</f>
        <v>21.2798634544028</v>
      </c>
      <c r="U1966" s="84" t="n">
        <f aca="false">IF(AND(R1966=1,ISNUMBER(T1966)),E1966-T1966,"")</f>
        <v>0.120136545597191</v>
      </c>
      <c r="V1966" s="84" t="n">
        <f aca="false">IF(ISNUMBER(T1966),T1966,-99)</f>
        <v>21.2798634544028</v>
      </c>
      <c r="W1966" s="84" t="n">
        <f aca="false">IF(ISNUMBER(U1966),ABS(U1966),"")</f>
        <v>0.120136545597191</v>
      </c>
    </row>
    <row r="1967" customFormat="false" ht="15" hidden="false" customHeight="false" outlineLevel="0" collapsed="false">
      <c r="A1967" s="57" t="n">
        <v>33488</v>
      </c>
      <c r="B1967" s="56" t="n">
        <v>1991</v>
      </c>
      <c r="C1967" s="56" t="n">
        <v>9</v>
      </c>
      <c r="D1967" s="56" t="n">
        <v>130</v>
      </c>
      <c r="E1967" s="56" t="n">
        <v>24.7</v>
      </c>
      <c r="F1967" s="56" t="n">
        <v>0</v>
      </c>
      <c r="G1967" s="56" t="n">
        <v>9.1</v>
      </c>
      <c r="H1967" s="56" t="n">
        <v>0</v>
      </c>
      <c r="I1967" s="56" t="n">
        <v>15.2</v>
      </c>
      <c r="J1967" s="56" t="n">
        <v>0</v>
      </c>
      <c r="K1967" s="56" t="n">
        <v>1029.6</v>
      </c>
      <c r="L1967" s="56" t="n">
        <v>0</v>
      </c>
      <c r="M1967" s="56" t="n">
        <v>65</v>
      </c>
      <c r="N1967" s="56" t="n">
        <v>11.8</v>
      </c>
      <c r="O1967" s="56" t="n">
        <f aca="false">IF(D1967=1,"",E1966)</f>
        <v>21.4</v>
      </c>
      <c r="P1967" s="56" t="n">
        <f aca="false">IF(OR(D1967=1,K1966=""),"",K1966)</f>
        <v>1030.7</v>
      </c>
      <c r="Q1967" s="56" t="n">
        <f aca="false">IF(OR(F1967&lt;&gt;0,AND(I1967&lt;&gt;"",E1967&lt;I1967)),1,0)</f>
        <v>0</v>
      </c>
      <c r="R1967" s="56" t="n">
        <f aca="false">IF(AND(D1967&gt;1,Q1967=0,ISNUMBER(O1967),ISNUMBER(P1967)),IF(Q1966=0,1,0),0)</f>
        <v>1</v>
      </c>
      <c r="S1967" s="56" t="n">
        <f aca="false">R1967*(B1967&gt;=Train_Start)*(B1967&lt;=Train_End)</f>
        <v>1</v>
      </c>
      <c r="T1967" s="84" t="n">
        <f aca="false">IF(AND(ISNUMBER(O1967),ISNUMBER(P1967)),Coef_A+Coef_B1*O1967+Coef_B2*P1967,"")</f>
        <v>21.9537845523614</v>
      </c>
      <c r="U1967" s="84" t="n">
        <f aca="false">IF(AND(R1967=1,ISNUMBER(T1967)),E1967-T1967,"")</f>
        <v>2.74621544763856</v>
      </c>
      <c r="V1967" s="84" t="n">
        <f aca="false">IF(ISNUMBER(T1967),T1967,-99)</f>
        <v>21.9537845523614</v>
      </c>
      <c r="W1967" s="84" t="n">
        <f aca="false">IF(ISNUMBER(U1967),ABS(U1967),"")</f>
        <v>2.74621544763856</v>
      </c>
    </row>
    <row r="1968" customFormat="false" ht="15" hidden="false" customHeight="false" outlineLevel="0" collapsed="false">
      <c r="A1968" s="57" t="n">
        <v>33489</v>
      </c>
      <c r="B1968" s="56" t="n">
        <v>1991</v>
      </c>
      <c r="C1968" s="56" t="n">
        <v>9</v>
      </c>
      <c r="D1968" s="56" t="n">
        <v>131</v>
      </c>
      <c r="E1968" s="56" t="n">
        <v>23.9</v>
      </c>
      <c r="F1968" s="56" t="n">
        <v>0</v>
      </c>
      <c r="G1968" s="56" t="n">
        <v>9.7</v>
      </c>
      <c r="H1968" s="56" t="n">
        <v>0</v>
      </c>
      <c r="I1968" s="56" t="n">
        <v>17.2</v>
      </c>
      <c r="J1968" s="56" t="n">
        <v>0</v>
      </c>
      <c r="K1968" s="56" t="n">
        <v>1024.2</v>
      </c>
      <c r="L1968" s="56" t="n">
        <v>0</v>
      </c>
      <c r="M1968" s="56" t="n">
        <v>65</v>
      </c>
      <c r="N1968" s="56" t="n">
        <v>10.6</v>
      </c>
      <c r="O1968" s="56" t="n">
        <f aca="false">IF(D1968=1,"",E1967)</f>
        <v>24.7</v>
      </c>
      <c r="P1968" s="56" t="n">
        <f aca="false">IF(OR(D1968=1,K1967=""),"",K1967)</f>
        <v>1029.6</v>
      </c>
      <c r="Q1968" s="56" t="n">
        <f aca="false">IF(OR(F1968&lt;&gt;0,AND(I1968&lt;&gt;"",E1968&lt;I1968)),1,0)</f>
        <v>0</v>
      </c>
      <c r="R1968" s="56" t="n">
        <f aca="false">IF(AND(D1968&gt;1,Q1968=0,ISNUMBER(O1968),ISNUMBER(P1968)),IF(Q1967=0,1,0),0)</f>
        <v>1</v>
      </c>
      <c r="S1968" s="56" t="n">
        <f aca="false">R1968*(B1968&gt;=Train_Start)*(B1968&lt;=Train_End)</f>
        <v>1</v>
      </c>
      <c r="T1968" s="84" t="n">
        <f aca="false">IF(AND(ISNUMBER(O1968),ISNUMBER(P1968)),Coef_A+Coef_B1*O1968+Coef_B2*P1968,"")</f>
        <v>24.6230970053048</v>
      </c>
      <c r="U1968" s="84" t="n">
        <f aca="false">IF(AND(R1968=1,ISNUMBER(T1968)),E1968-T1968,"")</f>
        <v>-0.723097005304819</v>
      </c>
      <c r="V1968" s="84" t="n">
        <f aca="false">IF(ISNUMBER(T1968),T1968,-99)</f>
        <v>24.6230970053048</v>
      </c>
      <c r="W1968" s="84" t="n">
        <f aca="false">IF(ISNUMBER(U1968),ABS(U1968),"")</f>
        <v>0.723097005304819</v>
      </c>
    </row>
    <row r="1969" customFormat="false" ht="15" hidden="false" customHeight="false" outlineLevel="0" collapsed="false">
      <c r="A1969" s="57" t="n">
        <v>33490</v>
      </c>
      <c r="B1969" s="56" t="n">
        <v>1991</v>
      </c>
      <c r="C1969" s="56" t="n">
        <v>9</v>
      </c>
      <c r="D1969" s="56" t="n">
        <v>132</v>
      </c>
      <c r="E1969" s="56" t="n">
        <v>24.3</v>
      </c>
      <c r="F1969" s="56" t="n">
        <v>0</v>
      </c>
      <c r="G1969" s="56" t="n">
        <v>11.4</v>
      </c>
      <c r="H1969" s="56" t="n">
        <v>0</v>
      </c>
      <c r="I1969" s="56" t="n">
        <v>17.6</v>
      </c>
      <c r="J1969" s="56" t="n">
        <v>0</v>
      </c>
      <c r="K1969" s="56" t="n">
        <v>1020.1</v>
      </c>
      <c r="L1969" s="56" t="n">
        <v>0</v>
      </c>
      <c r="M1969" s="56" t="n">
        <v>71</v>
      </c>
      <c r="N1969" s="56" t="n">
        <v>8.9</v>
      </c>
      <c r="O1969" s="56" t="n">
        <f aca="false">IF(D1969=1,"",E1968)</f>
        <v>23.9</v>
      </c>
      <c r="P1969" s="56" t="n">
        <f aca="false">IF(OR(D1969=1,K1968=""),"",K1968)</f>
        <v>1024.2</v>
      </c>
      <c r="Q1969" s="56" t="n">
        <f aca="false">IF(OR(F1969&lt;&gt;0,AND(I1969&lt;&gt;"",E1969&lt;I1969)),1,0)</f>
        <v>0</v>
      </c>
      <c r="R1969" s="56" t="n">
        <f aca="false">IF(AND(D1969&gt;1,Q1969=0,ISNUMBER(O1969),ISNUMBER(P1969)),IF(Q1968=0,1,0),0)</f>
        <v>1</v>
      </c>
      <c r="S1969" s="56" t="n">
        <f aca="false">R1969*(B1969&gt;=Train_Start)*(B1969&lt;=Train_End)</f>
        <v>1</v>
      </c>
      <c r="T1969" s="84" t="n">
        <f aca="false">IF(AND(ISNUMBER(O1969),ISNUMBER(P1969)),Coef_A+Coef_B1*O1969+Coef_B2*P1969,"")</f>
        <v>23.7982282198472</v>
      </c>
      <c r="U1969" s="84" t="n">
        <f aca="false">IF(AND(R1969=1,ISNUMBER(T1969)),E1969-T1969,"")</f>
        <v>0.501771780152851</v>
      </c>
      <c r="V1969" s="84" t="n">
        <f aca="false">IF(ISNUMBER(T1969),T1969,-99)</f>
        <v>23.7982282198472</v>
      </c>
      <c r="W1969" s="84" t="n">
        <f aca="false">IF(ISNUMBER(U1969),ABS(U1969),"")</f>
        <v>0.501771780152851</v>
      </c>
    </row>
    <row r="1970" customFormat="false" ht="15" hidden="false" customHeight="false" outlineLevel="0" collapsed="false">
      <c r="A1970" s="57" t="n">
        <v>33491</v>
      </c>
      <c r="B1970" s="56" t="n">
        <v>1991</v>
      </c>
      <c r="C1970" s="56" t="n">
        <v>9</v>
      </c>
      <c r="D1970" s="56" t="n">
        <v>133</v>
      </c>
      <c r="E1970" s="56" t="n">
        <v>18.8</v>
      </c>
      <c r="F1970" s="56" t="n">
        <v>0</v>
      </c>
      <c r="G1970" s="56" t="n">
        <v>12.1</v>
      </c>
      <c r="H1970" s="56" t="n">
        <v>0</v>
      </c>
      <c r="I1970" s="56" t="n">
        <v>18.2</v>
      </c>
      <c r="J1970" s="56" t="n">
        <v>0</v>
      </c>
      <c r="K1970" s="56" t="n">
        <v>1016.2</v>
      </c>
      <c r="L1970" s="56" t="n">
        <v>0</v>
      </c>
      <c r="M1970" s="56" t="n">
        <v>72</v>
      </c>
      <c r="N1970" s="56" t="n">
        <v>5.8</v>
      </c>
      <c r="O1970" s="56" t="n">
        <f aca="false">IF(D1970=1,"",E1969)</f>
        <v>24.3</v>
      </c>
      <c r="P1970" s="56" t="n">
        <f aca="false">IF(OR(D1970=1,K1969=""),"",K1969)</f>
        <v>1020.1</v>
      </c>
      <c r="Q1970" s="56" t="n">
        <f aca="false">IF(OR(F1970&lt;&gt;0,AND(I1970&lt;&gt;"",E1970&lt;I1970)),1,0)</f>
        <v>0</v>
      </c>
      <c r="R1970" s="56" t="n">
        <f aca="false">IF(AND(D1970&gt;1,Q1970=0,ISNUMBER(O1970),ISNUMBER(P1970)),IF(Q1969=0,1,0),0)</f>
        <v>1</v>
      </c>
      <c r="S1970" s="56" t="n">
        <f aca="false">R1970*(B1970&gt;=Train_Start)*(B1970&lt;=Train_End)</f>
        <v>1</v>
      </c>
      <c r="T1970" s="84" t="n">
        <f aca="false">IF(AND(ISNUMBER(O1970),ISNUMBER(P1970)),Coef_A+Coef_B1*O1970+Coef_B2*P1970,"")</f>
        <v>23.9973473290649</v>
      </c>
      <c r="U1970" s="84" t="n">
        <f aca="false">IF(AND(R1970=1,ISNUMBER(T1970)),E1970-T1970,"")</f>
        <v>-5.19734732906485</v>
      </c>
      <c r="V1970" s="84" t="n">
        <f aca="false">IF(ISNUMBER(T1970),T1970,-99)</f>
        <v>23.9973473290649</v>
      </c>
      <c r="W1970" s="84" t="n">
        <f aca="false">IF(ISNUMBER(U1970),ABS(U1970),"")</f>
        <v>5.19734732906485</v>
      </c>
    </row>
    <row r="1971" customFormat="false" ht="15" hidden="false" customHeight="false" outlineLevel="0" collapsed="false">
      <c r="A1971" s="57" t="n">
        <v>33492</v>
      </c>
      <c r="B1971" s="56" t="n">
        <v>1991</v>
      </c>
      <c r="C1971" s="56" t="n">
        <v>9</v>
      </c>
      <c r="D1971" s="56" t="n">
        <v>134</v>
      </c>
      <c r="E1971" s="56" t="n">
        <v>21.6</v>
      </c>
      <c r="F1971" s="56" t="n">
        <v>0</v>
      </c>
      <c r="G1971" s="56" t="n">
        <v>13.3</v>
      </c>
      <c r="H1971" s="56" t="n">
        <v>0</v>
      </c>
      <c r="I1971" s="56" t="n">
        <v>16</v>
      </c>
      <c r="J1971" s="56" t="n">
        <v>0</v>
      </c>
      <c r="K1971" s="56" t="n">
        <v>1017.7</v>
      </c>
      <c r="L1971" s="56" t="n">
        <v>0</v>
      </c>
      <c r="M1971" s="56" t="n">
        <v>78</v>
      </c>
      <c r="N1971" s="56" t="n">
        <v>0</v>
      </c>
      <c r="O1971" s="56" t="n">
        <f aca="false">IF(D1971=1,"",E1970)</f>
        <v>18.8</v>
      </c>
      <c r="P1971" s="56" t="n">
        <f aca="false">IF(OR(D1971=1,K1970=""),"",K1970)</f>
        <v>1016.2</v>
      </c>
      <c r="Q1971" s="56" t="n">
        <f aca="false">IF(OR(F1971&lt;&gt;0,AND(I1971&lt;&gt;"",E1971&lt;I1971)),1,0)</f>
        <v>0</v>
      </c>
      <c r="R1971" s="56" t="n">
        <f aca="false">IF(AND(D1971&gt;1,Q1971=0,ISNUMBER(O1971),ISNUMBER(P1971)),IF(Q1970=0,1,0),0)</f>
        <v>1</v>
      </c>
      <c r="S1971" s="56" t="n">
        <f aca="false">R1971*(B1971&gt;=Train_Start)*(B1971&lt;=Train_End)</f>
        <v>1</v>
      </c>
      <c r="T1971" s="84" t="n">
        <f aca="false">IF(AND(ISNUMBER(O1971),ISNUMBER(P1971)),Coef_A+Coef_B1*O1971+Coef_B2*P1971,"")</f>
        <v>19.3686391782577</v>
      </c>
      <c r="U1971" s="84" t="n">
        <f aca="false">IF(AND(R1971=1,ISNUMBER(T1971)),E1971-T1971,"")</f>
        <v>2.23136082174232</v>
      </c>
      <c r="V1971" s="84" t="n">
        <f aca="false">IF(ISNUMBER(T1971),T1971,-99)</f>
        <v>19.3686391782577</v>
      </c>
      <c r="W1971" s="84" t="n">
        <f aca="false">IF(ISNUMBER(U1971),ABS(U1971),"")</f>
        <v>2.23136082174232</v>
      </c>
    </row>
    <row r="1972" customFormat="false" ht="15" hidden="false" customHeight="false" outlineLevel="0" collapsed="false">
      <c r="A1972" s="57" t="n">
        <v>33493</v>
      </c>
      <c r="B1972" s="56" t="n">
        <v>1991</v>
      </c>
      <c r="C1972" s="56" t="n">
        <v>9</v>
      </c>
      <c r="D1972" s="56" t="n">
        <v>135</v>
      </c>
      <c r="E1972" s="56" t="n">
        <v>23.3</v>
      </c>
      <c r="F1972" s="56" t="n">
        <v>0</v>
      </c>
      <c r="G1972" s="56" t="n">
        <v>12.2</v>
      </c>
      <c r="H1972" s="56" t="n">
        <v>0</v>
      </c>
      <c r="I1972" s="56" t="n">
        <v>16.9</v>
      </c>
      <c r="J1972" s="56" t="n">
        <v>0</v>
      </c>
      <c r="K1972" s="56" t="n">
        <v>1021.5</v>
      </c>
      <c r="L1972" s="56" t="n">
        <v>0</v>
      </c>
      <c r="M1972" s="56" t="n">
        <v>59</v>
      </c>
      <c r="N1972" s="56" t="n">
        <v>8.7</v>
      </c>
      <c r="O1972" s="56" t="n">
        <f aca="false">IF(D1972=1,"",E1971)</f>
        <v>21.6</v>
      </c>
      <c r="P1972" s="56" t="n">
        <f aca="false">IF(OR(D1972=1,K1971=""),"",K1971)</f>
        <v>1017.7</v>
      </c>
      <c r="Q1972" s="56" t="n">
        <f aca="false">IF(OR(F1972&lt;&gt;0,AND(I1972&lt;&gt;"",E1972&lt;I1972)),1,0)</f>
        <v>0</v>
      </c>
      <c r="R1972" s="56" t="n">
        <f aca="false">IF(AND(D1972&gt;1,Q1972=0,ISNUMBER(O1972),ISNUMBER(P1972)),IF(Q1971=0,1,0),0)</f>
        <v>1</v>
      </c>
      <c r="S1972" s="56" t="n">
        <f aca="false">R1972*(B1972&gt;=Train_Start)*(B1972&lt;=Train_End)</f>
        <v>1</v>
      </c>
      <c r="T1972" s="84" t="n">
        <f aca="false">IF(AND(ISNUMBER(O1972),ISNUMBER(P1972)),Coef_A+Coef_B1*O1972+Coef_B2*P1972,"")</f>
        <v>21.7098437607281</v>
      </c>
      <c r="U1972" s="84" t="n">
        <f aca="false">IF(AND(R1972=1,ISNUMBER(T1972)),E1972-T1972,"")</f>
        <v>1.59015623927189</v>
      </c>
      <c r="V1972" s="84" t="n">
        <f aca="false">IF(ISNUMBER(T1972),T1972,-99)</f>
        <v>21.7098437607281</v>
      </c>
      <c r="W1972" s="84" t="n">
        <f aca="false">IF(ISNUMBER(U1972),ABS(U1972),"")</f>
        <v>1.59015623927189</v>
      </c>
    </row>
    <row r="1973" customFormat="false" ht="15" hidden="false" customHeight="false" outlineLevel="0" collapsed="false">
      <c r="A1973" s="57" t="n">
        <v>33494</v>
      </c>
      <c r="B1973" s="56" t="n">
        <v>1991</v>
      </c>
      <c r="C1973" s="56" t="n">
        <v>9</v>
      </c>
      <c r="D1973" s="56" t="n">
        <v>136</v>
      </c>
      <c r="E1973" s="56" t="n">
        <v>24.6</v>
      </c>
      <c r="F1973" s="56" t="n">
        <v>0</v>
      </c>
      <c r="G1973" s="56" t="n">
        <v>9.5</v>
      </c>
      <c r="H1973" s="56" t="n">
        <v>0</v>
      </c>
      <c r="I1973" s="56" t="n">
        <v>16.4</v>
      </c>
      <c r="J1973" s="56" t="n">
        <v>0</v>
      </c>
      <c r="K1973" s="56" t="n">
        <v>1021.6</v>
      </c>
      <c r="L1973" s="56" t="n">
        <v>0</v>
      </c>
      <c r="M1973" s="56" t="n">
        <v>61</v>
      </c>
      <c r="N1973" s="56" t="n">
        <v>9.4</v>
      </c>
      <c r="O1973" s="56" t="n">
        <f aca="false">IF(D1973=1,"",E1972)</f>
        <v>23.3</v>
      </c>
      <c r="P1973" s="56" t="n">
        <f aca="false">IF(OR(D1973=1,K1972=""),"",K1972)</f>
        <v>1021.5</v>
      </c>
      <c r="Q1973" s="56" t="n">
        <f aca="false">IF(OR(F1973&lt;&gt;0,AND(I1973&lt;&gt;"",E1973&lt;I1973)),1,0)</f>
        <v>0</v>
      </c>
      <c r="R1973" s="56" t="n">
        <f aca="false">IF(AND(D1973&gt;1,Q1973=0,ISNUMBER(O1973),ISNUMBER(P1973)),IF(Q1972=0,1,0),0)</f>
        <v>1</v>
      </c>
      <c r="S1973" s="56" t="n">
        <f aca="false">R1973*(B1973&gt;=Train_Start)*(B1973&lt;=Train_End)</f>
        <v>1</v>
      </c>
      <c r="T1973" s="84" t="n">
        <f aca="false">IF(AND(ISNUMBER(O1973),ISNUMBER(P1973)),Coef_A+Coef_B1*O1973+Coef_B2*P1973,"")</f>
        <v>23.2219259885098</v>
      </c>
      <c r="U1973" s="84" t="n">
        <f aca="false">IF(AND(R1973=1,ISNUMBER(T1973)),E1973-T1973,"")</f>
        <v>1.37807401149021</v>
      </c>
      <c r="V1973" s="84" t="n">
        <f aca="false">IF(ISNUMBER(T1973),T1973,-99)</f>
        <v>23.2219259885098</v>
      </c>
      <c r="W1973" s="84" t="n">
        <f aca="false">IF(ISNUMBER(U1973),ABS(U1973),"")</f>
        <v>1.37807401149021</v>
      </c>
    </row>
    <row r="1974" customFormat="false" ht="15" hidden="false" customHeight="false" outlineLevel="0" collapsed="false">
      <c r="A1974" s="57" t="n">
        <v>33495</v>
      </c>
      <c r="B1974" s="56" t="n">
        <v>1991</v>
      </c>
      <c r="C1974" s="56" t="n">
        <v>9</v>
      </c>
      <c r="D1974" s="56" t="n">
        <v>137</v>
      </c>
      <c r="E1974" s="56" t="n">
        <v>22.2</v>
      </c>
      <c r="F1974" s="56" t="n">
        <v>0</v>
      </c>
      <c r="G1974" s="56" t="n">
        <v>13.5</v>
      </c>
      <c r="H1974" s="56" t="n">
        <v>0</v>
      </c>
      <c r="I1974" s="56" t="n">
        <v>19</v>
      </c>
      <c r="J1974" s="56" t="n">
        <v>0</v>
      </c>
      <c r="K1974" s="56" t="n">
        <v>1018.5</v>
      </c>
      <c r="L1974" s="56" t="n">
        <v>0</v>
      </c>
      <c r="M1974" s="56" t="n">
        <v>72</v>
      </c>
      <c r="N1974" s="56" t="n">
        <v>5.5</v>
      </c>
      <c r="O1974" s="56" t="n">
        <f aca="false">IF(D1974=1,"",E1973)</f>
        <v>24.6</v>
      </c>
      <c r="P1974" s="56" t="n">
        <f aca="false">IF(OR(D1974=1,K1973=""),"",K1973)</f>
        <v>1021.6</v>
      </c>
      <c r="Q1974" s="56" t="n">
        <f aca="false">IF(OR(F1974&lt;&gt;0,AND(I1974&lt;&gt;"",E1974&lt;I1974)),1,0)</f>
        <v>0</v>
      </c>
      <c r="R1974" s="56" t="n">
        <f aca="false">IF(AND(D1974&gt;1,Q1974=0,ISNUMBER(O1974),ISNUMBER(P1974)),IF(Q1973=0,1,0),0)</f>
        <v>1</v>
      </c>
      <c r="S1974" s="56" t="n">
        <f aca="false">R1974*(B1974&gt;=Train_Start)*(B1974&lt;=Train_End)</f>
        <v>1</v>
      </c>
      <c r="T1974" s="84" t="n">
        <f aca="false">IF(AND(ISNUMBER(O1974),ISNUMBER(P1974)),Coef_A+Coef_B1*O1974+Coef_B2*P1974,"")</f>
        <v>24.2902039289286</v>
      </c>
      <c r="U1974" s="84" t="n">
        <f aca="false">IF(AND(R1974=1,ISNUMBER(T1974)),E1974-T1974,"")</f>
        <v>-2.09020392892864</v>
      </c>
      <c r="V1974" s="84" t="n">
        <f aca="false">IF(ISNUMBER(T1974),T1974,-99)</f>
        <v>24.2902039289286</v>
      </c>
      <c r="W1974" s="84" t="n">
        <f aca="false">IF(ISNUMBER(U1974),ABS(U1974),"")</f>
        <v>2.09020392892864</v>
      </c>
    </row>
    <row r="1975" customFormat="false" ht="15" hidden="false" customHeight="false" outlineLevel="0" collapsed="false">
      <c r="A1975" s="57" t="n">
        <v>33496</v>
      </c>
      <c r="B1975" s="56" t="n">
        <v>1991</v>
      </c>
      <c r="C1975" s="56" t="n">
        <v>9</v>
      </c>
      <c r="D1975" s="56" t="n">
        <v>138</v>
      </c>
      <c r="E1975" s="56" t="n">
        <v>20.8</v>
      </c>
      <c r="F1975" s="56" t="n">
        <v>0</v>
      </c>
      <c r="G1975" s="56" t="n">
        <v>14.2</v>
      </c>
      <c r="H1975" s="56" t="n">
        <v>0</v>
      </c>
      <c r="I1975" s="56" t="n">
        <v>18.2</v>
      </c>
      <c r="J1975" s="56" t="n">
        <v>0</v>
      </c>
      <c r="K1975" s="56" t="n">
        <v>1017.7</v>
      </c>
      <c r="L1975" s="56" t="n">
        <v>0</v>
      </c>
      <c r="M1975" s="56" t="n">
        <v>75</v>
      </c>
      <c r="N1975" s="56" t="n">
        <v>6.1</v>
      </c>
      <c r="O1975" s="56" t="n">
        <f aca="false">IF(D1975=1,"",E1974)</f>
        <v>22.2</v>
      </c>
      <c r="P1975" s="56" t="n">
        <f aca="false">IF(OR(D1975=1,K1974=""),"",K1974)</f>
        <v>1018.5</v>
      </c>
      <c r="Q1975" s="56" t="n">
        <f aca="false">IF(OR(F1975&lt;&gt;0,AND(I1975&lt;&gt;"",E1975&lt;I1975)),1,0)</f>
        <v>0</v>
      </c>
      <c r="R1975" s="56" t="n">
        <f aca="false">IF(AND(D1975&gt;1,Q1975=0,ISNUMBER(O1975),ISNUMBER(P1975)),IF(Q1974=0,1,0),0)</f>
        <v>1</v>
      </c>
      <c r="S1975" s="56" t="n">
        <f aca="false">R1975*(B1975&gt;=Train_Start)*(B1975&lt;=Train_End)</f>
        <v>1</v>
      </c>
      <c r="T1975" s="84" t="n">
        <f aca="false">IF(AND(ISNUMBER(O1975),ISNUMBER(P1975)),Coef_A+Coef_B1*O1975+Coef_B2*P1975,"")</f>
        <v>22.2265431922609</v>
      </c>
      <c r="U1975" s="84" t="n">
        <f aca="false">IF(AND(R1975=1,ISNUMBER(T1975)),E1975-T1975,"")</f>
        <v>-1.42654319226089</v>
      </c>
      <c r="V1975" s="84" t="n">
        <f aca="false">IF(ISNUMBER(T1975),T1975,-99)</f>
        <v>22.2265431922609</v>
      </c>
      <c r="W1975" s="84" t="n">
        <f aca="false">IF(ISNUMBER(U1975),ABS(U1975),"")</f>
        <v>1.42654319226089</v>
      </c>
    </row>
    <row r="1976" customFormat="false" ht="15" hidden="false" customHeight="false" outlineLevel="0" collapsed="false">
      <c r="A1976" s="57" t="n">
        <v>33497</v>
      </c>
      <c r="B1976" s="56" t="n">
        <v>1991</v>
      </c>
      <c r="C1976" s="56" t="n">
        <v>9</v>
      </c>
      <c r="D1976" s="56" t="n">
        <v>139</v>
      </c>
      <c r="E1976" s="56" t="n">
        <v>21.8</v>
      </c>
      <c r="F1976" s="56" t="n">
        <v>0</v>
      </c>
      <c r="G1976" s="56" t="n">
        <v>13.5</v>
      </c>
      <c r="H1976" s="56" t="n">
        <v>0</v>
      </c>
      <c r="I1976" s="56" t="n">
        <v>17.2</v>
      </c>
      <c r="J1976" s="56" t="n">
        <v>0</v>
      </c>
      <c r="K1976" s="56" t="n">
        <v>1016</v>
      </c>
      <c r="L1976" s="56" t="n">
        <v>0</v>
      </c>
      <c r="M1976" s="56" t="n">
        <v>86</v>
      </c>
      <c r="N1976" s="56" t="n">
        <v>0.1</v>
      </c>
      <c r="O1976" s="56" t="n">
        <f aca="false">IF(D1976=1,"",E1975)</f>
        <v>20.8</v>
      </c>
      <c r="P1976" s="56" t="n">
        <f aca="false">IF(OR(D1976=1,K1975=""),"",K1975)</f>
        <v>1017.7</v>
      </c>
      <c r="Q1976" s="56" t="n">
        <f aca="false">IF(OR(F1976&lt;&gt;0,AND(I1976&lt;&gt;"",E1976&lt;I1976)),1,0)</f>
        <v>0</v>
      </c>
      <c r="R1976" s="56" t="n">
        <f aca="false">IF(AND(D1976&gt;1,Q1976=0,ISNUMBER(O1976),ISNUMBER(P1976)),IF(Q1975=0,1,0),0)</f>
        <v>1</v>
      </c>
      <c r="S1976" s="56" t="n">
        <f aca="false">R1976*(B1976&gt;=Train_Start)*(B1976&lt;=Train_End)</f>
        <v>1</v>
      </c>
      <c r="T1976" s="84" t="n">
        <f aca="false">IF(AND(ISNUMBER(O1976),ISNUMBER(P1976)),Coef_A+Coef_B1*O1976+Coef_B2*P1976,"")</f>
        <v>21.054372406294</v>
      </c>
      <c r="U1976" s="84" t="n">
        <f aca="false">IF(AND(R1976=1,ISNUMBER(T1976)),E1976-T1976,"")</f>
        <v>0.745627593706018</v>
      </c>
      <c r="V1976" s="84" t="n">
        <f aca="false">IF(ISNUMBER(T1976),T1976,-99)</f>
        <v>21.054372406294</v>
      </c>
      <c r="W1976" s="84" t="n">
        <f aca="false">IF(ISNUMBER(U1976),ABS(U1976),"")</f>
        <v>0.745627593706018</v>
      </c>
    </row>
    <row r="1977" customFormat="false" ht="15" hidden="false" customHeight="false" outlineLevel="0" collapsed="false">
      <c r="A1977" s="57" t="n">
        <v>33498</v>
      </c>
      <c r="B1977" s="56" t="n">
        <v>1991</v>
      </c>
      <c r="C1977" s="56" t="n">
        <v>9</v>
      </c>
      <c r="D1977" s="56" t="n">
        <v>140</v>
      </c>
      <c r="E1977" s="56" t="n">
        <v>21.4</v>
      </c>
      <c r="F1977" s="56" t="n">
        <v>0</v>
      </c>
      <c r="G1977" s="56" t="n">
        <v>10.7</v>
      </c>
      <c r="H1977" s="56" t="n">
        <v>0</v>
      </c>
      <c r="I1977" s="56" t="n">
        <v>16.2</v>
      </c>
      <c r="J1977" s="56" t="n">
        <v>0</v>
      </c>
      <c r="K1977" s="56" t="n">
        <v>1020.4</v>
      </c>
      <c r="L1977" s="56" t="n">
        <v>0</v>
      </c>
      <c r="M1977" s="56" t="n">
        <v>72</v>
      </c>
      <c r="N1977" s="56" t="n">
        <v>8.1</v>
      </c>
      <c r="O1977" s="56" t="n">
        <f aca="false">IF(D1977=1,"",E1976)</f>
        <v>21.8</v>
      </c>
      <c r="P1977" s="56" t="n">
        <f aca="false">IF(OR(D1977=1,K1976=""),"",K1976)</f>
        <v>1016</v>
      </c>
      <c r="Q1977" s="56" t="n">
        <f aca="false">IF(OR(F1977&lt;&gt;0,AND(I1977&lt;&gt;"",E1977&lt;I1977)),1,0)</f>
        <v>0</v>
      </c>
      <c r="R1977" s="56" t="n">
        <f aca="false">IF(AND(D1977&gt;1,Q1977=0,ISNUMBER(O1977),ISNUMBER(P1977)),IF(Q1976=0,1,0),0)</f>
        <v>1</v>
      </c>
      <c r="S1977" s="56" t="n">
        <f aca="false">R1977*(B1977&gt;=Train_Start)*(B1977&lt;=Train_End)</f>
        <v>1</v>
      </c>
      <c r="T1977" s="84" t="n">
        <f aca="false">IF(AND(ISNUMBER(O1977),ISNUMBER(P1977)),Coef_A+Coef_B1*O1977+Coef_B2*P1977,"")</f>
        <v>21.8203827784589</v>
      </c>
      <c r="U1977" s="84" t="n">
        <f aca="false">IF(AND(R1977=1,ISNUMBER(T1977)),E1977-T1977,"")</f>
        <v>-0.420382778458858</v>
      </c>
      <c r="V1977" s="84" t="n">
        <f aca="false">IF(ISNUMBER(T1977),T1977,-99)</f>
        <v>21.8203827784589</v>
      </c>
      <c r="W1977" s="84" t="n">
        <f aca="false">IF(ISNUMBER(U1977),ABS(U1977),"")</f>
        <v>0.420382778458858</v>
      </c>
    </row>
    <row r="1978" customFormat="false" ht="15" hidden="false" customHeight="false" outlineLevel="0" collapsed="false">
      <c r="A1978" s="57" t="n">
        <v>33499</v>
      </c>
      <c r="B1978" s="56" t="n">
        <v>1991</v>
      </c>
      <c r="C1978" s="56" t="n">
        <v>9</v>
      </c>
      <c r="D1978" s="56" t="n">
        <v>141</v>
      </c>
      <c r="E1978" s="56" t="n">
        <v>19.6</v>
      </c>
      <c r="F1978" s="56" t="n">
        <v>0</v>
      </c>
      <c r="G1978" s="56" t="n">
        <v>12.2</v>
      </c>
      <c r="H1978" s="56" t="n">
        <v>0</v>
      </c>
      <c r="I1978" s="56" t="n">
        <v>16.8</v>
      </c>
      <c r="J1978" s="56" t="n">
        <v>0</v>
      </c>
      <c r="K1978" s="56" t="n">
        <v>1020</v>
      </c>
      <c r="L1978" s="56" t="n">
        <v>0</v>
      </c>
      <c r="M1978" s="56" t="n">
        <v>82</v>
      </c>
      <c r="N1978" s="56" t="n">
        <v>1.7</v>
      </c>
      <c r="O1978" s="56" t="n">
        <f aca="false">IF(D1978=1,"",E1977)</f>
        <v>21.4</v>
      </c>
      <c r="P1978" s="56" t="n">
        <f aca="false">IF(OR(D1978=1,K1977=""),"",K1977)</f>
        <v>1020.4</v>
      </c>
      <c r="Q1978" s="56" t="n">
        <f aca="false">IF(OR(F1978&lt;&gt;0,AND(I1978&lt;&gt;"",E1978&lt;I1978)),1,0)</f>
        <v>0</v>
      </c>
      <c r="R1978" s="56" t="n">
        <f aca="false">IF(AND(D1978&gt;1,Q1978=0,ISNUMBER(O1978),ISNUMBER(P1978)),IF(Q1977=0,1,0),0)</f>
        <v>1</v>
      </c>
      <c r="S1978" s="56" t="n">
        <f aca="false">R1978*(B1978&gt;=Train_Start)*(B1978&lt;=Train_End)</f>
        <v>1</v>
      </c>
      <c r="T1978" s="84" t="n">
        <f aca="false">IF(AND(ISNUMBER(O1978),ISNUMBER(P1978)),Coef_A+Coef_B1*O1978+Coef_B2*P1978,"")</f>
        <v>21.6306746376313</v>
      </c>
      <c r="U1978" s="84" t="n">
        <f aca="false">IF(AND(R1978=1,ISNUMBER(T1978)),E1978-T1978,"")</f>
        <v>-2.03067463763135</v>
      </c>
      <c r="V1978" s="84" t="n">
        <f aca="false">IF(ISNUMBER(T1978),T1978,-99)</f>
        <v>21.6306746376313</v>
      </c>
      <c r="W1978" s="84" t="n">
        <f aca="false">IF(ISNUMBER(U1978),ABS(U1978),"")</f>
        <v>2.03067463763135</v>
      </c>
    </row>
    <row r="1979" customFormat="false" ht="15" hidden="false" customHeight="false" outlineLevel="0" collapsed="false">
      <c r="A1979" s="57" t="n">
        <v>33500</v>
      </c>
      <c r="B1979" s="56" t="n">
        <v>1991</v>
      </c>
      <c r="C1979" s="56" t="n">
        <v>9</v>
      </c>
      <c r="D1979" s="56" t="n">
        <v>142</v>
      </c>
      <c r="E1979" s="56" t="n">
        <v>20.2</v>
      </c>
      <c r="F1979" s="56" t="n">
        <v>0</v>
      </c>
      <c r="G1979" s="56" t="n">
        <v>6.6</v>
      </c>
      <c r="H1979" s="56" t="n">
        <v>0</v>
      </c>
      <c r="I1979" s="56" t="n">
        <v>13.1</v>
      </c>
      <c r="J1979" s="56" t="n">
        <v>0</v>
      </c>
      <c r="K1979" s="56" t="n">
        <v>1020.3</v>
      </c>
      <c r="L1979" s="56" t="n">
        <v>0</v>
      </c>
      <c r="M1979" s="56" t="n">
        <v>68</v>
      </c>
      <c r="N1979" s="56" t="n">
        <v>8.3</v>
      </c>
      <c r="O1979" s="56" t="n">
        <f aca="false">IF(D1979=1,"",E1978)</f>
        <v>19.6</v>
      </c>
      <c r="P1979" s="56" t="n">
        <f aca="false">IF(OR(D1979=1,K1978=""),"",K1978)</f>
        <v>1020</v>
      </c>
      <c r="Q1979" s="56" t="n">
        <f aca="false">IF(OR(F1979&lt;&gt;0,AND(I1979&lt;&gt;"",E1979&lt;I1979)),1,0)</f>
        <v>0</v>
      </c>
      <c r="R1979" s="56" t="n">
        <f aca="false">IF(AND(D1979&gt;1,Q1979=0,ISNUMBER(O1979),ISNUMBER(P1979)),IF(Q1978=0,1,0),0)</f>
        <v>1</v>
      </c>
      <c r="S1979" s="56" t="n">
        <f aca="false">R1979*(B1979&gt;=Train_Start)*(B1979&lt;=Train_End)</f>
        <v>1</v>
      </c>
      <c r="T1979" s="84" t="n">
        <f aca="false">IF(AND(ISNUMBER(O1979),ISNUMBER(P1979)),Coef_A+Coef_B1*O1979+Coef_B2*P1979,"")</f>
        <v>20.143316132301</v>
      </c>
      <c r="U1979" s="84" t="n">
        <f aca="false">IF(AND(R1979=1,ISNUMBER(T1979)),E1979-T1979,"")</f>
        <v>0.0566838676990322</v>
      </c>
      <c r="V1979" s="84" t="n">
        <f aca="false">IF(ISNUMBER(T1979),T1979,-99)</f>
        <v>20.143316132301</v>
      </c>
      <c r="W1979" s="84" t="n">
        <f aca="false">IF(ISNUMBER(U1979),ABS(U1979),"")</f>
        <v>0.0566838676990322</v>
      </c>
    </row>
    <row r="1980" customFormat="false" ht="15" hidden="false" customHeight="false" outlineLevel="0" collapsed="false">
      <c r="A1980" s="57" t="n">
        <v>33501</v>
      </c>
      <c r="B1980" s="56" t="n">
        <v>1991</v>
      </c>
      <c r="C1980" s="56" t="n">
        <v>9</v>
      </c>
      <c r="D1980" s="56" t="n">
        <v>143</v>
      </c>
      <c r="E1980" s="56" t="n">
        <v>24.6</v>
      </c>
      <c r="F1980" s="56" t="n">
        <v>0</v>
      </c>
      <c r="G1980" s="56" t="n">
        <v>6.5</v>
      </c>
      <c r="H1980" s="56" t="n">
        <v>0</v>
      </c>
      <c r="I1980" s="56" t="n">
        <v>13.4</v>
      </c>
      <c r="J1980" s="56" t="n">
        <v>0</v>
      </c>
      <c r="K1980" s="56" t="n">
        <v>1017.5</v>
      </c>
      <c r="L1980" s="56" t="n">
        <v>0</v>
      </c>
      <c r="M1980" s="56" t="n">
        <v>68</v>
      </c>
      <c r="N1980" s="56" t="n">
        <v>10.2</v>
      </c>
      <c r="O1980" s="56" t="n">
        <f aca="false">IF(D1980=1,"",E1979)</f>
        <v>20.2</v>
      </c>
      <c r="P1980" s="56" t="n">
        <f aca="false">IF(OR(D1980=1,K1979=""),"",K1979)</f>
        <v>1020.3</v>
      </c>
      <c r="Q1980" s="56" t="n">
        <f aca="false">IF(OR(F1980&lt;&gt;0,AND(I1980&lt;&gt;"",E1980&lt;I1980)),1,0)</f>
        <v>0</v>
      </c>
      <c r="R1980" s="56" t="n">
        <f aca="false">IF(AND(D1980&gt;1,Q1980=0,ISNUMBER(O1980),ISNUMBER(P1980)),IF(Q1979=0,1,0),0)</f>
        <v>1</v>
      </c>
      <c r="S1980" s="56" t="n">
        <f aca="false">R1980*(B1980&gt;=Train_Start)*(B1980&lt;=Train_End)</f>
        <v>1</v>
      </c>
      <c r="T1980" s="84" t="n">
        <f aca="false">IF(AND(ISNUMBER(O1980),ISNUMBER(P1980)),Coef_A+Coef_B1*O1980+Coef_B2*P1980,"")</f>
        <v>20.6443306165168</v>
      </c>
      <c r="U1980" s="84" t="n">
        <f aca="false">IF(AND(R1980=1,ISNUMBER(T1980)),E1980-T1980,"")</f>
        <v>3.95566938348324</v>
      </c>
      <c r="V1980" s="84" t="n">
        <f aca="false">IF(ISNUMBER(T1980),T1980,-99)</f>
        <v>20.6443306165168</v>
      </c>
      <c r="W1980" s="84" t="n">
        <f aca="false">IF(ISNUMBER(U1980),ABS(U1980),"")</f>
        <v>3.95566938348324</v>
      </c>
    </row>
    <row r="1981" customFormat="false" ht="15" hidden="false" customHeight="false" outlineLevel="0" collapsed="false">
      <c r="A1981" s="57" t="n">
        <v>33502</v>
      </c>
      <c r="B1981" s="56" t="n">
        <v>1991</v>
      </c>
      <c r="C1981" s="56" t="n">
        <v>9</v>
      </c>
      <c r="D1981" s="56" t="n">
        <v>144</v>
      </c>
      <c r="E1981" s="56" t="n">
        <v>18.8</v>
      </c>
      <c r="F1981" s="56" t="n">
        <v>0</v>
      </c>
      <c r="G1981" s="56" t="n">
        <v>9.6</v>
      </c>
      <c r="H1981" s="56" t="n">
        <v>0</v>
      </c>
      <c r="I1981" s="56" t="n">
        <v>17.1</v>
      </c>
      <c r="J1981" s="56" t="n">
        <v>0</v>
      </c>
      <c r="K1981" s="56" t="n">
        <v>1009.7</v>
      </c>
      <c r="L1981" s="56" t="n">
        <v>0</v>
      </c>
      <c r="M1981" s="56" t="n">
        <v>71</v>
      </c>
      <c r="N1981" s="56" t="n">
        <v>7.8</v>
      </c>
      <c r="O1981" s="56" t="n">
        <f aca="false">IF(D1981=1,"",E1980)</f>
        <v>24.6</v>
      </c>
      <c r="P1981" s="56" t="n">
        <f aca="false">IF(OR(D1981=1,K1980=""),"",K1980)</f>
        <v>1017.5</v>
      </c>
      <c r="Q1981" s="56" t="n">
        <f aca="false">IF(OR(F1981&lt;&gt;0,AND(I1981&lt;&gt;"",E1981&lt;I1981)),1,0)</f>
        <v>0</v>
      </c>
      <c r="R1981" s="56" t="n">
        <f aca="false">IF(AND(D1981&gt;1,Q1981=0,ISNUMBER(O1981),ISNUMBER(P1981)),IF(Q1980=0,1,0),0)</f>
        <v>1</v>
      </c>
      <c r="S1981" s="56" t="n">
        <f aca="false">R1981*(B1981&gt;=Train_Start)*(B1981&lt;=Train_End)</f>
        <v>1</v>
      </c>
      <c r="T1981" s="84" t="n">
        <f aca="false">IF(AND(ISNUMBER(O1981),ISNUMBER(P1981)),Coef_A+Coef_B1*O1981+Coef_B2*P1981,"")</f>
        <v>24.1615873609293</v>
      </c>
      <c r="U1981" s="84" t="n">
        <f aca="false">IF(AND(R1981=1,ISNUMBER(T1981)),E1981-T1981,"")</f>
        <v>-5.36158736092928</v>
      </c>
      <c r="V1981" s="84" t="n">
        <f aca="false">IF(ISNUMBER(T1981),T1981,-99)</f>
        <v>24.1615873609293</v>
      </c>
      <c r="W1981" s="84" t="n">
        <f aca="false">IF(ISNUMBER(U1981),ABS(U1981),"")</f>
        <v>5.36158736092928</v>
      </c>
    </row>
    <row r="1982" customFormat="false" ht="15" hidden="false" customHeight="false" outlineLevel="0" collapsed="false">
      <c r="A1982" s="57" t="n">
        <v>33503</v>
      </c>
      <c r="B1982" s="56" t="n">
        <v>1991</v>
      </c>
      <c r="C1982" s="56" t="n">
        <v>9</v>
      </c>
      <c r="D1982" s="56" t="n">
        <v>145</v>
      </c>
      <c r="E1982" s="56" t="n">
        <v>19.6</v>
      </c>
      <c r="F1982" s="56" t="n">
        <v>0</v>
      </c>
      <c r="G1982" s="56" t="n">
        <v>11.3</v>
      </c>
      <c r="H1982" s="56" t="n">
        <v>0</v>
      </c>
      <c r="I1982" s="56" t="n">
        <v>15</v>
      </c>
      <c r="J1982" s="56" t="n">
        <v>0</v>
      </c>
      <c r="K1982" s="56" t="n">
        <v>1006.5</v>
      </c>
      <c r="L1982" s="56" t="n">
        <v>0</v>
      </c>
      <c r="M1982" s="56" t="n">
        <v>67</v>
      </c>
      <c r="N1982" s="56" t="n">
        <v>9</v>
      </c>
      <c r="O1982" s="56" t="n">
        <f aca="false">IF(D1982=1,"",E1981)</f>
        <v>18.8</v>
      </c>
      <c r="P1982" s="56" t="n">
        <f aca="false">IF(OR(D1982=1,K1981=""),"",K1981)</f>
        <v>1009.7</v>
      </c>
      <c r="Q1982" s="56" t="n">
        <f aca="false">IF(OR(F1982&lt;&gt;0,AND(I1982&lt;&gt;"",E1982&lt;I1982)),1,0)</f>
        <v>0</v>
      </c>
      <c r="R1982" s="56" t="n">
        <f aca="false">IF(AND(D1982&gt;1,Q1982=0,ISNUMBER(O1982),ISNUMBER(P1982)),IF(Q1981=0,1,0),0)</f>
        <v>1</v>
      </c>
      <c r="S1982" s="56" t="n">
        <f aca="false">R1982*(B1982&gt;=Train_Start)*(B1982&lt;=Train_End)</f>
        <v>1</v>
      </c>
      <c r="T1982" s="84" t="n">
        <f aca="false">IF(AND(ISNUMBER(O1982),ISNUMBER(P1982)),Coef_A+Coef_B1*O1982+Coef_B2*P1982,"")</f>
        <v>19.1647348631368</v>
      </c>
      <c r="U1982" s="84" t="n">
        <f aca="false">IF(AND(R1982=1,ISNUMBER(T1982)),E1982-T1982,"")</f>
        <v>0.435265136863251</v>
      </c>
      <c r="V1982" s="84" t="n">
        <f aca="false">IF(ISNUMBER(T1982),T1982,-99)</f>
        <v>19.1647348631368</v>
      </c>
      <c r="W1982" s="84" t="n">
        <f aca="false">IF(ISNUMBER(U1982),ABS(U1982),"")</f>
        <v>0.435265136863251</v>
      </c>
    </row>
    <row r="1983" customFormat="false" ht="15" hidden="false" customHeight="false" outlineLevel="0" collapsed="false">
      <c r="A1983" s="57" t="n">
        <v>33504</v>
      </c>
      <c r="B1983" s="56" t="n">
        <v>1991</v>
      </c>
      <c r="C1983" s="56" t="n">
        <v>9</v>
      </c>
      <c r="D1983" s="56" t="n">
        <v>146</v>
      </c>
      <c r="E1983" s="56" t="n">
        <v>18.7</v>
      </c>
      <c r="F1983" s="56" t="n">
        <v>0</v>
      </c>
      <c r="G1983" s="56" t="n">
        <v>11.6</v>
      </c>
      <c r="H1983" s="56" t="n">
        <v>0</v>
      </c>
      <c r="I1983" s="56" t="n">
        <v>15.6</v>
      </c>
      <c r="J1983" s="56" t="n">
        <v>0</v>
      </c>
      <c r="K1983" s="56" t="n">
        <v>1010.2</v>
      </c>
      <c r="L1983" s="56" t="n">
        <v>0</v>
      </c>
      <c r="M1983" s="56" t="n">
        <v>78</v>
      </c>
      <c r="N1983" s="56" t="n">
        <v>0.1</v>
      </c>
      <c r="O1983" s="56" t="n">
        <f aca="false">IF(D1983=1,"",E1982)</f>
        <v>19.6</v>
      </c>
      <c r="P1983" s="56" t="n">
        <f aca="false">IF(OR(D1983=1,K1982=""),"",K1982)</f>
        <v>1006.5</v>
      </c>
      <c r="Q1983" s="56" t="n">
        <f aca="false">IF(OR(F1983&lt;&gt;0,AND(I1983&lt;&gt;"",E1983&lt;I1983)),1,0)</f>
        <v>0</v>
      </c>
      <c r="R1983" s="56" t="n">
        <f aca="false">IF(AND(D1983&gt;1,Q1983=0,ISNUMBER(O1983),ISNUMBER(P1983)),IF(Q1982=0,1,0),0)</f>
        <v>1</v>
      </c>
      <c r="S1983" s="56" t="n">
        <f aca="false">R1983*(B1983&gt;=Train_Start)*(B1983&lt;=Train_End)</f>
        <v>1</v>
      </c>
      <c r="T1983" s="84" t="n">
        <f aca="false">IF(AND(ISNUMBER(O1983),ISNUMBER(P1983)),Coef_A+Coef_B1*O1983+Coef_B2*P1983,"")</f>
        <v>19.7198225547421</v>
      </c>
      <c r="U1983" s="84" t="n">
        <f aca="false">IF(AND(R1983=1,ISNUMBER(T1983)),E1983-T1983,"")</f>
        <v>-1.01982255474211</v>
      </c>
      <c r="V1983" s="84" t="n">
        <f aca="false">IF(ISNUMBER(T1983),T1983,-99)</f>
        <v>19.7198225547421</v>
      </c>
      <c r="W1983" s="84" t="n">
        <f aca="false">IF(ISNUMBER(U1983),ABS(U1983),"")</f>
        <v>1.01982255474211</v>
      </c>
    </row>
    <row r="1984" customFormat="false" ht="15" hidden="false" customHeight="false" outlineLevel="0" collapsed="false">
      <c r="A1984" s="57" t="n">
        <v>33505</v>
      </c>
      <c r="B1984" s="56" t="n">
        <v>1991</v>
      </c>
      <c r="C1984" s="56" t="n">
        <v>9</v>
      </c>
      <c r="D1984" s="56" t="n">
        <v>147</v>
      </c>
      <c r="E1984" s="56" t="n">
        <v>18.9</v>
      </c>
      <c r="F1984" s="56" t="n">
        <v>0</v>
      </c>
      <c r="G1984" s="56" t="n">
        <v>14.2</v>
      </c>
      <c r="H1984" s="56" t="n">
        <v>0</v>
      </c>
      <c r="I1984" s="56" t="n">
        <v>16.4</v>
      </c>
      <c r="J1984" s="56" t="n">
        <v>0</v>
      </c>
      <c r="K1984" s="56" t="n">
        <v>1006</v>
      </c>
      <c r="L1984" s="56" t="n">
        <v>0</v>
      </c>
      <c r="M1984" s="56" t="n">
        <v>84</v>
      </c>
      <c r="N1984" s="56" t="n">
        <v>0.1</v>
      </c>
      <c r="O1984" s="56" t="n">
        <f aca="false">IF(D1984=1,"",E1983)</f>
        <v>18.7</v>
      </c>
      <c r="P1984" s="56" t="n">
        <f aca="false">IF(OR(D1984=1,K1983=""),"",K1983)</f>
        <v>1010.2</v>
      </c>
      <c r="Q1984" s="56" t="n">
        <f aca="false">IF(OR(F1984&lt;&gt;0,AND(I1984&lt;&gt;"",E1984&lt;I1984)),1,0)</f>
        <v>0</v>
      </c>
      <c r="R1984" s="56" t="n">
        <f aca="false">IF(AND(D1984&gt;1,Q1984=0,ISNUMBER(O1984),ISNUMBER(P1984)),IF(Q1983=0,1,0),0)</f>
        <v>1</v>
      </c>
      <c r="S1984" s="56" t="n">
        <f aca="false">R1984*(B1984&gt;=Train_Start)*(B1984&lt;=Train_End)</f>
        <v>1</v>
      </c>
      <c r="T1984" s="84" t="n">
        <f aca="false">IF(AND(ISNUMBER(O1984),ISNUMBER(P1984)),Coef_A+Coef_B1*O1984+Coef_B2*P1984,"")</f>
        <v>19.0984858911495</v>
      </c>
      <c r="U1984" s="84" t="n">
        <f aca="false">IF(AND(R1984=1,ISNUMBER(T1984)),E1984-T1984,"")</f>
        <v>-0.198485891149481</v>
      </c>
      <c r="V1984" s="84" t="n">
        <f aca="false">IF(ISNUMBER(T1984),T1984,-99)</f>
        <v>19.0984858911495</v>
      </c>
      <c r="W1984" s="84" t="n">
        <f aca="false">IF(ISNUMBER(U1984),ABS(U1984),"")</f>
        <v>0.198485891149481</v>
      </c>
    </row>
    <row r="1985" customFormat="false" ht="15" hidden="false" customHeight="false" outlineLevel="0" collapsed="false">
      <c r="A1985" s="57" t="n">
        <v>33506</v>
      </c>
      <c r="B1985" s="56" t="n">
        <v>1991</v>
      </c>
      <c r="C1985" s="56" t="n">
        <v>9</v>
      </c>
      <c r="D1985" s="56" t="n">
        <v>148</v>
      </c>
      <c r="E1985" s="56" t="n">
        <v>17.7</v>
      </c>
      <c r="F1985" s="56" t="n">
        <v>0</v>
      </c>
      <c r="G1985" s="56" t="n">
        <v>11.7</v>
      </c>
      <c r="H1985" s="56" t="n">
        <v>0</v>
      </c>
      <c r="I1985" s="56" t="n">
        <v>15.3</v>
      </c>
      <c r="J1985" s="56" t="n">
        <v>0</v>
      </c>
      <c r="K1985" s="56" t="n">
        <v>1002.6</v>
      </c>
      <c r="L1985" s="56" t="n">
        <v>0</v>
      </c>
      <c r="M1985" s="56" t="n">
        <v>80</v>
      </c>
      <c r="N1985" s="56" t="n">
        <v>3.6</v>
      </c>
      <c r="O1985" s="56" t="n">
        <f aca="false">IF(D1985=1,"",E1984)</f>
        <v>18.9</v>
      </c>
      <c r="P1985" s="56" t="n">
        <f aca="false">IF(OR(D1985=1,K1984=""),"",K1984)</f>
        <v>1006</v>
      </c>
      <c r="Q1985" s="56" t="n">
        <f aca="false">IF(OR(F1985&lt;&gt;0,AND(I1985&lt;&gt;"",E1985&lt;I1985)),1,0)</f>
        <v>0</v>
      </c>
      <c r="R1985" s="56" t="n">
        <f aca="false">IF(AND(D1985&gt;1,Q1985=0,ISNUMBER(O1985),ISNUMBER(P1985)),IF(Q1984=0,1,0),0)</f>
        <v>1</v>
      </c>
      <c r="S1985" s="56" t="n">
        <f aca="false">R1985*(B1985&gt;=Train_Start)*(B1985&lt;=Train_End)</f>
        <v>1</v>
      </c>
      <c r="T1985" s="84" t="n">
        <f aca="false">IF(AND(ISNUMBER(O1985),ISNUMBER(P1985)),Coef_A+Coef_B1*O1985+Coef_B2*P1985,"")</f>
        <v>19.1306001722953</v>
      </c>
      <c r="U1985" s="84" t="n">
        <f aca="false">IF(AND(R1985=1,ISNUMBER(T1985)),E1985-T1985,"")</f>
        <v>-1.43060017229525</v>
      </c>
      <c r="V1985" s="84" t="n">
        <f aca="false">IF(ISNUMBER(T1985),T1985,-99)</f>
        <v>19.1306001722953</v>
      </c>
      <c r="W1985" s="84" t="n">
        <f aca="false">IF(ISNUMBER(U1985),ABS(U1985),"")</f>
        <v>1.43060017229525</v>
      </c>
    </row>
    <row r="1986" customFormat="false" ht="15" hidden="false" customHeight="false" outlineLevel="0" collapsed="false">
      <c r="A1986" s="57" t="n">
        <v>33507</v>
      </c>
      <c r="B1986" s="56" t="n">
        <v>1991</v>
      </c>
      <c r="C1986" s="56" t="n">
        <v>9</v>
      </c>
      <c r="D1986" s="56" t="n">
        <v>149</v>
      </c>
      <c r="E1986" s="56" t="n">
        <v>12.6</v>
      </c>
      <c r="F1986" s="56" t="n">
        <v>1</v>
      </c>
      <c r="G1986" s="56" t="n">
        <v>10</v>
      </c>
      <c r="H1986" s="56" t="n">
        <v>0</v>
      </c>
      <c r="I1986" s="56" t="n">
        <v>13.8</v>
      </c>
      <c r="J1986" s="56" t="n">
        <v>1</v>
      </c>
      <c r="K1986" s="56" t="n">
        <v>1003.1</v>
      </c>
      <c r="L1986" s="56" t="n">
        <v>0</v>
      </c>
      <c r="M1986" s="56" t="n">
        <v>87</v>
      </c>
      <c r="N1986" s="56" t="n">
        <v>3.4</v>
      </c>
      <c r="O1986" s="56" t="n">
        <f aca="false">IF(D1986=1,"",E1985)</f>
        <v>17.7</v>
      </c>
      <c r="P1986" s="56" t="n">
        <f aca="false">IF(OR(D1986=1,K1985=""),"",K1985)</f>
        <v>1002.6</v>
      </c>
      <c r="Q1986" s="56" t="n">
        <f aca="false">IF(OR(F1986&lt;&gt;0,AND(I1986&lt;&gt;"",E1986&lt;I1986)),1,0)</f>
        <v>1</v>
      </c>
      <c r="R1986" s="56" t="n">
        <f aca="false">IF(AND(D1986&gt;1,Q1986=0,ISNUMBER(O1986),ISNUMBER(P1986)),IF(Q1985=0,1,0),0)</f>
        <v>0</v>
      </c>
      <c r="S1986" s="56" t="n">
        <f aca="false">R1986*(B1986&gt;=Train_Start)*(B1986&lt;=Train_End)</f>
        <v>0</v>
      </c>
      <c r="T1986" s="84" t="n">
        <f aca="false">IF(AND(ISNUMBER(O1986),ISNUMBER(P1986)),Coef_A+Coef_B1*O1986+Coef_B2*P1986,"")</f>
        <v>18.0407354988885</v>
      </c>
      <c r="U1986" s="84" t="str">
        <f aca="false">IF(AND(R1986=1,ISNUMBER(T1986)),E1986-T1986,"")</f>
        <v/>
      </c>
      <c r="V1986" s="84" t="n">
        <f aca="false">IF(ISNUMBER(T1986),T1986,-99)</f>
        <v>18.0407354988885</v>
      </c>
      <c r="W1986" s="84" t="str">
        <f aca="false">IF(ISNUMBER(U1986),ABS(U1986),"")</f>
        <v/>
      </c>
    </row>
    <row r="1987" customFormat="false" ht="15" hidden="false" customHeight="false" outlineLevel="0" collapsed="false">
      <c r="A1987" s="57" t="n">
        <v>33508</v>
      </c>
      <c r="B1987" s="56" t="n">
        <v>1991</v>
      </c>
      <c r="C1987" s="56" t="n">
        <v>9</v>
      </c>
      <c r="D1987" s="56" t="n">
        <v>150</v>
      </c>
      <c r="E1987" s="56" t="n">
        <v>14.2</v>
      </c>
      <c r="F1987" s="56" t="n">
        <v>0</v>
      </c>
      <c r="G1987" s="56" t="n">
        <v>10.2</v>
      </c>
      <c r="H1987" s="56" t="n">
        <v>0</v>
      </c>
      <c r="I1987" s="56" t="n">
        <v>11.4</v>
      </c>
      <c r="J1987" s="56" t="n">
        <v>0</v>
      </c>
      <c r="K1987" s="56" t="n">
        <v>1003.7</v>
      </c>
      <c r="L1987" s="56" t="n">
        <v>0</v>
      </c>
      <c r="M1987" s="56" t="n">
        <v>88</v>
      </c>
      <c r="N1987" s="56" t="n">
        <v>0.1</v>
      </c>
      <c r="O1987" s="56" t="n">
        <f aca="false">IF(D1987=1,"",E1986)</f>
        <v>12.6</v>
      </c>
      <c r="P1987" s="56" t="n">
        <f aca="false">IF(OR(D1987=1,K1986=""),"",K1986)</f>
        <v>1003.1</v>
      </c>
      <c r="Q1987" s="56" t="n">
        <f aca="false">IF(OR(F1987&lt;&gt;0,AND(I1987&lt;&gt;"",E1987&lt;I1987)),1,0)</f>
        <v>0</v>
      </c>
      <c r="R1987" s="56" t="n">
        <f aca="false">IF(AND(D1987&gt;1,Q1987=0,ISNUMBER(O1987),ISNUMBER(P1987)),IF(Q1986=0,1,0),0)</f>
        <v>0</v>
      </c>
      <c r="S1987" s="56" t="n">
        <f aca="false">R1987*(B1987&gt;=Train_Start)*(B1987&lt;=Train_End)</f>
        <v>0</v>
      </c>
      <c r="T1987" s="84" t="n">
        <f aca="false">IF(AND(ISNUMBER(O1987),ISNUMBER(P1987)),Coef_A+Coef_B1*O1987+Coef_B2*P1987,"")</f>
        <v>13.8777905616879</v>
      </c>
      <c r="U1987" s="84" t="str">
        <f aca="false">IF(AND(R1987=1,ISNUMBER(T1987)),E1987-T1987,"")</f>
        <v/>
      </c>
      <c r="V1987" s="84" t="n">
        <f aca="false">IF(ISNUMBER(T1987),T1987,-99)</f>
        <v>13.8777905616879</v>
      </c>
      <c r="W1987" s="84" t="str">
        <f aca="false">IF(ISNUMBER(U1987),ABS(U1987),"")</f>
        <v/>
      </c>
    </row>
    <row r="1988" customFormat="false" ht="15" hidden="false" customHeight="false" outlineLevel="0" collapsed="false">
      <c r="A1988" s="57" t="n">
        <v>33509</v>
      </c>
      <c r="B1988" s="56" t="n">
        <v>1991</v>
      </c>
      <c r="C1988" s="56" t="n">
        <v>9</v>
      </c>
      <c r="D1988" s="56" t="n">
        <v>151</v>
      </c>
      <c r="E1988" s="56" t="n">
        <v>16.9</v>
      </c>
      <c r="F1988" s="56" t="n">
        <v>0</v>
      </c>
      <c r="G1988" s="56" t="n">
        <v>6.6</v>
      </c>
      <c r="H1988" s="56" t="n">
        <v>0</v>
      </c>
      <c r="I1988" s="56" t="n">
        <v>10.4</v>
      </c>
      <c r="J1988" s="56" t="n">
        <v>0</v>
      </c>
      <c r="K1988" s="56" t="n">
        <v>991.6</v>
      </c>
      <c r="L1988" s="56" t="n">
        <v>0</v>
      </c>
      <c r="M1988" s="56" t="n">
        <v>91</v>
      </c>
      <c r="N1988" s="56" t="n">
        <v>0.7</v>
      </c>
      <c r="O1988" s="56" t="n">
        <f aca="false">IF(D1988=1,"",E1987)</f>
        <v>14.2</v>
      </c>
      <c r="P1988" s="56" t="n">
        <f aca="false">IF(OR(D1988=1,K1987=""),"",K1987)</f>
        <v>1003.7</v>
      </c>
      <c r="Q1988" s="56" t="n">
        <f aca="false">IF(OR(F1988&lt;&gt;0,AND(I1988&lt;&gt;"",E1988&lt;I1988)),1,0)</f>
        <v>0</v>
      </c>
      <c r="R1988" s="56" t="n">
        <f aca="false">IF(AND(D1988&gt;1,Q1988=0,ISNUMBER(O1988),ISNUMBER(P1988)),IF(Q1987=0,1,0),0)</f>
        <v>1</v>
      </c>
      <c r="S1988" s="56" t="n">
        <f aca="false">R1988*(B1988&gt;=Train_Start)*(B1988&lt;=Train_End)</f>
        <v>1</v>
      </c>
      <c r="T1988" s="84" t="n">
        <f aca="false">IF(AND(ISNUMBER(O1988),ISNUMBER(P1988)),Coef_A+Coef_B1*O1988+Coef_B2*P1988,"")</f>
        <v>15.2075552073366</v>
      </c>
      <c r="U1988" s="84" t="n">
        <f aca="false">IF(AND(R1988=1,ISNUMBER(T1988)),E1988-T1988,"")</f>
        <v>1.69244479266341</v>
      </c>
      <c r="V1988" s="84" t="n">
        <f aca="false">IF(ISNUMBER(T1988),T1988,-99)</f>
        <v>15.2075552073366</v>
      </c>
      <c r="W1988" s="84" t="n">
        <f aca="false">IF(ISNUMBER(U1988),ABS(U1988),"")</f>
        <v>1.69244479266341</v>
      </c>
    </row>
    <row r="1989" customFormat="false" ht="15" hidden="false" customHeight="false" outlineLevel="0" collapsed="false">
      <c r="A1989" s="57" t="n">
        <v>33510</v>
      </c>
      <c r="B1989" s="56" t="n">
        <v>1991</v>
      </c>
      <c r="C1989" s="56" t="n">
        <v>9</v>
      </c>
      <c r="D1989" s="56" t="n">
        <v>152</v>
      </c>
      <c r="E1989" s="56" t="n">
        <v>15.2</v>
      </c>
      <c r="F1989" s="56" t="n">
        <v>0</v>
      </c>
      <c r="G1989" s="56" t="n">
        <v>12</v>
      </c>
      <c r="H1989" s="56" t="n">
        <v>0</v>
      </c>
      <c r="I1989" s="56" t="n">
        <v>14.4</v>
      </c>
      <c r="J1989" s="56" t="n">
        <v>0</v>
      </c>
      <c r="K1989" s="56" t="n">
        <v>995.8</v>
      </c>
      <c r="L1989" s="56" t="n">
        <v>0</v>
      </c>
      <c r="M1989" s="56" t="n">
        <v>90</v>
      </c>
      <c r="N1989" s="56" t="n">
        <v>0.2</v>
      </c>
      <c r="O1989" s="56" t="n">
        <f aca="false">IF(D1989=1,"",E1988)</f>
        <v>16.9</v>
      </c>
      <c r="P1989" s="56" t="n">
        <f aca="false">IF(OR(D1989=1,K1988=""),"",K1988)</f>
        <v>991.6</v>
      </c>
      <c r="Q1989" s="56" t="n">
        <f aca="false">IF(OR(F1989&lt;&gt;0,AND(I1989&lt;&gt;"",E1989&lt;I1989)),1,0)</f>
        <v>0</v>
      </c>
      <c r="R1989" s="56" t="n">
        <f aca="false">IF(AND(D1989&gt;1,Q1989=0,ISNUMBER(O1989),ISNUMBER(P1989)),IF(Q1988=0,1,0),0)</f>
        <v>1</v>
      </c>
      <c r="S1989" s="56" t="n">
        <f aca="false">R1989*(B1989&gt;=Train_Start)*(B1989&lt;=Train_End)</f>
        <v>1</v>
      </c>
      <c r="T1989" s="84" t="n">
        <f aca="false">IF(AND(ISNUMBER(O1989),ISNUMBER(P1989)),Coef_A+Coef_B1*O1989+Coef_B2*P1989,"")</f>
        <v>17.0401953034805</v>
      </c>
      <c r="U1989" s="84" t="n">
        <f aca="false">IF(AND(R1989=1,ISNUMBER(T1989)),E1989-T1989,"")</f>
        <v>-1.84019530348049</v>
      </c>
      <c r="V1989" s="84" t="n">
        <f aca="false">IF(ISNUMBER(T1989),T1989,-99)</f>
        <v>17.0401953034805</v>
      </c>
      <c r="W1989" s="84" t="n">
        <f aca="false">IF(ISNUMBER(U1989),ABS(U1989),"")</f>
        <v>1.84019530348049</v>
      </c>
    </row>
    <row r="1990" customFormat="false" ht="15" hidden="false" customHeight="false" outlineLevel="0" collapsed="false">
      <c r="A1990" s="57" t="n">
        <v>33511</v>
      </c>
      <c r="B1990" s="56" t="n">
        <v>1991</v>
      </c>
      <c r="C1990" s="56" t="n">
        <v>9</v>
      </c>
      <c r="D1990" s="56" t="n">
        <v>153</v>
      </c>
      <c r="E1990" s="56" t="n">
        <v>17.2</v>
      </c>
      <c r="F1990" s="56" t="n">
        <v>0</v>
      </c>
      <c r="G1990" s="56" t="n">
        <v>7.5</v>
      </c>
      <c r="H1990" s="56" t="n">
        <v>0</v>
      </c>
      <c r="I1990" s="56" t="n">
        <v>11.4</v>
      </c>
      <c r="J1990" s="56" t="n">
        <v>0</v>
      </c>
      <c r="K1990" s="56" t="n">
        <v>1005.2</v>
      </c>
      <c r="L1990" s="56" t="n">
        <v>0</v>
      </c>
      <c r="M1990" s="56" t="n">
        <v>69</v>
      </c>
      <c r="N1990" s="56" t="n">
        <v>9.3</v>
      </c>
      <c r="O1990" s="56" t="n">
        <f aca="false">IF(D1990=1,"",E1989)</f>
        <v>15.2</v>
      </c>
      <c r="P1990" s="56" t="n">
        <f aca="false">IF(OR(D1990=1,K1989=""),"",K1989)</f>
        <v>995.8</v>
      </c>
      <c r="Q1990" s="56" t="n">
        <f aca="false">IF(OR(F1990&lt;&gt;0,AND(I1990&lt;&gt;"",E1990&lt;I1990)),1,0)</f>
        <v>0</v>
      </c>
      <c r="R1990" s="56" t="n">
        <f aca="false">IF(AND(D1990&gt;1,Q1990=0,ISNUMBER(O1990),ISNUMBER(P1990)),IF(Q1989=0,1,0),0)</f>
        <v>1</v>
      </c>
      <c r="S1990" s="56" t="n">
        <f aca="false">R1990*(B1990&gt;=Train_Start)*(B1990&lt;=Train_End)</f>
        <v>1</v>
      </c>
      <c r="T1990" s="84" t="n">
        <f aca="false">IF(AND(ISNUMBER(O1990),ISNUMBER(P1990)),Coef_A+Coef_B1*O1990+Coef_B2*P1990,"")</f>
        <v>15.7790722327707</v>
      </c>
      <c r="U1990" s="84" t="n">
        <f aca="false">IF(AND(R1990=1,ISNUMBER(T1990)),E1990-T1990,"")</f>
        <v>1.42092776722927</v>
      </c>
      <c r="V1990" s="84" t="n">
        <f aca="false">IF(ISNUMBER(T1990),T1990,-99)</f>
        <v>15.7790722327707</v>
      </c>
      <c r="W1990" s="84" t="n">
        <f aca="false">IF(ISNUMBER(U1990),ABS(U1990),"")</f>
        <v>1.42092776722927</v>
      </c>
    </row>
    <row r="1991" customFormat="false" ht="15" hidden="false" customHeight="false" outlineLevel="0" collapsed="false">
      <c r="A1991" s="57" t="n">
        <v>33725</v>
      </c>
      <c r="B1991" s="56" t="n">
        <v>1992</v>
      </c>
      <c r="C1991" s="56" t="n">
        <v>5</v>
      </c>
      <c r="D1991" s="56" t="n">
        <v>1</v>
      </c>
      <c r="E1991" s="56" t="n">
        <v>13.2</v>
      </c>
      <c r="F1991" s="56" t="n">
        <v>0</v>
      </c>
      <c r="G1991" s="56" t="n">
        <v>8.4</v>
      </c>
      <c r="H1991" s="56" t="n">
        <v>0</v>
      </c>
      <c r="I1991" s="56" t="n">
        <v>11.7</v>
      </c>
      <c r="J1991" s="56" t="n">
        <v>0</v>
      </c>
      <c r="K1991" s="56" t="n">
        <v>1010</v>
      </c>
      <c r="L1991" s="56" t="n">
        <v>0</v>
      </c>
      <c r="M1991" s="56" t="n">
        <v>68</v>
      </c>
      <c r="N1991" s="56" t="n">
        <v>8.2</v>
      </c>
      <c r="O1991" s="56" t="str">
        <f aca="false">IF(D1991=1,"",E1990)</f>
        <v/>
      </c>
      <c r="P1991" s="56" t="str">
        <f aca="false">IF(OR(D1991=1,K1990=""),"",K1990)</f>
        <v/>
      </c>
      <c r="Q1991" s="56" t="n">
        <f aca="false">IF(OR(F1991&lt;&gt;0,AND(I1991&lt;&gt;"",E1991&lt;I1991)),1,0)</f>
        <v>0</v>
      </c>
      <c r="R1991" s="56" t="n">
        <f aca="false">IF(AND(D1991&gt;1,Q1991=0,ISNUMBER(O1991),ISNUMBER(P1991)),IF(Q1990=0,1,0),0)</f>
        <v>0</v>
      </c>
      <c r="S1991" s="56" t="n">
        <f aca="false">R1991*(B1991&gt;=Train_Start)*(B1991&lt;=Train_End)</f>
        <v>0</v>
      </c>
      <c r="T1991" s="84" t="str">
        <f aca="false">IF(AND(ISNUMBER(O1991),ISNUMBER(P1991)),Coef_A+Coef_B1*O1991+Coef_B2*P1991,"")</f>
        <v/>
      </c>
      <c r="U1991" s="84" t="str">
        <f aca="false">IF(AND(R1991=1,ISNUMBER(T1991)),E1991-T1991,"")</f>
        <v/>
      </c>
      <c r="V1991" s="84" t="n">
        <f aca="false">IF(ISNUMBER(T1991),T1991,-99)</f>
        <v>-99</v>
      </c>
      <c r="W1991" s="84" t="str">
        <f aca="false">IF(ISNUMBER(U1991),ABS(U1991),"")</f>
        <v/>
      </c>
    </row>
    <row r="1992" customFormat="false" ht="15" hidden="false" customHeight="false" outlineLevel="0" collapsed="false">
      <c r="A1992" s="57" t="n">
        <v>33726</v>
      </c>
      <c r="B1992" s="56" t="n">
        <v>1992</v>
      </c>
      <c r="C1992" s="56" t="n">
        <v>5</v>
      </c>
      <c r="D1992" s="56" t="n">
        <v>2</v>
      </c>
      <c r="E1992" s="56" t="n">
        <v>15.6</v>
      </c>
      <c r="F1992" s="56" t="n">
        <v>0</v>
      </c>
      <c r="G1992" s="56" t="n">
        <v>4.7</v>
      </c>
      <c r="H1992" s="56" t="n">
        <v>0</v>
      </c>
      <c r="I1992" s="56" t="n">
        <v>9</v>
      </c>
      <c r="J1992" s="56" t="n">
        <v>0</v>
      </c>
      <c r="K1992" s="56" t="n">
        <v>1018.8</v>
      </c>
      <c r="L1992" s="56" t="n">
        <v>0</v>
      </c>
      <c r="M1992" s="56" t="n">
        <v>71</v>
      </c>
      <c r="N1992" s="56" t="n">
        <v>5.8</v>
      </c>
      <c r="O1992" s="56" t="n">
        <f aca="false">IF(D1992=1,"",E1991)</f>
        <v>13.2</v>
      </c>
      <c r="P1992" s="56" t="n">
        <f aca="false">IF(OR(D1992=1,K1991=""),"",K1991)</f>
        <v>1010</v>
      </c>
      <c r="Q1992" s="56" t="n">
        <f aca="false">IF(OR(F1992&lt;&gt;0,AND(I1992&lt;&gt;"",E1992&lt;I1992)),1,0)</f>
        <v>0</v>
      </c>
      <c r="R1992" s="56" t="n">
        <f aca="false">IF(AND(D1992&gt;1,Q1992=0,ISNUMBER(O1992),ISNUMBER(P1992)),IF(Q1991=0,1,0),0)</f>
        <v>1</v>
      </c>
      <c r="S1992" s="56" t="n">
        <f aca="false">R1992*(B1992&gt;=Train_Start)*(B1992&lt;=Train_End)</f>
        <v>1</v>
      </c>
      <c r="T1992" s="84" t="n">
        <f aca="false">IF(AND(ISNUMBER(O1992),ISNUMBER(P1992)),Coef_A+Coef_B1*O1992+Coef_B2*P1992,"")</f>
        <v>14.5858463504881</v>
      </c>
      <c r="U1992" s="84" t="n">
        <f aca="false">IF(AND(R1992=1,ISNUMBER(T1992)),E1992-T1992,"")</f>
        <v>1.01415364951194</v>
      </c>
      <c r="V1992" s="84" t="n">
        <f aca="false">IF(ISNUMBER(T1992),T1992,-99)</f>
        <v>14.5858463504881</v>
      </c>
      <c r="W1992" s="84" t="n">
        <f aca="false">IF(ISNUMBER(U1992),ABS(U1992),"")</f>
        <v>1.01415364951194</v>
      </c>
    </row>
    <row r="1993" customFormat="false" ht="15" hidden="false" customHeight="false" outlineLevel="0" collapsed="false">
      <c r="A1993" s="57" t="n">
        <v>33727</v>
      </c>
      <c r="B1993" s="56" t="n">
        <v>1992</v>
      </c>
      <c r="C1993" s="56" t="n">
        <v>5</v>
      </c>
      <c r="D1993" s="56" t="n">
        <v>3</v>
      </c>
      <c r="E1993" s="56" t="n">
        <v>18.2</v>
      </c>
      <c r="F1993" s="56" t="n">
        <v>0</v>
      </c>
      <c r="G1993" s="56" t="n">
        <v>2.5</v>
      </c>
      <c r="H1993" s="56" t="n">
        <v>0</v>
      </c>
      <c r="I1993" s="56" t="n">
        <v>9</v>
      </c>
      <c r="J1993" s="56" t="n">
        <v>0</v>
      </c>
      <c r="K1993" s="56" t="n">
        <v>1028.9</v>
      </c>
      <c r="L1993" s="56" t="n">
        <v>0</v>
      </c>
      <c r="M1993" s="56" t="n">
        <v>70</v>
      </c>
      <c r="N1993" s="56" t="n">
        <v>12.1</v>
      </c>
      <c r="O1993" s="56" t="n">
        <f aca="false">IF(D1993=1,"",E1992)</f>
        <v>15.6</v>
      </c>
      <c r="P1993" s="56" t="n">
        <f aca="false">IF(OR(D1993=1,K1992=""),"",K1992)</f>
        <v>1018.8</v>
      </c>
      <c r="Q1993" s="56" t="n">
        <f aca="false">IF(OR(F1993&lt;&gt;0,AND(I1993&lt;&gt;"",E1993&lt;I1993)),1,0)</f>
        <v>0</v>
      </c>
      <c r="R1993" s="56" t="n">
        <f aca="false">IF(AND(D1993&gt;1,Q1993=0,ISNUMBER(O1993),ISNUMBER(P1993)),IF(Q1992=0,1,0),0)</f>
        <v>1</v>
      </c>
      <c r="S1993" s="56" t="n">
        <f aca="false">R1993*(B1993&gt;=Train_Start)*(B1993&lt;=Train_End)</f>
        <v>1</v>
      </c>
      <c r="T1993" s="84" t="n">
        <f aca="false">IF(AND(ISNUMBER(O1993),ISNUMBER(P1993)),Coef_A+Coef_B1*O1993+Coef_B2*P1993,"")</f>
        <v>16.8283154865696</v>
      </c>
      <c r="U1993" s="84" t="n">
        <f aca="false">IF(AND(R1993=1,ISNUMBER(T1993)),E1993-T1993,"")</f>
        <v>1.37168451343045</v>
      </c>
      <c r="V1993" s="84" t="n">
        <f aca="false">IF(ISNUMBER(T1993),T1993,-99)</f>
        <v>16.8283154865696</v>
      </c>
      <c r="W1993" s="84" t="n">
        <f aca="false">IF(ISNUMBER(U1993),ABS(U1993),"")</f>
        <v>1.37168451343045</v>
      </c>
    </row>
    <row r="1994" customFormat="false" ht="15" hidden="false" customHeight="false" outlineLevel="0" collapsed="false">
      <c r="A1994" s="57" t="n">
        <v>33728</v>
      </c>
      <c r="B1994" s="56" t="n">
        <v>1992</v>
      </c>
      <c r="C1994" s="56" t="n">
        <v>5</v>
      </c>
      <c r="D1994" s="56" t="n">
        <v>4</v>
      </c>
      <c r="E1994" s="56" t="n">
        <v>13.3</v>
      </c>
      <c r="F1994" s="56" t="n">
        <v>0</v>
      </c>
      <c r="G1994" s="56" t="n">
        <v>5.1</v>
      </c>
      <c r="H1994" s="56" t="n">
        <v>0</v>
      </c>
      <c r="I1994" s="56" t="n">
        <v>11.6</v>
      </c>
      <c r="J1994" s="56" t="n">
        <v>0</v>
      </c>
      <c r="K1994" s="56" t="n">
        <v>1027.4</v>
      </c>
      <c r="L1994" s="56" t="n">
        <v>0</v>
      </c>
      <c r="M1994" s="56" t="n">
        <v>66</v>
      </c>
      <c r="N1994" s="56" t="n">
        <v>9.8</v>
      </c>
      <c r="O1994" s="56" t="n">
        <f aca="false">IF(D1994=1,"",E1993)</f>
        <v>18.2</v>
      </c>
      <c r="P1994" s="56" t="n">
        <f aca="false">IF(OR(D1994=1,K1993=""),"",K1993)</f>
        <v>1028.9</v>
      </c>
      <c r="Q1994" s="56" t="n">
        <f aca="false">IF(OR(F1994&lt;&gt;0,AND(I1994&lt;&gt;"",E1994&lt;I1994)),1,0)</f>
        <v>0</v>
      </c>
      <c r="R1994" s="56" t="n">
        <f aca="false">IF(AND(D1994&gt;1,Q1994=0,ISNUMBER(O1994),ISNUMBER(P1994)),IF(Q1993=0,1,0),0)</f>
        <v>1</v>
      </c>
      <c r="S1994" s="56" t="n">
        <f aca="false">R1994*(B1994&gt;=Train_Start)*(B1994&lt;=Train_End)</f>
        <v>1</v>
      </c>
      <c r="T1994" s="84" t="n">
        <f aca="false">IF(AND(ISNUMBER(O1994),ISNUMBER(P1994)),Coef_A+Coef_B1*O1994+Coef_B2*P1994,"")</f>
        <v>19.2754333242838</v>
      </c>
      <c r="U1994" s="84" t="n">
        <f aca="false">IF(AND(R1994=1,ISNUMBER(T1994)),E1994-T1994,"")</f>
        <v>-5.97543332428375</v>
      </c>
      <c r="V1994" s="84" t="n">
        <f aca="false">IF(ISNUMBER(T1994),T1994,-99)</f>
        <v>19.2754333242838</v>
      </c>
      <c r="W1994" s="84" t="n">
        <f aca="false">IF(ISNUMBER(U1994),ABS(U1994),"")</f>
        <v>5.97543332428375</v>
      </c>
    </row>
    <row r="1995" customFormat="false" ht="15" hidden="false" customHeight="false" outlineLevel="0" collapsed="false">
      <c r="A1995" s="57" t="n">
        <v>33729</v>
      </c>
      <c r="B1995" s="56" t="n">
        <v>1992</v>
      </c>
      <c r="C1995" s="56" t="n">
        <v>5</v>
      </c>
      <c r="D1995" s="56" t="n">
        <v>5</v>
      </c>
      <c r="E1995" s="56" t="n">
        <v>20.3</v>
      </c>
      <c r="F1995" s="56" t="n">
        <v>0</v>
      </c>
      <c r="G1995" s="56" t="n">
        <v>10</v>
      </c>
      <c r="H1995" s="56" t="n">
        <v>0</v>
      </c>
      <c r="I1995" s="56" t="n">
        <v>11.6</v>
      </c>
      <c r="J1995" s="56" t="n">
        <v>0</v>
      </c>
      <c r="K1995" s="56" t="n">
        <v>1027.7</v>
      </c>
      <c r="L1995" s="56" t="n">
        <v>0</v>
      </c>
      <c r="M1995" s="56" t="n">
        <v>79</v>
      </c>
      <c r="N1995" s="56" t="n">
        <v>0.6</v>
      </c>
      <c r="O1995" s="56" t="n">
        <f aca="false">IF(D1995=1,"",E1994)</f>
        <v>13.3</v>
      </c>
      <c r="P1995" s="56" t="n">
        <f aca="false">IF(OR(D1995=1,K1994=""),"",K1994)</f>
        <v>1027.4</v>
      </c>
      <c r="Q1995" s="56" t="n">
        <f aca="false">IF(OR(F1995&lt;&gt;0,AND(I1995&lt;&gt;"",E1995&lt;I1995)),1,0)</f>
        <v>0</v>
      </c>
      <c r="R1995" s="56" t="n">
        <f aca="false">IF(AND(D1995&gt;1,Q1995=0,ISNUMBER(O1995),ISNUMBER(P1995)),IF(Q1994=0,1,0),0)</f>
        <v>1</v>
      </c>
      <c r="S1995" s="56" t="n">
        <f aca="false">R1995*(B1995&gt;=Train_Start)*(B1995&lt;=Train_End)</f>
        <v>1</v>
      </c>
      <c r="T1995" s="84" t="n">
        <f aca="false">IF(AND(ISNUMBER(O1995),ISNUMBER(P1995)),Coef_A+Coef_B1*O1995+Coef_B2*P1995,"")</f>
        <v>15.2136164364237</v>
      </c>
      <c r="U1995" s="84" t="n">
        <f aca="false">IF(AND(R1995=1,ISNUMBER(T1995)),E1995-T1995,"")</f>
        <v>5.08638356357625</v>
      </c>
      <c r="V1995" s="84" t="n">
        <f aca="false">IF(ISNUMBER(T1995),T1995,-99)</f>
        <v>15.2136164364237</v>
      </c>
      <c r="W1995" s="84" t="n">
        <f aca="false">IF(ISNUMBER(U1995),ABS(U1995),"")</f>
        <v>5.08638356357625</v>
      </c>
    </row>
    <row r="1996" customFormat="false" ht="15" hidden="false" customHeight="false" outlineLevel="0" collapsed="false">
      <c r="A1996" s="57" t="n">
        <v>33730</v>
      </c>
      <c r="B1996" s="56" t="n">
        <v>1992</v>
      </c>
      <c r="C1996" s="56" t="n">
        <v>5</v>
      </c>
      <c r="D1996" s="56" t="n">
        <v>6</v>
      </c>
      <c r="E1996" s="56" t="n">
        <v>20</v>
      </c>
      <c r="F1996" s="56" t="n">
        <v>0</v>
      </c>
      <c r="G1996" s="56" t="n">
        <v>6</v>
      </c>
      <c r="H1996" s="56" t="n">
        <v>0</v>
      </c>
      <c r="I1996" s="56" t="n">
        <v>13.2</v>
      </c>
      <c r="J1996" s="56" t="n">
        <v>0</v>
      </c>
      <c r="K1996" s="56" t="n">
        <v>1029.4</v>
      </c>
      <c r="L1996" s="56" t="n">
        <v>0</v>
      </c>
      <c r="M1996" s="56" t="n">
        <v>70</v>
      </c>
      <c r="N1996" s="56" t="n">
        <v>7.9</v>
      </c>
      <c r="O1996" s="56" t="n">
        <f aca="false">IF(D1996=1,"",E1995)</f>
        <v>20.3</v>
      </c>
      <c r="P1996" s="56" t="n">
        <f aca="false">IF(OR(D1996=1,K1995=""),"",K1995)</f>
        <v>1027.7</v>
      </c>
      <c r="Q1996" s="56" t="n">
        <f aca="false">IF(OR(F1996&lt;&gt;0,AND(I1996&lt;&gt;"",E1996&lt;I1996)),1,0)</f>
        <v>0</v>
      </c>
      <c r="R1996" s="56" t="n">
        <f aca="false">IF(AND(D1996&gt;1,Q1996=0,ISNUMBER(O1996),ISNUMBER(P1996)),IF(Q1995=0,1,0),0)</f>
        <v>1</v>
      </c>
      <c r="S1996" s="56" t="n">
        <f aca="false">R1996*(B1996&gt;=Train_Start)*(B1996&lt;=Train_End)</f>
        <v>1</v>
      </c>
      <c r="T1996" s="84" t="n">
        <f aca="false">IF(AND(ISNUMBER(O1996),ISNUMBER(P1996)),Coef_A+Coef_B1*O1996+Coef_B2*P1996,"")</f>
        <v>20.9584017561125</v>
      </c>
      <c r="U1996" s="84" t="n">
        <f aca="false">IF(AND(R1996=1,ISNUMBER(T1996)),E1996-T1996,"")</f>
        <v>-0.958401756112544</v>
      </c>
      <c r="V1996" s="84" t="n">
        <f aca="false">IF(ISNUMBER(T1996),T1996,-99)</f>
        <v>20.9584017561125</v>
      </c>
      <c r="W1996" s="84" t="n">
        <f aca="false">IF(ISNUMBER(U1996),ABS(U1996),"")</f>
        <v>0.958401756112544</v>
      </c>
    </row>
    <row r="1997" customFormat="false" ht="15" hidden="false" customHeight="false" outlineLevel="0" collapsed="false">
      <c r="A1997" s="57" t="n">
        <v>33731</v>
      </c>
      <c r="B1997" s="56" t="n">
        <v>1992</v>
      </c>
      <c r="C1997" s="56" t="n">
        <v>5</v>
      </c>
      <c r="D1997" s="56" t="n">
        <v>7</v>
      </c>
      <c r="E1997" s="56" t="n">
        <v>15.1</v>
      </c>
      <c r="F1997" s="56" t="n">
        <v>0</v>
      </c>
      <c r="G1997" s="56" t="n">
        <v>10</v>
      </c>
      <c r="H1997" s="56" t="n">
        <v>0</v>
      </c>
      <c r="I1997" s="56" t="n">
        <v>15</v>
      </c>
      <c r="J1997" s="56" t="n">
        <v>0</v>
      </c>
      <c r="K1997" s="56" t="n">
        <v>1020.6</v>
      </c>
      <c r="L1997" s="56" t="n">
        <v>0</v>
      </c>
      <c r="M1997" s="56" t="n">
        <v>74</v>
      </c>
      <c r="N1997" s="56" t="n">
        <v>10.7</v>
      </c>
      <c r="O1997" s="56" t="n">
        <f aca="false">IF(D1997=1,"",E1996)</f>
        <v>20</v>
      </c>
      <c r="P1997" s="56" t="n">
        <f aca="false">IF(OR(D1997=1,K1996=""),"",K1996)</f>
        <v>1029.4</v>
      </c>
      <c r="Q1997" s="56" t="n">
        <f aca="false">IF(OR(F1997&lt;&gt;0,AND(I1997&lt;&gt;"",E1997&lt;I1997)),1,0)</f>
        <v>0</v>
      </c>
      <c r="R1997" s="56" t="n">
        <f aca="false">IF(AND(D1997&gt;1,Q1997=0,ISNUMBER(O1997),ISNUMBER(P1997)),IF(Q1996=0,1,0),0)</f>
        <v>1</v>
      </c>
      <c r="S1997" s="56" t="n">
        <f aca="false">R1997*(B1997&gt;=Train_Start)*(B1997&lt;=Train_End)</f>
        <v>1</v>
      </c>
      <c r="T1997" s="84" t="n">
        <f aca="false">IF(AND(ISNUMBER(O1997),ISNUMBER(P1997)),Coef_A+Coef_B1*O1997+Coef_B2*P1997,"")</f>
        <v>20.7659288190775</v>
      </c>
      <c r="U1997" s="84" t="n">
        <f aca="false">IF(AND(R1997=1,ISNUMBER(T1997)),E1997-T1997,"")</f>
        <v>-5.66592881907753</v>
      </c>
      <c r="V1997" s="84" t="n">
        <f aca="false">IF(ISNUMBER(T1997),T1997,-99)</f>
        <v>20.7659288190775</v>
      </c>
      <c r="W1997" s="84" t="n">
        <f aca="false">IF(ISNUMBER(U1997),ABS(U1997),"")</f>
        <v>5.66592881907753</v>
      </c>
    </row>
    <row r="1998" customFormat="false" ht="15" hidden="false" customHeight="false" outlineLevel="0" collapsed="false">
      <c r="A1998" s="57" t="n">
        <v>33732</v>
      </c>
      <c r="B1998" s="56" t="n">
        <v>1992</v>
      </c>
      <c r="C1998" s="56" t="n">
        <v>5</v>
      </c>
      <c r="D1998" s="56" t="n">
        <v>8</v>
      </c>
      <c r="E1998" s="56" t="n">
        <v>15.8</v>
      </c>
      <c r="F1998" s="56" t="n">
        <v>0</v>
      </c>
      <c r="G1998" s="56" t="n">
        <v>9.5</v>
      </c>
      <c r="H1998" s="56" t="n">
        <v>0</v>
      </c>
      <c r="I1998" s="56" t="n">
        <v>12.3</v>
      </c>
      <c r="J1998" s="56" t="n">
        <v>0</v>
      </c>
      <c r="K1998" s="56" t="n">
        <v>1012.6</v>
      </c>
      <c r="L1998" s="56" t="n">
        <v>0</v>
      </c>
      <c r="M1998" s="56" t="n">
        <v>63</v>
      </c>
      <c r="N1998" s="56" t="n">
        <v>8.1</v>
      </c>
      <c r="O1998" s="56" t="n">
        <f aca="false">IF(D1998=1,"",E1997)</f>
        <v>15.1</v>
      </c>
      <c r="P1998" s="56" t="n">
        <f aca="false">IF(OR(D1998=1,K1997=""),"",K1997)</f>
        <v>1020.6</v>
      </c>
      <c r="Q1998" s="56" t="n">
        <f aca="false">IF(OR(F1998&lt;&gt;0,AND(I1998&lt;&gt;"",E1998&lt;I1998)),1,0)</f>
        <v>0</v>
      </c>
      <c r="R1998" s="56" t="n">
        <f aca="false">IF(AND(D1998&gt;1,Q1998=0,ISNUMBER(O1998),ISNUMBER(P1998)),IF(Q1997=0,1,0),0)</f>
        <v>1</v>
      </c>
      <c r="S1998" s="56" t="n">
        <f aca="false">R1998*(B1998&gt;=Train_Start)*(B1998&lt;=Train_End)</f>
        <v>1</v>
      </c>
      <c r="T1998" s="84" t="n">
        <f aca="false">IF(AND(ISNUMBER(O1998),ISNUMBER(P1998)),Coef_A+Coef_B1*O1998+Coef_B2*P1998,"")</f>
        <v>16.4751117003894</v>
      </c>
      <c r="U1998" s="84" t="n">
        <f aca="false">IF(AND(R1998=1,ISNUMBER(T1998)),E1998-T1998,"")</f>
        <v>-0.675111700389405</v>
      </c>
      <c r="V1998" s="84" t="n">
        <f aca="false">IF(ISNUMBER(T1998),T1998,-99)</f>
        <v>16.4751117003894</v>
      </c>
      <c r="W1998" s="84" t="n">
        <f aca="false">IF(ISNUMBER(U1998),ABS(U1998),"")</f>
        <v>0.675111700389405</v>
      </c>
    </row>
    <row r="1999" customFormat="false" ht="15" hidden="false" customHeight="false" outlineLevel="0" collapsed="false">
      <c r="A1999" s="57" t="n">
        <v>33733</v>
      </c>
      <c r="B1999" s="56" t="n">
        <v>1992</v>
      </c>
      <c r="C1999" s="56" t="n">
        <v>5</v>
      </c>
      <c r="D1999" s="56" t="n">
        <v>9</v>
      </c>
      <c r="E1999" s="56" t="n">
        <v>13.4</v>
      </c>
      <c r="F1999" s="56" t="n">
        <v>0</v>
      </c>
      <c r="G1999" s="56" t="n">
        <v>6.9</v>
      </c>
      <c r="H1999" s="56" t="n">
        <v>0</v>
      </c>
      <c r="I1999" s="56" t="n">
        <v>11.4</v>
      </c>
      <c r="J1999" s="56" t="n">
        <v>0</v>
      </c>
      <c r="K1999" s="56" t="n">
        <v>1003.9</v>
      </c>
      <c r="L1999" s="56" t="n">
        <v>0</v>
      </c>
      <c r="M1999" s="56" t="n">
        <v>86</v>
      </c>
      <c r="N1999" s="56" t="n">
        <v>1.4</v>
      </c>
      <c r="O1999" s="56" t="n">
        <f aca="false">IF(D1999=1,"",E1998)</f>
        <v>15.8</v>
      </c>
      <c r="P1999" s="56" t="n">
        <f aca="false">IF(OR(D1999=1,K1998=""),"",K1998)</f>
        <v>1012.6</v>
      </c>
      <c r="Q1999" s="56" t="n">
        <f aca="false">IF(OR(F1999&lt;&gt;0,AND(I1999&lt;&gt;"",E1999&lt;I1999)),1,0)</f>
        <v>0</v>
      </c>
      <c r="R1999" s="56" t="n">
        <f aca="false">IF(AND(D1999&gt;1,Q1999=0,ISNUMBER(O1999),ISNUMBER(P1999)),IF(Q1998=0,1,0),0)</f>
        <v>1</v>
      </c>
      <c r="S1999" s="56" t="n">
        <f aca="false">R1999*(B1999&gt;=Train_Start)*(B1999&lt;=Train_End)</f>
        <v>1</v>
      </c>
      <c r="T1999" s="84" t="n">
        <f aca="false">IF(AND(ISNUMBER(O1999),ISNUMBER(P1999)),Coef_A+Coef_B1*O1999+Coef_B2*P1999,"")</f>
        <v>16.7976899784473</v>
      </c>
      <c r="U1999" s="84" t="n">
        <f aca="false">IF(AND(R1999=1,ISNUMBER(T1999)),E1999-T1999,"")</f>
        <v>-3.39768997844734</v>
      </c>
      <c r="V1999" s="84" t="n">
        <f aca="false">IF(ISNUMBER(T1999),T1999,-99)</f>
        <v>16.7976899784473</v>
      </c>
      <c r="W1999" s="84" t="n">
        <f aca="false">IF(ISNUMBER(U1999),ABS(U1999),"")</f>
        <v>3.39768997844734</v>
      </c>
    </row>
    <row r="2000" customFormat="false" ht="15" hidden="false" customHeight="false" outlineLevel="0" collapsed="false">
      <c r="A2000" s="57" t="n">
        <v>33734</v>
      </c>
      <c r="B2000" s="56" t="n">
        <v>1992</v>
      </c>
      <c r="C2000" s="56" t="n">
        <v>5</v>
      </c>
      <c r="D2000" s="56" t="n">
        <v>10</v>
      </c>
      <c r="E2000" s="56" t="n">
        <v>16</v>
      </c>
      <c r="F2000" s="56" t="n">
        <v>0</v>
      </c>
      <c r="G2000" s="56" t="n">
        <v>4.9</v>
      </c>
      <c r="H2000" s="56" t="n">
        <v>0</v>
      </c>
      <c r="I2000" s="56" t="n">
        <v>9.2</v>
      </c>
      <c r="J2000" s="56" t="n">
        <v>0</v>
      </c>
      <c r="K2000" s="56" t="n">
        <v>1008.6</v>
      </c>
      <c r="L2000" s="56" t="n">
        <v>0</v>
      </c>
      <c r="M2000" s="56" t="n">
        <v>78</v>
      </c>
      <c r="N2000" s="56" t="n">
        <v>1.5</v>
      </c>
      <c r="O2000" s="56" t="n">
        <f aca="false">IF(D2000=1,"",E1999)</f>
        <v>13.4</v>
      </c>
      <c r="P2000" s="56" t="n">
        <f aca="false">IF(OR(D2000=1,K1999=""),"",K1999)</f>
        <v>1003.9</v>
      </c>
      <c r="Q2000" s="56" t="n">
        <f aca="false">IF(OR(F2000&lt;&gt;0,AND(I2000&lt;&gt;"",E2000&lt;I2000)),1,0)</f>
        <v>0</v>
      </c>
      <c r="R2000" s="56" t="n">
        <f aca="false">IF(AND(D2000&gt;1,Q2000=0,ISNUMBER(O2000),ISNUMBER(P2000)),IF(Q1999=0,1,0),0)</f>
        <v>1</v>
      </c>
      <c r="S2000" s="56" t="n">
        <f aca="false">R2000*(B2000&gt;=Train_Start)*(B2000&lt;=Train_End)</f>
        <v>1</v>
      </c>
      <c r="T2000" s="84" t="n">
        <f aca="false">IF(AND(ISNUMBER(O2000),ISNUMBER(P2000)),Coef_A+Coef_B1*O2000+Coef_B2*P2000,"")</f>
        <v>14.5583578318293</v>
      </c>
      <c r="U2000" s="84" t="n">
        <f aca="false">IF(AND(R2000=1,ISNUMBER(T2000)),E2000-T2000,"")</f>
        <v>1.44164216817074</v>
      </c>
      <c r="V2000" s="84" t="n">
        <f aca="false">IF(ISNUMBER(T2000),T2000,-99)</f>
        <v>14.5583578318293</v>
      </c>
      <c r="W2000" s="84" t="n">
        <f aca="false">IF(ISNUMBER(U2000),ABS(U2000),"")</f>
        <v>1.44164216817074</v>
      </c>
    </row>
    <row r="2001" customFormat="false" ht="15" hidden="false" customHeight="false" outlineLevel="0" collapsed="false">
      <c r="A2001" s="57" t="n">
        <v>33735</v>
      </c>
      <c r="B2001" s="56" t="n">
        <v>1992</v>
      </c>
      <c r="C2001" s="56" t="n">
        <v>5</v>
      </c>
      <c r="D2001" s="56" t="n">
        <v>11</v>
      </c>
      <c r="E2001" s="56" t="n">
        <v>16.7</v>
      </c>
      <c r="F2001" s="56" t="n">
        <v>0</v>
      </c>
      <c r="G2001" s="56" t="n">
        <v>7.8</v>
      </c>
      <c r="H2001" s="56" t="n">
        <v>0</v>
      </c>
      <c r="I2001" s="56" t="n">
        <v>11.9</v>
      </c>
      <c r="J2001" s="56" t="n">
        <v>0</v>
      </c>
      <c r="K2001" s="56" t="n">
        <v>1014.2</v>
      </c>
      <c r="L2001" s="56" t="n">
        <v>0</v>
      </c>
      <c r="M2001" s="56" t="n">
        <v>69</v>
      </c>
      <c r="N2001" s="56" t="n">
        <v>8</v>
      </c>
      <c r="O2001" s="56" t="n">
        <f aca="false">IF(D2001=1,"",E2000)</f>
        <v>16</v>
      </c>
      <c r="P2001" s="56" t="n">
        <f aca="false">IF(OR(D2001=1,K2000=""),"",K2000)</f>
        <v>1008.6</v>
      </c>
      <c r="Q2001" s="56" t="n">
        <f aca="false">IF(OR(F2001&lt;&gt;0,AND(I2001&lt;&gt;"",E2001&lt;I2001)),1,0)</f>
        <v>0</v>
      </c>
      <c r="R2001" s="56" t="n">
        <f aca="false">IF(AND(D2001&gt;1,Q2001=0,ISNUMBER(O2001),ISNUMBER(P2001)),IF(Q2000=0,1,0),0)</f>
        <v>1</v>
      </c>
      <c r="S2001" s="56" t="n">
        <f aca="false">R2001*(B2001&gt;=Train_Start)*(B2001&lt;=Train_End)</f>
        <v>1</v>
      </c>
      <c r="T2001" s="84" t="n">
        <f aca="false">IF(AND(ISNUMBER(O2001),ISNUMBER(P2001)),Coef_A+Coef_B1*O2001+Coef_B2*P2001,"")</f>
        <v>16.8360782385199</v>
      </c>
      <c r="U2001" s="84" t="n">
        <f aca="false">IF(AND(R2001=1,ISNUMBER(T2001)),E2001-T2001,"")</f>
        <v>-0.136078238519925</v>
      </c>
      <c r="V2001" s="84" t="n">
        <f aca="false">IF(ISNUMBER(T2001),T2001,-99)</f>
        <v>16.8360782385199</v>
      </c>
      <c r="W2001" s="84" t="n">
        <f aca="false">IF(ISNUMBER(U2001),ABS(U2001),"")</f>
        <v>0.136078238519925</v>
      </c>
    </row>
    <row r="2002" customFormat="false" ht="15" hidden="false" customHeight="false" outlineLevel="0" collapsed="false">
      <c r="A2002" s="57" t="n">
        <v>33736</v>
      </c>
      <c r="B2002" s="56" t="n">
        <v>1992</v>
      </c>
      <c r="C2002" s="56" t="n">
        <v>5</v>
      </c>
      <c r="D2002" s="56" t="n">
        <v>12</v>
      </c>
      <c r="E2002" s="56" t="n">
        <v>22.6</v>
      </c>
      <c r="F2002" s="56" t="n">
        <v>0</v>
      </c>
      <c r="G2002" s="56" t="n">
        <v>10.2</v>
      </c>
      <c r="H2002" s="56" t="n">
        <v>0</v>
      </c>
      <c r="I2002" s="56" t="n">
        <v>13.4</v>
      </c>
      <c r="J2002" s="56" t="n">
        <v>0</v>
      </c>
      <c r="K2002" s="56" t="n">
        <v>1019</v>
      </c>
      <c r="L2002" s="56" t="n">
        <v>0</v>
      </c>
      <c r="M2002" s="56" t="n">
        <v>80</v>
      </c>
      <c r="N2002" s="56" t="n">
        <v>0.1</v>
      </c>
      <c r="O2002" s="56" t="n">
        <f aca="false">IF(D2002=1,"",E2001)</f>
        <v>16.7</v>
      </c>
      <c r="P2002" s="56" t="n">
        <f aca="false">IF(OR(D2002=1,K2001=""),"",K2001)</f>
        <v>1014.2</v>
      </c>
      <c r="Q2002" s="56" t="n">
        <f aca="false">IF(OR(F2002&lt;&gt;0,AND(I2002&lt;&gt;"",E2002&lt;I2002)),1,0)</f>
        <v>0</v>
      </c>
      <c r="R2002" s="56" t="n">
        <f aca="false">IF(AND(D2002&gt;1,Q2002=0,ISNUMBER(O2002),ISNUMBER(P2002)),IF(Q2001=0,1,0),0)</f>
        <v>1</v>
      </c>
      <c r="S2002" s="56" t="n">
        <f aca="false">R2002*(B2002&gt;=Train_Start)*(B2002&lt;=Train_End)</f>
        <v>1</v>
      </c>
      <c r="T2002" s="84" t="n">
        <f aca="false">IF(AND(ISNUMBER(O2002),ISNUMBER(P2002)),Coef_A+Coef_B1*O2002+Coef_B2*P2002,"")</f>
        <v>17.5852870836001</v>
      </c>
      <c r="U2002" s="84" t="n">
        <f aca="false">IF(AND(R2002=1,ISNUMBER(T2002)),E2002-T2002,"")</f>
        <v>5.01471291639988</v>
      </c>
      <c r="V2002" s="84" t="n">
        <f aca="false">IF(ISNUMBER(T2002),T2002,-99)</f>
        <v>17.5852870836001</v>
      </c>
      <c r="W2002" s="84" t="n">
        <f aca="false">IF(ISNUMBER(U2002),ABS(U2002),"")</f>
        <v>5.01471291639988</v>
      </c>
    </row>
    <row r="2003" customFormat="false" ht="15" hidden="false" customHeight="false" outlineLevel="0" collapsed="false">
      <c r="A2003" s="57" t="n">
        <v>33737</v>
      </c>
      <c r="B2003" s="56" t="n">
        <v>1992</v>
      </c>
      <c r="C2003" s="56" t="n">
        <v>5</v>
      </c>
      <c r="D2003" s="56" t="n">
        <v>13</v>
      </c>
      <c r="E2003" s="56" t="n">
        <v>26.7</v>
      </c>
      <c r="F2003" s="56" t="n">
        <v>0</v>
      </c>
      <c r="G2003" s="56" t="n">
        <v>8.9</v>
      </c>
      <c r="H2003" s="56" t="n">
        <v>0</v>
      </c>
      <c r="I2003" s="56" t="n">
        <v>15.8</v>
      </c>
      <c r="J2003" s="56" t="n">
        <v>0</v>
      </c>
      <c r="K2003" s="56" t="n">
        <v>1023</v>
      </c>
      <c r="L2003" s="56" t="n">
        <v>0</v>
      </c>
      <c r="M2003" s="56" t="n">
        <v>73</v>
      </c>
      <c r="N2003" s="56" t="n">
        <v>10.9</v>
      </c>
      <c r="O2003" s="56" t="n">
        <f aca="false">IF(D2003=1,"",E2002)</f>
        <v>22.6</v>
      </c>
      <c r="P2003" s="56" t="n">
        <f aca="false">IF(OR(D2003=1,K2002=""),"",K2002)</f>
        <v>1019</v>
      </c>
      <c r="Q2003" s="56" t="n">
        <f aca="false">IF(OR(F2003&lt;&gt;0,AND(I2003&lt;&gt;"",E2003&lt;I2003)),1,0)</f>
        <v>0</v>
      </c>
      <c r="R2003" s="56" t="n">
        <f aca="false">IF(AND(D2003&gt;1,Q2003=0,ISNUMBER(O2003),ISNUMBER(P2003)),IF(Q2002=0,1,0),0)</f>
        <v>1</v>
      </c>
      <c r="S2003" s="56" t="n">
        <f aca="false">R2003*(B2003&gt;=Train_Start)*(B2003&lt;=Train_End)</f>
        <v>1</v>
      </c>
      <c r="T2003" s="84" t="n">
        <f aca="false">IF(AND(ISNUMBER(O2003),ISNUMBER(P2003)),Coef_A+Coef_B1*O2003+Coef_B2*P2003,"")</f>
        <v>22.569963816795</v>
      </c>
      <c r="U2003" s="84" t="n">
        <f aca="false">IF(AND(R2003=1,ISNUMBER(T2003)),E2003-T2003,"")</f>
        <v>4.13003618320505</v>
      </c>
      <c r="V2003" s="84" t="n">
        <f aca="false">IF(ISNUMBER(T2003),T2003,-99)</f>
        <v>22.569963816795</v>
      </c>
      <c r="W2003" s="84" t="n">
        <f aca="false">IF(ISNUMBER(U2003),ABS(U2003),"")</f>
        <v>4.13003618320505</v>
      </c>
    </row>
    <row r="2004" customFormat="false" ht="15" hidden="false" customHeight="false" outlineLevel="0" collapsed="false">
      <c r="A2004" s="57" t="n">
        <v>33738</v>
      </c>
      <c r="B2004" s="56" t="n">
        <v>1992</v>
      </c>
      <c r="C2004" s="56" t="n">
        <v>5</v>
      </c>
      <c r="D2004" s="56" t="n">
        <v>14</v>
      </c>
      <c r="E2004" s="56" t="n">
        <v>20.4</v>
      </c>
      <c r="F2004" s="56" t="n">
        <v>0</v>
      </c>
      <c r="G2004" s="56" t="n">
        <v>12.7</v>
      </c>
      <c r="H2004" s="56" t="n">
        <v>0</v>
      </c>
      <c r="I2004" s="56" t="n">
        <v>19.7</v>
      </c>
      <c r="J2004" s="56" t="n">
        <v>0</v>
      </c>
      <c r="K2004" s="56" t="n">
        <v>1018.3</v>
      </c>
      <c r="L2004" s="56" t="n">
        <v>0</v>
      </c>
      <c r="M2004" s="56" t="n">
        <v>64</v>
      </c>
      <c r="N2004" s="56" t="n">
        <v>12.8</v>
      </c>
      <c r="O2004" s="56" t="n">
        <f aca="false">IF(D2004=1,"",E2003)</f>
        <v>26.7</v>
      </c>
      <c r="P2004" s="56" t="n">
        <f aca="false">IF(OR(D2004=1,K2003=""),"",K2003)</f>
        <v>1023</v>
      </c>
      <c r="Q2004" s="56" t="n">
        <f aca="false">IF(OR(F2004&lt;&gt;0,AND(I2004&lt;&gt;"",E2004&lt;I2004)),1,0)</f>
        <v>0</v>
      </c>
      <c r="R2004" s="56" t="n">
        <f aca="false">IF(AND(D2004&gt;1,Q2004=0,ISNUMBER(O2004),ISNUMBER(P2004)),IF(Q2003=0,1,0),0)</f>
        <v>1</v>
      </c>
      <c r="S2004" s="56" t="n">
        <f aca="false">R2004*(B2004&gt;=Train_Start)*(B2004&lt;=Train_End)</f>
        <v>1</v>
      </c>
      <c r="T2004" s="84" t="n">
        <f aca="false">IF(AND(ISNUMBER(O2004),ISNUMBER(P2004)),Coef_A+Coef_B1*O2004+Coef_B2*P2004,"")</f>
        <v>26.0547340868058</v>
      </c>
      <c r="U2004" s="84" t="n">
        <f aca="false">IF(AND(R2004=1,ISNUMBER(T2004)),E2004-T2004,"")</f>
        <v>-5.6547340868058</v>
      </c>
      <c r="V2004" s="84" t="n">
        <f aca="false">IF(ISNUMBER(T2004),T2004,-99)</f>
        <v>26.0547340868058</v>
      </c>
      <c r="W2004" s="84" t="n">
        <f aca="false">IF(ISNUMBER(U2004),ABS(U2004),"")</f>
        <v>5.6547340868058</v>
      </c>
    </row>
    <row r="2005" customFormat="false" ht="15" hidden="false" customHeight="false" outlineLevel="0" collapsed="false">
      <c r="A2005" s="57" t="n">
        <v>33739</v>
      </c>
      <c r="B2005" s="56" t="n">
        <v>1992</v>
      </c>
      <c r="C2005" s="56" t="n">
        <v>5</v>
      </c>
      <c r="D2005" s="56" t="n">
        <v>15</v>
      </c>
      <c r="E2005" s="56" t="n">
        <v>21.3</v>
      </c>
      <c r="F2005" s="56" t="n">
        <v>0</v>
      </c>
      <c r="G2005" s="56" t="n">
        <v>12.2</v>
      </c>
      <c r="H2005" s="56" t="n">
        <v>0</v>
      </c>
      <c r="I2005" s="56" t="n">
        <v>16.3</v>
      </c>
      <c r="J2005" s="56" t="n">
        <v>0</v>
      </c>
      <c r="K2005" s="56" t="n">
        <v>1030.4</v>
      </c>
      <c r="L2005" s="56" t="n">
        <v>0</v>
      </c>
      <c r="M2005" s="56" t="n">
        <v>62</v>
      </c>
      <c r="N2005" s="56" t="n">
        <v>4.4</v>
      </c>
      <c r="O2005" s="56" t="n">
        <f aca="false">IF(D2005=1,"",E2004)</f>
        <v>20.4</v>
      </c>
      <c r="P2005" s="56" t="n">
        <f aca="false">IF(OR(D2005=1,K2004=""),"",K2004)</f>
        <v>1018.3</v>
      </c>
      <c r="Q2005" s="56" t="n">
        <f aca="false">IF(OR(F2005&lt;&gt;0,AND(I2005&lt;&gt;"",E2005&lt;I2005)),1,0)</f>
        <v>0</v>
      </c>
      <c r="R2005" s="56" t="n">
        <f aca="false">IF(AND(D2005&gt;1,Q2005=0,ISNUMBER(O2005),ISNUMBER(P2005)),IF(Q2004=0,1,0),0)</f>
        <v>1</v>
      </c>
      <c r="S2005" s="56" t="n">
        <f aca="false">R2005*(B2005&gt;=Train_Start)*(B2005&lt;=Train_End)</f>
        <v>1</v>
      </c>
      <c r="T2005" s="84" t="n">
        <f aca="false">IF(AND(ISNUMBER(O2005),ISNUMBER(P2005)),Coef_A+Coef_B1*O2005+Coef_B2*P2005,"")</f>
        <v>20.7454586658573</v>
      </c>
      <c r="U2005" s="84" t="n">
        <f aca="false">IF(AND(R2005=1,ISNUMBER(T2005)),E2005-T2005,"")</f>
        <v>0.554541334142691</v>
      </c>
      <c r="V2005" s="84" t="n">
        <f aca="false">IF(ISNUMBER(T2005),T2005,-99)</f>
        <v>20.7454586658573</v>
      </c>
      <c r="W2005" s="84" t="n">
        <f aca="false">IF(ISNUMBER(U2005),ABS(U2005),"")</f>
        <v>0.554541334142691</v>
      </c>
    </row>
    <row r="2006" customFormat="false" ht="15" hidden="false" customHeight="false" outlineLevel="0" collapsed="false">
      <c r="A2006" s="57" t="n">
        <v>33740</v>
      </c>
      <c r="B2006" s="56" t="n">
        <v>1992</v>
      </c>
      <c r="C2006" s="56" t="n">
        <v>5</v>
      </c>
      <c r="D2006" s="56" t="n">
        <v>16</v>
      </c>
      <c r="E2006" s="56" t="n">
        <v>18.2</v>
      </c>
      <c r="F2006" s="56" t="n">
        <v>0</v>
      </c>
      <c r="G2006" s="56" t="n">
        <v>10.5</v>
      </c>
      <c r="H2006" s="56" t="n">
        <v>0</v>
      </c>
      <c r="I2006" s="56" t="n">
        <v>15.9</v>
      </c>
      <c r="J2006" s="56" t="n">
        <v>0</v>
      </c>
      <c r="K2006" s="56" t="n">
        <v>1036.2</v>
      </c>
      <c r="L2006" s="56" t="n">
        <v>0</v>
      </c>
      <c r="M2006" s="56" t="n">
        <v>62</v>
      </c>
      <c r="N2006" s="56" t="n">
        <v>13.8</v>
      </c>
      <c r="O2006" s="56" t="n">
        <f aca="false">IF(D2006=1,"",E2005)</f>
        <v>21.3</v>
      </c>
      <c r="P2006" s="56" t="n">
        <f aca="false">IF(OR(D2006=1,K2005=""),"",K2005)</f>
        <v>1030.4</v>
      </c>
      <c r="Q2006" s="56" t="n">
        <f aca="false">IF(OR(F2006&lt;&gt;0,AND(I2006&lt;&gt;"",E2006&lt;I2006)),1,0)</f>
        <v>0</v>
      </c>
      <c r="R2006" s="56" t="n">
        <f aca="false">IF(AND(D2006&gt;1,Q2006=0,ISNUMBER(O2006),ISNUMBER(P2006)),IF(Q2005=0,1,0),0)</f>
        <v>1</v>
      </c>
      <c r="S2006" s="56" t="n">
        <f aca="false">R2006*(B2006&gt;=Train_Start)*(B2006&lt;=Train_End)</f>
        <v>1</v>
      </c>
      <c r="T2006" s="84" t="n">
        <f aca="false">IF(AND(ISNUMBER(O2006),ISNUMBER(P2006)),Coef_A+Coef_B1*O2006+Coef_B2*P2006,"")</f>
        <v>21.862439664667</v>
      </c>
      <c r="U2006" s="84" t="n">
        <f aca="false">IF(AND(R2006=1,ISNUMBER(T2006)),E2006-T2006,"")</f>
        <v>-3.66243966466698</v>
      </c>
      <c r="V2006" s="84" t="n">
        <f aca="false">IF(ISNUMBER(T2006),T2006,-99)</f>
        <v>21.862439664667</v>
      </c>
      <c r="W2006" s="84" t="n">
        <f aca="false">IF(ISNUMBER(U2006),ABS(U2006),"")</f>
        <v>3.66243966466698</v>
      </c>
    </row>
    <row r="2007" customFormat="false" ht="15" hidden="false" customHeight="false" outlineLevel="0" collapsed="false">
      <c r="A2007" s="57" t="n">
        <v>33741</v>
      </c>
      <c r="B2007" s="56" t="n">
        <v>1992</v>
      </c>
      <c r="C2007" s="56" t="n">
        <v>5</v>
      </c>
      <c r="D2007" s="56" t="n">
        <v>17</v>
      </c>
      <c r="E2007" s="56" t="n">
        <v>21.6</v>
      </c>
      <c r="F2007" s="56" t="n">
        <v>0</v>
      </c>
      <c r="G2007" s="56" t="n">
        <v>6.8</v>
      </c>
      <c r="H2007" s="56" t="n">
        <v>0</v>
      </c>
      <c r="I2007" s="56" t="n">
        <v>12.5</v>
      </c>
      <c r="J2007" s="56" t="n">
        <v>0</v>
      </c>
      <c r="K2007" s="56" t="n">
        <v>1034</v>
      </c>
      <c r="L2007" s="56" t="n">
        <v>0</v>
      </c>
      <c r="M2007" s="56" t="n">
        <v>68</v>
      </c>
      <c r="N2007" s="56" t="n">
        <v>11.5</v>
      </c>
      <c r="O2007" s="56" t="n">
        <f aca="false">IF(D2007=1,"",E2006)</f>
        <v>18.2</v>
      </c>
      <c r="P2007" s="56" t="n">
        <f aca="false">IF(OR(D2007=1,K2006=""),"",K2006)</f>
        <v>1036.2</v>
      </c>
      <c r="Q2007" s="56" t="n">
        <f aca="false">IF(OR(F2007&lt;&gt;0,AND(I2007&lt;&gt;"",E2007&lt;I2007)),1,0)</f>
        <v>0</v>
      </c>
      <c r="R2007" s="56" t="n">
        <f aca="false">IF(AND(D2007&gt;1,Q2007=0,ISNUMBER(O2007),ISNUMBER(P2007)),IF(Q2006=0,1,0),0)</f>
        <v>1</v>
      </c>
      <c r="S2007" s="56" t="n">
        <f aca="false">R2007*(B2007&gt;=Train_Start)*(B2007&lt;=Train_End)</f>
        <v>1</v>
      </c>
      <c r="T2007" s="84" t="n">
        <f aca="false">IF(AND(ISNUMBER(O2007),ISNUMBER(P2007)),Coef_A+Coef_B1*O2007+Coef_B2*P2007,"")</f>
        <v>19.5044335551119</v>
      </c>
      <c r="U2007" s="84" t="n">
        <f aca="false">IF(AND(R2007=1,ISNUMBER(T2007)),E2007-T2007,"")</f>
        <v>2.09556644488813</v>
      </c>
      <c r="V2007" s="84" t="n">
        <f aca="false">IF(ISNUMBER(T2007),T2007,-99)</f>
        <v>19.5044335551119</v>
      </c>
      <c r="W2007" s="84" t="n">
        <f aca="false">IF(ISNUMBER(U2007),ABS(U2007),"")</f>
        <v>2.09556644488813</v>
      </c>
    </row>
    <row r="2008" customFormat="false" ht="15" hidden="false" customHeight="false" outlineLevel="0" collapsed="false">
      <c r="A2008" s="57" t="n">
        <v>33742</v>
      </c>
      <c r="B2008" s="56" t="n">
        <v>1992</v>
      </c>
      <c r="C2008" s="56" t="n">
        <v>5</v>
      </c>
      <c r="D2008" s="56" t="n">
        <v>18</v>
      </c>
      <c r="E2008" s="56" t="n">
        <v>26.5</v>
      </c>
      <c r="F2008" s="56" t="n">
        <v>0</v>
      </c>
      <c r="G2008" s="56" t="n">
        <v>7.8</v>
      </c>
      <c r="H2008" s="56" t="n">
        <v>0</v>
      </c>
      <c r="I2008" s="56" t="n">
        <v>14.7</v>
      </c>
      <c r="J2008" s="56" t="n">
        <v>0</v>
      </c>
      <c r="K2008" s="56" t="n">
        <v>1025.1</v>
      </c>
      <c r="L2008" s="56" t="n">
        <v>0</v>
      </c>
      <c r="M2008" s="56" t="n">
        <v>67</v>
      </c>
      <c r="N2008" s="56" t="n">
        <v>10.6</v>
      </c>
      <c r="O2008" s="56" t="n">
        <f aca="false">IF(D2008=1,"",E2007)</f>
        <v>21.6</v>
      </c>
      <c r="P2008" s="56" t="n">
        <f aca="false">IF(OR(D2008=1,K2007=""),"",K2007)</f>
        <v>1034</v>
      </c>
      <c r="Q2008" s="56" t="n">
        <f aca="false">IF(OR(F2008&lt;&gt;0,AND(I2008&lt;&gt;"",E2008&lt;I2008)),1,0)</f>
        <v>0</v>
      </c>
      <c r="R2008" s="56" t="n">
        <f aca="false">IF(AND(D2008&gt;1,Q2008=0,ISNUMBER(O2008),ISNUMBER(P2008)),IF(Q2007=0,1,0),0)</f>
        <v>1</v>
      </c>
      <c r="S2008" s="56" t="n">
        <f aca="false">R2008*(B2008&gt;=Train_Start)*(B2008&lt;=Train_End)</f>
        <v>1</v>
      </c>
      <c r="T2008" s="84" t="n">
        <f aca="false">IF(AND(ISNUMBER(O2008),ISNUMBER(P2008)),Coef_A+Coef_B1*O2008+Coef_B2*P2008,"")</f>
        <v>22.2211730432621</v>
      </c>
      <c r="U2008" s="84" t="n">
        <f aca="false">IF(AND(R2008=1,ISNUMBER(T2008)),E2008-T2008,"")</f>
        <v>4.27882695673787</v>
      </c>
      <c r="V2008" s="84" t="n">
        <f aca="false">IF(ISNUMBER(T2008),T2008,-99)</f>
        <v>22.2211730432621</v>
      </c>
      <c r="W2008" s="84" t="n">
        <f aca="false">IF(ISNUMBER(U2008),ABS(U2008),"")</f>
        <v>4.27882695673787</v>
      </c>
    </row>
    <row r="2009" customFormat="false" ht="15" hidden="false" customHeight="false" outlineLevel="0" collapsed="false">
      <c r="A2009" s="57" t="n">
        <v>33743</v>
      </c>
      <c r="B2009" s="56" t="n">
        <v>1992</v>
      </c>
      <c r="C2009" s="56" t="n">
        <v>5</v>
      </c>
      <c r="D2009" s="56" t="n">
        <v>19</v>
      </c>
      <c r="E2009" s="56" t="n">
        <v>26.8</v>
      </c>
      <c r="F2009" s="56" t="n">
        <v>0</v>
      </c>
      <c r="G2009" s="56" t="n">
        <v>11</v>
      </c>
      <c r="H2009" s="56" t="n">
        <v>0</v>
      </c>
      <c r="I2009" s="56" t="n">
        <v>18.8</v>
      </c>
      <c r="J2009" s="56" t="n">
        <v>0</v>
      </c>
      <c r="K2009" s="56" t="n">
        <v>1021</v>
      </c>
      <c r="L2009" s="56" t="n">
        <v>0</v>
      </c>
      <c r="M2009" s="56" t="n">
        <v>62</v>
      </c>
      <c r="N2009" s="56" t="n">
        <v>13.3</v>
      </c>
      <c r="O2009" s="56" t="n">
        <f aca="false">IF(D2009=1,"",E2008)</f>
        <v>26.5</v>
      </c>
      <c r="P2009" s="56" t="n">
        <f aca="false">IF(OR(D2009=1,K2008=""),"",K2008)</f>
        <v>1025.1</v>
      </c>
      <c r="Q2009" s="56" t="n">
        <f aca="false">IF(OR(F2009&lt;&gt;0,AND(I2009&lt;&gt;"",E2009&lt;I2009)),1,0)</f>
        <v>0</v>
      </c>
      <c r="R2009" s="56" t="n">
        <f aca="false">IF(AND(D2009&gt;1,Q2009=0,ISNUMBER(O2009),ISNUMBER(P2009)),IF(Q2008=0,1,0),0)</f>
        <v>1</v>
      </c>
      <c r="S2009" s="56" t="n">
        <f aca="false">R2009*(B2009&gt;=Train_Start)*(B2009&lt;=Train_End)</f>
        <v>1</v>
      </c>
      <c r="T2009" s="84" t="n">
        <f aca="false">IF(AND(ISNUMBER(O2009),ISNUMBER(P2009)),Coef_A+Coef_B1*O2009+Coef_B2*P2009,"")</f>
        <v>25.9567430269286</v>
      </c>
      <c r="U2009" s="84" t="n">
        <f aca="false">IF(AND(R2009=1,ISNUMBER(T2009)),E2009-T2009,"")</f>
        <v>0.843256973071355</v>
      </c>
      <c r="V2009" s="84" t="n">
        <f aca="false">IF(ISNUMBER(T2009),T2009,-99)</f>
        <v>25.9567430269286</v>
      </c>
      <c r="W2009" s="84" t="n">
        <f aca="false">IF(ISNUMBER(U2009),ABS(U2009),"")</f>
        <v>0.843256973071355</v>
      </c>
    </row>
    <row r="2010" customFormat="false" ht="15" hidden="false" customHeight="false" outlineLevel="0" collapsed="false">
      <c r="A2010" s="57" t="n">
        <v>33744</v>
      </c>
      <c r="B2010" s="56" t="n">
        <v>1992</v>
      </c>
      <c r="C2010" s="56" t="n">
        <v>5</v>
      </c>
      <c r="D2010" s="56" t="n">
        <v>20</v>
      </c>
      <c r="E2010" s="56" t="n">
        <v>26.8</v>
      </c>
      <c r="F2010" s="56" t="n">
        <v>0</v>
      </c>
      <c r="G2010" s="56" t="n">
        <v>11.5</v>
      </c>
      <c r="H2010" s="56" t="n">
        <v>0</v>
      </c>
      <c r="I2010" s="56" t="n">
        <v>19.2</v>
      </c>
      <c r="J2010" s="56" t="n">
        <v>0</v>
      </c>
      <c r="K2010" s="56" t="n">
        <v>1019.5</v>
      </c>
      <c r="L2010" s="56" t="n">
        <v>0</v>
      </c>
      <c r="M2010" s="56" t="n">
        <v>54</v>
      </c>
      <c r="N2010" s="56" t="n">
        <v>13.6</v>
      </c>
      <c r="O2010" s="56" t="n">
        <f aca="false">IF(D2010=1,"",E2009)</f>
        <v>26.8</v>
      </c>
      <c r="P2010" s="56" t="n">
        <f aca="false">IF(OR(D2010=1,K2009=""),"",K2009)</f>
        <v>1021</v>
      </c>
      <c r="Q2010" s="56" t="n">
        <f aca="false">IF(OR(F2010&lt;&gt;0,AND(I2010&lt;&gt;"",E2010&lt;I2010)),1,0)</f>
        <v>0</v>
      </c>
      <c r="R2010" s="56" t="n">
        <f aca="false">IF(AND(D2010&gt;1,Q2010=0,ISNUMBER(O2010),ISNUMBER(P2010)),IF(Q2009=0,1,0),0)</f>
        <v>1</v>
      </c>
      <c r="S2010" s="56" t="n">
        <f aca="false">R2010*(B2010&gt;=Train_Start)*(B2010&lt;=Train_End)</f>
        <v>1</v>
      </c>
      <c r="T2010" s="84" t="n">
        <f aca="false">IF(AND(ISNUMBER(O2010),ISNUMBER(P2010)),Coef_A+Coef_B1*O2010+Coef_B2*P2010,"")</f>
        <v>26.0739282168421</v>
      </c>
      <c r="U2010" s="84" t="n">
        <f aca="false">IF(AND(R2010=1,ISNUMBER(T2010)),E2010-T2010,"")</f>
        <v>0.726071783157909</v>
      </c>
      <c r="V2010" s="84" t="n">
        <f aca="false">IF(ISNUMBER(T2010),T2010,-99)</f>
        <v>26.0739282168421</v>
      </c>
      <c r="W2010" s="84" t="n">
        <f aca="false">IF(ISNUMBER(U2010),ABS(U2010),"")</f>
        <v>0.726071783157909</v>
      </c>
    </row>
    <row r="2011" customFormat="false" ht="15" hidden="false" customHeight="false" outlineLevel="0" collapsed="false">
      <c r="A2011" s="57" t="n">
        <v>33745</v>
      </c>
      <c r="B2011" s="56" t="n">
        <v>1992</v>
      </c>
      <c r="C2011" s="56" t="n">
        <v>5</v>
      </c>
      <c r="D2011" s="56" t="n">
        <v>21</v>
      </c>
      <c r="E2011" s="56" t="n">
        <v>26.6</v>
      </c>
      <c r="F2011" s="56" t="n">
        <v>0</v>
      </c>
      <c r="G2011" s="56" t="n">
        <v>11</v>
      </c>
      <c r="H2011" s="56" t="n">
        <v>0</v>
      </c>
      <c r="I2011" s="56" t="n">
        <v>18.9</v>
      </c>
      <c r="J2011" s="56" t="n">
        <v>0</v>
      </c>
      <c r="K2011" s="56" t="n">
        <v>1015.9</v>
      </c>
      <c r="L2011" s="56" t="n">
        <v>0</v>
      </c>
      <c r="M2011" s="56" t="n">
        <v>54</v>
      </c>
      <c r="N2011" s="56" t="n">
        <v>9.1</v>
      </c>
      <c r="O2011" s="56" t="n">
        <f aca="false">IF(D2011=1,"",E2010)</f>
        <v>26.8</v>
      </c>
      <c r="P2011" s="56" t="n">
        <f aca="false">IF(OR(D2011=1,K2010=""),"",K2010)</f>
        <v>1019.5</v>
      </c>
      <c r="Q2011" s="56" t="n">
        <f aca="false">IF(OR(F2011&lt;&gt;0,AND(I2011&lt;&gt;"",E2011&lt;I2011)),1,0)</f>
        <v>0</v>
      </c>
      <c r="R2011" s="56" t="n">
        <f aca="false">IF(AND(D2011&gt;1,Q2011=0,ISNUMBER(O2011),ISNUMBER(P2011)),IF(Q2010=0,1,0),0)</f>
        <v>1</v>
      </c>
      <c r="S2011" s="56" t="n">
        <f aca="false">R2011*(B2011&gt;=Train_Start)*(B2011&lt;=Train_End)</f>
        <v>1</v>
      </c>
      <c r="T2011" s="84" t="n">
        <f aca="false">IF(AND(ISNUMBER(O2011),ISNUMBER(P2011)),Coef_A+Coef_B1*O2011+Coef_B2*P2011,"")</f>
        <v>26.0268733748911</v>
      </c>
      <c r="U2011" s="84" t="n">
        <f aca="false">IF(AND(R2011=1,ISNUMBER(T2011)),E2011-T2011,"")</f>
        <v>0.573126625108895</v>
      </c>
      <c r="V2011" s="84" t="n">
        <f aca="false">IF(ISNUMBER(T2011),T2011,-99)</f>
        <v>26.0268733748911</v>
      </c>
      <c r="W2011" s="84" t="n">
        <f aca="false">IF(ISNUMBER(U2011),ABS(U2011),"")</f>
        <v>0.573126625108895</v>
      </c>
    </row>
    <row r="2012" customFormat="false" ht="15" hidden="false" customHeight="false" outlineLevel="0" collapsed="false">
      <c r="A2012" s="57" t="n">
        <v>33746</v>
      </c>
      <c r="B2012" s="56" t="n">
        <v>1992</v>
      </c>
      <c r="C2012" s="56" t="n">
        <v>5</v>
      </c>
      <c r="D2012" s="56" t="n">
        <v>22</v>
      </c>
      <c r="E2012" s="56" t="n">
        <v>25.9</v>
      </c>
      <c r="F2012" s="56" t="n">
        <v>0</v>
      </c>
      <c r="G2012" s="56" t="n">
        <v>12.5</v>
      </c>
      <c r="H2012" s="56" t="n">
        <v>0</v>
      </c>
      <c r="I2012" s="56" t="n">
        <v>19.6</v>
      </c>
      <c r="J2012" s="56" t="n">
        <v>0</v>
      </c>
      <c r="K2012" s="56" t="n">
        <v>1016.6</v>
      </c>
      <c r="L2012" s="56" t="n">
        <v>0</v>
      </c>
      <c r="M2012" s="56" t="n">
        <v>52</v>
      </c>
      <c r="N2012" s="56" t="n">
        <v>13.5</v>
      </c>
      <c r="O2012" s="56" t="n">
        <f aca="false">IF(D2012=1,"",E2011)</f>
        <v>26.6</v>
      </c>
      <c r="P2012" s="56" t="n">
        <f aca="false">IF(OR(D2012=1,K2011=""),"",K2011)</f>
        <v>1015.9</v>
      </c>
      <c r="Q2012" s="56" t="n">
        <f aca="false">IF(OR(F2012&lt;&gt;0,AND(I2012&lt;&gt;"",E2012&lt;I2012)),1,0)</f>
        <v>0</v>
      </c>
      <c r="R2012" s="56" t="n">
        <f aca="false">IF(AND(D2012&gt;1,Q2012=0,ISNUMBER(O2012),ISNUMBER(P2012)),IF(Q2011=0,1,0),0)</f>
        <v>1</v>
      </c>
      <c r="S2012" s="56" t="n">
        <f aca="false">R2012*(B2012&gt;=Train_Start)*(B2012&lt;=Train_End)</f>
        <v>1</v>
      </c>
      <c r="T2012" s="84" t="n">
        <f aca="false">IF(AND(ISNUMBER(O2012),ISNUMBER(P2012)),Coef_A+Coef_B1*O2012+Coef_B2*P2012,"")</f>
        <v>25.7500739156002</v>
      </c>
      <c r="U2012" s="84" t="n">
        <f aca="false">IF(AND(R2012=1,ISNUMBER(T2012)),E2012-T2012,"")</f>
        <v>0.149926084399784</v>
      </c>
      <c r="V2012" s="84" t="n">
        <f aca="false">IF(ISNUMBER(T2012),T2012,-99)</f>
        <v>25.7500739156002</v>
      </c>
      <c r="W2012" s="84" t="n">
        <f aca="false">IF(ISNUMBER(U2012),ABS(U2012),"")</f>
        <v>0.149926084399784</v>
      </c>
    </row>
    <row r="2013" customFormat="false" ht="15" hidden="false" customHeight="false" outlineLevel="0" collapsed="false">
      <c r="A2013" s="57" t="n">
        <v>33747</v>
      </c>
      <c r="B2013" s="56" t="n">
        <v>1992</v>
      </c>
      <c r="C2013" s="56" t="n">
        <v>5</v>
      </c>
      <c r="D2013" s="56" t="n">
        <v>23</v>
      </c>
      <c r="E2013" s="56" t="n">
        <v>27.3</v>
      </c>
      <c r="F2013" s="56" t="n">
        <v>0</v>
      </c>
      <c r="G2013" s="56" t="n">
        <v>12.5</v>
      </c>
      <c r="H2013" s="56" t="n">
        <v>0</v>
      </c>
      <c r="I2013" s="56" t="n">
        <v>19.2</v>
      </c>
      <c r="J2013" s="56" t="n">
        <v>0</v>
      </c>
      <c r="K2013" s="56" t="n">
        <v>1013.3</v>
      </c>
      <c r="L2013" s="56" t="n">
        <v>0</v>
      </c>
      <c r="M2013" s="56" t="n">
        <v>60</v>
      </c>
      <c r="N2013" s="56" t="n">
        <v>9</v>
      </c>
      <c r="O2013" s="56" t="n">
        <f aca="false">IF(D2013=1,"",E2012)</f>
        <v>25.9</v>
      </c>
      <c r="P2013" s="56" t="n">
        <f aca="false">IF(OR(D2013=1,K2012=""),"",K2012)</f>
        <v>1016.6</v>
      </c>
      <c r="Q2013" s="56" t="n">
        <f aca="false">IF(OR(F2013&lt;&gt;0,AND(I2013&lt;&gt;"",E2013&lt;I2013)),1,0)</f>
        <v>0</v>
      </c>
      <c r="R2013" s="56" t="n">
        <f aca="false">IF(AND(D2013&gt;1,Q2013=0,ISNUMBER(O2013),ISNUMBER(P2013)),IF(Q2012=0,1,0),0)</f>
        <v>1</v>
      </c>
      <c r="S2013" s="56" t="n">
        <f aca="false">R2013*(B2013&gt;=Train_Start)*(B2013&lt;=Train_End)</f>
        <v>1</v>
      </c>
      <c r="T2013" s="84" t="n">
        <f aca="false">IF(AND(ISNUMBER(O2013),ISNUMBER(P2013)),Coef_A+Coef_B1*O2013+Coef_B2*P2013,"")</f>
        <v>25.1984954067141</v>
      </c>
      <c r="U2013" s="84" t="n">
        <f aca="false">IF(AND(R2013=1,ISNUMBER(T2013)),E2013-T2013,"")</f>
        <v>2.10150459328586</v>
      </c>
      <c r="V2013" s="84" t="n">
        <f aca="false">IF(ISNUMBER(T2013),T2013,-99)</f>
        <v>25.1984954067141</v>
      </c>
      <c r="W2013" s="84" t="n">
        <f aca="false">IF(ISNUMBER(U2013),ABS(U2013),"")</f>
        <v>2.10150459328586</v>
      </c>
    </row>
    <row r="2014" customFormat="false" ht="15" hidden="false" customHeight="false" outlineLevel="0" collapsed="false">
      <c r="A2014" s="57" t="n">
        <v>33748</v>
      </c>
      <c r="B2014" s="56" t="n">
        <v>1992</v>
      </c>
      <c r="C2014" s="56" t="n">
        <v>5</v>
      </c>
      <c r="D2014" s="56" t="n">
        <v>24</v>
      </c>
      <c r="E2014" s="56" t="n">
        <v>26.6</v>
      </c>
      <c r="F2014" s="56" t="n">
        <v>0</v>
      </c>
      <c r="G2014" s="56" t="n">
        <v>14.2</v>
      </c>
      <c r="H2014" s="56" t="n">
        <v>0</v>
      </c>
      <c r="I2014" s="56" t="n">
        <v>20.8</v>
      </c>
      <c r="J2014" s="56" t="n">
        <v>0</v>
      </c>
      <c r="K2014" s="56" t="n">
        <v>1010.7</v>
      </c>
      <c r="L2014" s="56" t="n">
        <v>0</v>
      </c>
      <c r="M2014" s="56" t="n">
        <v>57</v>
      </c>
      <c r="N2014" s="56" t="n">
        <v>11.4</v>
      </c>
      <c r="O2014" s="56" t="n">
        <f aca="false">IF(D2014=1,"",E2013)</f>
        <v>27.3</v>
      </c>
      <c r="P2014" s="56" t="n">
        <f aca="false">IF(OR(D2014=1,K2013=""),"",K2013)</f>
        <v>1013.3</v>
      </c>
      <c r="Q2014" s="56" t="n">
        <f aca="false">IF(OR(F2014&lt;&gt;0,AND(I2014&lt;&gt;"",E2014&lt;I2014)),1,0)</f>
        <v>0</v>
      </c>
      <c r="R2014" s="56" t="n">
        <f aca="false">IF(AND(D2014&gt;1,Q2014=0,ISNUMBER(O2014),ISNUMBER(P2014)),IF(Q2013=0,1,0),0)</f>
        <v>1</v>
      </c>
      <c r="S2014" s="56" t="n">
        <f aca="false">R2014*(B2014&gt;=Train_Start)*(B2014&lt;=Train_End)</f>
        <v>1</v>
      </c>
      <c r="T2014" s="84" t="n">
        <f aca="false">IF(AND(ISNUMBER(O2014),ISNUMBER(P2014)),Coef_A+Coef_B1*O2014+Coef_B2*P2014,"")</f>
        <v>26.2420496246817</v>
      </c>
      <c r="U2014" s="84" t="n">
        <f aca="false">IF(AND(R2014=1,ISNUMBER(T2014)),E2014-T2014,"")</f>
        <v>0.357950375318303</v>
      </c>
      <c r="V2014" s="84" t="n">
        <f aca="false">IF(ISNUMBER(T2014),T2014,-99)</f>
        <v>26.2420496246817</v>
      </c>
      <c r="W2014" s="84" t="n">
        <f aca="false">IF(ISNUMBER(U2014),ABS(U2014),"")</f>
        <v>0.357950375318303</v>
      </c>
    </row>
    <row r="2015" customFormat="false" ht="15" hidden="false" customHeight="false" outlineLevel="0" collapsed="false">
      <c r="A2015" s="57" t="n">
        <v>33749</v>
      </c>
      <c r="B2015" s="56" t="n">
        <v>1992</v>
      </c>
      <c r="C2015" s="56" t="n">
        <v>5</v>
      </c>
      <c r="D2015" s="56" t="n">
        <v>25</v>
      </c>
      <c r="E2015" s="56" t="n">
        <v>26.7</v>
      </c>
      <c r="F2015" s="56" t="n">
        <v>0</v>
      </c>
      <c r="G2015" s="56" t="n">
        <v>14.4</v>
      </c>
      <c r="H2015" s="56" t="n">
        <v>0</v>
      </c>
      <c r="I2015" s="56" t="n">
        <v>20.5</v>
      </c>
      <c r="J2015" s="56" t="n">
        <v>0</v>
      </c>
      <c r="K2015" s="56" t="n">
        <v>1017.7</v>
      </c>
      <c r="L2015" s="56" t="n">
        <v>0</v>
      </c>
      <c r="M2015" s="56" t="n">
        <v>62</v>
      </c>
      <c r="N2015" s="56" t="n">
        <v>12.8</v>
      </c>
      <c r="O2015" s="56" t="n">
        <f aca="false">IF(D2015=1,"",E2014)</f>
        <v>26.6</v>
      </c>
      <c r="P2015" s="56" t="n">
        <f aca="false">IF(OR(D2015=1,K2014=""),"",K2014)</f>
        <v>1010.7</v>
      </c>
      <c r="Q2015" s="56" t="n">
        <f aca="false">IF(OR(F2015&lt;&gt;0,AND(I2015&lt;&gt;"",E2015&lt;I2015)),1,0)</f>
        <v>0</v>
      </c>
      <c r="R2015" s="56" t="n">
        <f aca="false">IF(AND(D2015&gt;1,Q2015=0,ISNUMBER(O2015),ISNUMBER(P2015)),IF(Q2014=0,1,0),0)</f>
        <v>1</v>
      </c>
      <c r="S2015" s="56" t="n">
        <f aca="false">R2015*(B2015&gt;=Train_Start)*(B2015&lt;=Train_End)</f>
        <v>1</v>
      </c>
      <c r="T2015" s="84" t="n">
        <f aca="false">IF(AND(ISNUMBER(O2015),ISNUMBER(P2015)),Coef_A+Coef_B1*O2015+Coef_B2*P2015,"")</f>
        <v>25.5869504635035</v>
      </c>
      <c r="U2015" s="84" t="n">
        <f aca="false">IF(AND(R2015=1,ISNUMBER(T2015)),E2015-T2015,"")</f>
        <v>1.11304953649653</v>
      </c>
      <c r="V2015" s="84" t="n">
        <f aca="false">IF(ISNUMBER(T2015),T2015,-99)</f>
        <v>25.5869504635035</v>
      </c>
      <c r="W2015" s="84" t="n">
        <f aca="false">IF(ISNUMBER(U2015),ABS(U2015),"")</f>
        <v>1.11304953649653</v>
      </c>
    </row>
    <row r="2016" customFormat="false" ht="15" hidden="false" customHeight="false" outlineLevel="0" collapsed="false">
      <c r="A2016" s="57" t="n">
        <v>33750</v>
      </c>
      <c r="B2016" s="56" t="n">
        <v>1992</v>
      </c>
      <c r="C2016" s="56" t="n">
        <v>5</v>
      </c>
      <c r="D2016" s="56" t="n">
        <v>26</v>
      </c>
      <c r="E2016" s="56" t="n">
        <v>23.4</v>
      </c>
      <c r="F2016" s="56" t="n">
        <v>0</v>
      </c>
      <c r="G2016" s="56" t="n">
        <v>16</v>
      </c>
      <c r="H2016" s="56" t="n">
        <v>0</v>
      </c>
      <c r="I2016" s="56" t="n">
        <v>21.4</v>
      </c>
      <c r="J2016" s="56" t="n">
        <v>0</v>
      </c>
      <c r="K2016" s="56" t="n">
        <v>1016.5</v>
      </c>
      <c r="L2016" s="56" t="n">
        <v>0</v>
      </c>
      <c r="M2016" s="56" t="n">
        <v>58</v>
      </c>
      <c r="N2016" s="56" t="n">
        <v>13.4</v>
      </c>
      <c r="O2016" s="56" t="n">
        <f aca="false">IF(D2016=1,"",E2015)</f>
        <v>26.7</v>
      </c>
      <c r="P2016" s="56" t="n">
        <f aca="false">IF(OR(D2016=1,K2015=""),"",K2015)</f>
        <v>1017.7</v>
      </c>
      <c r="Q2016" s="56" t="n">
        <f aca="false">IF(OR(F2016&lt;&gt;0,AND(I2016&lt;&gt;"",E2016&lt;I2016)),1,0)</f>
        <v>0</v>
      </c>
      <c r="R2016" s="56" t="n">
        <f aca="false">IF(AND(D2016&gt;1,Q2016=0,ISNUMBER(O2016),ISNUMBER(P2016)),IF(Q2015=0,1,0),0)</f>
        <v>1</v>
      </c>
      <c r="S2016" s="56" t="n">
        <f aca="false">R2016*(B2016&gt;=Train_Start)*(B2016&lt;=Train_End)</f>
        <v>1</v>
      </c>
      <c r="T2016" s="84" t="n">
        <f aca="false">IF(AND(ISNUMBER(O2016),ISNUMBER(P2016)),Coef_A+Coef_B1*O2016+Coef_B2*P2016,"")</f>
        <v>25.8884736452457</v>
      </c>
      <c r="U2016" s="84" t="n">
        <f aca="false">IF(AND(R2016=1,ISNUMBER(T2016)),E2016-T2016,"")</f>
        <v>-2.48847364524566</v>
      </c>
      <c r="V2016" s="84" t="n">
        <f aca="false">IF(ISNUMBER(T2016),T2016,-99)</f>
        <v>25.8884736452457</v>
      </c>
      <c r="W2016" s="84" t="n">
        <f aca="false">IF(ISNUMBER(U2016),ABS(U2016),"")</f>
        <v>2.48847364524566</v>
      </c>
    </row>
    <row r="2017" customFormat="false" ht="15" hidden="false" customHeight="false" outlineLevel="0" collapsed="false">
      <c r="A2017" s="57" t="n">
        <v>33751</v>
      </c>
      <c r="B2017" s="56" t="n">
        <v>1992</v>
      </c>
      <c r="C2017" s="56" t="n">
        <v>5</v>
      </c>
      <c r="D2017" s="56" t="n">
        <v>27</v>
      </c>
      <c r="E2017" s="56" t="n">
        <v>26.2</v>
      </c>
      <c r="F2017" s="56" t="n">
        <v>0</v>
      </c>
      <c r="G2017" s="56" t="n">
        <v>13.4</v>
      </c>
      <c r="H2017" s="56" t="n">
        <v>0</v>
      </c>
      <c r="I2017" s="56" t="n">
        <v>18.4</v>
      </c>
      <c r="J2017" s="56" t="n">
        <v>0</v>
      </c>
      <c r="K2017" s="56" t="n">
        <v>1010.9</v>
      </c>
      <c r="L2017" s="56" t="n">
        <v>0</v>
      </c>
      <c r="M2017" s="56" t="n">
        <v>58</v>
      </c>
      <c r="N2017" s="56" t="n">
        <v>13.1</v>
      </c>
      <c r="O2017" s="56" t="n">
        <f aca="false">IF(D2017=1,"",E2016)</f>
        <v>23.4</v>
      </c>
      <c r="P2017" s="56" t="n">
        <f aca="false">IF(OR(D2017=1,K2016=""),"",K2016)</f>
        <v>1016.5</v>
      </c>
      <c r="Q2017" s="56" t="n">
        <f aca="false">IF(OR(F2017&lt;&gt;0,AND(I2017&lt;&gt;"",E2017&lt;I2017)),1,0)</f>
        <v>0</v>
      </c>
      <c r="R2017" s="56" t="n">
        <f aca="false">IF(AND(D2017&gt;1,Q2017=0,ISNUMBER(O2017),ISNUMBER(P2017)),IF(Q2016=0,1,0),0)</f>
        <v>1</v>
      </c>
      <c r="S2017" s="56" t="n">
        <f aca="false">R2017*(B2017&gt;=Train_Start)*(B2017&lt;=Train_End)</f>
        <v>1</v>
      </c>
      <c r="T2017" s="84" t="n">
        <f aca="false">IF(AND(ISNUMBER(O2017),ISNUMBER(P2017)),Coef_A+Coef_B1*O2017+Coef_B2*P2017,"")</f>
        <v>23.1470104346441</v>
      </c>
      <c r="U2017" s="84" t="n">
        <f aca="false">IF(AND(R2017=1,ISNUMBER(T2017)),E2017-T2017,"")</f>
        <v>3.0529895653559</v>
      </c>
      <c r="V2017" s="84" t="n">
        <f aca="false">IF(ISNUMBER(T2017),T2017,-99)</f>
        <v>23.1470104346441</v>
      </c>
      <c r="W2017" s="84" t="n">
        <f aca="false">IF(ISNUMBER(U2017),ABS(U2017),"")</f>
        <v>3.0529895653559</v>
      </c>
    </row>
    <row r="2018" customFormat="false" ht="15" hidden="false" customHeight="false" outlineLevel="0" collapsed="false">
      <c r="A2018" s="57" t="n">
        <v>33752</v>
      </c>
      <c r="B2018" s="56" t="n">
        <v>1992</v>
      </c>
      <c r="C2018" s="56" t="n">
        <v>5</v>
      </c>
      <c r="D2018" s="56" t="n">
        <v>28</v>
      </c>
      <c r="E2018" s="56" t="n">
        <v>20</v>
      </c>
      <c r="F2018" s="56" t="n">
        <v>1</v>
      </c>
      <c r="G2018" s="56" t="n">
        <v>16.1</v>
      </c>
      <c r="H2018" s="56" t="n">
        <v>0</v>
      </c>
      <c r="I2018" s="56" t="n">
        <v>21.2</v>
      </c>
      <c r="J2018" s="56" t="n">
        <v>1</v>
      </c>
      <c r="K2018" s="56" t="n">
        <v>1007.9</v>
      </c>
      <c r="L2018" s="56" t="n">
        <v>0</v>
      </c>
      <c r="M2018" s="56" t="n">
        <v>69</v>
      </c>
      <c r="N2018" s="56" t="n">
        <v>5.6</v>
      </c>
      <c r="O2018" s="56" t="n">
        <f aca="false">IF(D2018=1,"",E2017)</f>
        <v>26.2</v>
      </c>
      <c r="P2018" s="56" t="n">
        <f aca="false">IF(OR(D2018=1,K2017=""),"",K2017)</f>
        <v>1010.9</v>
      </c>
      <c r="Q2018" s="56" t="n">
        <f aca="false">IF(OR(F2018&lt;&gt;0,AND(I2018&lt;&gt;"",E2018&lt;I2018)),1,0)</f>
        <v>1</v>
      </c>
      <c r="R2018" s="56" t="n">
        <f aca="false">IF(AND(D2018&gt;1,Q2018=0,ISNUMBER(O2018),ISNUMBER(P2018)),IF(Q2017=0,1,0),0)</f>
        <v>0</v>
      </c>
      <c r="S2018" s="56" t="n">
        <f aca="false">R2018*(B2018&gt;=Train_Start)*(B2018&lt;=Train_End)</f>
        <v>0</v>
      </c>
      <c r="T2018" s="84" t="n">
        <f aca="false">IF(AND(ISNUMBER(O2018),ISNUMBER(P2018)),Coef_A+Coef_B1*O2018+Coef_B2*P2018,"")</f>
        <v>25.2654887652132</v>
      </c>
      <c r="U2018" s="84" t="str">
        <f aca="false">IF(AND(R2018=1,ISNUMBER(T2018)),E2018-T2018,"")</f>
        <v/>
      </c>
      <c r="V2018" s="84" t="n">
        <f aca="false">IF(ISNUMBER(T2018),T2018,-99)</f>
        <v>25.2654887652132</v>
      </c>
      <c r="W2018" s="84" t="str">
        <f aca="false">IF(ISNUMBER(U2018),ABS(U2018),"")</f>
        <v/>
      </c>
    </row>
    <row r="2019" customFormat="false" ht="15" hidden="false" customHeight="false" outlineLevel="0" collapsed="false">
      <c r="A2019" s="57" t="n">
        <v>33753</v>
      </c>
      <c r="B2019" s="56" t="n">
        <v>1992</v>
      </c>
      <c r="C2019" s="56" t="n">
        <v>5</v>
      </c>
      <c r="D2019" s="56" t="n">
        <v>29</v>
      </c>
      <c r="E2019" s="56" t="n">
        <v>20.7</v>
      </c>
      <c r="F2019" s="56" t="n">
        <v>0</v>
      </c>
      <c r="G2019" s="56" t="n">
        <v>15.1</v>
      </c>
      <c r="H2019" s="56" t="n">
        <v>0</v>
      </c>
      <c r="I2019" s="56" t="n">
        <v>17.6</v>
      </c>
      <c r="J2019" s="56" t="n">
        <v>0</v>
      </c>
      <c r="K2019" s="56" t="n">
        <v>1008.4</v>
      </c>
      <c r="L2019" s="56" t="n">
        <v>0</v>
      </c>
      <c r="M2019" s="56" t="n">
        <v>88</v>
      </c>
      <c r="N2019" s="56" t="n">
        <v>2.5</v>
      </c>
      <c r="O2019" s="56" t="n">
        <f aca="false">IF(D2019=1,"",E2018)</f>
        <v>20</v>
      </c>
      <c r="P2019" s="56" t="n">
        <f aca="false">IF(OR(D2019=1,K2018=""),"",K2018)</f>
        <v>1007.9</v>
      </c>
      <c r="Q2019" s="56" t="n">
        <f aca="false">IF(OR(F2019&lt;&gt;0,AND(I2019&lt;&gt;"",E2019&lt;I2019)),1,0)</f>
        <v>0</v>
      </c>
      <c r="R2019" s="56" t="n">
        <f aca="false">IF(AND(D2019&gt;1,Q2019=0,ISNUMBER(O2019),ISNUMBER(P2019)),IF(Q2018=0,1,0),0)</f>
        <v>0</v>
      </c>
      <c r="S2019" s="56" t="n">
        <f aca="false">R2019*(B2019&gt;=Train_Start)*(B2019&lt;=Train_End)</f>
        <v>0</v>
      </c>
      <c r="T2019" s="84" t="n">
        <f aca="false">IF(AND(ISNUMBER(O2019),ISNUMBER(P2019)),Coef_A+Coef_B1*O2019+Coef_B2*P2019,"")</f>
        <v>20.0914760844468</v>
      </c>
      <c r="U2019" s="84" t="str">
        <f aca="false">IF(AND(R2019=1,ISNUMBER(T2019)),E2019-T2019,"")</f>
        <v/>
      </c>
      <c r="V2019" s="84" t="n">
        <f aca="false">IF(ISNUMBER(T2019),T2019,-99)</f>
        <v>20.0914760844468</v>
      </c>
      <c r="W2019" s="84" t="str">
        <f aca="false">IF(ISNUMBER(U2019),ABS(U2019),"")</f>
        <v/>
      </c>
    </row>
    <row r="2020" customFormat="false" ht="15" hidden="false" customHeight="false" outlineLevel="0" collapsed="false">
      <c r="A2020" s="57" t="n">
        <v>33754</v>
      </c>
      <c r="B2020" s="56" t="n">
        <v>1992</v>
      </c>
      <c r="C2020" s="56" t="n">
        <v>5</v>
      </c>
      <c r="D2020" s="56" t="n">
        <v>30</v>
      </c>
      <c r="E2020" s="56" t="n">
        <v>24</v>
      </c>
      <c r="F2020" s="56" t="n">
        <v>0</v>
      </c>
      <c r="G2020" s="56" t="n">
        <v>12.9</v>
      </c>
      <c r="H2020" s="56" t="n">
        <v>0</v>
      </c>
      <c r="I2020" s="56" t="n">
        <v>16.8</v>
      </c>
      <c r="J2020" s="56" t="n">
        <v>0</v>
      </c>
      <c r="K2020" s="56" t="n">
        <v>1010.8</v>
      </c>
      <c r="L2020" s="56" t="n">
        <v>0</v>
      </c>
      <c r="M2020" s="56" t="n">
        <v>76</v>
      </c>
      <c r="N2020" s="56" t="n">
        <v>5.9</v>
      </c>
      <c r="O2020" s="56" t="n">
        <f aca="false">IF(D2020=1,"",E2019)</f>
        <v>20.7</v>
      </c>
      <c r="P2020" s="56" t="n">
        <f aca="false">IF(OR(D2020=1,K2019=""),"",K2019)</f>
        <v>1008.4</v>
      </c>
      <c r="Q2020" s="56" t="n">
        <f aca="false">IF(OR(F2020&lt;&gt;0,AND(I2020&lt;&gt;"",E2020&lt;I2020)),1,0)</f>
        <v>0</v>
      </c>
      <c r="R2020" s="56" t="n">
        <f aca="false">IF(AND(D2020&gt;1,Q2020=0,ISNUMBER(O2020),ISNUMBER(P2020)),IF(Q2019=0,1,0),0)</f>
        <v>1</v>
      </c>
      <c r="S2020" s="56" t="n">
        <f aca="false">R2020*(B2020&gt;=Train_Start)*(B2020&lt;=Train_End)</f>
        <v>1</v>
      </c>
      <c r="T2020" s="84" t="n">
        <f aca="false">IF(AND(ISNUMBER(O2020),ISNUMBER(P2020)),Coef_A+Coef_B1*O2020+Coef_B2*P2020,"")</f>
        <v>20.6806984668936</v>
      </c>
      <c r="U2020" s="84" t="n">
        <f aca="false">IF(AND(R2020=1,ISNUMBER(T2020)),E2020-T2020,"")</f>
        <v>3.31930153310639</v>
      </c>
      <c r="V2020" s="84" t="n">
        <f aca="false">IF(ISNUMBER(T2020),T2020,-99)</f>
        <v>20.6806984668936</v>
      </c>
      <c r="W2020" s="84" t="n">
        <f aca="false">IF(ISNUMBER(U2020),ABS(U2020),"")</f>
        <v>3.31930153310639</v>
      </c>
    </row>
    <row r="2021" customFormat="false" ht="15" hidden="false" customHeight="false" outlineLevel="0" collapsed="false">
      <c r="A2021" s="57" t="n">
        <v>33755</v>
      </c>
      <c r="B2021" s="56" t="n">
        <v>1992</v>
      </c>
      <c r="C2021" s="56" t="n">
        <v>5</v>
      </c>
      <c r="D2021" s="56" t="n">
        <v>31</v>
      </c>
      <c r="E2021" s="56" t="n">
        <v>19.5</v>
      </c>
      <c r="F2021" s="56" t="n">
        <v>0</v>
      </c>
      <c r="G2021" s="56" t="n">
        <v>11.5</v>
      </c>
      <c r="H2021" s="56" t="n">
        <v>0</v>
      </c>
      <c r="I2021" s="56" t="n">
        <v>17.8</v>
      </c>
      <c r="J2021" s="56" t="n">
        <v>0</v>
      </c>
      <c r="K2021" s="56" t="n">
        <v>1011.2</v>
      </c>
      <c r="L2021" s="56" t="n">
        <v>0</v>
      </c>
      <c r="M2021" s="56" t="n">
        <v>70</v>
      </c>
      <c r="N2021" s="56" t="n">
        <v>10.5</v>
      </c>
      <c r="O2021" s="56" t="n">
        <f aca="false">IF(D2021=1,"",E2020)</f>
        <v>24</v>
      </c>
      <c r="P2021" s="56" t="n">
        <f aca="false">IF(OR(D2021=1,K2020=""),"",K2020)</f>
        <v>1010.8</v>
      </c>
      <c r="Q2021" s="56" t="n">
        <f aca="false">IF(OR(F2021&lt;&gt;0,AND(I2021&lt;&gt;"",E2021&lt;I2021)),1,0)</f>
        <v>0</v>
      </c>
      <c r="R2021" s="56" t="n">
        <f aca="false">IF(AND(D2021&gt;1,Q2021=0,ISNUMBER(O2021),ISNUMBER(P2021)),IF(Q2020=0,1,0),0)</f>
        <v>1</v>
      </c>
      <c r="S2021" s="56" t="n">
        <f aca="false">R2021*(B2021&gt;=Train_Start)*(B2021&lt;=Train_End)</f>
        <v>1</v>
      </c>
      <c r="T2021" s="84" t="n">
        <f aca="false">IF(AND(ISNUMBER(O2021),ISNUMBER(P2021)),Coef_A+Coef_B1*O2021+Coef_B2*P2021,"")</f>
        <v>23.459805551056</v>
      </c>
      <c r="U2021" s="84" t="n">
        <f aca="false">IF(AND(R2021=1,ISNUMBER(T2021)),E2021-T2021,"")</f>
        <v>-3.95980555105595</v>
      </c>
      <c r="V2021" s="84" t="n">
        <f aca="false">IF(ISNUMBER(T2021),T2021,-99)</f>
        <v>23.459805551056</v>
      </c>
      <c r="W2021" s="84" t="n">
        <f aca="false">IF(ISNUMBER(U2021),ABS(U2021),"")</f>
        <v>3.95980555105595</v>
      </c>
    </row>
    <row r="2022" customFormat="false" ht="15" hidden="false" customHeight="false" outlineLevel="0" collapsed="false">
      <c r="A2022" s="57" t="n">
        <v>33756</v>
      </c>
      <c r="B2022" s="56" t="n">
        <v>1992</v>
      </c>
      <c r="C2022" s="56" t="n">
        <v>6</v>
      </c>
      <c r="D2022" s="56" t="n">
        <v>32</v>
      </c>
      <c r="E2022" s="56" t="n">
        <v>20.4</v>
      </c>
      <c r="F2022" s="56" t="n">
        <v>0</v>
      </c>
      <c r="G2022" s="56" t="n">
        <v>15.5</v>
      </c>
      <c r="H2022" s="56" t="n">
        <v>0</v>
      </c>
      <c r="I2022" s="56" t="n">
        <v>17.5</v>
      </c>
      <c r="J2022" s="56" t="n">
        <v>0</v>
      </c>
      <c r="K2022" s="56" t="n">
        <v>1006</v>
      </c>
      <c r="L2022" s="56" t="n">
        <v>0</v>
      </c>
      <c r="M2022" s="56" t="n">
        <v>86</v>
      </c>
      <c r="N2022" s="56" t="n">
        <v>0.1</v>
      </c>
      <c r="O2022" s="56" t="n">
        <f aca="false">IF(D2022=1,"",E2021)</f>
        <v>19.5</v>
      </c>
      <c r="P2022" s="56" t="n">
        <f aca="false">IF(OR(D2022=1,K2021=""),"",K2021)</f>
        <v>1011.2</v>
      </c>
      <c r="Q2022" s="56" t="n">
        <f aca="false">IF(OR(F2022&lt;&gt;0,AND(I2022&lt;&gt;"",E2022&lt;I2022)),1,0)</f>
        <v>0</v>
      </c>
      <c r="R2022" s="56" t="n">
        <f aca="false">IF(AND(D2022&gt;1,Q2022=0,ISNUMBER(O2022),ISNUMBER(P2022)),IF(Q2021=0,1,0),0)</f>
        <v>1</v>
      </c>
      <c r="S2022" s="56" t="n">
        <f aca="false">R2022*(B2022&gt;=Train_Start)*(B2022&lt;=Train_End)</f>
        <v>1</v>
      </c>
      <c r="T2022" s="84" t="n">
        <f aca="false">IF(AND(ISNUMBER(O2022),ISNUMBER(P2022)),Coef_A+Coef_B1*O2022+Coef_B2*P2022,"")</f>
        <v>19.7853271402176</v>
      </c>
      <c r="U2022" s="84" t="n">
        <f aca="false">IF(AND(R2022=1,ISNUMBER(T2022)),E2022-T2022,"")</f>
        <v>0.614672859782402</v>
      </c>
      <c r="V2022" s="84" t="n">
        <f aca="false">IF(ISNUMBER(T2022),T2022,-99)</f>
        <v>19.7853271402176</v>
      </c>
      <c r="W2022" s="84" t="n">
        <f aca="false">IF(ISNUMBER(U2022),ABS(U2022),"")</f>
        <v>0.614672859782402</v>
      </c>
    </row>
    <row r="2023" customFormat="false" ht="15" hidden="false" customHeight="false" outlineLevel="0" collapsed="false">
      <c r="A2023" s="57" t="n">
        <v>33757</v>
      </c>
      <c r="B2023" s="56" t="n">
        <v>1992</v>
      </c>
      <c r="C2023" s="56" t="n">
        <v>6</v>
      </c>
      <c r="D2023" s="56" t="n">
        <v>33</v>
      </c>
      <c r="E2023" s="56" t="n">
        <v>21.3</v>
      </c>
      <c r="F2023" s="56" t="n">
        <v>0</v>
      </c>
      <c r="G2023" s="56" t="n">
        <v>12.7</v>
      </c>
      <c r="H2023" s="56" t="n">
        <v>0</v>
      </c>
      <c r="I2023" s="56" t="n">
        <v>16.6</v>
      </c>
      <c r="J2023" s="56" t="n">
        <v>0</v>
      </c>
      <c r="K2023" s="56" t="n">
        <v>1007.7</v>
      </c>
      <c r="L2023" s="56" t="n">
        <v>0</v>
      </c>
      <c r="M2023" s="56" t="n">
        <v>74</v>
      </c>
      <c r="N2023" s="56" t="n">
        <v>3.9</v>
      </c>
      <c r="O2023" s="56" t="n">
        <f aca="false">IF(D2023=1,"",E2022)</f>
        <v>20.4</v>
      </c>
      <c r="P2023" s="56" t="n">
        <f aca="false">IF(OR(D2023=1,K2022=""),"",K2022)</f>
        <v>1006</v>
      </c>
      <c r="Q2023" s="56" t="n">
        <f aca="false">IF(OR(F2023&lt;&gt;0,AND(I2023&lt;&gt;"",E2023&lt;I2023)),1,0)</f>
        <v>0</v>
      </c>
      <c r="R2023" s="56" t="n">
        <f aca="false">IF(AND(D2023&gt;1,Q2023=0,ISNUMBER(O2023),ISNUMBER(P2023)),IF(Q2022=0,1,0),0)</f>
        <v>1</v>
      </c>
      <c r="S2023" s="56" t="n">
        <f aca="false">R2023*(B2023&gt;=Train_Start)*(B2023&lt;=Train_End)</f>
        <v>1</v>
      </c>
      <c r="T2023" s="84" t="n">
        <f aca="false">IF(AND(ISNUMBER(O2023),ISNUMBER(P2023)),Coef_A+Coef_B1*O2023+Coef_B2*P2023,"")</f>
        <v>20.3596089618592</v>
      </c>
      <c r="U2023" s="84" t="n">
        <f aca="false">IF(AND(R2023=1,ISNUMBER(T2023)),E2023-T2023,"")</f>
        <v>0.94039103814076</v>
      </c>
      <c r="V2023" s="84" t="n">
        <f aca="false">IF(ISNUMBER(T2023),T2023,-99)</f>
        <v>20.3596089618592</v>
      </c>
      <c r="W2023" s="84" t="n">
        <f aca="false">IF(ISNUMBER(U2023),ABS(U2023),"")</f>
        <v>0.94039103814076</v>
      </c>
    </row>
    <row r="2024" customFormat="false" ht="15" hidden="false" customHeight="false" outlineLevel="0" collapsed="false">
      <c r="A2024" s="57" t="n">
        <v>33758</v>
      </c>
      <c r="B2024" s="56" t="n">
        <v>1992</v>
      </c>
      <c r="C2024" s="56" t="n">
        <v>6</v>
      </c>
      <c r="D2024" s="56" t="n">
        <v>34</v>
      </c>
      <c r="E2024" s="56" t="n">
        <v>16.1</v>
      </c>
      <c r="F2024" s="56" t="n">
        <v>1</v>
      </c>
      <c r="G2024" s="56" t="n">
        <v>11.1</v>
      </c>
      <c r="H2024" s="56" t="n">
        <v>0</v>
      </c>
      <c r="I2024" s="56" t="n">
        <v>16.2</v>
      </c>
      <c r="J2024" s="56" t="n">
        <v>1</v>
      </c>
      <c r="K2024" s="56" t="n">
        <v>1011.4</v>
      </c>
      <c r="L2024" s="56" t="n">
        <v>0</v>
      </c>
      <c r="M2024" s="56" t="n">
        <v>68</v>
      </c>
      <c r="N2024" s="56" t="n">
        <v>12.2</v>
      </c>
      <c r="O2024" s="56" t="n">
        <f aca="false">IF(D2024=1,"",E2023)</f>
        <v>21.3</v>
      </c>
      <c r="P2024" s="56" t="n">
        <f aca="false">IF(OR(D2024=1,K2023=""),"",K2023)</f>
        <v>1007.7</v>
      </c>
      <c r="Q2024" s="56" t="n">
        <f aca="false">IF(OR(F2024&lt;&gt;0,AND(I2024&lt;&gt;"",E2024&lt;I2024)),1,0)</f>
        <v>1</v>
      </c>
      <c r="R2024" s="56" t="n">
        <f aca="false">IF(AND(D2024&gt;1,Q2024=0,ISNUMBER(O2024),ISNUMBER(P2024)),IF(Q2023=0,1,0),0)</f>
        <v>0</v>
      </c>
      <c r="S2024" s="56" t="n">
        <f aca="false">R2024*(B2024&gt;=Train_Start)*(B2024&lt;=Train_End)</f>
        <v>0</v>
      </c>
      <c r="T2024" s="84" t="n">
        <f aca="false">IF(AND(ISNUMBER(O2024),ISNUMBER(P2024)),Coef_A+Coef_B1*O2024+Coef_B2*P2024,"")</f>
        <v>21.1503430564754</v>
      </c>
      <c r="U2024" s="84" t="str">
        <f aca="false">IF(AND(R2024=1,ISNUMBER(T2024)),E2024-T2024,"")</f>
        <v/>
      </c>
      <c r="V2024" s="84" t="n">
        <f aca="false">IF(ISNUMBER(T2024),T2024,-99)</f>
        <v>21.1503430564754</v>
      </c>
      <c r="W2024" s="84" t="str">
        <f aca="false">IF(ISNUMBER(U2024),ABS(U2024),"")</f>
        <v/>
      </c>
    </row>
    <row r="2025" customFormat="false" ht="15" hidden="false" customHeight="false" outlineLevel="0" collapsed="false">
      <c r="A2025" s="57" t="n">
        <v>33759</v>
      </c>
      <c r="B2025" s="56" t="n">
        <v>1992</v>
      </c>
      <c r="C2025" s="56" t="n">
        <v>6</v>
      </c>
      <c r="D2025" s="56" t="n">
        <v>35</v>
      </c>
      <c r="E2025" s="56" t="n">
        <v>15.1</v>
      </c>
      <c r="F2025" s="56" t="n">
        <v>0</v>
      </c>
      <c r="G2025" s="56" t="n">
        <v>10.7</v>
      </c>
      <c r="H2025" s="56" t="n">
        <v>0</v>
      </c>
      <c r="I2025" s="56" t="n">
        <v>13.4</v>
      </c>
      <c r="J2025" s="56" t="n">
        <v>0</v>
      </c>
      <c r="K2025" s="56" t="n">
        <v>1018.6</v>
      </c>
      <c r="L2025" s="56" t="n">
        <v>0</v>
      </c>
      <c r="M2025" s="56" t="n">
        <v>82</v>
      </c>
      <c r="N2025" s="56" t="n">
        <v>0.1</v>
      </c>
      <c r="O2025" s="56" t="n">
        <f aca="false">IF(D2025=1,"",E2024)</f>
        <v>16.1</v>
      </c>
      <c r="P2025" s="56" t="n">
        <f aca="false">IF(OR(D2025=1,K2024=""),"",K2024)</f>
        <v>1011.4</v>
      </c>
      <c r="Q2025" s="56" t="n">
        <f aca="false">IF(OR(F2025&lt;&gt;0,AND(I2025&lt;&gt;"",E2025&lt;I2025)),1,0)</f>
        <v>0</v>
      </c>
      <c r="R2025" s="56" t="n">
        <f aca="false">IF(AND(D2025&gt;1,Q2025=0,ISNUMBER(O2025),ISNUMBER(P2025)),IF(Q2024=0,1,0),0)</f>
        <v>0</v>
      </c>
      <c r="S2025" s="56" t="n">
        <f aca="false">R2025*(B2025&gt;=Train_Start)*(B2025&lt;=Train_End)</f>
        <v>0</v>
      </c>
      <c r="T2025" s="84" t="n">
        <f aca="false">IF(AND(ISNUMBER(O2025),ISNUMBER(P2025)),Coef_A+Coef_B1*O2025+Coef_B2*P2025,"")</f>
        <v>17.0058478627994</v>
      </c>
      <c r="U2025" s="84" t="str">
        <f aca="false">IF(AND(R2025=1,ISNUMBER(T2025)),E2025-T2025,"")</f>
        <v/>
      </c>
      <c r="V2025" s="84" t="n">
        <f aca="false">IF(ISNUMBER(T2025),T2025,-99)</f>
        <v>17.0058478627994</v>
      </c>
      <c r="W2025" s="84" t="str">
        <f aca="false">IF(ISNUMBER(U2025),ABS(U2025),"")</f>
        <v/>
      </c>
    </row>
    <row r="2026" customFormat="false" ht="15" hidden="false" customHeight="false" outlineLevel="0" collapsed="false">
      <c r="A2026" s="57" t="n">
        <v>33760</v>
      </c>
      <c r="B2026" s="56" t="n">
        <v>1992</v>
      </c>
      <c r="C2026" s="56" t="n">
        <v>6</v>
      </c>
      <c r="D2026" s="56" t="n">
        <v>36</v>
      </c>
      <c r="E2026" s="56" t="n">
        <v>23.2</v>
      </c>
      <c r="F2026" s="56" t="n">
        <v>0</v>
      </c>
      <c r="G2026" s="56" t="n">
        <v>10</v>
      </c>
      <c r="H2026" s="56" t="n">
        <v>0</v>
      </c>
      <c r="I2026" s="56" t="n">
        <v>12.6</v>
      </c>
      <c r="J2026" s="56" t="n">
        <v>0</v>
      </c>
      <c r="K2026" s="56" t="n">
        <v>1014.9</v>
      </c>
      <c r="L2026" s="56" t="n">
        <v>0</v>
      </c>
      <c r="M2026" s="56" t="n">
        <v>89</v>
      </c>
      <c r="N2026" s="56" t="n">
        <v>0</v>
      </c>
      <c r="O2026" s="56" t="n">
        <f aca="false">IF(D2026=1,"",E2025)</f>
        <v>15.1</v>
      </c>
      <c r="P2026" s="56" t="n">
        <f aca="false">IF(OR(D2026=1,K2025=""),"",K2025)</f>
        <v>1018.6</v>
      </c>
      <c r="Q2026" s="56" t="n">
        <f aca="false">IF(OR(F2026&lt;&gt;0,AND(I2026&lt;&gt;"",E2026&lt;I2026)),1,0)</f>
        <v>0</v>
      </c>
      <c r="R2026" s="56" t="n">
        <f aca="false">IF(AND(D2026&gt;1,Q2026=0,ISNUMBER(O2026),ISNUMBER(P2026)),IF(Q2025=0,1,0),0)</f>
        <v>1</v>
      </c>
      <c r="S2026" s="56" t="n">
        <f aca="false">R2026*(B2026&gt;=Train_Start)*(B2026&lt;=Train_End)</f>
        <v>1</v>
      </c>
      <c r="T2026" s="84" t="n">
        <f aca="false">IF(AND(ISNUMBER(O2026),ISNUMBER(P2026)),Coef_A+Coef_B1*O2026+Coef_B2*P2026,"")</f>
        <v>16.4123719111214</v>
      </c>
      <c r="U2026" s="84" t="n">
        <f aca="false">IF(AND(R2026=1,ISNUMBER(T2026)),E2026-T2026,"")</f>
        <v>6.78762808887857</v>
      </c>
      <c r="V2026" s="84" t="n">
        <f aca="false">IF(ISNUMBER(T2026),T2026,-99)</f>
        <v>16.4123719111214</v>
      </c>
      <c r="W2026" s="84" t="n">
        <f aca="false">IF(ISNUMBER(U2026),ABS(U2026),"")</f>
        <v>6.78762808887857</v>
      </c>
    </row>
    <row r="2027" customFormat="false" ht="15" hidden="false" customHeight="false" outlineLevel="0" collapsed="false">
      <c r="A2027" s="57" t="n">
        <v>33761</v>
      </c>
      <c r="B2027" s="56" t="n">
        <v>1992</v>
      </c>
      <c r="C2027" s="56" t="n">
        <v>6</v>
      </c>
      <c r="D2027" s="56" t="n">
        <v>37</v>
      </c>
      <c r="E2027" s="56" t="n">
        <v>18</v>
      </c>
      <c r="F2027" s="56" t="n">
        <v>0</v>
      </c>
      <c r="G2027" s="56" t="n">
        <v>10.5</v>
      </c>
      <c r="H2027" s="56" t="n">
        <v>0</v>
      </c>
      <c r="I2027" s="56" t="n">
        <v>16.8</v>
      </c>
      <c r="J2027" s="56" t="n">
        <v>0</v>
      </c>
      <c r="K2027" s="56" t="n">
        <v>1013.3</v>
      </c>
      <c r="L2027" s="56" t="n">
        <v>0</v>
      </c>
      <c r="M2027" s="56" t="n">
        <v>84</v>
      </c>
      <c r="N2027" s="56" t="n">
        <v>3.3</v>
      </c>
      <c r="O2027" s="56" t="n">
        <f aca="false">IF(D2027=1,"",E2026)</f>
        <v>23.2</v>
      </c>
      <c r="P2027" s="56" t="n">
        <f aca="false">IF(OR(D2027=1,K2026=""),"",K2026)</f>
        <v>1014.9</v>
      </c>
      <c r="Q2027" s="56" t="n">
        <f aca="false">IF(OR(F2027&lt;&gt;0,AND(I2027&lt;&gt;"",E2027&lt;I2027)),1,0)</f>
        <v>0</v>
      </c>
      <c r="R2027" s="56" t="n">
        <f aca="false">IF(AND(D2027&gt;1,Q2027=0,ISNUMBER(O2027),ISNUMBER(P2027)),IF(Q2026=0,1,0),0)</f>
        <v>1</v>
      </c>
      <c r="S2027" s="56" t="n">
        <f aca="false">R2027*(B2027&gt;=Train_Start)*(B2027&lt;=Train_End)</f>
        <v>1</v>
      </c>
      <c r="T2027" s="84" t="n">
        <f aca="false">IF(AND(ISNUMBER(O2027),ISNUMBER(P2027)),Coef_A+Coef_B1*O2027+Coef_B2*P2027,"")</f>
        <v>22.9329507646212</v>
      </c>
      <c r="U2027" s="84" t="n">
        <f aca="false">IF(AND(R2027=1,ISNUMBER(T2027)),E2027-T2027,"")</f>
        <v>-4.93295076462119</v>
      </c>
      <c r="V2027" s="84" t="n">
        <f aca="false">IF(ISNUMBER(T2027),T2027,-99)</f>
        <v>22.9329507646212</v>
      </c>
      <c r="W2027" s="84" t="n">
        <f aca="false">IF(ISNUMBER(U2027),ABS(U2027),"")</f>
        <v>4.93295076462119</v>
      </c>
    </row>
    <row r="2028" customFormat="false" ht="15" hidden="false" customHeight="false" outlineLevel="0" collapsed="false">
      <c r="A2028" s="57" t="n">
        <v>33762</v>
      </c>
      <c r="B2028" s="56" t="n">
        <v>1992</v>
      </c>
      <c r="C2028" s="56" t="n">
        <v>6</v>
      </c>
      <c r="D2028" s="56" t="n">
        <v>38</v>
      </c>
      <c r="E2028" s="56" t="n">
        <v>21.9</v>
      </c>
      <c r="F2028" s="56" t="n">
        <v>0</v>
      </c>
      <c r="G2028" s="56" t="n">
        <v>13</v>
      </c>
      <c r="H2028" s="56" t="n">
        <v>0</v>
      </c>
      <c r="I2028" s="56" t="n">
        <v>15.5</v>
      </c>
      <c r="J2028" s="56" t="n">
        <v>0</v>
      </c>
      <c r="K2028" s="56" t="n">
        <v>1011.1</v>
      </c>
      <c r="L2028" s="56" t="n">
        <v>0</v>
      </c>
      <c r="M2028" s="56" t="n">
        <v>88</v>
      </c>
      <c r="N2028" s="56" t="n">
        <v>0</v>
      </c>
      <c r="O2028" s="56" t="n">
        <f aca="false">IF(D2028=1,"",E2027)</f>
        <v>18</v>
      </c>
      <c r="P2028" s="56" t="n">
        <f aca="false">IF(OR(D2028=1,K2027=""),"",K2027)</f>
        <v>1013.3</v>
      </c>
      <c r="Q2028" s="56" t="n">
        <f aca="false">IF(OR(F2028&lt;&gt;0,AND(I2028&lt;&gt;"",E2028&lt;I2028)),1,0)</f>
        <v>0</v>
      </c>
      <c r="R2028" s="56" t="n">
        <f aca="false">IF(AND(D2028&gt;1,Q2028=0,ISNUMBER(O2028),ISNUMBER(P2028)),IF(Q2027=0,1,0),0)</f>
        <v>1</v>
      </c>
      <c r="S2028" s="56" t="n">
        <f aca="false">R2028*(B2028&gt;=Train_Start)*(B2028&lt;=Train_End)</f>
        <v>1</v>
      </c>
      <c r="T2028" s="84" t="n">
        <f aca="false">IF(AND(ISNUMBER(O2028),ISNUMBER(P2028)),Coef_A+Coef_B1*O2028+Coef_B2*P2028,"")</f>
        <v>18.622195129385</v>
      </c>
      <c r="U2028" s="84" t="n">
        <f aca="false">IF(AND(R2028=1,ISNUMBER(T2028)),E2028-T2028,"")</f>
        <v>3.27780487061501</v>
      </c>
      <c r="V2028" s="84" t="n">
        <f aca="false">IF(ISNUMBER(T2028),T2028,-99)</f>
        <v>18.622195129385</v>
      </c>
      <c r="W2028" s="84" t="n">
        <f aca="false">IF(ISNUMBER(U2028),ABS(U2028),"")</f>
        <v>3.27780487061501</v>
      </c>
    </row>
    <row r="2029" customFormat="false" ht="15" hidden="false" customHeight="false" outlineLevel="0" collapsed="false">
      <c r="A2029" s="57" t="n">
        <v>33763</v>
      </c>
      <c r="B2029" s="56" t="n">
        <v>1992</v>
      </c>
      <c r="C2029" s="56" t="n">
        <v>6</v>
      </c>
      <c r="D2029" s="56" t="n">
        <v>39</v>
      </c>
      <c r="E2029" s="56" t="n">
        <v>23.2</v>
      </c>
      <c r="F2029" s="56" t="n">
        <v>0</v>
      </c>
      <c r="G2029" s="56" t="n">
        <v>13</v>
      </c>
      <c r="H2029" s="56" t="n">
        <v>0</v>
      </c>
      <c r="I2029" s="56" t="n">
        <v>17.4</v>
      </c>
      <c r="J2029" s="56" t="n">
        <v>0</v>
      </c>
      <c r="K2029" s="56" t="n">
        <v>1008.1</v>
      </c>
      <c r="L2029" s="56" t="n">
        <v>0</v>
      </c>
      <c r="M2029" s="56" t="n">
        <v>70</v>
      </c>
      <c r="N2029" s="56" t="n">
        <v>9.4</v>
      </c>
      <c r="O2029" s="56" t="n">
        <f aca="false">IF(D2029=1,"",E2028)</f>
        <v>21.9</v>
      </c>
      <c r="P2029" s="56" t="n">
        <f aca="false">IF(OR(D2029=1,K2028=""),"",K2028)</f>
        <v>1011.1</v>
      </c>
      <c r="Q2029" s="56" t="n">
        <f aca="false">IF(OR(F2029&lt;&gt;0,AND(I2029&lt;&gt;"",E2029&lt;I2029)),1,0)</f>
        <v>0</v>
      </c>
      <c r="R2029" s="56" t="n">
        <f aca="false">IF(AND(D2029&gt;1,Q2029=0,ISNUMBER(O2029),ISNUMBER(P2029)),IF(Q2028=0,1,0),0)</f>
        <v>1</v>
      </c>
      <c r="S2029" s="56" t="n">
        <f aca="false">R2029*(B2029&gt;=Train_Start)*(B2029&lt;=Train_End)</f>
        <v>1</v>
      </c>
      <c r="T2029" s="84" t="n">
        <f aca="false">IF(AND(ISNUMBER(O2029),ISNUMBER(P2029)),Coef_A+Coef_B1*O2029+Coef_B2*P2029,"")</f>
        <v>21.7486042140566</v>
      </c>
      <c r="U2029" s="84" t="n">
        <f aca="false">IF(AND(R2029=1,ISNUMBER(T2029)),E2029-T2029,"")</f>
        <v>1.45139578594343</v>
      </c>
      <c r="V2029" s="84" t="n">
        <f aca="false">IF(ISNUMBER(T2029),T2029,-99)</f>
        <v>21.7486042140566</v>
      </c>
      <c r="W2029" s="84" t="n">
        <f aca="false">IF(ISNUMBER(U2029),ABS(U2029),"")</f>
        <v>1.45139578594343</v>
      </c>
    </row>
    <row r="2030" customFormat="false" ht="15" hidden="false" customHeight="false" outlineLevel="0" collapsed="false">
      <c r="A2030" s="57" t="n">
        <v>33764</v>
      </c>
      <c r="B2030" s="56" t="n">
        <v>1992</v>
      </c>
      <c r="C2030" s="56" t="n">
        <v>6</v>
      </c>
      <c r="D2030" s="56" t="n">
        <v>40</v>
      </c>
      <c r="E2030" s="56" t="n">
        <v>23.6</v>
      </c>
      <c r="F2030" s="56" t="n">
        <v>0</v>
      </c>
      <c r="G2030" s="56" t="n">
        <v>12</v>
      </c>
      <c r="H2030" s="56" t="n">
        <v>0</v>
      </c>
      <c r="I2030" s="56" t="n">
        <v>17.6</v>
      </c>
      <c r="J2030" s="56" t="n">
        <v>0</v>
      </c>
      <c r="K2030" s="56" t="n">
        <v>1009.5</v>
      </c>
      <c r="L2030" s="56" t="n">
        <v>0</v>
      </c>
      <c r="M2030" s="56" t="n">
        <v>73</v>
      </c>
      <c r="N2030" s="56" t="n">
        <v>8.6</v>
      </c>
      <c r="O2030" s="56" t="n">
        <f aca="false">IF(D2030=1,"",E2029)</f>
        <v>23.2</v>
      </c>
      <c r="P2030" s="56" t="n">
        <f aca="false">IF(OR(D2030=1,K2029=""),"",K2029)</f>
        <v>1008.1</v>
      </c>
      <c r="Q2030" s="56" t="n">
        <f aca="false">IF(OR(F2030&lt;&gt;0,AND(I2030&lt;&gt;"",E2030&lt;I2030)),1,0)</f>
        <v>0</v>
      </c>
      <c r="R2030" s="56" t="n">
        <f aca="false">IF(AND(D2030&gt;1,Q2030=0,ISNUMBER(O2030),ISNUMBER(P2030)),IF(Q2029=0,1,0),0)</f>
        <v>1</v>
      </c>
      <c r="S2030" s="56" t="n">
        <f aca="false">R2030*(B2030&gt;=Train_Start)*(B2030&lt;=Train_End)</f>
        <v>1</v>
      </c>
      <c r="T2030" s="84" t="n">
        <f aca="false">IF(AND(ISNUMBER(O2030),ISNUMBER(P2030)),Coef_A+Coef_B1*O2030+Coef_B2*P2030,"")</f>
        <v>22.7196354811101</v>
      </c>
      <c r="U2030" s="84" t="n">
        <f aca="false">IF(AND(R2030=1,ISNUMBER(T2030)),E2030-T2030,"")</f>
        <v>0.880364518889941</v>
      </c>
      <c r="V2030" s="84" t="n">
        <f aca="false">IF(ISNUMBER(T2030),T2030,-99)</f>
        <v>22.7196354811101</v>
      </c>
      <c r="W2030" s="84" t="n">
        <f aca="false">IF(ISNUMBER(U2030),ABS(U2030),"")</f>
        <v>0.880364518889941</v>
      </c>
    </row>
    <row r="2031" customFormat="false" ht="15" hidden="false" customHeight="false" outlineLevel="0" collapsed="false">
      <c r="A2031" s="57" t="n">
        <v>33765</v>
      </c>
      <c r="B2031" s="56" t="n">
        <v>1992</v>
      </c>
      <c r="C2031" s="56" t="n">
        <v>6</v>
      </c>
      <c r="D2031" s="56" t="n">
        <v>41</v>
      </c>
      <c r="E2031" s="56" t="n">
        <v>22.4</v>
      </c>
      <c r="F2031" s="56" t="n">
        <v>0</v>
      </c>
      <c r="G2031" s="56" t="n">
        <v>11.9</v>
      </c>
      <c r="H2031" s="56" t="n">
        <v>0</v>
      </c>
      <c r="I2031" s="56" t="n">
        <v>17.8</v>
      </c>
      <c r="J2031" s="56" t="n">
        <v>0</v>
      </c>
      <c r="K2031" s="56" t="n">
        <v>1013.5</v>
      </c>
      <c r="L2031" s="56" t="n">
        <v>0</v>
      </c>
      <c r="M2031" s="56" t="n">
        <v>77</v>
      </c>
      <c r="N2031" s="56" t="n">
        <v>8.2</v>
      </c>
      <c r="O2031" s="56" t="n">
        <f aca="false">IF(D2031=1,"",E2030)</f>
        <v>23.6</v>
      </c>
      <c r="P2031" s="56" t="n">
        <f aca="false">IF(OR(D2031=1,K2030=""),"",K2030)</f>
        <v>1009.5</v>
      </c>
      <c r="Q2031" s="56" t="n">
        <f aca="false">IF(OR(F2031&lt;&gt;0,AND(I2031&lt;&gt;"",E2031&lt;I2031)),1,0)</f>
        <v>0</v>
      </c>
      <c r="R2031" s="56" t="n">
        <f aca="false">IF(AND(D2031&gt;1,Q2031=0,ISNUMBER(O2031),ISNUMBER(P2031)),IF(Q2030=0,1,0),0)</f>
        <v>1</v>
      </c>
      <c r="S2031" s="56" t="n">
        <f aca="false">R2031*(B2031&gt;=Train_Start)*(B2031&lt;=Train_End)</f>
        <v>1</v>
      </c>
      <c r="T2031" s="84" t="n">
        <f aca="false">IF(AND(ISNUMBER(O2031),ISNUMBER(P2031)),Coef_A+Coef_B1*O2031+Coef_B2*P2031,"")</f>
        <v>23.0912890108147</v>
      </c>
      <c r="U2031" s="84" t="n">
        <f aca="false">IF(AND(R2031=1,ISNUMBER(T2031)),E2031-T2031,"")</f>
        <v>-0.69128901081471</v>
      </c>
      <c r="V2031" s="84" t="n">
        <f aca="false">IF(ISNUMBER(T2031),T2031,-99)</f>
        <v>23.0912890108147</v>
      </c>
      <c r="W2031" s="84" t="n">
        <f aca="false">IF(ISNUMBER(U2031),ABS(U2031),"")</f>
        <v>0.69128901081471</v>
      </c>
    </row>
    <row r="2032" customFormat="false" ht="15" hidden="false" customHeight="false" outlineLevel="0" collapsed="false">
      <c r="A2032" s="57" t="n">
        <v>33766</v>
      </c>
      <c r="B2032" s="56" t="n">
        <v>1992</v>
      </c>
      <c r="C2032" s="56" t="n">
        <v>6</v>
      </c>
      <c r="D2032" s="56" t="n">
        <v>42</v>
      </c>
      <c r="E2032" s="56" t="n">
        <v>24.1</v>
      </c>
      <c r="F2032" s="56" t="n">
        <v>0</v>
      </c>
      <c r="G2032" s="56" t="n">
        <v>11.8</v>
      </c>
      <c r="H2032" s="56" t="n">
        <v>0</v>
      </c>
      <c r="I2032" s="56" t="n">
        <v>17.1</v>
      </c>
      <c r="J2032" s="56" t="n">
        <v>0</v>
      </c>
      <c r="K2032" s="56" t="n">
        <v>1017.9</v>
      </c>
      <c r="L2032" s="56" t="n">
        <v>0</v>
      </c>
      <c r="M2032" s="56" t="n">
        <v>66</v>
      </c>
      <c r="N2032" s="56" t="n">
        <v>10.6</v>
      </c>
      <c r="O2032" s="56" t="n">
        <f aca="false">IF(D2032=1,"",E2031)</f>
        <v>22.4</v>
      </c>
      <c r="P2032" s="56" t="n">
        <f aca="false">IF(OR(D2032=1,K2031=""),"",K2031)</f>
        <v>1013.5</v>
      </c>
      <c r="Q2032" s="56" t="n">
        <f aca="false">IF(OR(F2032&lt;&gt;0,AND(I2032&lt;&gt;"",E2032&lt;I2032)),1,0)</f>
        <v>0</v>
      </c>
      <c r="R2032" s="56" t="n">
        <f aca="false">IF(AND(D2032&gt;1,Q2032=0,ISNUMBER(O2032),ISNUMBER(P2032)),IF(Q2031=0,1,0),0)</f>
        <v>1</v>
      </c>
      <c r="S2032" s="56" t="n">
        <f aca="false">R2032*(B2032&gt;=Train_Start)*(B2032&lt;=Train_End)</f>
        <v>1</v>
      </c>
      <c r="T2032" s="84" t="n">
        <f aca="false">IF(AND(ISNUMBER(O2032),ISNUMBER(P2032)),Coef_A+Coef_B1*O2032+Coef_B2*P2032,"")</f>
        <v>22.2335615576995</v>
      </c>
      <c r="U2032" s="84" t="n">
        <f aca="false">IF(AND(R2032=1,ISNUMBER(T2032)),E2032-T2032,"")</f>
        <v>1.86643844230053</v>
      </c>
      <c r="V2032" s="84" t="n">
        <f aca="false">IF(ISNUMBER(T2032),T2032,-99)</f>
        <v>22.2335615576995</v>
      </c>
      <c r="W2032" s="84" t="n">
        <f aca="false">IF(ISNUMBER(U2032),ABS(U2032),"")</f>
        <v>1.86643844230053</v>
      </c>
    </row>
    <row r="2033" customFormat="false" ht="15" hidden="false" customHeight="false" outlineLevel="0" collapsed="false">
      <c r="A2033" s="57" t="n">
        <v>33767</v>
      </c>
      <c r="B2033" s="56" t="n">
        <v>1992</v>
      </c>
      <c r="C2033" s="56" t="n">
        <v>6</v>
      </c>
      <c r="D2033" s="56" t="n">
        <v>43</v>
      </c>
      <c r="E2033" s="56" t="n">
        <v>25.9</v>
      </c>
      <c r="F2033" s="56" t="n">
        <v>0</v>
      </c>
      <c r="G2033" s="56" t="n">
        <v>11.4</v>
      </c>
      <c r="H2033" s="56" t="n">
        <v>0</v>
      </c>
      <c r="I2033" s="56" t="n">
        <v>17.8</v>
      </c>
      <c r="J2033" s="56" t="n">
        <v>0</v>
      </c>
      <c r="K2033" s="56" t="n">
        <v>1021</v>
      </c>
      <c r="L2033" s="56" t="n">
        <v>0</v>
      </c>
      <c r="M2033" s="56" t="n">
        <v>61</v>
      </c>
      <c r="N2033" s="56" t="n">
        <v>13.3</v>
      </c>
      <c r="O2033" s="56" t="n">
        <f aca="false">IF(D2033=1,"",E2032)</f>
        <v>24.1</v>
      </c>
      <c r="P2033" s="56" t="n">
        <f aca="false">IF(OR(D2033=1,K2032=""),"",K2032)</f>
        <v>1017.9</v>
      </c>
      <c r="Q2033" s="56" t="n">
        <f aca="false">IF(OR(F2033&lt;&gt;0,AND(I2033&lt;&gt;"",E2033&lt;I2033)),1,0)</f>
        <v>0</v>
      </c>
      <c r="R2033" s="56" t="n">
        <f aca="false">IF(AND(D2033&gt;1,Q2033=0,ISNUMBER(O2033),ISNUMBER(P2033)),IF(Q2032=0,1,0),0)</f>
        <v>1</v>
      </c>
      <c r="S2033" s="56" t="n">
        <f aca="false">R2033*(B2033&gt;=Train_Start)*(B2033&lt;=Train_End)</f>
        <v>1</v>
      </c>
      <c r="T2033" s="84" t="n">
        <f aca="false">IF(AND(ISNUMBER(O2033),ISNUMBER(P2033)),Coef_A+Coef_B1*O2033+Coef_B2*P2033,"")</f>
        <v>23.7644657222616</v>
      </c>
      <c r="U2033" s="84" t="n">
        <f aca="false">IF(AND(R2033=1,ISNUMBER(T2033)),E2033-T2033,"")</f>
        <v>2.13553427773845</v>
      </c>
      <c r="V2033" s="84" t="n">
        <f aca="false">IF(ISNUMBER(T2033),T2033,-99)</f>
        <v>23.7644657222616</v>
      </c>
      <c r="W2033" s="84" t="n">
        <f aca="false">IF(ISNUMBER(U2033),ABS(U2033),"")</f>
        <v>2.13553427773845</v>
      </c>
    </row>
    <row r="2034" customFormat="false" ht="15" hidden="false" customHeight="false" outlineLevel="0" collapsed="false">
      <c r="A2034" s="57" t="n">
        <v>33768</v>
      </c>
      <c r="B2034" s="56" t="n">
        <v>1992</v>
      </c>
      <c r="C2034" s="56" t="n">
        <v>6</v>
      </c>
      <c r="D2034" s="56" t="n">
        <v>44</v>
      </c>
      <c r="E2034" s="56" t="n">
        <v>27.4</v>
      </c>
      <c r="F2034" s="56" t="n">
        <v>0</v>
      </c>
      <c r="G2034" s="56" t="n">
        <v>11.5</v>
      </c>
      <c r="H2034" s="56" t="n">
        <v>0</v>
      </c>
      <c r="I2034" s="56" t="n">
        <v>18.7</v>
      </c>
      <c r="J2034" s="56" t="n">
        <v>0</v>
      </c>
      <c r="K2034" s="56" t="n">
        <v>1022.5</v>
      </c>
      <c r="L2034" s="56" t="n">
        <v>0</v>
      </c>
      <c r="M2034" s="56" t="n">
        <v>60</v>
      </c>
      <c r="N2034" s="56" t="n">
        <v>13.3</v>
      </c>
      <c r="O2034" s="56" t="n">
        <f aca="false">IF(D2034=1,"",E2033)</f>
        <v>25.9</v>
      </c>
      <c r="P2034" s="56" t="n">
        <f aca="false">IF(OR(D2034=1,K2033=""),"",K2033)</f>
        <v>1021</v>
      </c>
      <c r="Q2034" s="56" t="n">
        <f aca="false">IF(OR(F2034&lt;&gt;0,AND(I2034&lt;&gt;"",E2034&lt;I2034)),1,0)</f>
        <v>0</v>
      </c>
      <c r="R2034" s="56" t="n">
        <f aca="false">IF(AND(D2034&gt;1,Q2034=0,ISNUMBER(O2034),ISNUMBER(P2034)),IF(Q2033=0,1,0),0)</f>
        <v>1</v>
      </c>
      <c r="S2034" s="56" t="n">
        <f aca="false">R2034*(B2034&gt;=Train_Start)*(B2034&lt;=Train_End)</f>
        <v>1</v>
      </c>
      <c r="T2034" s="84" t="n">
        <f aca="false">IF(AND(ISNUMBER(O2034),ISNUMBER(P2034)),Coef_A+Coef_B1*O2034+Coef_B2*P2034,"")</f>
        <v>25.3365229431037</v>
      </c>
      <c r="U2034" s="84" t="n">
        <f aca="false">IF(AND(R2034=1,ISNUMBER(T2034)),E2034-T2034,"")</f>
        <v>2.0634770568963</v>
      </c>
      <c r="V2034" s="84" t="n">
        <f aca="false">IF(ISNUMBER(T2034),T2034,-99)</f>
        <v>25.3365229431037</v>
      </c>
      <c r="W2034" s="84" t="n">
        <f aca="false">IF(ISNUMBER(U2034),ABS(U2034),"")</f>
        <v>2.0634770568963</v>
      </c>
    </row>
    <row r="2035" customFormat="false" ht="15" hidden="false" customHeight="false" outlineLevel="0" collapsed="false">
      <c r="A2035" s="57" t="n">
        <v>33769</v>
      </c>
      <c r="B2035" s="56" t="n">
        <v>1992</v>
      </c>
      <c r="C2035" s="56" t="n">
        <v>6</v>
      </c>
      <c r="D2035" s="56" t="n">
        <v>45</v>
      </c>
      <c r="E2035" s="56" t="n">
        <v>28.2</v>
      </c>
      <c r="F2035" s="56" t="n">
        <v>0</v>
      </c>
      <c r="G2035" s="56" t="n">
        <v>13.2</v>
      </c>
      <c r="H2035" s="56" t="n">
        <v>0</v>
      </c>
      <c r="I2035" s="56" t="n">
        <v>20.3</v>
      </c>
      <c r="J2035" s="56" t="n">
        <v>0</v>
      </c>
      <c r="K2035" s="56" t="n">
        <v>1023.4</v>
      </c>
      <c r="L2035" s="56" t="n">
        <v>0</v>
      </c>
      <c r="M2035" s="56" t="n">
        <v>57</v>
      </c>
      <c r="N2035" s="56" t="n">
        <v>14.1</v>
      </c>
      <c r="O2035" s="56" t="n">
        <f aca="false">IF(D2035=1,"",E2034)</f>
        <v>27.4</v>
      </c>
      <c r="P2035" s="56" t="n">
        <f aca="false">IF(OR(D2035=1,K2034=""),"",K2034)</f>
        <v>1022.5</v>
      </c>
      <c r="Q2035" s="56" t="n">
        <f aca="false">IF(OR(F2035&lt;&gt;0,AND(I2035&lt;&gt;"",E2035&lt;I2035)),1,0)</f>
        <v>0</v>
      </c>
      <c r="R2035" s="56" t="n">
        <f aca="false">IF(AND(D2035&gt;1,Q2035=0,ISNUMBER(O2035),ISNUMBER(P2035)),IF(Q2034=0,1,0),0)</f>
        <v>1</v>
      </c>
      <c r="S2035" s="56" t="n">
        <f aca="false">R2035*(B2035&gt;=Train_Start)*(B2035&lt;=Train_End)</f>
        <v>1</v>
      </c>
      <c r="T2035" s="84" t="n">
        <f aca="false">IF(AND(ISNUMBER(O2035),ISNUMBER(P2035)),Coef_A+Coef_B1*O2035+Coef_B2*P2035,"")</f>
        <v>26.6125865746187</v>
      </c>
      <c r="U2035" s="84" t="n">
        <f aca="false">IF(AND(R2035=1,ISNUMBER(T2035)),E2035-T2035,"")</f>
        <v>1.58741342538133</v>
      </c>
      <c r="V2035" s="84" t="n">
        <f aca="false">IF(ISNUMBER(T2035),T2035,-99)</f>
        <v>26.6125865746187</v>
      </c>
      <c r="W2035" s="84" t="n">
        <f aca="false">IF(ISNUMBER(U2035),ABS(U2035),"")</f>
        <v>1.58741342538133</v>
      </c>
    </row>
    <row r="2036" customFormat="false" ht="15" hidden="false" customHeight="false" outlineLevel="0" collapsed="false">
      <c r="A2036" s="57" t="n">
        <v>33770</v>
      </c>
      <c r="B2036" s="56" t="n">
        <v>1992</v>
      </c>
      <c r="C2036" s="56" t="n">
        <v>6</v>
      </c>
      <c r="D2036" s="56" t="n">
        <v>46</v>
      </c>
      <c r="E2036" s="56" t="n">
        <v>20.9</v>
      </c>
      <c r="F2036" s="56" t="n">
        <v>0</v>
      </c>
      <c r="G2036" s="56" t="n">
        <v>13</v>
      </c>
      <c r="H2036" s="56" t="n">
        <v>0</v>
      </c>
      <c r="I2036" s="56" t="n">
        <v>20.6</v>
      </c>
      <c r="J2036" s="56" t="n">
        <v>0</v>
      </c>
      <c r="K2036" s="56" t="n">
        <v>1022.3</v>
      </c>
      <c r="L2036" s="56" t="n">
        <v>0</v>
      </c>
      <c r="M2036" s="56" t="n">
        <v>58</v>
      </c>
      <c r="N2036" s="56" t="n">
        <v>14.4</v>
      </c>
      <c r="O2036" s="56" t="n">
        <f aca="false">IF(D2036=1,"",E2035)</f>
        <v>28.2</v>
      </c>
      <c r="P2036" s="56" t="n">
        <f aca="false">IF(OR(D2036=1,K2035=""),"",K2035)</f>
        <v>1023.4</v>
      </c>
      <c r="Q2036" s="56" t="n">
        <f aca="false">IF(OR(F2036&lt;&gt;0,AND(I2036&lt;&gt;"",E2036&lt;I2036)),1,0)</f>
        <v>0</v>
      </c>
      <c r="R2036" s="56" t="n">
        <f aca="false">IF(AND(D2036&gt;1,Q2036=0,ISNUMBER(O2036),ISNUMBER(P2036)),IF(Q2035=0,1,0),0)</f>
        <v>1</v>
      </c>
      <c r="S2036" s="56" t="n">
        <f aca="false">R2036*(B2036&gt;=Train_Start)*(B2036&lt;=Train_End)</f>
        <v>1</v>
      </c>
      <c r="T2036" s="84" t="n">
        <f aca="false">IF(AND(ISNUMBER(O2036),ISNUMBER(P2036)),Coef_A+Coef_B1*O2036+Coef_B2*P2036,"")</f>
        <v>27.2962908342234</v>
      </c>
      <c r="U2036" s="84" t="n">
        <f aca="false">IF(AND(R2036=1,ISNUMBER(T2036)),E2036-T2036,"")</f>
        <v>-6.39629083422339</v>
      </c>
      <c r="V2036" s="84" t="n">
        <f aca="false">IF(ISNUMBER(T2036),T2036,-99)</f>
        <v>27.2962908342234</v>
      </c>
      <c r="W2036" s="84" t="n">
        <f aca="false">IF(ISNUMBER(U2036),ABS(U2036),"")</f>
        <v>6.39629083422339</v>
      </c>
    </row>
    <row r="2037" customFormat="false" ht="15" hidden="false" customHeight="false" outlineLevel="0" collapsed="false">
      <c r="A2037" s="57" t="n">
        <v>33771</v>
      </c>
      <c r="B2037" s="56" t="n">
        <v>1992</v>
      </c>
      <c r="C2037" s="56" t="n">
        <v>6</v>
      </c>
      <c r="D2037" s="56" t="n">
        <v>47</v>
      </c>
      <c r="E2037" s="56" t="n">
        <v>20.3</v>
      </c>
      <c r="F2037" s="56" t="n">
        <v>0</v>
      </c>
      <c r="G2037" s="56" t="n">
        <v>14.4</v>
      </c>
      <c r="H2037" s="56" t="n">
        <v>0</v>
      </c>
      <c r="I2037" s="56" t="n">
        <v>17.6</v>
      </c>
      <c r="J2037" s="56" t="n">
        <v>0</v>
      </c>
      <c r="K2037" s="56" t="n">
        <v>1026.5</v>
      </c>
      <c r="L2037" s="56" t="n">
        <v>0</v>
      </c>
      <c r="M2037" s="56" t="n">
        <v>63</v>
      </c>
      <c r="N2037" s="56" t="n">
        <v>3.3</v>
      </c>
      <c r="O2037" s="56" t="n">
        <f aca="false">IF(D2037=1,"",E2036)</f>
        <v>20.9</v>
      </c>
      <c r="P2037" s="56" t="n">
        <f aca="false">IF(OR(D2037=1,K2036=""),"",K2036)</f>
        <v>1022.3</v>
      </c>
      <c r="Q2037" s="56" t="n">
        <f aca="false">IF(OR(F2037&lt;&gt;0,AND(I2037&lt;&gt;"",E2037&lt;I2037)),1,0)</f>
        <v>0</v>
      </c>
      <c r="R2037" s="56" t="n">
        <f aca="false">IF(AND(D2037&gt;1,Q2037=0,ISNUMBER(O2037),ISNUMBER(P2037)),IF(Q2036=0,1,0),0)</f>
        <v>1</v>
      </c>
      <c r="S2037" s="56" t="n">
        <f aca="false">R2037*(B2037&gt;=Train_Start)*(B2037&lt;=Train_End)</f>
        <v>1</v>
      </c>
      <c r="T2037" s="84" t="n">
        <f aca="false">IF(AND(ISNUMBER(O2037),ISNUMBER(P2037)),Coef_A+Coef_B1*O2037+Coef_B2*P2037,"")</f>
        <v>21.2806078409146</v>
      </c>
      <c r="U2037" s="84" t="n">
        <f aca="false">IF(AND(R2037=1,ISNUMBER(T2037)),E2037-T2037,"")</f>
        <v>-0.980607840914598</v>
      </c>
      <c r="V2037" s="84" t="n">
        <f aca="false">IF(ISNUMBER(T2037),T2037,-99)</f>
        <v>21.2806078409146</v>
      </c>
      <c r="W2037" s="84" t="n">
        <f aca="false">IF(ISNUMBER(U2037),ABS(U2037),"")</f>
        <v>0.980607840914598</v>
      </c>
    </row>
    <row r="2038" customFormat="false" ht="15" hidden="false" customHeight="false" outlineLevel="0" collapsed="false">
      <c r="A2038" s="57" t="n">
        <v>33772</v>
      </c>
      <c r="B2038" s="56" t="n">
        <v>1992</v>
      </c>
      <c r="C2038" s="56" t="n">
        <v>6</v>
      </c>
      <c r="D2038" s="56" t="n">
        <v>48</v>
      </c>
      <c r="E2038" s="56" t="n">
        <v>19.4</v>
      </c>
      <c r="F2038" s="56" t="n">
        <v>0</v>
      </c>
      <c r="G2038" s="56" t="n">
        <v>10.6</v>
      </c>
      <c r="H2038" s="56" t="n">
        <v>0</v>
      </c>
      <c r="I2038" s="56" t="n">
        <v>15.4</v>
      </c>
      <c r="J2038" s="56" t="n">
        <v>0</v>
      </c>
      <c r="K2038" s="56" t="n">
        <v>1029.8</v>
      </c>
      <c r="L2038" s="56" t="n">
        <v>0</v>
      </c>
      <c r="M2038" s="56" t="n">
        <v>60</v>
      </c>
      <c r="N2038" s="56" t="n">
        <v>9.8</v>
      </c>
      <c r="O2038" s="56" t="n">
        <f aca="false">IF(D2038=1,"",E2037)</f>
        <v>20.3</v>
      </c>
      <c r="P2038" s="56" t="n">
        <f aca="false">IF(OR(D2038=1,K2037=""),"",K2037)</f>
        <v>1026.5</v>
      </c>
      <c r="Q2038" s="56" t="n">
        <f aca="false">IF(OR(F2038&lt;&gt;0,AND(I2038&lt;&gt;"",E2038&lt;I2038)),1,0)</f>
        <v>0</v>
      </c>
      <c r="R2038" s="56" t="n">
        <f aca="false">IF(AND(D2038&gt;1,Q2038=0,ISNUMBER(O2038),ISNUMBER(P2038)),IF(Q2037=0,1,0),0)</f>
        <v>1</v>
      </c>
      <c r="S2038" s="56" t="n">
        <f aca="false">R2038*(B2038&gt;=Train_Start)*(B2038&lt;=Train_End)</f>
        <v>1</v>
      </c>
      <c r="T2038" s="84" t="n">
        <f aca="false">IF(AND(ISNUMBER(O2038),ISNUMBER(P2038)),Coef_A+Coef_B1*O2038+Coef_B2*P2038,"")</f>
        <v>20.9207578825518</v>
      </c>
      <c r="U2038" s="84" t="n">
        <f aca="false">IF(AND(R2038=1,ISNUMBER(T2038)),E2038-T2038,"")</f>
        <v>-1.52075788255176</v>
      </c>
      <c r="V2038" s="84" t="n">
        <f aca="false">IF(ISNUMBER(T2038),T2038,-99)</f>
        <v>20.9207578825518</v>
      </c>
      <c r="W2038" s="84" t="n">
        <f aca="false">IF(ISNUMBER(U2038),ABS(U2038),"")</f>
        <v>1.52075788255176</v>
      </c>
    </row>
    <row r="2039" customFormat="false" ht="15" hidden="false" customHeight="false" outlineLevel="0" collapsed="false">
      <c r="A2039" s="57" t="n">
        <v>33773</v>
      </c>
      <c r="B2039" s="56" t="n">
        <v>1992</v>
      </c>
      <c r="C2039" s="56" t="n">
        <v>6</v>
      </c>
      <c r="D2039" s="56" t="n">
        <v>49</v>
      </c>
      <c r="E2039" s="56" t="n">
        <v>16.4</v>
      </c>
      <c r="F2039" s="56" t="n">
        <v>0</v>
      </c>
      <c r="G2039" s="56" t="n">
        <v>9.2</v>
      </c>
      <c r="H2039" s="56" t="n">
        <v>0</v>
      </c>
      <c r="I2039" s="56" t="n">
        <v>14.3</v>
      </c>
      <c r="J2039" s="56" t="n">
        <v>0</v>
      </c>
      <c r="K2039" s="56" t="n">
        <v>1026.2</v>
      </c>
      <c r="L2039" s="56" t="n">
        <v>0</v>
      </c>
      <c r="M2039" s="56" t="n">
        <v>66</v>
      </c>
      <c r="N2039" s="56" t="n">
        <v>6.5</v>
      </c>
      <c r="O2039" s="56" t="n">
        <f aca="false">IF(D2039=1,"",E2038)</f>
        <v>19.4</v>
      </c>
      <c r="P2039" s="56" t="n">
        <f aca="false">IF(OR(D2039=1,K2038=""),"",K2038)</f>
        <v>1029.8</v>
      </c>
      <c r="Q2039" s="56" t="n">
        <f aca="false">IF(OR(F2039&lt;&gt;0,AND(I2039&lt;&gt;"",E2039&lt;I2039)),1,0)</f>
        <v>0</v>
      </c>
      <c r="R2039" s="56" t="n">
        <f aca="false">IF(AND(D2039&gt;1,Q2039=0,ISNUMBER(O2039),ISNUMBER(P2039)),IF(Q2038=0,1,0),0)</f>
        <v>1</v>
      </c>
      <c r="S2039" s="56" t="n">
        <f aca="false">R2039*(B2039&gt;=Train_Start)*(B2039&lt;=Train_End)</f>
        <v>1</v>
      </c>
      <c r="T2039" s="84" t="n">
        <f aca="false">IF(AND(ISNUMBER(O2039),ISNUMBER(P2039)),Coef_A+Coef_B1*O2039+Coef_B2*P2039,"")</f>
        <v>20.2868732611055</v>
      </c>
      <c r="U2039" s="84" t="n">
        <f aca="false">IF(AND(R2039=1,ISNUMBER(T2039)),E2039-T2039,"")</f>
        <v>-3.88687326110553</v>
      </c>
      <c r="V2039" s="84" t="n">
        <f aca="false">IF(ISNUMBER(T2039),T2039,-99)</f>
        <v>20.2868732611055</v>
      </c>
      <c r="W2039" s="84" t="n">
        <f aca="false">IF(ISNUMBER(U2039),ABS(U2039),"")</f>
        <v>3.88687326110553</v>
      </c>
    </row>
    <row r="2040" customFormat="false" ht="15" hidden="false" customHeight="false" outlineLevel="0" collapsed="false">
      <c r="A2040" s="57" t="n">
        <v>33774</v>
      </c>
      <c r="B2040" s="56" t="n">
        <v>1992</v>
      </c>
      <c r="C2040" s="56" t="n">
        <v>6</v>
      </c>
      <c r="D2040" s="56" t="n">
        <v>50</v>
      </c>
      <c r="E2040" s="56" t="n">
        <v>20.9</v>
      </c>
      <c r="F2040" s="56" t="n">
        <v>0</v>
      </c>
      <c r="G2040" s="56" t="n">
        <v>7.9</v>
      </c>
      <c r="H2040" s="56" t="n">
        <v>0</v>
      </c>
      <c r="I2040" s="56" t="n">
        <v>12.2</v>
      </c>
      <c r="J2040" s="56" t="n">
        <v>0</v>
      </c>
      <c r="K2040" s="56" t="n">
        <v>1023.7</v>
      </c>
      <c r="L2040" s="56" t="n">
        <v>0</v>
      </c>
      <c r="M2040" s="56" t="n">
        <v>74</v>
      </c>
      <c r="N2040" s="56" t="n">
        <v>4.2</v>
      </c>
      <c r="O2040" s="56" t="n">
        <f aca="false">IF(D2040=1,"",E2039)</f>
        <v>16.4</v>
      </c>
      <c r="P2040" s="56" t="n">
        <f aca="false">IF(OR(D2040=1,K2039=""),"",K2039)</f>
        <v>1026.2</v>
      </c>
      <c r="Q2040" s="56" t="n">
        <f aca="false">IF(OR(F2040&lt;&gt;0,AND(I2040&lt;&gt;"",E2040&lt;I2040)),1,0)</f>
        <v>0</v>
      </c>
      <c r="R2040" s="56" t="n">
        <f aca="false">IF(AND(D2040&gt;1,Q2040=0,ISNUMBER(O2040),ISNUMBER(P2040)),IF(Q2039=0,1,0),0)</f>
        <v>1</v>
      </c>
      <c r="S2040" s="56" t="n">
        <f aca="false">R2040*(B2040&gt;=Train_Start)*(B2040&lt;=Train_End)</f>
        <v>1</v>
      </c>
      <c r="T2040" s="84" t="n">
        <f aca="false">IF(AND(ISNUMBER(O2040),ISNUMBER(P2040)),Coef_A+Coef_B1*O2040+Coef_B2*P2040,"")</f>
        <v>17.7159240612952</v>
      </c>
      <c r="U2040" s="84" t="n">
        <f aca="false">IF(AND(R2040=1,ISNUMBER(T2040)),E2040-T2040,"")</f>
        <v>3.1840759387048</v>
      </c>
      <c r="V2040" s="84" t="n">
        <f aca="false">IF(ISNUMBER(T2040),T2040,-99)</f>
        <v>17.7159240612952</v>
      </c>
      <c r="W2040" s="84" t="n">
        <f aca="false">IF(ISNUMBER(U2040),ABS(U2040),"")</f>
        <v>3.1840759387048</v>
      </c>
    </row>
    <row r="2041" customFormat="false" ht="15" hidden="false" customHeight="false" outlineLevel="0" collapsed="false">
      <c r="A2041" s="57" t="n">
        <v>33775</v>
      </c>
      <c r="B2041" s="56" t="n">
        <v>1992</v>
      </c>
      <c r="C2041" s="56" t="n">
        <v>6</v>
      </c>
      <c r="D2041" s="56" t="n">
        <v>51</v>
      </c>
      <c r="E2041" s="56" t="n">
        <v>22.7</v>
      </c>
      <c r="F2041" s="56" t="n">
        <v>0</v>
      </c>
      <c r="G2041" s="56" t="n">
        <v>9.4</v>
      </c>
      <c r="H2041" s="56" t="n">
        <v>0</v>
      </c>
      <c r="I2041" s="56" t="n">
        <v>15.2</v>
      </c>
      <c r="J2041" s="56" t="n">
        <v>0</v>
      </c>
      <c r="K2041" s="56" t="n">
        <v>1023.4</v>
      </c>
      <c r="L2041" s="56" t="n">
        <v>0</v>
      </c>
      <c r="M2041" s="56" t="n">
        <v>71</v>
      </c>
      <c r="N2041" s="56" t="n">
        <v>13.3</v>
      </c>
      <c r="O2041" s="56" t="n">
        <f aca="false">IF(D2041=1,"",E2040)</f>
        <v>20.9</v>
      </c>
      <c r="P2041" s="56" t="n">
        <f aca="false">IF(OR(D2041=1,K2040=""),"",K2040)</f>
        <v>1023.7</v>
      </c>
      <c r="Q2041" s="56" t="n">
        <f aca="false">IF(OR(F2041&lt;&gt;0,AND(I2041&lt;&gt;"",E2041&lt;I2041)),1,0)</f>
        <v>0</v>
      </c>
      <c r="R2041" s="56" t="n">
        <f aca="false">IF(AND(D2041&gt;1,Q2041=0,ISNUMBER(O2041),ISNUMBER(P2041)),IF(Q2040=0,1,0),0)</f>
        <v>1</v>
      </c>
      <c r="S2041" s="56" t="n">
        <f aca="false">R2041*(B2041&gt;=Train_Start)*(B2041&lt;=Train_End)</f>
        <v>1</v>
      </c>
      <c r="T2041" s="84" t="n">
        <f aca="false">IF(AND(ISNUMBER(O2041),ISNUMBER(P2041)),Coef_A+Coef_B1*O2041+Coef_B2*P2041,"")</f>
        <v>21.3245256934022</v>
      </c>
      <c r="U2041" s="84" t="n">
        <f aca="false">IF(AND(R2041=1,ISNUMBER(T2041)),E2041-T2041,"")</f>
        <v>1.37547430659781</v>
      </c>
      <c r="V2041" s="84" t="n">
        <f aca="false">IF(ISNUMBER(T2041),T2041,-99)</f>
        <v>21.3245256934022</v>
      </c>
      <c r="W2041" s="84" t="n">
        <f aca="false">IF(ISNUMBER(U2041),ABS(U2041),"")</f>
        <v>1.37547430659781</v>
      </c>
    </row>
    <row r="2042" customFormat="false" ht="15" hidden="false" customHeight="false" outlineLevel="0" collapsed="false">
      <c r="A2042" s="57" t="n">
        <v>33776</v>
      </c>
      <c r="B2042" s="56" t="n">
        <v>1992</v>
      </c>
      <c r="C2042" s="56" t="n">
        <v>6</v>
      </c>
      <c r="D2042" s="56" t="n">
        <v>52</v>
      </c>
      <c r="E2042" s="56" t="n">
        <v>21.8</v>
      </c>
      <c r="F2042" s="56" t="n">
        <v>0</v>
      </c>
      <c r="G2042" s="56" t="n">
        <v>10.1</v>
      </c>
      <c r="H2042" s="56" t="n">
        <v>0</v>
      </c>
      <c r="I2042" s="56" t="n">
        <v>16.4</v>
      </c>
      <c r="J2042" s="56" t="n">
        <v>0</v>
      </c>
      <c r="K2042" s="56" t="n">
        <v>1019</v>
      </c>
      <c r="L2042" s="56" t="n">
        <v>0</v>
      </c>
      <c r="M2042" s="56" t="n">
        <v>69</v>
      </c>
      <c r="N2042" s="56" t="n">
        <v>13.1</v>
      </c>
      <c r="O2042" s="56" t="n">
        <f aca="false">IF(D2042=1,"",E2041)</f>
        <v>22.7</v>
      </c>
      <c r="P2042" s="56" t="n">
        <f aca="false">IF(OR(D2042=1,K2041=""),"",K2041)</f>
        <v>1023.4</v>
      </c>
      <c r="Q2042" s="56" t="n">
        <f aca="false">IF(OR(F2042&lt;&gt;0,AND(I2042&lt;&gt;"",E2042&lt;I2042)),1,0)</f>
        <v>0</v>
      </c>
      <c r="R2042" s="56" t="n">
        <f aca="false">IF(AND(D2042&gt;1,Q2042=0,ISNUMBER(O2042),ISNUMBER(P2042)),IF(Q2041=0,1,0),0)</f>
        <v>1</v>
      </c>
      <c r="S2042" s="56" t="n">
        <f aca="false">R2042*(B2042&gt;=Train_Start)*(B2042&lt;=Train_End)</f>
        <v>1</v>
      </c>
      <c r="T2042" s="84" t="n">
        <f aca="false">IF(AND(ISNUMBER(O2042),ISNUMBER(P2042)),Coef_A+Coef_B1*O2042+Coef_B2*P2042,"")</f>
        <v>22.7899252724888</v>
      </c>
      <c r="U2042" s="84" t="n">
        <f aca="false">IF(AND(R2042=1,ISNUMBER(T2042)),E2042-T2042,"")</f>
        <v>-0.989925272488769</v>
      </c>
      <c r="V2042" s="84" t="n">
        <f aca="false">IF(ISNUMBER(T2042),T2042,-99)</f>
        <v>22.7899252724888</v>
      </c>
      <c r="W2042" s="84" t="n">
        <f aca="false">IF(ISNUMBER(U2042),ABS(U2042),"")</f>
        <v>0.989925272488769</v>
      </c>
    </row>
    <row r="2043" customFormat="false" ht="15" hidden="false" customHeight="false" outlineLevel="0" collapsed="false">
      <c r="A2043" s="57" t="n">
        <v>33777</v>
      </c>
      <c r="B2043" s="56" t="n">
        <v>1992</v>
      </c>
      <c r="C2043" s="56" t="n">
        <v>6</v>
      </c>
      <c r="D2043" s="56" t="n">
        <v>53</v>
      </c>
      <c r="E2043" s="56" t="n">
        <v>21.6</v>
      </c>
      <c r="F2043" s="56" t="n">
        <v>0</v>
      </c>
      <c r="G2043" s="56" t="n">
        <v>12.5</v>
      </c>
      <c r="H2043" s="56" t="n">
        <v>0</v>
      </c>
      <c r="I2043" s="56" t="n">
        <v>17.2</v>
      </c>
      <c r="J2043" s="56" t="n">
        <v>0</v>
      </c>
      <c r="K2043" s="56" t="n">
        <v>1016.6</v>
      </c>
      <c r="L2043" s="56" t="n">
        <v>0</v>
      </c>
      <c r="M2043" s="56" t="n">
        <v>70</v>
      </c>
      <c r="N2043" s="56" t="n">
        <v>3.3</v>
      </c>
      <c r="O2043" s="56" t="n">
        <f aca="false">IF(D2043=1,"",E2042)</f>
        <v>21.8</v>
      </c>
      <c r="P2043" s="56" t="n">
        <f aca="false">IF(OR(D2043=1,K2042=""),"",K2042)</f>
        <v>1019</v>
      </c>
      <c r="Q2043" s="56" t="n">
        <f aca="false">IF(OR(F2043&lt;&gt;0,AND(I2043&lt;&gt;"",E2043&lt;I2043)),1,0)</f>
        <v>0</v>
      </c>
      <c r="R2043" s="56" t="n">
        <f aca="false">IF(AND(D2043&gt;1,Q2043=0,ISNUMBER(O2043),ISNUMBER(P2043)),IF(Q2042=0,1,0),0)</f>
        <v>1</v>
      </c>
      <c r="S2043" s="56" t="n">
        <f aca="false">R2043*(B2043&gt;=Train_Start)*(B2043&lt;=Train_End)</f>
        <v>1</v>
      </c>
      <c r="T2043" s="84" t="n">
        <f aca="false">IF(AND(ISNUMBER(O2043),ISNUMBER(P2043)),Coef_A+Coef_B1*O2043+Coef_B2*P2043,"")</f>
        <v>21.9144924623608</v>
      </c>
      <c r="U2043" s="84" t="n">
        <f aca="false">IF(AND(R2043=1,ISNUMBER(T2043)),E2043-T2043,"")</f>
        <v>-0.314492462360825</v>
      </c>
      <c r="V2043" s="84" t="n">
        <f aca="false">IF(ISNUMBER(T2043),T2043,-99)</f>
        <v>21.9144924623608</v>
      </c>
      <c r="W2043" s="84" t="n">
        <f aca="false">IF(ISNUMBER(U2043),ABS(U2043),"")</f>
        <v>0.314492462360825</v>
      </c>
    </row>
    <row r="2044" customFormat="false" ht="15" hidden="false" customHeight="false" outlineLevel="0" collapsed="false">
      <c r="A2044" s="57" t="n">
        <v>33778</v>
      </c>
      <c r="B2044" s="56" t="n">
        <v>1992</v>
      </c>
      <c r="C2044" s="56" t="n">
        <v>6</v>
      </c>
      <c r="D2044" s="56" t="n">
        <v>54</v>
      </c>
      <c r="E2044" s="56" t="n">
        <v>22</v>
      </c>
      <c r="F2044" s="56" t="n">
        <v>0</v>
      </c>
      <c r="G2044" s="56" t="n">
        <v>14</v>
      </c>
      <c r="H2044" s="56" t="n">
        <v>0</v>
      </c>
      <c r="I2044" s="56" t="n">
        <v>17.8</v>
      </c>
      <c r="J2044" s="56" t="n">
        <v>0</v>
      </c>
      <c r="K2044" s="56" t="n">
        <v>1013.1</v>
      </c>
      <c r="L2044" s="56" t="n">
        <v>0</v>
      </c>
      <c r="M2044" s="56" t="n">
        <v>69</v>
      </c>
      <c r="N2044" s="56" t="n">
        <v>2.1</v>
      </c>
      <c r="O2044" s="56" t="n">
        <f aca="false">IF(D2044=1,"",E2043)</f>
        <v>21.6</v>
      </c>
      <c r="P2044" s="56" t="n">
        <f aca="false">IF(OR(D2044=1,K2043=""),"",K2043)</f>
        <v>1016.6</v>
      </c>
      <c r="Q2044" s="56" t="n">
        <f aca="false">IF(OR(F2044&lt;&gt;0,AND(I2044&lt;&gt;"",E2044&lt;I2044)),1,0)</f>
        <v>0</v>
      </c>
      <c r="R2044" s="56" t="n">
        <f aca="false">IF(AND(D2044&gt;1,Q2044=0,ISNUMBER(O2044),ISNUMBER(P2044)),IF(Q2043=0,1,0),0)</f>
        <v>1</v>
      </c>
      <c r="S2044" s="56" t="n">
        <f aca="false">R2044*(B2044&gt;=Train_Start)*(B2044&lt;=Train_End)</f>
        <v>1</v>
      </c>
      <c r="T2044" s="84" t="n">
        <f aca="false">IF(AND(ISNUMBER(O2044),ISNUMBER(P2044)),Coef_A+Coef_B1*O2044+Coef_B2*P2044,"")</f>
        <v>21.6753368766307</v>
      </c>
      <c r="U2044" s="84" t="n">
        <f aca="false">IF(AND(R2044=1,ISNUMBER(T2044)),E2044-T2044,"")</f>
        <v>0.32466312336928</v>
      </c>
      <c r="V2044" s="84" t="n">
        <f aca="false">IF(ISNUMBER(T2044),T2044,-99)</f>
        <v>21.6753368766307</v>
      </c>
      <c r="W2044" s="84" t="n">
        <f aca="false">IF(ISNUMBER(U2044),ABS(U2044),"")</f>
        <v>0.32466312336928</v>
      </c>
    </row>
    <row r="2045" customFormat="false" ht="15" hidden="false" customHeight="false" outlineLevel="0" collapsed="false">
      <c r="A2045" s="57" t="n">
        <v>33779</v>
      </c>
      <c r="B2045" s="56" t="n">
        <v>1992</v>
      </c>
      <c r="C2045" s="56" t="n">
        <v>6</v>
      </c>
      <c r="D2045" s="56" t="n">
        <v>55</v>
      </c>
      <c r="E2045" s="56" t="n">
        <v>23.6</v>
      </c>
      <c r="F2045" s="56" t="n">
        <v>0</v>
      </c>
      <c r="G2045" s="56" t="n">
        <v>12.9</v>
      </c>
      <c r="H2045" s="56" t="n">
        <v>0</v>
      </c>
      <c r="I2045" s="56" t="n">
        <v>17.4</v>
      </c>
      <c r="J2045" s="56" t="n">
        <v>0</v>
      </c>
      <c r="K2045" s="56" t="n">
        <v>1015.4</v>
      </c>
      <c r="L2045" s="56" t="n">
        <v>0</v>
      </c>
      <c r="M2045" s="56" t="n">
        <v>65</v>
      </c>
      <c r="N2045" s="56" t="n">
        <v>6.2</v>
      </c>
      <c r="O2045" s="56" t="n">
        <f aca="false">IF(D2045=1,"",E2044)</f>
        <v>22</v>
      </c>
      <c r="P2045" s="56" t="n">
        <f aca="false">IF(OR(D2045=1,K2044=""),"",K2044)</f>
        <v>1013.1</v>
      </c>
      <c r="Q2045" s="56" t="n">
        <f aca="false">IF(OR(F2045&lt;&gt;0,AND(I2045&lt;&gt;"",E2045&lt;I2045)),1,0)</f>
        <v>0</v>
      </c>
      <c r="R2045" s="56" t="n">
        <f aca="false">IF(AND(D2045&gt;1,Q2045=0,ISNUMBER(O2045),ISNUMBER(P2045)),IF(Q2044=0,1,0),0)</f>
        <v>1</v>
      </c>
      <c r="S2045" s="56" t="n">
        <f aca="false">R2045*(B2045&gt;=Train_Start)*(B2045&lt;=Train_End)</f>
        <v>1</v>
      </c>
      <c r="T2045" s="84" t="n">
        <f aca="false">IF(AND(ISNUMBER(O2045),ISNUMBER(P2045)),Coef_A+Coef_B1*O2045+Coef_B2*P2045,"")</f>
        <v>21.8932779226288</v>
      </c>
      <c r="U2045" s="84" t="n">
        <f aca="false">IF(AND(R2045=1,ISNUMBER(T2045)),E2045-T2045,"")</f>
        <v>1.70672207737118</v>
      </c>
      <c r="V2045" s="84" t="n">
        <f aca="false">IF(ISNUMBER(T2045),T2045,-99)</f>
        <v>21.8932779226288</v>
      </c>
      <c r="W2045" s="84" t="n">
        <f aca="false">IF(ISNUMBER(U2045),ABS(U2045),"")</f>
        <v>1.70672207737118</v>
      </c>
    </row>
    <row r="2046" customFormat="false" ht="15" hidden="false" customHeight="false" outlineLevel="0" collapsed="false">
      <c r="A2046" s="57" t="n">
        <v>33780</v>
      </c>
      <c r="B2046" s="56" t="n">
        <v>1992</v>
      </c>
      <c r="C2046" s="56" t="n">
        <v>6</v>
      </c>
      <c r="D2046" s="56" t="n">
        <v>56</v>
      </c>
      <c r="E2046" s="56" t="n">
        <v>26.2</v>
      </c>
      <c r="F2046" s="56" t="n">
        <v>0</v>
      </c>
      <c r="G2046" s="56" t="n">
        <v>12.4</v>
      </c>
      <c r="H2046" s="56" t="n">
        <v>0</v>
      </c>
      <c r="I2046" s="56" t="n">
        <v>18</v>
      </c>
      <c r="J2046" s="56" t="n">
        <v>0</v>
      </c>
      <c r="K2046" s="56" t="n">
        <v>1019.7</v>
      </c>
      <c r="L2046" s="56" t="n">
        <v>0</v>
      </c>
      <c r="M2046" s="56" t="n">
        <v>63</v>
      </c>
      <c r="N2046" s="56" t="n">
        <v>3</v>
      </c>
      <c r="O2046" s="56" t="n">
        <f aca="false">IF(D2046=1,"",E2045)</f>
        <v>23.6</v>
      </c>
      <c r="P2046" s="56" t="n">
        <f aca="false">IF(OR(D2046=1,K2045=""),"",K2045)</f>
        <v>1015.4</v>
      </c>
      <c r="Q2046" s="56" t="n">
        <f aca="false">IF(OR(F2046&lt;&gt;0,AND(I2046&lt;&gt;"",E2046&lt;I2046)),1,0)</f>
        <v>0</v>
      </c>
      <c r="R2046" s="56" t="n">
        <f aca="false">IF(AND(D2046&gt;1,Q2046=0,ISNUMBER(O2046),ISNUMBER(P2046)),IF(Q2045=0,1,0),0)</f>
        <v>1</v>
      </c>
      <c r="S2046" s="56" t="n">
        <f aca="false">R2046*(B2046&gt;=Train_Start)*(B2046&lt;=Train_End)</f>
        <v>1</v>
      </c>
      <c r="T2046" s="84" t="n">
        <f aca="false">IF(AND(ISNUMBER(O2046),ISNUMBER(P2046)),Coef_A+Coef_B1*O2046+Coef_B2*P2046,"")</f>
        <v>23.2763713891552</v>
      </c>
      <c r="U2046" s="84" t="n">
        <f aca="false">IF(AND(R2046=1,ISNUMBER(T2046)),E2046-T2046,"")</f>
        <v>2.92362861084475</v>
      </c>
      <c r="V2046" s="84" t="n">
        <f aca="false">IF(ISNUMBER(T2046),T2046,-99)</f>
        <v>23.2763713891552</v>
      </c>
      <c r="W2046" s="84" t="n">
        <f aca="false">IF(ISNUMBER(U2046),ABS(U2046),"")</f>
        <v>2.92362861084475</v>
      </c>
    </row>
    <row r="2047" customFormat="false" ht="15" hidden="false" customHeight="false" outlineLevel="0" collapsed="false">
      <c r="A2047" s="57" t="n">
        <v>33781</v>
      </c>
      <c r="B2047" s="56" t="n">
        <v>1992</v>
      </c>
      <c r="C2047" s="56" t="n">
        <v>6</v>
      </c>
      <c r="D2047" s="56" t="n">
        <v>57</v>
      </c>
      <c r="E2047" s="56" t="n">
        <v>25.9</v>
      </c>
      <c r="F2047" s="56" t="n">
        <v>0</v>
      </c>
      <c r="G2047" s="56" t="n">
        <v>12.6</v>
      </c>
      <c r="H2047" s="56" t="n">
        <v>0</v>
      </c>
      <c r="I2047" s="56" t="n">
        <v>19.4</v>
      </c>
      <c r="J2047" s="56" t="n">
        <v>0</v>
      </c>
      <c r="K2047" s="56" t="n">
        <v>1022.3</v>
      </c>
      <c r="L2047" s="56" t="n">
        <v>0</v>
      </c>
      <c r="M2047" s="56" t="n">
        <v>62</v>
      </c>
      <c r="N2047" s="56" t="n">
        <v>6.9</v>
      </c>
      <c r="O2047" s="56" t="n">
        <f aca="false">IF(D2047=1,"",E2046)</f>
        <v>26.2</v>
      </c>
      <c r="P2047" s="56" t="n">
        <f aca="false">IF(OR(D2047=1,K2046=""),"",K2046)</f>
        <v>1019.7</v>
      </c>
      <c r="Q2047" s="56" t="n">
        <f aca="false">IF(OR(F2047&lt;&gt;0,AND(I2047&lt;&gt;"",E2047&lt;I2047)),1,0)</f>
        <v>0</v>
      </c>
      <c r="R2047" s="56" t="n">
        <f aca="false">IF(AND(D2047&gt;1,Q2047=0,ISNUMBER(O2047),ISNUMBER(P2047)),IF(Q2046=0,1,0),0)</f>
        <v>1</v>
      </c>
      <c r="S2047" s="56" t="n">
        <f aca="false">R2047*(B2047&gt;=Train_Start)*(B2047&lt;=Train_End)</f>
        <v>1</v>
      </c>
      <c r="T2047" s="84" t="n">
        <f aca="false">IF(AND(ISNUMBER(O2047),ISNUMBER(P2047)),Coef_A+Coef_B1*O2047+Coef_B2*P2047,"")</f>
        <v>25.5415438379923</v>
      </c>
      <c r="U2047" s="84" t="n">
        <f aca="false">IF(AND(R2047=1,ISNUMBER(T2047)),E2047-T2047,"")</f>
        <v>0.358456162007691</v>
      </c>
      <c r="V2047" s="84" t="n">
        <f aca="false">IF(ISNUMBER(T2047),T2047,-99)</f>
        <v>25.5415438379923</v>
      </c>
      <c r="W2047" s="84" t="n">
        <f aca="false">IF(ISNUMBER(U2047),ABS(U2047),"")</f>
        <v>0.358456162007691</v>
      </c>
    </row>
    <row r="2048" customFormat="false" ht="15" hidden="false" customHeight="false" outlineLevel="0" collapsed="false">
      <c r="A2048" s="57" t="n">
        <v>33782</v>
      </c>
      <c r="B2048" s="56" t="n">
        <v>1992</v>
      </c>
      <c r="C2048" s="56" t="n">
        <v>6</v>
      </c>
      <c r="D2048" s="56" t="n">
        <v>58</v>
      </c>
      <c r="E2048" s="56" t="n">
        <v>27.8</v>
      </c>
      <c r="F2048" s="56" t="n">
        <v>0</v>
      </c>
      <c r="G2048" s="56" t="n">
        <v>14.7</v>
      </c>
      <c r="H2048" s="56" t="n">
        <v>0</v>
      </c>
      <c r="I2048" s="56" t="n">
        <v>20.3</v>
      </c>
      <c r="J2048" s="56" t="n">
        <v>0</v>
      </c>
      <c r="K2048" s="56" t="n">
        <v>1022.9</v>
      </c>
      <c r="L2048" s="56" t="n">
        <v>0</v>
      </c>
      <c r="M2048" s="56" t="n">
        <v>58</v>
      </c>
      <c r="N2048" s="56" t="n">
        <v>7</v>
      </c>
      <c r="O2048" s="56" t="n">
        <f aca="false">IF(D2048=1,"",E2047)</f>
        <v>25.9</v>
      </c>
      <c r="P2048" s="56" t="n">
        <f aca="false">IF(OR(D2048=1,K2047=""),"",K2047)</f>
        <v>1022.3</v>
      </c>
      <c r="Q2048" s="56" t="n">
        <f aca="false">IF(OR(F2048&lt;&gt;0,AND(I2048&lt;&gt;"",E2048&lt;I2048)),1,0)</f>
        <v>0</v>
      </c>
      <c r="R2048" s="56" t="n">
        <f aca="false">IF(AND(D2048&gt;1,Q2048=0,ISNUMBER(O2048),ISNUMBER(P2048)),IF(Q2047=0,1,0),0)</f>
        <v>1</v>
      </c>
      <c r="S2048" s="56" t="n">
        <f aca="false">R2048*(B2048&gt;=Train_Start)*(B2048&lt;=Train_End)</f>
        <v>1</v>
      </c>
      <c r="T2048" s="84" t="n">
        <f aca="false">IF(AND(ISNUMBER(O2048),ISNUMBER(P2048)),Coef_A+Coef_B1*O2048+Coef_B2*P2048,"")</f>
        <v>25.3773038061279</v>
      </c>
      <c r="U2048" s="84" t="n">
        <f aca="false">IF(AND(R2048=1,ISNUMBER(T2048)),E2048-T2048,"")</f>
        <v>2.42269619387212</v>
      </c>
      <c r="V2048" s="84" t="n">
        <f aca="false">IF(ISNUMBER(T2048),T2048,-99)</f>
        <v>25.3773038061279</v>
      </c>
      <c r="W2048" s="84" t="n">
        <f aca="false">IF(ISNUMBER(U2048),ABS(U2048),"")</f>
        <v>2.42269619387212</v>
      </c>
    </row>
    <row r="2049" customFormat="false" ht="15" hidden="false" customHeight="false" outlineLevel="0" collapsed="false">
      <c r="A2049" s="57" t="n">
        <v>33783</v>
      </c>
      <c r="B2049" s="56" t="n">
        <v>1992</v>
      </c>
      <c r="C2049" s="56" t="n">
        <v>6</v>
      </c>
      <c r="D2049" s="56" t="n">
        <v>59</v>
      </c>
      <c r="E2049" s="56" t="n">
        <v>30.2</v>
      </c>
      <c r="F2049" s="56" t="n">
        <v>0</v>
      </c>
      <c r="G2049" s="56" t="n">
        <v>13.7</v>
      </c>
      <c r="H2049" s="56" t="n">
        <v>0</v>
      </c>
      <c r="I2049" s="56" t="n">
        <v>20.8</v>
      </c>
      <c r="J2049" s="56" t="n">
        <v>0</v>
      </c>
      <c r="K2049" s="56" t="n">
        <v>1020.1</v>
      </c>
      <c r="L2049" s="56" t="n">
        <v>0</v>
      </c>
      <c r="M2049" s="56" t="n">
        <v>52</v>
      </c>
      <c r="N2049" s="56" t="n">
        <v>11.8</v>
      </c>
      <c r="O2049" s="56" t="n">
        <f aca="false">IF(D2049=1,"",E2048)</f>
        <v>27.8</v>
      </c>
      <c r="P2049" s="56" t="n">
        <f aca="false">IF(OR(D2049=1,K2048=""),"",K2048)</f>
        <v>1022.9</v>
      </c>
      <c r="Q2049" s="56" t="n">
        <f aca="false">IF(OR(F2049&lt;&gt;0,AND(I2049&lt;&gt;"",E2049&lt;I2049)),1,0)</f>
        <v>0</v>
      </c>
      <c r="R2049" s="56" t="n">
        <f aca="false">IF(AND(D2049&gt;1,Q2049=0,ISNUMBER(O2049),ISNUMBER(P2049)),IF(Q2048=0,1,0),0)</f>
        <v>1</v>
      </c>
      <c r="S2049" s="56" t="n">
        <f aca="false">R2049*(B2049&gt;=Train_Start)*(B2049&lt;=Train_End)</f>
        <v>1</v>
      </c>
      <c r="T2049" s="84" t="n">
        <f aca="false">IF(AND(ISNUMBER(O2049),ISNUMBER(P2049)),Coef_A+Coef_B1*O2049+Coef_B2*P2049,"")</f>
        <v>26.9528702096893</v>
      </c>
      <c r="U2049" s="84" t="n">
        <f aca="false">IF(AND(R2049=1,ISNUMBER(T2049)),E2049-T2049,"")</f>
        <v>3.24712979031067</v>
      </c>
      <c r="V2049" s="84" t="n">
        <f aca="false">IF(ISNUMBER(T2049),T2049,-99)</f>
        <v>26.9528702096893</v>
      </c>
      <c r="W2049" s="84" t="n">
        <f aca="false">IF(ISNUMBER(U2049),ABS(U2049),"")</f>
        <v>3.24712979031067</v>
      </c>
    </row>
    <row r="2050" customFormat="false" ht="15" hidden="false" customHeight="false" outlineLevel="0" collapsed="false">
      <c r="A2050" s="57" t="n">
        <v>33784</v>
      </c>
      <c r="B2050" s="56" t="n">
        <v>1992</v>
      </c>
      <c r="C2050" s="56" t="n">
        <v>6</v>
      </c>
      <c r="D2050" s="56" t="n">
        <v>60</v>
      </c>
      <c r="E2050" s="56" t="n">
        <v>23.7</v>
      </c>
      <c r="F2050" s="56" t="n">
        <v>0</v>
      </c>
      <c r="G2050" s="56" t="n">
        <v>16.1</v>
      </c>
      <c r="H2050" s="56" t="n">
        <v>0</v>
      </c>
      <c r="I2050" s="56" t="n">
        <v>23.2</v>
      </c>
      <c r="J2050" s="56" t="n">
        <v>0</v>
      </c>
      <c r="K2050" s="56" t="n">
        <v>1014.8</v>
      </c>
      <c r="L2050" s="56" t="n">
        <v>0</v>
      </c>
      <c r="M2050" s="56" t="n">
        <v>57</v>
      </c>
      <c r="N2050" s="56" t="n">
        <v>9.6</v>
      </c>
      <c r="O2050" s="56" t="n">
        <f aca="false">IF(D2050=1,"",E2049)</f>
        <v>30.2</v>
      </c>
      <c r="P2050" s="56" t="n">
        <f aca="false">IF(OR(D2050=1,K2049=""),"",K2049)</f>
        <v>1020.1</v>
      </c>
      <c r="Q2050" s="56" t="n">
        <f aca="false">IF(OR(F2050&lt;&gt;0,AND(I2050&lt;&gt;"",E2050&lt;I2050)),1,0)</f>
        <v>0</v>
      </c>
      <c r="R2050" s="56" t="n">
        <f aca="false">IF(AND(D2050&gt;1,Q2050=0,ISNUMBER(O2050),ISNUMBER(P2050)),IF(Q2049=0,1,0),0)</f>
        <v>1</v>
      </c>
      <c r="S2050" s="56" t="n">
        <f aca="false">R2050*(B2050&gt;=Train_Start)*(B2050&lt;=Train_End)</f>
        <v>1</v>
      </c>
      <c r="T2050" s="84" t="n">
        <f aca="false">IF(AND(ISNUMBER(O2050),ISNUMBER(P2050)),Coef_A+Coef_B1*O2050+Coef_B2*P2050,"")</f>
        <v>28.8314485680165</v>
      </c>
      <c r="U2050" s="84" t="n">
        <f aca="false">IF(AND(R2050=1,ISNUMBER(T2050)),E2050-T2050,"")</f>
        <v>-5.13144856801653</v>
      </c>
      <c r="V2050" s="84" t="n">
        <f aca="false">IF(ISNUMBER(T2050),T2050,-99)</f>
        <v>28.8314485680165</v>
      </c>
      <c r="W2050" s="84" t="n">
        <f aca="false">IF(ISNUMBER(U2050),ABS(U2050),"")</f>
        <v>5.13144856801653</v>
      </c>
    </row>
    <row r="2051" customFormat="false" ht="15" hidden="false" customHeight="false" outlineLevel="0" collapsed="false">
      <c r="A2051" s="57" t="n">
        <v>33785</v>
      </c>
      <c r="B2051" s="56" t="n">
        <v>1992</v>
      </c>
      <c r="C2051" s="56" t="n">
        <v>6</v>
      </c>
      <c r="D2051" s="56" t="n">
        <v>61</v>
      </c>
      <c r="E2051" s="56" t="n">
        <v>19.1</v>
      </c>
      <c r="F2051" s="56" t="n">
        <v>1</v>
      </c>
      <c r="G2051" s="56" t="n">
        <v>16.9</v>
      </c>
      <c r="H2051" s="56" t="n">
        <v>0</v>
      </c>
      <c r="I2051" s="56" t="n">
        <v>20.3</v>
      </c>
      <c r="J2051" s="56" t="n">
        <v>1</v>
      </c>
      <c r="K2051" s="56" t="n">
        <v>1008.6</v>
      </c>
      <c r="L2051" s="56" t="n">
        <v>0</v>
      </c>
      <c r="M2051" s="56" t="n">
        <v>78</v>
      </c>
      <c r="N2051" s="56" t="n">
        <v>2.1</v>
      </c>
      <c r="O2051" s="56" t="n">
        <f aca="false">IF(D2051=1,"",E2050)</f>
        <v>23.7</v>
      </c>
      <c r="P2051" s="56" t="n">
        <f aca="false">IF(OR(D2051=1,K2050=""),"",K2050)</f>
        <v>1014.8</v>
      </c>
      <c r="Q2051" s="56" t="n">
        <f aca="false">IF(OR(F2051&lt;&gt;0,AND(I2051&lt;&gt;"",E2051&lt;I2051)),1,0)</f>
        <v>1</v>
      </c>
      <c r="R2051" s="56" t="n">
        <f aca="false">IF(AND(D2051&gt;1,Q2051=0,ISNUMBER(O2051),ISNUMBER(P2051)),IF(Q2050=0,1,0),0)</f>
        <v>0</v>
      </c>
      <c r="S2051" s="56" t="n">
        <f aca="false">R2051*(B2051&gt;=Train_Start)*(B2051&lt;=Train_End)</f>
        <v>0</v>
      </c>
      <c r="T2051" s="84" t="n">
        <f aca="false">IF(AND(ISNUMBER(O2051),ISNUMBER(P2051)),Coef_A+Coef_B1*O2051+Coef_B2*P2051,"")</f>
        <v>23.3394833716791</v>
      </c>
      <c r="U2051" s="84" t="str">
        <f aca="false">IF(AND(R2051=1,ISNUMBER(T2051)),E2051-T2051,"")</f>
        <v/>
      </c>
      <c r="V2051" s="84" t="n">
        <f aca="false">IF(ISNUMBER(T2051),T2051,-99)</f>
        <v>23.3394833716791</v>
      </c>
      <c r="W2051" s="84" t="str">
        <f aca="false">IF(ISNUMBER(U2051),ABS(U2051),"")</f>
        <v/>
      </c>
    </row>
    <row r="2052" customFormat="false" ht="15" hidden="false" customHeight="false" outlineLevel="0" collapsed="false">
      <c r="A2052" s="57" t="n">
        <v>33786</v>
      </c>
      <c r="B2052" s="56" t="n">
        <v>1992</v>
      </c>
      <c r="C2052" s="56" t="n">
        <v>7</v>
      </c>
      <c r="D2052" s="56" t="n">
        <v>62</v>
      </c>
      <c r="E2052" s="56" t="n">
        <v>18.7</v>
      </c>
      <c r="F2052" s="56" t="n">
        <v>0</v>
      </c>
      <c r="G2052" s="56" t="n">
        <v>16.3</v>
      </c>
      <c r="H2052" s="56" t="n">
        <v>0</v>
      </c>
      <c r="I2052" s="56" t="n">
        <v>17.7</v>
      </c>
      <c r="J2052" s="56" t="n">
        <v>0</v>
      </c>
      <c r="K2052" s="56" t="n">
        <v>1008.8</v>
      </c>
      <c r="L2052" s="56" t="n">
        <v>0</v>
      </c>
      <c r="M2052" s="56" t="n">
        <v>89</v>
      </c>
      <c r="N2052" s="56" t="n">
        <v>0</v>
      </c>
      <c r="O2052" s="56" t="n">
        <f aca="false">IF(D2052=1,"",E2051)</f>
        <v>19.1</v>
      </c>
      <c r="P2052" s="56" t="n">
        <f aca="false">IF(OR(D2052=1,K2051=""),"",K2051)</f>
        <v>1008.6</v>
      </c>
      <c r="Q2052" s="56" t="n">
        <f aca="false">IF(OR(F2052&lt;&gt;0,AND(I2052&lt;&gt;"",E2052&lt;I2052)),1,0)</f>
        <v>0</v>
      </c>
      <c r="R2052" s="56" t="n">
        <f aca="false">IF(AND(D2052&gt;1,Q2052=0,ISNUMBER(O2052),ISNUMBER(P2052)),IF(Q2051=0,1,0),0)</f>
        <v>0</v>
      </c>
      <c r="S2052" s="56" t="n">
        <f aca="false">R2052*(B2052&gt;=Train_Start)*(B2052&lt;=Train_End)</f>
        <v>0</v>
      </c>
      <c r="T2052" s="84" t="n">
        <f aca="false">IF(AND(ISNUMBER(O2052),ISNUMBER(P2052)),Coef_A+Coef_B1*O2052+Coef_B2*P2052,"")</f>
        <v>19.3760297369522</v>
      </c>
      <c r="U2052" s="84" t="str">
        <f aca="false">IF(AND(R2052=1,ISNUMBER(T2052)),E2052-T2052,"")</f>
        <v/>
      </c>
      <c r="V2052" s="84" t="n">
        <f aca="false">IF(ISNUMBER(T2052),T2052,-99)</f>
        <v>19.3760297369522</v>
      </c>
      <c r="W2052" s="84" t="str">
        <f aca="false">IF(ISNUMBER(U2052),ABS(U2052),"")</f>
        <v/>
      </c>
    </row>
    <row r="2053" customFormat="false" ht="15" hidden="false" customHeight="false" outlineLevel="0" collapsed="false">
      <c r="A2053" s="57" t="n">
        <v>33787</v>
      </c>
      <c r="B2053" s="56" t="n">
        <v>1992</v>
      </c>
      <c r="C2053" s="56" t="n">
        <v>7</v>
      </c>
      <c r="D2053" s="56" t="n">
        <v>63</v>
      </c>
      <c r="E2053" s="56" t="n">
        <v>17.5</v>
      </c>
      <c r="F2053" s="56" t="n">
        <v>0</v>
      </c>
      <c r="G2053" s="56" t="n">
        <v>12.7</v>
      </c>
      <c r="H2053" s="56" t="n">
        <v>0</v>
      </c>
      <c r="I2053" s="56" t="n">
        <v>15.7</v>
      </c>
      <c r="J2053" s="56" t="n">
        <v>0</v>
      </c>
      <c r="K2053" s="56" t="n">
        <v>1018.3</v>
      </c>
      <c r="L2053" s="56" t="n">
        <v>0</v>
      </c>
      <c r="M2053" s="56" t="n">
        <v>72</v>
      </c>
      <c r="N2053" s="56" t="n">
        <v>0</v>
      </c>
      <c r="O2053" s="56" t="n">
        <f aca="false">IF(D2053=1,"",E2052)</f>
        <v>18.7</v>
      </c>
      <c r="P2053" s="56" t="n">
        <f aca="false">IF(OR(D2053=1,K2052=""),"",K2052)</f>
        <v>1008.8</v>
      </c>
      <c r="Q2053" s="56" t="n">
        <f aca="false">IF(OR(F2053&lt;&gt;0,AND(I2053&lt;&gt;"",E2053&lt;I2053)),1,0)</f>
        <v>0</v>
      </c>
      <c r="R2053" s="56" t="n">
        <f aca="false">IF(AND(D2053&gt;1,Q2053=0,ISNUMBER(O2053),ISNUMBER(P2053)),IF(Q2052=0,1,0),0)</f>
        <v>1</v>
      </c>
      <c r="S2053" s="56" t="n">
        <f aca="false">R2053*(B2053&gt;=Train_Start)*(B2053&lt;=Train_End)</f>
        <v>1</v>
      </c>
      <c r="T2053" s="84" t="n">
        <f aca="false">IF(AND(ISNUMBER(O2053),ISNUMBER(P2053)),Coef_A+Coef_B1*O2053+Coef_B2*P2053,"")</f>
        <v>19.0545680386619</v>
      </c>
      <c r="U2053" s="84" t="n">
        <f aca="false">IF(AND(R2053=1,ISNUMBER(T2053)),E2053-T2053,"")</f>
        <v>-1.55456803866189</v>
      </c>
      <c r="V2053" s="84" t="n">
        <f aca="false">IF(ISNUMBER(T2053),T2053,-99)</f>
        <v>19.0545680386619</v>
      </c>
      <c r="W2053" s="84" t="n">
        <f aca="false">IF(ISNUMBER(U2053),ABS(U2053),"")</f>
        <v>1.55456803866189</v>
      </c>
    </row>
    <row r="2054" customFormat="false" ht="15" hidden="false" customHeight="false" outlineLevel="0" collapsed="false">
      <c r="A2054" s="57" t="n">
        <v>33788</v>
      </c>
      <c r="B2054" s="56" t="n">
        <v>1992</v>
      </c>
      <c r="C2054" s="56" t="n">
        <v>7</v>
      </c>
      <c r="D2054" s="56" t="n">
        <v>64</v>
      </c>
      <c r="E2054" s="56" t="n">
        <v>21.1</v>
      </c>
      <c r="F2054" s="56" t="n">
        <v>0</v>
      </c>
      <c r="G2054" s="56" t="n">
        <v>14</v>
      </c>
      <c r="H2054" s="56" t="n">
        <v>0</v>
      </c>
      <c r="I2054" s="56" t="n">
        <v>15.8</v>
      </c>
      <c r="J2054" s="56" t="n">
        <v>0</v>
      </c>
      <c r="K2054" s="56" t="n">
        <v>1013.1</v>
      </c>
      <c r="L2054" s="56" t="n">
        <v>0</v>
      </c>
      <c r="M2054" s="56" t="n">
        <v>88</v>
      </c>
      <c r="N2054" s="56" t="n">
        <v>0</v>
      </c>
      <c r="O2054" s="56" t="n">
        <f aca="false">IF(D2054=1,"",E2053)</f>
        <v>17.5</v>
      </c>
      <c r="P2054" s="56" t="n">
        <f aca="false">IF(OR(D2054=1,K2053=""),"",K2053)</f>
        <v>1018.3</v>
      </c>
      <c r="Q2054" s="56" t="n">
        <f aca="false">IF(OR(F2054&lt;&gt;0,AND(I2054&lt;&gt;"",E2054&lt;I2054)),1,0)</f>
        <v>0</v>
      </c>
      <c r="R2054" s="56" t="n">
        <f aca="false">IF(AND(D2054&gt;1,Q2054=0,ISNUMBER(O2054),ISNUMBER(P2054)),IF(Q2053=0,1,0),0)</f>
        <v>1</v>
      </c>
      <c r="S2054" s="56" t="n">
        <f aca="false">R2054*(B2054&gt;=Train_Start)*(B2054&lt;=Train_End)</f>
        <v>1</v>
      </c>
      <c r="T2054" s="84" t="n">
        <f aca="false">IF(AND(ISNUMBER(O2054),ISNUMBER(P2054)),Coef_A+Coef_B1*O2054+Coef_B2*P2054,"")</f>
        <v>18.3693750060336</v>
      </c>
      <c r="U2054" s="84" t="n">
        <f aca="false">IF(AND(R2054=1,ISNUMBER(T2054)),E2054-T2054,"")</f>
        <v>2.7306249939664</v>
      </c>
      <c r="V2054" s="84" t="n">
        <f aca="false">IF(ISNUMBER(T2054),T2054,-99)</f>
        <v>18.3693750060336</v>
      </c>
      <c r="W2054" s="84" t="n">
        <f aca="false">IF(ISNUMBER(U2054),ABS(U2054),"")</f>
        <v>2.7306249939664</v>
      </c>
    </row>
    <row r="2055" customFormat="false" ht="15" hidden="false" customHeight="false" outlineLevel="0" collapsed="false">
      <c r="A2055" s="57" t="n">
        <v>33789</v>
      </c>
      <c r="B2055" s="56" t="n">
        <v>1992</v>
      </c>
      <c r="C2055" s="56" t="n">
        <v>7</v>
      </c>
      <c r="D2055" s="56" t="n">
        <v>65</v>
      </c>
      <c r="E2055" s="56" t="n">
        <v>20</v>
      </c>
      <c r="F2055" s="56" t="n">
        <v>0</v>
      </c>
      <c r="G2055" s="56" t="n">
        <v>14</v>
      </c>
      <c r="H2055" s="56" t="n">
        <v>0</v>
      </c>
      <c r="I2055" s="56" t="n">
        <v>17.6</v>
      </c>
      <c r="J2055" s="56" t="n">
        <v>0</v>
      </c>
      <c r="K2055" s="56" t="n">
        <v>1008.3</v>
      </c>
      <c r="L2055" s="56" t="n">
        <v>0</v>
      </c>
      <c r="M2055" s="56" t="n">
        <v>87</v>
      </c>
      <c r="N2055" s="56" t="n">
        <v>2.8</v>
      </c>
      <c r="O2055" s="56" t="n">
        <f aca="false">IF(D2055=1,"",E2054)</f>
        <v>21.1</v>
      </c>
      <c r="P2055" s="56" t="n">
        <f aca="false">IF(OR(D2055=1,K2054=""),"",K2054)</f>
        <v>1013.1</v>
      </c>
      <c r="Q2055" s="56" t="n">
        <f aca="false">IF(OR(F2055&lt;&gt;0,AND(I2055&lt;&gt;"",E2055&lt;I2055)),1,0)</f>
        <v>0</v>
      </c>
      <c r="R2055" s="56" t="n">
        <f aca="false">IF(AND(D2055&gt;1,Q2055=0,ISNUMBER(O2055),ISNUMBER(P2055)),IF(Q2054=0,1,0),0)</f>
        <v>1</v>
      </c>
      <c r="S2055" s="56" t="n">
        <f aca="false">R2055*(B2055&gt;=Train_Start)*(B2055&lt;=Train_End)</f>
        <v>1</v>
      </c>
      <c r="T2055" s="84" t="n">
        <f aca="false">IF(AND(ISNUMBER(O2055),ISNUMBER(P2055)),Coef_A+Coef_B1*O2055+Coef_B2*P2055,"")</f>
        <v>21.1558726488904</v>
      </c>
      <c r="U2055" s="84" t="n">
        <f aca="false">IF(AND(R2055=1,ISNUMBER(T2055)),E2055-T2055,"")</f>
        <v>-1.15587264889043</v>
      </c>
      <c r="V2055" s="84" t="n">
        <f aca="false">IF(ISNUMBER(T2055),T2055,-99)</f>
        <v>21.1558726488904</v>
      </c>
      <c r="W2055" s="84" t="n">
        <f aca="false">IF(ISNUMBER(U2055),ABS(U2055),"")</f>
        <v>1.15587264889043</v>
      </c>
    </row>
    <row r="2056" customFormat="false" ht="15" hidden="false" customHeight="false" outlineLevel="0" collapsed="false">
      <c r="A2056" s="57" t="n">
        <v>33790</v>
      </c>
      <c r="B2056" s="56" t="n">
        <v>1992</v>
      </c>
      <c r="C2056" s="56" t="n">
        <v>7</v>
      </c>
      <c r="D2056" s="56" t="n">
        <v>66</v>
      </c>
      <c r="E2056" s="56" t="n">
        <v>22.7</v>
      </c>
      <c r="F2056" s="56" t="n">
        <v>0</v>
      </c>
      <c r="G2056" s="56" t="n">
        <v>11.1</v>
      </c>
      <c r="H2056" s="56" t="n">
        <v>0</v>
      </c>
      <c r="I2056" s="56" t="n">
        <v>15.6</v>
      </c>
      <c r="J2056" s="56" t="n">
        <v>0</v>
      </c>
      <c r="K2056" s="56" t="n">
        <v>1016</v>
      </c>
      <c r="L2056" s="56" t="n">
        <v>0</v>
      </c>
      <c r="M2056" s="56" t="n">
        <v>82</v>
      </c>
      <c r="N2056" s="56" t="n">
        <v>1.6</v>
      </c>
      <c r="O2056" s="56" t="n">
        <f aca="false">IF(D2056=1,"",E2055)</f>
        <v>20</v>
      </c>
      <c r="P2056" s="56" t="n">
        <f aca="false">IF(OR(D2056=1,K2055=""),"",K2055)</f>
        <v>1008.3</v>
      </c>
      <c r="Q2056" s="56" t="n">
        <f aca="false">IF(OR(F2056&lt;&gt;0,AND(I2056&lt;&gt;"",E2056&lt;I2056)),1,0)</f>
        <v>0</v>
      </c>
      <c r="R2056" s="56" t="n">
        <f aca="false">IF(AND(D2056&gt;1,Q2056=0,ISNUMBER(O2056),ISNUMBER(P2056)),IF(Q2055=0,1,0),0)</f>
        <v>1</v>
      </c>
      <c r="S2056" s="56" t="n">
        <f aca="false">R2056*(B2056&gt;=Train_Start)*(B2056&lt;=Train_End)</f>
        <v>1</v>
      </c>
      <c r="T2056" s="84" t="n">
        <f aca="false">IF(AND(ISNUMBER(O2056),ISNUMBER(P2056)),Coef_A+Coef_B1*O2056+Coef_B2*P2056,"")</f>
        <v>20.1040240423004</v>
      </c>
      <c r="U2056" s="84" t="n">
        <f aca="false">IF(AND(R2056=1,ISNUMBER(T2056)),E2056-T2056,"")</f>
        <v>2.59597595769965</v>
      </c>
      <c r="V2056" s="84" t="n">
        <f aca="false">IF(ISNUMBER(T2056),T2056,-99)</f>
        <v>20.1040240423004</v>
      </c>
      <c r="W2056" s="84" t="n">
        <f aca="false">IF(ISNUMBER(U2056),ABS(U2056),"")</f>
        <v>2.59597595769965</v>
      </c>
    </row>
    <row r="2057" customFormat="false" ht="15" hidden="false" customHeight="false" outlineLevel="0" collapsed="false">
      <c r="A2057" s="57" t="n">
        <v>33791</v>
      </c>
      <c r="B2057" s="56" t="n">
        <v>1992</v>
      </c>
      <c r="C2057" s="56" t="n">
        <v>7</v>
      </c>
      <c r="D2057" s="56" t="n">
        <v>67</v>
      </c>
      <c r="E2057" s="56" t="n">
        <v>21.2</v>
      </c>
      <c r="F2057" s="56" t="n">
        <v>0</v>
      </c>
      <c r="G2057" s="56" t="n">
        <v>14.2</v>
      </c>
      <c r="H2057" s="56" t="n">
        <v>0</v>
      </c>
      <c r="I2057" s="56" t="n">
        <v>18.4</v>
      </c>
      <c r="J2057" s="56" t="n">
        <v>0</v>
      </c>
      <c r="K2057" s="56" t="n">
        <v>1022.3</v>
      </c>
      <c r="L2057" s="56" t="n">
        <v>0</v>
      </c>
      <c r="M2057" s="56" t="n">
        <v>67</v>
      </c>
      <c r="N2057" s="56" t="n">
        <v>13.4</v>
      </c>
      <c r="O2057" s="56" t="n">
        <f aca="false">IF(D2057=1,"",E2056)</f>
        <v>22.7</v>
      </c>
      <c r="P2057" s="56" t="n">
        <f aca="false">IF(OR(D2057=1,K2056=""),"",K2056)</f>
        <v>1016</v>
      </c>
      <c r="Q2057" s="56" t="n">
        <f aca="false">IF(OR(F2057&lt;&gt;0,AND(I2057&lt;&gt;"",E2057&lt;I2057)),1,0)</f>
        <v>0</v>
      </c>
      <c r="R2057" s="56" t="n">
        <f aca="false">IF(AND(D2057&gt;1,Q2057=0,ISNUMBER(O2057),ISNUMBER(P2057)),IF(Q2056=0,1,0),0)</f>
        <v>1</v>
      </c>
      <c r="S2057" s="56" t="n">
        <f aca="false">R2057*(B2057&gt;=Train_Start)*(B2057&lt;=Train_End)</f>
        <v>1</v>
      </c>
      <c r="T2057" s="84" t="n">
        <f aca="false">IF(AND(ISNUMBER(O2057),ISNUMBER(P2057)),Coef_A+Coef_B1*O2057+Coef_B2*P2057,"")</f>
        <v>22.5577880521972</v>
      </c>
      <c r="U2057" s="84" t="n">
        <f aca="false">IF(AND(R2057=1,ISNUMBER(T2057)),E2057-T2057,"")</f>
        <v>-1.35778805219725</v>
      </c>
      <c r="V2057" s="84" t="n">
        <f aca="false">IF(ISNUMBER(T2057),T2057,-99)</f>
        <v>22.5577880521972</v>
      </c>
      <c r="W2057" s="84" t="n">
        <f aca="false">IF(ISNUMBER(U2057),ABS(U2057),"")</f>
        <v>1.35778805219725</v>
      </c>
    </row>
    <row r="2058" customFormat="false" ht="15" hidden="false" customHeight="false" outlineLevel="0" collapsed="false">
      <c r="A2058" s="57" t="n">
        <v>33792</v>
      </c>
      <c r="B2058" s="56" t="n">
        <v>1992</v>
      </c>
      <c r="C2058" s="56" t="n">
        <v>7</v>
      </c>
      <c r="D2058" s="56" t="n">
        <v>68</v>
      </c>
      <c r="E2058" s="56" t="n">
        <v>17.1</v>
      </c>
      <c r="F2058" s="56" t="n">
        <v>0</v>
      </c>
      <c r="G2058" s="56" t="n">
        <v>11.5</v>
      </c>
      <c r="H2058" s="56" t="n">
        <v>0</v>
      </c>
      <c r="I2058" s="56" t="n">
        <v>16.4</v>
      </c>
      <c r="J2058" s="56" t="n">
        <v>0</v>
      </c>
      <c r="K2058" s="56" t="n">
        <v>1024</v>
      </c>
      <c r="L2058" s="56" t="n">
        <v>0</v>
      </c>
      <c r="M2058" s="56" t="n">
        <v>72</v>
      </c>
      <c r="N2058" s="56" t="n">
        <v>5.2</v>
      </c>
      <c r="O2058" s="56" t="n">
        <f aca="false">IF(D2058=1,"",E2057)</f>
        <v>21.2</v>
      </c>
      <c r="P2058" s="56" t="n">
        <f aca="false">IF(OR(D2058=1,K2057=""),"",K2057)</f>
        <v>1022.3</v>
      </c>
      <c r="Q2058" s="56" t="n">
        <f aca="false">IF(OR(F2058&lt;&gt;0,AND(I2058&lt;&gt;"",E2058&lt;I2058)),1,0)</f>
        <v>0</v>
      </c>
      <c r="R2058" s="56" t="n">
        <f aca="false">IF(AND(D2058&gt;1,Q2058=0,ISNUMBER(O2058),ISNUMBER(P2058)),IF(Q2057=0,1,0),0)</f>
        <v>1</v>
      </c>
      <c r="S2058" s="56" t="n">
        <f aca="false">R2058*(B2058&gt;=Train_Start)*(B2058&lt;=Train_End)</f>
        <v>1</v>
      </c>
      <c r="T2058" s="84" t="n">
        <f aca="false">IF(AND(ISNUMBER(O2058),ISNUMBER(P2058)),Coef_A+Coef_B1*O2058+Coef_B2*P2058,"")</f>
        <v>21.5264095988274</v>
      </c>
      <c r="U2058" s="84" t="n">
        <f aca="false">IF(AND(R2058=1,ISNUMBER(T2058)),E2058-T2058,"")</f>
        <v>-4.42640959882739</v>
      </c>
      <c r="V2058" s="84" t="n">
        <f aca="false">IF(ISNUMBER(T2058),T2058,-99)</f>
        <v>21.5264095988274</v>
      </c>
      <c r="W2058" s="84" t="n">
        <f aca="false">IF(ISNUMBER(U2058),ABS(U2058),"")</f>
        <v>4.42640959882739</v>
      </c>
    </row>
    <row r="2059" customFormat="false" ht="15" hidden="false" customHeight="false" outlineLevel="0" collapsed="false">
      <c r="A2059" s="57" t="n">
        <v>33793</v>
      </c>
      <c r="B2059" s="56" t="n">
        <v>1992</v>
      </c>
      <c r="C2059" s="56" t="n">
        <v>7</v>
      </c>
      <c r="D2059" s="56" t="n">
        <v>69</v>
      </c>
      <c r="E2059" s="56" t="n">
        <v>20.3</v>
      </c>
      <c r="F2059" s="56" t="n">
        <v>0</v>
      </c>
      <c r="G2059" s="56" t="n">
        <v>15.1</v>
      </c>
      <c r="H2059" s="56" t="n">
        <v>0</v>
      </c>
      <c r="I2059" s="56" t="n">
        <v>16.1</v>
      </c>
      <c r="J2059" s="56" t="n">
        <v>0</v>
      </c>
      <c r="K2059" s="56" t="n">
        <v>1021.5</v>
      </c>
      <c r="L2059" s="56" t="n">
        <v>0</v>
      </c>
      <c r="M2059" s="56" t="n">
        <v>86</v>
      </c>
      <c r="N2059" s="56" t="n">
        <v>0</v>
      </c>
      <c r="O2059" s="56" t="n">
        <f aca="false">IF(D2059=1,"",E2058)</f>
        <v>17.1</v>
      </c>
      <c r="P2059" s="56" t="n">
        <f aca="false">IF(OR(D2059=1,K2058=""),"",K2058)</f>
        <v>1024</v>
      </c>
      <c r="Q2059" s="56" t="n">
        <f aca="false">IF(OR(F2059&lt;&gt;0,AND(I2059&lt;&gt;"",E2059&lt;I2059)),1,0)</f>
        <v>0</v>
      </c>
      <c r="R2059" s="56" t="n">
        <f aca="false">IF(AND(D2059&gt;1,Q2059=0,ISNUMBER(O2059),ISNUMBER(P2059)),IF(Q2058=0,1,0),0)</f>
        <v>1</v>
      </c>
      <c r="S2059" s="56" t="n">
        <f aca="false">R2059*(B2059&gt;=Train_Start)*(B2059&lt;=Train_End)</f>
        <v>1</v>
      </c>
      <c r="T2059" s="84" t="n">
        <f aca="false">IF(AND(ISNUMBER(O2059),ISNUMBER(P2059)),Coef_A+Coef_B1*O2059+Coef_B2*P2059,"")</f>
        <v>18.2204477282303</v>
      </c>
      <c r="U2059" s="84" t="n">
        <f aca="false">IF(AND(R2059=1,ISNUMBER(T2059)),E2059-T2059,"")</f>
        <v>2.07955227176972</v>
      </c>
      <c r="V2059" s="84" t="n">
        <f aca="false">IF(ISNUMBER(T2059),T2059,-99)</f>
        <v>18.2204477282303</v>
      </c>
      <c r="W2059" s="84" t="n">
        <f aca="false">IF(ISNUMBER(U2059),ABS(U2059),"")</f>
        <v>2.07955227176972</v>
      </c>
    </row>
    <row r="2060" customFormat="false" ht="15" hidden="false" customHeight="false" outlineLevel="0" collapsed="false">
      <c r="A2060" s="57" t="n">
        <v>33794</v>
      </c>
      <c r="B2060" s="56" t="n">
        <v>1992</v>
      </c>
      <c r="C2060" s="56" t="n">
        <v>7</v>
      </c>
      <c r="D2060" s="56" t="n">
        <v>70</v>
      </c>
      <c r="E2060" s="56" t="n">
        <v>20</v>
      </c>
      <c r="F2060" s="56" t="n">
        <v>0</v>
      </c>
      <c r="G2060" s="56" t="n">
        <v>14.9</v>
      </c>
      <c r="H2060" s="56" t="n">
        <v>0</v>
      </c>
      <c r="I2060" s="56" t="n">
        <v>17.6</v>
      </c>
      <c r="J2060" s="56" t="n">
        <v>0</v>
      </c>
      <c r="K2060" s="56" t="n">
        <v>1014.7</v>
      </c>
      <c r="L2060" s="56" t="n">
        <v>0</v>
      </c>
      <c r="M2060" s="56" t="n">
        <v>87</v>
      </c>
      <c r="N2060" s="56" t="n">
        <v>0</v>
      </c>
      <c r="O2060" s="56" t="n">
        <f aca="false">IF(D2060=1,"",E2059)</f>
        <v>20.3</v>
      </c>
      <c r="P2060" s="56" t="n">
        <f aca="false">IF(OR(D2060=1,K2059=""),"",K2059)</f>
        <v>1021.5</v>
      </c>
      <c r="Q2060" s="56" t="n">
        <f aca="false">IF(OR(F2060&lt;&gt;0,AND(I2060&lt;&gt;"",E2060&lt;I2060)),1,0)</f>
        <v>0</v>
      </c>
      <c r="R2060" s="56" t="n">
        <f aca="false">IF(AND(D2060&gt;1,Q2060=0,ISNUMBER(O2060),ISNUMBER(P2060)),IF(Q2059=0,1,0),0)</f>
        <v>1</v>
      </c>
      <c r="S2060" s="56" t="n">
        <f aca="false">R2060*(B2060&gt;=Train_Start)*(B2060&lt;=Train_End)</f>
        <v>1</v>
      </c>
      <c r="T2060" s="84" t="n">
        <f aca="false">IF(AND(ISNUMBER(O2060),ISNUMBER(P2060)),Coef_A+Coef_B1*O2060+Coef_B2*P2060,"")</f>
        <v>20.7639084093818</v>
      </c>
      <c r="U2060" s="84" t="n">
        <f aca="false">IF(AND(R2060=1,ISNUMBER(T2060)),E2060-T2060,"")</f>
        <v>-0.763908409381813</v>
      </c>
      <c r="V2060" s="84" t="n">
        <f aca="false">IF(ISNUMBER(T2060),T2060,-99)</f>
        <v>20.7639084093818</v>
      </c>
      <c r="W2060" s="84" t="n">
        <f aca="false">IF(ISNUMBER(U2060),ABS(U2060),"")</f>
        <v>0.763908409381813</v>
      </c>
    </row>
    <row r="2061" customFormat="false" ht="15" hidden="false" customHeight="false" outlineLevel="0" collapsed="false">
      <c r="A2061" s="57" t="n">
        <v>33795</v>
      </c>
      <c r="B2061" s="56" t="n">
        <v>1992</v>
      </c>
      <c r="C2061" s="56" t="n">
        <v>7</v>
      </c>
      <c r="D2061" s="56" t="n">
        <v>71</v>
      </c>
      <c r="E2061" s="56" t="n">
        <v>19.5</v>
      </c>
      <c r="F2061" s="56" t="n">
        <v>0</v>
      </c>
      <c r="G2061" s="56" t="n">
        <v>12.6</v>
      </c>
      <c r="H2061" s="56" t="n">
        <v>0</v>
      </c>
      <c r="I2061" s="56" t="n">
        <v>16.3</v>
      </c>
      <c r="J2061" s="56" t="n">
        <v>0</v>
      </c>
      <c r="K2061" s="56" t="n">
        <v>1010.3</v>
      </c>
      <c r="L2061" s="56" t="n">
        <v>0</v>
      </c>
      <c r="M2061" s="56" t="n">
        <v>76</v>
      </c>
      <c r="N2061" s="56" t="n">
        <v>3.2</v>
      </c>
      <c r="O2061" s="56" t="n">
        <f aca="false">IF(D2061=1,"",E2060)</f>
        <v>20</v>
      </c>
      <c r="P2061" s="56" t="n">
        <f aca="false">IF(OR(D2061=1,K2060=""),"",K2060)</f>
        <v>1014.7</v>
      </c>
      <c r="Q2061" s="56" t="n">
        <f aca="false">IF(OR(F2061&lt;&gt;0,AND(I2061&lt;&gt;"",E2061&lt;I2061)),1,0)</f>
        <v>0</v>
      </c>
      <c r="R2061" s="56" t="n">
        <f aca="false">IF(AND(D2061&gt;1,Q2061=0,ISNUMBER(O2061),ISNUMBER(P2061)),IF(Q2060=0,1,0),0)</f>
        <v>1</v>
      </c>
      <c r="S2061" s="56" t="n">
        <f aca="false">R2061*(B2061&gt;=Train_Start)*(B2061&lt;=Train_End)</f>
        <v>1</v>
      </c>
      <c r="T2061" s="84" t="n">
        <f aca="false">IF(AND(ISNUMBER(O2061),ISNUMBER(P2061)),Coef_A+Coef_B1*O2061+Coef_B2*P2061,"")</f>
        <v>20.3047913679579</v>
      </c>
      <c r="U2061" s="84" t="n">
        <f aca="false">IF(AND(R2061=1,ISNUMBER(T2061)),E2061-T2061,"")</f>
        <v>-0.804791367957886</v>
      </c>
      <c r="V2061" s="84" t="n">
        <f aca="false">IF(ISNUMBER(T2061),T2061,-99)</f>
        <v>20.3047913679579</v>
      </c>
      <c r="W2061" s="84" t="n">
        <f aca="false">IF(ISNUMBER(U2061),ABS(U2061),"")</f>
        <v>0.804791367957886</v>
      </c>
    </row>
    <row r="2062" customFormat="false" ht="15" hidden="false" customHeight="false" outlineLevel="0" collapsed="false">
      <c r="A2062" s="57" t="n">
        <v>33796</v>
      </c>
      <c r="B2062" s="56" t="n">
        <v>1992</v>
      </c>
      <c r="C2062" s="56" t="n">
        <v>7</v>
      </c>
      <c r="D2062" s="56" t="n">
        <v>72</v>
      </c>
      <c r="E2062" s="56" t="n">
        <v>22.9</v>
      </c>
      <c r="F2062" s="56" t="n">
        <v>0</v>
      </c>
      <c r="G2062" s="56" t="n">
        <v>13</v>
      </c>
      <c r="H2062" s="56" t="n">
        <v>0</v>
      </c>
      <c r="I2062" s="56" t="n">
        <v>16.2</v>
      </c>
      <c r="J2062" s="56" t="n">
        <v>0</v>
      </c>
      <c r="K2062" s="56" t="n">
        <v>1006.6</v>
      </c>
      <c r="L2062" s="56" t="n">
        <v>0</v>
      </c>
      <c r="M2062" s="56" t="n">
        <v>88</v>
      </c>
      <c r="N2062" s="56" t="n">
        <v>0.2</v>
      </c>
      <c r="O2062" s="56" t="n">
        <f aca="false">IF(D2062=1,"",E2061)</f>
        <v>19.5</v>
      </c>
      <c r="P2062" s="56" t="n">
        <f aca="false">IF(OR(D2062=1,K2061=""),"",K2061)</f>
        <v>1010.3</v>
      </c>
      <c r="Q2062" s="56" t="n">
        <f aca="false">IF(OR(F2062&lt;&gt;0,AND(I2062&lt;&gt;"",E2062&lt;I2062)),1,0)</f>
        <v>0</v>
      </c>
      <c r="R2062" s="56" t="n">
        <f aca="false">IF(AND(D2062&gt;1,Q2062=0,ISNUMBER(O2062),ISNUMBER(P2062)),IF(Q2061=0,1,0),0)</f>
        <v>1</v>
      </c>
      <c r="S2062" s="56" t="n">
        <f aca="false">R2062*(B2062&gt;=Train_Start)*(B2062&lt;=Train_End)</f>
        <v>1</v>
      </c>
      <c r="T2062" s="84" t="n">
        <f aca="false">IF(AND(ISNUMBER(O2062),ISNUMBER(P2062)),Coef_A+Coef_B1*O2062+Coef_B2*P2062,"")</f>
        <v>19.757094235047</v>
      </c>
      <c r="U2062" s="84" t="n">
        <f aca="false">IF(AND(R2062=1,ISNUMBER(T2062)),E2062-T2062,"")</f>
        <v>3.142905764953</v>
      </c>
      <c r="V2062" s="84" t="n">
        <f aca="false">IF(ISNUMBER(T2062),T2062,-99)</f>
        <v>19.757094235047</v>
      </c>
      <c r="W2062" s="84" t="n">
        <f aca="false">IF(ISNUMBER(U2062),ABS(U2062),"")</f>
        <v>3.142905764953</v>
      </c>
    </row>
    <row r="2063" customFormat="false" ht="15" hidden="false" customHeight="false" outlineLevel="0" collapsed="false">
      <c r="A2063" s="57" t="n">
        <v>33797</v>
      </c>
      <c r="B2063" s="56" t="n">
        <v>1992</v>
      </c>
      <c r="C2063" s="56" t="n">
        <v>7</v>
      </c>
      <c r="D2063" s="56" t="n">
        <v>73</v>
      </c>
      <c r="E2063" s="56" t="n">
        <v>20.2</v>
      </c>
      <c r="F2063" s="56" t="n">
        <v>0</v>
      </c>
      <c r="G2063" s="56" t="n">
        <v>13.8</v>
      </c>
      <c r="H2063" s="56" t="n">
        <v>0</v>
      </c>
      <c r="I2063" s="56" t="n">
        <v>18.4</v>
      </c>
      <c r="J2063" s="56" t="n">
        <v>0</v>
      </c>
      <c r="K2063" s="56" t="n">
        <v>1007.7</v>
      </c>
      <c r="L2063" s="56" t="n">
        <v>0</v>
      </c>
      <c r="M2063" s="56" t="n">
        <v>69</v>
      </c>
      <c r="N2063" s="56" t="n">
        <v>7.6</v>
      </c>
      <c r="O2063" s="56" t="n">
        <f aca="false">IF(D2063=1,"",E2062)</f>
        <v>22.9</v>
      </c>
      <c r="P2063" s="56" t="n">
        <f aca="false">IF(OR(D2063=1,K2062=""),"",K2062)</f>
        <v>1006.6</v>
      </c>
      <c r="Q2063" s="56" t="n">
        <f aca="false">IF(OR(F2063&lt;&gt;0,AND(I2063&lt;&gt;"",E2063&lt;I2063)),1,0)</f>
        <v>0</v>
      </c>
      <c r="R2063" s="56" t="n">
        <f aca="false">IF(AND(D2063&gt;1,Q2063=0,ISNUMBER(O2063),ISNUMBER(P2063)),IF(Q2062=0,1,0),0)</f>
        <v>1</v>
      </c>
      <c r="S2063" s="56" t="n">
        <f aca="false">R2063*(B2063&gt;=Train_Start)*(B2063&lt;=Train_End)</f>
        <v>1</v>
      </c>
      <c r="T2063" s="84" t="n">
        <f aca="false">IF(AND(ISNUMBER(O2063),ISNUMBER(P2063)),Coef_A+Coef_B1*O2063+Coef_B2*P2063,"")</f>
        <v>22.4267788812463</v>
      </c>
      <c r="U2063" s="84" t="n">
        <f aca="false">IF(AND(R2063=1,ISNUMBER(T2063)),E2063-T2063,"")</f>
        <v>-2.22677888124628</v>
      </c>
      <c r="V2063" s="84" t="n">
        <f aca="false">IF(ISNUMBER(T2063),T2063,-99)</f>
        <v>22.4267788812463</v>
      </c>
      <c r="W2063" s="84" t="n">
        <f aca="false">IF(ISNUMBER(U2063),ABS(U2063),"")</f>
        <v>2.22677888124628</v>
      </c>
    </row>
    <row r="2064" customFormat="false" ht="15" hidden="false" customHeight="false" outlineLevel="0" collapsed="false">
      <c r="A2064" s="57" t="n">
        <v>33798</v>
      </c>
      <c r="B2064" s="56" t="n">
        <v>1992</v>
      </c>
      <c r="C2064" s="56" t="n">
        <v>7</v>
      </c>
      <c r="D2064" s="56" t="n">
        <v>74</v>
      </c>
      <c r="E2064" s="56" t="n">
        <v>20</v>
      </c>
      <c r="F2064" s="56" t="n">
        <v>0</v>
      </c>
      <c r="G2064" s="56" t="n">
        <v>14.1</v>
      </c>
      <c r="H2064" s="56" t="n">
        <v>0</v>
      </c>
      <c r="I2064" s="56" t="n">
        <v>17.2</v>
      </c>
      <c r="J2064" s="56" t="n">
        <v>0</v>
      </c>
      <c r="K2064" s="56" t="n">
        <v>1011.1</v>
      </c>
      <c r="L2064" s="56" t="n">
        <v>0</v>
      </c>
      <c r="M2064" s="56" t="n">
        <v>82</v>
      </c>
      <c r="N2064" s="56" t="n">
        <v>0</v>
      </c>
      <c r="O2064" s="56" t="n">
        <f aca="false">IF(D2064=1,"",E2063)</f>
        <v>20.2</v>
      </c>
      <c r="P2064" s="56" t="n">
        <f aca="false">IF(OR(D2064=1,K2063=""),"",K2063)</f>
        <v>1007.7</v>
      </c>
      <c r="Q2064" s="56" t="n">
        <f aca="false">IF(OR(F2064&lt;&gt;0,AND(I2064&lt;&gt;"",E2064&lt;I2064)),1,0)</f>
        <v>0</v>
      </c>
      <c r="R2064" s="56" t="n">
        <f aca="false">IF(AND(D2064&gt;1,Q2064=0,ISNUMBER(O2064),ISNUMBER(P2064)),IF(Q2063=0,1,0),0)</f>
        <v>1</v>
      </c>
      <c r="S2064" s="56" t="n">
        <f aca="false">R2064*(B2064&gt;=Train_Start)*(B2064&lt;=Train_End)</f>
        <v>1</v>
      </c>
      <c r="T2064" s="84" t="n">
        <f aca="false">IF(AND(ISNUMBER(O2064),ISNUMBER(P2064)),Coef_A+Coef_B1*O2064+Coef_B2*P2064,"")</f>
        <v>20.2490699441285</v>
      </c>
      <c r="U2064" s="84" t="n">
        <f aca="false">IF(AND(R2064=1,ISNUMBER(T2064)),E2064-T2064,"")</f>
        <v>-0.249069944128493</v>
      </c>
      <c r="V2064" s="84" t="n">
        <f aca="false">IF(ISNUMBER(T2064),T2064,-99)</f>
        <v>20.2490699441285</v>
      </c>
      <c r="W2064" s="84" t="n">
        <f aca="false">IF(ISNUMBER(U2064),ABS(U2064),"")</f>
        <v>0.249069944128493</v>
      </c>
    </row>
    <row r="2065" customFormat="false" ht="15" hidden="false" customHeight="false" outlineLevel="0" collapsed="false">
      <c r="A2065" s="57" t="n">
        <v>33799</v>
      </c>
      <c r="B2065" s="56" t="n">
        <v>1992</v>
      </c>
      <c r="C2065" s="56" t="n">
        <v>7</v>
      </c>
      <c r="D2065" s="56" t="n">
        <v>75</v>
      </c>
      <c r="E2065" s="56" t="n">
        <v>23.5</v>
      </c>
      <c r="F2065" s="56" t="n">
        <v>0</v>
      </c>
      <c r="G2065" s="56" t="n">
        <v>15.4</v>
      </c>
      <c r="H2065" s="56" t="n">
        <v>0</v>
      </c>
      <c r="I2065" s="56" t="n">
        <v>17.7</v>
      </c>
      <c r="J2065" s="56" t="n">
        <v>0</v>
      </c>
      <c r="K2065" s="56" t="n">
        <v>1015.1</v>
      </c>
      <c r="L2065" s="56" t="n">
        <v>0</v>
      </c>
      <c r="M2065" s="56" t="n">
        <v>87</v>
      </c>
      <c r="N2065" s="56" t="n">
        <v>0.6</v>
      </c>
      <c r="O2065" s="56" t="n">
        <f aca="false">IF(D2065=1,"",E2064)</f>
        <v>20</v>
      </c>
      <c r="P2065" s="56" t="n">
        <f aca="false">IF(OR(D2065=1,K2064=""),"",K2064)</f>
        <v>1011.1</v>
      </c>
      <c r="Q2065" s="56" t="n">
        <f aca="false">IF(OR(F2065&lt;&gt;0,AND(I2065&lt;&gt;"",E2065&lt;I2065)),1,0)</f>
        <v>0</v>
      </c>
      <c r="R2065" s="56" t="n">
        <f aca="false">IF(AND(D2065&gt;1,Q2065=0,ISNUMBER(O2065),ISNUMBER(P2065)),IF(Q2064=0,1,0),0)</f>
        <v>1</v>
      </c>
      <c r="S2065" s="56" t="n">
        <f aca="false">R2065*(B2065&gt;=Train_Start)*(B2065&lt;=Train_End)</f>
        <v>1</v>
      </c>
      <c r="T2065" s="84" t="n">
        <f aca="false">IF(AND(ISNUMBER(O2065),ISNUMBER(P2065)),Coef_A+Coef_B1*O2065+Coef_B2*P2065,"")</f>
        <v>20.1918597472755</v>
      </c>
      <c r="U2065" s="84" t="n">
        <f aca="false">IF(AND(R2065=1,ISNUMBER(T2065)),E2065-T2065,"")</f>
        <v>3.30814025272448</v>
      </c>
      <c r="V2065" s="84" t="n">
        <f aca="false">IF(ISNUMBER(T2065),T2065,-99)</f>
        <v>20.1918597472755</v>
      </c>
      <c r="W2065" s="84" t="n">
        <f aca="false">IF(ISNUMBER(U2065),ABS(U2065),"")</f>
        <v>3.30814025272448</v>
      </c>
    </row>
    <row r="2066" customFormat="false" ht="15" hidden="false" customHeight="false" outlineLevel="0" collapsed="false">
      <c r="A2066" s="57" t="n">
        <v>33800</v>
      </c>
      <c r="B2066" s="56" t="n">
        <v>1992</v>
      </c>
      <c r="C2066" s="56" t="n">
        <v>7</v>
      </c>
      <c r="D2066" s="56" t="n">
        <v>76</v>
      </c>
      <c r="E2066" s="56" t="n">
        <v>25.5</v>
      </c>
      <c r="F2066" s="56" t="n">
        <v>0</v>
      </c>
      <c r="G2066" s="56" t="n">
        <v>15.6</v>
      </c>
      <c r="H2066" s="56" t="n">
        <v>0</v>
      </c>
      <c r="I2066" s="56" t="n">
        <v>19.6</v>
      </c>
      <c r="J2066" s="56" t="n">
        <v>0</v>
      </c>
      <c r="K2066" s="56" t="n">
        <v>1018.5</v>
      </c>
      <c r="L2066" s="56" t="n">
        <v>0</v>
      </c>
      <c r="M2066" s="56" t="n">
        <v>83</v>
      </c>
      <c r="N2066" s="56" t="n">
        <v>2.4</v>
      </c>
      <c r="O2066" s="56" t="n">
        <f aca="false">IF(D2066=1,"",E2065)</f>
        <v>23.5</v>
      </c>
      <c r="P2066" s="56" t="n">
        <f aca="false">IF(OR(D2066=1,K2065=""),"",K2065)</f>
        <v>1015.1</v>
      </c>
      <c r="Q2066" s="56" t="n">
        <f aca="false">IF(OR(F2066&lt;&gt;0,AND(I2066&lt;&gt;"",E2066&lt;I2066)),1,0)</f>
        <v>0</v>
      </c>
      <c r="R2066" s="56" t="n">
        <f aca="false">IF(AND(D2066&gt;1,Q2066=0,ISNUMBER(O2066),ISNUMBER(P2066)),IF(Q2065=0,1,0),0)</f>
        <v>1</v>
      </c>
      <c r="S2066" s="56" t="n">
        <f aca="false">R2066*(B2066&gt;=Train_Start)*(B2066&lt;=Train_End)</f>
        <v>1</v>
      </c>
      <c r="T2066" s="84" t="n">
        <f aca="false">IF(AND(ISNUMBER(O2066),ISNUMBER(P2066)),Coef_A+Coef_B1*O2066+Coef_B2*P2066,"")</f>
        <v>23.1850265014608</v>
      </c>
      <c r="U2066" s="84" t="n">
        <f aca="false">IF(AND(R2066=1,ISNUMBER(T2066)),E2066-T2066,"")</f>
        <v>2.31497349853922</v>
      </c>
      <c r="V2066" s="84" t="n">
        <f aca="false">IF(ISNUMBER(T2066),T2066,-99)</f>
        <v>23.1850265014608</v>
      </c>
      <c r="W2066" s="84" t="n">
        <f aca="false">IF(ISNUMBER(U2066),ABS(U2066),"")</f>
        <v>2.31497349853922</v>
      </c>
    </row>
    <row r="2067" customFormat="false" ht="15" hidden="false" customHeight="false" outlineLevel="0" collapsed="false">
      <c r="A2067" s="57" t="n">
        <v>33801</v>
      </c>
      <c r="B2067" s="56" t="n">
        <v>1992</v>
      </c>
      <c r="C2067" s="56" t="n">
        <v>7</v>
      </c>
      <c r="D2067" s="56" t="n">
        <v>77</v>
      </c>
      <c r="E2067" s="56" t="n">
        <v>25.4</v>
      </c>
      <c r="F2067" s="56" t="n">
        <v>0</v>
      </c>
      <c r="G2067" s="56" t="n">
        <v>16.5</v>
      </c>
      <c r="H2067" s="56" t="n">
        <v>0</v>
      </c>
      <c r="I2067" s="56" t="n">
        <v>21</v>
      </c>
      <c r="J2067" s="56" t="n">
        <v>0</v>
      </c>
      <c r="K2067" s="56" t="n">
        <v>1016.8</v>
      </c>
      <c r="L2067" s="56" t="n">
        <v>0</v>
      </c>
      <c r="M2067" s="56" t="n">
        <v>75</v>
      </c>
      <c r="N2067" s="56" t="n">
        <v>7.4</v>
      </c>
      <c r="O2067" s="56" t="n">
        <f aca="false">IF(D2067=1,"",E2066)</f>
        <v>25.5</v>
      </c>
      <c r="P2067" s="56" t="n">
        <f aca="false">IF(OR(D2067=1,K2066=""),"",K2066)</f>
        <v>1018.5</v>
      </c>
      <c r="Q2067" s="56" t="n">
        <f aca="false">IF(OR(F2067&lt;&gt;0,AND(I2067&lt;&gt;"",E2067&lt;I2067)),1,0)</f>
        <v>0</v>
      </c>
      <c r="R2067" s="56" t="n">
        <f aca="false">IF(AND(D2067&gt;1,Q2067=0,ISNUMBER(O2067),ISNUMBER(P2067)),IF(Q2066=0,1,0),0)</f>
        <v>1</v>
      </c>
      <c r="S2067" s="56" t="n">
        <f aca="false">R2067*(B2067&gt;=Train_Start)*(B2067&lt;=Train_End)</f>
        <v>1</v>
      </c>
      <c r="T2067" s="84" t="n">
        <f aca="false">IF(AND(ISNUMBER(O2067),ISNUMBER(P2067)),Coef_A+Coef_B1*O2067+Coef_B2*P2067,"")</f>
        <v>24.9303625293017</v>
      </c>
      <c r="U2067" s="84" t="n">
        <f aca="false">IF(AND(R2067=1,ISNUMBER(T2067)),E2067-T2067,"")</f>
        <v>0.469637470698334</v>
      </c>
      <c r="V2067" s="84" t="n">
        <f aca="false">IF(ISNUMBER(T2067),T2067,-99)</f>
        <v>24.9303625293017</v>
      </c>
      <c r="W2067" s="84" t="n">
        <f aca="false">IF(ISNUMBER(U2067),ABS(U2067),"")</f>
        <v>0.469637470698334</v>
      </c>
    </row>
    <row r="2068" customFormat="false" ht="15" hidden="false" customHeight="false" outlineLevel="0" collapsed="false">
      <c r="A2068" s="57" t="n">
        <v>33802</v>
      </c>
      <c r="B2068" s="56" t="n">
        <v>1992</v>
      </c>
      <c r="C2068" s="56" t="n">
        <v>7</v>
      </c>
      <c r="D2068" s="56" t="n">
        <v>78</v>
      </c>
      <c r="E2068" s="56" t="n">
        <v>24.9</v>
      </c>
      <c r="F2068" s="56" t="n">
        <v>0</v>
      </c>
      <c r="G2068" s="56" t="n">
        <v>16.5</v>
      </c>
      <c r="H2068" s="56" t="n">
        <v>0</v>
      </c>
      <c r="I2068" s="56" t="n">
        <v>21</v>
      </c>
      <c r="J2068" s="56" t="n">
        <v>0</v>
      </c>
      <c r="K2068" s="56" t="n">
        <v>1015.5</v>
      </c>
      <c r="L2068" s="56" t="n">
        <v>0</v>
      </c>
      <c r="M2068" s="56" t="n">
        <v>69</v>
      </c>
      <c r="N2068" s="56" t="n">
        <v>7.5</v>
      </c>
      <c r="O2068" s="56" t="n">
        <f aca="false">IF(D2068=1,"",E2067)</f>
        <v>25.4</v>
      </c>
      <c r="P2068" s="56" t="n">
        <f aca="false">IF(OR(D2068=1,K2067=""),"",K2067)</f>
        <v>1016.8</v>
      </c>
      <c r="Q2068" s="56" t="n">
        <f aca="false">IF(OR(F2068&lt;&gt;0,AND(I2068&lt;&gt;"",E2068&lt;I2068)),1,0)</f>
        <v>0</v>
      </c>
      <c r="R2068" s="56" t="n">
        <f aca="false">IF(AND(D2068&gt;1,Q2068=0,ISNUMBER(O2068),ISNUMBER(P2068)),IF(Q2067=0,1,0),0)</f>
        <v>1</v>
      </c>
      <c r="S2068" s="56" t="n">
        <f aca="false">R2068*(B2068&gt;=Train_Start)*(B2068&lt;=Train_End)</f>
        <v>1</v>
      </c>
      <c r="T2068" s="84" t="n">
        <f aca="false">IF(AND(ISNUMBER(O2068),ISNUMBER(P2068)),Coef_A+Coef_B1*O2068+Coef_B2*P2068,"")</f>
        <v>24.7950997891196</v>
      </c>
      <c r="U2068" s="84" t="n">
        <f aca="false">IF(AND(R2068=1,ISNUMBER(T2068)),E2068-T2068,"")</f>
        <v>0.104900210880384</v>
      </c>
      <c r="V2068" s="84" t="n">
        <f aca="false">IF(ISNUMBER(T2068),T2068,-99)</f>
        <v>24.7950997891196</v>
      </c>
      <c r="W2068" s="84" t="n">
        <f aca="false">IF(ISNUMBER(U2068),ABS(U2068),"")</f>
        <v>0.104900210880384</v>
      </c>
    </row>
    <row r="2069" customFormat="false" ht="15" hidden="false" customHeight="false" outlineLevel="0" collapsed="false">
      <c r="A2069" s="57" t="n">
        <v>33803</v>
      </c>
      <c r="B2069" s="56" t="n">
        <v>1992</v>
      </c>
      <c r="C2069" s="56" t="n">
        <v>7</v>
      </c>
      <c r="D2069" s="56" t="n">
        <v>79</v>
      </c>
      <c r="E2069" s="56" t="n">
        <v>23.6</v>
      </c>
      <c r="F2069" s="56" t="n">
        <v>0</v>
      </c>
      <c r="G2069" s="56" t="n">
        <v>15.5</v>
      </c>
      <c r="H2069" s="56" t="n">
        <v>0</v>
      </c>
      <c r="I2069" s="56" t="n">
        <v>20.2</v>
      </c>
      <c r="J2069" s="56" t="n">
        <v>0</v>
      </c>
      <c r="K2069" s="56" t="n">
        <v>1018.7</v>
      </c>
      <c r="L2069" s="56" t="n">
        <v>0</v>
      </c>
      <c r="M2069" s="56" t="n">
        <v>68</v>
      </c>
      <c r="N2069" s="56" t="n">
        <v>7.8</v>
      </c>
      <c r="O2069" s="56" t="n">
        <f aca="false">IF(D2069=1,"",E2068)</f>
        <v>24.9</v>
      </c>
      <c r="P2069" s="56" t="n">
        <f aca="false">IF(OR(D2069=1,K2068=""),"",K2068)</f>
        <v>1015.5</v>
      </c>
      <c r="Q2069" s="56" t="n">
        <f aca="false">IF(OR(F2069&lt;&gt;0,AND(I2069&lt;&gt;"",E2069&lt;I2069)),1,0)</f>
        <v>0</v>
      </c>
      <c r="R2069" s="56" t="n">
        <f aca="false">IF(AND(D2069&gt;1,Q2069=0,ISNUMBER(O2069),ISNUMBER(P2069)),IF(Q2068=0,1,0),0)</f>
        <v>1</v>
      </c>
      <c r="S2069" s="56" t="n">
        <f aca="false">R2069*(B2069&gt;=Train_Start)*(B2069&lt;=Train_End)</f>
        <v>1</v>
      </c>
      <c r="T2069" s="84" t="n">
        <f aca="false">IF(AND(ISNUMBER(O2069),ISNUMBER(P2069)),Coef_A+Coef_B1*O2069+Coef_B2*P2069,"")</f>
        <v>24.3446493295741</v>
      </c>
      <c r="U2069" s="84" t="n">
        <f aca="false">IF(AND(R2069=1,ISNUMBER(T2069)),E2069-T2069,"")</f>
        <v>-0.744649329574099</v>
      </c>
      <c r="V2069" s="84" t="n">
        <f aca="false">IF(ISNUMBER(T2069),T2069,-99)</f>
        <v>24.3446493295741</v>
      </c>
      <c r="W2069" s="84" t="n">
        <f aca="false">IF(ISNUMBER(U2069),ABS(U2069),"")</f>
        <v>0.744649329574099</v>
      </c>
    </row>
    <row r="2070" customFormat="false" ht="15" hidden="false" customHeight="false" outlineLevel="0" collapsed="false">
      <c r="A2070" s="57" t="n">
        <v>33804</v>
      </c>
      <c r="B2070" s="56" t="n">
        <v>1992</v>
      </c>
      <c r="C2070" s="56" t="n">
        <v>7</v>
      </c>
      <c r="D2070" s="56" t="n">
        <v>80</v>
      </c>
      <c r="E2070" s="56" t="n">
        <v>24.5</v>
      </c>
      <c r="F2070" s="56" t="n">
        <v>0</v>
      </c>
      <c r="G2070" s="56" t="n">
        <v>15.8</v>
      </c>
      <c r="H2070" s="56" t="n">
        <v>0</v>
      </c>
      <c r="I2070" s="56" t="n">
        <v>19.7</v>
      </c>
      <c r="J2070" s="56" t="n">
        <v>0</v>
      </c>
      <c r="K2070" s="56" t="n">
        <v>1016</v>
      </c>
      <c r="L2070" s="56" t="n">
        <v>0</v>
      </c>
      <c r="M2070" s="56" t="n">
        <v>80</v>
      </c>
      <c r="N2070" s="56" t="n">
        <v>0.6</v>
      </c>
      <c r="O2070" s="56" t="n">
        <f aca="false">IF(D2070=1,"",E2069)</f>
        <v>23.6</v>
      </c>
      <c r="P2070" s="56" t="n">
        <f aca="false">IF(OR(D2070=1,K2069=""),"",K2069)</f>
        <v>1018.7</v>
      </c>
      <c r="Q2070" s="56" t="n">
        <f aca="false">IF(OR(F2070&lt;&gt;0,AND(I2070&lt;&gt;"",E2070&lt;I2070)),1,0)</f>
        <v>0</v>
      </c>
      <c r="R2070" s="56" t="n">
        <f aca="false">IF(AND(D2070&gt;1,Q2070=0,ISNUMBER(O2070),ISNUMBER(P2070)),IF(Q2069=0,1,0),0)</f>
        <v>1</v>
      </c>
      <c r="S2070" s="56" t="n">
        <f aca="false">R2070*(B2070&gt;=Train_Start)*(B2070&lt;=Train_End)</f>
        <v>1</v>
      </c>
      <c r="T2070" s="84" t="n">
        <f aca="false">IF(AND(ISNUMBER(O2070),ISNUMBER(P2070)),Coef_A+Coef_B1*O2070+Coef_B2*P2070,"")</f>
        <v>23.3798920414474</v>
      </c>
      <c r="U2070" s="84" t="n">
        <f aca="false">IF(AND(R2070=1,ISNUMBER(T2070)),E2070-T2070,"")</f>
        <v>1.12010795855258</v>
      </c>
      <c r="V2070" s="84" t="n">
        <f aca="false">IF(ISNUMBER(T2070),T2070,-99)</f>
        <v>23.3798920414474</v>
      </c>
      <c r="W2070" s="84" t="n">
        <f aca="false">IF(ISNUMBER(U2070),ABS(U2070),"")</f>
        <v>1.12010795855258</v>
      </c>
    </row>
    <row r="2071" customFormat="false" ht="15" hidden="false" customHeight="false" outlineLevel="0" collapsed="false">
      <c r="A2071" s="57" t="n">
        <v>33805</v>
      </c>
      <c r="B2071" s="56" t="n">
        <v>1992</v>
      </c>
      <c r="C2071" s="56" t="n">
        <v>7</v>
      </c>
      <c r="D2071" s="56" t="n">
        <v>81</v>
      </c>
      <c r="E2071" s="56" t="n">
        <v>24.5</v>
      </c>
      <c r="F2071" s="56" t="n">
        <v>0</v>
      </c>
      <c r="G2071" s="56" t="n">
        <v>16.7</v>
      </c>
      <c r="H2071" s="56" t="n">
        <v>0</v>
      </c>
      <c r="I2071" s="56" t="n">
        <v>20.6</v>
      </c>
      <c r="J2071" s="56" t="n">
        <v>0</v>
      </c>
      <c r="K2071" s="56" t="n">
        <v>1012.9</v>
      </c>
      <c r="L2071" s="56" t="n">
        <v>0</v>
      </c>
      <c r="M2071" s="56" t="n">
        <v>85</v>
      </c>
      <c r="N2071" s="56" t="n">
        <v>0.3</v>
      </c>
      <c r="O2071" s="56" t="n">
        <f aca="false">IF(D2071=1,"",E2070)</f>
        <v>24.5</v>
      </c>
      <c r="P2071" s="56" t="n">
        <f aca="false">IF(OR(D2071=1,K2070=""),"",K2070)</f>
        <v>1016</v>
      </c>
      <c r="Q2071" s="56" t="n">
        <f aca="false">IF(OR(F2071&lt;&gt;0,AND(I2071&lt;&gt;"",E2071&lt;I2071)),1,0)</f>
        <v>0</v>
      </c>
      <c r="R2071" s="56" t="n">
        <f aca="false">IF(AND(D2071&gt;1,Q2071=0,ISNUMBER(O2071),ISNUMBER(P2071)),IF(Q2070=0,1,0),0)</f>
        <v>1</v>
      </c>
      <c r="S2071" s="56" t="n">
        <f aca="false">R2071*(B2071&gt;=Train_Start)*(B2071&lt;=Train_End)</f>
        <v>1</v>
      </c>
      <c r="T2071" s="84" t="n">
        <f aca="false">IF(AND(ISNUMBER(O2071),ISNUMBER(P2071)),Coef_A+Coef_B1*O2071+Coef_B2*P2071,"")</f>
        <v>24.032598599674</v>
      </c>
      <c r="U2071" s="84" t="n">
        <f aca="false">IF(AND(R2071=1,ISNUMBER(T2071)),E2071-T2071,"")</f>
        <v>0.467401400325969</v>
      </c>
      <c r="V2071" s="84" t="n">
        <f aca="false">IF(ISNUMBER(T2071),T2071,-99)</f>
        <v>24.032598599674</v>
      </c>
      <c r="W2071" s="84" t="n">
        <f aca="false">IF(ISNUMBER(U2071),ABS(U2071),"")</f>
        <v>0.467401400325969</v>
      </c>
    </row>
    <row r="2072" customFormat="false" ht="15" hidden="false" customHeight="false" outlineLevel="0" collapsed="false">
      <c r="A2072" s="57" t="n">
        <v>33806</v>
      </c>
      <c r="B2072" s="56" t="n">
        <v>1992</v>
      </c>
      <c r="C2072" s="56" t="n">
        <v>7</v>
      </c>
      <c r="D2072" s="56" t="n">
        <v>82</v>
      </c>
      <c r="E2072" s="56" t="n">
        <v>24.1</v>
      </c>
      <c r="F2072" s="56" t="n">
        <v>0</v>
      </c>
      <c r="G2072" s="56" t="n">
        <v>16.1</v>
      </c>
      <c r="H2072" s="56" t="n">
        <v>0</v>
      </c>
      <c r="I2072" s="56" t="n">
        <v>20.3</v>
      </c>
      <c r="J2072" s="56" t="n">
        <v>0</v>
      </c>
      <c r="K2072" s="56" t="n">
        <v>1010.1</v>
      </c>
      <c r="L2072" s="56" t="n">
        <v>0</v>
      </c>
      <c r="M2072" s="56" t="n">
        <v>74</v>
      </c>
      <c r="N2072" s="56" t="n">
        <v>8.3</v>
      </c>
      <c r="O2072" s="56" t="n">
        <f aca="false">IF(D2072=1,"",E2071)</f>
        <v>24.5</v>
      </c>
      <c r="P2072" s="56" t="n">
        <f aca="false">IF(OR(D2072=1,K2071=""),"",K2071)</f>
        <v>1012.9</v>
      </c>
      <c r="Q2072" s="56" t="n">
        <f aca="false">IF(OR(F2072&lt;&gt;0,AND(I2072&lt;&gt;"",E2072&lt;I2072)),1,0)</f>
        <v>0</v>
      </c>
      <c r="R2072" s="56" t="n">
        <f aca="false">IF(AND(D2072&gt;1,Q2072=0,ISNUMBER(O2072),ISNUMBER(P2072)),IF(Q2071=0,1,0),0)</f>
        <v>1</v>
      </c>
      <c r="S2072" s="56" t="n">
        <f aca="false">R2072*(B2072&gt;=Train_Start)*(B2072&lt;=Train_End)</f>
        <v>1</v>
      </c>
      <c r="T2072" s="84" t="n">
        <f aca="false">IF(AND(ISNUMBER(O2072),ISNUMBER(P2072)),Coef_A+Coef_B1*O2072+Coef_B2*P2072,"")</f>
        <v>23.9353519263087</v>
      </c>
      <c r="U2072" s="84" t="n">
        <f aca="false">IF(AND(R2072=1,ISNUMBER(T2072)),E2072-T2072,"")</f>
        <v>0.164648073691339</v>
      </c>
      <c r="V2072" s="84" t="n">
        <f aca="false">IF(ISNUMBER(T2072),T2072,-99)</f>
        <v>23.9353519263087</v>
      </c>
      <c r="W2072" s="84" t="n">
        <f aca="false">IF(ISNUMBER(U2072),ABS(U2072),"")</f>
        <v>0.164648073691339</v>
      </c>
    </row>
    <row r="2073" customFormat="false" ht="15" hidden="false" customHeight="false" outlineLevel="0" collapsed="false">
      <c r="A2073" s="57" t="n">
        <v>33807</v>
      </c>
      <c r="B2073" s="56" t="n">
        <v>1992</v>
      </c>
      <c r="C2073" s="56" t="n">
        <v>7</v>
      </c>
      <c r="D2073" s="56" t="n">
        <v>83</v>
      </c>
      <c r="E2073" s="56" t="n">
        <v>24.6</v>
      </c>
      <c r="F2073" s="56" t="n">
        <v>0</v>
      </c>
      <c r="G2073" s="56" t="n">
        <v>11.6</v>
      </c>
      <c r="H2073" s="56" t="n">
        <v>0</v>
      </c>
      <c r="I2073" s="56" t="n">
        <v>17.8</v>
      </c>
      <c r="J2073" s="56" t="n">
        <v>0</v>
      </c>
      <c r="K2073" s="56" t="n">
        <v>1022.2</v>
      </c>
      <c r="L2073" s="56" t="n">
        <v>0</v>
      </c>
      <c r="M2073" s="56" t="n">
        <v>68</v>
      </c>
      <c r="N2073" s="56" t="n">
        <v>13.3</v>
      </c>
      <c r="O2073" s="56" t="n">
        <f aca="false">IF(D2073=1,"",E2072)</f>
        <v>24.1</v>
      </c>
      <c r="P2073" s="56" t="n">
        <f aca="false">IF(OR(D2073=1,K2072=""),"",K2072)</f>
        <v>1010.1</v>
      </c>
      <c r="Q2073" s="56" t="n">
        <f aca="false">IF(OR(F2073&lt;&gt;0,AND(I2073&lt;&gt;"",E2073&lt;I2073)),1,0)</f>
        <v>0</v>
      </c>
      <c r="R2073" s="56" t="n">
        <f aca="false">IF(AND(D2073&gt;1,Q2073=0,ISNUMBER(O2073),ISNUMBER(P2073)),IF(Q2072=0,1,0),0)</f>
        <v>1</v>
      </c>
      <c r="S2073" s="56" t="n">
        <f aca="false">R2073*(B2073&gt;=Train_Start)*(B2073&lt;=Train_End)</f>
        <v>1</v>
      </c>
      <c r="T2073" s="84" t="n">
        <f aca="false">IF(AND(ISNUMBER(O2073),ISNUMBER(P2073)),Coef_A+Coef_B1*O2073+Coef_B2*P2073,"")</f>
        <v>23.5197805441164</v>
      </c>
      <c r="U2073" s="84" t="n">
        <f aca="false">IF(AND(R2073=1,ISNUMBER(T2073)),E2073-T2073,"")</f>
        <v>1.08021945588357</v>
      </c>
      <c r="V2073" s="84" t="n">
        <f aca="false">IF(ISNUMBER(T2073),T2073,-99)</f>
        <v>23.5197805441164</v>
      </c>
      <c r="W2073" s="84" t="n">
        <f aca="false">IF(ISNUMBER(U2073),ABS(U2073),"")</f>
        <v>1.08021945588357</v>
      </c>
    </row>
    <row r="2074" customFormat="false" ht="15" hidden="false" customHeight="false" outlineLevel="0" collapsed="false">
      <c r="A2074" s="57" t="n">
        <v>33808</v>
      </c>
      <c r="B2074" s="56" t="n">
        <v>1992</v>
      </c>
      <c r="C2074" s="56" t="n">
        <v>7</v>
      </c>
      <c r="D2074" s="56" t="n">
        <v>84</v>
      </c>
      <c r="E2074" s="56" t="n">
        <v>24.7</v>
      </c>
      <c r="F2074" s="56" t="n">
        <v>0</v>
      </c>
      <c r="G2074" s="56" t="n">
        <v>13.3</v>
      </c>
      <c r="H2074" s="56" t="n">
        <v>0</v>
      </c>
      <c r="I2074" s="56" t="n">
        <v>19</v>
      </c>
      <c r="J2074" s="56" t="n">
        <v>0</v>
      </c>
      <c r="K2074" s="56" t="n">
        <v>1021.6</v>
      </c>
      <c r="L2074" s="56" t="n">
        <v>0</v>
      </c>
      <c r="M2074" s="56" t="n">
        <v>67</v>
      </c>
      <c r="N2074" s="56" t="n">
        <v>3.8</v>
      </c>
      <c r="O2074" s="56" t="n">
        <f aca="false">IF(D2074=1,"",E2073)</f>
        <v>24.6</v>
      </c>
      <c r="P2074" s="56" t="n">
        <f aca="false">IF(OR(D2074=1,K2073=""),"",K2073)</f>
        <v>1022.2</v>
      </c>
      <c r="Q2074" s="56" t="n">
        <f aca="false">IF(OR(F2074&lt;&gt;0,AND(I2074&lt;&gt;"",E2074&lt;I2074)),1,0)</f>
        <v>0</v>
      </c>
      <c r="R2074" s="56" t="n">
        <f aca="false">IF(AND(D2074&gt;1,Q2074=0,ISNUMBER(O2074),ISNUMBER(P2074)),IF(Q2073=0,1,0),0)</f>
        <v>1</v>
      </c>
      <c r="S2074" s="56" t="n">
        <f aca="false">R2074*(B2074&gt;=Train_Start)*(B2074&lt;=Train_End)</f>
        <v>1</v>
      </c>
      <c r="T2074" s="84" t="n">
        <f aca="false">IF(AND(ISNUMBER(O2074),ISNUMBER(P2074)),Coef_A+Coef_B1*O2074+Coef_B2*P2074,"")</f>
        <v>24.309025865709</v>
      </c>
      <c r="U2074" s="84" t="n">
        <f aca="false">IF(AND(R2074=1,ISNUMBER(T2074)),E2074-T2074,"")</f>
        <v>0.390974134290968</v>
      </c>
      <c r="V2074" s="84" t="n">
        <f aca="false">IF(ISNUMBER(T2074),T2074,-99)</f>
        <v>24.309025865709</v>
      </c>
      <c r="W2074" s="84" t="n">
        <f aca="false">IF(ISNUMBER(U2074),ABS(U2074),"")</f>
        <v>0.390974134290968</v>
      </c>
    </row>
    <row r="2075" customFormat="false" ht="15" hidden="false" customHeight="false" outlineLevel="0" collapsed="false">
      <c r="A2075" s="57" t="n">
        <v>33809</v>
      </c>
      <c r="B2075" s="56" t="n">
        <v>1992</v>
      </c>
      <c r="C2075" s="56" t="n">
        <v>7</v>
      </c>
      <c r="D2075" s="56" t="n">
        <v>85</v>
      </c>
      <c r="E2075" s="56" t="n">
        <v>23.6</v>
      </c>
      <c r="F2075" s="56" t="n">
        <v>0</v>
      </c>
      <c r="G2075" s="56" t="n">
        <v>16</v>
      </c>
      <c r="H2075" s="56" t="n">
        <v>0</v>
      </c>
      <c r="I2075" s="56" t="n">
        <v>20.4</v>
      </c>
      <c r="J2075" s="56" t="n">
        <v>0</v>
      </c>
      <c r="K2075" s="56" t="n">
        <v>1018.1</v>
      </c>
      <c r="L2075" s="56" t="n">
        <v>0</v>
      </c>
      <c r="M2075" s="56" t="n">
        <v>63</v>
      </c>
      <c r="N2075" s="56" t="n">
        <v>10.3</v>
      </c>
      <c r="O2075" s="56" t="n">
        <f aca="false">IF(D2075=1,"",E2074)</f>
        <v>24.7</v>
      </c>
      <c r="P2075" s="56" t="n">
        <f aca="false">IF(OR(D2075=1,K2074=""),"",K2074)</f>
        <v>1021.6</v>
      </c>
      <c r="Q2075" s="56" t="n">
        <f aca="false">IF(OR(F2075&lt;&gt;0,AND(I2075&lt;&gt;"",E2075&lt;I2075)),1,0)</f>
        <v>0</v>
      </c>
      <c r="R2075" s="56" t="n">
        <f aca="false">IF(AND(D2075&gt;1,Q2075=0,ISNUMBER(O2075),ISNUMBER(P2075)),IF(Q2074=0,1,0),0)</f>
        <v>1</v>
      </c>
      <c r="S2075" s="56" t="n">
        <f aca="false">R2075*(B2075&gt;=Train_Start)*(B2075&lt;=Train_End)</f>
        <v>1</v>
      </c>
      <c r="T2075" s="84" t="n">
        <f aca="false">IF(AND(ISNUMBER(O2075),ISNUMBER(P2075)),Coef_A+Coef_B1*O2075+Coef_B2*P2075,"")</f>
        <v>24.3721378482329</v>
      </c>
      <c r="U2075" s="84" t="n">
        <f aca="false">IF(AND(R2075=1,ISNUMBER(T2075)),E2075-T2075,"")</f>
        <v>-0.772137848232905</v>
      </c>
      <c r="V2075" s="84" t="n">
        <f aca="false">IF(ISNUMBER(T2075),T2075,-99)</f>
        <v>24.3721378482329</v>
      </c>
      <c r="W2075" s="84" t="n">
        <f aca="false">IF(ISNUMBER(U2075),ABS(U2075),"")</f>
        <v>0.772137848232905</v>
      </c>
    </row>
    <row r="2076" customFormat="false" ht="15" hidden="false" customHeight="false" outlineLevel="0" collapsed="false">
      <c r="A2076" s="57" t="n">
        <v>33810</v>
      </c>
      <c r="B2076" s="56" t="n">
        <v>1992</v>
      </c>
      <c r="C2076" s="56" t="n">
        <v>7</v>
      </c>
      <c r="D2076" s="56" t="n">
        <v>86</v>
      </c>
      <c r="E2076" s="56" t="n">
        <v>21.1</v>
      </c>
      <c r="F2076" s="56" t="n">
        <v>0</v>
      </c>
      <c r="G2076" s="56" t="n">
        <v>12</v>
      </c>
      <c r="H2076" s="56" t="n">
        <v>0</v>
      </c>
      <c r="I2076" s="56" t="n">
        <v>17.8</v>
      </c>
      <c r="J2076" s="56" t="n">
        <v>0</v>
      </c>
      <c r="K2076" s="56" t="n">
        <v>1019.9</v>
      </c>
      <c r="L2076" s="56" t="n">
        <v>0</v>
      </c>
      <c r="M2076" s="56" t="n">
        <v>68</v>
      </c>
      <c r="N2076" s="56" t="n">
        <v>8.9</v>
      </c>
      <c r="O2076" s="56" t="n">
        <f aca="false">IF(D2076=1,"",E2075)</f>
        <v>23.6</v>
      </c>
      <c r="P2076" s="56" t="n">
        <f aca="false">IF(OR(D2076=1,K2075=""),"",K2075)</f>
        <v>1018.1</v>
      </c>
      <c r="Q2076" s="56" t="n">
        <f aca="false">IF(OR(F2076&lt;&gt;0,AND(I2076&lt;&gt;"",E2076&lt;I2076)),1,0)</f>
        <v>0</v>
      </c>
      <c r="R2076" s="56" t="n">
        <f aca="false">IF(AND(D2076&gt;1,Q2076=0,ISNUMBER(O2076),ISNUMBER(P2076)),IF(Q2075=0,1,0),0)</f>
        <v>1</v>
      </c>
      <c r="S2076" s="56" t="n">
        <f aca="false">R2076*(B2076&gt;=Train_Start)*(B2076&lt;=Train_End)</f>
        <v>1</v>
      </c>
      <c r="T2076" s="84" t="n">
        <f aca="false">IF(AND(ISNUMBER(O2076),ISNUMBER(P2076)),Coef_A+Coef_B1*O2076+Coef_B2*P2076,"")</f>
        <v>23.361070104667</v>
      </c>
      <c r="U2076" s="84" t="n">
        <f aca="false">IF(AND(R2076=1,ISNUMBER(T2076)),E2076-T2076,"")</f>
        <v>-2.26107010466702</v>
      </c>
      <c r="V2076" s="84" t="n">
        <f aca="false">IF(ISNUMBER(T2076),T2076,-99)</f>
        <v>23.361070104667</v>
      </c>
      <c r="W2076" s="84" t="n">
        <f aca="false">IF(ISNUMBER(U2076),ABS(U2076),"")</f>
        <v>2.26107010466702</v>
      </c>
    </row>
    <row r="2077" customFormat="false" ht="15" hidden="false" customHeight="false" outlineLevel="0" collapsed="false">
      <c r="A2077" s="57" t="n">
        <v>33811</v>
      </c>
      <c r="B2077" s="56" t="n">
        <v>1992</v>
      </c>
      <c r="C2077" s="56" t="n">
        <v>7</v>
      </c>
      <c r="D2077" s="56" t="n">
        <v>87</v>
      </c>
      <c r="E2077" s="56" t="n">
        <v>22</v>
      </c>
      <c r="F2077" s="56" t="n">
        <v>0</v>
      </c>
      <c r="G2077" s="56" t="n">
        <v>15</v>
      </c>
      <c r="H2077" s="56" t="n">
        <v>0</v>
      </c>
      <c r="I2077" s="56" t="n">
        <v>18</v>
      </c>
      <c r="J2077" s="56" t="n">
        <v>0</v>
      </c>
      <c r="K2077" s="56" t="n">
        <v>1019.1</v>
      </c>
      <c r="L2077" s="56" t="n">
        <v>0</v>
      </c>
      <c r="M2077" s="56" t="n">
        <v>77</v>
      </c>
      <c r="N2077" s="56" t="n">
        <v>0.2</v>
      </c>
      <c r="O2077" s="56" t="n">
        <f aca="false">IF(D2077=1,"",E2076)</f>
        <v>21.1</v>
      </c>
      <c r="P2077" s="56" t="n">
        <f aca="false">IF(OR(D2077=1,K2076=""),"",K2076)</f>
        <v>1019.9</v>
      </c>
      <c r="Q2077" s="56" t="n">
        <f aca="false">IF(OR(F2077&lt;&gt;0,AND(I2077&lt;&gt;"",E2077&lt;I2077)),1,0)</f>
        <v>0</v>
      </c>
      <c r="R2077" s="56" t="n">
        <f aca="false">IF(AND(D2077&gt;1,Q2077=0,ISNUMBER(O2077),ISNUMBER(P2077)),IF(Q2076=0,1,0),0)</f>
        <v>1</v>
      </c>
      <c r="S2077" s="56" t="n">
        <f aca="false">R2077*(B2077&gt;=Train_Start)*(B2077&lt;=Train_End)</f>
        <v>1</v>
      </c>
      <c r="T2077" s="84" t="n">
        <f aca="false">IF(AND(ISNUMBER(O2077),ISNUMBER(P2077)),Coef_A+Coef_B1*O2077+Coef_B2*P2077,"")</f>
        <v>21.3691879324016</v>
      </c>
      <c r="U2077" s="84" t="n">
        <f aca="false">IF(AND(R2077=1,ISNUMBER(T2077)),E2077-T2077,"")</f>
        <v>0.630812067598448</v>
      </c>
      <c r="V2077" s="84" t="n">
        <f aca="false">IF(ISNUMBER(T2077),T2077,-99)</f>
        <v>21.3691879324016</v>
      </c>
      <c r="W2077" s="84" t="n">
        <f aca="false">IF(ISNUMBER(U2077),ABS(U2077),"")</f>
        <v>0.630812067598448</v>
      </c>
    </row>
    <row r="2078" customFormat="false" ht="15" hidden="false" customHeight="false" outlineLevel="0" collapsed="false">
      <c r="A2078" s="57" t="n">
        <v>33812</v>
      </c>
      <c r="B2078" s="56" t="n">
        <v>1992</v>
      </c>
      <c r="C2078" s="56" t="n">
        <v>7</v>
      </c>
      <c r="D2078" s="56" t="n">
        <v>88</v>
      </c>
      <c r="E2078" s="56" t="n">
        <v>22.9</v>
      </c>
      <c r="F2078" s="56" t="n">
        <v>0</v>
      </c>
      <c r="G2078" s="56" t="n">
        <v>12.6</v>
      </c>
      <c r="H2078" s="56" t="n">
        <v>0</v>
      </c>
      <c r="I2078" s="56" t="n">
        <v>17.3</v>
      </c>
      <c r="J2078" s="56" t="n">
        <v>0</v>
      </c>
      <c r="K2078" s="56" t="n">
        <v>1023.4</v>
      </c>
      <c r="L2078" s="56" t="n">
        <v>0</v>
      </c>
      <c r="M2078" s="56" t="n">
        <v>60</v>
      </c>
      <c r="N2078" s="56" t="n">
        <v>14</v>
      </c>
      <c r="O2078" s="56" t="n">
        <f aca="false">IF(D2078=1,"",E2077)</f>
        <v>22</v>
      </c>
      <c r="P2078" s="56" t="n">
        <f aca="false">IF(OR(D2078=1,K2077=""),"",K2077)</f>
        <v>1019.1</v>
      </c>
      <c r="Q2078" s="56" t="n">
        <f aca="false">IF(OR(F2078&lt;&gt;0,AND(I2078&lt;&gt;"",E2078&lt;I2078)),1,0)</f>
        <v>0</v>
      </c>
      <c r="R2078" s="56" t="n">
        <f aca="false">IF(AND(D2078&gt;1,Q2078=0,ISNUMBER(O2078),ISNUMBER(P2078)),IF(Q2077=0,1,0),0)</f>
        <v>1</v>
      </c>
      <c r="S2078" s="56" t="n">
        <f aca="false">R2078*(B2078&gt;=Train_Start)*(B2078&lt;=Train_End)</f>
        <v>1</v>
      </c>
      <c r="T2078" s="84" t="n">
        <f aca="false">IF(AND(ISNUMBER(O2078),ISNUMBER(P2078)),Coef_A+Coef_B1*O2078+Coef_B2*P2078,"")</f>
        <v>22.0814972904328</v>
      </c>
      <c r="U2078" s="84" t="n">
        <f aca="false">IF(AND(R2078=1,ISNUMBER(T2078)),E2078-T2078,"")</f>
        <v>0.818502709567245</v>
      </c>
      <c r="V2078" s="84" t="n">
        <f aca="false">IF(ISNUMBER(T2078),T2078,-99)</f>
        <v>22.0814972904328</v>
      </c>
      <c r="W2078" s="84" t="n">
        <f aca="false">IF(ISNUMBER(U2078),ABS(U2078),"")</f>
        <v>0.818502709567245</v>
      </c>
    </row>
    <row r="2079" customFormat="false" ht="15" hidden="false" customHeight="false" outlineLevel="0" collapsed="false">
      <c r="A2079" s="57" t="n">
        <v>33813</v>
      </c>
      <c r="B2079" s="56" t="n">
        <v>1992</v>
      </c>
      <c r="C2079" s="56" t="n">
        <v>7</v>
      </c>
      <c r="D2079" s="56" t="n">
        <v>89</v>
      </c>
      <c r="E2079" s="56" t="n">
        <v>26.6</v>
      </c>
      <c r="F2079" s="56" t="n">
        <v>0</v>
      </c>
      <c r="G2079" s="56" t="n">
        <v>9.5</v>
      </c>
      <c r="H2079" s="56" t="n">
        <v>0</v>
      </c>
      <c r="I2079" s="56" t="n">
        <v>16.2</v>
      </c>
      <c r="J2079" s="56" t="n">
        <v>0</v>
      </c>
      <c r="K2079" s="56" t="n">
        <v>1029.3</v>
      </c>
      <c r="L2079" s="56" t="n">
        <v>0</v>
      </c>
      <c r="M2079" s="56" t="n">
        <v>61</v>
      </c>
      <c r="N2079" s="56" t="n">
        <v>11.4</v>
      </c>
      <c r="O2079" s="56" t="n">
        <f aca="false">IF(D2079=1,"",E2078)</f>
        <v>22.9</v>
      </c>
      <c r="P2079" s="56" t="n">
        <f aca="false">IF(OR(D2079=1,K2078=""),"",K2078)</f>
        <v>1023.4</v>
      </c>
      <c r="Q2079" s="56" t="n">
        <f aca="false">IF(OR(F2079&lt;&gt;0,AND(I2079&lt;&gt;"",E2079&lt;I2079)),1,0)</f>
        <v>0</v>
      </c>
      <c r="R2079" s="56" t="n">
        <f aca="false">IF(AND(D2079&gt;1,Q2079=0,ISNUMBER(O2079),ISNUMBER(P2079)),IF(Q2078=0,1,0),0)</f>
        <v>1</v>
      </c>
      <c r="S2079" s="56" t="n">
        <f aca="false">R2079*(B2079&gt;=Train_Start)*(B2079&lt;=Train_End)</f>
        <v>1</v>
      </c>
      <c r="T2079" s="84" t="n">
        <f aca="false">IF(AND(ISNUMBER(O2079),ISNUMBER(P2079)),Coef_A+Coef_B1*O2079+Coef_B2*P2079,"")</f>
        <v>22.9537931110973</v>
      </c>
      <c r="U2079" s="84" t="n">
        <f aca="false">IF(AND(R2079=1,ISNUMBER(T2079)),E2079-T2079,"")</f>
        <v>3.6462068889027</v>
      </c>
      <c r="V2079" s="84" t="n">
        <f aca="false">IF(ISNUMBER(T2079),T2079,-99)</f>
        <v>22.9537931110973</v>
      </c>
      <c r="W2079" s="84" t="n">
        <f aca="false">IF(ISNUMBER(U2079),ABS(U2079),"")</f>
        <v>3.6462068889027</v>
      </c>
    </row>
    <row r="2080" customFormat="false" ht="15" hidden="false" customHeight="false" outlineLevel="0" collapsed="false">
      <c r="A2080" s="57" t="n">
        <v>33814</v>
      </c>
      <c r="B2080" s="56" t="n">
        <v>1992</v>
      </c>
      <c r="C2080" s="56" t="n">
        <v>7</v>
      </c>
      <c r="D2080" s="56" t="n">
        <v>90</v>
      </c>
      <c r="E2080" s="56" t="n">
        <v>26.6</v>
      </c>
      <c r="F2080" s="56" t="n">
        <v>0</v>
      </c>
      <c r="G2080" s="56" t="n">
        <v>12.6</v>
      </c>
      <c r="H2080" s="56" t="n">
        <v>0</v>
      </c>
      <c r="I2080" s="56" t="n">
        <v>19.6</v>
      </c>
      <c r="J2080" s="56" t="n">
        <v>0</v>
      </c>
      <c r="K2080" s="56" t="n">
        <v>1020.7</v>
      </c>
      <c r="L2080" s="56" t="n">
        <v>0</v>
      </c>
      <c r="M2080" s="56" t="n">
        <v>56</v>
      </c>
      <c r="N2080" s="56" t="n">
        <v>11.7</v>
      </c>
      <c r="O2080" s="56" t="n">
        <f aca="false">IF(D2080=1,"",E2079)</f>
        <v>26.6</v>
      </c>
      <c r="P2080" s="56" t="n">
        <f aca="false">IF(OR(D2080=1,K2079=""),"",K2079)</f>
        <v>1029.3</v>
      </c>
      <c r="Q2080" s="56" t="n">
        <f aca="false">IF(OR(F2080&lt;&gt;0,AND(I2080&lt;&gt;"",E2080&lt;I2080)),1,0)</f>
        <v>0</v>
      </c>
      <c r="R2080" s="56" t="n">
        <f aca="false">IF(AND(D2080&gt;1,Q2080=0,ISNUMBER(O2080),ISNUMBER(P2080)),IF(Q2079=0,1,0),0)</f>
        <v>1</v>
      </c>
      <c r="S2080" s="56" t="n">
        <f aca="false">R2080*(B2080&gt;=Train_Start)*(B2080&lt;=Train_End)</f>
        <v>1</v>
      </c>
      <c r="T2080" s="84" t="n">
        <f aca="false">IF(AND(ISNUMBER(O2080),ISNUMBER(P2080)),Coef_A+Coef_B1*O2080+Coef_B2*P2080,"")</f>
        <v>26.1704305036957</v>
      </c>
      <c r="U2080" s="84" t="n">
        <f aca="false">IF(AND(R2080=1,ISNUMBER(T2080)),E2080-T2080,"")</f>
        <v>0.429569496304332</v>
      </c>
      <c r="V2080" s="84" t="n">
        <f aca="false">IF(ISNUMBER(T2080),T2080,-99)</f>
        <v>26.1704305036957</v>
      </c>
      <c r="W2080" s="84" t="n">
        <f aca="false">IF(ISNUMBER(U2080),ABS(U2080),"")</f>
        <v>0.429569496304332</v>
      </c>
    </row>
    <row r="2081" customFormat="false" ht="15" hidden="false" customHeight="false" outlineLevel="0" collapsed="false">
      <c r="A2081" s="57" t="n">
        <v>33815</v>
      </c>
      <c r="B2081" s="56" t="n">
        <v>1992</v>
      </c>
      <c r="C2081" s="56" t="n">
        <v>7</v>
      </c>
      <c r="D2081" s="56" t="n">
        <v>91</v>
      </c>
      <c r="E2081" s="56" t="n">
        <v>28.6</v>
      </c>
      <c r="F2081" s="56" t="n">
        <v>0</v>
      </c>
      <c r="G2081" s="56" t="n">
        <v>15.6</v>
      </c>
      <c r="H2081" s="56" t="n">
        <v>0</v>
      </c>
      <c r="I2081" s="56" t="n">
        <v>21.1</v>
      </c>
      <c r="J2081" s="56" t="n">
        <v>0</v>
      </c>
      <c r="K2081" s="56" t="n">
        <v>1018.4</v>
      </c>
      <c r="L2081" s="56" t="n">
        <v>0</v>
      </c>
      <c r="M2081" s="56" t="n">
        <v>60</v>
      </c>
      <c r="N2081" s="56" t="n">
        <v>4</v>
      </c>
      <c r="O2081" s="56" t="n">
        <f aca="false">IF(D2081=1,"",E2080)</f>
        <v>26.6</v>
      </c>
      <c r="P2081" s="56" t="n">
        <f aca="false">IF(OR(D2081=1,K2080=""),"",K2080)</f>
        <v>1020.7</v>
      </c>
      <c r="Q2081" s="56" t="n">
        <f aca="false">IF(OR(F2081&lt;&gt;0,AND(I2081&lt;&gt;"",E2081&lt;I2081)),1,0)</f>
        <v>0</v>
      </c>
      <c r="R2081" s="56" t="n">
        <f aca="false">IF(AND(D2081&gt;1,Q2081=0,ISNUMBER(O2081),ISNUMBER(P2081)),IF(Q2080=0,1,0),0)</f>
        <v>1</v>
      </c>
      <c r="S2081" s="56" t="n">
        <f aca="false">R2081*(B2081&gt;=Train_Start)*(B2081&lt;=Train_End)</f>
        <v>1</v>
      </c>
      <c r="T2081" s="84" t="n">
        <f aca="false">IF(AND(ISNUMBER(O2081),ISNUMBER(P2081)),Coef_A+Coef_B1*O2081+Coef_B2*P2081,"")</f>
        <v>25.9006494098434</v>
      </c>
      <c r="U2081" s="84" t="n">
        <f aca="false">IF(AND(R2081=1,ISNUMBER(T2081)),E2081-T2081,"")</f>
        <v>2.69935059015663</v>
      </c>
      <c r="V2081" s="84" t="n">
        <f aca="false">IF(ISNUMBER(T2081),T2081,-99)</f>
        <v>25.9006494098434</v>
      </c>
      <c r="W2081" s="84" t="n">
        <f aca="false">IF(ISNUMBER(U2081),ABS(U2081),"")</f>
        <v>2.69935059015663</v>
      </c>
    </row>
    <row r="2082" customFormat="false" ht="15" hidden="false" customHeight="false" outlineLevel="0" collapsed="false">
      <c r="A2082" s="57" t="n">
        <v>33816</v>
      </c>
      <c r="B2082" s="56" t="n">
        <v>1992</v>
      </c>
      <c r="C2082" s="56" t="n">
        <v>7</v>
      </c>
      <c r="D2082" s="56" t="n">
        <v>92</v>
      </c>
      <c r="E2082" s="56" t="n">
        <v>28.5</v>
      </c>
      <c r="F2082" s="56" t="n">
        <v>0</v>
      </c>
      <c r="G2082" s="56" t="n">
        <v>16.4</v>
      </c>
      <c r="H2082" s="56" t="n">
        <v>0</v>
      </c>
      <c r="I2082" s="56" t="n">
        <v>22.5</v>
      </c>
      <c r="J2082" s="56" t="n">
        <v>0</v>
      </c>
      <c r="K2082" s="56" t="n">
        <v>1016.9</v>
      </c>
      <c r="L2082" s="56" t="n">
        <v>0</v>
      </c>
      <c r="M2082" s="56" t="n">
        <v>53</v>
      </c>
      <c r="N2082" s="56" t="n">
        <v>12.1</v>
      </c>
      <c r="O2082" s="56" t="n">
        <f aca="false">IF(D2082=1,"",E2081)</f>
        <v>28.6</v>
      </c>
      <c r="P2082" s="56" t="n">
        <f aca="false">IF(OR(D2082=1,K2081=""),"",K2081)</f>
        <v>1018.4</v>
      </c>
      <c r="Q2082" s="56" t="n">
        <f aca="false">IF(OR(F2082&lt;&gt;0,AND(I2082&lt;&gt;"",E2082&lt;I2082)),1,0)</f>
        <v>0</v>
      </c>
      <c r="R2082" s="56" t="n">
        <f aca="false">IF(AND(D2082&gt;1,Q2082=0,ISNUMBER(O2082),ISNUMBER(P2082)),IF(Q2081=0,1,0),0)</f>
        <v>1</v>
      </c>
      <c r="S2082" s="56" t="n">
        <f aca="false">R2082*(B2082&gt;=Train_Start)*(B2082&lt;=Train_End)</f>
        <v>1</v>
      </c>
      <c r="T2082" s="84" t="n">
        <f aca="false">IF(AND(ISNUMBER(O2082),ISNUMBER(P2082)),Coef_A+Coef_B1*O2082+Coef_B2*P2082,"")</f>
        <v>27.4671770382705</v>
      </c>
      <c r="U2082" s="84" t="n">
        <f aca="false">IF(AND(R2082=1,ISNUMBER(T2082)),E2082-T2082,"")</f>
        <v>1.0328229617295</v>
      </c>
      <c r="V2082" s="84" t="n">
        <f aca="false">IF(ISNUMBER(T2082),T2082,-99)</f>
        <v>27.4671770382705</v>
      </c>
      <c r="W2082" s="84" t="n">
        <f aca="false">IF(ISNUMBER(U2082),ABS(U2082),"")</f>
        <v>1.0328229617295</v>
      </c>
    </row>
    <row r="2083" customFormat="false" ht="15" hidden="false" customHeight="false" outlineLevel="0" collapsed="false">
      <c r="A2083" s="57" t="n">
        <v>33817</v>
      </c>
      <c r="B2083" s="56" t="n">
        <v>1992</v>
      </c>
      <c r="C2083" s="56" t="n">
        <v>8</v>
      </c>
      <c r="D2083" s="56" t="n">
        <v>93</v>
      </c>
      <c r="E2083" s="56" t="n">
        <v>22.3</v>
      </c>
      <c r="F2083" s="56" t="n">
        <v>0</v>
      </c>
      <c r="G2083" s="56" t="n">
        <v>14.6</v>
      </c>
      <c r="H2083" s="56" t="n">
        <v>0</v>
      </c>
      <c r="I2083" s="56" t="n">
        <v>21.6</v>
      </c>
      <c r="J2083" s="56" t="n">
        <v>0</v>
      </c>
      <c r="K2083" s="56" t="n">
        <v>1010.7</v>
      </c>
      <c r="L2083" s="56" t="n">
        <v>0</v>
      </c>
      <c r="M2083" s="56" t="n">
        <v>63</v>
      </c>
      <c r="N2083" s="56" t="n">
        <v>8.6</v>
      </c>
      <c r="O2083" s="56" t="n">
        <f aca="false">IF(D2083=1,"",E2082)</f>
        <v>28.5</v>
      </c>
      <c r="P2083" s="56" t="n">
        <f aca="false">IF(OR(D2083=1,K2082=""),"",K2082)</f>
        <v>1016.9</v>
      </c>
      <c r="Q2083" s="56" t="n">
        <f aca="false">IF(OR(F2083&lt;&gt;0,AND(I2083&lt;&gt;"",E2083&lt;I2083)),1,0)</f>
        <v>0</v>
      </c>
      <c r="R2083" s="56" t="n">
        <f aca="false">IF(AND(D2083&gt;1,Q2083=0,ISNUMBER(O2083),ISNUMBER(P2083)),IF(Q2082=0,1,0),0)</f>
        <v>1</v>
      </c>
      <c r="S2083" s="56" t="n">
        <f aca="false">R2083*(B2083&gt;=Train_Start)*(B2083&lt;=Train_End)</f>
        <v>1</v>
      </c>
      <c r="T2083" s="84" t="n">
        <f aca="false">IF(AND(ISNUMBER(O2083),ISNUMBER(P2083)),Coef_A+Coef_B1*O2083+Coef_B2*P2083,"")</f>
        <v>27.3381882770153</v>
      </c>
      <c r="U2083" s="84" t="n">
        <f aca="false">IF(AND(R2083=1,ISNUMBER(T2083)),E2083-T2083,"")</f>
        <v>-5.03818827701525</v>
      </c>
      <c r="V2083" s="84" t="n">
        <f aca="false">IF(ISNUMBER(T2083),T2083,-99)</f>
        <v>27.3381882770153</v>
      </c>
      <c r="W2083" s="84" t="n">
        <f aca="false">IF(ISNUMBER(U2083),ABS(U2083),"")</f>
        <v>5.03818827701525</v>
      </c>
    </row>
    <row r="2084" customFormat="false" ht="15" hidden="false" customHeight="false" outlineLevel="0" collapsed="false">
      <c r="A2084" s="57" t="n">
        <v>33818</v>
      </c>
      <c r="B2084" s="56" t="n">
        <v>1992</v>
      </c>
      <c r="C2084" s="56" t="n">
        <v>8</v>
      </c>
      <c r="D2084" s="56" t="n">
        <v>94</v>
      </c>
      <c r="E2084" s="56" t="n">
        <v>24</v>
      </c>
      <c r="F2084" s="56" t="n">
        <v>0</v>
      </c>
      <c r="G2084" s="56" t="n">
        <v>14.6</v>
      </c>
      <c r="H2084" s="56" t="n">
        <v>0</v>
      </c>
      <c r="I2084" s="56" t="n">
        <v>18.4</v>
      </c>
      <c r="J2084" s="56" t="n">
        <v>0</v>
      </c>
      <c r="K2084" s="56" t="n">
        <v>1011.4</v>
      </c>
      <c r="L2084" s="56" t="n">
        <v>0</v>
      </c>
      <c r="M2084" s="56" t="n">
        <v>68</v>
      </c>
      <c r="N2084" s="56" t="n">
        <v>2.6</v>
      </c>
      <c r="O2084" s="56" t="n">
        <f aca="false">IF(D2084=1,"",E2083)</f>
        <v>22.3</v>
      </c>
      <c r="P2084" s="56" t="n">
        <f aca="false">IF(OR(D2084=1,K2083=""),"",K2083)</f>
        <v>1010.7</v>
      </c>
      <c r="Q2084" s="56" t="n">
        <f aca="false">IF(OR(F2084&lt;&gt;0,AND(I2084&lt;&gt;"",E2084&lt;I2084)),1,0)</f>
        <v>0</v>
      </c>
      <c r="R2084" s="56" t="n">
        <f aca="false">IF(AND(D2084&gt;1,Q2084=0,ISNUMBER(O2084),ISNUMBER(P2084)),IF(Q2083=0,1,0),0)</f>
        <v>1</v>
      </c>
      <c r="S2084" s="56" t="n">
        <f aca="false">R2084*(B2084&gt;=Train_Start)*(B2084&lt;=Train_End)</f>
        <v>1</v>
      </c>
      <c r="T2084" s="84" t="n">
        <f aca="false">IF(AND(ISNUMBER(O2084),ISNUMBER(P2084)),Coef_A+Coef_B1*O2084+Coef_B2*P2084,"")</f>
        <v>22.06379193342</v>
      </c>
      <c r="U2084" s="84" t="n">
        <f aca="false">IF(AND(R2084=1,ISNUMBER(T2084)),E2084-T2084,"")</f>
        <v>1.93620806657996</v>
      </c>
      <c r="V2084" s="84" t="n">
        <f aca="false">IF(ISNUMBER(T2084),T2084,-99)</f>
        <v>22.06379193342</v>
      </c>
      <c r="W2084" s="84" t="n">
        <f aca="false">IF(ISNUMBER(U2084),ABS(U2084),"")</f>
        <v>1.93620806657996</v>
      </c>
    </row>
    <row r="2085" customFormat="false" ht="15" hidden="false" customHeight="false" outlineLevel="0" collapsed="false">
      <c r="A2085" s="57" t="n">
        <v>33819</v>
      </c>
      <c r="B2085" s="56" t="n">
        <v>1992</v>
      </c>
      <c r="C2085" s="56" t="n">
        <v>8</v>
      </c>
      <c r="D2085" s="56" t="n">
        <v>95</v>
      </c>
      <c r="E2085" s="56" t="n">
        <v>23.6</v>
      </c>
      <c r="F2085" s="56" t="n">
        <v>0</v>
      </c>
      <c r="G2085" s="56" t="n">
        <v>15.8</v>
      </c>
      <c r="H2085" s="56" t="n">
        <v>0</v>
      </c>
      <c r="I2085" s="56" t="n">
        <v>19.9</v>
      </c>
      <c r="J2085" s="56" t="n">
        <v>0</v>
      </c>
      <c r="K2085" s="56" t="n">
        <v>1008.3</v>
      </c>
      <c r="L2085" s="56" t="n">
        <v>0</v>
      </c>
      <c r="M2085" s="56" t="n">
        <v>64</v>
      </c>
      <c r="N2085" s="56" t="n">
        <v>8.9</v>
      </c>
      <c r="O2085" s="56" t="n">
        <f aca="false">IF(D2085=1,"",E2084)</f>
        <v>24</v>
      </c>
      <c r="P2085" s="56" t="n">
        <f aca="false">IF(OR(D2085=1,K2084=""),"",K2084)</f>
        <v>1011.4</v>
      </c>
      <c r="Q2085" s="56" t="n">
        <f aca="false">IF(OR(F2085&lt;&gt;0,AND(I2085&lt;&gt;"",E2085&lt;I2085)),1,0)</f>
        <v>0</v>
      </c>
      <c r="R2085" s="56" t="n">
        <f aca="false">IF(AND(D2085&gt;1,Q2085=0,ISNUMBER(O2085),ISNUMBER(P2085)),IF(Q2084=0,1,0),0)</f>
        <v>1</v>
      </c>
      <c r="S2085" s="56" t="n">
        <f aca="false">R2085*(B2085&gt;=Train_Start)*(B2085&lt;=Train_End)</f>
        <v>1</v>
      </c>
      <c r="T2085" s="84" t="n">
        <f aca="false">IF(AND(ISNUMBER(O2085),ISNUMBER(P2085)),Coef_A+Coef_B1*O2085+Coef_B2*P2085,"")</f>
        <v>23.4786274878364</v>
      </c>
      <c r="U2085" s="84" t="n">
        <f aca="false">IF(AND(R2085=1,ISNUMBER(T2085)),E2085-T2085,"")</f>
        <v>0.121372512163653</v>
      </c>
      <c r="V2085" s="84" t="n">
        <f aca="false">IF(ISNUMBER(T2085),T2085,-99)</f>
        <v>23.4786274878364</v>
      </c>
      <c r="W2085" s="84" t="n">
        <f aca="false">IF(ISNUMBER(U2085),ABS(U2085),"")</f>
        <v>0.121372512163653</v>
      </c>
    </row>
    <row r="2086" customFormat="false" ht="15" hidden="false" customHeight="false" outlineLevel="0" collapsed="false">
      <c r="A2086" s="57" t="n">
        <v>33820</v>
      </c>
      <c r="B2086" s="56" t="n">
        <v>1992</v>
      </c>
      <c r="C2086" s="56" t="n">
        <v>8</v>
      </c>
      <c r="D2086" s="56" t="n">
        <v>96</v>
      </c>
      <c r="E2086" s="56" t="n">
        <v>24.1</v>
      </c>
      <c r="F2086" s="56" t="n">
        <v>0</v>
      </c>
      <c r="G2086" s="56" t="n">
        <v>12.8</v>
      </c>
      <c r="H2086" s="56" t="n">
        <v>0</v>
      </c>
      <c r="I2086" s="56" t="n">
        <v>18.2</v>
      </c>
      <c r="J2086" s="56" t="n">
        <v>0</v>
      </c>
      <c r="K2086" s="56" t="n">
        <v>1019.4</v>
      </c>
      <c r="L2086" s="56" t="n">
        <v>0</v>
      </c>
      <c r="M2086" s="56" t="n">
        <v>62</v>
      </c>
      <c r="N2086" s="56" t="n">
        <v>11.9</v>
      </c>
      <c r="O2086" s="56" t="n">
        <f aca="false">IF(D2086=1,"",E2085)</f>
        <v>23.6</v>
      </c>
      <c r="P2086" s="56" t="n">
        <f aca="false">IF(OR(D2086=1,K2085=""),"",K2085)</f>
        <v>1008.3</v>
      </c>
      <c r="Q2086" s="56" t="n">
        <f aca="false">IF(OR(F2086&lt;&gt;0,AND(I2086&lt;&gt;"",E2086&lt;I2086)),1,0)</f>
        <v>0</v>
      </c>
      <c r="R2086" s="56" t="n">
        <f aca="false">IF(AND(D2086&gt;1,Q2086=0,ISNUMBER(O2086),ISNUMBER(P2086)),IF(Q2085=0,1,0),0)</f>
        <v>1</v>
      </c>
      <c r="S2086" s="56" t="n">
        <f aca="false">R2086*(B2086&gt;=Train_Start)*(B2086&lt;=Train_End)</f>
        <v>1</v>
      </c>
      <c r="T2086" s="84" t="n">
        <f aca="false">IF(AND(ISNUMBER(O2086),ISNUMBER(P2086)),Coef_A+Coef_B1*O2086+Coef_B2*P2086,"")</f>
        <v>23.0536451372539</v>
      </c>
      <c r="U2086" s="84" t="n">
        <f aca="false">IF(AND(R2086=1,ISNUMBER(T2086)),E2086-T2086,"")</f>
        <v>1.04635486274608</v>
      </c>
      <c r="V2086" s="84" t="n">
        <f aca="false">IF(ISNUMBER(T2086),T2086,-99)</f>
        <v>23.0536451372539</v>
      </c>
      <c r="W2086" s="84" t="n">
        <f aca="false">IF(ISNUMBER(U2086),ABS(U2086),"")</f>
        <v>1.04635486274608</v>
      </c>
    </row>
    <row r="2087" customFormat="false" ht="15" hidden="false" customHeight="false" outlineLevel="0" collapsed="false">
      <c r="A2087" s="57" t="n">
        <v>33821</v>
      </c>
      <c r="B2087" s="56" t="n">
        <v>1992</v>
      </c>
      <c r="C2087" s="56" t="n">
        <v>8</v>
      </c>
      <c r="D2087" s="56" t="n">
        <v>97</v>
      </c>
      <c r="E2087" s="56" t="n">
        <v>24.1</v>
      </c>
      <c r="F2087" s="56" t="n">
        <v>0</v>
      </c>
      <c r="G2087" s="56" t="n">
        <v>15</v>
      </c>
      <c r="H2087" s="56" t="n">
        <v>0</v>
      </c>
      <c r="I2087" s="56" t="n">
        <v>19.6</v>
      </c>
      <c r="J2087" s="56" t="n">
        <v>0</v>
      </c>
      <c r="K2087" s="56" t="n">
        <v>1020.7</v>
      </c>
      <c r="L2087" s="56" t="n">
        <v>0</v>
      </c>
      <c r="M2087" s="56" t="n">
        <v>74</v>
      </c>
      <c r="N2087" s="56" t="n">
        <v>2.6</v>
      </c>
      <c r="O2087" s="56" t="n">
        <f aca="false">IF(D2087=1,"",E2086)</f>
        <v>24.1</v>
      </c>
      <c r="P2087" s="56" t="n">
        <f aca="false">IF(OR(D2087=1,K2086=""),"",K2086)</f>
        <v>1019.4</v>
      </c>
      <c r="Q2087" s="56" t="n">
        <f aca="false">IF(OR(F2087&lt;&gt;0,AND(I2087&lt;&gt;"",E2087&lt;I2087)),1,0)</f>
        <v>0</v>
      </c>
      <c r="R2087" s="56" t="n">
        <f aca="false">IF(AND(D2087&gt;1,Q2087=0,ISNUMBER(O2087),ISNUMBER(P2087)),IF(Q2086=0,1,0),0)</f>
        <v>1</v>
      </c>
      <c r="S2087" s="56" t="n">
        <f aca="false">R2087*(B2087&gt;=Train_Start)*(B2087&lt;=Train_End)</f>
        <v>1</v>
      </c>
      <c r="T2087" s="84" t="n">
        <f aca="false">IF(AND(ISNUMBER(O2087),ISNUMBER(P2087)),Coef_A+Coef_B1*O2087+Coef_B2*P2087,"")</f>
        <v>23.8115205642125</v>
      </c>
      <c r="U2087" s="84" t="n">
        <f aca="false">IF(AND(R2087=1,ISNUMBER(T2087)),E2087-T2087,"")</f>
        <v>0.288479435787469</v>
      </c>
      <c r="V2087" s="84" t="n">
        <f aca="false">IF(ISNUMBER(T2087),T2087,-99)</f>
        <v>23.8115205642125</v>
      </c>
      <c r="W2087" s="84" t="n">
        <f aca="false">IF(ISNUMBER(U2087),ABS(U2087),"")</f>
        <v>0.288479435787469</v>
      </c>
    </row>
    <row r="2088" customFormat="false" ht="15" hidden="false" customHeight="false" outlineLevel="0" collapsed="false">
      <c r="A2088" s="57" t="n">
        <v>33822</v>
      </c>
      <c r="B2088" s="56" t="n">
        <v>1992</v>
      </c>
      <c r="C2088" s="56" t="n">
        <v>8</v>
      </c>
      <c r="D2088" s="56" t="n">
        <v>98</v>
      </c>
      <c r="E2088" s="56" t="n">
        <v>26.9</v>
      </c>
      <c r="F2088" s="56" t="n">
        <v>0</v>
      </c>
      <c r="G2088" s="56" t="n">
        <v>14.5</v>
      </c>
      <c r="H2088" s="56" t="n">
        <v>0</v>
      </c>
      <c r="I2088" s="56" t="n">
        <v>19.3</v>
      </c>
      <c r="J2088" s="56" t="n">
        <v>0</v>
      </c>
      <c r="K2088" s="56" t="n">
        <v>1023.5</v>
      </c>
      <c r="L2088" s="56" t="n">
        <v>0</v>
      </c>
      <c r="M2088" s="56" t="n">
        <v>66</v>
      </c>
      <c r="N2088" s="56" t="n">
        <v>10.5</v>
      </c>
      <c r="O2088" s="56" t="n">
        <f aca="false">IF(D2088=1,"",E2087)</f>
        <v>24.1</v>
      </c>
      <c r="P2088" s="56" t="n">
        <f aca="false">IF(OR(D2088=1,K2087=""),"",K2087)</f>
        <v>1020.7</v>
      </c>
      <c r="Q2088" s="56" t="n">
        <f aca="false">IF(OR(F2088&lt;&gt;0,AND(I2088&lt;&gt;"",E2088&lt;I2088)),1,0)</f>
        <v>0</v>
      </c>
      <c r="R2088" s="56" t="n">
        <f aca="false">IF(AND(D2088&gt;1,Q2088=0,ISNUMBER(O2088),ISNUMBER(P2088)),IF(Q2087=0,1,0),0)</f>
        <v>1</v>
      </c>
      <c r="S2088" s="56" t="n">
        <f aca="false">R2088*(B2088&gt;=Train_Start)*(B2088&lt;=Train_End)</f>
        <v>1</v>
      </c>
      <c r="T2088" s="84" t="n">
        <f aca="false">IF(AND(ISNUMBER(O2088),ISNUMBER(P2088)),Coef_A+Coef_B1*O2088+Coef_B2*P2088,"")</f>
        <v>23.8523014272367</v>
      </c>
      <c r="U2088" s="84" t="n">
        <f aca="false">IF(AND(R2088=1,ISNUMBER(T2088)),E2088-T2088,"")</f>
        <v>3.04769857276327</v>
      </c>
      <c r="V2088" s="84" t="n">
        <f aca="false">IF(ISNUMBER(T2088),T2088,-99)</f>
        <v>23.8523014272367</v>
      </c>
      <c r="W2088" s="84" t="n">
        <f aca="false">IF(ISNUMBER(U2088),ABS(U2088),"")</f>
        <v>3.04769857276327</v>
      </c>
    </row>
    <row r="2089" customFormat="false" ht="15" hidden="false" customHeight="false" outlineLevel="0" collapsed="false">
      <c r="A2089" s="57" t="n">
        <v>33823</v>
      </c>
      <c r="B2089" s="56" t="n">
        <v>1992</v>
      </c>
      <c r="C2089" s="56" t="n">
        <v>8</v>
      </c>
      <c r="D2089" s="56" t="n">
        <v>99</v>
      </c>
      <c r="E2089" s="56" t="n">
        <v>25.2</v>
      </c>
      <c r="F2089" s="56" t="n">
        <v>0</v>
      </c>
      <c r="G2089" s="56" t="n">
        <v>14.9</v>
      </c>
      <c r="H2089" s="56" t="n">
        <v>0</v>
      </c>
      <c r="I2089" s="56" t="n">
        <v>20.9</v>
      </c>
      <c r="J2089" s="56" t="n">
        <v>0</v>
      </c>
      <c r="K2089" s="56" t="n">
        <v>1020.6</v>
      </c>
      <c r="L2089" s="56" t="n">
        <v>0</v>
      </c>
      <c r="M2089" s="56" t="n">
        <v>71</v>
      </c>
      <c r="N2089" s="56" t="n">
        <v>3.9</v>
      </c>
      <c r="O2089" s="56" t="n">
        <f aca="false">IF(D2089=1,"",E2088)</f>
        <v>26.9</v>
      </c>
      <c r="P2089" s="56" t="n">
        <f aca="false">IF(OR(D2089=1,K2088=""),"",K2088)</f>
        <v>1023.5</v>
      </c>
      <c r="Q2089" s="56" t="n">
        <f aca="false">IF(OR(F2089&lt;&gt;0,AND(I2089&lt;&gt;"",E2089&lt;I2089)),1,0)</f>
        <v>0</v>
      </c>
      <c r="R2089" s="56" t="n">
        <f aca="false">IF(AND(D2089&gt;1,Q2089=0,ISNUMBER(O2089),ISNUMBER(P2089)),IF(Q2088=0,1,0),0)</f>
        <v>1</v>
      </c>
      <c r="S2089" s="56" t="n">
        <f aca="false">R2089*(B2089&gt;=Train_Start)*(B2089&lt;=Train_End)</f>
        <v>1</v>
      </c>
      <c r="T2089" s="84" t="n">
        <f aca="false">IF(AND(ISNUMBER(O2089),ISNUMBER(P2089)),Coef_A+Coef_B1*O2089+Coef_B2*P2089,"")</f>
        <v>26.2342868727313</v>
      </c>
      <c r="U2089" s="84" t="n">
        <f aca="false">IF(AND(R2089=1,ISNUMBER(T2089)),E2089-T2089,"")</f>
        <v>-1.03428687273133</v>
      </c>
      <c r="V2089" s="84" t="n">
        <f aca="false">IF(ISNUMBER(T2089),T2089,-99)</f>
        <v>26.2342868727313</v>
      </c>
      <c r="W2089" s="84" t="n">
        <f aca="false">IF(ISNUMBER(U2089),ABS(U2089),"")</f>
        <v>1.03428687273133</v>
      </c>
    </row>
    <row r="2090" customFormat="false" ht="15" hidden="false" customHeight="false" outlineLevel="0" collapsed="false">
      <c r="A2090" s="57" t="n">
        <v>33824</v>
      </c>
      <c r="B2090" s="56" t="n">
        <v>1992</v>
      </c>
      <c r="C2090" s="56" t="n">
        <v>8</v>
      </c>
      <c r="D2090" s="56" t="n">
        <v>100</v>
      </c>
      <c r="E2090" s="56" t="n">
        <v>24.8</v>
      </c>
      <c r="F2090" s="56" t="n">
        <v>0</v>
      </c>
      <c r="G2090" s="56" t="n">
        <v>17.5</v>
      </c>
      <c r="H2090" s="56" t="n">
        <v>0</v>
      </c>
      <c r="I2090" s="56" t="n">
        <v>21.4</v>
      </c>
      <c r="J2090" s="56" t="n">
        <v>0</v>
      </c>
      <c r="K2090" s="56" t="n">
        <v>1013.6</v>
      </c>
      <c r="L2090" s="56" t="n">
        <v>0</v>
      </c>
      <c r="M2090" s="56" t="n">
        <v>83</v>
      </c>
      <c r="N2090" s="56" t="n">
        <v>1</v>
      </c>
      <c r="O2090" s="56" t="n">
        <f aca="false">IF(D2090=1,"",E2089)</f>
        <v>25.2</v>
      </c>
      <c r="P2090" s="56" t="n">
        <f aca="false">IF(OR(D2090=1,K2089=""),"",K2089)</f>
        <v>1020.6</v>
      </c>
      <c r="Q2090" s="56" t="n">
        <f aca="false">IF(OR(F2090&lt;&gt;0,AND(I2090&lt;&gt;"",E2090&lt;I2090)),1,0)</f>
        <v>0</v>
      </c>
      <c r="R2090" s="56" t="n">
        <f aca="false">IF(AND(D2090&gt;1,Q2090=0,ISNUMBER(O2090),ISNUMBER(P2090)),IF(Q2089=0,1,0),0)</f>
        <v>1</v>
      </c>
      <c r="S2090" s="56" t="n">
        <f aca="false">R2090*(B2090&gt;=Train_Start)*(B2090&lt;=Train_End)</f>
        <v>1</v>
      </c>
      <c r="T2090" s="84" t="n">
        <f aca="false">IF(AND(ISNUMBER(O2090),ISNUMBER(P2090)),Coef_A+Coef_B1*O2090+Coef_B2*P2090,"")</f>
        <v>24.7504375501202</v>
      </c>
      <c r="U2090" s="84" t="n">
        <f aca="false">IF(AND(R2090=1,ISNUMBER(T2090)),E2090-T2090,"")</f>
        <v>0.0495624498797547</v>
      </c>
      <c r="V2090" s="84" t="n">
        <f aca="false">IF(ISNUMBER(T2090),T2090,-99)</f>
        <v>24.7504375501202</v>
      </c>
      <c r="W2090" s="84" t="n">
        <f aca="false">IF(ISNUMBER(U2090),ABS(U2090),"")</f>
        <v>0.0495624498797547</v>
      </c>
    </row>
    <row r="2091" customFormat="false" ht="15" hidden="false" customHeight="false" outlineLevel="0" collapsed="false">
      <c r="A2091" s="57" t="n">
        <v>33825</v>
      </c>
      <c r="B2091" s="56" t="n">
        <v>1992</v>
      </c>
      <c r="C2091" s="56" t="n">
        <v>8</v>
      </c>
      <c r="D2091" s="56" t="n">
        <v>101</v>
      </c>
      <c r="E2091" s="56" t="n">
        <v>23.5</v>
      </c>
      <c r="F2091" s="56" t="n">
        <v>0</v>
      </c>
      <c r="G2091" s="56" t="n">
        <v>18.5</v>
      </c>
      <c r="H2091" s="56" t="n">
        <v>0</v>
      </c>
      <c r="I2091" s="56" t="n">
        <v>21.6</v>
      </c>
      <c r="J2091" s="56" t="n">
        <v>0</v>
      </c>
      <c r="K2091" s="56" t="n">
        <v>1008.1</v>
      </c>
      <c r="L2091" s="56" t="n">
        <v>0</v>
      </c>
      <c r="M2091" s="56" t="n">
        <v>79</v>
      </c>
      <c r="N2091" s="56" t="n">
        <v>2.7</v>
      </c>
      <c r="O2091" s="56" t="n">
        <f aca="false">IF(D2091=1,"",E2090)</f>
        <v>24.8</v>
      </c>
      <c r="P2091" s="56" t="n">
        <f aca="false">IF(OR(D2091=1,K2090=""),"",K2090)</f>
        <v>1013.6</v>
      </c>
      <c r="Q2091" s="56" t="n">
        <f aca="false">IF(OR(F2091&lt;&gt;0,AND(I2091&lt;&gt;"",E2091&lt;I2091)),1,0)</f>
        <v>0</v>
      </c>
      <c r="R2091" s="56" t="n">
        <f aca="false">IF(AND(D2091&gt;1,Q2091=0,ISNUMBER(O2091),ISNUMBER(P2091)),IF(Q2090=0,1,0),0)</f>
        <v>1</v>
      </c>
      <c r="S2091" s="56" t="n">
        <f aca="false">R2091*(B2091&gt;=Train_Start)*(B2091&lt;=Train_End)</f>
        <v>1</v>
      </c>
      <c r="T2091" s="84" t="n">
        <f aca="false">IF(AND(ISNUMBER(O2091),ISNUMBER(P2091)),Coef_A+Coef_B1*O2091+Coef_B2*P2091,"")</f>
        <v>24.2031126104653</v>
      </c>
      <c r="U2091" s="84" t="n">
        <f aca="false">IF(AND(R2091=1,ISNUMBER(T2091)),E2091-T2091,"")</f>
        <v>-0.703112610465254</v>
      </c>
      <c r="V2091" s="84" t="n">
        <f aca="false">IF(ISNUMBER(T2091),T2091,-99)</f>
        <v>24.2031126104653</v>
      </c>
      <c r="W2091" s="84" t="n">
        <f aca="false">IF(ISNUMBER(U2091),ABS(U2091),"")</f>
        <v>0.703112610465254</v>
      </c>
    </row>
    <row r="2092" customFormat="false" ht="15" hidden="false" customHeight="false" outlineLevel="0" collapsed="false">
      <c r="A2092" s="57" t="n">
        <v>33826</v>
      </c>
      <c r="B2092" s="56" t="n">
        <v>1992</v>
      </c>
      <c r="C2092" s="56" t="n">
        <v>8</v>
      </c>
      <c r="D2092" s="56" t="n">
        <v>102</v>
      </c>
      <c r="E2092" s="56" t="n">
        <v>20.7</v>
      </c>
      <c r="F2092" s="56" t="n">
        <v>0</v>
      </c>
      <c r="G2092" s="56" t="n">
        <v>14.4</v>
      </c>
      <c r="H2092" s="56" t="n">
        <v>0</v>
      </c>
      <c r="I2092" s="56" t="n">
        <v>19</v>
      </c>
      <c r="J2092" s="56" t="n">
        <v>0</v>
      </c>
      <c r="K2092" s="56" t="n">
        <v>1011.5</v>
      </c>
      <c r="L2092" s="56" t="n">
        <v>0</v>
      </c>
      <c r="M2092" s="56" t="n">
        <v>78</v>
      </c>
      <c r="N2092" s="56" t="n">
        <v>5.9</v>
      </c>
      <c r="O2092" s="56" t="n">
        <f aca="false">IF(D2092=1,"",E2091)</f>
        <v>23.5</v>
      </c>
      <c r="P2092" s="56" t="n">
        <f aca="false">IF(OR(D2092=1,K2091=""),"",K2091)</f>
        <v>1008.1</v>
      </c>
      <c r="Q2092" s="56" t="n">
        <f aca="false">IF(OR(F2092&lt;&gt;0,AND(I2092&lt;&gt;"",E2092&lt;I2092)),1,0)</f>
        <v>0</v>
      </c>
      <c r="R2092" s="56" t="n">
        <f aca="false">IF(AND(D2092&gt;1,Q2092=0,ISNUMBER(O2092),ISNUMBER(P2092)),IF(Q2091=0,1,0),0)</f>
        <v>1</v>
      </c>
      <c r="S2092" s="56" t="n">
        <f aca="false">R2092*(B2092&gt;=Train_Start)*(B2092&lt;=Train_End)</f>
        <v>1</v>
      </c>
      <c r="T2092" s="84" t="n">
        <f aca="false">IF(AND(ISNUMBER(O2092),ISNUMBER(P2092)),Coef_A+Coef_B1*O2092+Coef_B2*P2092,"")</f>
        <v>22.9654372390229</v>
      </c>
      <c r="U2092" s="84" t="n">
        <f aca="false">IF(AND(R2092=1,ISNUMBER(T2092)),E2092-T2092,"")</f>
        <v>-2.26543723902286</v>
      </c>
      <c r="V2092" s="84" t="n">
        <f aca="false">IF(ISNUMBER(T2092),T2092,-99)</f>
        <v>22.9654372390229</v>
      </c>
      <c r="W2092" s="84" t="n">
        <f aca="false">IF(ISNUMBER(U2092),ABS(U2092),"")</f>
        <v>2.26543723902286</v>
      </c>
    </row>
    <row r="2093" customFormat="false" ht="15" hidden="false" customHeight="false" outlineLevel="0" collapsed="false">
      <c r="A2093" s="57" t="n">
        <v>33827</v>
      </c>
      <c r="B2093" s="56" t="n">
        <v>1992</v>
      </c>
      <c r="C2093" s="56" t="n">
        <v>8</v>
      </c>
      <c r="D2093" s="56" t="n">
        <v>103</v>
      </c>
      <c r="E2093" s="56" t="n">
        <v>19.1</v>
      </c>
      <c r="F2093" s="56" t="n">
        <v>0</v>
      </c>
      <c r="G2093" s="56" t="n">
        <v>13.1</v>
      </c>
      <c r="H2093" s="56" t="n">
        <v>0</v>
      </c>
      <c r="I2093" s="56" t="n">
        <v>16.9</v>
      </c>
      <c r="J2093" s="56" t="n">
        <v>0</v>
      </c>
      <c r="K2093" s="56" t="n">
        <v>1013.5</v>
      </c>
      <c r="L2093" s="56" t="n">
        <v>0</v>
      </c>
      <c r="M2093" s="56" t="n">
        <v>77</v>
      </c>
      <c r="N2093" s="56" t="n">
        <v>7</v>
      </c>
      <c r="O2093" s="56" t="n">
        <f aca="false">IF(D2093=1,"",E2092)</f>
        <v>20.7</v>
      </c>
      <c r="P2093" s="56" t="n">
        <f aca="false">IF(OR(D2093=1,K2092=""),"",K2092)</f>
        <v>1011.5</v>
      </c>
      <c r="Q2093" s="56" t="n">
        <f aca="false">IF(OR(F2093&lt;&gt;0,AND(I2093&lt;&gt;"",E2093&lt;I2093)),1,0)</f>
        <v>0</v>
      </c>
      <c r="R2093" s="56" t="n">
        <f aca="false">IF(AND(D2093&gt;1,Q2093=0,ISNUMBER(O2093),ISNUMBER(P2093)),IF(Q2092=0,1,0),0)</f>
        <v>1</v>
      </c>
      <c r="S2093" s="56" t="n">
        <f aca="false">R2093*(B2093&gt;=Train_Start)*(B2093&lt;=Train_End)</f>
        <v>1</v>
      </c>
      <c r="T2093" s="84" t="n">
        <f aca="false">IF(AND(ISNUMBER(O2093),ISNUMBER(P2093)),Coef_A+Coef_B1*O2093+Coef_B2*P2093,"")</f>
        <v>20.777945140259</v>
      </c>
      <c r="U2093" s="84" t="n">
        <f aca="false">IF(AND(R2093=1,ISNUMBER(T2093)),E2093-T2093,"")</f>
        <v>-1.67794514025898</v>
      </c>
      <c r="V2093" s="84" t="n">
        <f aca="false">IF(ISNUMBER(T2093),T2093,-99)</f>
        <v>20.777945140259</v>
      </c>
      <c r="W2093" s="84" t="n">
        <f aca="false">IF(ISNUMBER(U2093),ABS(U2093),"")</f>
        <v>1.67794514025898</v>
      </c>
    </row>
    <row r="2094" customFormat="false" ht="15" hidden="false" customHeight="false" outlineLevel="0" collapsed="false">
      <c r="A2094" s="57" t="n">
        <v>33828</v>
      </c>
      <c r="B2094" s="56" t="n">
        <v>1992</v>
      </c>
      <c r="C2094" s="56" t="n">
        <v>8</v>
      </c>
      <c r="D2094" s="56" t="n">
        <v>104</v>
      </c>
      <c r="E2094" s="56" t="n">
        <v>16.3</v>
      </c>
      <c r="F2094" s="56" t="n">
        <v>1</v>
      </c>
      <c r="G2094" s="56" t="n">
        <v>14.5</v>
      </c>
      <c r="H2094" s="56" t="n">
        <v>0</v>
      </c>
      <c r="I2094" s="56" t="n">
        <v>16.8</v>
      </c>
      <c r="J2094" s="56" t="n">
        <v>1</v>
      </c>
      <c r="K2094" s="56" t="n">
        <v>1009.5</v>
      </c>
      <c r="L2094" s="56" t="n">
        <v>0</v>
      </c>
      <c r="M2094" s="56" t="n">
        <v>80</v>
      </c>
      <c r="N2094" s="56" t="n">
        <v>1.1</v>
      </c>
      <c r="O2094" s="56" t="n">
        <f aca="false">IF(D2094=1,"",E2093)</f>
        <v>19.1</v>
      </c>
      <c r="P2094" s="56" t="n">
        <f aca="false">IF(OR(D2094=1,K2093=""),"",K2093)</f>
        <v>1013.5</v>
      </c>
      <c r="Q2094" s="56" t="n">
        <f aca="false">IF(OR(F2094&lt;&gt;0,AND(I2094&lt;&gt;"",E2094&lt;I2094)),1,0)</f>
        <v>1</v>
      </c>
      <c r="R2094" s="56" t="n">
        <f aca="false">IF(AND(D2094&gt;1,Q2094=0,ISNUMBER(O2094),ISNUMBER(P2094)),IF(Q2093=0,1,0),0)</f>
        <v>0</v>
      </c>
      <c r="S2094" s="56" t="n">
        <f aca="false">R2094*(B2094&gt;=Train_Start)*(B2094&lt;=Train_End)</f>
        <v>0</v>
      </c>
      <c r="T2094" s="84" t="n">
        <f aca="false">IF(AND(ISNUMBER(O2094),ISNUMBER(P2094)),Coef_A+Coef_B1*O2094+Coef_B2*P2094,"")</f>
        <v>19.5297422206587</v>
      </c>
      <c r="U2094" s="84" t="str">
        <f aca="false">IF(AND(R2094=1,ISNUMBER(T2094)),E2094-T2094,"")</f>
        <v/>
      </c>
      <c r="V2094" s="84" t="n">
        <f aca="false">IF(ISNUMBER(T2094),T2094,-99)</f>
        <v>19.5297422206587</v>
      </c>
      <c r="W2094" s="84" t="str">
        <f aca="false">IF(ISNUMBER(U2094),ABS(U2094),"")</f>
        <v/>
      </c>
    </row>
    <row r="2095" customFormat="false" ht="15" hidden="false" customHeight="false" outlineLevel="0" collapsed="false">
      <c r="A2095" s="57" t="n">
        <v>33829</v>
      </c>
      <c r="B2095" s="56" t="n">
        <v>1992</v>
      </c>
      <c r="C2095" s="56" t="n">
        <v>8</v>
      </c>
      <c r="D2095" s="56" t="n">
        <v>105</v>
      </c>
      <c r="E2095" s="56" t="n">
        <v>18.7</v>
      </c>
      <c r="F2095" s="56" t="n">
        <v>0</v>
      </c>
      <c r="G2095" s="56" t="n">
        <v>13</v>
      </c>
      <c r="H2095" s="56" t="n">
        <v>0</v>
      </c>
      <c r="I2095" s="56" t="n">
        <v>14.6</v>
      </c>
      <c r="J2095" s="56" t="n">
        <v>0</v>
      </c>
      <c r="K2095" s="56" t="n">
        <v>1009.2</v>
      </c>
      <c r="L2095" s="56" t="n">
        <v>0</v>
      </c>
      <c r="M2095" s="56" t="n">
        <v>87</v>
      </c>
      <c r="N2095" s="56" t="n">
        <v>1.2</v>
      </c>
      <c r="O2095" s="56" t="n">
        <f aca="false">IF(D2095=1,"",E2094)</f>
        <v>16.3</v>
      </c>
      <c r="P2095" s="56" t="n">
        <f aca="false">IF(OR(D2095=1,K2094=""),"",K2094)</f>
        <v>1009.5</v>
      </c>
      <c r="Q2095" s="56" t="n">
        <f aca="false">IF(OR(F2095&lt;&gt;0,AND(I2095&lt;&gt;"",E2095&lt;I2095)),1,0)</f>
        <v>0</v>
      </c>
      <c r="R2095" s="56" t="n">
        <f aca="false">IF(AND(D2095&gt;1,Q2095=0,ISNUMBER(O2095),ISNUMBER(P2095)),IF(Q2094=0,1,0),0)</f>
        <v>0</v>
      </c>
      <c r="S2095" s="56" t="n">
        <f aca="false">R2095*(B2095&gt;=Train_Start)*(B2095&lt;=Train_End)</f>
        <v>0</v>
      </c>
      <c r="T2095" s="84" t="n">
        <f aca="false">IF(AND(ISNUMBER(O2095),ISNUMBER(P2095)),Coef_A+Coef_B1*O2095+Coef_B2*P2095,"")</f>
        <v>17.1101129016033</v>
      </c>
      <c r="U2095" s="84" t="str">
        <f aca="false">IF(AND(R2095=1,ISNUMBER(T2095)),E2095-T2095,"")</f>
        <v/>
      </c>
      <c r="V2095" s="84" t="n">
        <f aca="false">IF(ISNUMBER(T2095),T2095,-99)</f>
        <v>17.1101129016033</v>
      </c>
      <c r="W2095" s="84" t="str">
        <f aca="false">IF(ISNUMBER(U2095),ABS(U2095),"")</f>
        <v/>
      </c>
    </row>
    <row r="2096" customFormat="false" ht="15" hidden="false" customHeight="false" outlineLevel="0" collapsed="false">
      <c r="A2096" s="57" t="n">
        <v>33830</v>
      </c>
      <c r="B2096" s="56" t="n">
        <v>1992</v>
      </c>
      <c r="C2096" s="56" t="n">
        <v>8</v>
      </c>
      <c r="D2096" s="56" t="n">
        <v>106</v>
      </c>
      <c r="E2096" s="56" t="n">
        <v>22.1</v>
      </c>
      <c r="F2096" s="56" t="n">
        <v>0</v>
      </c>
      <c r="G2096" s="56" t="n">
        <v>10.7</v>
      </c>
      <c r="H2096" s="56" t="n">
        <v>0</v>
      </c>
      <c r="I2096" s="56" t="n">
        <v>14.7</v>
      </c>
      <c r="J2096" s="56" t="n">
        <v>0</v>
      </c>
      <c r="K2096" s="56" t="n">
        <v>1014.9</v>
      </c>
      <c r="L2096" s="56" t="n">
        <v>0</v>
      </c>
      <c r="M2096" s="56" t="n">
        <v>72</v>
      </c>
      <c r="N2096" s="56" t="n">
        <v>9.7</v>
      </c>
      <c r="O2096" s="56" t="n">
        <f aca="false">IF(D2096=1,"",E2095)</f>
        <v>18.7</v>
      </c>
      <c r="P2096" s="56" t="n">
        <f aca="false">IF(OR(D2096=1,K2095=""),"",K2095)</f>
        <v>1009.2</v>
      </c>
      <c r="Q2096" s="56" t="n">
        <f aca="false">IF(OR(F2096&lt;&gt;0,AND(I2096&lt;&gt;"",E2096&lt;I2096)),1,0)</f>
        <v>0</v>
      </c>
      <c r="R2096" s="56" t="n">
        <f aca="false">IF(AND(D2096&gt;1,Q2096=0,ISNUMBER(O2096),ISNUMBER(P2096)),IF(Q2095=0,1,0),0)</f>
        <v>1</v>
      </c>
      <c r="S2096" s="56" t="n">
        <f aca="false">R2096*(B2096&gt;=Train_Start)*(B2096&lt;=Train_End)</f>
        <v>1</v>
      </c>
      <c r="T2096" s="84" t="n">
        <f aca="false">IF(AND(ISNUMBER(O2096),ISNUMBER(P2096)),Coef_A+Coef_B1*O2096+Coef_B2*P2096,"")</f>
        <v>19.0671159965155</v>
      </c>
      <c r="U2096" s="84" t="n">
        <f aca="false">IF(AND(R2096=1,ISNUMBER(T2096)),E2096-T2096,"")</f>
        <v>3.03288400348451</v>
      </c>
      <c r="V2096" s="84" t="n">
        <f aca="false">IF(ISNUMBER(T2096),T2096,-99)</f>
        <v>19.0671159965155</v>
      </c>
      <c r="W2096" s="84" t="n">
        <f aca="false">IF(ISNUMBER(U2096),ABS(U2096),"")</f>
        <v>3.03288400348451</v>
      </c>
    </row>
    <row r="2097" customFormat="false" ht="15" hidden="false" customHeight="false" outlineLevel="0" collapsed="false">
      <c r="A2097" s="57" t="n">
        <v>33831</v>
      </c>
      <c r="B2097" s="56" t="n">
        <v>1992</v>
      </c>
      <c r="C2097" s="56" t="n">
        <v>8</v>
      </c>
      <c r="D2097" s="56" t="n">
        <v>107</v>
      </c>
      <c r="E2097" s="56" t="n">
        <v>20.7</v>
      </c>
      <c r="F2097" s="56" t="n">
        <v>0</v>
      </c>
      <c r="G2097" s="56" t="n">
        <v>10.5</v>
      </c>
      <c r="H2097" s="56" t="n">
        <v>0</v>
      </c>
      <c r="I2097" s="56" t="n">
        <v>16.3</v>
      </c>
      <c r="J2097" s="56" t="n">
        <v>0</v>
      </c>
      <c r="K2097" s="56" t="n">
        <v>1016.4</v>
      </c>
      <c r="L2097" s="56" t="n">
        <v>0</v>
      </c>
      <c r="M2097" s="56" t="n">
        <v>69</v>
      </c>
      <c r="N2097" s="56" t="n">
        <v>10.3</v>
      </c>
      <c r="O2097" s="56" t="n">
        <f aca="false">IF(D2097=1,"",E2096)</f>
        <v>22.1</v>
      </c>
      <c r="P2097" s="56" t="n">
        <f aca="false">IF(OR(D2097=1,K2096=""),"",K2096)</f>
        <v>1014.9</v>
      </c>
      <c r="Q2097" s="56" t="n">
        <f aca="false">IF(OR(F2097&lt;&gt;0,AND(I2097&lt;&gt;"",E2097&lt;I2097)),1,0)</f>
        <v>0</v>
      </c>
      <c r="R2097" s="56" t="n">
        <f aca="false">IF(AND(D2097&gt;1,Q2097=0,ISNUMBER(O2097),ISNUMBER(P2097)),IF(Q2096=0,1,0),0)</f>
        <v>1</v>
      </c>
      <c r="S2097" s="56" t="n">
        <f aca="false">R2097*(B2097&gt;=Train_Start)*(B2097&lt;=Train_End)</f>
        <v>1</v>
      </c>
      <c r="T2097" s="84" t="n">
        <f aca="false">IF(AND(ISNUMBER(O2097),ISNUMBER(P2097)),Coef_A+Coef_B1*O2097+Coef_B2*P2097,"")</f>
        <v>22.0316776522743</v>
      </c>
      <c r="U2097" s="84" t="n">
        <f aca="false">IF(AND(R2097=1,ISNUMBER(T2097)),E2097-T2097,"")</f>
        <v>-1.33167765227427</v>
      </c>
      <c r="V2097" s="84" t="n">
        <f aca="false">IF(ISNUMBER(T2097),T2097,-99)</f>
        <v>22.0316776522743</v>
      </c>
      <c r="W2097" s="84" t="n">
        <f aca="false">IF(ISNUMBER(U2097),ABS(U2097),"")</f>
        <v>1.33167765227427</v>
      </c>
    </row>
    <row r="2098" customFormat="false" ht="15" hidden="false" customHeight="false" outlineLevel="0" collapsed="false">
      <c r="A2098" s="57" t="n">
        <v>33832</v>
      </c>
      <c r="B2098" s="56" t="n">
        <v>1992</v>
      </c>
      <c r="C2098" s="56" t="n">
        <v>8</v>
      </c>
      <c r="D2098" s="56" t="n">
        <v>108</v>
      </c>
      <c r="E2098" s="56" t="n">
        <v>20.8</v>
      </c>
      <c r="F2098" s="56" t="n">
        <v>0</v>
      </c>
      <c r="G2098" s="56" t="n">
        <v>14.8</v>
      </c>
      <c r="H2098" s="56" t="n">
        <v>0</v>
      </c>
      <c r="I2098" s="56" t="n">
        <v>17.8</v>
      </c>
      <c r="J2098" s="56" t="n">
        <v>0</v>
      </c>
      <c r="K2098" s="56" t="n">
        <v>1013.4</v>
      </c>
      <c r="L2098" s="56" t="n">
        <v>0</v>
      </c>
      <c r="M2098" s="56" t="n">
        <v>77</v>
      </c>
      <c r="N2098" s="56" t="n">
        <v>1.3</v>
      </c>
      <c r="O2098" s="56" t="n">
        <f aca="false">IF(D2098=1,"",E2097)</f>
        <v>20.7</v>
      </c>
      <c r="P2098" s="56" t="n">
        <f aca="false">IF(OR(D2098=1,K2097=""),"",K2097)</f>
        <v>1016.4</v>
      </c>
      <c r="Q2098" s="56" t="n">
        <f aca="false">IF(OR(F2098&lt;&gt;0,AND(I2098&lt;&gt;"",E2098&lt;I2098)),1,0)</f>
        <v>0</v>
      </c>
      <c r="R2098" s="56" t="n">
        <f aca="false">IF(AND(D2098&gt;1,Q2098=0,ISNUMBER(O2098),ISNUMBER(P2098)),IF(Q2097=0,1,0),0)</f>
        <v>1</v>
      </c>
      <c r="S2098" s="56" t="n">
        <f aca="false">R2098*(B2098&gt;=Train_Start)*(B2098&lt;=Train_End)</f>
        <v>1</v>
      </c>
      <c r="T2098" s="84" t="n">
        <f aca="false">IF(AND(ISNUMBER(O2098),ISNUMBER(P2098)),Coef_A+Coef_B1*O2098+Coef_B2*P2098,"")</f>
        <v>20.9316576239655</v>
      </c>
      <c r="U2098" s="84" t="n">
        <f aca="false">IF(AND(R2098=1,ISNUMBER(T2098)),E2098-T2098,"")</f>
        <v>-0.131657623965527</v>
      </c>
      <c r="V2098" s="84" t="n">
        <f aca="false">IF(ISNUMBER(T2098),T2098,-99)</f>
        <v>20.9316576239655</v>
      </c>
      <c r="W2098" s="84" t="n">
        <f aca="false">IF(ISNUMBER(U2098),ABS(U2098),"")</f>
        <v>0.131657623965527</v>
      </c>
    </row>
    <row r="2099" customFormat="false" ht="15" hidden="false" customHeight="false" outlineLevel="0" collapsed="false">
      <c r="A2099" s="57" t="n">
        <v>33833</v>
      </c>
      <c r="B2099" s="56" t="n">
        <v>1992</v>
      </c>
      <c r="C2099" s="56" t="n">
        <v>8</v>
      </c>
      <c r="D2099" s="56" t="n">
        <v>109</v>
      </c>
      <c r="E2099" s="56" t="n">
        <v>19.5</v>
      </c>
      <c r="F2099" s="56" t="n">
        <v>0</v>
      </c>
      <c r="G2099" s="56" t="n">
        <v>12.1</v>
      </c>
      <c r="H2099" s="56" t="n">
        <v>0</v>
      </c>
      <c r="I2099" s="56" t="n">
        <v>16.4</v>
      </c>
      <c r="J2099" s="56" t="n">
        <v>0</v>
      </c>
      <c r="K2099" s="56" t="n">
        <v>1015.5</v>
      </c>
      <c r="L2099" s="56" t="n">
        <v>0</v>
      </c>
      <c r="M2099" s="56" t="n">
        <v>74</v>
      </c>
      <c r="N2099" s="56" t="n">
        <v>7.4</v>
      </c>
      <c r="O2099" s="56" t="n">
        <f aca="false">IF(D2099=1,"",E2098)</f>
        <v>20.8</v>
      </c>
      <c r="P2099" s="56" t="n">
        <f aca="false">IF(OR(D2099=1,K2098=""),"",K2098)</f>
        <v>1013.4</v>
      </c>
      <c r="Q2099" s="56" t="n">
        <f aca="false">IF(OR(F2099&lt;&gt;0,AND(I2099&lt;&gt;"",E2099&lt;I2099)),1,0)</f>
        <v>0</v>
      </c>
      <c r="R2099" s="56" t="n">
        <f aca="false">IF(AND(D2099&gt;1,Q2099=0,ISNUMBER(O2099),ISNUMBER(P2099)),IF(Q2098=0,1,0),0)</f>
        <v>1</v>
      </c>
      <c r="S2099" s="56" t="n">
        <f aca="false">R2099*(B2099&gt;=Train_Start)*(B2099&lt;=Train_End)</f>
        <v>1</v>
      </c>
      <c r="T2099" s="84" t="n">
        <f aca="false">IF(AND(ISNUMBER(O2099),ISNUMBER(P2099)),Coef_A+Coef_B1*O2099+Coef_B2*P2099,"")</f>
        <v>20.9194818593678</v>
      </c>
      <c r="U2099" s="84" t="n">
        <f aca="false">IF(AND(R2099=1,ISNUMBER(T2099)),E2099-T2099,"")</f>
        <v>-1.41948185936782</v>
      </c>
      <c r="V2099" s="84" t="n">
        <f aca="false">IF(ISNUMBER(T2099),T2099,-99)</f>
        <v>20.9194818593678</v>
      </c>
      <c r="W2099" s="84" t="n">
        <f aca="false">IF(ISNUMBER(U2099),ABS(U2099),"")</f>
        <v>1.41948185936782</v>
      </c>
    </row>
    <row r="2100" customFormat="false" ht="15" hidden="false" customHeight="false" outlineLevel="0" collapsed="false">
      <c r="A2100" s="57" t="n">
        <v>33834</v>
      </c>
      <c r="B2100" s="56" t="n">
        <v>1992</v>
      </c>
      <c r="C2100" s="56" t="n">
        <v>8</v>
      </c>
      <c r="D2100" s="56" t="n">
        <v>110</v>
      </c>
      <c r="E2100" s="56" t="n">
        <v>22.5</v>
      </c>
      <c r="F2100" s="56" t="n">
        <v>0</v>
      </c>
      <c r="G2100" s="56" t="n">
        <v>12.1</v>
      </c>
      <c r="H2100" s="56" t="n">
        <v>0</v>
      </c>
      <c r="I2100" s="56" t="n">
        <v>15.8</v>
      </c>
      <c r="J2100" s="56" t="n">
        <v>0</v>
      </c>
      <c r="K2100" s="56" t="n">
        <v>1016.6</v>
      </c>
      <c r="L2100" s="56" t="n">
        <v>0</v>
      </c>
      <c r="M2100" s="56" t="n">
        <v>72</v>
      </c>
      <c r="N2100" s="56" t="n">
        <v>0.2</v>
      </c>
      <c r="O2100" s="56" t="n">
        <f aca="false">IF(D2100=1,"",E2099)</f>
        <v>19.5</v>
      </c>
      <c r="P2100" s="56" t="n">
        <f aca="false">IF(OR(D2100=1,K2099=""),"",K2099)</f>
        <v>1015.5</v>
      </c>
      <c r="Q2100" s="56" t="n">
        <f aca="false">IF(OR(F2100&lt;&gt;0,AND(I2100&lt;&gt;"",E2100&lt;I2100)),1,0)</f>
        <v>0</v>
      </c>
      <c r="R2100" s="56" t="n">
        <f aca="false">IF(AND(D2100&gt;1,Q2100=0,ISNUMBER(O2100),ISNUMBER(P2100)),IF(Q2099=0,1,0),0)</f>
        <v>1</v>
      </c>
      <c r="S2100" s="56" t="n">
        <f aca="false">R2100*(B2100&gt;=Train_Start)*(B2100&lt;=Train_End)</f>
        <v>1</v>
      </c>
      <c r="T2100" s="84" t="n">
        <f aca="false">IF(AND(ISNUMBER(O2100),ISNUMBER(P2100)),Coef_A+Coef_B1*O2100+Coef_B2*P2100,"")</f>
        <v>19.9202176871437</v>
      </c>
      <c r="U2100" s="84" t="n">
        <f aca="false">IF(AND(R2100=1,ISNUMBER(T2100)),E2100-T2100,"")</f>
        <v>2.57978231285625</v>
      </c>
      <c r="V2100" s="84" t="n">
        <f aca="false">IF(ISNUMBER(T2100),T2100,-99)</f>
        <v>19.9202176871437</v>
      </c>
      <c r="W2100" s="84" t="n">
        <f aca="false">IF(ISNUMBER(U2100),ABS(U2100),"")</f>
        <v>2.57978231285625</v>
      </c>
    </row>
    <row r="2101" customFormat="false" ht="15" hidden="false" customHeight="false" outlineLevel="0" collapsed="false">
      <c r="A2101" s="57" t="n">
        <v>33835</v>
      </c>
      <c r="B2101" s="56" t="n">
        <v>1992</v>
      </c>
      <c r="C2101" s="56" t="n">
        <v>8</v>
      </c>
      <c r="D2101" s="56" t="n">
        <v>111</v>
      </c>
      <c r="E2101" s="56" t="n">
        <v>19.8</v>
      </c>
      <c r="F2101" s="56" t="n">
        <v>0</v>
      </c>
      <c r="G2101" s="56" t="n">
        <v>14.1</v>
      </c>
      <c r="H2101" s="56" t="n">
        <v>0</v>
      </c>
      <c r="I2101" s="56" t="n">
        <v>18.3</v>
      </c>
      <c r="J2101" s="56" t="n">
        <v>0</v>
      </c>
      <c r="K2101" s="56" t="n">
        <v>1014.2</v>
      </c>
      <c r="L2101" s="56" t="n">
        <v>0</v>
      </c>
      <c r="M2101" s="56" t="n">
        <v>75</v>
      </c>
      <c r="N2101" s="56" t="n">
        <v>1.5</v>
      </c>
      <c r="O2101" s="56" t="n">
        <f aca="false">IF(D2101=1,"",E2100)</f>
        <v>22.5</v>
      </c>
      <c r="P2101" s="56" t="n">
        <f aca="false">IF(OR(D2101=1,K2100=""),"",K2100)</f>
        <v>1016.6</v>
      </c>
      <c r="Q2101" s="56" t="n">
        <f aca="false">IF(OR(F2101&lt;&gt;0,AND(I2101&lt;&gt;"",E2101&lt;I2101)),1,0)</f>
        <v>0</v>
      </c>
      <c r="R2101" s="56" t="n">
        <f aca="false">IF(AND(D2101&gt;1,Q2101=0,ISNUMBER(O2101),ISNUMBER(P2101)),IF(Q2100=0,1,0),0)</f>
        <v>1</v>
      </c>
      <c r="S2101" s="56" t="n">
        <f aca="false">R2101*(B2101&gt;=Train_Start)*(B2101&lt;=Train_End)</f>
        <v>1</v>
      </c>
      <c r="T2101" s="84" t="n">
        <f aca="false">IF(AND(ISNUMBER(O2101),ISNUMBER(P2101)),Coef_A+Coef_B1*O2101+Coef_B2*P2101,"")</f>
        <v>22.4127421503691</v>
      </c>
      <c r="U2101" s="84" t="n">
        <f aca="false">IF(AND(R2101=1,ISNUMBER(T2101)),E2101-T2101,"")</f>
        <v>-2.61274215036911</v>
      </c>
      <c r="V2101" s="84" t="n">
        <f aca="false">IF(ISNUMBER(T2101),T2101,-99)</f>
        <v>22.4127421503691</v>
      </c>
      <c r="W2101" s="84" t="n">
        <f aca="false">IF(ISNUMBER(U2101),ABS(U2101),"")</f>
        <v>2.61274215036911</v>
      </c>
    </row>
    <row r="2102" customFormat="false" ht="15" hidden="false" customHeight="false" outlineLevel="0" collapsed="false">
      <c r="A2102" s="57" t="n">
        <v>33836</v>
      </c>
      <c r="B2102" s="56" t="n">
        <v>1992</v>
      </c>
      <c r="C2102" s="56" t="n">
        <v>8</v>
      </c>
      <c r="D2102" s="56" t="n">
        <v>112</v>
      </c>
      <c r="E2102" s="56" t="n">
        <v>22.9</v>
      </c>
      <c r="F2102" s="56" t="n">
        <v>0</v>
      </c>
      <c r="G2102" s="56" t="n">
        <v>16.8</v>
      </c>
      <c r="H2102" s="56" t="n">
        <v>0</v>
      </c>
      <c r="I2102" s="56" t="n">
        <v>18.3</v>
      </c>
      <c r="J2102" s="56" t="n">
        <v>0</v>
      </c>
      <c r="K2102" s="56" t="n">
        <v>1011</v>
      </c>
      <c r="L2102" s="56" t="n">
        <v>0</v>
      </c>
      <c r="M2102" s="56" t="n">
        <v>89</v>
      </c>
      <c r="N2102" s="56" t="n">
        <v>0.6</v>
      </c>
      <c r="O2102" s="56" t="n">
        <f aca="false">IF(D2102=1,"",E2101)</f>
        <v>19.8</v>
      </c>
      <c r="P2102" s="56" t="n">
        <f aca="false">IF(OR(D2102=1,K2101=""),"",K2101)</f>
        <v>1014.2</v>
      </c>
      <c r="Q2102" s="56" t="n">
        <f aca="false">IF(OR(F2102&lt;&gt;0,AND(I2102&lt;&gt;"",E2102&lt;I2102)),1,0)</f>
        <v>0</v>
      </c>
      <c r="R2102" s="56" t="n">
        <f aca="false">IF(AND(D2102&gt;1,Q2102=0,ISNUMBER(O2102),ISNUMBER(P2102)),IF(Q2101=0,1,0),0)</f>
        <v>1</v>
      </c>
      <c r="S2102" s="56" t="n">
        <f aca="false">R2102*(B2102&gt;=Train_Start)*(B2102&lt;=Train_End)</f>
        <v>1</v>
      </c>
      <c r="T2102" s="84" t="n">
        <f aca="false">IF(AND(ISNUMBER(O2102),ISNUMBER(P2102)),Coef_A+Coef_B1*O2102+Coef_B2*P2102,"")</f>
        <v>20.1252385820324</v>
      </c>
      <c r="U2102" s="84" t="n">
        <f aca="false">IF(AND(R2102=1,ISNUMBER(T2102)),E2102-T2102,"")</f>
        <v>2.77476141796764</v>
      </c>
      <c r="V2102" s="84" t="n">
        <f aca="false">IF(ISNUMBER(T2102),T2102,-99)</f>
        <v>20.1252385820324</v>
      </c>
      <c r="W2102" s="84" t="n">
        <f aca="false">IF(ISNUMBER(U2102),ABS(U2102),"")</f>
        <v>2.77476141796764</v>
      </c>
    </row>
    <row r="2103" customFormat="false" ht="15" hidden="false" customHeight="false" outlineLevel="0" collapsed="false">
      <c r="A2103" s="57" t="n">
        <v>33837</v>
      </c>
      <c r="B2103" s="56" t="n">
        <v>1992</v>
      </c>
      <c r="C2103" s="56" t="n">
        <v>8</v>
      </c>
      <c r="D2103" s="56" t="n">
        <v>113</v>
      </c>
      <c r="E2103" s="56" t="n">
        <v>20.2</v>
      </c>
      <c r="F2103" s="56" t="n">
        <v>0</v>
      </c>
      <c r="G2103" s="56" t="n">
        <v>11.5</v>
      </c>
      <c r="H2103" s="56" t="n">
        <v>0</v>
      </c>
      <c r="I2103" s="56" t="n">
        <v>17.2</v>
      </c>
      <c r="J2103" s="56" t="n">
        <v>0</v>
      </c>
      <c r="K2103" s="56" t="n">
        <v>1013.8</v>
      </c>
      <c r="L2103" s="56" t="n">
        <v>0</v>
      </c>
      <c r="M2103" s="56" t="n">
        <v>76</v>
      </c>
      <c r="N2103" s="56" t="n">
        <v>10.3</v>
      </c>
      <c r="O2103" s="56" t="n">
        <f aca="false">IF(D2103=1,"",E2102)</f>
        <v>22.9</v>
      </c>
      <c r="P2103" s="56" t="n">
        <f aca="false">IF(OR(D2103=1,K2102=""),"",K2102)</f>
        <v>1011</v>
      </c>
      <c r="Q2103" s="56" t="n">
        <f aca="false">IF(OR(F2103&lt;&gt;0,AND(I2103&lt;&gt;"",E2103&lt;I2103)),1,0)</f>
        <v>0</v>
      </c>
      <c r="R2103" s="56" t="n">
        <f aca="false">IF(AND(D2103&gt;1,Q2103=0,ISNUMBER(O2103),ISNUMBER(P2103)),IF(Q2102=0,1,0),0)</f>
        <v>1</v>
      </c>
      <c r="S2103" s="56" t="n">
        <f aca="false">R2103*(B2103&gt;=Train_Start)*(B2103&lt;=Train_End)</f>
        <v>1</v>
      </c>
      <c r="T2103" s="84" t="n">
        <f aca="false">IF(AND(ISNUMBER(O2103),ISNUMBER(P2103)),Coef_A+Coef_B1*O2103+Coef_B2*P2103,"")</f>
        <v>22.5648064176358</v>
      </c>
      <c r="U2103" s="84" t="n">
        <f aca="false">IF(AND(R2103=1,ISNUMBER(T2103)),E2103-T2103,"")</f>
        <v>-2.36480641763583</v>
      </c>
      <c r="V2103" s="84" t="n">
        <f aca="false">IF(ISNUMBER(T2103),T2103,-99)</f>
        <v>22.5648064176358</v>
      </c>
      <c r="W2103" s="84" t="n">
        <f aca="false">IF(ISNUMBER(U2103),ABS(U2103),"")</f>
        <v>2.36480641763583</v>
      </c>
    </row>
    <row r="2104" customFormat="false" ht="15" hidden="false" customHeight="false" outlineLevel="0" collapsed="false">
      <c r="A2104" s="57" t="n">
        <v>33838</v>
      </c>
      <c r="B2104" s="56" t="n">
        <v>1992</v>
      </c>
      <c r="C2104" s="56" t="n">
        <v>8</v>
      </c>
      <c r="D2104" s="56" t="n">
        <v>114</v>
      </c>
      <c r="E2104" s="56" t="n">
        <v>20.4</v>
      </c>
      <c r="F2104" s="56" t="n">
        <v>0</v>
      </c>
      <c r="G2104" s="56" t="n">
        <v>13.5</v>
      </c>
      <c r="H2104" s="56" t="n">
        <v>0</v>
      </c>
      <c r="I2104" s="56" t="n">
        <v>16.8</v>
      </c>
      <c r="J2104" s="56" t="n">
        <v>0</v>
      </c>
      <c r="K2104" s="56" t="n">
        <v>1007.5</v>
      </c>
      <c r="L2104" s="56" t="n">
        <v>0</v>
      </c>
      <c r="M2104" s="56" t="n">
        <v>84</v>
      </c>
      <c r="N2104" s="56" t="n">
        <v>0.6</v>
      </c>
      <c r="O2104" s="56" t="n">
        <f aca="false">IF(D2104=1,"",E2103)</f>
        <v>20.2</v>
      </c>
      <c r="P2104" s="56" t="n">
        <f aca="false">IF(OR(D2104=1,K2103=""),"",K2103)</f>
        <v>1013.8</v>
      </c>
      <c r="Q2104" s="56" t="n">
        <f aca="false">IF(OR(F2104&lt;&gt;0,AND(I2104&lt;&gt;"",E2104&lt;I2104)),1,0)</f>
        <v>0</v>
      </c>
      <c r="R2104" s="56" t="n">
        <f aca="false">IF(AND(D2104&gt;1,Q2104=0,ISNUMBER(O2104),ISNUMBER(P2104)),IF(Q2103=0,1,0),0)</f>
        <v>1</v>
      </c>
      <c r="S2104" s="56" t="n">
        <f aca="false">R2104*(B2104&gt;=Train_Start)*(B2104&lt;=Train_End)</f>
        <v>1</v>
      </c>
      <c r="T2104" s="84" t="n">
        <f aca="false">IF(AND(ISNUMBER(O2104),ISNUMBER(P2104)),Coef_A+Coef_B1*O2104+Coef_B2*P2104,"")</f>
        <v>20.4404263013958</v>
      </c>
      <c r="U2104" s="84" t="n">
        <f aca="false">IF(AND(R2104=1,ISNUMBER(T2104)),E2104-T2104,"")</f>
        <v>-0.0404263013958257</v>
      </c>
      <c r="V2104" s="84" t="n">
        <f aca="false">IF(ISNUMBER(T2104),T2104,-99)</f>
        <v>20.4404263013958</v>
      </c>
      <c r="W2104" s="84" t="n">
        <f aca="false">IF(ISNUMBER(U2104),ABS(U2104),"")</f>
        <v>0.0404263013958257</v>
      </c>
    </row>
    <row r="2105" customFormat="false" ht="15" hidden="false" customHeight="false" outlineLevel="0" collapsed="false">
      <c r="A2105" s="57" t="n">
        <v>33839</v>
      </c>
      <c r="B2105" s="56" t="n">
        <v>1992</v>
      </c>
      <c r="C2105" s="56" t="n">
        <v>8</v>
      </c>
      <c r="D2105" s="56" t="n">
        <v>115</v>
      </c>
      <c r="E2105" s="56" t="n">
        <v>19.5</v>
      </c>
      <c r="F2105" s="56" t="n">
        <v>0</v>
      </c>
      <c r="G2105" s="56" t="n">
        <v>9.2</v>
      </c>
      <c r="H2105" s="56" t="n">
        <v>0</v>
      </c>
      <c r="I2105" s="56" t="n">
        <v>14.8</v>
      </c>
      <c r="J2105" s="56" t="n">
        <v>0</v>
      </c>
      <c r="K2105" s="56" t="n">
        <v>1012.4</v>
      </c>
      <c r="L2105" s="56" t="n">
        <v>0</v>
      </c>
      <c r="M2105" s="56" t="n">
        <v>74</v>
      </c>
      <c r="N2105" s="56" t="n">
        <v>7</v>
      </c>
      <c r="O2105" s="56" t="n">
        <f aca="false">IF(D2105=1,"",E2104)</f>
        <v>20.4</v>
      </c>
      <c r="P2105" s="56" t="n">
        <f aca="false">IF(OR(D2105=1,K2104=""),"",K2104)</f>
        <v>1007.5</v>
      </c>
      <c r="Q2105" s="56" t="n">
        <f aca="false">IF(OR(F2105&lt;&gt;0,AND(I2105&lt;&gt;"",E2105&lt;I2105)),1,0)</f>
        <v>0</v>
      </c>
      <c r="R2105" s="56" t="n">
        <f aca="false">IF(AND(D2105&gt;1,Q2105=0,ISNUMBER(O2105),ISNUMBER(P2105)),IF(Q2104=0,1,0),0)</f>
        <v>1</v>
      </c>
      <c r="S2105" s="56" t="n">
        <f aca="false">R2105*(B2105&gt;=Train_Start)*(B2105&lt;=Train_End)</f>
        <v>1</v>
      </c>
      <c r="T2105" s="84" t="n">
        <f aca="false">IF(AND(ISNUMBER(O2105),ISNUMBER(P2105)),Coef_A+Coef_B1*O2105+Coef_B2*P2105,"")</f>
        <v>20.4066638038102</v>
      </c>
      <c r="U2105" s="84" t="n">
        <f aca="false">IF(AND(R2105=1,ISNUMBER(T2105)),E2105-T2105,"")</f>
        <v>-0.906663803810226</v>
      </c>
      <c r="V2105" s="84" t="n">
        <f aca="false">IF(ISNUMBER(T2105),T2105,-99)</f>
        <v>20.4066638038102</v>
      </c>
      <c r="W2105" s="84" t="n">
        <f aca="false">IF(ISNUMBER(U2105),ABS(U2105),"")</f>
        <v>0.906663803810226</v>
      </c>
    </row>
    <row r="2106" customFormat="false" ht="15" hidden="false" customHeight="false" outlineLevel="0" collapsed="false">
      <c r="A2106" s="57" t="n">
        <v>33840</v>
      </c>
      <c r="B2106" s="56" t="n">
        <v>1992</v>
      </c>
      <c r="C2106" s="56" t="n">
        <v>8</v>
      </c>
      <c r="D2106" s="56" t="n">
        <v>116</v>
      </c>
      <c r="E2106" s="56" t="n">
        <v>23.7</v>
      </c>
      <c r="F2106" s="56" t="n">
        <v>0</v>
      </c>
      <c r="G2106" s="56" t="n">
        <v>12.9</v>
      </c>
      <c r="H2106" s="56" t="n">
        <v>0</v>
      </c>
      <c r="I2106" s="56" t="n">
        <v>16.2</v>
      </c>
      <c r="J2106" s="56" t="n">
        <v>0</v>
      </c>
      <c r="K2106" s="56" t="n">
        <v>1011.7</v>
      </c>
      <c r="L2106" s="56" t="n">
        <v>0</v>
      </c>
      <c r="M2106" s="56" t="n">
        <v>85</v>
      </c>
      <c r="N2106" s="56" t="n">
        <v>1.1</v>
      </c>
      <c r="O2106" s="56" t="n">
        <f aca="false">IF(D2106=1,"",E2105)</f>
        <v>19.5</v>
      </c>
      <c r="P2106" s="56" t="n">
        <f aca="false">IF(OR(D2106=1,K2105=""),"",K2105)</f>
        <v>1012.4</v>
      </c>
      <c r="Q2106" s="56" t="n">
        <f aca="false">IF(OR(F2106&lt;&gt;0,AND(I2106&lt;&gt;"",E2106&lt;I2106)),1,0)</f>
        <v>0</v>
      </c>
      <c r="R2106" s="56" t="n">
        <f aca="false">IF(AND(D2106&gt;1,Q2106=0,ISNUMBER(O2106),ISNUMBER(P2106)),IF(Q2105=0,1,0),0)</f>
        <v>1</v>
      </c>
      <c r="S2106" s="56" t="n">
        <f aca="false">R2106*(B2106&gt;=Train_Start)*(B2106&lt;=Train_End)</f>
        <v>1</v>
      </c>
      <c r="T2106" s="84" t="n">
        <f aca="false">IF(AND(ISNUMBER(O2106),ISNUMBER(P2106)),Coef_A+Coef_B1*O2106+Coef_B2*P2106,"")</f>
        <v>19.8229710137784</v>
      </c>
      <c r="U2106" s="84" t="n">
        <f aca="false">IF(AND(R2106=1,ISNUMBER(T2106)),E2106-T2106,"")</f>
        <v>3.87702898622162</v>
      </c>
      <c r="V2106" s="84" t="n">
        <f aca="false">IF(ISNUMBER(T2106),T2106,-99)</f>
        <v>19.8229710137784</v>
      </c>
      <c r="W2106" s="84" t="n">
        <f aca="false">IF(ISNUMBER(U2106),ABS(U2106),"")</f>
        <v>3.87702898622162</v>
      </c>
    </row>
    <row r="2107" customFormat="false" ht="15" hidden="false" customHeight="false" outlineLevel="0" collapsed="false">
      <c r="A2107" s="57" t="n">
        <v>33841</v>
      </c>
      <c r="B2107" s="56" t="n">
        <v>1992</v>
      </c>
      <c r="C2107" s="56" t="n">
        <v>8</v>
      </c>
      <c r="D2107" s="56" t="n">
        <v>117</v>
      </c>
      <c r="E2107" s="56" t="n">
        <v>19.3</v>
      </c>
      <c r="F2107" s="56" t="n">
        <v>0</v>
      </c>
      <c r="G2107" s="56" t="n">
        <v>14.5</v>
      </c>
      <c r="H2107" s="56" t="n">
        <v>0</v>
      </c>
      <c r="I2107" s="56" t="n">
        <v>19.1</v>
      </c>
      <c r="J2107" s="56" t="n">
        <v>0</v>
      </c>
      <c r="K2107" s="56" t="n">
        <v>1010.9</v>
      </c>
      <c r="L2107" s="56" t="n">
        <v>0</v>
      </c>
      <c r="M2107" s="56" t="n">
        <v>76</v>
      </c>
      <c r="N2107" s="56" t="n">
        <v>8.9</v>
      </c>
      <c r="O2107" s="56" t="n">
        <f aca="false">IF(D2107=1,"",E2106)</f>
        <v>23.7</v>
      </c>
      <c r="P2107" s="56" t="n">
        <f aca="false">IF(OR(D2107=1,K2106=""),"",K2106)</f>
        <v>1011.7</v>
      </c>
      <c r="Q2107" s="56" t="n">
        <f aca="false">IF(OR(F2107&lt;&gt;0,AND(I2107&lt;&gt;"",E2107&lt;I2107)),1,0)</f>
        <v>0</v>
      </c>
      <c r="R2107" s="56" t="n">
        <f aca="false">IF(AND(D2107&gt;1,Q2107=0,ISNUMBER(O2107),ISNUMBER(P2107)),IF(Q2106=0,1,0),0)</f>
        <v>1</v>
      </c>
      <c r="S2107" s="56" t="n">
        <f aca="false">R2107*(B2107&gt;=Train_Start)*(B2107&lt;=Train_End)</f>
        <v>1</v>
      </c>
      <c r="T2107" s="84" t="n">
        <f aca="false">IF(AND(ISNUMBER(O2107),ISNUMBER(P2107)),Coef_A+Coef_B1*O2107+Coef_B2*P2107,"")</f>
        <v>23.2422366983138</v>
      </c>
      <c r="U2107" s="84" t="n">
        <f aca="false">IF(AND(R2107=1,ISNUMBER(T2107)),E2107-T2107,"")</f>
        <v>-3.94223669831375</v>
      </c>
      <c r="V2107" s="84" t="n">
        <f aca="false">IF(ISNUMBER(T2107),T2107,-99)</f>
        <v>23.2422366983138</v>
      </c>
      <c r="W2107" s="84" t="n">
        <f aca="false">IF(ISNUMBER(U2107),ABS(U2107),"")</f>
        <v>3.94223669831375</v>
      </c>
    </row>
    <row r="2108" customFormat="false" ht="15" hidden="false" customHeight="false" outlineLevel="0" collapsed="false">
      <c r="A2108" s="57" t="n">
        <v>33842</v>
      </c>
      <c r="B2108" s="56" t="n">
        <v>1992</v>
      </c>
      <c r="C2108" s="56" t="n">
        <v>8</v>
      </c>
      <c r="D2108" s="56" t="n">
        <v>118</v>
      </c>
      <c r="E2108" s="56" t="n">
        <v>21.9</v>
      </c>
      <c r="F2108" s="56" t="n">
        <v>0</v>
      </c>
      <c r="G2108" s="56" t="n">
        <v>13.7</v>
      </c>
      <c r="H2108" s="56" t="n">
        <v>0</v>
      </c>
      <c r="I2108" s="56" t="n">
        <v>16.5</v>
      </c>
      <c r="J2108" s="56" t="n">
        <v>0</v>
      </c>
      <c r="K2108" s="56" t="n">
        <v>1009.2</v>
      </c>
      <c r="L2108" s="56" t="n">
        <v>0</v>
      </c>
      <c r="M2108" s="56" t="n">
        <v>84</v>
      </c>
      <c r="N2108" s="56" t="n">
        <v>0.8</v>
      </c>
      <c r="O2108" s="56" t="n">
        <f aca="false">IF(D2108=1,"",E2107)</f>
        <v>19.3</v>
      </c>
      <c r="P2108" s="56" t="n">
        <f aca="false">IF(OR(D2108=1,K2107=""),"",K2107)</f>
        <v>1010.9</v>
      </c>
      <c r="Q2108" s="56" t="n">
        <f aca="false">IF(OR(F2108&lt;&gt;0,AND(I2108&lt;&gt;"",E2108&lt;I2108)),1,0)</f>
        <v>0</v>
      </c>
      <c r="R2108" s="56" t="n">
        <f aca="false">IF(AND(D2108&gt;1,Q2108=0,ISNUMBER(O2108),ISNUMBER(P2108)),IF(Q2107=0,1,0),0)</f>
        <v>1</v>
      </c>
      <c r="S2108" s="56" t="n">
        <f aca="false">R2108*(B2108&gt;=Train_Start)*(B2108&lt;=Train_End)</f>
        <v>1</v>
      </c>
      <c r="T2108" s="84" t="n">
        <f aca="false">IF(AND(ISNUMBER(O2108),ISNUMBER(P2108)),Coef_A+Coef_B1*O2108+Coef_B2*P2108,"")</f>
        <v>19.6120483332189</v>
      </c>
      <c r="U2108" s="84" t="n">
        <f aca="false">IF(AND(R2108=1,ISNUMBER(T2108)),E2108-T2108,"")</f>
        <v>2.28795166678113</v>
      </c>
      <c r="V2108" s="84" t="n">
        <f aca="false">IF(ISNUMBER(T2108),T2108,-99)</f>
        <v>19.6120483332189</v>
      </c>
      <c r="W2108" s="84" t="n">
        <f aca="false">IF(ISNUMBER(U2108),ABS(U2108),"")</f>
        <v>2.28795166678113</v>
      </c>
    </row>
    <row r="2109" customFormat="false" ht="15" hidden="false" customHeight="false" outlineLevel="0" collapsed="false">
      <c r="A2109" s="57" t="n">
        <v>33843</v>
      </c>
      <c r="B2109" s="56" t="n">
        <v>1992</v>
      </c>
      <c r="C2109" s="56" t="n">
        <v>8</v>
      </c>
      <c r="D2109" s="56" t="n">
        <v>119</v>
      </c>
      <c r="E2109" s="56" t="n">
        <v>21.2</v>
      </c>
      <c r="F2109" s="56" t="n">
        <v>0</v>
      </c>
      <c r="G2109" s="56" t="n">
        <v>14.5</v>
      </c>
      <c r="H2109" s="56" t="n">
        <v>0</v>
      </c>
      <c r="I2109" s="56" t="n">
        <v>18.2</v>
      </c>
      <c r="J2109" s="56" t="n">
        <v>0</v>
      </c>
      <c r="K2109" s="56" t="n">
        <v>1002.3</v>
      </c>
      <c r="L2109" s="56" t="n">
        <v>0</v>
      </c>
      <c r="M2109" s="56" t="n">
        <v>79</v>
      </c>
      <c r="N2109" s="56" t="n">
        <v>0.1</v>
      </c>
      <c r="O2109" s="56" t="n">
        <f aca="false">IF(D2109=1,"",E2108)</f>
        <v>21.9</v>
      </c>
      <c r="P2109" s="56" t="n">
        <f aca="false">IF(OR(D2109=1,K2108=""),"",K2108)</f>
        <v>1009.2</v>
      </c>
      <c r="Q2109" s="56" t="n">
        <f aca="false">IF(OR(F2109&lt;&gt;0,AND(I2109&lt;&gt;"",E2109&lt;I2109)),1,0)</f>
        <v>0</v>
      </c>
      <c r="R2109" s="56" t="n">
        <f aca="false">IF(AND(D2109&gt;1,Q2109=0,ISNUMBER(O2109),ISNUMBER(P2109)),IF(Q2108=0,1,0),0)</f>
        <v>1</v>
      </c>
      <c r="S2109" s="56" t="n">
        <f aca="false">R2109*(B2109&gt;=Train_Start)*(B2109&lt;=Train_End)</f>
        <v>1</v>
      </c>
      <c r="T2109" s="84" t="n">
        <f aca="false">IF(AND(ISNUMBER(O2109),ISNUMBER(P2109)),Coef_A+Coef_B1*O2109+Coef_B2*P2109,"")</f>
        <v>21.689001414252</v>
      </c>
      <c r="U2109" s="84" t="n">
        <f aca="false">IF(AND(R2109=1,ISNUMBER(T2109)),E2109-T2109,"")</f>
        <v>-0.489001414251998</v>
      </c>
      <c r="V2109" s="84" t="n">
        <f aca="false">IF(ISNUMBER(T2109),T2109,-99)</f>
        <v>21.689001414252</v>
      </c>
      <c r="W2109" s="84" t="n">
        <f aca="false">IF(ISNUMBER(U2109),ABS(U2109),"")</f>
        <v>0.489001414251998</v>
      </c>
    </row>
    <row r="2110" customFormat="false" ht="15" hidden="false" customHeight="false" outlineLevel="0" collapsed="false">
      <c r="A2110" s="57" t="n">
        <v>33844</v>
      </c>
      <c r="B2110" s="56" t="n">
        <v>1992</v>
      </c>
      <c r="C2110" s="56" t="n">
        <v>8</v>
      </c>
      <c r="D2110" s="56" t="n">
        <v>120</v>
      </c>
      <c r="E2110" s="56" t="n">
        <v>19.2</v>
      </c>
      <c r="F2110" s="56" t="n">
        <v>0</v>
      </c>
      <c r="G2110" s="56" t="n">
        <v>15.4</v>
      </c>
      <c r="H2110" s="56" t="n">
        <v>0</v>
      </c>
      <c r="I2110" s="56" t="n">
        <v>18.3</v>
      </c>
      <c r="J2110" s="56" t="n">
        <v>0</v>
      </c>
      <c r="K2110" s="56" t="n">
        <v>1002.2</v>
      </c>
      <c r="L2110" s="56" t="n">
        <v>0</v>
      </c>
      <c r="M2110" s="56" t="n">
        <v>71</v>
      </c>
      <c r="N2110" s="56" t="n">
        <v>5.1</v>
      </c>
      <c r="O2110" s="56" t="n">
        <f aca="false">IF(D2110=1,"",E2109)</f>
        <v>21.2</v>
      </c>
      <c r="P2110" s="56" t="n">
        <f aca="false">IF(OR(D2110=1,K2109=""),"",K2109)</f>
        <v>1002.3</v>
      </c>
      <c r="Q2110" s="56" t="n">
        <f aca="false">IF(OR(F2110&lt;&gt;0,AND(I2110&lt;&gt;"",E2110&lt;I2110)),1,0)</f>
        <v>0</v>
      </c>
      <c r="R2110" s="56" t="n">
        <f aca="false">IF(AND(D2110&gt;1,Q2110=0,ISNUMBER(O2110),ISNUMBER(P2110)),IF(Q2109=0,1,0),0)</f>
        <v>1</v>
      </c>
      <c r="S2110" s="56" t="n">
        <f aca="false">R2110*(B2110&gt;=Train_Start)*(B2110&lt;=Train_End)</f>
        <v>1</v>
      </c>
      <c r="T2110" s="84" t="n">
        <f aca="false">IF(AND(ISNUMBER(O2110),ISNUMBER(P2110)),Coef_A+Coef_B1*O2110+Coef_B2*P2110,"")</f>
        <v>20.8990117061476</v>
      </c>
      <c r="U2110" s="84" t="n">
        <f aca="false">IF(AND(R2110=1,ISNUMBER(T2110)),E2110-T2110,"")</f>
        <v>-1.6990117061476</v>
      </c>
      <c r="V2110" s="84" t="n">
        <f aca="false">IF(ISNUMBER(T2110),T2110,-99)</f>
        <v>20.8990117061476</v>
      </c>
      <c r="W2110" s="84" t="n">
        <f aca="false">IF(ISNUMBER(U2110),ABS(U2110),"")</f>
        <v>1.6990117061476</v>
      </c>
    </row>
    <row r="2111" customFormat="false" ht="15" hidden="false" customHeight="false" outlineLevel="0" collapsed="false">
      <c r="A2111" s="57" t="n">
        <v>33845</v>
      </c>
      <c r="B2111" s="56" t="n">
        <v>1992</v>
      </c>
      <c r="C2111" s="56" t="n">
        <v>8</v>
      </c>
      <c r="D2111" s="56" t="n">
        <v>121</v>
      </c>
      <c r="E2111" s="56" t="n">
        <v>18.4</v>
      </c>
      <c r="F2111" s="56" t="n">
        <v>0</v>
      </c>
      <c r="G2111" s="56" t="n">
        <v>9.8</v>
      </c>
      <c r="H2111" s="56" t="n">
        <v>0</v>
      </c>
      <c r="I2111" s="56" t="n">
        <v>14.5</v>
      </c>
      <c r="J2111" s="56" t="n">
        <v>0</v>
      </c>
      <c r="K2111" s="56" t="n">
        <v>1005.1</v>
      </c>
      <c r="L2111" s="56" t="n">
        <v>0</v>
      </c>
      <c r="M2111" s="56" t="n">
        <v>71</v>
      </c>
      <c r="N2111" s="56" t="n">
        <v>6.9</v>
      </c>
      <c r="O2111" s="56" t="n">
        <f aca="false">IF(D2111=1,"",E2110)</f>
        <v>19.2</v>
      </c>
      <c r="P2111" s="56" t="n">
        <f aca="false">IF(OR(D2111=1,K2110=""),"",K2110)</f>
        <v>1002.2</v>
      </c>
      <c r="Q2111" s="56" t="n">
        <f aca="false">IF(OR(F2111&lt;&gt;0,AND(I2111&lt;&gt;"",E2111&lt;I2111)),1,0)</f>
        <v>0</v>
      </c>
      <c r="R2111" s="56" t="n">
        <f aca="false">IF(AND(D2111&gt;1,Q2111=0,ISNUMBER(O2111),ISNUMBER(P2111)),IF(Q2110=0,1,0),0)</f>
        <v>1</v>
      </c>
      <c r="S2111" s="56" t="n">
        <f aca="false">R2111*(B2111&gt;=Train_Start)*(B2111&lt;=Train_End)</f>
        <v>1</v>
      </c>
      <c r="T2111" s="84" t="n">
        <f aca="false">IF(AND(ISNUMBER(O2111),ISNUMBER(P2111)),Coef_A+Coef_B1*O2111+Coef_B2*P2111,"")</f>
        <v>19.2571963305989</v>
      </c>
      <c r="U2111" s="84" t="n">
        <f aca="false">IF(AND(R2111=1,ISNUMBER(T2111)),E2111-T2111,"")</f>
        <v>-0.857196330598896</v>
      </c>
      <c r="V2111" s="84" t="n">
        <f aca="false">IF(ISNUMBER(T2111),T2111,-99)</f>
        <v>19.2571963305989</v>
      </c>
      <c r="W2111" s="84" t="n">
        <f aca="false">IF(ISNUMBER(U2111),ABS(U2111),"")</f>
        <v>0.857196330598896</v>
      </c>
    </row>
    <row r="2112" customFormat="false" ht="15" hidden="false" customHeight="false" outlineLevel="0" collapsed="false">
      <c r="A2112" s="57" t="n">
        <v>33846</v>
      </c>
      <c r="B2112" s="56" t="n">
        <v>1992</v>
      </c>
      <c r="C2112" s="56" t="n">
        <v>8</v>
      </c>
      <c r="D2112" s="56" t="n">
        <v>122</v>
      </c>
      <c r="E2112" s="56" t="n">
        <v>18</v>
      </c>
      <c r="F2112" s="56" t="n">
        <v>0</v>
      </c>
      <c r="G2112" s="56" t="n">
        <v>12.9</v>
      </c>
      <c r="H2112" s="56" t="n">
        <v>0</v>
      </c>
      <c r="I2112" s="56" t="n">
        <v>15.6</v>
      </c>
      <c r="J2112" s="56" t="n">
        <v>0</v>
      </c>
      <c r="K2112" s="56" t="n">
        <v>991.6</v>
      </c>
      <c r="L2112" s="56" t="n">
        <v>0</v>
      </c>
      <c r="M2112" s="56" t="n">
        <v>75</v>
      </c>
      <c r="N2112" s="56" t="n">
        <v>5.3</v>
      </c>
      <c r="O2112" s="56" t="n">
        <f aca="false">IF(D2112=1,"",E2111)</f>
        <v>18.4</v>
      </c>
      <c r="P2112" s="56" t="n">
        <f aca="false">IF(OR(D2112=1,K2111=""),"",K2111)</f>
        <v>1005.1</v>
      </c>
      <c r="Q2112" s="56" t="n">
        <f aca="false">IF(OR(F2112&lt;&gt;0,AND(I2112&lt;&gt;"",E2112&lt;I2112)),1,0)</f>
        <v>0</v>
      </c>
      <c r="R2112" s="56" t="n">
        <f aca="false">IF(AND(D2112&gt;1,Q2112=0,ISNUMBER(O2112),ISNUMBER(P2112)),IF(Q2111=0,1,0),0)</f>
        <v>1</v>
      </c>
      <c r="S2112" s="56" t="n">
        <f aca="false">R2112*(B2112&gt;=Train_Start)*(B2112&lt;=Train_End)</f>
        <v>1</v>
      </c>
      <c r="T2112" s="84" t="n">
        <f aca="false">IF(AND(ISNUMBER(O2112),ISNUMBER(P2112)),Coef_A+Coef_B1*O2112+Coef_B2*P2112,"")</f>
        <v>18.6926976706033</v>
      </c>
      <c r="U2112" s="84" t="n">
        <f aca="false">IF(AND(R2112=1,ISNUMBER(T2112)),E2112-T2112,"")</f>
        <v>-0.692697670603337</v>
      </c>
      <c r="V2112" s="84" t="n">
        <f aca="false">IF(ISNUMBER(T2112),T2112,-99)</f>
        <v>18.6926976706033</v>
      </c>
      <c r="W2112" s="84" t="n">
        <f aca="false">IF(ISNUMBER(U2112),ABS(U2112),"")</f>
        <v>0.692697670603337</v>
      </c>
    </row>
    <row r="2113" customFormat="false" ht="15" hidden="false" customHeight="false" outlineLevel="0" collapsed="false">
      <c r="A2113" s="57" t="n">
        <v>33847</v>
      </c>
      <c r="B2113" s="56" t="n">
        <v>1992</v>
      </c>
      <c r="C2113" s="56" t="n">
        <v>8</v>
      </c>
      <c r="D2113" s="56" t="n">
        <v>123</v>
      </c>
      <c r="E2113" s="56" t="n">
        <v>17.2</v>
      </c>
      <c r="F2113" s="56" t="n">
        <v>0</v>
      </c>
      <c r="G2113" s="56" t="n">
        <v>9.1</v>
      </c>
      <c r="H2113" s="56" t="n">
        <v>0</v>
      </c>
      <c r="I2113" s="56" t="n">
        <v>13.6</v>
      </c>
      <c r="J2113" s="56" t="n">
        <v>0</v>
      </c>
      <c r="K2113" s="56" t="n">
        <v>999.3</v>
      </c>
      <c r="L2113" s="56" t="n">
        <v>0</v>
      </c>
      <c r="M2113" s="56" t="n">
        <v>72</v>
      </c>
      <c r="N2113" s="56" t="n">
        <v>4.2</v>
      </c>
      <c r="O2113" s="56" t="n">
        <f aca="false">IF(D2113=1,"",E2112)</f>
        <v>18</v>
      </c>
      <c r="P2113" s="56" t="n">
        <f aca="false">IF(OR(D2113=1,K2112=""),"",K2112)</f>
        <v>991.6</v>
      </c>
      <c r="Q2113" s="56" t="n">
        <f aca="false">IF(OR(F2113&lt;&gt;0,AND(I2113&lt;&gt;"",E2113&lt;I2113)),1,0)</f>
        <v>0</v>
      </c>
      <c r="R2113" s="56" t="n">
        <f aca="false">IF(AND(D2113&gt;1,Q2113=0,ISNUMBER(O2113),ISNUMBER(P2113)),IF(Q2112=0,1,0),0)</f>
        <v>1</v>
      </c>
      <c r="S2113" s="56" t="n">
        <f aca="false">R2113*(B2113&gt;=Train_Start)*(B2113&lt;=Train_End)</f>
        <v>1</v>
      </c>
      <c r="T2113" s="84" t="n">
        <f aca="false">IF(AND(ISNUMBER(O2113),ISNUMBER(P2113)),Coef_A+Coef_B1*O2113+Coef_B2*P2113,"")</f>
        <v>17.9414684158274</v>
      </c>
      <c r="U2113" s="84" t="n">
        <f aca="false">IF(AND(R2113=1,ISNUMBER(T2113)),E2113-T2113,"")</f>
        <v>-0.741468415827416</v>
      </c>
      <c r="V2113" s="84" t="n">
        <f aca="false">IF(ISNUMBER(T2113),T2113,-99)</f>
        <v>17.9414684158274</v>
      </c>
      <c r="W2113" s="84" t="n">
        <f aca="false">IF(ISNUMBER(U2113),ABS(U2113),"")</f>
        <v>0.741468415827416</v>
      </c>
    </row>
    <row r="2114" customFormat="false" ht="15" hidden="false" customHeight="false" outlineLevel="0" collapsed="false">
      <c r="A2114" s="57" t="n">
        <v>33848</v>
      </c>
      <c r="B2114" s="56" t="n">
        <v>1992</v>
      </c>
      <c r="C2114" s="56" t="n">
        <v>9</v>
      </c>
      <c r="D2114" s="56" t="n">
        <v>124</v>
      </c>
      <c r="E2114" s="56" t="n">
        <v>21.7</v>
      </c>
      <c r="F2114" s="56" t="n">
        <v>0</v>
      </c>
      <c r="G2114" s="56" t="n">
        <v>9.2</v>
      </c>
      <c r="H2114" s="56" t="n">
        <v>0</v>
      </c>
      <c r="I2114" s="56" t="n">
        <v>13.2</v>
      </c>
      <c r="J2114" s="56" t="n">
        <v>0</v>
      </c>
      <c r="K2114" s="56" t="n">
        <v>1012.1</v>
      </c>
      <c r="L2114" s="56" t="n">
        <v>0</v>
      </c>
      <c r="M2114" s="56" t="n">
        <v>70</v>
      </c>
      <c r="N2114" s="56" t="n">
        <v>6.4</v>
      </c>
      <c r="O2114" s="56" t="n">
        <f aca="false">IF(D2114=1,"",E2113)</f>
        <v>17.2</v>
      </c>
      <c r="P2114" s="56" t="n">
        <f aca="false">IF(OR(D2114=1,K2113=""),"",K2113)</f>
        <v>999.3</v>
      </c>
      <c r="Q2114" s="56" t="n">
        <f aca="false">IF(OR(F2114&lt;&gt;0,AND(I2114&lt;&gt;"",E2114&lt;I2114)),1,0)</f>
        <v>0</v>
      </c>
      <c r="R2114" s="56" t="n">
        <f aca="false">IF(AND(D2114&gt;1,Q2114=0,ISNUMBER(O2114),ISNUMBER(P2114)),IF(Q2113=0,1,0),0)</f>
        <v>1</v>
      </c>
      <c r="S2114" s="56" t="n">
        <f aca="false">R2114*(B2114&gt;=Train_Start)*(B2114&lt;=Train_End)</f>
        <v>1</v>
      </c>
      <c r="T2114" s="84" t="n">
        <f aca="false">IF(AND(ISNUMBER(O2114),ISNUMBER(P2114)),Coef_A+Coef_B1*O2114+Coef_B2*P2114,"")</f>
        <v>17.527545250075</v>
      </c>
      <c r="U2114" s="84" t="n">
        <f aca="false">IF(AND(R2114=1,ISNUMBER(T2114)),E2114-T2114,"")</f>
        <v>4.17245474992499</v>
      </c>
      <c r="V2114" s="84" t="n">
        <f aca="false">IF(ISNUMBER(T2114),T2114,-99)</f>
        <v>17.527545250075</v>
      </c>
      <c r="W2114" s="84" t="n">
        <f aca="false">IF(ISNUMBER(U2114),ABS(U2114),"")</f>
        <v>4.17245474992499</v>
      </c>
    </row>
    <row r="2115" customFormat="false" ht="15" hidden="false" customHeight="false" outlineLevel="0" collapsed="false">
      <c r="A2115" s="57" t="n">
        <v>33849</v>
      </c>
      <c r="B2115" s="56" t="n">
        <v>1992</v>
      </c>
      <c r="C2115" s="56" t="n">
        <v>9</v>
      </c>
      <c r="D2115" s="56" t="n">
        <v>125</v>
      </c>
      <c r="E2115" s="56" t="n">
        <v>17.5</v>
      </c>
      <c r="F2115" s="56" t="n">
        <v>0</v>
      </c>
      <c r="G2115" s="56" t="n">
        <v>12.6</v>
      </c>
      <c r="H2115" s="56" t="n">
        <v>0</v>
      </c>
      <c r="I2115" s="56" t="n">
        <v>17.2</v>
      </c>
      <c r="J2115" s="56" t="n">
        <v>0</v>
      </c>
      <c r="K2115" s="56" t="n">
        <v>1007.9</v>
      </c>
      <c r="L2115" s="56" t="n">
        <v>0</v>
      </c>
      <c r="M2115" s="56" t="n">
        <v>80</v>
      </c>
      <c r="N2115" s="56" t="n">
        <v>2.5</v>
      </c>
      <c r="O2115" s="56" t="n">
        <f aca="false">IF(D2115=1,"",E2114)</f>
        <v>21.7</v>
      </c>
      <c r="P2115" s="56" t="n">
        <f aca="false">IF(OR(D2115=1,K2114=""),"",K2114)</f>
        <v>1012.1</v>
      </c>
      <c r="Q2115" s="56" t="n">
        <f aca="false">IF(OR(F2115&lt;&gt;0,AND(I2115&lt;&gt;"",E2115&lt;I2115)),1,0)</f>
        <v>0</v>
      </c>
      <c r="R2115" s="56" t="n">
        <f aca="false">IF(AND(D2115&gt;1,Q2115=0,ISNUMBER(O2115),ISNUMBER(P2115)),IF(Q2114=0,1,0),0)</f>
        <v>1</v>
      </c>
      <c r="S2115" s="56" t="n">
        <f aca="false">R2115*(B2115&gt;=Train_Start)*(B2115&lt;=Train_End)</f>
        <v>1</v>
      </c>
      <c r="T2115" s="84" t="n">
        <f aca="false">IF(AND(ISNUMBER(O2115),ISNUMBER(P2115)),Coef_A+Coef_B1*O2115+Coef_B2*P2115,"")</f>
        <v>21.616106270082</v>
      </c>
      <c r="U2115" s="84" t="n">
        <f aca="false">IF(AND(R2115=1,ISNUMBER(T2115)),E2115-T2115,"")</f>
        <v>-4.11610627008203</v>
      </c>
      <c r="V2115" s="84" t="n">
        <f aca="false">IF(ISNUMBER(T2115),T2115,-99)</f>
        <v>21.616106270082</v>
      </c>
      <c r="W2115" s="84" t="n">
        <f aca="false">IF(ISNUMBER(U2115),ABS(U2115),"")</f>
        <v>4.11610627008203</v>
      </c>
    </row>
    <row r="2116" customFormat="false" ht="15" hidden="false" customHeight="false" outlineLevel="0" collapsed="false">
      <c r="A2116" s="57" t="n">
        <v>33850</v>
      </c>
      <c r="B2116" s="56" t="n">
        <v>1992</v>
      </c>
      <c r="C2116" s="56" t="n">
        <v>9</v>
      </c>
      <c r="D2116" s="56" t="n">
        <v>126</v>
      </c>
      <c r="E2116" s="56" t="n">
        <v>17.2</v>
      </c>
      <c r="F2116" s="56" t="n">
        <v>0</v>
      </c>
      <c r="G2116" s="56" t="n">
        <v>12.5</v>
      </c>
      <c r="H2116" s="56" t="n">
        <v>0</v>
      </c>
      <c r="I2116" s="56" t="n">
        <v>15</v>
      </c>
      <c r="J2116" s="56" t="n">
        <v>0</v>
      </c>
      <c r="K2116" s="56" t="n">
        <v>1012.6</v>
      </c>
      <c r="L2116" s="56" t="n">
        <v>0</v>
      </c>
      <c r="M2116" s="56" t="n">
        <v>76</v>
      </c>
      <c r="N2116" s="56" t="n">
        <v>6.1</v>
      </c>
      <c r="O2116" s="56" t="n">
        <f aca="false">IF(D2116=1,"",E2115)</f>
        <v>17.5</v>
      </c>
      <c r="P2116" s="56" t="n">
        <f aca="false">IF(OR(D2116=1,K2115=""),"",K2115)</f>
        <v>1007.9</v>
      </c>
      <c r="Q2116" s="56" t="n">
        <f aca="false">IF(OR(F2116&lt;&gt;0,AND(I2116&lt;&gt;"",E2116&lt;I2116)),1,0)</f>
        <v>0</v>
      </c>
      <c r="R2116" s="56" t="n">
        <f aca="false">IF(AND(D2116&gt;1,Q2116=0,ISNUMBER(O2116),ISNUMBER(P2116)),IF(Q2115=0,1,0),0)</f>
        <v>1</v>
      </c>
      <c r="S2116" s="56" t="n">
        <f aca="false">R2116*(B2116&gt;=Train_Start)*(B2116&lt;=Train_End)</f>
        <v>1</v>
      </c>
      <c r="T2116" s="84" t="n">
        <f aca="false">IF(AND(ISNUMBER(O2116),ISNUMBER(P2116)),Coef_A+Coef_B1*O2116+Coef_B2*P2116,"")</f>
        <v>18.0431281018401</v>
      </c>
      <c r="U2116" s="84" t="n">
        <f aca="false">IF(AND(R2116=1,ISNUMBER(T2116)),E2116-T2116,"")</f>
        <v>-0.843128101840115</v>
      </c>
      <c r="V2116" s="84" t="n">
        <f aca="false">IF(ISNUMBER(T2116),T2116,-99)</f>
        <v>18.0431281018401</v>
      </c>
      <c r="W2116" s="84" t="n">
        <f aca="false">IF(ISNUMBER(U2116),ABS(U2116),"")</f>
        <v>0.843128101840115</v>
      </c>
    </row>
    <row r="2117" customFormat="false" ht="15" hidden="false" customHeight="false" outlineLevel="0" collapsed="false">
      <c r="A2117" s="57" t="n">
        <v>33851</v>
      </c>
      <c r="B2117" s="56" t="n">
        <v>1992</v>
      </c>
      <c r="C2117" s="56" t="n">
        <v>9</v>
      </c>
      <c r="D2117" s="56" t="n">
        <v>127</v>
      </c>
      <c r="E2117" s="56" t="n">
        <v>16.6</v>
      </c>
      <c r="F2117" s="56" t="n">
        <v>0</v>
      </c>
      <c r="G2117" s="56" t="n">
        <v>8.7</v>
      </c>
      <c r="H2117" s="56" t="n">
        <v>0</v>
      </c>
      <c r="I2117" s="56" t="n">
        <v>13</v>
      </c>
      <c r="J2117" s="56" t="n">
        <v>0</v>
      </c>
      <c r="K2117" s="56" t="n">
        <v>1019.4</v>
      </c>
      <c r="L2117" s="56" t="n">
        <v>0</v>
      </c>
      <c r="M2117" s="56" t="n">
        <v>68</v>
      </c>
      <c r="N2117" s="56" t="n">
        <v>10.7</v>
      </c>
      <c r="O2117" s="56" t="n">
        <f aca="false">IF(D2117=1,"",E2116)</f>
        <v>17.2</v>
      </c>
      <c r="P2117" s="56" t="n">
        <f aca="false">IF(OR(D2117=1,K2116=""),"",K2116)</f>
        <v>1012.6</v>
      </c>
      <c r="Q2117" s="56" t="n">
        <f aca="false">IF(OR(F2117&lt;&gt;0,AND(I2117&lt;&gt;"",E2117&lt;I2117)),1,0)</f>
        <v>0</v>
      </c>
      <c r="R2117" s="56" t="n">
        <f aca="false">IF(AND(D2117&gt;1,Q2117=0,ISNUMBER(O2117),ISNUMBER(P2117)),IF(Q2116=0,1,0),0)</f>
        <v>1</v>
      </c>
      <c r="S2117" s="56" t="n">
        <f aca="false">R2117*(B2117&gt;=Train_Start)*(B2117&lt;=Train_End)</f>
        <v>1</v>
      </c>
      <c r="T2117" s="84" t="n">
        <f aca="false">IF(AND(ISNUMBER(O2117),ISNUMBER(P2117)),Coef_A+Coef_B1*O2117+Coef_B2*P2117,"")</f>
        <v>17.9447648487071</v>
      </c>
      <c r="U2117" s="84" t="n">
        <f aca="false">IF(AND(R2117=1,ISNUMBER(T2117)),E2117-T2117,"")</f>
        <v>-1.34476484870707</v>
      </c>
      <c r="V2117" s="84" t="n">
        <f aca="false">IF(ISNUMBER(T2117),T2117,-99)</f>
        <v>17.9447648487071</v>
      </c>
      <c r="W2117" s="84" t="n">
        <f aca="false">IF(ISNUMBER(U2117),ABS(U2117),"")</f>
        <v>1.34476484870707</v>
      </c>
    </row>
    <row r="2118" customFormat="false" ht="15" hidden="false" customHeight="false" outlineLevel="0" collapsed="false">
      <c r="A2118" s="57" t="n">
        <v>33852</v>
      </c>
      <c r="B2118" s="56" t="n">
        <v>1992</v>
      </c>
      <c r="C2118" s="56" t="n">
        <v>9</v>
      </c>
      <c r="D2118" s="56" t="n">
        <v>128</v>
      </c>
      <c r="E2118" s="56" t="n">
        <v>17.7</v>
      </c>
      <c r="F2118" s="56" t="n">
        <v>0</v>
      </c>
      <c r="G2118" s="56" t="n">
        <v>6.6</v>
      </c>
      <c r="H2118" s="56" t="n">
        <v>0</v>
      </c>
      <c r="I2118" s="56" t="n">
        <v>11.6</v>
      </c>
      <c r="J2118" s="56" t="n">
        <v>0</v>
      </c>
      <c r="K2118" s="56" t="n">
        <v>1023.9</v>
      </c>
      <c r="L2118" s="56" t="n">
        <v>0</v>
      </c>
      <c r="M2118" s="56" t="n">
        <v>72</v>
      </c>
      <c r="N2118" s="56" t="n">
        <v>6.4</v>
      </c>
      <c r="O2118" s="56" t="n">
        <f aca="false">IF(D2118=1,"",E2117)</f>
        <v>16.6</v>
      </c>
      <c r="P2118" s="56" t="n">
        <f aca="false">IF(OR(D2118=1,K2117=""),"",K2117)</f>
        <v>1019.4</v>
      </c>
      <c r="Q2118" s="56" t="n">
        <f aca="false">IF(OR(F2118&lt;&gt;0,AND(I2118&lt;&gt;"",E2118&lt;I2118)),1,0)</f>
        <v>0</v>
      </c>
      <c r="R2118" s="56" t="n">
        <f aca="false">IF(AND(D2118&gt;1,Q2118=0,ISNUMBER(O2118),ISNUMBER(P2118)),IF(Q2117=0,1,0),0)</f>
        <v>1</v>
      </c>
      <c r="S2118" s="56" t="n">
        <f aca="false">R2118*(B2118&gt;=Train_Start)*(B2118&lt;=Train_End)</f>
        <v>1</v>
      </c>
      <c r="T2118" s="84" t="n">
        <f aca="false">IF(AND(ISNUMBER(O2118),ISNUMBER(P2118)),Coef_A+Coef_B1*O2118+Coef_B2*P2118,"")</f>
        <v>17.6664766163926</v>
      </c>
      <c r="U2118" s="84" t="n">
        <f aca="false">IF(AND(R2118=1,ISNUMBER(T2118)),E2118-T2118,"")</f>
        <v>0.0335233836073989</v>
      </c>
      <c r="V2118" s="84" t="n">
        <f aca="false">IF(ISNUMBER(T2118),T2118,-99)</f>
        <v>17.6664766163926</v>
      </c>
      <c r="W2118" s="84" t="n">
        <f aca="false">IF(ISNUMBER(U2118),ABS(U2118),"")</f>
        <v>0.0335233836073989</v>
      </c>
    </row>
    <row r="2119" customFormat="false" ht="15" hidden="false" customHeight="false" outlineLevel="0" collapsed="false">
      <c r="A2119" s="57" t="n">
        <v>33853</v>
      </c>
      <c r="B2119" s="56" t="n">
        <v>1992</v>
      </c>
      <c r="C2119" s="56" t="n">
        <v>9</v>
      </c>
      <c r="D2119" s="56" t="n">
        <v>129</v>
      </c>
      <c r="E2119" s="56" t="n">
        <v>18</v>
      </c>
      <c r="F2119" s="56" t="n">
        <v>0</v>
      </c>
      <c r="G2119" s="56" t="n">
        <v>7</v>
      </c>
      <c r="H2119" s="56" t="n">
        <v>0</v>
      </c>
      <c r="I2119" s="56" t="n">
        <v>12.4</v>
      </c>
      <c r="J2119" s="56" t="n">
        <v>0</v>
      </c>
      <c r="K2119" s="56" t="n">
        <v>1015.6</v>
      </c>
      <c r="L2119" s="56" t="n">
        <v>0</v>
      </c>
      <c r="M2119" s="56" t="n">
        <v>88</v>
      </c>
      <c r="N2119" s="56" t="n">
        <v>0</v>
      </c>
      <c r="O2119" s="56" t="n">
        <f aca="false">IF(D2119=1,"",E2118)</f>
        <v>17.7</v>
      </c>
      <c r="P2119" s="56" t="n">
        <f aca="false">IF(OR(D2119=1,K2118=""),"",K2118)</f>
        <v>1023.9</v>
      </c>
      <c r="Q2119" s="56" t="n">
        <f aca="false">IF(OR(F2119&lt;&gt;0,AND(I2119&lt;&gt;"",E2119&lt;I2119)),1,0)</f>
        <v>0</v>
      </c>
      <c r="R2119" s="56" t="n">
        <f aca="false">IF(AND(D2119&gt;1,Q2119=0,ISNUMBER(O2119),ISNUMBER(P2119)),IF(Q2118=0,1,0),0)</f>
        <v>1</v>
      </c>
      <c r="S2119" s="56" t="n">
        <f aca="false">R2119*(B2119&gt;=Train_Start)*(B2119&lt;=Train_End)</f>
        <v>1</v>
      </c>
      <c r="T2119" s="84" t="n">
        <f aca="false">IF(AND(ISNUMBER(O2119),ISNUMBER(P2119)),Coef_A+Coef_B1*O2119+Coef_B2*P2119,"")</f>
        <v>18.7089142545925</v>
      </c>
      <c r="U2119" s="84" t="n">
        <f aca="false">IF(AND(R2119=1,ISNUMBER(T2119)),E2119-T2119,"")</f>
        <v>-0.708914254592475</v>
      </c>
      <c r="V2119" s="84" t="n">
        <f aca="false">IF(ISNUMBER(T2119),T2119,-99)</f>
        <v>18.7089142545925</v>
      </c>
      <c r="W2119" s="84" t="n">
        <f aca="false">IF(ISNUMBER(U2119),ABS(U2119),"")</f>
        <v>0.708914254592475</v>
      </c>
    </row>
    <row r="2120" customFormat="false" ht="15" hidden="false" customHeight="false" outlineLevel="0" collapsed="false">
      <c r="A2120" s="57" t="n">
        <v>33854</v>
      </c>
      <c r="B2120" s="56" t="n">
        <v>1992</v>
      </c>
      <c r="C2120" s="56" t="n">
        <v>9</v>
      </c>
      <c r="D2120" s="56" t="n">
        <v>130</v>
      </c>
      <c r="E2120" s="56" t="n">
        <v>17.3</v>
      </c>
      <c r="F2120" s="56" t="n">
        <v>0</v>
      </c>
      <c r="G2120" s="56" t="n">
        <v>11.3</v>
      </c>
      <c r="H2120" s="56" t="n">
        <v>0</v>
      </c>
      <c r="I2120" s="56" t="n">
        <v>14.6</v>
      </c>
      <c r="J2120" s="56" t="n">
        <v>0</v>
      </c>
      <c r="K2120" s="56" t="n">
        <v>1012.6</v>
      </c>
      <c r="L2120" s="56" t="n">
        <v>0</v>
      </c>
      <c r="M2120" s="56" t="n">
        <v>66</v>
      </c>
      <c r="N2120" s="56" t="n">
        <v>10.6</v>
      </c>
      <c r="O2120" s="56" t="n">
        <f aca="false">IF(D2120=1,"",E2119)</f>
        <v>18</v>
      </c>
      <c r="P2120" s="56" t="n">
        <f aca="false">IF(OR(D2120=1,K2119=""),"",K2119)</f>
        <v>1015.6</v>
      </c>
      <c r="Q2120" s="56" t="n">
        <f aca="false">IF(OR(F2120&lt;&gt;0,AND(I2120&lt;&gt;"",E2120&lt;I2120)),1,0)</f>
        <v>0</v>
      </c>
      <c r="R2120" s="56" t="n">
        <f aca="false">IF(AND(D2120&gt;1,Q2120=0,ISNUMBER(O2120),ISNUMBER(P2120)),IF(Q2119=0,1,0),0)</f>
        <v>1</v>
      </c>
      <c r="S2120" s="56" t="n">
        <f aca="false">R2120*(B2120&gt;=Train_Start)*(B2120&lt;=Train_End)</f>
        <v>1</v>
      </c>
      <c r="T2120" s="84" t="n">
        <f aca="false">IF(AND(ISNUMBER(O2120),ISNUMBER(P2120)),Coef_A+Coef_B1*O2120+Coef_B2*P2120,"")</f>
        <v>18.6943458870432</v>
      </c>
      <c r="U2120" s="84" t="n">
        <f aca="false">IF(AND(R2120=1,ISNUMBER(T2120)),E2120-T2120,"")</f>
        <v>-1.39434588704316</v>
      </c>
      <c r="V2120" s="84" t="n">
        <f aca="false">IF(ISNUMBER(T2120),T2120,-99)</f>
        <v>18.6943458870432</v>
      </c>
      <c r="W2120" s="84" t="n">
        <f aca="false">IF(ISNUMBER(U2120),ABS(U2120),"")</f>
        <v>1.39434588704316</v>
      </c>
    </row>
    <row r="2121" customFormat="false" ht="15" hidden="false" customHeight="false" outlineLevel="0" collapsed="false">
      <c r="A2121" s="57" t="n">
        <v>33855</v>
      </c>
      <c r="B2121" s="56" t="n">
        <v>1992</v>
      </c>
      <c r="C2121" s="56" t="n">
        <v>9</v>
      </c>
      <c r="D2121" s="56" t="n">
        <v>131</v>
      </c>
      <c r="E2121" s="56" t="n">
        <v>17.9</v>
      </c>
      <c r="F2121" s="56" t="n">
        <v>0</v>
      </c>
      <c r="G2121" s="56" t="n">
        <v>8.2</v>
      </c>
      <c r="H2121" s="56" t="n">
        <v>0</v>
      </c>
      <c r="I2121" s="56" t="n">
        <v>12.8</v>
      </c>
      <c r="J2121" s="56" t="n">
        <v>0</v>
      </c>
      <c r="K2121" s="56" t="n">
        <v>1017.3</v>
      </c>
      <c r="L2121" s="56" t="n">
        <v>0</v>
      </c>
      <c r="M2121" s="56" t="n">
        <v>70</v>
      </c>
      <c r="N2121" s="56" t="n">
        <v>4.7</v>
      </c>
      <c r="O2121" s="56" t="n">
        <f aca="false">IF(D2121=1,"",E2120)</f>
        <v>17.3</v>
      </c>
      <c r="P2121" s="56" t="n">
        <f aca="false">IF(OR(D2121=1,K2120=""),"",K2120)</f>
        <v>1012.6</v>
      </c>
      <c r="Q2121" s="56" t="n">
        <f aca="false">IF(OR(F2121&lt;&gt;0,AND(I2121&lt;&gt;"",E2121&lt;I2121)),1,0)</f>
        <v>0</v>
      </c>
      <c r="R2121" s="56" t="n">
        <f aca="false">IF(AND(D2121&gt;1,Q2121=0,ISNUMBER(O2121),ISNUMBER(P2121)),IF(Q2120=0,1,0),0)</f>
        <v>1</v>
      </c>
      <c r="S2121" s="56" t="n">
        <f aca="false">R2121*(B2121&gt;=Train_Start)*(B2121&lt;=Train_End)</f>
        <v>1</v>
      </c>
      <c r="T2121" s="84" t="n">
        <f aca="false">IF(AND(ISNUMBER(O2121),ISNUMBER(P2121)),Coef_A+Coef_B1*O2121+Coef_B2*P2121,"")</f>
        <v>18.0266987680113</v>
      </c>
      <c r="U2121" s="84" t="n">
        <f aca="false">IF(AND(R2121=1,ISNUMBER(T2121)),E2121-T2121,"")</f>
        <v>-0.126698768011337</v>
      </c>
      <c r="V2121" s="84" t="n">
        <f aca="false">IF(ISNUMBER(T2121),T2121,-99)</f>
        <v>18.0266987680113</v>
      </c>
      <c r="W2121" s="84" t="n">
        <f aca="false">IF(ISNUMBER(U2121),ABS(U2121),"")</f>
        <v>0.126698768011337</v>
      </c>
    </row>
    <row r="2122" customFormat="false" ht="15" hidden="false" customHeight="false" outlineLevel="0" collapsed="false">
      <c r="A2122" s="57" t="n">
        <v>33856</v>
      </c>
      <c r="B2122" s="56" t="n">
        <v>1992</v>
      </c>
      <c r="C2122" s="56" t="n">
        <v>9</v>
      </c>
      <c r="D2122" s="56" t="n">
        <v>132</v>
      </c>
      <c r="E2122" s="56" t="n">
        <v>21.2</v>
      </c>
      <c r="F2122" s="56" t="n">
        <v>0</v>
      </c>
      <c r="G2122" s="56" t="n">
        <v>9.9</v>
      </c>
      <c r="H2122" s="56" t="n">
        <v>0</v>
      </c>
      <c r="I2122" s="56" t="n">
        <v>13.9</v>
      </c>
      <c r="J2122" s="56" t="n">
        <v>0</v>
      </c>
      <c r="K2122" s="56" t="n">
        <v>1021</v>
      </c>
      <c r="L2122" s="56" t="n">
        <v>0</v>
      </c>
      <c r="M2122" s="56" t="n">
        <v>78</v>
      </c>
      <c r="N2122" s="56" t="n">
        <v>0.9</v>
      </c>
      <c r="O2122" s="56" t="n">
        <f aca="false">IF(D2122=1,"",E2121)</f>
        <v>17.9</v>
      </c>
      <c r="P2122" s="56" t="n">
        <f aca="false">IF(OR(D2122=1,K2121=""),"",K2121)</f>
        <v>1017.3</v>
      </c>
      <c r="Q2122" s="56" t="n">
        <f aca="false">IF(OR(F2122&lt;&gt;0,AND(I2122&lt;&gt;"",E2122&lt;I2122)),1,0)</f>
        <v>0</v>
      </c>
      <c r="R2122" s="56" t="n">
        <f aca="false">IF(AND(D2122&gt;1,Q2122=0,ISNUMBER(O2122),ISNUMBER(P2122)),IF(Q2121=0,1,0),0)</f>
        <v>1</v>
      </c>
      <c r="S2122" s="56" t="n">
        <f aca="false">R2122*(B2122&gt;=Train_Start)*(B2122&lt;=Train_End)</f>
        <v>1</v>
      </c>
      <c r="T2122" s="84" t="n">
        <f aca="false">IF(AND(ISNUMBER(O2122),ISNUMBER(P2122)),Coef_A+Coef_B1*O2122+Coef_B2*P2122,"")</f>
        <v>18.6657407886167</v>
      </c>
      <c r="U2122" s="84" t="n">
        <f aca="false">IF(AND(R2122=1,ISNUMBER(T2122)),E2122-T2122,"")</f>
        <v>2.53425921138333</v>
      </c>
      <c r="V2122" s="84" t="n">
        <f aca="false">IF(ISNUMBER(T2122),T2122,-99)</f>
        <v>18.6657407886167</v>
      </c>
      <c r="W2122" s="84" t="n">
        <f aca="false">IF(ISNUMBER(U2122),ABS(U2122),"")</f>
        <v>2.53425921138333</v>
      </c>
    </row>
    <row r="2123" customFormat="false" ht="15" hidden="false" customHeight="false" outlineLevel="0" collapsed="false">
      <c r="A2123" s="57" t="n">
        <v>33857</v>
      </c>
      <c r="B2123" s="56" t="n">
        <v>1992</v>
      </c>
      <c r="C2123" s="56" t="n">
        <v>9</v>
      </c>
      <c r="D2123" s="56" t="n">
        <v>133</v>
      </c>
      <c r="E2123" s="56" t="n">
        <v>19</v>
      </c>
      <c r="F2123" s="56" t="n">
        <v>0</v>
      </c>
      <c r="G2123" s="56" t="n">
        <v>9.1</v>
      </c>
      <c r="H2123" s="56" t="n">
        <v>0</v>
      </c>
      <c r="I2123" s="56" t="n">
        <v>15.2</v>
      </c>
      <c r="J2123" s="56" t="n">
        <v>0</v>
      </c>
      <c r="K2123" s="56" t="n">
        <v>1018.8</v>
      </c>
      <c r="L2123" s="56" t="n">
        <v>0</v>
      </c>
      <c r="M2123" s="56" t="n">
        <v>66</v>
      </c>
      <c r="N2123" s="56" t="n">
        <v>8.6</v>
      </c>
      <c r="O2123" s="56" t="n">
        <f aca="false">IF(D2123=1,"",E2122)</f>
        <v>21.2</v>
      </c>
      <c r="P2123" s="56" t="n">
        <f aca="false">IF(OR(D2123=1,K2122=""),"",K2122)</f>
        <v>1021</v>
      </c>
      <c r="Q2123" s="56" t="n">
        <f aca="false">IF(OR(F2123&lt;&gt;0,AND(I2123&lt;&gt;"",E2123&lt;I2123)),1,0)</f>
        <v>0</v>
      </c>
      <c r="R2123" s="56" t="n">
        <f aca="false">IF(AND(D2123&gt;1,Q2123=0,ISNUMBER(O2123),ISNUMBER(P2123)),IF(Q2122=0,1,0),0)</f>
        <v>1</v>
      </c>
      <c r="S2123" s="56" t="n">
        <f aca="false">R2123*(B2123&gt;=Train_Start)*(B2123&lt;=Train_End)</f>
        <v>1</v>
      </c>
      <c r="T2123" s="84" t="n">
        <f aca="false">IF(AND(ISNUMBER(O2123),ISNUMBER(P2123)),Coef_A+Coef_B1*O2123+Coef_B2*P2123,"")</f>
        <v>21.4856287358032</v>
      </c>
      <c r="U2123" s="84" t="n">
        <f aca="false">IF(AND(R2123=1,ISNUMBER(T2123)),E2123-T2123,"")</f>
        <v>-2.48562873580321</v>
      </c>
      <c r="V2123" s="84" t="n">
        <f aca="false">IF(ISNUMBER(T2123),T2123,-99)</f>
        <v>21.4856287358032</v>
      </c>
      <c r="W2123" s="84" t="n">
        <f aca="false">IF(ISNUMBER(U2123),ABS(U2123),"")</f>
        <v>2.48562873580321</v>
      </c>
    </row>
    <row r="2124" customFormat="false" ht="15" hidden="false" customHeight="false" outlineLevel="0" collapsed="false">
      <c r="A2124" s="57" t="n">
        <v>33858</v>
      </c>
      <c r="B2124" s="56" t="n">
        <v>1992</v>
      </c>
      <c r="C2124" s="56" t="n">
        <v>9</v>
      </c>
      <c r="D2124" s="56" t="n">
        <v>134</v>
      </c>
      <c r="E2124" s="56" t="n">
        <v>17.5</v>
      </c>
      <c r="F2124" s="56" t="n">
        <v>0</v>
      </c>
      <c r="G2124" s="56" t="n">
        <v>13.5</v>
      </c>
      <c r="H2124" s="56" t="n">
        <v>0</v>
      </c>
      <c r="I2124" s="56" t="n">
        <v>16.2</v>
      </c>
      <c r="J2124" s="56" t="n">
        <v>0</v>
      </c>
      <c r="K2124" s="56" t="n">
        <v>1013.8</v>
      </c>
      <c r="L2124" s="56" t="n">
        <v>0</v>
      </c>
      <c r="M2124" s="56" t="n">
        <v>65</v>
      </c>
      <c r="N2124" s="56" t="n">
        <v>8.1</v>
      </c>
      <c r="O2124" s="56" t="n">
        <f aca="false">IF(D2124=1,"",E2123)</f>
        <v>19</v>
      </c>
      <c r="P2124" s="56" t="n">
        <f aca="false">IF(OR(D2124=1,K2123=""),"",K2123)</f>
        <v>1018.8</v>
      </c>
      <c r="Q2124" s="56" t="n">
        <f aca="false">IF(OR(F2124&lt;&gt;0,AND(I2124&lt;&gt;"",E2124&lt;I2124)),1,0)</f>
        <v>0</v>
      </c>
      <c r="R2124" s="56" t="n">
        <f aca="false">IF(AND(D2124&gt;1,Q2124=0,ISNUMBER(O2124),ISNUMBER(P2124)),IF(Q2123=0,1,0),0)</f>
        <v>1</v>
      </c>
      <c r="S2124" s="56" t="n">
        <f aca="false">R2124*(B2124&gt;=Train_Start)*(B2124&lt;=Train_End)</f>
        <v>1</v>
      </c>
      <c r="T2124" s="84" t="n">
        <f aca="false">IF(AND(ISNUMBER(O2124),ISNUMBER(P2124)),Coef_A+Coef_B1*O2124+Coef_B2*P2124,"")</f>
        <v>19.6140687429146</v>
      </c>
      <c r="U2124" s="84" t="n">
        <f aca="false">IF(AND(R2124=1,ISNUMBER(T2124)),E2124-T2124,"")</f>
        <v>-2.11406874291458</v>
      </c>
      <c r="V2124" s="84" t="n">
        <f aca="false">IF(ISNUMBER(T2124),T2124,-99)</f>
        <v>19.6140687429146</v>
      </c>
      <c r="W2124" s="84" t="n">
        <f aca="false">IF(ISNUMBER(U2124),ABS(U2124),"")</f>
        <v>2.11406874291458</v>
      </c>
    </row>
    <row r="2125" customFormat="false" ht="15" hidden="false" customHeight="false" outlineLevel="0" collapsed="false">
      <c r="A2125" s="57" t="n">
        <v>33859</v>
      </c>
      <c r="B2125" s="56" t="n">
        <v>1992</v>
      </c>
      <c r="C2125" s="56" t="n">
        <v>9</v>
      </c>
      <c r="D2125" s="56" t="n">
        <v>135</v>
      </c>
      <c r="E2125" s="56" t="n">
        <v>15.7</v>
      </c>
      <c r="F2125" s="56" t="n">
        <v>0</v>
      </c>
      <c r="G2125" s="56" t="n">
        <v>9.4</v>
      </c>
      <c r="H2125" s="56" t="n">
        <v>0</v>
      </c>
      <c r="I2125" s="56" t="n">
        <v>13.4</v>
      </c>
      <c r="J2125" s="56" t="n">
        <v>0</v>
      </c>
      <c r="K2125" s="56" t="n">
        <v>1023.8</v>
      </c>
      <c r="L2125" s="56" t="n">
        <v>0</v>
      </c>
      <c r="M2125" s="56" t="n">
        <v>71</v>
      </c>
      <c r="N2125" s="56" t="n">
        <v>2.7</v>
      </c>
      <c r="O2125" s="56" t="n">
        <f aca="false">IF(D2125=1,"",E2124)</f>
        <v>17.5</v>
      </c>
      <c r="P2125" s="56" t="n">
        <f aca="false">IF(OR(D2125=1,K2124=""),"",K2124)</f>
        <v>1013.8</v>
      </c>
      <c r="Q2125" s="56" t="n">
        <f aca="false">IF(OR(F2125&lt;&gt;0,AND(I2125&lt;&gt;"",E2125&lt;I2125)),1,0)</f>
        <v>0</v>
      </c>
      <c r="R2125" s="56" t="n">
        <f aca="false">IF(AND(D2125&gt;1,Q2125=0,ISNUMBER(O2125),ISNUMBER(P2125)),IF(Q2124=0,1,0),0)</f>
        <v>1</v>
      </c>
      <c r="S2125" s="56" t="n">
        <f aca="false">R2125*(B2125&gt;=Train_Start)*(B2125&lt;=Train_End)</f>
        <v>1</v>
      </c>
      <c r="T2125" s="84" t="n">
        <f aca="false">IF(AND(ISNUMBER(O2125),ISNUMBER(P2125)),Coef_A+Coef_B1*O2125+Coef_B2*P2125,"")</f>
        <v>18.2282104801807</v>
      </c>
      <c r="U2125" s="84" t="n">
        <f aca="false">IF(AND(R2125=1,ISNUMBER(T2125)),E2125-T2125,"")</f>
        <v>-2.52821048018065</v>
      </c>
      <c r="V2125" s="84" t="n">
        <f aca="false">IF(ISNUMBER(T2125),T2125,-99)</f>
        <v>18.2282104801807</v>
      </c>
      <c r="W2125" s="84" t="n">
        <f aca="false">IF(ISNUMBER(U2125),ABS(U2125),"")</f>
        <v>2.52821048018065</v>
      </c>
    </row>
    <row r="2126" customFormat="false" ht="15" hidden="false" customHeight="false" outlineLevel="0" collapsed="false">
      <c r="A2126" s="57" t="n">
        <v>33860</v>
      </c>
      <c r="B2126" s="56" t="n">
        <v>1992</v>
      </c>
      <c r="C2126" s="56" t="n">
        <v>9</v>
      </c>
      <c r="D2126" s="56" t="n">
        <v>136</v>
      </c>
      <c r="E2126" s="56" t="n">
        <v>18.3</v>
      </c>
      <c r="F2126" s="56" t="n">
        <v>0</v>
      </c>
      <c r="G2126" s="56" t="n">
        <v>11.7</v>
      </c>
      <c r="H2126" s="56" t="n">
        <v>0</v>
      </c>
      <c r="I2126" s="56" t="n">
        <v>13.7</v>
      </c>
      <c r="J2126" s="56" t="n">
        <v>0</v>
      </c>
      <c r="K2126" s="56" t="n">
        <v>1014.7</v>
      </c>
      <c r="L2126" s="56" t="n">
        <v>0</v>
      </c>
      <c r="M2126" s="56" t="n">
        <v>86</v>
      </c>
      <c r="N2126" s="56" t="n">
        <v>0</v>
      </c>
      <c r="O2126" s="56" t="n">
        <f aca="false">IF(D2126=1,"",E2125)</f>
        <v>15.7</v>
      </c>
      <c r="P2126" s="56" t="n">
        <f aca="false">IF(OR(D2126=1,K2125=""),"",K2125)</f>
        <v>1023.8</v>
      </c>
      <c r="Q2126" s="56" t="n">
        <f aca="false">IF(OR(F2126&lt;&gt;0,AND(I2126&lt;&gt;"",E2126&lt;I2126)),1,0)</f>
        <v>0</v>
      </c>
      <c r="R2126" s="56" t="n">
        <f aca="false">IF(AND(D2126&gt;1,Q2126=0,ISNUMBER(O2126),ISNUMBER(P2126)),IF(Q2125=0,1,0),0)</f>
        <v>1</v>
      </c>
      <c r="S2126" s="56" t="n">
        <f aca="false">R2126*(B2126&gt;=Train_Start)*(B2126&lt;=Train_End)</f>
        <v>1</v>
      </c>
      <c r="T2126" s="84" t="n">
        <f aca="false">IF(AND(ISNUMBER(O2126),ISNUMBER(P2126)),Coef_A+Coef_B1*O2126+Coef_B2*P2126,"")</f>
        <v>17.0670988790438</v>
      </c>
      <c r="U2126" s="84" t="n">
        <f aca="false">IF(AND(R2126=1,ISNUMBER(T2126)),E2126-T2126,"")</f>
        <v>1.23290112095624</v>
      </c>
      <c r="V2126" s="84" t="n">
        <f aca="false">IF(ISNUMBER(T2126),T2126,-99)</f>
        <v>17.0670988790438</v>
      </c>
      <c r="W2126" s="84" t="n">
        <f aca="false">IF(ISNUMBER(U2126),ABS(U2126),"")</f>
        <v>1.23290112095624</v>
      </c>
    </row>
    <row r="2127" customFormat="false" ht="15" hidden="false" customHeight="false" outlineLevel="0" collapsed="false">
      <c r="A2127" s="57" t="n">
        <v>33861</v>
      </c>
      <c r="B2127" s="56" t="n">
        <v>1992</v>
      </c>
      <c r="C2127" s="56" t="n">
        <v>9</v>
      </c>
      <c r="D2127" s="56" t="n">
        <v>137</v>
      </c>
      <c r="E2127" s="56" t="n">
        <v>19.9</v>
      </c>
      <c r="F2127" s="56" t="n">
        <v>0</v>
      </c>
      <c r="G2127" s="56" t="n">
        <v>7.2</v>
      </c>
      <c r="H2127" s="56" t="n">
        <v>0</v>
      </c>
      <c r="I2127" s="56" t="n">
        <v>12.8</v>
      </c>
      <c r="J2127" s="56" t="n">
        <v>0</v>
      </c>
      <c r="K2127" s="56" t="n">
        <v>1014.7</v>
      </c>
      <c r="L2127" s="56" t="n">
        <v>0</v>
      </c>
      <c r="M2127" s="56" t="n">
        <v>82</v>
      </c>
      <c r="N2127" s="56" t="n">
        <v>5.6</v>
      </c>
      <c r="O2127" s="56" t="n">
        <f aca="false">IF(D2127=1,"",E2126)</f>
        <v>18.3</v>
      </c>
      <c r="P2127" s="56" t="n">
        <f aca="false">IF(OR(D2127=1,K2126=""),"",K2126)</f>
        <v>1014.7</v>
      </c>
      <c r="Q2127" s="56" t="n">
        <f aca="false">IF(OR(F2127&lt;&gt;0,AND(I2127&lt;&gt;"",E2127&lt;I2127)),1,0)</f>
        <v>0</v>
      </c>
      <c r="R2127" s="56" t="n">
        <f aca="false">IF(AND(D2127&gt;1,Q2127=0,ISNUMBER(O2127),ISNUMBER(P2127)),IF(Q2126=0,1,0),0)</f>
        <v>1</v>
      </c>
      <c r="S2127" s="56" t="n">
        <f aca="false">R2127*(B2127&gt;=Train_Start)*(B2127&lt;=Train_End)</f>
        <v>1</v>
      </c>
      <c r="T2127" s="84" t="n">
        <f aca="false">IF(AND(ISNUMBER(O2127),ISNUMBER(P2127)),Coef_A+Coef_B1*O2127+Coef_B2*P2127,"")</f>
        <v>18.9119147397854</v>
      </c>
      <c r="U2127" s="84" t="n">
        <f aca="false">IF(AND(R2127=1,ISNUMBER(T2127)),E2127-T2127,"")</f>
        <v>0.988085260214628</v>
      </c>
      <c r="V2127" s="84" t="n">
        <f aca="false">IF(ISNUMBER(T2127),T2127,-99)</f>
        <v>18.9119147397854</v>
      </c>
      <c r="W2127" s="84" t="n">
        <f aca="false">IF(ISNUMBER(U2127),ABS(U2127),"")</f>
        <v>0.988085260214628</v>
      </c>
    </row>
    <row r="2128" customFormat="false" ht="15" hidden="false" customHeight="false" outlineLevel="0" collapsed="false">
      <c r="A2128" s="57" t="n">
        <v>33862</v>
      </c>
      <c r="B2128" s="56" t="n">
        <v>1992</v>
      </c>
      <c r="C2128" s="56" t="n">
        <v>9</v>
      </c>
      <c r="D2128" s="56" t="n">
        <v>138</v>
      </c>
      <c r="E2128" s="56" t="n">
        <v>20.2</v>
      </c>
      <c r="F2128" s="56" t="n">
        <v>0</v>
      </c>
      <c r="G2128" s="56" t="n">
        <v>9.5</v>
      </c>
      <c r="H2128" s="56" t="n">
        <v>0</v>
      </c>
      <c r="I2128" s="56" t="n">
        <v>14.7</v>
      </c>
      <c r="J2128" s="56" t="n">
        <v>0</v>
      </c>
      <c r="K2128" s="56" t="n">
        <v>1019.9</v>
      </c>
      <c r="L2128" s="56" t="n">
        <v>0</v>
      </c>
      <c r="M2128" s="56" t="n">
        <v>82</v>
      </c>
      <c r="N2128" s="56" t="n">
        <v>4.1</v>
      </c>
      <c r="O2128" s="56" t="n">
        <f aca="false">IF(D2128=1,"",E2127)</f>
        <v>19.9</v>
      </c>
      <c r="P2128" s="56" t="n">
        <f aca="false">IF(OR(D2128=1,K2127=""),"",K2127)</f>
        <v>1014.7</v>
      </c>
      <c r="Q2128" s="56" t="n">
        <f aca="false">IF(OR(F2128&lt;&gt;0,AND(I2128&lt;&gt;"",E2128&lt;I2128)),1,0)</f>
        <v>0</v>
      </c>
      <c r="R2128" s="56" t="n">
        <f aca="false">IF(AND(D2128&gt;1,Q2128=0,ISNUMBER(O2128),ISNUMBER(P2128)),IF(Q2127=0,1,0),0)</f>
        <v>1</v>
      </c>
      <c r="S2128" s="56" t="n">
        <f aca="false">R2128*(B2128&gt;=Train_Start)*(B2128&lt;=Train_End)</f>
        <v>1</v>
      </c>
      <c r="T2128" s="84" t="n">
        <f aca="false">IF(AND(ISNUMBER(O2128),ISNUMBER(P2128)),Coef_A+Coef_B1*O2128+Coef_B2*P2128,"")</f>
        <v>20.2228574486536</v>
      </c>
      <c r="U2128" s="84" t="n">
        <f aca="false">IF(AND(R2128=1,ISNUMBER(T2128)),E2128-T2128,"")</f>
        <v>-0.0228574486536211</v>
      </c>
      <c r="V2128" s="84" t="n">
        <f aca="false">IF(ISNUMBER(T2128),T2128,-99)</f>
        <v>20.2228574486536</v>
      </c>
      <c r="W2128" s="84" t="n">
        <f aca="false">IF(ISNUMBER(U2128),ABS(U2128),"")</f>
        <v>0.0228574486536211</v>
      </c>
    </row>
    <row r="2129" customFormat="false" ht="15" hidden="false" customHeight="false" outlineLevel="0" collapsed="false">
      <c r="A2129" s="57" t="n">
        <v>33863</v>
      </c>
      <c r="B2129" s="56" t="n">
        <v>1992</v>
      </c>
      <c r="C2129" s="56" t="n">
        <v>9</v>
      </c>
      <c r="D2129" s="56" t="n">
        <v>139</v>
      </c>
      <c r="E2129" s="56" t="n">
        <v>23.5</v>
      </c>
      <c r="F2129" s="56" t="n">
        <v>0</v>
      </c>
      <c r="G2129" s="56" t="n">
        <v>9.7</v>
      </c>
      <c r="H2129" s="56" t="n">
        <v>0</v>
      </c>
      <c r="I2129" s="56" t="n">
        <v>15</v>
      </c>
      <c r="J2129" s="56" t="n">
        <v>0</v>
      </c>
      <c r="K2129" s="56" t="n">
        <v>1023.7</v>
      </c>
      <c r="L2129" s="56" t="n">
        <v>0</v>
      </c>
      <c r="M2129" s="56" t="n">
        <v>77</v>
      </c>
      <c r="N2129" s="56" t="n">
        <v>9.9</v>
      </c>
      <c r="O2129" s="56" t="n">
        <f aca="false">IF(D2129=1,"",E2128)</f>
        <v>20.2</v>
      </c>
      <c r="P2129" s="56" t="n">
        <f aca="false">IF(OR(D2129=1,K2128=""),"",K2128)</f>
        <v>1019.9</v>
      </c>
      <c r="Q2129" s="56" t="n">
        <f aca="false">IF(OR(F2129&lt;&gt;0,AND(I2129&lt;&gt;"",E2129&lt;I2129)),1,0)</f>
        <v>0</v>
      </c>
      <c r="R2129" s="56" t="n">
        <f aca="false">IF(AND(D2129&gt;1,Q2129=0,ISNUMBER(O2129),ISNUMBER(P2129)),IF(Q2128=0,1,0),0)</f>
        <v>1</v>
      </c>
      <c r="S2129" s="56" t="n">
        <f aca="false">R2129*(B2129&gt;=Train_Start)*(B2129&lt;=Train_End)</f>
        <v>1</v>
      </c>
      <c r="T2129" s="84" t="n">
        <f aca="false">IF(AND(ISNUMBER(O2129),ISNUMBER(P2129)),Coef_A+Coef_B1*O2129+Coef_B2*P2129,"")</f>
        <v>20.6317826586632</v>
      </c>
      <c r="U2129" s="84" t="n">
        <f aca="false">IF(AND(R2129=1,ISNUMBER(T2129)),E2129-T2129,"")</f>
        <v>2.86821734133684</v>
      </c>
      <c r="V2129" s="84" t="n">
        <f aca="false">IF(ISNUMBER(T2129),T2129,-99)</f>
        <v>20.6317826586632</v>
      </c>
      <c r="W2129" s="84" t="n">
        <f aca="false">IF(ISNUMBER(U2129),ABS(U2129),"")</f>
        <v>2.86821734133684</v>
      </c>
    </row>
    <row r="2130" customFormat="false" ht="15" hidden="false" customHeight="false" outlineLevel="0" collapsed="false">
      <c r="A2130" s="57" t="n">
        <v>33864</v>
      </c>
      <c r="B2130" s="56" t="n">
        <v>1992</v>
      </c>
      <c r="C2130" s="56" t="n">
        <v>9</v>
      </c>
      <c r="D2130" s="56" t="n">
        <v>140</v>
      </c>
      <c r="E2130" s="56" t="n">
        <v>19.5</v>
      </c>
      <c r="F2130" s="56" t="n">
        <v>0</v>
      </c>
      <c r="G2130" s="56" t="n">
        <v>11</v>
      </c>
      <c r="H2130" s="56" t="n">
        <v>0</v>
      </c>
      <c r="I2130" s="56" t="n">
        <v>17.2</v>
      </c>
      <c r="J2130" s="56" t="n">
        <v>0</v>
      </c>
      <c r="K2130" s="56" t="n">
        <v>1017.1</v>
      </c>
      <c r="L2130" s="56" t="n">
        <v>0</v>
      </c>
      <c r="M2130" s="56" t="n">
        <v>80</v>
      </c>
      <c r="N2130" s="56" t="n">
        <v>4.9</v>
      </c>
      <c r="O2130" s="56" t="n">
        <f aca="false">IF(D2130=1,"",E2129)</f>
        <v>23.5</v>
      </c>
      <c r="P2130" s="56" t="n">
        <f aca="false">IF(OR(D2130=1,K2129=""),"",K2129)</f>
        <v>1023.7</v>
      </c>
      <c r="Q2130" s="56" t="n">
        <f aca="false">IF(OR(F2130&lt;&gt;0,AND(I2130&lt;&gt;"",E2130&lt;I2130)),1,0)</f>
        <v>0</v>
      </c>
      <c r="R2130" s="56" t="n">
        <f aca="false">IF(AND(D2130&gt;1,Q2130=0,ISNUMBER(O2130),ISNUMBER(P2130)),IF(Q2129=0,1,0),0)</f>
        <v>1</v>
      </c>
      <c r="S2130" s="56" t="n">
        <f aca="false">R2130*(B2130&gt;=Train_Start)*(B2130&lt;=Train_End)</f>
        <v>1</v>
      </c>
      <c r="T2130" s="84" t="n">
        <f aca="false">IF(AND(ISNUMBER(O2130),ISNUMBER(P2130)),Coef_A+Coef_B1*O2130+Coef_B2*P2130,"")</f>
        <v>23.4548075953131</v>
      </c>
      <c r="U2130" s="84" t="n">
        <f aca="false">IF(AND(R2130=1,ISNUMBER(T2130)),E2130-T2130,"")</f>
        <v>-3.9548075953131</v>
      </c>
      <c r="V2130" s="84" t="n">
        <f aca="false">IF(ISNUMBER(T2130),T2130,-99)</f>
        <v>23.4548075953131</v>
      </c>
      <c r="W2130" s="84" t="n">
        <f aca="false">IF(ISNUMBER(U2130),ABS(U2130),"")</f>
        <v>3.9548075953131</v>
      </c>
    </row>
    <row r="2131" customFormat="false" ht="15" hidden="false" customHeight="false" outlineLevel="0" collapsed="false">
      <c r="A2131" s="57" t="n">
        <v>33865</v>
      </c>
      <c r="B2131" s="56" t="n">
        <v>1992</v>
      </c>
      <c r="C2131" s="56" t="n">
        <v>9</v>
      </c>
      <c r="D2131" s="56" t="n">
        <v>141</v>
      </c>
      <c r="E2131" s="56" t="n">
        <v>18.3</v>
      </c>
      <c r="F2131" s="56" t="n">
        <v>0</v>
      </c>
      <c r="G2131" s="56" t="n">
        <v>15</v>
      </c>
      <c r="H2131" s="56" t="n">
        <v>0</v>
      </c>
      <c r="I2131" s="56" t="n">
        <v>17.2</v>
      </c>
      <c r="J2131" s="56" t="n">
        <v>0</v>
      </c>
      <c r="K2131" s="56" t="n">
        <v>1014.7</v>
      </c>
      <c r="L2131" s="56" t="n">
        <v>0</v>
      </c>
      <c r="M2131" s="56" t="n">
        <v>85</v>
      </c>
      <c r="N2131" s="56" t="n">
        <v>2.7</v>
      </c>
      <c r="O2131" s="56" t="n">
        <f aca="false">IF(D2131=1,"",E2130)</f>
        <v>19.5</v>
      </c>
      <c r="P2131" s="56" t="n">
        <f aca="false">IF(OR(D2131=1,K2130=""),"",K2130)</f>
        <v>1017.1</v>
      </c>
      <c r="Q2131" s="56" t="n">
        <f aca="false">IF(OR(F2131&lt;&gt;0,AND(I2131&lt;&gt;"",E2131&lt;I2131)),1,0)</f>
        <v>0</v>
      </c>
      <c r="R2131" s="56" t="n">
        <f aca="false">IF(AND(D2131&gt;1,Q2131=0,ISNUMBER(O2131),ISNUMBER(P2131)),IF(Q2130=0,1,0),0)</f>
        <v>1</v>
      </c>
      <c r="S2131" s="56" t="n">
        <f aca="false">R2131*(B2131&gt;=Train_Start)*(B2131&lt;=Train_End)</f>
        <v>1</v>
      </c>
      <c r="T2131" s="84" t="n">
        <f aca="false">IF(AND(ISNUMBER(O2131),ISNUMBER(P2131)),Coef_A+Coef_B1*O2131+Coef_B2*P2131,"")</f>
        <v>19.9704095185581</v>
      </c>
      <c r="U2131" s="84" t="n">
        <f aca="false">IF(AND(R2131=1,ISNUMBER(T2131)),E2131-T2131,"")</f>
        <v>-1.67040951855813</v>
      </c>
      <c r="V2131" s="84" t="n">
        <f aca="false">IF(ISNUMBER(T2131),T2131,-99)</f>
        <v>19.9704095185581</v>
      </c>
      <c r="W2131" s="84" t="n">
        <f aca="false">IF(ISNUMBER(U2131),ABS(U2131),"")</f>
        <v>1.67040951855813</v>
      </c>
    </row>
    <row r="2132" customFormat="false" ht="15" hidden="false" customHeight="false" outlineLevel="0" collapsed="false">
      <c r="A2132" s="57" t="n">
        <v>33866</v>
      </c>
      <c r="B2132" s="56" t="n">
        <v>1992</v>
      </c>
      <c r="C2132" s="56" t="n">
        <v>9</v>
      </c>
      <c r="D2132" s="56" t="n">
        <v>142</v>
      </c>
      <c r="E2132" s="56" t="n">
        <v>19.3</v>
      </c>
      <c r="F2132" s="56" t="n">
        <v>0</v>
      </c>
      <c r="G2132" s="56" t="n">
        <v>14</v>
      </c>
      <c r="H2132" s="56" t="n">
        <v>0</v>
      </c>
      <c r="I2132" s="56" t="n">
        <v>16.2</v>
      </c>
      <c r="J2132" s="56" t="n">
        <v>0</v>
      </c>
      <c r="K2132" s="56" t="n">
        <v>1018</v>
      </c>
      <c r="L2132" s="56" t="n">
        <v>0</v>
      </c>
      <c r="M2132" s="56" t="n">
        <v>87</v>
      </c>
      <c r="N2132" s="56" t="n">
        <v>0.1</v>
      </c>
      <c r="O2132" s="56" t="n">
        <f aca="false">IF(D2132=1,"",E2131)</f>
        <v>18.3</v>
      </c>
      <c r="P2132" s="56" t="n">
        <f aca="false">IF(OR(D2132=1,K2131=""),"",K2131)</f>
        <v>1014.7</v>
      </c>
      <c r="Q2132" s="56" t="n">
        <f aca="false">IF(OR(F2132&lt;&gt;0,AND(I2132&lt;&gt;"",E2132&lt;I2132)),1,0)</f>
        <v>0</v>
      </c>
      <c r="R2132" s="56" t="n">
        <f aca="false">IF(AND(D2132&gt;1,Q2132=0,ISNUMBER(O2132),ISNUMBER(P2132)),IF(Q2131=0,1,0),0)</f>
        <v>1</v>
      </c>
      <c r="S2132" s="56" t="n">
        <f aca="false">R2132*(B2132&gt;=Train_Start)*(B2132&lt;=Train_End)</f>
        <v>1</v>
      </c>
      <c r="T2132" s="84" t="n">
        <f aca="false">IF(AND(ISNUMBER(O2132),ISNUMBER(P2132)),Coef_A+Coef_B1*O2132+Coef_B2*P2132,"")</f>
        <v>18.9119147397854</v>
      </c>
      <c r="U2132" s="84" t="n">
        <f aca="false">IF(AND(R2132=1,ISNUMBER(T2132)),E2132-T2132,"")</f>
        <v>0.388085260214631</v>
      </c>
      <c r="V2132" s="84" t="n">
        <f aca="false">IF(ISNUMBER(T2132),T2132,-99)</f>
        <v>18.9119147397854</v>
      </c>
      <c r="W2132" s="84" t="n">
        <f aca="false">IF(ISNUMBER(U2132),ABS(U2132),"")</f>
        <v>0.388085260214631</v>
      </c>
    </row>
    <row r="2133" customFormat="false" ht="15" hidden="false" customHeight="false" outlineLevel="0" collapsed="false">
      <c r="A2133" s="57" t="n">
        <v>33867</v>
      </c>
      <c r="B2133" s="56" t="n">
        <v>1992</v>
      </c>
      <c r="C2133" s="56" t="n">
        <v>9</v>
      </c>
      <c r="D2133" s="56" t="n">
        <v>143</v>
      </c>
      <c r="E2133" s="56" t="n">
        <v>18.3</v>
      </c>
      <c r="F2133" s="56" t="n">
        <v>0</v>
      </c>
      <c r="G2133" s="56" t="n">
        <v>11.1</v>
      </c>
      <c r="H2133" s="56" t="n">
        <v>0</v>
      </c>
      <c r="I2133" s="56" t="n">
        <v>15.2</v>
      </c>
      <c r="J2133" s="56" t="n">
        <v>0</v>
      </c>
      <c r="K2133" s="56" t="n">
        <v>1019.8</v>
      </c>
      <c r="L2133" s="56" t="n">
        <v>0</v>
      </c>
      <c r="M2133" s="56" t="n">
        <v>86</v>
      </c>
      <c r="N2133" s="56" t="n">
        <v>1.5</v>
      </c>
      <c r="O2133" s="56" t="n">
        <f aca="false">IF(D2133=1,"",E2132)</f>
        <v>19.3</v>
      </c>
      <c r="P2133" s="56" t="n">
        <f aca="false">IF(OR(D2133=1,K2132=""),"",K2132)</f>
        <v>1018</v>
      </c>
      <c r="Q2133" s="56" t="n">
        <f aca="false">IF(OR(F2133&lt;&gt;0,AND(I2133&lt;&gt;"",E2133&lt;I2133)),1,0)</f>
        <v>0</v>
      </c>
      <c r="R2133" s="56" t="n">
        <f aca="false">IF(AND(D2133&gt;1,Q2133=0,ISNUMBER(O2133),ISNUMBER(P2133)),IF(Q2132=0,1,0),0)</f>
        <v>1</v>
      </c>
      <c r="S2133" s="56" t="n">
        <f aca="false">R2133*(B2133&gt;=Train_Start)*(B2133&lt;=Train_End)</f>
        <v>1</v>
      </c>
      <c r="T2133" s="84" t="n">
        <f aca="false">IF(AND(ISNUMBER(O2133),ISNUMBER(P2133)),Coef_A+Coef_B1*O2133+Coef_B2*P2133,"")</f>
        <v>19.8347745851202</v>
      </c>
      <c r="U2133" s="84" t="n">
        <f aca="false">IF(AND(R2133=1,ISNUMBER(T2133)),E2133-T2133,"")</f>
        <v>-1.53477458512019</v>
      </c>
      <c r="V2133" s="84" t="n">
        <f aca="false">IF(ISNUMBER(T2133),T2133,-99)</f>
        <v>19.8347745851202</v>
      </c>
      <c r="W2133" s="84" t="n">
        <f aca="false">IF(ISNUMBER(U2133),ABS(U2133),"")</f>
        <v>1.53477458512019</v>
      </c>
    </row>
    <row r="2134" customFormat="false" ht="15" hidden="false" customHeight="false" outlineLevel="0" collapsed="false">
      <c r="A2134" s="57" t="n">
        <v>33868</v>
      </c>
      <c r="B2134" s="56" t="n">
        <v>1992</v>
      </c>
      <c r="C2134" s="56" t="n">
        <v>9</v>
      </c>
      <c r="D2134" s="56" t="n">
        <v>144</v>
      </c>
      <c r="E2134" s="56" t="n">
        <v>17.4</v>
      </c>
      <c r="F2134" s="56" t="n">
        <v>0</v>
      </c>
      <c r="G2134" s="56" t="n">
        <v>12.6</v>
      </c>
      <c r="H2134" s="56" t="n">
        <v>0</v>
      </c>
      <c r="I2134" s="56" t="n">
        <v>15.4</v>
      </c>
      <c r="J2134" s="56" t="n">
        <v>0</v>
      </c>
      <c r="K2134" s="56" t="n">
        <v>1011.2</v>
      </c>
      <c r="L2134" s="56" t="n">
        <v>0</v>
      </c>
      <c r="M2134" s="56" t="n">
        <v>88</v>
      </c>
      <c r="N2134" s="56" t="n">
        <v>0.2</v>
      </c>
      <c r="O2134" s="56" t="n">
        <f aca="false">IF(D2134=1,"",E2133)</f>
        <v>18.3</v>
      </c>
      <c r="P2134" s="56" t="n">
        <f aca="false">IF(OR(D2134=1,K2133=""),"",K2133)</f>
        <v>1019.8</v>
      </c>
      <c r="Q2134" s="56" t="n">
        <f aca="false">IF(OR(F2134&lt;&gt;0,AND(I2134&lt;&gt;"",E2134&lt;I2134)),1,0)</f>
        <v>0</v>
      </c>
      <c r="R2134" s="56" t="n">
        <f aca="false">IF(AND(D2134&gt;1,Q2134=0,ISNUMBER(O2134),ISNUMBER(P2134)),IF(Q2133=0,1,0),0)</f>
        <v>1</v>
      </c>
      <c r="S2134" s="56" t="n">
        <f aca="false">R2134*(B2134&gt;=Train_Start)*(B2134&lt;=Train_End)</f>
        <v>1</v>
      </c>
      <c r="T2134" s="84" t="n">
        <f aca="false">IF(AND(ISNUMBER(O2134),ISNUMBER(P2134)),Coef_A+Coef_B1*O2134+Coef_B2*P2134,"")</f>
        <v>19.0719012024187</v>
      </c>
      <c r="U2134" s="84" t="n">
        <f aca="false">IF(AND(R2134=1,ISNUMBER(T2134)),E2134-T2134,"")</f>
        <v>-1.67190120241871</v>
      </c>
      <c r="V2134" s="84" t="n">
        <f aca="false">IF(ISNUMBER(T2134),T2134,-99)</f>
        <v>19.0719012024187</v>
      </c>
      <c r="W2134" s="84" t="n">
        <f aca="false">IF(ISNUMBER(U2134),ABS(U2134),"")</f>
        <v>1.67190120241871</v>
      </c>
    </row>
    <row r="2135" customFormat="false" ht="15" hidden="false" customHeight="false" outlineLevel="0" collapsed="false">
      <c r="A2135" s="57" t="n">
        <v>33869</v>
      </c>
      <c r="B2135" s="56" t="n">
        <v>1992</v>
      </c>
      <c r="C2135" s="56" t="n">
        <v>9</v>
      </c>
      <c r="D2135" s="56" t="n">
        <v>145</v>
      </c>
      <c r="E2135" s="56" t="n">
        <v>16</v>
      </c>
      <c r="F2135" s="56" t="n">
        <v>0</v>
      </c>
      <c r="G2135" s="56" t="n">
        <v>14.2</v>
      </c>
      <c r="H2135" s="56" t="n">
        <v>0</v>
      </c>
      <c r="I2135" s="56" t="n">
        <v>15.8</v>
      </c>
      <c r="J2135" s="56" t="n">
        <v>0</v>
      </c>
      <c r="K2135" s="56" t="n">
        <v>1006.2</v>
      </c>
      <c r="L2135" s="56" t="n">
        <v>0</v>
      </c>
      <c r="M2135" s="56" t="n">
        <v>93</v>
      </c>
      <c r="N2135" s="56" t="n">
        <v>0.1</v>
      </c>
      <c r="O2135" s="56" t="n">
        <f aca="false">IF(D2135=1,"",E2134)</f>
        <v>17.4</v>
      </c>
      <c r="P2135" s="56" t="n">
        <f aca="false">IF(OR(D2135=1,K2134=""),"",K2134)</f>
        <v>1011.2</v>
      </c>
      <c r="Q2135" s="56" t="n">
        <f aca="false">IF(OR(F2135&lt;&gt;0,AND(I2135&lt;&gt;"",E2135&lt;I2135)),1,0)</f>
        <v>0</v>
      </c>
      <c r="R2135" s="56" t="n">
        <f aca="false">IF(AND(D2135&gt;1,Q2135=0,ISNUMBER(O2135),ISNUMBER(P2135)),IF(Q2134=0,1,0),0)</f>
        <v>1</v>
      </c>
      <c r="S2135" s="56" t="n">
        <f aca="false">R2135*(B2135&gt;=Train_Start)*(B2135&lt;=Train_End)</f>
        <v>1</v>
      </c>
      <c r="T2135" s="84" t="n">
        <f aca="false">IF(AND(ISNUMBER(O2135),ISNUMBER(P2135)),Coef_A+Coef_B1*O2135+Coef_B2*P2135,"")</f>
        <v>18.064714834828</v>
      </c>
      <c r="U2135" s="84" t="n">
        <f aca="false">IF(AND(R2135=1,ISNUMBER(T2135)),E2135-T2135,"")</f>
        <v>-2.06471483482801</v>
      </c>
      <c r="V2135" s="84" t="n">
        <f aca="false">IF(ISNUMBER(T2135),T2135,-99)</f>
        <v>18.064714834828</v>
      </c>
      <c r="W2135" s="84" t="n">
        <f aca="false">IF(ISNUMBER(U2135),ABS(U2135),"")</f>
        <v>2.06471483482801</v>
      </c>
    </row>
    <row r="2136" customFormat="false" ht="15" hidden="false" customHeight="false" outlineLevel="0" collapsed="false">
      <c r="A2136" s="57" t="n">
        <v>33870</v>
      </c>
      <c r="B2136" s="56" t="n">
        <v>1992</v>
      </c>
      <c r="C2136" s="56" t="n">
        <v>9</v>
      </c>
      <c r="D2136" s="56" t="n">
        <v>146</v>
      </c>
      <c r="E2136" s="56" t="n">
        <v>18.5</v>
      </c>
      <c r="F2136" s="56" t="n">
        <v>0</v>
      </c>
      <c r="G2136" s="56" t="n">
        <v>11.6</v>
      </c>
      <c r="H2136" s="56" t="n">
        <v>0</v>
      </c>
      <c r="I2136" s="56" t="n">
        <v>13.8</v>
      </c>
      <c r="J2136" s="56" t="n">
        <v>0</v>
      </c>
      <c r="K2136" s="56" t="n">
        <v>1011.2</v>
      </c>
      <c r="L2136" s="56" t="n">
        <v>0</v>
      </c>
      <c r="M2136" s="56" t="n">
        <v>82</v>
      </c>
      <c r="N2136" s="56" t="n">
        <v>1.9</v>
      </c>
      <c r="O2136" s="56" t="n">
        <f aca="false">IF(D2136=1,"",E2135)</f>
        <v>16</v>
      </c>
      <c r="P2136" s="56" t="n">
        <f aca="false">IF(OR(D2136=1,K2135=""),"",K2135)</f>
        <v>1006.2</v>
      </c>
      <c r="Q2136" s="56" t="n">
        <f aca="false">IF(OR(F2136&lt;&gt;0,AND(I2136&lt;&gt;"",E2136&lt;I2136)),1,0)</f>
        <v>0</v>
      </c>
      <c r="R2136" s="56" t="n">
        <f aca="false">IF(AND(D2136&gt;1,Q2136=0,ISNUMBER(O2136),ISNUMBER(P2136)),IF(Q2135=0,1,0),0)</f>
        <v>1</v>
      </c>
      <c r="S2136" s="56" t="n">
        <f aca="false">R2136*(B2136&gt;=Train_Start)*(B2136&lt;=Train_End)</f>
        <v>1</v>
      </c>
      <c r="T2136" s="84" t="n">
        <f aca="false">IF(AND(ISNUMBER(O2136),ISNUMBER(P2136)),Coef_A+Coef_B1*O2136+Coef_B2*P2136,"")</f>
        <v>16.7607904913983</v>
      </c>
      <c r="U2136" s="84" t="n">
        <f aca="false">IF(AND(R2136=1,ISNUMBER(T2136)),E2136-T2136,"")</f>
        <v>1.73920950860165</v>
      </c>
      <c r="V2136" s="84" t="n">
        <f aca="false">IF(ISNUMBER(T2136),T2136,-99)</f>
        <v>16.7607904913983</v>
      </c>
      <c r="W2136" s="84" t="n">
        <f aca="false">IF(ISNUMBER(U2136),ABS(U2136),"")</f>
        <v>1.73920950860165</v>
      </c>
    </row>
    <row r="2137" customFormat="false" ht="15" hidden="false" customHeight="false" outlineLevel="0" collapsed="false">
      <c r="A2137" s="57" t="n">
        <v>33871</v>
      </c>
      <c r="B2137" s="56" t="n">
        <v>1992</v>
      </c>
      <c r="C2137" s="56" t="n">
        <v>9</v>
      </c>
      <c r="D2137" s="56" t="n">
        <v>147</v>
      </c>
      <c r="E2137" s="56" t="n">
        <v>14.9</v>
      </c>
      <c r="F2137" s="56" t="n">
        <v>0</v>
      </c>
      <c r="G2137" s="56" t="n">
        <v>11.1</v>
      </c>
      <c r="H2137" s="56" t="n">
        <v>0</v>
      </c>
      <c r="I2137" s="56" t="n">
        <v>14.8</v>
      </c>
      <c r="J2137" s="56" t="n">
        <v>0</v>
      </c>
      <c r="K2137" s="56" t="n">
        <v>1011</v>
      </c>
      <c r="L2137" s="56" t="n">
        <v>0</v>
      </c>
      <c r="M2137" s="56" t="n">
        <v>84</v>
      </c>
      <c r="N2137" s="56" t="n">
        <v>2</v>
      </c>
      <c r="O2137" s="56" t="n">
        <f aca="false">IF(D2137=1,"",E2136)</f>
        <v>18.5</v>
      </c>
      <c r="P2137" s="56" t="n">
        <f aca="false">IF(OR(D2137=1,K2136=""),"",K2136)</f>
        <v>1011.2</v>
      </c>
      <c r="Q2137" s="56" t="n">
        <f aca="false">IF(OR(F2137&lt;&gt;0,AND(I2137&lt;&gt;"",E2137&lt;I2137)),1,0)</f>
        <v>0</v>
      </c>
      <c r="R2137" s="56" t="n">
        <f aca="false">IF(AND(D2137&gt;1,Q2137=0,ISNUMBER(O2137),ISNUMBER(P2137)),IF(Q2136=0,1,0),0)</f>
        <v>1</v>
      </c>
      <c r="S2137" s="56" t="n">
        <f aca="false">R2137*(B2137&gt;=Train_Start)*(B2137&lt;=Train_End)</f>
        <v>1</v>
      </c>
      <c r="T2137" s="84" t="n">
        <f aca="false">IF(AND(ISNUMBER(O2137),ISNUMBER(P2137)),Coef_A+Coef_B1*O2137+Coef_B2*P2137,"")</f>
        <v>18.9659879471749</v>
      </c>
      <c r="U2137" s="84" t="n">
        <f aca="false">IF(AND(R2137=1,ISNUMBER(T2137)),E2137-T2137,"")</f>
        <v>-4.06598794717494</v>
      </c>
      <c r="V2137" s="84" t="n">
        <f aca="false">IF(ISNUMBER(T2137),T2137,-99)</f>
        <v>18.9659879471749</v>
      </c>
      <c r="W2137" s="84" t="n">
        <f aca="false">IF(ISNUMBER(U2137),ABS(U2137),"")</f>
        <v>4.06598794717494</v>
      </c>
    </row>
    <row r="2138" customFormat="false" ht="15" hidden="false" customHeight="false" outlineLevel="0" collapsed="false">
      <c r="A2138" s="57" t="n">
        <v>33872</v>
      </c>
      <c r="B2138" s="56" t="n">
        <v>1992</v>
      </c>
      <c r="C2138" s="56" t="n">
        <v>9</v>
      </c>
      <c r="D2138" s="56" t="n">
        <v>148</v>
      </c>
      <c r="E2138" s="56" t="n">
        <v>23.9</v>
      </c>
      <c r="F2138" s="56" t="n">
        <v>0</v>
      </c>
      <c r="G2138" s="56" t="n">
        <v>10.4</v>
      </c>
      <c r="H2138" s="56" t="n">
        <v>0</v>
      </c>
      <c r="I2138" s="56" t="n">
        <v>12.6</v>
      </c>
      <c r="J2138" s="56" t="n">
        <v>0</v>
      </c>
      <c r="K2138" s="56" t="n">
        <v>1013.1</v>
      </c>
      <c r="L2138" s="56" t="n">
        <v>0</v>
      </c>
      <c r="M2138" s="56" t="n">
        <v>94</v>
      </c>
      <c r="N2138" s="56" t="n">
        <v>0</v>
      </c>
      <c r="O2138" s="56" t="n">
        <f aca="false">IF(D2138=1,"",E2137)</f>
        <v>14.9</v>
      </c>
      <c r="P2138" s="56" t="n">
        <f aca="false">IF(OR(D2138=1,K2137=""),"",K2137)</f>
        <v>1011</v>
      </c>
      <c r="Q2138" s="56" t="n">
        <f aca="false">IF(OR(F2138&lt;&gt;0,AND(I2138&lt;&gt;"",E2138&lt;I2138)),1,0)</f>
        <v>0</v>
      </c>
      <c r="R2138" s="56" t="n">
        <f aca="false">IF(AND(D2138&gt;1,Q2138=0,ISNUMBER(O2138),ISNUMBER(P2138)),IF(Q2137=0,1,0),0)</f>
        <v>1</v>
      </c>
      <c r="S2138" s="56" t="n">
        <f aca="false">R2138*(B2138&gt;=Train_Start)*(B2138&lt;=Train_End)</f>
        <v>1</v>
      </c>
      <c r="T2138" s="84" t="n">
        <f aca="false">IF(AND(ISNUMBER(O2138),ISNUMBER(P2138)),Coef_A+Coef_B1*O2138+Coef_B2*P2138,"")</f>
        <v>16.0100928732946</v>
      </c>
      <c r="U2138" s="84" t="n">
        <f aca="false">IF(AND(R2138=1,ISNUMBER(T2138)),E2138-T2138,"")</f>
        <v>7.88990712670543</v>
      </c>
      <c r="V2138" s="84" t="n">
        <f aca="false">IF(ISNUMBER(T2138),T2138,-99)</f>
        <v>16.0100928732946</v>
      </c>
      <c r="W2138" s="84" t="n">
        <f aca="false">IF(ISNUMBER(U2138),ABS(U2138),"")</f>
        <v>7.88990712670543</v>
      </c>
    </row>
    <row r="2139" customFormat="false" ht="15" hidden="false" customHeight="false" outlineLevel="0" collapsed="false">
      <c r="A2139" s="57" t="n">
        <v>33873</v>
      </c>
      <c r="B2139" s="56" t="n">
        <v>1992</v>
      </c>
      <c r="C2139" s="56" t="n">
        <v>9</v>
      </c>
      <c r="D2139" s="56" t="n">
        <v>149</v>
      </c>
      <c r="E2139" s="56" t="n">
        <v>23.6</v>
      </c>
      <c r="F2139" s="56" t="n">
        <v>0</v>
      </c>
      <c r="G2139" s="56" t="n">
        <v>9.9</v>
      </c>
      <c r="H2139" s="56" t="n">
        <v>0</v>
      </c>
      <c r="I2139" s="56" t="n">
        <v>16.9</v>
      </c>
      <c r="J2139" s="56" t="n">
        <v>0</v>
      </c>
      <c r="K2139" s="56" t="n">
        <v>1012.8</v>
      </c>
      <c r="L2139" s="56" t="n">
        <v>0</v>
      </c>
      <c r="M2139" s="56" t="n">
        <v>84</v>
      </c>
      <c r="N2139" s="56" t="n">
        <v>7</v>
      </c>
      <c r="O2139" s="56" t="n">
        <f aca="false">IF(D2139=1,"",E2138)</f>
        <v>23.9</v>
      </c>
      <c r="P2139" s="56" t="n">
        <f aca="false">IF(OR(D2139=1,K2138=""),"",K2138)</f>
        <v>1013.1</v>
      </c>
      <c r="Q2139" s="56" t="n">
        <f aca="false">IF(OR(F2139&lt;&gt;0,AND(I2139&lt;&gt;"",E2139&lt;I2139)),1,0)</f>
        <v>0</v>
      </c>
      <c r="R2139" s="56" t="n">
        <f aca="false">IF(AND(D2139&gt;1,Q2139=0,ISNUMBER(O2139),ISNUMBER(P2139)),IF(Q2138=0,1,0),0)</f>
        <v>1</v>
      </c>
      <c r="S2139" s="56" t="n">
        <f aca="false">R2139*(B2139&gt;=Train_Start)*(B2139&lt;=Train_End)</f>
        <v>1</v>
      </c>
      <c r="T2139" s="84" t="n">
        <f aca="false">IF(AND(ISNUMBER(O2139),ISNUMBER(P2139)),Coef_A+Coef_B1*O2139+Coef_B2*P2139,"")</f>
        <v>23.4500223894099</v>
      </c>
      <c r="U2139" s="84" t="n">
        <f aca="false">IF(AND(R2139=1,ISNUMBER(T2139)),E2139-T2139,"")</f>
        <v>0.149977610590135</v>
      </c>
      <c r="V2139" s="84" t="n">
        <f aca="false">IF(ISNUMBER(T2139),T2139,-99)</f>
        <v>23.4500223894099</v>
      </c>
      <c r="W2139" s="84" t="n">
        <f aca="false">IF(ISNUMBER(U2139),ABS(U2139),"")</f>
        <v>0.149977610590135</v>
      </c>
    </row>
    <row r="2140" customFormat="false" ht="15" hidden="false" customHeight="false" outlineLevel="0" collapsed="false">
      <c r="A2140" s="57" t="n">
        <v>33874</v>
      </c>
      <c r="B2140" s="56" t="n">
        <v>1992</v>
      </c>
      <c r="C2140" s="56" t="n">
        <v>9</v>
      </c>
      <c r="D2140" s="56" t="n">
        <v>150</v>
      </c>
      <c r="E2140" s="56" t="n">
        <v>21.6</v>
      </c>
      <c r="F2140" s="56" t="n">
        <v>0</v>
      </c>
      <c r="G2140" s="56" t="n">
        <v>13.5</v>
      </c>
      <c r="H2140" s="56" t="n">
        <v>0</v>
      </c>
      <c r="I2140" s="56" t="n">
        <v>18.6</v>
      </c>
      <c r="J2140" s="56" t="n">
        <v>0</v>
      </c>
      <c r="K2140" s="56" t="n">
        <v>1009.4</v>
      </c>
      <c r="L2140" s="56" t="n">
        <v>0</v>
      </c>
      <c r="M2140" s="56" t="n">
        <v>80</v>
      </c>
      <c r="N2140" s="56" t="n">
        <v>4.6</v>
      </c>
      <c r="O2140" s="56" t="n">
        <f aca="false">IF(D2140=1,"",E2139)</f>
        <v>23.6</v>
      </c>
      <c r="P2140" s="56" t="n">
        <f aca="false">IF(OR(D2140=1,K2139=""),"",K2139)</f>
        <v>1012.8</v>
      </c>
      <c r="Q2140" s="56" t="n">
        <f aca="false">IF(OR(F2140&lt;&gt;0,AND(I2140&lt;&gt;"",E2140&lt;I2140)),1,0)</f>
        <v>0</v>
      </c>
      <c r="R2140" s="56" t="n">
        <f aca="false">IF(AND(D2140&gt;1,Q2140=0,ISNUMBER(O2140),ISNUMBER(P2140)),IF(Q2139=0,1,0),0)</f>
        <v>1</v>
      </c>
      <c r="S2140" s="56" t="n">
        <f aca="false">R2140*(B2140&gt;=Train_Start)*(B2140&lt;=Train_End)</f>
        <v>1</v>
      </c>
      <c r="T2140" s="84" t="n">
        <f aca="false">IF(AND(ISNUMBER(O2140),ISNUMBER(P2140)),Coef_A+Coef_B1*O2140+Coef_B2*P2140,"")</f>
        <v>23.1948096631069</v>
      </c>
      <c r="U2140" s="84" t="n">
        <f aca="false">IF(AND(R2140=1,ISNUMBER(T2140)),E2140-T2140,"")</f>
        <v>-1.59480966310687</v>
      </c>
      <c r="V2140" s="84" t="n">
        <f aca="false">IF(ISNUMBER(T2140),T2140,-99)</f>
        <v>23.1948096631069</v>
      </c>
      <c r="W2140" s="84" t="n">
        <f aca="false">IF(ISNUMBER(U2140),ABS(U2140),"")</f>
        <v>1.59480966310687</v>
      </c>
    </row>
    <row r="2141" customFormat="false" ht="15" hidden="false" customHeight="false" outlineLevel="0" collapsed="false">
      <c r="A2141" s="57" t="n">
        <v>33875</v>
      </c>
      <c r="B2141" s="56" t="n">
        <v>1992</v>
      </c>
      <c r="C2141" s="56" t="n">
        <v>9</v>
      </c>
      <c r="D2141" s="56" t="n">
        <v>151</v>
      </c>
      <c r="E2141" s="56" t="n">
        <v>20.7</v>
      </c>
      <c r="F2141" s="56" t="n">
        <v>0</v>
      </c>
      <c r="G2141" s="56" t="n">
        <v>13.3</v>
      </c>
      <c r="H2141" s="56" t="n">
        <v>0</v>
      </c>
      <c r="I2141" s="56" t="n">
        <v>17.4</v>
      </c>
      <c r="J2141" s="56" t="n">
        <v>0</v>
      </c>
      <c r="K2141" s="56" t="n">
        <v>1012.7</v>
      </c>
      <c r="L2141" s="56" t="n">
        <v>0</v>
      </c>
      <c r="M2141" s="56" t="n">
        <v>87</v>
      </c>
      <c r="N2141" s="56" t="n">
        <v>4.5</v>
      </c>
      <c r="O2141" s="56" t="n">
        <f aca="false">IF(D2141=1,"",E2140)</f>
        <v>21.6</v>
      </c>
      <c r="P2141" s="56" t="n">
        <f aca="false">IF(OR(D2141=1,K2140=""),"",K2140)</f>
        <v>1009.4</v>
      </c>
      <c r="Q2141" s="56" t="n">
        <f aca="false">IF(OR(F2141&lt;&gt;0,AND(I2141&lt;&gt;"",E2141&lt;I2141)),1,0)</f>
        <v>0</v>
      </c>
      <c r="R2141" s="56" t="n">
        <f aca="false">IF(AND(D2141&gt;1,Q2141=0,ISNUMBER(O2141),ISNUMBER(P2141)),IF(Q2140=0,1,0),0)</f>
        <v>1</v>
      </c>
      <c r="S2141" s="56" t="n">
        <f aca="false">R2141*(B2141&gt;=Train_Start)*(B2141&lt;=Train_End)</f>
        <v>1</v>
      </c>
      <c r="T2141" s="84" t="n">
        <f aca="false">IF(AND(ISNUMBER(O2141),ISNUMBER(P2141)),Coef_A+Coef_B1*O2141+Coef_B2*P2141,"")</f>
        <v>21.449473635266</v>
      </c>
      <c r="U2141" s="84" t="n">
        <f aca="false">IF(AND(R2141=1,ISNUMBER(T2141)),E2141-T2141,"")</f>
        <v>-0.749473635265993</v>
      </c>
      <c r="V2141" s="84" t="n">
        <f aca="false">IF(ISNUMBER(T2141),T2141,-99)</f>
        <v>21.449473635266</v>
      </c>
      <c r="W2141" s="84" t="n">
        <f aca="false">IF(ISNUMBER(U2141),ABS(U2141),"")</f>
        <v>0.749473635265993</v>
      </c>
    </row>
    <row r="2142" customFormat="false" ht="15" hidden="false" customHeight="false" outlineLevel="0" collapsed="false">
      <c r="A2142" s="57" t="n">
        <v>33876</v>
      </c>
      <c r="B2142" s="56" t="n">
        <v>1992</v>
      </c>
      <c r="C2142" s="56" t="n">
        <v>9</v>
      </c>
      <c r="D2142" s="56" t="n">
        <v>152</v>
      </c>
      <c r="E2142" s="56" t="n">
        <v>17</v>
      </c>
      <c r="F2142" s="56" t="n">
        <v>0</v>
      </c>
      <c r="G2142" s="56" t="n">
        <v>11.6</v>
      </c>
      <c r="H2142" s="56" t="n">
        <v>0</v>
      </c>
      <c r="I2142" s="56" t="n">
        <v>16.2</v>
      </c>
      <c r="J2142" s="56" t="n">
        <v>0</v>
      </c>
      <c r="K2142" s="56" t="n">
        <v>1015.5</v>
      </c>
      <c r="L2142" s="56" t="n">
        <v>0</v>
      </c>
      <c r="M2142" s="56" t="n">
        <v>82</v>
      </c>
      <c r="N2142" s="56" t="n">
        <v>6.9</v>
      </c>
      <c r="O2142" s="56" t="n">
        <f aca="false">IF(D2142=1,"",E2141)</f>
        <v>20.7</v>
      </c>
      <c r="P2142" s="56" t="n">
        <f aca="false">IF(OR(D2142=1,K2141=""),"",K2141)</f>
        <v>1012.7</v>
      </c>
      <c r="Q2142" s="56" t="n">
        <f aca="false">IF(OR(F2142&lt;&gt;0,AND(I2142&lt;&gt;"",E2142&lt;I2142)),1,0)</f>
        <v>0</v>
      </c>
      <c r="R2142" s="56" t="n">
        <f aca="false">IF(AND(D2142&gt;1,Q2142=0,ISNUMBER(O2142),ISNUMBER(P2142)),IF(Q2141=0,1,0),0)</f>
        <v>1</v>
      </c>
      <c r="S2142" s="56" t="n">
        <f aca="false">R2142*(B2142&gt;=Train_Start)*(B2142&lt;=Train_End)</f>
        <v>1</v>
      </c>
      <c r="T2142" s="84" t="n">
        <f aca="false">IF(AND(ISNUMBER(O2142),ISNUMBER(P2142)),Coef_A+Coef_B1*O2142+Coef_B2*P2142,"")</f>
        <v>20.8155890138198</v>
      </c>
      <c r="U2142" s="84" t="n">
        <f aca="false">IF(AND(R2142=1,ISNUMBER(T2142)),E2142-T2142,"")</f>
        <v>-3.81558901381977</v>
      </c>
      <c r="V2142" s="84" t="n">
        <f aca="false">IF(ISNUMBER(T2142),T2142,-99)</f>
        <v>20.8155890138198</v>
      </c>
      <c r="W2142" s="84" t="n">
        <f aca="false">IF(ISNUMBER(U2142),ABS(U2142),"")</f>
        <v>3.81558901381977</v>
      </c>
    </row>
    <row r="2143" customFormat="false" ht="15" hidden="false" customHeight="false" outlineLevel="0" collapsed="false">
      <c r="A2143" s="57" t="n">
        <v>33877</v>
      </c>
      <c r="B2143" s="56" t="n">
        <v>1992</v>
      </c>
      <c r="C2143" s="56" t="n">
        <v>9</v>
      </c>
      <c r="D2143" s="56" t="n">
        <v>153</v>
      </c>
      <c r="E2143" s="56" t="n">
        <v>17</v>
      </c>
      <c r="F2143" s="56" t="n">
        <v>0</v>
      </c>
      <c r="G2143" s="56" t="n">
        <v>13.7</v>
      </c>
      <c r="H2143" s="56" t="n">
        <v>0</v>
      </c>
      <c r="I2143" s="56" t="n">
        <v>15.4</v>
      </c>
      <c r="J2143" s="56" t="n">
        <v>0</v>
      </c>
      <c r="K2143" s="56" t="n">
        <v>1016.3</v>
      </c>
      <c r="L2143" s="56" t="n">
        <v>0</v>
      </c>
      <c r="M2143" s="56" t="n">
        <v>87</v>
      </c>
      <c r="N2143" s="56" t="n">
        <v>3.8</v>
      </c>
      <c r="O2143" s="56" t="n">
        <f aca="false">IF(D2143=1,"",E2142)</f>
        <v>17</v>
      </c>
      <c r="P2143" s="56" t="n">
        <f aca="false">IF(OR(D2143=1,K2142=""),"",K2142)</f>
        <v>1015.5</v>
      </c>
      <c r="Q2143" s="56" t="n">
        <f aca="false">IF(OR(F2143&lt;&gt;0,AND(I2143&lt;&gt;"",E2143&lt;I2143)),1,0)</f>
        <v>0</v>
      </c>
      <c r="R2143" s="56" t="n">
        <f aca="false">IF(AND(D2143&gt;1,Q2143=0,ISNUMBER(O2143),ISNUMBER(P2143)),IF(Q2142=0,1,0),0)</f>
        <v>1</v>
      </c>
      <c r="S2143" s="56" t="n">
        <f aca="false">R2143*(B2143&gt;=Train_Start)*(B2143&lt;=Train_End)</f>
        <v>1</v>
      </c>
      <c r="T2143" s="84" t="n">
        <f aca="false">IF(AND(ISNUMBER(O2143),ISNUMBER(P2143)),Coef_A+Coef_B1*O2143+Coef_B2*P2143,"")</f>
        <v>17.8718697045371</v>
      </c>
      <c r="U2143" s="84" t="n">
        <f aca="false">IF(AND(R2143=1,ISNUMBER(T2143)),E2143-T2143,"")</f>
        <v>-0.871869704537104</v>
      </c>
      <c r="V2143" s="84" t="n">
        <f aca="false">IF(ISNUMBER(T2143),T2143,-99)</f>
        <v>17.8718697045371</v>
      </c>
      <c r="W2143" s="84" t="n">
        <f aca="false">IF(ISNUMBER(U2143),ABS(U2143),"")</f>
        <v>0.871869704537104</v>
      </c>
    </row>
    <row r="2144" customFormat="false" ht="15" hidden="false" customHeight="false" outlineLevel="0" collapsed="false">
      <c r="A2144" s="57" t="n">
        <v>34090</v>
      </c>
      <c r="B2144" s="56" t="n">
        <v>1993</v>
      </c>
      <c r="C2144" s="56" t="n">
        <v>5</v>
      </c>
      <c r="D2144" s="56" t="n">
        <v>1</v>
      </c>
      <c r="E2144" s="56" t="n">
        <v>13.6</v>
      </c>
      <c r="F2144" s="56" t="n">
        <v>1</v>
      </c>
      <c r="G2144" s="56" t="n">
        <v>9.7</v>
      </c>
      <c r="H2144" s="56" t="n">
        <v>0</v>
      </c>
      <c r="I2144" s="56" t="n">
        <v>14.9</v>
      </c>
      <c r="J2144" s="56" t="n">
        <v>1</v>
      </c>
      <c r="K2144" s="56" t="n">
        <v>1008.8</v>
      </c>
      <c r="L2144" s="56" t="n">
        <v>0</v>
      </c>
      <c r="M2144" s="56" t="n">
        <v>78</v>
      </c>
      <c r="N2144" s="56" t="n">
        <v>6.8</v>
      </c>
      <c r="O2144" s="56" t="str">
        <f aca="false">IF(D2144=1,"",E2143)</f>
        <v/>
      </c>
      <c r="P2144" s="56" t="str">
        <f aca="false">IF(OR(D2144=1,K2143=""),"",K2143)</f>
        <v/>
      </c>
      <c r="Q2144" s="56" t="n">
        <f aca="false">IF(OR(F2144&lt;&gt;0,AND(I2144&lt;&gt;"",E2144&lt;I2144)),1,0)</f>
        <v>1</v>
      </c>
      <c r="R2144" s="56" t="n">
        <f aca="false">IF(AND(D2144&gt;1,Q2144=0,ISNUMBER(O2144),ISNUMBER(P2144)),IF(Q2143=0,1,0),0)</f>
        <v>0</v>
      </c>
      <c r="S2144" s="56" t="n">
        <f aca="false">R2144*(B2144&gt;=Train_Start)*(B2144&lt;=Train_End)</f>
        <v>0</v>
      </c>
      <c r="T2144" s="84" t="str">
        <f aca="false">IF(AND(ISNUMBER(O2144),ISNUMBER(P2144)),Coef_A+Coef_B1*O2144+Coef_B2*P2144,"")</f>
        <v/>
      </c>
      <c r="U2144" s="84" t="str">
        <f aca="false">IF(AND(R2144=1,ISNUMBER(T2144)),E2144-T2144,"")</f>
        <v/>
      </c>
      <c r="V2144" s="84" t="n">
        <f aca="false">IF(ISNUMBER(T2144),T2144,-99)</f>
        <v>-99</v>
      </c>
      <c r="W2144" s="84" t="str">
        <f aca="false">IF(ISNUMBER(U2144),ABS(U2144),"")</f>
        <v/>
      </c>
    </row>
    <row r="2145" customFormat="false" ht="15" hidden="false" customHeight="false" outlineLevel="0" collapsed="false">
      <c r="A2145" s="57" t="n">
        <v>34091</v>
      </c>
      <c r="B2145" s="56" t="n">
        <v>1993</v>
      </c>
      <c r="C2145" s="56" t="n">
        <v>5</v>
      </c>
      <c r="D2145" s="56" t="n">
        <v>2</v>
      </c>
      <c r="E2145" s="56" t="n">
        <v>13.5</v>
      </c>
      <c r="F2145" s="56" t="n">
        <v>0</v>
      </c>
      <c r="G2145" s="56" t="n">
        <v>7.9</v>
      </c>
      <c r="H2145" s="56" t="n">
        <v>0</v>
      </c>
      <c r="I2145" s="56" t="n">
        <v>10.8</v>
      </c>
      <c r="J2145" s="56" t="n">
        <v>0</v>
      </c>
      <c r="K2145" s="56" t="n">
        <v>1015.2</v>
      </c>
      <c r="L2145" s="56" t="n">
        <v>0</v>
      </c>
      <c r="M2145" s="56" t="n">
        <v>70</v>
      </c>
      <c r="N2145" s="56" t="n">
        <v>1</v>
      </c>
      <c r="O2145" s="56" t="n">
        <f aca="false">IF(D2145=1,"",E2144)</f>
        <v>13.6</v>
      </c>
      <c r="P2145" s="56" t="n">
        <f aca="false">IF(OR(D2145=1,K2144=""),"",K2144)</f>
        <v>1008.8</v>
      </c>
      <c r="Q2145" s="56" t="n">
        <f aca="false">IF(OR(F2145&lt;&gt;0,AND(I2145&lt;&gt;"",E2145&lt;I2145)),1,0)</f>
        <v>0</v>
      </c>
      <c r="R2145" s="56" t="n">
        <f aca="false">IF(AND(D2145&gt;1,Q2145=0,ISNUMBER(O2145),ISNUMBER(P2145)),IF(Q2144=0,1,0),0)</f>
        <v>0</v>
      </c>
      <c r="S2145" s="56" t="n">
        <f aca="false">R2145*(B2145&gt;=Train_Start)*(B2145&lt;=Train_End)</f>
        <v>0</v>
      </c>
      <c r="T2145" s="84" t="n">
        <f aca="false">IF(AND(ISNUMBER(O2145),ISNUMBER(P2145)),Coef_A+Coef_B1*O2145+Coef_B2*P2145,"")</f>
        <v>14.8759381541443</v>
      </c>
      <c r="U2145" s="84" t="str">
        <f aca="false">IF(AND(R2145=1,ISNUMBER(T2145)),E2145-T2145,"")</f>
        <v/>
      </c>
      <c r="V2145" s="84" t="n">
        <f aca="false">IF(ISNUMBER(T2145),T2145,-99)</f>
        <v>14.8759381541443</v>
      </c>
      <c r="W2145" s="84" t="str">
        <f aca="false">IF(ISNUMBER(U2145),ABS(U2145),"")</f>
        <v/>
      </c>
    </row>
    <row r="2146" customFormat="false" ht="15" hidden="false" customHeight="false" outlineLevel="0" collapsed="false">
      <c r="A2146" s="57" t="n">
        <v>34092</v>
      </c>
      <c r="B2146" s="56" t="n">
        <v>1993</v>
      </c>
      <c r="C2146" s="56" t="n">
        <v>5</v>
      </c>
      <c r="D2146" s="56" t="n">
        <v>3</v>
      </c>
      <c r="E2146" s="56" t="n">
        <v>15.6</v>
      </c>
      <c r="F2146" s="56" t="n">
        <v>0</v>
      </c>
      <c r="G2146" s="56" t="n">
        <v>7.6</v>
      </c>
      <c r="H2146" s="56" t="n">
        <v>0</v>
      </c>
      <c r="I2146" s="56" t="n">
        <v>10.6</v>
      </c>
      <c r="J2146" s="56" t="n">
        <v>0</v>
      </c>
      <c r="K2146" s="56" t="n">
        <v>1026.4</v>
      </c>
      <c r="L2146" s="56" t="n">
        <v>0</v>
      </c>
      <c r="M2146" s="56" t="n">
        <v>70</v>
      </c>
      <c r="N2146" s="56" t="n">
        <v>0.6</v>
      </c>
      <c r="O2146" s="56" t="n">
        <f aca="false">IF(D2146=1,"",E2145)</f>
        <v>13.5</v>
      </c>
      <c r="P2146" s="56" t="n">
        <f aca="false">IF(OR(D2146=1,K2145=""),"",K2145)</f>
        <v>1015.2</v>
      </c>
      <c r="Q2146" s="56" t="n">
        <f aca="false">IF(OR(F2146&lt;&gt;0,AND(I2146&lt;&gt;"",E2146&lt;I2146)),1,0)</f>
        <v>0</v>
      </c>
      <c r="R2146" s="56" t="n">
        <f aca="false">IF(AND(D2146&gt;1,Q2146=0,ISNUMBER(O2146),ISNUMBER(P2146)),IF(Q2145=0,1,0),0)</f>
        <v>1</v>
      </c>
      <c r="S2146" s="56" t="n">
        <f aca="false">R2146*(B2146&gt;=Train_Start)*(B2146&lt;=Train_End)</f>
        <v>1</v>
      </c>
      <c r="T2146" s="84" t="n">
        <f aca="false">IF(AND(ISNUMBER(O2146),ISNUMBER(P2146)),Coef_A+Coef_B1*O2146+Coef_B2*P2146,"")</f>
        <v>14.9947715604976</v>
      </c>
      <c r="U2146" s="84" t="n">
        <f aca="false">IF(AND(R2146=1,ISNUMBER(T2146)),E2146-T2146,"")</f>
        <v>0.605228439502392</v>
      </c>
      <c r="V2146" s="84" t="n">
        <f aca="false">IF(ISNUMBER(T2146),T2146,-99)</f>
        <v>14.9947715604976</v>
      </c>
      <c r="W2146" s="84" t="n">
        <f aca="false">IF(ISNUMBER(U2146),ABS(U2146),"")</f>
        <v>0.605228439502392</v>
      </c>
    </row>
    <row r="2147" customFormat="false" ht="15" hidden="false" customHeight="false" outlineLevel="0" collapsed="false">
      <c r="A2147" s="57" t="n">
        <v>34093</v>
      </c>
      <c r="B2147" s="56" t="n">
        <v>1993</v>
      </c>
      <c r="C2147" s="56" t="n">
        <v>5</v>
      </c>
      <c r="D2147" s="56" t="n">
        <v>4</v>
      </c>
      <c r="E2147" s="56" t="n">
        <v>15.2</v>
      </c>
      <c r="F2147" s="56" t="n">
        <v>0</v>
      </c>
      <c r="G2147" s="56" t="n">
        <v>4.9</v>
      </c>
      <c r="H2147" s="56" t="n">
        <v>0</v>
      </c>
      <c r="I2147" s="56" t="n">
        <v>10.2</v>
      </c>
      <c r="J2147" s="56" t="n">
        <v>0</v>
      </c>
      <c r="K2147" s="56" t="n">
        <v>1031.9</v>
      </c>
      <c r="L2147" s="56" t="n">
        <v>0</v>
      </c>
      <c r="M2147" s="56" t="n">
        <v>63</v>
      </c>
      <c r="N2147" s="56" t="n">
        <v>9.3</v>
      </c>
      <c r="O2147" s="56" t="n">
        <f aca="false">IF(D2147=1,"",E2146)</f>
        <v>15.6</v>
      </c>
      <c r="P2147" s="56" t="n">
        <f aca="false">IF(OR(D2147=1,K2146=""),"",K2146)</f>
        <v>1026.4</v>
      </c>
      <c r="Q2147" s="56" t="n">
        <f aca="false">IF(OR(F2147&lt;&gt;0,AND(I2147&lt;&gt;"",E2147&lt;I2147)),1,0)</f>
        <v>0</v>
      </c>
      <c r="R2147" s="56" t="n">
        <f aca="false">IF(AND(D2147&gt;1,Q2147=0,ISNUMBER(O2147),ISNUMBER(P2147)),IF(Q2146=0,1,0),0)</f>
        <v>1</v>
      </c>
      <c r="S2147" s="56" t="n">
        <f aca="false">R2147*(B2147&gt;=Train_Start)*(B2147&lt;=Train_End)</f>
        <v>1</v>
      </c>
      <c r="T2147" s="84" t="n">
        <f aca="false">IF(AND(ISNUMBER(O2147),ISNUMBER(P2147)),Coef_A+Coef_B1*O2147+Coef_B2*P2147,"")</f>
        <v>17.0667266857879</v>
      </c>
      <c r="U2147" s="84" t="n">
        <f aca="false">IF(AND(R2147=1,ISNUMBER(T2147)),E2147-T2147,"")</f>
        <v>-1.86672668578787</v>
      </c>
      <c r="V2147" s="84" t="n">
        <f aca="false">IF(ISNUMBER(T2147),T2147,-99)</f>
        <v>17.0667266857879</v>
      </c>
      <c r="W2147" s="84" t="n">
        <f aca="false">IF(ISNUMBER(U2147),ABS(U2147),"")</f>
        <v>1.86672668578787</v>
      </c>
    </row>
    <row r="2148" customFormat="false" ht="15" hidden="false" customHeight="false" outlineLevel="0" collapsed="false">
      <c r="A2148" s="57" t="n">
        <v>34094</v>
      </c>
      <c r="B2148" s="56" t="n">
        <v>1993</v>
      </c>
      <c r="C2148" s="56" t="n">
        <v>5</v>
      </c>
      <c r="D2148" s="56" t="n">
        <v>5</v>
      </c>
      <c r="E2148" s="56" t="n">
        <v>14.7</v>
      </c>
      <c r="F2148" s="56" t="n">
        <v>0</v>
      </c>
      <c r="G2148" s="56" t="n">
        <v>4.6</v>
      </c>
      <c r="H2148" s="56" t="n">
        <v>0</v>
      </c>
      <c r="I2148" s="56" t="n">
        <v>9.9</v>
      </c>
      <c r="J2148" s="56" t="n">
        <v>0</v>
      </c>
      <c r="K2148" s="56" t="n">
        <v>1029.5</v>
      </c>
      <c r="L2148" s="56" t="n">
        <v>0</v>
      </c>
      <c r="M2148" s="56" t="n">
        <v>61</v>
      </c>
      <c r="N2148" s="56" t="n">
        <v>13.8</v>
      </c>
      <c r="O2148" s="56" t="n">
        <f aca="false">IF(D2148=1,"",E2147)</f>
        <v>15.2</v>
      </c>
      <c r="P2148" s="56" t="n">
        <f aca="false">IF(OR(D2148=1,K2147=""),"",K2147)</f>
        <v>1031.9</v>
      </c>
      <c r="Q2148" s="56" t="n">
        <f aca="false">IF(OR(F2148&lt;&gt;0,AND(I2148&lt;&gt;"",E2148&lt;I2148)),1,0)</f>
        <v>0</v>
      </c>
      <c r="R2148" s="56" t="n">
        <f aca="false">IF(AND(D2148&gt;1,Q2148=0,ISNUMBER(O2148),ISNUMBER(P2148)),IF(Q2147=0,1,0),0)</f>
        <v>1</v>
      </c>
      <c r="S2148" s="56" t="n">
        <f aca="false">R2148*(B2148&gt;=Train_Start)*(B2148&lt;=Train_End)</f>
        <v>1</v>
      </c>
      <c r="T2148" s="84" t="n">
        <f aca="false">IF(AND(ISNUMBER(O2148),ISNUMBER(P2148)),Coef_A+Coef_B1*O2148+Coef_B2*P2148,"")</f>
        <v>16.9115254290577</v>
      </c>
      <c r="U2148" s="84" t="n">
        <f aca="false">IF(AND(R2148=1,ISNUMBER(T2148)),E2148-T2148,"")</f>
        <v>-2.21152542905775</v>
      </c>
      <c r="V2148" s="84" t="n">
        <f aca="false">IF(ISNUMBER(T2148),T2148,-99)</f>
        <v>16.9115254290577</v>
      </c>
      <c r="W2148" s="84" t="n">
        <f aca="false">IF(ISNUMBER(U2148),ABS(U2148),"")</f>
        <v>2.21152542905775</v>
      </c>
    </row>
    <row r="2149" customFormat="false" ht="15" hidden="false" customHeight="false" outlineLevel="0" collapsed="false">
      <c r="A2149" s="57" t="n">
        <v>34095</v>
      </c>
      <c r="B2149" s="56" t="n">
        <v>1993</v>
      </c>
      <c r="C2149" s="56" t="n">
        <v>5</v>
      </c>
      <c r="D2149" s="56" t="n">
        <v>6</v>
      </c>
      <c r="E2149" s="56" t="n">
        <v>16.3</v>
      </c>
      <c r="F2149" s="56" t="n">
        <v>0</v>
      </c>
      <c r="G2149" s="56" t="n">
        <v>3.3</v>
      </c>
      <c r="H2149" s="56" t="n">
        <v>0</v>
      </c>
      <c r="I2149" s="56" t="n">
        <v>9</v>
      </c>
      <c r="J2149" s="56" t="n">
        <v>0</v>
      </c>
      <c r="K2149" s="56" t="n">
        <v>1027.7</v>
      </c>
      <c r="L2149" s="56" t="n">
        <v>0</v>
      </c>
      <c r="M2149" s="56" t="n">
        <v>63</v>
      </c>
      <c r="N2149" s="56" t="n">
        <v>13.7</v>
      </c>
      <c r="O2149" s="56" t="n">
        <f aca="false">IF(D2149=1,"",E2148)</f>
        <v>14.7</v>
      </c>
      <c r="P2149" s="56" t="n">
        <f aca="false">IF(OR(D2149=1,K2148=""),"",K2148)</f>
        <v>1029.5</v>
      </c>
      <c r="Q2149" s="56" t="n">
        <f aca="false">IF(OR(F2149&lt;&gt;0,AND(I2149&lt;&gt;"",E2149&lt;I2149)),1,0)</f>
        <v>0</v>
      </c>
      <c r="R2149" s="56" t="n">
        <f aca="false">IF(AND(D2149&gt;1,Q2149=0,ISNUMBER(O2149),ISNUMBER(P2149)),IF(Q2148=0,1,0),0)</f>
        <v>1</v>
      </c>
      <c r="S2149" s="56" t="n">
        <f aca="false">R2149*(B2149&gt;=Train_Start)*(B2149&lt;=Train_End)</f>
        <v>1</v>
      </c>
      <c r="T2149" s="84" t="n">
        <f aca="false">IF(AND(ISNUMBER(O2149),ISNUMBER(P2149)),Coef_A+Coef_B1*O2149+Coef_B2*P2149,"")</f>
        <v>16.4265680854148</v>
      </c>
      <c r="U2149" s="84" t="n">
        <f aca="false">IF(AND(R2149=1,ISNUMBER(T2149)),E2149-T2149,"")</f>
        <v>-0.126568085414842</v>
      </c>
      <c r="V2149" s="84" t="n">
        <f aca="false">IF(ISNUMBER(T2149),T2149,-99)</f>
        <v>16.4265680854148</v>
      </c>
      <c r="W2149" s="84" t="n">
        <f aca="false">IF(ISNUMBER(U2149),ABS(U2149),"")</f>
        <v>0.126568085414842</v>
      </c>
    </row>
    <row r="2150" customFormat="false" ht="15" hidden="false" customHeight="false" outlineLevel="0" collapsed="false">
      <c r="A2150" s="57" t="n">
        <v>34096</v>
      </c>
      <c r="B2150" s="56" t="n">
        <v>1993</v>
      </c>
      <c r="C2150" s="56" t="n">
        <v>5</v>
      </c>
      <c r="D2150" s="56" t="n">
        <v>7</v>
      </c>
      <c r="E2150" s="56" t="n">
        <v>18</v>
      </c>
      <c r="F2150" s="56" t="n">
        <v>0</v>
      </c>
      <c r="G2150" s="56" t="n">
        <v>5.4</v>
      </c>
      <c r="H2150" s="56" t="n">
        <v>0</v>
      </c>
      <c r="I2150" s="56" t="n">
        <v>10.8</v>
      </c>
      <c r="J2150" s="56" t="n">
        <v>0</v>
      </c>
      <c r="K2150" s="56" t="n">
        <v>1027.4</v>
      </c>
      <c r="L2150" s="56" t="n">
        <v>0</v>
      </c>
      <c r="M2150" s="56" t="n">
        <v>61</v>
      </c>
      <c r="N2150" s="56" t="n">
        <v>12.7</v>
      </c>
      <c r="O2150" s="56" t="n">
        <f aca="false">IF(D2150=1,"",E2149)</f>
        <v>16.3</v>
      </c>
      <c r="P2150" s="56" t="n">
        <f aca="false">IF(OR(D2150=1,K2149=""),"",K2149)</f>
        <v>1027.7</v>
      </c>
      <c r="Q2150" s="56" t="n">
        <f aca="false">IF(OR(F2150&lt;&gt;0,AND(I2150&lt;&gt;"",E2150&lt;I2150)),1,0)</f>
        <v>0</v>
      </c>
      <c r="R2150" s="56" t="n">
        <f aca="false">IF(AND(D2150&gt;1,Q2150=0,ISNUMBER(O2150),ISNUMBER(P2150)),IF(Q2149=0,1,0),0)</f>
        <v>1</v>
      </c>
      <c r="S2150" s="56" t="n">
        <f aca="false">R2150*(B2150&gt;=Train_Start)*(B2150&lt;=Train_End)</f>
        <v>1</v>
      </c>
      <c r="T2150" s="84" t="n">
        <f aca="false">IF(AND(ISNUMBER(O2150),ISNUMBER(P2150)),Coef_A+Coef_B1*O2150+Coef_B2*P2150,"")</f>
        <v>17.6810449839419</v>
      </c>
      <c r="U2150" s="84" t="n">
        <f aca="false">IF(AND(R2150=1,ISNUMBER(T2150)),E2150-T2150,"")</f>
        <v>0.318955016058084</v>
      </c>
      <c r="V2150" s="84" t="n">
        <f aca="false">IF(ISNUMBER(T2150),T2150,-99)</f>
        <v>17.6810449839419</v>
      </c>
      <c r="W2150" s="84" t="n">
        <f aca="false">IF(ISNUMBER(U2150),ABS(U2150),"")</f>
        <v>0.318955016058084</v>
      </c>
    </row>
    <row r="2151" customFormat="false" ht="15" hidden="false" customHeight="false" outlineLevel="0" collapsed="false">
      <c r="A2151" s="57" t="n">
        <v>34097</v>
      </c>
      <c r="B2151" s="56" t="n">
        <v>1993</v>
      </c>
      <c r="C2151" s="56" t="n">
        <v>5</v>
      </c>
      <c r="D2151" s="56" t="n">
        <v>8</v>
      </c>
      <c r="E2151" s="56" t="n">
        <v>17.5</v>
      </c>
      <c r="F2151" s="56" t="n">
        <v>0</v>
      </c>
      <c r="G2151" s="56" t="n">
        <v>7</v>
      </c>
      <c r="H2151" s="56" t="n">
        <v>0</v>
      </c>
      <c r="I2151" s="56" t="n">
        <v>12.5</v>
      </c>
      <c r="J2151" s="56" t="n">
        <v>0</v>
      </c>
      <c r="K2151" s="56" t="n">
        <v>1025.3</v>
      </c>
      <c r="L2151" s="56" t="n">
        <v>0</v>
      </c>
      <c r="M2151" s="56" t="n">
        <v>61</v>
      </c>
      <c r="N2151" s="56" t="n">
        <v>5.8</v>
      </c>
      <c r="O2151" s="56" t="n">
        <f aca="false">IF(D2151=1,"",E2150)</f>
        <v>18</v>
      </c>
      <c r="P2151" s="56" t="n">
        <f aca="false">IF(OR(D2151=1,K2150=""),"",K2150)</f>
        <v>1027.4</v>
      </c>
      <c r="Q2151" s="56" t="n">
        <f aca="false">IF(OR(F2151&lt;&gt;0,AND(I2151&lt;&gt;"",E2151&lt;I2151)),1,0)</f>
        <v>0</v>
      </c>
      <c r="R2151" s="56" t="n">
        <f aca="false">IF(AND(D2151&gt;1,Q2151=0,ISNUMBER(O2151),ISNUMBER(P2151)),IF(Q2150=0,1,0),0)</f>
        <v>1</v>
      </c>
      <c r="S2151" s="56" t="n">
        <f aca="false">R2151*(B2151&gt;=Train_Start)*(B2151&lt;=Train_End)</f>
        <v>1</v>
      </c>
      <c r="T2151" s="84" t="n">
        <f aca="false">IF(AND(ISNUMBER(O2151),ISNUMBER(P2151)),Coef_A+Coef_B1*O2151+Coef_B2*P2151,"")</f>
        <v>19.0645106437242</v>
      </c>
      <c r="U2151" s="84" t="n">
        <f aca="false">IF(AND(R2151=1,ISNUMBER(T2151)),E2151-T2151,"")</f>
        <v>-1.56451064372424</v>
      </c>
      <c r="V2151" s="84" t="n">
        <f aca="false">IF(ISNUMBER(T2151),T2151,-99)</f>
        <v>19.0645106437242</v>
      </c>
      <c r="W2151" s="84" t="n">
        <f aca="false">IF(ISNUMBER(U2151),ABS(U2151),"")</f>
        <v>1.56451064372424</v>
      </c>
    </row>
    <row r="2152" customFormat="false" ht="15" hidden="false" customHeight="false" outlineLevel="0" collapsed="false">
      <c r="A2152" s="57" t="n">
        <v>34098</v>
      </c>
      <c r="B2152" s="56" t="n">
        <v>1993</v>
      </c>
      <c r="C2152" s="56" t="n">
        <v>5</v>
      </c>
      <c r="D2152" s="56" t="n">
        <v>9</v>
      </c>
      <c r="E2152" s="56" t="n">
        <v>20.6</v>
      </c>
      <c r="F2152" s="56" t="n">
        <v>0</v>
      </c>
      <c r="G2152" s="56" t="n">
        <v>8</v>
      </c>
      <c r="H2152" s="56" t="n">
        <v>0</v>
      </c>
      <c r="I2152" s="56" t="n">
        <v>12.8</v>
      </c>
      <c r="J2152" s="56" t="n">
        <v>0</v>
      </c>
      <c r="K2152" s="56" t="n">
        <v>1019.6</v>
      </c>
      <c r="L2152" s="56" t="n">
        <v>0</v>
      </c>
      <c r="M2152" s="56" t="n">
        <v>82</v>
      </c>
      <c r="N2152" s="56" t="n">
        <v>1.9</v>
      </c>
      <c r="O2152" s="56" t="n">
        <f aca="false">IF(D2152=1,"",E2151)</f>
        <v>17.5</v>
      </c>
      <c r="P2152" s="56" t="n">
        <f aca="false">IF(OR(D2152=1,K2151=""),"",K2151)</f>
        <v>1025.3</v>
      </c>
      <c r="Q2152" s="56" t="n">
        <f aca="false">IF(OR(F2152&lt;&gt;0,AND(I2152&lt;&gt;"",E2152&lt;I2152)),1,0)</f>
        <v>0</v>
      </c>
      <c r="R2152" s="56" t="n">
        <f aca="false">IF(AND(D2152&gt;1,Q2152=0,ISNUMBER(O2152),ISNUMBER(P2152)),IF(Q2151=0,1,0),0)</f>
        <v>1</v>
      </c>
      <c r="S2152" s="56" t="n">
        <f aca="false">R2152*(B2152&gt;=Train_Start)*(B2152&lt;=Train_End)</f>
        <v>1</v>
      </c>
      <c r="T2152" s="84" t="n">
        <f aca="false">IF(AND(ISNUMBER(O2152),ISNUMBER(P2152)),Coef_A+Coef_B1*O2152+Coef_B2*P2152,"")</f>
        <v>18.5889642684715</v>
      </c>
      <c r="U2152" s="84" t="n">
        <f aca="false">IF(AND(R2152=1,ISNUMBER(T2152)),E2152-T2152,"")</f>
        <v>2.01103573152848</v>
      </c>
      <c r="V2152" s="84" t="n">
        <f aca="false">IF(ISNUMBER(T2152),T2152,-99)</f>
        <v>18.5889642684715</v>
      </c>
      <c r="W2152" s="84" t="n">
        <f aca="false">IF(ISNUMBER(U2152),ABS(U2152),"")</f>
        <v>2.01103573152848</v>
      </c>
    </row>
    <row r="2153" customFormat="false" ht="15" hidden="false" customHeight="false" outlineLevel="0" collapsed="false">
      <c r="A2153" s="57" t="n">
        <v>34099</v>
      </c>
      <c r="B2153" s="56" t="n">
        <v>1993</v>
      </c>
      <c r="C2153" s="56" t="n">
        <v>5</v>
      </c>
      <c r="D2153" s="56" t="n">
        <v>10</v>
      </c>
      <c r="E2153" s="56" t="n">
        <v>25.1</v>
      </c>
      <c r="F2153" s="56" t="n">
        <v>0</v>
      </c>
      <c r="G2153" s="56" t="n">
        <v>9</v>
      </c>
      <c r="H2153" s="56" t="n">
        <v>0</v>
      </c>
      <c r="I2153" s="56" t="n">
        <v>14.8</v>
      </c>
      <c r="J2153" s="56" t="n">
        <v>0</v>
      </c>
      <c r="K2153" s="56" t="n">
        <v>1016</v>
      </c>
      <c r="L2153" s="56" t="n">
        <v>0</v>
      </c>
      <c r="M2153" s="56" t="n">
        <v>75</v>
      </c>
      <c r="N2153" s="56" t="n">
        <v>5.5</v>
      </c>
      <c r="O2153" s="56" t="n">
        <f aca="false">IF(D2153=1,"",E2152)</f>
        <v>20.6</v>
      </c>
      <c r="P2153" s="56" t="n">
        <f aca="false">IF(OR(D2153=1,K2152=""),"",K2152)</f>
        <v>1019.6</v>
      </c>
      <c r="Q2153" s="56" t="n">
        <f aca="false">IF(OR(F2153&lt;&gt;0,AND(I2153&lt;&gt;"",E2153&lt;I2153)),1,0)</f>
        <v>0</v>
      </c>
      <c r="R2153" s="56" t="n">
        <f aca="false">IF(AND(D2153&gt;1,Q2153=0,ISNUMBER(O2153),ISNUMBER(P2153)),IF(Q2152=0,1,0),0)</f>
        <v>1</v>
      </c>
      <c r="S2153" s="56" t="n">
        <f aca="false">R2153*(B2153&gt;=Train_Start)*(B2153&lt;=Train_End)</f>
        <v>1</v>
      </c>
      <c r="T2153" s="84" t="n">
        <f aca="false">IF(AND(ISNUMBER(O2153),ISNUMBER(P2153)),Coef_A+Coef_B1*O2153+Coef_B2*P2153,"")</f>
        <v>20.95010736749</v>
      </c>
      <c r="U2153" s="84" t="n">
        <f aca="false">IF(AND(R2153=1,ISNUMBER(T2153)),E2153-T2153,"")</f>
        <v>4.14989263250997</v>
      </c>
      <c r="V2153" s="84" t="n">
        <f aca="false">IF(ISNUMBER(T2153),T2153,-99)</f>
        <v>20.95010736749</v>
      </c>
      <c r="W2153" s="84" t="n">
        <f aca="false">IF(ISNUMBER(U2153),ABS(U2153),"")</f>
        <v>4.14989263250997</v>
      </c>
    </row>
    <row r="2154" customFormat="false" ht="15" hidden="false" customHeight="false" outlineLevel="0" collapsed="false">
      <c r="A2154" s="57" t="n">
        <v>34100</v>
      </c>
      <c r="B2154" s="56" t="n">
        <v>1993</v>
      </c>
      <c r="C2154" s="56" t="n">
        <v>5</v>
      </c>
      <c r="D2154" s="56" t="n">
        <v>11</v>
      </c>
      <c r="E2154" s="56" t="n">
        <v>19</v>
      </c>
      <c r="F2154" s="56" t="n">
        <v>0</v>
      </c>
      <c r="G2154" s="56" t="n">
        <v>10.4</v>
      </c>
      <c r="H2154" s="56" t="n">
        <v>0</v>
      </c>
      <c r="I2154" s="56" t="n">
        <v>17.8</v>
      </c>
      <c r="J2154" s="56" t="n">
        <v>0</v>
      </c>
      <c r="K2154" s="56" t="n">
        <v>1014.7</v>
      </c>
      <c r="L2154" s="56" t="n">
        <v>0</v>
      </c>
      <c r="M2154" s="56" t="n">
        <v>66</v>
      </c>
      <c r="N2154" s="56" t="n">
        <v>11</v>
      </c>
      <c r="O2154" s="56" t="n">
        <f aca="false">IF(D2154=1,"",E2153)</f>
        <v>25.1</v>
      </c>
      <c r="P2154" s="56" t="n">
        <f aca="false">IF(OR(D2154=1,K2153=""),"",K2153)</f>
        <v>1016</v>
      </c>
      <c r="Q2154" s="56" t="n">
        <f aca="false">IF(OR(F2154&lt;&gt;0,AND(I2154&lt;&gt;"",E2154&lt;I2154)),1,0)</f>
        <v>0</v>
      </c>
      <c r="R2154" s="56" t="n">
        <f aca="false">IF(AND(D2154&gt;1,Q2154=0,ISNUMBER(O2154),ISNUMBER(P2154)),IF(Q2153=0,1,0),0)</f>
        <v>1</v>
      </c>
      <c r="S2154" s="56" t="n">
        <f aca="false">R2154*(B2154&gt;=Train_Start)*(B2154&lt;=Train_End)</f>
        <v>1</v>
      </c>
      <c r="T2154" s="84" t="n">
        <f aca="false">IF(AND(ISNUMBER(O2154),ISNUMBER(P2154)),Coef_A+Coef_B1*O2154+Coef_B2*P2154,"")</f>
        <v>24.5242021154996</v>
      </c>
      <c r="U2154" s="84" t="n">
        <f aca="false">IF(AND(R2154=1,ISNUMBER(T2154)),E2154-T2154,"")</f>
        <v>-5.52420211549963</v>
      </c>
      <c r="V2154" s="84" t="n">
        <f aca="false">IF(ISNUMBER(T2154),T2154,-99)</f>
        <v>24.5242021154996</v>
      </c>
      <c r="W2154" s="84" t="n">
        <f aca="false">IF(ISNUMBER(U2154),ABS(U2154),"")</f>
        <v>5.52420211549963</v>
      </c>
    </row>
    <row r="2155" customFormat="false" ht="15" hidden="false" customHeight="false" outlineLevel="0" collapsed="false">
      <c r="A2155" s="57" t="n">
        <v>34101</v>
      </c>
      <c r="B2155" s="56" t="n">
        <v>1993</v>
      </c>
      <c r="C2155" s="56" t="n">
        <v>5</v>
      </c>
      <c r="D2155" s="56" t="n">
        <v>12</v>
      </c>
      <c r="E2155" s="56" t="n">
        <v>16.3</v>
      </c>
      <c r="F2155" s="56" t="n">
        <v>0</v>
      </c>
      <c r="G2155" s="56" t="n">
        <v>10.5</v>
      </c>
      <c r="H2155" s="56" t="n">
        <v>0</v>
      </c>
      <c r="I2155" s="56" t="n">
        <v>14.8</v>
      </c>
      <c r="J2155" s="56" t="n">
        <v>0</v>
      </c>
      <c r="K2155" s="56" t="n">
        <v>1010.7</v>
      </c>
      <c r="L2155" s="56" t="n">
        <v>0</v>
      </c>
      <c r="M2155" s="56" t="n">
        <v>80</v>
      </c>
      <c r="N2155" s="56" t="n">
        <v>0.4</v>
      </c>
      <c r="O2155" s="56" t="n">
        <f aca="false">IF(D2155=1,"",E2154)</f>
        <v>19</v>
      </c>
      <c r="P2155" s="56" t="n">
        <f aca="false">IF(OR(D2155=1,K2154=""),"",K2154)</f>
        <v>1014.7</v>
      </c>
      <c r="Q2155" s="56" t="n">
        <f aca="false">IF(OR(F2155&lt;&gt;0,AND(I2155&lt;&gt;"",E2155&lt;I2155)),1,0)</f>
        <v>0</v>
      </c>
      <c r="R2155" s="56" t="n">
        <f aca="false">IF(AND(D2155&gt;1,Q2155=0,ISNUMBER(O2155),ISNUMBER(P2155)),IF(Q2154=0,1,0),0)</f>
        <v>1</v>
      </c>
      <c r="S2155" s="56" t="n">
        <f aca="false">R2155*(B2155&gt;=Train_Start)*(B2155&lt;=Train_End)</f>
        <v>1</v>
      </c>
      <c r="T2155" s="84" t="n">
        <f aca="false">IF(AND(ISNUMBER(O2155),ISNUMBER(P2155)),Coef_A+Coef_B1*O2155+Coef_B2*P2155,"")</f>
        <v>19.4854521749152</v>
      </c>
      <c r="U2155" s="84" t="n">
        <f aca="false">IF(AND(R2155=1,ISNUMBER(T2155)),E2155-T2155,"")</f>
        <v>-3.18545217491523</v>
      </c>
      <c r="V2155" s="84" t="n">
        <f aca="false">IF(ISNUMBER(T2155),T2155,-99)</f>
        <v>19.4854521749152</v>
      </c>
      <c r="W2155" s="84" t="n">
        <f aca="false">IF(ISNUMBER(U2155),ABS(U2155),"")</f>
        <v>3.18545217491523</v>
      </c>
    </row>
    <row r="2156" customFormat="false" ht="15" hidden="false" customHeight="false" outlineLevel="0" collapsed="false">
      <c r="A2156" s="57" t="n">
        <v>34102</v>
      </c>
      <c r="B2156" s="56" t="n">
        <v>1993</v>
      </c>
      <c r="C2156" s="56" t="n">
        <v>5</v>
      </c>
      <c r="D2156" s="56" t="n">
        <v>13</v>
      </c>
      <c r="E2156" s="56" t="n">
        <v>15.7</v>
      </c>
      <c r="F2156" s="56" t="n">
        <v>0</v>
      </c>
      <c r="G2156" s="56" t="n">
        <v>7.9</v>
      </c>
      <c r="H2156" s="56" t="n">
        <v>0</v>
      </c>
      <c r="I2156" s="56" t="n">
        <v>12.1</v>
      </c>
      <c r="J2156" s="56" t="n">
        <v>0</v>
      </c>
      <c r="K2156" s="56" t="n">
        <v>1003.3</v>
      </c>
      <c r="L2156" s="56" t="n">
        <v>0</v>
      </c>
      <c r="M2156" s="56" t="n">
        <v>76</v>
      </c>
      <c r="N2156" s="56" t="n">
        <v>5.2</v>
      </c>
      <c r="O2156" s="56" t="n">
        <f aca="false">IF(D2156=1,"",E2155)</f>
        <v>16.3</v>
      </c>
      <c r="P2156" s="56" t="n">
        <f aca="false">IF(OR(D2156=1,K2155=""),"",K2155)</f>
        <v>1010.7</v>
      </c>
      <c r="Q2156" s="56" t="n">
        <f aca="false">IF(OR(F2156&lt;&gt;0,AND(I2156&lt;&gt;"",E2156&lt;I2156)),1,0)</f>
        <v>0</v>
      </c>
      <c r="R2156" s="56" t="n">
        <f aca="false">IF(AND(D2156&gt;1,Q2156=0,ISNUMBER(O2156),ISNUMBER(P2156)),IF(Q2155=0,1,0),0)</f>
        <v>1</v>
      </c>
      <c r="S2156" s="56" t="n">
        <f aca="false">R2156*(B2156&gt;=Train_Start)*(B2156&lt;=Train_End)</f>
        <v>1</v>
      </c>
      <c r="T2156" s="84" t="n">
        <f aca="false">IF(AND(ISNUMBER(O2156),ISNUMBER(P2156)),Coef_A+Coef_B1*O2156+Coef_B2*P2156,"")</f>
        <v>17.1477567751641</v>
      </c>
      <c r="U2156" s="84" t="n">
        <f aca="false">IF(AND(R2156=1,ISNUMBER(T2156)),E2156-T2156,"")</f>
        <v>-1.4477567751641</v>
      </c>
      <c r="V2156" s="84" t="n">
        <f aca="false">IF(ISNUMBER(T2156),T2156,-99)</f>
        <v>17.1477567751641</v>
      </c>
      <c r="W2156" s="84" t="n">
        <f aca="false">IF(ISNUMBER(U2156),ABS(U2156),"")</f>
        <v>1.4477567751641</v>
      </c>
    </row>
    <row r="2157" customFormat="false" ht="15" hidden="false" customHeight="false" outlineLevel="0" collapsed="false">
      <c r="A2157" s="57" t="n">
        <v>34103</v>
      </c>
      <c r="B2157" s="56" t="n">
        <v>1993</v>
      </c>
      <c r="C2157" s="56" t="n">
        <v>5</v>
      </c>
      <c r="D2157" s="56" t="n">
        <v>14</v>
      </c>
      <c r="E2157" s="56" t="n">
        <v>15</v>
      </c>
      <c r="F2157" s="56" t="n">
        <v>0</v>
      </c>
      <c r="G2157" s="56" t="n">
        <v>8.7</v>
      </c>
      <c r="H2157" s="56" t="n">
        <v>0</v>
      </c>
      <c r="I2157" s="56" t="n">
        <v>12.2</v>
      </c>
      <c r="J2157" s="56" t="n">
        <v>0</v>
      </c>
      <c r="K2157" s="56" t="n">
        <v>997.5</v>
      </c>
      <c r="L2157" s="56" t="n">
        <v>0</v>
      </c>
      <c r="M2157" s="56" t="n">
        <v>78</v>
      </c>
      <c r="N2157" s="56" t="n">
        <v>1.3</v>
      </c>
      <c r="O2157" s="56" t="n">
        <f aca="false">IF(D2157=1,"",E2156)</f>
        <v>15.7</v>
      </c>
      <c r="P2157" s="56" t="n">
        <f aca="false">IF(OR(D2157=1,K2156=""),"",K2156)</f>
        <v>1003.3</v>
      </c>
      <c r="Q2157" s="56" t="n">
        <f aca="false">IF(OR(F2157&lt;&gt;0,AND(I2157&lt;&gt;"",E2157&lt;I2157)),1,0)</f>
        <v>0</v>
      </c>
      <c r="R2157" s="56" t="n">
        <f aca="false">IF(AND(D2157&gt;1,Q2157=0,ISNUMBER(O2157),ISNUMBER(P2157)),IF(Q2156=0,1,0),0)</f>
        <v>1</v>
      </c>
      <c r="S2157" s="56" t="n">
        <f aca="false">R2157*(B2157&gt;=Train_Start)*(B2157&lt;=Train_End)</f>
        <v>1</v>
      </c>
      <c r="T2157" s="84" t="n">
        <f aca="false">IF(AND(ISNUMBER(O2157),ISNUMBER(P2157)),Coef_A+Coef_B1*O2157+Coef_B2*P2157,"")</f>
        <v>16.424016039047</v>
      </c>
      <c r="U2157" s="84" t="n">
        <f aca="false">IF(AND(R2157=1,ISNUMBER(T2157)),E2157-T2157,"")</f>
        <v>-1.42401603904698</v>
      </c>
      <c r="V2157" s="84" t="n">
        <f aca="false">IF(ISNUMBER(T2157),T2157,-99)</f>
        <v>16.424016039047</v>
      </c>
      <c r="W2157" s="84" t="n">
        <f aca="false">IF(ISNUMBER(U2157),ABS(U2157),"")</f>
        <v>1.42401603904698</v>
      </c>
    </row>
    <row r="2158" customFormat="false" ht="15" hidden="false" customHeight="false" outlineLevel="0" collapsed="false">
      <c r="A2158" s="57" t="n">
        <v>34104</v>
      </c>
      <c r="B2158" s="56" t="n">
        <v>1993</v>
      </c>
      <c r="C2158" s="56" t="n">
        <v>5</v>
      </c>
      <c r="D2158" s="56" t="n">
        <v>15</v>
      </c>
      <c r="E2158" s="56" t="n">
        <v>17.7</v>
      </c>
      <c r="F2158" s="56" t="n">
        <v>0</v>
      </c>
      <c r="G2158" s="56" t="n">
        <v>4.6</v>
      </c>
      <c r="H2158" s="56" t="n">
        <v>0</v>
      </c>
      <c r="I2158" s="56" t="n">
        <v>9.8</v>
      </c>
      <c r="J2158" s="56" t="n">
        <v>0</v>
      </c>
      <c r="K2158" s="56" t="n">
        <v>1005</v>
      </c>
      <c r="L2158" s="56" t="n">
        <v>0</v>
      </c>
      <c r="M2158" s="56" t="n">
        <v>64</v>
      </c>
      <c r="N2158" s="56" t="n">
        <v>9.2</v>
      </c>
      <c r="O2158" s="56" t="n">
        <f aca="false">IF(D2158=1,"",E2157)</f>
        <v>15</v>
      </c>
      <c r="P2158" s="56" t="n">
        <f aca="false">IF(OR(D2158=1,K2157=""),"",K2157)</f>
        <v>997.5</v>
      </c>
      <c r="Q2158" s="56" t="n">
        <f aca="false">IF(OR(F2158&lt;&gt;0,AND(I2158&lt;&gt;"",E2158&lt;I2158)),1,0)</f>
        <v>0</v>
      </c>
      <c r="R2158" s="56" t="n">
        <f aca="false">IF(AND(D2158&gt;1,Q2158=0,ISNUMBER(O2158),ISNUMBER(P2158)),IF(Q2157=0,1,0),0)</f>
        <v>1</v>
      </c>
      <c r="S2158" s="56" t="n">
        <f aca="false">R2158*(B2158&gt;=Train_Start)*(B2158&lt;=Train_End)</f>
        <v>1</v>
      </c>
      <c r="T2158" s="84" t="n">
        <f aca="false">IF(AND(ISNUMBER(O2158),ISNUMBER(P2158)),Coef_A+Coef_B1*O2158+Coef_B2*P2158,"")</f>
        <v>15.66853321504</v>
      </c>
      <c r="U2158" s="84" t="n">
        <f aca="false">IF(AND(R2158=1,ISNUMBER(T2158)),E2158-T2158,"")</f>
        <v>2.03146678496002</v>
      </c>
      <c r="V2158" s="84" t="n">
        <f aca="false">IF(ISNUMBER(T2158),T2158,-99)</f>
        <v>15.66853321504</v>
      </c>
      <c r="W2158" s="84" t="n">
        <f aca="false">IF(ISNUMBER(U2158),ABS(U2158),"")</f>
        <v>2.03146678496002</v>
      </c>
    </row>
    <row r="2159" customFormat="false" ht="15" hidden="false" customHeight="false" outlineLevel="0" collapsed="false">
      <c r="A2159" s="57" t="n">
        <v>34105</v>
      </c>
      <c r="B2159" s="56" t="n">
        <v>1993</v>
      </c>
      <c r="C2159" s="56" t="n">
        <v>5</v>
      </c>
      <c r="D2159" s="56" t="n">
        <v>16</v>
      </c>
      <c r="E2159" s="56" t="n">
        <v>22.7</v>
      </c>
      <c r="F2159" s="56" t="n">
        <v>0</v>
      </c>
      <c r="G2159" s="56" t="n">
        <v>6.4</v>
      </c>
      <c r="H2159" s="56" t="n">
        <v>0</v>
      </c>
      <c r="I2159" s="56" t="n">
        <v>12</v>
      </c>
      <c r="J2159" s="56" t="n">
        <v>0</v>
      </c>
      <c r="K2159" s="56" t="n">
        <v>1011.7</v>
      </c>
      <c r="L2159" s="56" t="n">
        <v>0</v>
      </c>
      <c r="M2159" s="56" t="n">
        <v>76</v>
      </c>
      <c r="N2159" s="56" t="n">
        <v>2.6</v>
      </c>
      <c r="O2159" s="56" t="n">
        <f aca="false">IF(D2159=1,"",E2158)</f>
        <v>17.7</v>
      </c>
      <c r="P2159" s="56" t="n">
        <f aca="false">IF(OR(D2159=1,K2158=""),"",K2158)</f>
        <v>1005</v>
      </c>
      <c r="Q2159" s="56" t="n">
        <f aca="false">IF(OR(F2159&lt;&gt;0,AND(I2159&lt;&gt;"",E2159&lt;I2159)),1,0)</f>
        <v>0</v>
      </c>
      <c r="R2159" s="56" t="n">
        <f aca="false">IF(AND(D2159&gt;1,Q2159=0,ISNUMBER(O2159),ISNUMBER(P2159)),IF(Q2158=0,1,0),0)</f>
        <v>1</v>
      </c>
      <c r="S2159" s="56" t="n">
        <f aca="false">R2159*(B2159&gt;=Train_Start)*(B2159&lt;=Train_End)</f>
        <v>1</v>
      </c>
      <c r="T2159" s="84" t="n">
        <f aca="false">IF(AND(ISNUMBER(O2159),ISNUMBER(P2159)),Coef_A+Coef_B1*O2159+Coef_B2*P2159,"")</f>
        <v>18.1160232460101</v>
      </c>
      <c r="U2159" s="84" t="n">
        <f aca="false">IF(AND(R2159=1,ISNUMBER(T2159)),E2159-T2159,"")</f>
        <v>4.58397675398992</v>
      </c>
      <c r="V2159" s="84" t="n">
        <f aca="false">IF(ISNUMBER(T2159),T2159,-99)</f>
        <v>18.1160232460101</v>
      </c>
      <c r="W2159" s="84" t="n">
        <f aca="false">IF(ISNUMBER(U2159),ABS(U2159),"")</f>
        <v>4.58397675398992</v>
      </c>
    </row>
    <row r="2160" customFormat="false" ht="15" hidden="false" customHeight="false" outlineLevel="0" collapsed="false">
      <c r="A2160" s="57" t="n">
        <v>34106</v>
      </c>
      <c r="B2160" s="56" t="n">
        <v>1993</v>
      </c>
      <c r="C2160" s="56" t="n">
        <v>5</v>
      </c>
      <c r="D2160" s="56" t="n">
        <v>17</v>
      </c>
      <c r="E2160" s="56" t="n">
        <v>18.6</v>
      </c>
      <c r="F2160" s="56" t="n">
        <v>0</v>
      </c>
      <c r="G2160" s="56" t="n">
        <v>11.6</v>
      </c>
      <c r="H2160" s="56" t="n">
        <v>0</v>
      </c>
      <c r="I2160" s="56" t="n">
        <v>17.2</v>
      </c>
      <c r="J2160" s="56" t="n">
        <v>0</v>
      </c>
      <c r="K2160" s="56" t="n">
        <v>1003.9</v>
      </c>
      <c r="L2160" s="56" t="n">
        <v>0</v>
      </c>
      <c r="M2160" s="56" t="n">
        <v>69</v>
      </c>
      <c r="N2160" s="56" t="n">
        <v>2.8</v>
      </c>
      <c r="O2160" s="56" t="n">
        <f aca="false">IF(D2160=1,"",E2159)</f>
        <v>22.7</v>
      </c>
      <c r="P2160" s="56" t="n">
        <f aca="false">IF(OR(D2160=1,K2159=""),"",K2159)</f>
        <v>1011.7</v>
      </c>
      <c r="Q2160" s="56" t="n">
        <f aca="false">IF(OR(F2160&lt;&gt;0,AND(I2160&lt;&gt;"",E2160&lt;I2160)),1,0)</f>
        <v>0</v>
      </c>
      <c r="R2160" s="56" t="n">
        <f aca="false">IF(AND(D2160&gt;1,Q2160=0,ISNUMBER(O2160),ISNUMBER(P2160)),IF(Q2159=0,1,0),0)</f>
        <v>1</v>
      </c>
      <c r="S2160" s="56" t="n">
        <f aca="false">R2160*(B2160&gt;=Train_Start)*(B2160&lt;=Train_End)</f>
        <v>1</v>
      </c>
      <c r="T2160" s="84" t="n">
        <f aca="false">IF(AND(ISNUMBER(O2160),ISNUMBER(P2160)),Coef_A+Coef_B1*O2160+Coef_B2*P2160,"")</f>
        <v>22.4228975052711</v>
      </c>
      <c r="U2160" s="84" t="n">
        <f aca="false">IF(AND(R2160=1,ISNUMBER(T2160)),E2160-T2160,"")</f>
        <v>-3.82289750527109</v>
      </c>
      <c r="V2160" s="84" t="n">
        <f aca="false">IF(ISNUMBER(T2160),T2160,-99)</f>
        <v>22.4228975052711</v>
      </c>
      <c r="W2160" s="84" t="n">
        <f aca="false">IF(ISNUMBER(U2160),ABS(U2160),"")</f>
        <v>3.82289750527109</v>
      </c>
    </row>
    <row r="2161" customFormat="false" ht="15" hidden="false" customHeight="false" outlineLevel="0" collapsed="false">
      <c r="A2161" s="57" t="n">
        <v>34107</v>
      </c>
      <c r="B2161" s="56" t="n">
        <v>1993</v>
      </c>
      <c r="C2161" s="56" t="n">
        <v>5</v>
      </c>
      <c r="D2161" s="56" t="n">
        <v>18</v>
      </c>
      <c r="E2161" s="56" t="n">
        <v>18.5</v>
      </c>
      <c r="F2161" s="56" t="n">
        <v>0</v>
      </c>
      <c r="G2161" s="56" t="n">
        <v>9</v>
      </c>
      <c r="H2161" s="56" t="n">
        <v>0</v>
      </c>
      <c r="I2161" s="56" t="n">
        <v>13.8</v>
      </c>
      <c r="J2161" s="56" t="n">
        <v>0</v>
      </c>
      <c r="K2161" s="56" t="n">
        <v>1007.7</v>
      </c>
      <c r="L2161" s="56" t="n">
        <v>0</v>
      </c>
      <c r="M2161" s="56" t="n">
        <v>62</v>
      </c>
      <c r="N2161" s="56" t="n">
        <v>12.2</v>
      </c>
      <c r="O2161" s="56" t="n">
        <f aca="false">IF(D2161=1,"",E2160)</f>
        <v>18.6</v>
      </c>
      <c r="P2161" s="56" t="n">
        <f aca="false">IF(OR(D2161=1,K2160=""),"",K2160)</f>
        <v>1003.9</v>
      </c>
      <c r="Q2161" s="56" t="n">
        <f aca="false">IF(OR(F2161&lt;&gt;0,AND(I2161&lt;&gt;"",E2161&lt;I2161)),1,0)</f>
        <v>0</v>
      </c>
      <c r="R2161" s="56" t="n">
        <f aca="false">IF(AND(D2161&gt;1,Q2161=0,ISNUMBER(O2161),ISNUMBER(P2161)),IF(Q2160=0,1,0),0)</f>
        <v>1</v>
      </c>
      <c r="S2161" s="56" t="n">
        <f aca="false">R2161*(B2161&gt;=Train_Start)*(B2161&lt;=Train_End)</f>
        <v>1</v>
      </c>
      <c r="T2161" s="84" t="n">
        <f aca="false">IF(AND(ISNUMBER(O2161),ISNUMBER(P2161)),Coef_A+Coef_B1*O2161+Coef_B2*P2161,"")</f>
        <v>18.8189216356511</v>
      </c>
      <c r="U2161" s="84" t="n">
        <f aca="false">IF(AND(R2161=1,ISNUMBER(T2161)),E2161-T2161,"")</f>
        <v>-0.31892163565108</v>
      </c>
      <c r="V2161" s="84" t="n">
        <f aca="false">IF(ISNUMBER(T2161),T2161,-99)</f>
        <v>18.8189216356511</v>
      </c>
      <c r="W2161" s="84" t="n">
        <f aca="false">IF(ISNUMBER(U2161),ABS(U2161),"")</f>
        <v>0.31892163565108</v>
      </c>
    </row>
    <row r="2162" customFormat="false" ht="15" hidden="false" customHeight="false" outlineLevel="0" collapsed="false">
      <c r="A2162" s="57" t="n">
        <v>34108</v>
      </c>
      <c r="B2162" s="56" t="n">
        <v>1993</v>
      </c>
      <c r="C2162" s="56" t="n">
        <v>5</v>
      </c>
      <c r="D2162" s="56" t="n">
        <v>19</v>
      </c>
      <c r="E2162" s="56" t="n">
        <v>13.9</v>
      </c>
      <c r="F2162" s="56" t="n">
        <v>1</v>
      </c>
      <c r="G2162" s="56" t="n">
        <v>10.9</v>
      </c>
      <c r="H2162" s="56" t="n">
        <v>0</v>
      </c>
      <c r="I2162" s="56" t="n">
        <v>14.7</v>
      </c>
      <c r="J2162" s="56" t="n">
        <v>1</v>
      </c>
      <c r="K2162" s="56" t="n">
        <v>1011.9</v>
      </c>
      <c r="L2162" s="56" t="n">
        <v>0</v>
      </c>
      <c r="M2162" s="56" t="n">
        <v>59</v>
      </c>
      <c r="N2162" s="56" t="n">
        <v>11.3</v>
      </c>
      <c r="O2162" s="56" t="n">
        <f aca="false">IF(D2162=1,"",E2161)</f>
        <v>18.5</v>
      </c>
      <c r="P2162" s="56" t="n">
        <f aca="false">IF(OR(D2162=1,K2161=""),"",K2161)</f>
        <v>1007.7</v>
      </c>
      <c r="Q2162" s="56" t="n">
        <f aca="false">IF(OR(F2162&lt;&gt;0,AND(I2162&lt;&gt;"",E2162&lt;I2162)),1,0)</f>
        <v>1</v>
      </c>
      <c r="R2162" s="56" t="n">
        <f aca="false">IF(AND(D2162&gt;1,Q2162=0,ISNUMBER(O2162),ISNUMBER(P2162)),IF(Q2161=0,1,0),0)</f>
        <v>0</v>
      </c>
      <c r="S2162" s="56" t="n">
        <f aca="false">R2162*(B2162&gt;=Train_Start)*(B2162&lt;=Train_End)</f>
        <v>0</v>
      </c>
      <c r="T2162" s="84" t="n">
        <f aca="false">IF(AND(ISNUMBER(O2162),ISNUMBER(P2162)),Coef_A+Coef_B1*O2162+Coef_B2*P2162,"")</f>
        <v>18.856193315956</v>
      </c>
      <c r="U2162" s="84" t="str">
        <f aca="false">IF(AND(R2162=1,ISNUMBER(T2162)),E2162-T2162,"")</f>
        <v/>
      </c>
      <c r="V2162" s="84" t="n">
        <f aca="false">IF(ISNUMBER(T2162),T2162,-99)</f>
        <v>18.856193315956</v>
      </c>
      <c r="W2162" s="84" t="str">
        <f aca="false">IF(ISNUMBER(U2162),ABS(U2162),"")</f>
        <v/>
      </c>
    </row>
    <row r="2163" customFormat="false" ht="15" hidden="false" customHeight="false" outlineLevel="0" collapsed="false">
      <c r="A2163" s="57" t="n">
        <v>34109</v>
      </c>
      <c r="B2163" s="56" t="n">
        <v>1993</v>
      </c>
      <c r="C2163" s="56" t="n">
        <v>5</v>
      </c>
      <c r="D2163" s="56" t="n">
        <v>20</v>
      </c>
      <c r="E2163" s="56" t="n">
        <v>17.7</v>
      </c>
      <c r="F2163" s="56" t="n">
        <v>0</v>
      </c>
      <c r="G2163" s="56" t="n">
        <v>9.9</v>
      </c>
      <c r="H2163" s="56" t="n">
        <v>0</v>
      </c>
      <c r="I2163" s="56" t="n">
        <v>11.9</v>
      </c>
      <c r="J2163" s="56" t="n">
        <v>0</v>
      </c>
      <c r="K2163" s="56" t="n">
        <v>1013.4</v>
      </c>
      <c r="L2163" s="56" t="n">
        <v>0</v>
      </c>
      <c r="M2163" s="56" t="n">
        <v>84</v>
      </c>
      <c r="N2163" s="56" t="n">
        <v>0.2</v>
      </c>
      <c r="O2163" s="56" t="n">
        <f aca="false">IF(D2163=1,"",E2162)</f>
        <v>13.9</v>
      </c>
      <c r="P2163" s="56" t="n">
        <f aca="false">IF(OR(D2163=1,K2162=""),"",K2162)</f>
        <v>1011.9</v>
      </c>
      <c r="Q2163" s="56" t="n">
        <f aca="false">IF(OR(F2163&lt;&gt;0,AND(I2163&lt;&gt;"",E2163&lt;I2163)),1,0)</f>
        <v>0</v>
      </c>
      <c r="R2163" s="56" t="n">
        <f aca="false">IF(AND(D2163&gt;1,Q2163=0,ISNUMBER(O2163),ISNUMBER(P2163)),IF(Q2162=0,1,0),0)</f>
        <v>0</v>
      </c>
      <c r="S2163" s="56" t="n">
        <f aca="false">R2163*(B2163&gt;=Train_Start)*(B2163&lt;=Train_End)</f>
        <v>0</v>
      </c>
      <c r="T2163" s="84" t="n">
        <f aca="false">IF(AND(ISNUMBER(O2163),ISNUMBER(P2163)),Coef_A+Coef_B1*O2163+Coef_B2*P2163,"")</f>
        <v>15.2189865854225</v>
      </c>
      <c r="U2163" s="84" t="str">
        <f aca="false">IF(AND(R2163=1,ISNUMBER(T2163)),E2163-T2163,"")</f>
        <v/>
      </c>
      <c r="V2163" s="84" t="n">
        <f aca="false">IF(ISNUMBER(T2163),T2163,-99)</f>
        <v>15.2189865854225</v>
      </c>
      <c r="W2163" s="84" t="str">
        <f aca="false">IF(ISNUMBER(U2163),ABS(U2163),"")</f>
        <v/>
      </c>
    </row>
    <row r="2164" customFormat="false" ht="15" hidden="false" customHeight="false" outlineLevel="0" collapsed="false">
      <c r="A2164" s="57" t="n">
        <v>34110</v>
      </c>
      <c r="B2164" s="56" t="n">
        <v>1993</v>
      </c>
      <c r="C2164" s="56" t="n">
        <v>5</v>
      </c>
      <c r="D2164" s="56" t="n">
        <v>21</v>
      </c>
      <c r="E2164" s="56" t="n">
        <v>19.8</v>
      </c>
      <c r="F2164" s="56" t="n">
        <v>0</v>
      </c>
      <c r="G2164" s="56" t="n">
        <v>7.8</v>
      </c>
      <c r="H2164" s="56" t="n">
        <v>0</v>
      </c>
      <c r="I2164" s="56" t="n">
        <v>12.8</v>
      </c>
      <c r="J2164" s="56" t="n">
        <v>0</v>
      </c>
      <c r="K2164" s="56" t="n">
        <v>1015</v>
      </c>
      <c r="L2164" s="56" t="n">
        <v>0</v>
      </c>
      <c r="M2164" s="56" t="n">
        <v>73</v>
      </c>
      <c r="N2164" s="56" t="n">
        <v>8.2</v>
      </c>
      <c r="O2164" s="56" t="n">
        <f aca="false">IF(D2164=1,"",E2163)</f>
        <v>17.7</v>
      </c>
      <c r="P2164" s="56" t="n">
        <f aca="false">IF(OR(D2164=1,K2163=""),"",K2163)</f>
        <v>1013.4</v>
      </c>
      <c r="Q2164" s="56" t="n">
        <f aca="false">IF(OR(F2164&lt;&gt;0,AND(I2164&lt;&gt;"",E2164&lt;I2164)),1,0)</f>
        <v>0</v>
      </c>
      <c r="R2164" s="56" t="n">
        <f aca="false">IF(AND(D2164&gt;1,Q2164=0,ISNUMBER(O2164),ISNUMBER(P2164)),IF(Q2163=0,1,0),0)</f>
        <v>1</v>
      </c>
      <c r="S2164" s="56" t="n">
        <f aca="false">R2164*(B2164&gt;=Train_Start)*(B2164&lt;=Train_End)</f>
        <v>1</v>
      </c>
      <c r="T2164" s="84" t="n">
        <f aca="false">IF(AND(ISNUMBER(O2164),ISNUMBER(P2164)),Coef_A+Coef_B1*O2164+Coef_B2*P2164,"")</f>
        <v>18.3795303609356</v>
      </c>
      <c r="U2164" s="84" t="n">
        <f aca="false">IF(AND(R2164=1,ISNUMBER(T2164)),E2164-T2164,"")</f>
        <v>1.42046963906441</v>
      </c>
      <c r="V2164" s="84" t="n">
        <f aca="false">IF(ISNUMBER(T2164),T2164,-99)</f>
        <v>18.3795303609356</v>
      </c>
      <c r="W2164" s="84" t="n">
        <f aca="false">IF(ISNUMBER(U2164),ABS(U2164),"")</f>
        <v>1.42046963906441</v>
      </c>
    </row>
    <row r="2165" customFormat="false" ht="15" hidden="false" customHeight="false" outlineLevel="0" collapsed="false">
      <c r="A2165" s="57" t="n">
        <v>34111</v>
      </c>
      <c r="B2165" s="56" t="n">
        <v>1993</v>
      </c>
      <c r="C2165" s="56" t="n">
        <v>5</v>
      </c>
      <c r="D2165" s="56" t="n">
        <v>22</v>
      </c>
      <c r="E2165" s="56" t="n">
        <v>22.8</v>
      </c>
      <c r="F2165" s="56" t="n">
        <v>0</v>
      </c>
      <c r="G2165" s="56" t="n">
        <v>6.6</v>
      </c>
      <c r="H2165" s="56" t="n">
        <v>0</v>
      </c>
      <c r="I2165" s="56" t="n">
        <v>13.2</v>
      </c>
      <c r="J2165" s="56" t="n">
        <v>0</v>
      </c>
      <c r="K2165" s="56" t="n">
        <v>1016.5</v>
      </c>
      <c r="L2165" s="56" t="n">
        <v>0</v>
      </c>
      <c r="M2165" s="56" t="n">
        <v>66</v>
      </c>
      <c r="N2165" s="56" t="n">
        <v>3</v>
      </c>
      <c r="O2165" s="56" t="n">
        <f aca="false">IF(D2165=1,"",E2164)</f>
        <v>19.8</v>
      </c>
      <c r="P2165" s="56" t="n">
        <f aca="false">IF(OR(D2165=1,K2164=""),"",K2164)</f>
        <v>1015</v>
      </c>
      <c r="Q2165" s="56" t="n">
        <f aca="false">IF(OR(F2165&lt;&gt;0,AND(I2165&lt;&gt;"",E2165&lt;I2165)),1,0)</f>
        <v>0</v>
      </c>
      <c r="R2165" s="56" t="n">
        <f aca="false">IF(AND(D2165&gt;1,Q2165=0,ISNUMBER(O2165),ISNUMBER(P2165)),IF(Q2164=0,1,0),0)</f>
        <v>1</v>
      </c>
      <c r="S2165" s="56" t="n">
        <f aca="false">R2165*(B2165&gt;=Train_Start)*(B2165&lt;=Train_End)</f>
        <v>1</v>
      </c>
      <c r="T2165" s="84" t="n">
        <f aca="false">IF(AND(ISNUMBER(O2165),ISNUMBER(P2165)),Coef_A+Coef_B1*O2165+Coef_B2*P2165,"")</f>
        <v>20.1503344977396</v>
      </c>
      <c r="U2165" s="84" t="n">
        <f aca="false">IF(AND(R2165=1,ISNUMBER(T2165)),E2165-T2165,"")</f>
        <v>2.64966550226045</v>
      </c>
      <c r="V2165" s="84" t="n">
        <f aca="false">IF(ISNUMBER(T2165),T2165,-99)</f>
        <v>20.1503344977396</v>
      </c>
      <c r="W2165" s="84" t="n">
        <f aca="false">IF(ISNUMBER(U2165),ABS(U2165),"")</f>
        <v>2.64966550226045</v>
      </c>
    </row>
    <row r="2166" customFormat="false" ht="15" hidden="false" customHeight="false" outlineLevel="0" collapsed="false">
      <c r="A2166" s="57" t="n">
        <v>34112</v>
      </c>
      <c r="B2166" s="56" t="n">
        <v>1993</v>
      </c>
      <c r="C2166" s="56" t="n">
        <v>5</v>
      </c>
      <c r="D2166" s="56" t="n">
        <v>23</v>
      </c>
      <c r="E2166" s="56" t="n">
        <v>24.9</v>
      </c>
      <c r="F2166" s="56" t="n">
        <v>0</v>
      </c>
      <c r="G2166" s="56" t="n">
        <v>12.2</v>
      </c>
      <c r="H2166" s="56" t="n">
        <v>0</v>
      </c>
      <c r="I2166" s="56" t="n">
        <v>17.5</v>
      </c>
      <c r="J2166" s="56" t="n">
        <v>0</v>
      </c>
      <c r="K2166" s="56" t="n">
        <v>1016.1</v>
      </c>
      <c r="L2166" s="56" t="n">
        <v>0</v>
      </c>
      <c r="M2166" s="56" t="n">
        <v>59</v>
      </c>
      <c r="N2166" s="56" t="n">
        <v>9.2</v>
      </c>
      <c r="O2166" s="56" t="n">
        <f aca="false">IF(D2166=1,"",E2165)</f>
        <v>22.8</v>
      </c>
      <c r="P2166" s="56" t="n">
        <f aca="false">IF(OR(D2166=1,K2165=""),"",K2165)</f>
        <v>1016.5</v>
      </c>
      <c r="Q2166" s="56" t="n">
        <f aca="false">IF(OR(F2166&lt;&gt;0,AND(I2166&lt;&gt;"",E2166&lt;I2166)),1,0)</f>
        <v>0</v>
      </c>
      <c r="R2166" s="56" t="n">
        <f aca="false">IF(AND(D2166&gt;1,Q2166=0,ISNUMBER(O2166),ISNUMBER(P2166)),IF(Q2165=0,1,0),0)</f>
        <v>1</v>
      </c>
      <c r="S2166" s="56" t="n">
        <f aca="false">R2166*(B2166&gt;=Train_Start)*(B2166&lt;=Train_End)</f>
        <v>1</v>
      </c>
      <c r="T2166" s="84" t="n">
        <f aca="false">IF(AND(ISNUMBER(O2166),ISNUMBER(P2166)),Coef_A+Coef_B1*O2166+Coef_B2*P2166,"")</f>
        <v>22.6554069188185</v>
      </c>
      <c r="U2166" s="84" t="n">
        <f aca="false">IF(AND(R2166=1,ISNUMBER(T2166)),E2166-T2166,"")</f>
        <v>2.24459308118149</v>
      </c>
      <c r="V2166" s="84" t="n">
        <f aca="false">IF(ISNUMBER(T2166),T2166,-99)</f>
        <v>22.6554069188185</v>
      </c>
      <c r="W2166" s="84" t="n">
        <f aca="false">IF(ISNUMBER(U2166),ABS(U2166),"")</f>
        <v>2.24459308118149</v>
      </c>
    </row>
    <row r="2167" customFormat="false" ht="15" hidden="false" customHeight="false" outlineLevel="0" collapsed="false">
      <c r="A2167" s="57" t="n">
        <v>34113</v>
      </c>
      <c r="B2167" s="56" t="n">
        <v>1993</v>
      </c>
      <c r="C2167" s="56" t="n">
        <v>5</v>
      </c>
      <c r="D2167" s="56" t="n">
        <v>24</v>
      </c>
      <c r="E2167" s="56" t="n">
        <v>18.6</v>
      </c>
      <c r="F2167" s="56" t="n">
        <v>1</v>
      </c>
      <c r="G2167" s="56" t="n">
        <v>14.2</v>
      </c>
      <c r="H2167" s="56" t="n">
        <v>0</v>
      </c>
      <c r="I2167" s="56" t="n">
        <v>19.6</v>
      </c>
      <c r="J2167" s="56" t="n">
        <v>1</v>
      </c>
      <c r="K2167" s="56" t="n">
        <v>1013.9</v>
      </c>
      <c r="L2167" s="56" t="n">
        <v>0</v>
      </c>
      <c r="M2167" s="56" t="n">
        <v>62</v>
      </c>
      <c r="N2167" s="56" t="n">
        <v>7.4</v>
      </c>
      <c r="O2167" s="56" t="n">
        <f aca="false">IF(D2167=1,"",E2166)</f>
        <v>24.9</v>
      </c>
      <c r="P2167" s="56" t="n">
        <f aca="false">IF(OR(D2167=1,K2166=""),"",K2166)</f>
        <v>1016.1</v>
      </c>
      <c r="Q2167" s="56" t="n">
        <f aca="false">IF(OR(F2167&lt;&gt;0,AND(I2167&lt;&gt;"",E2167&lt;I2167)),1,0)</f>
        <v>1</v>
      </c>
      <c r="R2167" s="56" t="n">
        <f aca="false">IF(AND(D2167&gt;1,Q2167=0,ISNUMBER(O2167),ISNUMBER(P2167)),IF(Q2166=0,1,0),0)</f>
        <v>0</v>
      </c>
      <c r="S2167" s="56" t="n">
        <f aca="false">R2167*(B2167&gt;=Train_Start)*(B2167&lt;=Train_End)</f>
        <v>0</v>
      </c>
      <c r="T2167" s="84" t="n">
        <f aca="false">IF(AND(ISNUMBER(O2167),ISNUMBER(P2167)),Coef_A+Coef_B1*O2167+Coef_B2*P2167,"")</f>
        <v>24.3634712663545</v>
      </c>
      <c r="U2167" s="84" t="str">
        <f aca="false">IF(AND(R2167=1,ISNUMBER(T2167)),E2167-T2167,"")</f>
        <v/>
      </c>
      <c r="V2167" s="84" t="n">
        <f aca="false">IF(ISNUMBER(T2167),T2167,-99)</f>
        <v>24.3634712663545</v>
      </c>
      <c r="W2167" s="84" t="str">
        <f aca="false">IF(ISNUMBER(U2167),ABS(U2167),"")</f>
        <v/>
      </c>
    </row>
    <row r="2168" customFormat="false" ht="15" hidden="false" customHeight="false" outlineLevel="0" collapsed="false">
      <c r="A2168" s="57" t="n">
        <v>34114</v>
      </c>
      <c r="B2168" s="56" t="n">
        <v>1993</v>
      </c>
      <c r="C2168" s="56" t="n">
        <v>5</v>
      </c>
      <c r="D2168" s="56" t="n">
        <v>25</v>
      </c>
      <c r="E2168" s="56" t="n">
        <v>17.3</v>
      </c>
      <c r="F2168" s="56" t="n">
        <v>0</v>
      </c>
      <c r="G2168" s="56" t="n">
        <v>12.4</v>
      </c>
      <c r="H2168" s="56" t="n">
        <v>0</v>
      </c>
      <c r="I2168" s="56" t="n">
        <v>15.5</v>
      </c>
      <c r="J2168" s="56" t="n">
        <v>0</v>
      </c>
      <c r="K2168" s="56" t="n">
        <v>1013.8</v>
      </c>
      <c r="L2168" s="56" t="n">
        <v>0</v>
      </c>
      <c r="M2168" s="56" t="n">
        <v>81</v>
      </c>
      <c r="N2168" s="56" t="n">
        <v>0</v>
      </c>
      <c r="O2168" s="56" t="n">
        <f aca="false">IF(D2168=1,"",E2167)</f>
        <v>18.6</v>
      </c>
      <c r="P2168" s="56" t="n">
        <f aca="false">IF(OR(D2168=1,K2167=""),"",K2167)</f>
        <v>1013.9</v>
      </c>
      <c r="Q2168" s="56" t="n">
        <f aca="false">IF(OR(F2168&lt;&gt;0,AND(I2168&lt;&gt;"",E2168&lt;I2168)),1,0)</f>
        <v>0</v>
      </c>
      <c r="R2168" s="56" t="n">
        <f aca="false">IF(AND(D2168&gt;1,Q2168=0,ISNUMBER(O2168),ISNUMBER(P2168)),IF(Q2167=0,1,0),0)</f>
        <v>0</v>
      </c>
      <c r="S2168" s="56" t="n">
        <f aca="false">R2168*(B2168&gt;=Train_Start)*(B2168&lt;=Train_End)</f>
        <v>0</v>
      </c>
      <c r="T2168" s="84" t="n">
        <f aca="false">IF(AND(ISNUMBER(O2168),ISNUMBER(P2168)),Coef_A+Coef_B1*O2168+Coef_B2*P2168,"")</f>
        <v>19.132620581991</v>
      </c>
      <c r="U2168" s="84" t="str">
        <f aca="false">IF(AND(R2168=1,ISNUMBER(T2168)),E2168-T2168,"")</f>
        <v/>
      </c>
      <c r="V2168" s="84" t="n">
        <f aca="false">IF(ISNUMBER(T2168),T2168,-99)</f>
        <v>19.132620581991</v>
      </c>
      <c r="W2168" s="84" t="str">
        <f aca="false">IF(ISNUMBER(U2168),ABS(U2168),"")</f>
        <v/>
      </c>
    </row>
    <row r="2169" customFormat="false" ht="15" hidden="false" customHeight="false" outlineLevel="0" collapsed="false">
      <c r="A2169" s="57" t="n">
        <v>34115</v>
      </c>
      <c r="B2169" s="56" t="n">
        <v>1993</v>
      </c>
      <c r="C2169" s="56" t="n">
        <v>5</v>
      </c>
      <c r="D2169" s="56" t="n">
        <v>26</v>
      </c>
      <c r="E2169" s="56" t="n">
        <v>14.5</v>
      </c>
      <c r="F2169" s="56" t="n">
        <v>0</v>
      </c>
      <c r="G2169" s="56" t="n">
        <v>11.2</v>
      </c>
      <c r="H2169" s="56" t="n">
        <v>0</v>
      </c>
      <c r="I2169" s="56" t="n">
        <v>14.2</v>
      </c>
      <c r="J2169" s="56" t="n">
        <v>0</v>
      </c>
      <c r="K2169" s="56" t="n">
        <v>1007.4</v>
      </c>
      <c r="L2169" s="56" t="n">
        <v>0</v>
      </c>
      <c r="M2169" s="56" t="n">
        <v>82</v>
      </c>
      <c r="N2169" s="56" t="n">
        <v>0</v>
      </c>
      <c r="O2169" s="56" t="n">
        <f aca="false">IF(D2169=1,"",E2168)</f>
        <v>17.3</v>
      </c>
      <c r="P2169" s="56" t="n">
        <f aca="false">IF(OR(D2169=1,K2168=""),"",K2168)</f>
        <v>1013.8</v>
      </c>
      <c r="Q2169" s="56" t="n">
        <f aca="false">IF(OR(F2169&lt;&gt;0,AND(I2169&lt;&gt;"",E2169&lt;I2169)),1,0)</f>
        <v>0</v>
      </c>
      <c r="R2169" s="56" t="n">
        <f aca="false">IF(AND(D2169&gt;1,Q2169=0,ISNUMBER(O2169),ISNUMBER(P2169)),IF(Q2168=0,1,0),0)</f>
        <v>1</v>
      </c>
      <c r="S2169" s="56" t="n">
        <f aca="false">R2169*(B2169&gt;=Train_Start)*(B2169&lt;=Train_End)</f>
        <v>1</v>
      </c>
      <c r="T2169" s="84" t="n">
        <f aca="false">IF(AND(ISNUMBER(O2169),ISNUMBER(P2169)),Coef_A+Coef_B1*O2169+Coef_B2*P2169,"")</f>
        <v>18.0643426415721</v>
      </c>
      <c r="U2169" s="84" t="n">
        <f aca="false">IF(AND(R2169=1,ISNUMBER(T2169)),E2169-T2169,"")</f>
        <v>-3.56434264157212</v>
      </c>
      <c r="V2169" s="84" t="n">
        <f aca="false">IF(ISNUMBER(T2169),T2169,-99)</f>
        <v>18.0643426415721</v>
      </c>
      <c r="W2169" s="84" t="n">
        <f aca="false">IF(ISNUMBER(U2169),ABS(U2169),"")</f>
        <v>3.56434264157212</v>
      </c>
    </row>
    <row r="2170" customFormat="false" ht="15" hidden="false" customHeight="false" outlineLevel="0" collapsed="false">
      <c r="A2170" s="57" t="n">
        <v>34116</v>
      </c>
      <c r="B2170" s="56" t="n">
        <v>1993</v>
      </c>
      <c r="C2170" s="56" t="n">
        <v>5</v>
      </c>
      <c r="D2170" s="56" t="n">
        <v>27</v>
      </c>
      <c r="E2170" s="56" t="n">
        <v>18.1</v>
      </c>
      <c r="F2170" s="56" t="n">
        <v>0</v>
      </c>
      <c r="G2170" s="56" t="n">
        <v>12.2</v>
      </c>
      <c r="H2170" s="56" t="n">
        <v>0</v>
      </c>
      <c r="I2170" s="56" t="n">
        <v>13.4</v>
      </c>
      <c r="J2170" s="56" t="n">
        <v>0</v>
      </c>
      <c r="K2170" s="56" t="n">
        <v>1004.3</v>
      </c>
      <c r="L2170" s="56" t="n">
        <v>0</v>
      </c>
      <c r="M2170" s="56" t="n">
        <v>92</v>
      </c>
      <c r="N2170" s="56" t="n">
        <v>0</v>
      </c>
      <c r="O2170" s="56" t="n">
        <f aca="false">IF(D2170=1,"",E2169)</f>
        <v>14.5</v>
      </c>
      <c r="P2170" s="56" t="n">
        <f aca="false">IF(OR(D2170=1,K2169=""),"",K2169)</f>
        <v>1007.4</v>
      </c>
      <c r="Q2170" s="56" t="n">
        <f aca="false">IF(OR(F2170&lt;&gt;0,AND(I2170&lt;&gt;"",E2170&lt;I2170)),1,0)</f>
        <v>0</v>
      </c>
      <c r="R2170" s="56" t="n">
        <f aca="false">IF(AND(D2170&gt;1,Q2170=0,ISNUMBER(O2170),ISNUMBER(P2170)),IF(Q2169=0,1,0),0)</f>
        <v>1</v>
      </c>
      <c r="S2170" s="56" t="n">
        <f aca="false">R2170*(B2170&gt;=Train_Start)*(B2170&lt;=Train_End)</f>
        <v>1</v>
      </c>
      <c r="T2170" s="84" t="n">
        <f aca="false">IF(AND(ISNUMBER(O2170),ISNUMBER(P2170)),Coef_A+Coef_B1*O2170+Coef_B2*P2170,"")</f>
        <v>15.5694255753951</v>
      </c>
      <c r="U2170" s="84" t="n">
        <f aca="false">IF(AND(R2170=1,ISNUMBER(T2170)),E2170-T2170,"")</f>
        <v>2.53057442460485</v>
      </c>
      <c r="V2170" s="84" t="n">
        <f aca="false">IF(ISNUMBER(T2170),T2170,-99)</f>
        <v>15.5694255753951</v>
      </c>
      <c r="W2170" s="84" t="n">
        <f aca="false">IF(ISNUMBER(U2170),ABS(U2170),"")</f>
        <v>2.53057442460485</v>
      </c>
    </row>
    <row r="2171" customFormat="false" ht="15" hidden="false" customHeight="false" outlineLevel="0" collapsed="false">
      <c r="A2171" s="57" t="n">
        <v>34117</v>
      </c>
      <c r="B2171" s="56" t="n">
        <v>1993</v>
      </c>
      <c r="C2171" s="56" t="n">
        <v>5</v>
      </c>
      <c r="D2171" s="56" t="n">
        <v>28</v>
      </c>
      <c r="E2171" s="56" t="n">
        <v>20.6</v>
      </c>
      <c r="F2171" s="56" t="n">
        <v>0</v>
      </c>
      <c r="G2171" s="56" t="n">
        <v>8.7</v>
      </c>
      <c r="H2171" s="56" t="n">
        <v>0</v>
      </c>
      <c r="I2171" s="56" t="n">
        <v>13.4</v>
      </c>
      <c r="J2171" s="56" t="n">
        <v>0</v>
      </c>
      <c r="K2171" s="56" t="n">
        <v>1010.9</v>
      </c>
      <c r="L2171" s="56" t="n">
        <v>0</v>
      </c>
      <c r="M2171" s="56" t="n">
        <v>76</v>
      </c>
      <c r="N2171" s="56" t="n">
        <v>5.5</v>
      </c>
      <c r="O2171" s="56" t="n">
        <f aca="false">IF(D2171=1,"",E2170)</f>
        <v>18.1</v>
      </c>
      <c r="P2171" s="56" t="n">
        <f aca="false">IF(OR(D2171=1,K2170=""),"",K2170)</f>
        <v>1004.3</v>
      </c>
      <c r="Q2171" s="56" t="n">
        <f aca="false">IF(OR(F2171&lt;&gt;0,AND(I2171&lt;&gt;"",E2171&lt;I2171)),1,0)</f>
        <v>0</v>
      </c>
      <c r="R2171" s="56" t="n">
        <f aca="false">IF(AND(D2171&gt;1,Q2171=0,ISNUMBER(O2171),ISNUMBER(P2171)),IF(Q2170=0,1,0),0)</f>
        <v>1</v>
      </c>
      <c r="S2171" s="56" t="n">
        <f aca="false">R2171*(B2171&gt;=Train_Start)*(B2171&lt;=Train_End)</f>
        <v>1</v>
      </c>
      <c r="T2171" s="84" t="n">
        <f aca="false">IF(AND(ISNUMBER(O2171),ISNUMBER(P2171)),Coef_A+Coef_B1*O2171+Coef_B2*P2171,"")</f>
        <v>18.4217999969833</v>
      </c>
      <c r="U2171" s="84" t="n">
        <f aca="false">IF(AND(R2171=1,ISNUMBER(T2171)),E2171-T2171,"")</f>
        <v>2.17820000301666</v>
      </c>
      <c r="V2171" s="84" t="n">
        <f aca="false">IF(ISNUMBER(T2171),T2171,-99)</f>
        <v>18.4217999969833</v>
      </c>
      <c r="W2171" s="84" t="n">
        <f aca="false">IF(ISNUMBER(U2171),ABS(U2171),"")</f>
        <v>2.17820000301666</v>
      </c>
    </row>
    <row r="2172" customFormat="false" ht="15" hidden="false" customHeight="false" outlineLevel="0" collapsed="false">
      <c r="A2172" s="57" t="n">
        <v>34118</v>
      </c>
      <c r="B2172" s="56" t="n">
        <v>1993</v>
      </c>
      <c r="C2172" s="56" t="n">
        <v>5</v>
      </c>
      <c r="D2172" s="56" t="n">
        <v>29</v>
      </c>
      <c r="E2172" s="56" t="n">
        <v>16.9</v>
      </c>
      <c r="F2172" s="56" t="n">
        <v>0</v>
      </c>
      <c r="G2172" s="56" t="n">
        <v>8</v>
      </c>
      <c r="H2172" s="56" t="n">
        <v>0</v>
      </c>
      <c r="I2172" s="56" t="n">
        <v>14.3</v>
      </c>
      <c r="J2172" s="56" t="n">
        <v>0</v>
      </c>
      <c r="K2172" s="56" t="n">
        <v>1010.4</v>
      </c>
      <c r="L2172" s="56" t="n">
        <v>0</v>
      </c>
      <c r="M2172" s="56" t="n">
        <v>77</v>
      </c>
      <c r="N2172" s="56" t="n">
        <v>5</v>
      </c>
      <c r="O2172" s="56" t="n">
        <f aca="false">IF(D2172=1,"",E2171)</f>
        <v>20.6</v>
      </c>
      <c r="P2172" s="56" t="n">
        <f aca="false">IF(OR(D2172=1,K2171=""),"",K2171)</f>
        <v>1010.9</v>
      </c>
      <c r="Q2172" s="56" t="n">
        <f aca="false">IF(OR(F2172&lt;&gt;0,AND(I2172&lt;&gt;"",E2172&lt;I2172)),1,0)</f>
        <v>0</v>
      </c>
      <c r="R2172" s="56" t="n">
        <f aca="false">IF(AND(D2172&gt;1,Q2172=0,ISNUMBER(O2172),ISNUMBER(P2172)),IF(Q2171=0,1,0),0)</f>
        <v>1</v>
      </c>
      <c r="S2172" s="56" t="n">
        <f aca="false">R2172*(B2172&gt;=Train_Start)*(B2172&lt;=Train_End)</f>
        <v>1</v>
      </c>
      <c r="T2172" s="84" t="n">
        <f aca="false">IF(AND(ISNUMBER(O2172),ISNUMBER(P2172)),Coef_A+Coef_B1*O2172+Coef_B2*P2172,"")</f>
        <v>20.6771892841743</v>
      </c>
      <c r="U2172" s="84" t="n">
        <f aca="false">IF(AND(R2172=1,ISNUMBER(T2172)),E2172-T2172,"")</f>
        <v>-3.77718928417432</v>
      </c>
      <c r="V2172" s="84" t="n">
        <f aca="false">IF(ISNUMBER(T2172),T2172,-99)</f>
        <v>20.6771892841743</v>
      </c>
      <c r="W2172" s="84" t="n">
        <f aca="false">IF(ISNUMBER(U2172),ABS(U2172),"")</f>
        <v>3.77718928417432</v>
      </c>
    </row>
    <row r="2173" customFormat="false" ht="15" hidden="false" customHeight="false" outlineLevel="0" collapsed="false">
      <c r="A2173" s="57" t="n">
        <v>34119</v>
      </c>
      <c r="B2173" s="56" t="n">
        <v>1993</v>
      </c>
      <c r="C2173" s="56" t="n">
        <v>5</v>
      </c>
      <c r="D2173" s="56" t="n">
        <v>30</v>
      </c>
      <c r="E2173" s="56" t="n">
        <v>18.5</v>
      </c>
      <c r="F2173" s="56" t="n">
        <v>0</v>
      </c>
      <c r="G2173" s="56" t="n">
        <v>11.9</v>
      </c>
      <c r="H2173" s="56" t="n">
        <v>0</v>
      </c>
      <c r="I2173" s="56" t="n">
        <v>14.4</v>
      </c>
      <c r="J2173" s="56" t="n">
        <v>0</v>
      </c>
      <c r="K2173" s="56" t="n">
        <v>1003.4</v>
      </c>
      <c r="L2173" s="56" t="n">
        <v>0</v>
      </c>
      <c r="M2173" s="56" t="n">
        <v>74</v>
      </c>
      <c r="N2173" s="56" t="n">
        <v>3.8</v>
      </c>
      <c r="O2173" s="56" t="n">
        <f aca="false">IF(D2173=1,"",E2172)</f>
        <v>16.9</v>
      </c>
      <c r="P2173" s="56" t="n">
        <f aca="false">IF(OR(D2173=1,K2172=""),"",K2172)</f>
        <v>1010.4</v>
      </c>
      <c r="Q2173" s="56" t="n">
        <f aca="false">IF(OR(F2173&lt;&gt;0,AND(I2173&lt;&gt;"",E2173&lt;I2173)),1,0)</f>
        <v>0</v>
      </c>
      <c r="R2173" s="56" t="n">
        <f aca="false">IF(AND(D2173&gt;1,Q2173=0,ISNUMBER(O2173),ISNUMBER(P2173)),IF(Q2172=0,1,0),0)</f>
        <v>1</v>
      </c>
      <c r="S2173" s="56" t="n">
        <f aca="false">R2173*(B2173&gt;=Train_Start)*(B2173&lt;=Train_End)</f>
        <v>1</v>
      </c>
      <c r="T2173" s="84" t="n">
        <f aca="false">IF(AND(ISNUMBER(O2173),ISNUMBER(P2173)),Coef_A+Coef_B1*O2173+Coef_B2*P2173,"")</f>
        <v>17.6299493225995</v>
      </c>
      <c r="U2173" s="84" t="n">
        <f aca="false">IF(AND(R2173=1,ISNUMBER(T2173)),E2173-T2173,"")</f>
        <v>0.87005067740051</v>
      </c>
      <c r="V2173" s="84" t="n">
        <f aca="false">IF(ISNUMBER(T2173),T2173,-99)</f>
        <v>17.6299493225995</v>
      </c>
      <c r="W2173" s="84" t="n">
        <f aca="false">IF(ISNUMBER(U2173),ABS(U2173),"")</f>
        <v>0.87005067740051</v>
      </c>
    </row>
    <row r="2174" customFormat="false" ht="15" hidden="false" customHeight="false" outlineLevel="0" collapsed="false">
      <c r="A2174" s="57" t="n">
        <v>34120</v>
      </c>
      <c r="B2174" s="56" t="n">
        <v>1993</v>
      </c>
      <c r="C2174" s="56" t="n">
        <v>5</v>
      </c>
      <c r="D2174" s="56" t="n">
        <v>31</v>
      </c>
      <c r="E2174" s="56" t="n">
        <v>20.9</v>
      </c>
      <c r="F2174" s="56" t="n">
        <v>0</v>
      </c>
      <c r="G2174" s="56" t="n">
        <v>10.5</v>
      </c>
      <c r="H2174" s="56" t="n">
        <v>0</v>
      </c>
      <c r="I2174" s="56" t="n">
        <v>14.5</v>
      </c>
      <c r="J2174" s="56" t="n">
        <v>0</v>
      </c>
      <c r="K2174" s="56" t="n">
        <v>1011.5</v>
      </c>
      <c r="L2174" s="56" t="n">
        <v>0</v>
      </c>
      <c r="M2174" s="56" t="n">
        <v>70</v>
      </c>
      <c r="N2174" s="56" t="n">
        <v>7.2</v>
      </c>
      <c r="O2174" s="56" t="n">
        <f aca="false">IF(D2174=1,"",E2173)</f>
        <v>18.5</v>
      </c>
      <c r="P2174" s="56" t="n">
        <f aca="false">IF(OR(D2174=1,K2173=""),"",K2173)</f>
        <v>1003.4</v>
      </c>
      <c r="Q2174" s="56" t="n">
        <f aca="false">IF(OR(F2174&lt;&gt;0,AND(I2174&lt;&gt;"",E2174&lt;I2174)),1,0)</f>
        <v>0</v>
      </c>
      <c r="R2174" s="56" t="n">
        <f aca="false">IF(AND(D2174&gt;1,Q2174=0,ISNUMBER(O2174),ISNUMBER(P2174)),IF(Q2173=0,1,0),0)</f>
        <v>1</v>
      </c>
      <c r="S2174" s="56" t="n">
        <f aca="false">R2174*(B2174&gt;=Train_Start)*(B2174&lt;=Train_End)</f>
        <v>1</v>
      </c>
      <c r="T2174" s="84" t="n">
        <f aca="false">IF(AND(ISNUMBER(O2174),ISNUMBER(P2174)),Coef_A+Coef_B1*O2174+Coef_B2*P2174,"")</f>
        <v>18.7213027690298</v>
      </c>
      <c r="U2174" s="84" t="n">
        <f aca="false">IF(AND(R2174=1,ISNUMBER(T2174)),E2174-T2174,"")</f>
        <v>2.17869723097018</v>
      </c>
      <c r="V2174" s="84" t="n">
        <f aca="false">IF(ISNUMBER(T2174),T2174,-99)</f>
        <v>18.7213027690298</v>
      </c>
      <c r="W2174" s="84" t="n">
        <f aca="false">IF(ISNUMBER(U2174),ABS(U2174),"")</f>
        <v>2.17869723097018</v>
      </c>
    </row>
    <row r="2175" customFormat="false" ht="15" hidden="false" customHeight="false" outlineLevel="0" collapsed="false">
      <c r="A2175" s="57" t="n">
        <v>34121</v>
      </c>
      <c r="B2175" s="56" t="n">
        <v>1993</v>
      </c>
      <c r="C2175" s="56" t="n">
        <v>6</v>
      </c>
      <c r="D2175" s="56" t="n">
        <v>32</v>
      </c>
      <c r="E2175" s="56" t="n">
        <v>18.9</v>
      </c>
      <c r="F2175" s="56" t="n">
        <v>0</v>
      </c>
      <c r="G2175" s="56" t="n">
        <v>11.7</v>
      </c>
      <c r="H2175" s="56" t="n">
        <v>0</v>
      </c>
      <c r="I2175" s="56" t="n">
        <v>16.3</v>
      </c>
      <c r="J2175" s="56" t="n">
        <v>0</v>
      </c>
      <c r="K2175" s="56" t="n">
        <v>1013.3</v>
      </c>
      <c r="L2175" s="56" t="n">
        <v>0</v>
      </c>
      <c r="M2175" s="56" t="n">
        <v>72</v>
      </c>
      <c r="N2175" s="56" t="n">
        <v>8.1</v>
      </c>
      <c r="O2175" s="56" t="n">
        <f aca="false">IF(D2175=1,"",E2174)</f>
        <v>20.9</v>
      </c>
      <c r="P2175" s="56" t="n">
        <f aca="false">IF(OR(D2175=1,K2174=""),"",K2174)</f>
        <v>1011.5</v>
      </c>
      <c r="Q2175" s="56" t="n">
        <f aca="false">IF(OR(F2175&lt;&gt;0,AND(I2175&lt;&gt;"",E2175&lt;I2175)),1,0)</f>
        <v>0</v>
      </c>
      <c r="R2175" s="56" t="n">
        <f aca="false">IF(AND(D2175&gt;1,Q2175=0,ISNUMBER(O2175),ISNUMBER(P2175)),IF(Q2174=0,1,0),0)</f>
        <v>1</v>
      </c>
      <c r="S2175" s="56" t="n">
        <f aca="false">R2175*(B2175&gt;=Train_Start)*(B2175&lt;=Train_End)</f>
        <v>1</v>
      </c>
      <c r="T2175" s="84" t="n">
        <f aca="false">IF(AND(ISNUMBER(O2175),ISNUMBER(P2175)),Coef_A+Coef_B1*O2175+Coef_B2*P2175,"")</f>
        <v>20.9418129788675</v>
      </c>
      <c r="U2175" s="84" t="n">
        <f aca="false">IF(AND(R2175=1,ISNUMBER(T2175)),E2175-T2175,"")</f>
        <v>-2.04181297886751</v>
      </c>
      <c r="V2175" s="84" t="n">
        <f aca="false">IF(ISNUMBER(T2175),T2175,-99)</f>
        <v>20.9418129788675</v>
      </c>
      <c r="W2175" s="84" t="n">
        <f aca="false">IF(ISNUMBER(U2175),ABS(U2175),"")</f>
        <v>2.04181297886751</v>
      </c>
    </row>
    <row r="2176" customFormat="false" ht="15" hidden="false" customHeight="false" outlineLevel="0" collapsed="false">
      <c r="A2176" s="57" t="n">
        <v>34122</v>
      </c>
      <c r="B2176" s="56" t="n">
        <v>1993</v>
      </c>
      <c r="C2176" s="56" t="n">
        <v>6</v>
      </c>
      <c r="D2176" s="56" t="n">
        <v>33</v>
      </c>
      <c r="E2176" s="56" t="n">
        <v>18.5</v>
      </c>
      <c r="F2176" s="56" t="n">
        <v>0</v>
      </c>
      <c r="G2176" s="56" t="n">
        <v>11.5</v>
      </c>
      <c r="H2176" s="56" t="n">
        <v>0</v>
      </c>
      <c r="I2176" s="56" t="n">
        <v>15.2</v>
      </c>
      <c r="J2176" s="56" t="n">
        <v>0</v>
      </c>
      <c r="K2176" s="56" t="n">
        <v>1009.3</v>
      </c>
      <c r="L2176" s="56" t="n">
        <v>0</v>
      </c>
      <c r="M2176" s="56" t="n">
        <v>83</v>
      </c>
      <c r="N2176" s="56" t="n">
        <v>4.8</v>
      </c>
      <c r="O2176" s="56" t="n">
        <f aca="false">IF(D2176=1,"",E2175)</f>
        <v>18.9</v>
      </c>
      <c r="P2176" s="56" t="n">
        <f aca="false">IF(OR(D2176=1,K2175=""),"",K2175)</f>
        <v>1013.3</v>
      </c>
      <c r="Q2176" s="56" t="n">
        <f aca="false">IF(OR(F2176&lt;&gt;0,AND(I2176&lt;&gt;"",E2176&lt;I2176)),1,0)</f>
        <v>0</v>
      </c>
      <c r="R2176" s="56" t="n">
        <f aca="false">IF(AND(D2176&gt;1,Q2176=0,ISNUMBER(O2176),ISNUMBER(P2176)),IF(Q2175=0,1,0),0)</f>
        <v>1</v>
      </c>
      <c r="S2176" s="56" t="n">
        <f aca="false">R2176*(B2176&gt;=Train_Start)*(B2176&lt;=Train_End)</f>
        <v>1</v>
      </c>
      <c r="T2176" s="84" t="n">
        <f aca="false">IF(AND(ISNUMBER(O2176),ISNUMBER(P2176)),Coef_A+Coef_B1*O2176+Coef_B2*P2176,"")</f>
        <v>19.3596004031234</v>
      </c>
      <c r="U2176" s="84" t="n">
        <f aca="false">IF(AND(R2176=1,ISNUMBER(T2176)),E2176-T2176,"")</f>
        <v>-0.859600403123373</v>
      </c>
      <c r="V2176" s="84" t="n">
        <f aca="false">IF(ISNUMBER(T2176),T2176,-99)</f>
        <v>19.3596004031234</v>
      </c>
      <c r="W2176" s="84" t="n">
        <f aca="false">IF(ISNUMBER(U2176),ABS(U2176),"")</f>
        <v>0.859600403123373</v>
      </c>
    </row>
    <row r="2177" customFormat="false" ht="15" hidden="false" customHeight="false" outlineLevel="0" collapsed="false">
      <c r="A2177" s="57" t="n">
        <v>34123</v>
      </c>
      <c r="B2177" s="56" t="n">
        <v>1993</v>
      </c>
      <c r="C2177" s="56" t="n">
        <v>6</v>
      </c>
      <c r="D2177" s="56" t="n">
        <v>34</v>
      </c>
      <c r="E2177" s="56" t="n">
        <v>22.2</v>
      </c>
      <c r="F2177" s="56" t="n">
        <v>0</v>
      </c>
      <c r="G2177" s="56" t="n">
        <v>12.3</v>
      </c>
      <c r="H2177" s="56" t="n">
        <v>0</v>
      </c>
      <c r="I2177" s="56" t="n">
        <v>15.4</v>
      </c>
      <c r="J2177" s="56" t="n">
        <v>0</v>
      </c>
      <c r="K2177" s="56" t="n">
        <v>1018.6</v>
      </c>
      <c r="L2177" s="56" t="n">
        <v>0</v>
      </c>
      <c r="M2177" s="56" t="n">
        <v>82</v>
      </c>
      <c r="N2177" s="56" t="n">
        <v>0.1</v>
      </c>
      <c r="O2177" s="56" t="n">
        <f aca="false">IF(D2177=1,"",E2176)</f>
        <v>18.5</v>
      </c>
      <c r="P2177" s="56" t="n">
        <f aca="false">IF(OR(D2177=1,K2176=""),"",K2176)</f>
        <v>1009.3</v>
      </c>
      <c r="Q2177" s="56" t="n">
        <f aca="false">IF(OR(F2177&lt;&gt;0,AND(I2177&lt;&gt;"",E2177&lt;I2177)),1,0)</f>
        <v>0</v>
      </c>
      <c r="R2177" s="56" t="n">
        <f aca="false">IF(AND(D2177&gt;1,Q2177=0,ISNUMBER(O2177),ISNUMBER(P2177)),IF(Q2176=0,1,0),0)</f>
        <v>1</v>
      </c>
      <c r="S2177" s="56" t="n">
        <f aca="false">R2177*(B2177&gt;=Train_Start)*(B2177&lt;=Train_End)</f>
        <v>1</v>
      </c>
      <c r="T2177" s="84" t="n">
        <f aca="false">IF(AND(ISNUMBER(O2177),ISNUMBER(P2177)),Coef_A+Coef_B1*O2177+Coef_B2*P2177,"")</f>
        <v>18.9063851473704</v>
      </c>
      <c r="U2177" s="84" t="n">
        <f aca="false">IF(AND(R2177=1,ISNUMBER(T2177)),E2177-T2177,"")</f>
        <v>3.29361485262965</v>
      </c>
      <c r="V2177" s="84" t="n">
        <f aca="false">IF(ISNUMBER(T2177),T2177,-99)</f>
        <v>18.9063851473704</v>
      </c>
      <c r="W2177" s="84" t="n">
        <f aca="false">IF(ISNUMBER(U2177),ABS(U2177),"")</f>
        <v>3.29361485262965</v>
      </c>
    </row>
    <row r="2178" customFormat="false" ht="15" hidden="false" customHeight="false" outlineLevel="0" collapsed="false">
      <c r="A2178" s="57" t="n">
        <v>34124</v>
      </c>
      <c r="B2178" s="56" t="n">
        <v>1993</v>
      </c>
      <c r="C2178" s="56" t="n">
        <v>6</v>
      </c>
      <c r="D2178" s="56" t="n">
        <v>35</v>
      </c>
      <c r="E2178" s="56" t="n">
        <v>23.6</v>
      </c>
      <c r="F2178" s="56" t="n">
        <v>0</v>
      </c>
      <c r="G2178" s="56" t="n">
        <v>8.9</v>
      </c>
      <c r="H2178" s="56" t="n">
        <v>0</v>
      </c>
      <c r="I2178" s="56" t="n">
        <v>15.6</v>
      </c>
      <c r="J2178" s="56" t="n">
        <v>0</v>
      </c>
      <c r="K2178" s="56" t="n">
        <v>1020.7</v>
      </c>
      <c r="L2178" s="56" t="n">
        <v>0</v>
      </c>
      <c r="M2178" s="56" t="n">
        <v>56</v>
      </c>
      <c r="N2178" s="56" t="n">
        <v>9.9</v>
      </c>
      <c r="O2178" s="56" t="n">
        <f aca="false">IF(D2178=1,"",E2177)</f>
        <v>22.2</v>
      </c>
      <c r="P2178" s="56" t="n">
        <f aca="false">IF(OR(D2178=1,K2177=""),"",K2177)</f>
        <v>1018.6</v>
      </c>
      <c r="Q2178" s="56" t="n">
        <f aca="false">IF(OR(F2178&lt;&gt;0,AND(I2178&lt;&gt;"",E2178&lt;I2178)),1,0)</f>
        <v>0</v>
      </c>
      <c r="R2178" s="56" t="n">
        <f aca="false">IF(AND(D2178&gt;1,Q2178=0,ISNUMBER(O2178),ISNUMBER(P2178)),IF(Q2177=0,1,0),0)</f>
        <v>1</v>
      </c>
      <c r="S2178" s="56" t="n">
        <f aca="false">R2178*(B2178&gt;=Train_Start)*(B2178&lt;=Train_End)</f>
        <v>1</v>
      </c>
      <c r="T2178" s="84" t="n">
        <f aca="false">IF(AND(ISNUMBER(O2178),ISNUMBER(P2178)),Coef_A+Coef_B1*O2178+Coef_B2*P2178,"")</f>
        <v>22.2296801817243</v>
      </c>
      <c r="U2178" s="84" t="n">
        <f aca="false">IF(AND(R2178=1,ISNUMBER(T2178)),E2178-T2178,"")</f>
        <v>1.37031981827571</v>
      </c>
      <c r="V2178" s="84" t="n">
        <f aca="false">IF(ISNUMBER(T2178),T2178,-99)</f>
        <v>22.2296801817243</v>
      </c>
      <c r="W2178" s="84" t="n">
        <f aca="false">IF(ISNUMBER(U2178),ABS(U2178),"")</f>
        <v>1.37031981827571</v>
      </c>
    </row>
    <row r="2179" customFormat="false" ht="15" hidden="false" customHeight="false" outlineLevel="0" collapsed="false">
      <c r="A2179" s="57" t="n">
        <v>34125</v>
      </c>
      <c r="B2179" s="56" t="n">
        <v>1993</v>
      </c>
      <c r="C2179" s="56" t="n">
        <v>6</v>
      </c>
      <c r="D2179" s="56" t="n">
        <v>36</v>
      </c>
      <c r="E2179" s="56" t="n">
        <v>26</v>
      </c>
      <c r="F2179" s="56" t="n">
        <v>0</v>
      </c>
      <c r="G2179" s="56" t="n">
        <v>11.8</v>
      </c>
      <c r="H2179" s="56" t="n">
        <v>0</v>
      </c>
      <c r="I2179" s="56" t="n">
        <v>17.7</v>
      </c>
      <c r="J2179" s="56" t="n">
        <v>0</v>
      </c>
      <c r="K2179" s="56" t="n">
        <v>1022.2</v>
      </c>
      <c r="L2179" s="56" t="n">
        <v>0</v>
      </c>
      <c r="M2179" s="56" t="n">
        <v>59</v>
      </c>
      <c r="N2179" s="56" t="n">
        <v>8.4</v>
      </c>
      <c r="O2179" s="56" t="n">
        <f aca="false">IF(D2179=1,"",E2178)</f>
        <v>23.6</v>
      </c>
      <c r="P2179" s="56" t="n">
        <f aca="false">IF(OR(D2179=1,K2178=""),"",K2178)</f>
        <v>1020.7</v>
      </c>
      <c r="Q2179" s="56" t="n">
        <f aca="false">IF(OR(F2179&lt;&gt;0,AND(I2179&lt;&gt;"",E2179&lt;I2179)),1,0)</f>
        <v>0</v>
      </c>
      <c r="R2179" s="56" t="n">
        <f aca="false">IF(AND(D2179&gt;1,Q2179=0,ISNUMBER(O2179),ISNUMBER(P2179)),IF(Q2178=0,1,0),0)</f>
        <v>1</v>
      </c>
      <c r="S2179" s="56" t="n">
        <f aca="false">R2179*(B2179&gt;=Train_Start)*(B2179&lt;=Train_End)</f>
        <v>1</v>
      </c>
      <c r="T2179" s="84" t="n">
        <f aca="false">IF(AND(ISNUMBER(O2179),ISNUMBER(P2179)),Coef_A+Coef_B1*O2179+Coef_B2*P2179,"")</f>
        <v>23.4426318307154</v>
      </c>
      <c r="U2179" s="84" t="n">
        <f aca="false">IF(AND(R2179=1,ISNUMBER(T2179)),E2179-T2179,"")</f>
        <v>2.5573681692846</v>
      </c>
      <c r="V2179" s="84" t="n">
        <f aca="false">IF(ISNUMBER(T2179),T2179,-99)</f>
        <v>23.4426318307154</v>
      </c>
      <c r="W2179" s="84" t="n">
        <f aca="false">IF(ISNUMBER(U2179),ABS(U2179),"")</f>
        <v>2.5573681692846</v>
      </c>
    </row>
    <row r="2180" customFormat="false" ht="15" hidden="false" customHeight="false" outlineLevel="0" collapsed="false">
      <c r="A2180" s="57" t="n">
        <v>34126</v>
      </c>
      <c r="B2180" s="56" t="n">
        <v>1993</v>
      </c>
      <c r="C2180" s="56" t="n">
        <v>6</v>
      </c>
      <c r="D2180" s="56" t="n">
        <v>37</v>
      </c>
      <c r="E2180" s="56" t="n">
        <v>26.5</v>
      </c>
      <c r="F2180" s="56" t="n">
        <v>0</v>
      </c>
      <c r="G2180" s="56" t="n">
        <v>11.8</v>
      </c>
      <c r="H2180" s="56" t="n">
        <v>0</v>
      </c>
      <c r="I2180" s="56" t="n">
        <v>18.9</v>
      </c>
      <c r="J2180" s="56" t="n">
        <v>0</v>
      </c>
      <c r="K2180" s="56" t="n">
        <v>1020.4</v>
      </c>
      <c r="L2180" s="56" t="n">
        <v>0</v>
      </c>
      <c r="M2180" s="56" t="n">
        <v>59</v>
      </c>
      <c r="N2180" s="56" t="n">
        <v>13.1</v>
      </c>
      <c r="O2180" s="56" t="n">
        <f aca="false">IF(D2180=1,"",E2179)</f>
        <v>26</v>
      </c>
      <c r="P2180" s="56" t="n">
        <f aca="false">IF(OR(D2180=1,K2179=""),"",K2179)</f>
        <v>1022.2</v>
      </c>
      <c r="Q2180" s="56" t="n">
        <f aca="false">IF(OR(F2180&lt;&gt;0,AND(I2180&lt;&gt;"",E2180&lt;I2180)),1,0)</f>
        <v>0</v>
      </c>
      <c r="R2180" s="56" t="n">
        <f aca="false">IF(AND(D2180&gt;1,Q2180=0,ISNUMBER(O2180),ISNUMBER(P2180)),IF(Q2179=0,1,0),0)</f>
        <v>1</v>
      </c>
      <c r="S2180" s="56" t="n">
        <f aca="false">R2180*(B2180&gt;=Train_Start)*(B2180&lt;=Train_End)</f>
        <v>1</v>
      </c>
      <c r="T2180" s="84" t="n">
        <f aca="false">IF(AND(ISNUMBER(O2180),ISNUMBER(P2180)),Coef_A+Coef_B1*O2180+Coef_B2*P2180,"")</f>
        <v>25.4561007359688</v>
      </c>
      <c r="U2180" s="84" t="n">
        <f aca="false">IF(AND(R2180=1,ISNUMBER(T2180)),E2180-T2180,"")</f>
        <v>1.04389926403125</v>
      </c>
      <c r="V2180" s="84" t="n">
        <f aca="false">IF(ISNUMBER(T2180),T2180,-99)</f>
        <v>25.4561007359688</v>
      </c>
      <c r="W2180" s="84" t="n">
        <f aca="false">IF(ISNUMBER(U2180),ABS(U2180),"")</f>
        <v>1.04389926403125</v>
      </c>
    </row>
    <row r="2181" customFormat="false" ht="15" hidden="false" customHeight="false" outlineLevel="0" collapsed="false">
      <c r="A2181" s="57" t="n">
        <v>34127</v>
      </c>
      <c r="B2181" s="56" t="n">
        <v>1993</v>
      </c>
      <c r="C2181" s="56" t="n">
        <v>6</v>
      </c>
      <c r="D2181" s="56" t="n">
        <v>38</v>
      </c>
      <c r="E2181" s="56" t="n">
        <v>28.4</v>
      </c>
      <c r="F2181" s="56" t="n">
        <v>0</v>
      </c>
      <c r="G2181" s="56" t="n">
        <v>13</v>
      </c>
      <c r="H2181" s="56" t="n">
        <v>0</v>
      </c>
      <c r="I2181" s="56" t="n">
        <v>19.8</v>
      </c>
      <c r="J2181" s="56" t="n">
        <v>0</v>
      </c>
      <c r="K2181" s="56" t="n">
        <v>1018.5</v>
      </c>
      <c r="L2181" s="56" t="n">
        <v>0</v>
      </c>
      <c r="M2181" s="56" t="n">
        <v>53</v>
      </c>
      <c r="N2181" s="56" t="n">
        <v>13.8</v>
      </c>
      <c r="O2181" s="56" t="n">
        <f aca="false">IF(D2181=1,"",E2180)</f>
        <v>26.5</v>
      </c>
      <c r="P2181" s="56" t="n">
        <f aca="false">IF(OR(D2181=1,K2180=""),"",K2180)</f>
        <v>1020.4</v>
      </c>
      <c r="Q2181" s="56" t="n">
        <f aca="false">IF(OR(F2181&lt;&gt;0,AND(I2181&lt;&gt;"",E2181&lt;I2181)),1,0)</f>
        <v>0</v>
      </c>
      <c r="R2181" s="56" t="n">
        <f aca="false">IF(AND(D2181&gt;1,Q2181=0,ISNUMBER(O2181),ISNUMBER(P2181)),IF(Q2180=0,1,0),0)</f>
        <v>1</v>
      </c>
      <c r="S2181" s="56" t="n">
        <f aca="false">R2181*(B2181&gt;=Train_Start)*(B2181&lt;=Train_End)</f>
        <v>1</v>
      </c>
      <c r="T2181" s="84" t="n">
        <f aca="false">IF(AND(ISNUMBER(O2181),ISNUMBER(P2181)),Coef_A+Coef_B1*O2181+Coef_B2*P2181,"")</f>
        <v>25.8093045221489</v>
      </c>
      <c r="U2181" s="84" t="n">
        <f aca="false">IF(AND(R2181=1,ISNUMBER(T2181)),E2181-T2181,"")</f>
        <v>2.5906954778511</v>
      </c>
      <c r="V2181" s="84" t="n">
        <f aca="false">IF(ISNUMBER(T2181),T2181,-99)</f>
        <v>25.8093045221489</v>
      </c>
      <c r="W2181" s="84" t="n">
        <f aca="false">IF(ISNUMBER(U2181),ABS(U2181),"")</f>
        <v>2.5906954778511</v>
      </c>
    </row>
    <row r="2182" customFormat="false" ht="15" hidden="false" customHeight="false" outlineLevel="0" collapsed="false">
      <c r="A2182" s="57" t="n">
        <v>34128</v>
      </c>
      <c r="B2182" s="56" t="n">
        <v>1993</v>
      </c>
      <c r="C2182" s="56" t="n">
        <v>6</v>
      </c>
      <c r="D2182" s="56" t="n">
        <v>39</v>
      </c>
      <c r="E2182" s="56" t="n">
        <v>27.5</v>
      </c>
      <c r="F2182" s="56" t="n">
        <v>0</v>
      </c>
      <c r="G2182" s="56" t="n">
        <v>13.8</v>
      </c>
      <c r="H2182" s="56" t="n">
        <v>0</v>
      </c>
      <c r="I2182" s="56" t="n">
        <v>21.1</v>
      </c>
      <c r="J2182" s="56" t="n">
        <v>0</v>
      </c>
      <c r="K2182" s="56" t="n">
        <v>1016</v>
      </c>
      <c r="L2182" s="56" t="n">
        <v>0</v>
      </c>
      <c r="M2182" s="56" t="n">
        <v>60</v>
      </c>
      <c r="N2182" s="56" t="n">
        <v>14.4</v>
      </c>
      <c r="O2182" s="56" t="n">
        <f aca="false">IF(D2182=1,"",E2181)</f>
        <v>28.4</v>
      </c>
      <c r="P2182" s="56" t="n">
        <f aca="false">IF(OR(D2182=1,K2181=""),"",K2181)</f>
        <v>1018.5</v>
      </c>
      <c r="Q2182" s="56" t="n">
        <f aca="false">IF(OR(F2182&lt;&gt;0,AND(I2182&lt;&gt;"",E2182&lt;I2182)),1,0)</f>
        <v>0</v>
      </c>
      <c r="R2182" s="56" t="n">
        <f aca="false">IF(AND(D2182&gt;1,Q2182=0,ISNUMBER(O2182),ISNUMBER(P2182)),IF(Q2181=0,1,0),0)</f>
        <v>1</v>
      </c>
      <c r="S2182" s="56" t="n">
        <f aca="false">R2182*(B2182&gt;=Train_Start)*(B2182&lt;=Train_End)</f>
        <v>1</v>
      </c>
      <c r="T2182" s="84" t="n">
        <f aca="false">IF(AND(ISNUMBER(O2182),ISNUMBER(P2182)),Coef_A+Coef_B1*O2182+Coef_B2*P2182,"")</f>
        <v>27.3064461891254</v>
      </c>
      <c r="U2182" s="84" t="n">
        <f aca="false">IF(AND(R2182=1,ISNUMBER(T2182)),E2182-T2182,"")</f>
        <v>0.193553810874629</v>
      </c>
      <c r="V2182" s="84" t="n">
        <f aca="false">IF(ISNUMBER(T2182),T2182,-99)</f>
        <v>27.3064461891254</v>
      </c>
      <c r="W2182" s="84" t="n">
        <f aca="false">IF(ISNUMBER(U2182),ABS(U2182),"")</f>
        <v>0.193553810874629</v>
      </c>
    </row>
    <row r="2183" customFormat="false" ht="15" hidden="false" customHeight="false" outlineLevel="0" collapsed="false">
      <c r="A2183" s="57" t="n">
        <v>34129</v>
      </c>
      <c r="B2183" s="56" t="n">
        <v>1993</v>
      </c>
      <c r="C2183" s="56" t="n">
        <v>6</v>
      </c>
      <c r="D2183" s="56" t="n">
        <v>40</v>
      </c>
      <c r="E2183" s="56" t="n">
        <v>23.4</v>
      </c>
      <c r="F2183" s="56" t="n">
        <v>0</v>
      </c>
      <c r="G2183" s="56" t="n">
        <v>17.2</v>
      </c>
      <c r="H2183" s="56" t="n">
        <v>0</v>
      </c>
      <c r="I2183" s="56" t="n">
        <v>22.4</v>
      </c>
      <c r="J2183" s="56" t="n">
        <v>0</v>
      </c>
      <c r="K2183" s="56" t="n">
        <v>1010.3</v>
      </c>
      <c r="L2183" s="56" t="n">
        <v>0</v>
      </c>
      <c r="M2183" s="56" t="n">
        <v>66</v>
      </c>
      <c r="N2183" s="56" t="n">
        <v>1.9</v>
      </c>
      <c r="O2183" s="56" t="n">
        <f aca="false">IF(D2183=1,"",E2182)</f>
        <v>27.5</v>
      </c>
      <c r="P2183" s="56" t="n">
        <f aca="false">IF(OR(D2183=1,K2182=""),"",K2182)</f>
        <v>1016</v>
      </c>
      <c r="Q2183" s="56" t="n">
        <f aca="false">IF(OR(F2183&lt;&gt;0,AND(I2183&lt;&gt;"",E2183&lt;I2183)),1,0)</f>
        <v>0</v>
      </c>
      <c r="R2183" s="56" t="n">
        <f aca="false">IF(AND(D2183&gt;1,Q2183=0,ISNUMBER(O2183),ISNUMBER(P2183)),IF(Q2182=0,1,0),0)</f>
        <v>1</v>
      </c>
      <c r="S2183" s="56" t="n">
        <f aca="false">R2183*(B2183&gt;=Train_Start)*(B2183&lt;=Train_End)</f>
        <v>1</v>
      </c>
      <c r="T2183" s="84" t="n">
        <f aca="false">IF(AND(ISNUMBER(O2183),ISNUMBER(P2183)),Coef_A+Coef_B1*O2183+Coef_B2*P2183,"")</f>
        <v>26.490616178802</v>
      </c>
      <c r="U2183" s="84" t="n">
        <f aca="false">IF(AND(R2183=1,ISNUMBER(T2183)),E2183-T2183,"")</f>
        <v>-3.09061617880201</v>
      </c>
      <c r="V2183" s="84" t="n">
        <f aca="false">IF(ISNUMBER(T2183),T2183,-99)</f>
        <v>26.490616178802</v>
      </c>
      <c r="W2183" s="84" t="n">
        <f aca="false">IF(ISNUMBER(U2183),ABS(U2183),"")</f>
        <v>3.09061617880201</v>
      </c>
    </row>
    <row r="2184" customFormat="false" ht="15" hidden="false" customHeight="false" outlineLevel="0" collapsed="false">
      <c r="A2184" s="57" t="n">
        <v>34130</v>
      </c>
      <c r="B2184" s="56" t="n">
        <v>1993</v>
      </c>
      <c r="C2184" s="56" t="n">
        <v>6</v>
      </c>
      <c r="D2184" s="56" t="n">
        <v>41</v>
      </c>
      <c r="E2184" s="56" t="n">
        <v>19.2</v>
      </c>
      <c r="F2184" s="56" t="n">
        <v>1</v>
      </c>
      <c r="G2184" s="56" t="n">
        <v>17.3</v>
      </c>
      <c r="H2184" s="56" t="n">
        <v>0</v>
      </c>
      <c r="I2184" s="56" t="n">
        <v>20.4</v>
      </c>
      <c r="J2184" s="56" t="n">
        <v>1</v>
      </c>
      <c r="K2184" s="56" t="n">
        <v>1005.8</v>
      </c>
      <c r="L2184" s="56" t="n">
        <v>0</v>
      </c>
      <c r="M2184" s="56" t="n">
        <v>80</v>
      </c>
      <c r="N2184" s="56" t="n">
        <v>1.1</v>
      </c>
      <c r="O2184" s="56" t="n">
        <f aca="false">IF(D2184=1,"",E2183)</f>
        <v>23.4</v>
      </c>
      <c r="P2184" s="56" t="n">
        <f aca="false">IF(OR(D2184=1,K2183=""),"",K2183)</f>
        <v>1010.3</v>
      </c>
      <c r="Q2184" s="56" t="n">
        <f aca="false">IF(OR(F2184&lt;&gt;0,AND(I2184&lt;&gt;"",E2184&lt;I2184)),1,0)</f>
        <v>1</v>
      </c>
      <c r="R2184" s="56" t="n">
        <f aca="false">IF(AND(D2184&gt;1,Q2184=0,ISNUMBER(O2184),ISNUMBER(P2184)),IF(Q2183=0,1,0),0)</f>
        <v>0</v>
      </c>
      <c r="S2184" s="56" t="n">
        <f aca="false">R2184*(B2184&gt;=Train_Start)*(B2184&lt;=Train_End)</f>
        <v>0</v>
      </c>
      <c r="T2184" s="84" t="n">
        <f aca="false">IF(AND(ISNUMBER(O2184),ISNUMBER(P2184)),Coef_A+Coef_B1*O2184+Coef_B2*P2184,"")</f>
        <v>22.9525170879134</v>
      </c>
      <c r="U2184" s="84" t="str">
        <f aca="false">IF(AND(R2184=1,ISNUMBER(T2184)),E2184-T2184,"")</f>
        <v/>
      </c>
      <c r="V2184" s="84" t="n">
        <f aca="false">IF(ISNUMBER(T2184),T2184,-99)</f>
        <v>22.9525170879134</v>
      </c>
      <c r="W2184" s="84" t="str">
        <f aca="false">IF(ISNUMBER(U2184),ABS(U2184),"")</f>
        <v/>
      </c>
    </row>
    <row r="2185" customFormat="false" ht="15" hidden="false" customHeight="false" outlineLevel="0" collapsed="false">
      <c r="A2185" s="57" t="n">
        <v>34131</v>
      </c>
      <c r="B2185" s="56" t="n">
        <v>1993</v>
      </c>
      <c r="C2185" s="56" t="n">
        <v>6</v>
      </c>
      <c r="D2185" s="56" t="n">
        <v>42</v>
      </c>
      <c r="E2185" s="56" t="n">
        <v>17.5</v>
      </c>
      <c r="F2185" s="56" t="n">
        <v>0</v>
      </c>
      <c r="G2185" s="56" t="n">
        <v>15.3</v>
      </c>
      <c r="H2185" s="56" t="n">
        <v>0</v>
      </c>
      <c r="I2185" s="56" t="n">
        <v>17.2</v>
      </c>
      <c r="J2185" s="56" t="n">
        <v>0</v>
      </c>
      <c r="K2185" s="56" t="n">
        <v>1001.3</v>
      </c>
      <c r="L2185" s="56" t="n">
        <v>0</v>
      </c>
      <c r="M2185" s="56" t="n">
        <v>87</v>
      </c>
      <c r="N2185" s="56" t="n">
        <v>0.3</v>
      </c>
      <c r="O2185" s="56" t="n">
        <f aca="false">IF(D2185=1,"",E2184)</f>
        <v>19.2</v>
      </c>
      <c r="P2185" s="56" t="n">
        <f aca="false">IF(OR(D2185=1,K2184=""),"",K2184)</f>
        <v>1005.8</v>
      </c>
      <c r="Q2185" s="56" t="n">
        <f aca="false">IF(OR(F2185&lt;&gt;0,AND(I2185&lt;&gt;"",E2185&lt;I2185)),1,0)</f>
        <v>0</v>
      </c>
      <c r="R2185" s="56" t="n">
        <f aca="false">IF(AND(D2185&gt;1,Q2185=0,ISNUMBER(O2185),ISNUMBER(P2185)),IF(Q2184=0,1,0),0)</f>
        <v>0</v>
      </c>
      <c r="S2185" s="56" t="n">
        <f aca="false">R2185*(B2185&gt;=Train_Start)*(B2185&lt;=Train_End)</f>
        <v>0</v>
      </c>
      <c r="T2185" s="84" t="n">
        <f aca="false">IF(AND(ISNUMBER(O2185),ISNUMBER(P2185)),Coef_A+Coef_B1*O2185+Coef_B2*P2185,"")</f>
        <v>19.3701279512813</v>
      </c>
      <c r="U2185" s="84" t="str">
        <f aca="false">IF(AND(R2185=1,ISNUMBER(T2185)),E2185-T2185,"")</f>
        <v/>
      </c>
      <c r="V2185" s="84" t="n">
        <f aca="false">IF(ISNUMBER(T2185),T2185,-99)</f>
        <v>19.3701279512813</v>
      </c>
      <c r="W2185" s="84" t="str">
        <f aca="false">IF(ISNUMBER(U2185),ABS(U2185),"")</f>
        <v/>
      </c>
    </row>
    <row r="2186" customFormat="false" ht="15" hidden="false" customHeight="false" outlineLevel="0" collapsed="false">
      <c r="A2186" s="57" t="n">
        <v>34132</v>
      </c>
      <c r="B2186" s="56" t="n">
        <v>1993</v>
      </c>
      <c r="C2186" s="56" t="n">
        <v>6</v>
      </c>
      <c r="D2186" s="56" t="n">
        <v>43</v>
      </c>
      <c r="E2186" s="56" t="n">
        <v>18</v>
      </c>
      <c r="F2186" s="56" t="n">
        <v>0</v>
      </c>
      <c r="G2186" s="56" t="n">
        <v>11.8</v>
      </c>
      <c r="H2186" s="56" t="n">
        <v>0</v>
      </c>
      <c r="I2186" s="56" t="n">
        <v>14.6</v>
      </c>
      <c r="J2186" s="56" t="n">
        <v>0</v>
      </c>
      <c r="K2186" s="56" t="n">
        <v>1003.7</v>
      </c>
      <c r="L2186" s="56" t="n">
        <v>0</v>
      </c>
      <c r="M2186" s="56" t="n">
        <v>86</v>
      </c>
      <c r="N2186" s="56" t="n">
        <v>0.4</v>
      </c>
      <c r="O2186" s="56" t="n">
        <f aca="false">IF(D2186=1,"",E2185)</f>
        <v>17.5</v>
      </c>
      <c r="P2186" s="56" t="n">
        <f aca="false">IF(OR(D2186=1,K2185=""),"",K2185)</f>
        <v>1001.3</v>
      </c>
      <c r="Q2186" s="56" t="n">
        <f aca="false">IF(OR(F2186&lt;&gt;0,AND(I2186&lt;&gt;"",E2186&lt;I2186)),1,0)</f>
        <v>0</v>
      </c>
      <c r="R2186" s="56" t="n">
        <f aca="false">IF(AND(D2186&gt;1,Q2186=0,ISNUMBER(O2186),ISNUMBER(P2186)),IF(Q2185=0,1,0),0)</f>
        <v>1</v>
      </c>
      <c r="S2186" s="56" t="n">
        <f aca="false">R2186*(B2186&gt;=Train_Start)*(B2186&lt;=Train_End)</f>
        <v>1</v>
      </c>
      <c r="T2186" s="84" t="n">
        <f aca="false">IF(AND(ISNUMBER(O2186),ISNUMBER(P2186)),Coef_A+Coef_B1*O2186+Coef_B2*P2186,"")</f>
        <v>17.8360867972558</v>
      </c>
      <c r="U2186" s="84" t="n">
        <f aca="false">IF(AND(R2186=1,ISNUMBER(T2186)),E2186-T2186,"")</f>
        <v>0.163913202744219</v>
      </c>
      <c r="V2186" s="84" t="n">
        <f aca="false">IF(ISNUMBER(T2186),T2186,-99)</f>
        <v>17.8360867972558</v>
      </c>
      <c r="W2186" s="84" t="n">
        <f aca="false">IF(ISNUMBER(U2186),ABS(U2186),"")</f>
        <v>0.163913202744219</v>
      </c>
    </row>
    <row r="2187" customFormat="false" ht="15" hidden="false" customHeight="false" outlineLevel="0" collapsed="false">
      <c r="A2187" s="57" t="n">
        <v>34133</v>
      </c>
      <c r="B2187" s="56" t="n">
        <v>1993</v>
      </c>
      <c r="C2187" s="56" t="n">
        <v>6</v>
      </c>
      <c r="D2187" s="56" t="n">
        <v>44</v>
      </c>
      <c r="E2187" s="56" t="n">
        <v>18.4</v>
      </c>
      <c r="F2187" s="56" t="n">
        <v>0</v>
      </c>
      <c r="G2187" s="56" t="n">
        <v>11.4</v>
      </c>
      <c r="H2187" s="56" t="n">
        <v>0</v>
      </c>
      <c r="I2187" s="56" t="n">
        <v>14.7</v>
      </c>
      <c r="J2187" s="56" t="n">
        <v>0</v>
      </c>
      <c r="K2187" s="56" t="n">
        <v>1015.8</v>
      </c>
      <c r="L2187" s="56" t="n">
        <v>0</v>
      </c>
      <c r="M2187" s="56" t="n">
        <v>72</v>
      </c>
      <c r="N2187" s="56" t="n">
        <v>5.2</v>
      </c>
      <c r="O2187" s="56" t="n">
        <f aca="false">IF(D2187=1,"",E2186)</f>
        <v>18</v>
      </c>
      <c r="P2187" s="56" t="n">
        <f aca="false">IF(OR(D2187=1,K2186=""),"",K2186)</f>
        <v>1003.7</v>
      </c>
      <c r="Q2187" s="56" t="n">
        <f aca="false">IF(OR(F2187&lt;&gt;0,AND(I2187&lt;&gt;"",E2187&lt;I2187)),1,0)</f>
        <v>0</v>
      </c>
      <c r="R2187" s="56" t="n">
        <f aca="false">IF(AND(D2187&gt;1,Q2187=0,ISNUMBER(O2187),ISNUMBER(P2187)),IF(Q2186=0,1,0),0)</f>
        <v>1</v>
      </c>
      <c r="S2187" s="56" t="n">
        <f aca="false">R2187*(B2187&gt;=Train_Start)*(B2187&lt;=Train_End)</f>
        <v>1</v>
      </c>
      <c r="T2187" s="84" t="n">
        <f aca="false">IF(AND(ISNUMBER(O2187),ISNUMBER(P2187)),Coef_A+Coef_B1*O2187+Coef_B2*P2187,"")</f>
        <v>18.3210441408987</v>
      </c>
      <c r="U2187" s="84" t="n">
        <f aca="false">IF(AND(R2187=1,ISNUMBER(T2187)),E2187-T2187,"")</f>
        <v>0.0789558591013098</v>
      </c>
      <c r="V2187" s="84" t="n">
        <f aca="false">IF(ISNUMBER(T2187),T2187,-99)</f>
        <v>18.3210441408987</v>
      </c>
      <c r="W2187" s="84" t="n">
        <f aca="false">IF(ISNUMBER(U2187),ABS(U2187),"")</f>
        <v>0.0789558591013098</v>
      </c>
    </row>
    <row r="2188" customFormat="false" ht="15" hidden="false" customHeight="false" outlineLevel="0" collapsed="false">
      <c r="A2188" s="57" t="n">
        <v>34134</v>
      </c>
      <c r="B2188" s="56" t="n">
        <v>1993</v>
      </c>
      <c r="C2188" s="56" t="n">
        <v>6</v>
      </c>
      <c r="D2188" s="56" t="n">
        <v>45</v>
      </c>
      <c r="E2188" s="56" t="n">
        <v>21</v>
      </c>
      <c r="F2188" s="56" t="n">
        <v>0</v>
      </c>
      <c r="G2188" s="56" t="n">
        <v>11.5</v>
      </c>
      <c r="H2188" s="56" t="n">
        <v>0</v>
      </c>
      <c r="I2188" s="56" t="n">
        <v>15</v>
      </c>
      <c r="J2188" s="56" t="n">
        <v>0</v>
      </c>
      <c r="K2188" s="56" t="n">
        <v>1013.6</v>
      </c>
      <c r="L2188" s="56" t="n">
        <v>0</v>
      </c>
      <c r="M2188" s="56" t="n">
        <v>92</v>
      </c>
      <c r="N2188" s="56" t="n">
        <v>0.3</v>
      </c>
      <c r="O2188" s="56" t="n">
        <f aca="false">IF(D2188=1,"",E2187)</f>
        <v>18.4</v>
      </c>
      <c r="P2188" s="56" t="n">
        <f aca="false">IF(OR(D2188=1,K2187=""),"",K2187)</f>
        <v>1015.8</v>
      </c>
      <c r="Q2188" s="56" t="n">
        <f aca="false">IF(OR(F2188&lt;&gt;0,AND(I2188&lt;&gt;"",E2188&lt;I2188)),1,0)</f>
        <v>0</v>
      </c>
      <c r="R2188" s="56" t="n">
        <f aca="false">IF(AND(D2188&gt;1,Q2188=0,ISNUMBER(O2188),ISNUMBER(P2188)),IF(Q2187=0,1,0),0)</f>
        <v>1</v>
      </c>
      <c r="S2188" s="56" t="n">
        <f aca="false">R2188*(B2188&gt;=Train_Start)*(B2188&lt;=Train_End)</f>
        <v>1</v>
      </c>
      <c r="T2188" s="84" t="n">
        <f aca="false">IF(AND(ISNUMBER(O2188),ISNUMBER(P2188)),Coef_A+Coef_B1*O2188+Coef_B2*P2188,"")</f>
        <v>19.028355543187</v>
      </c>
      <c r="U2188" s="84" t="n">
        <f aca="false">IF(AND(R2188=1,ISNUMBER(T2188)),E2188-T2188,"")</f>
        <v>1.97164445681298</v>
      </c>
      <c r="V2188" s="84" t="n">
        <f aca="false">IF(ISNUMBER(T2188),T2188,-99)</f>
        <v>19.028355543187</v>
      </c>
      <c r="W2188" s="84" t="n">
        <f aca="false">IF(ISNUMBER(U2188),ABS(U2188),"")</f>
        <v>1.97164445681298</v>
      </c>
    </row>
    <row r="2189" customFormat="false" ht="15" hidden="false" customHeight="false" outlineLevel="0" collapsed="false">
      <c r="A2189" s="57" t="n">
        <v>34135</v>
      </c>
      <c r="B2189" s="56" t="n">
        <v>1993</v>
      </c>
      <c r="C2189" s="56" t="n">
        <v>6</v>
      </c>
      <c r="D2189" s="56" t="n">
        <v>46</v>
      </c>
      <c r="E2189" s="56" t="n">
        <v>16.7</v>
      </c>
      <c r="F2189" s="56" t="n">
        <v>0</v>
      </c>
      <c r="G2189" s="56" t="n">
        <v>8.9</v>
      </c>
      <c r="H2189" s="56" t="n">
        <v>0</v>
      </c>
      <c r="I2189" s="56" t="n">
        <v>15</v>
      </c>
      <c r="J2189" s="56" t="n">
        <v>0</v>
      </c>
      <c r="K2189" s="56" t="n">
        <v>1023.2</v>
      </c>
      <c r="L2189" s="56" t="n">
        <v>0</v>
      </c>
      <c r="M2189" s="56" t="n">
        <v>67</v>
      </c>
      <c r="N2189" s="56" t="n">
        <v>13.2</v>
      </c>
      <c r="O2189" s="56" t="n">
        <f aca="false">IF(D2189=1,"",E2188)</f>
        <v>21</v>
      </c>
      <c r="P2189" s="56" t="n">
        <f aca="false">IF(OR(D2189=1,K2188=""),"",K2188)</f>
        <v>1013.6</v>
      </c>
      <c r="Q2189" s="56" t="n">
        <f aca="false">IF(OR(F2189&lt;&gt;0,AND(I2189&lt;&gt;"",E2189&lt;I2189)),1,0)</f>
        <v>0</v>
      </c>
      <c r="R2189" s="56" t="n">
        <f aca="false">IF(AND(D2189&gt;1,Q2189=0,ISNUMBER(O2189),ISNUMBER(P2189)),IF(Q2188=0,1,0),0)</f>
        <v>1</v>
      </c>
      <c r="S2189" s="56" t="n">
        <f aca="false">R2189*(B2189&gt;=Train_Start)*(B2189&lt;=Train_End)</f>
        <v>1</v>
      </c>
      <c r="T2189" s="84" t="n">
        <f aca="false">IF(AND(ISNUMBER(O2189),ISNUMBER(P2189)),Coef_A+Coef_B1*O2189+Coef_B2*P2189,"")</f>
        <v>21.0896236769032</v>
      </c>
      <c r="U2189" s="84" t="n">
        <f aca="false">IF(AND(R2189=1,ISNUMBER(T2189)),E2189-T2189,"")</f>
        <v>-4.38962367690316</v>
      </c>
      <c r="V2189" s="84" t="n">
        <f aca="false">IF(ISNUMBER(T2189),T2189,-99)</f>
        <v>21.0896236769032</v>
      </c>
      <c r="W2189" s="84" t="n">
        <f aca="false">IF(ISNUMBER(U2189),ABS(U2189),"")</f>
        <v>4.38962367690316</v>
      </c>
    </row>
    <row r="2190" customFormat="false" ht="15" hidden="false" customHeight="false" outlineLevel="0" collapsed="false">
      <c r="A2190" s="57" t="n">
        <v>34136</v>
      </c>
      <c r="B2190" s="56" t="n">
        <v>1993</v>
      </c>
      <c r="C2190" s="56" t="n">
        <v>6</v>
      </c>
      <c r="D2190" s="56" t="n">
        <v>47</v>
      </c>
      <c r="E2190" s="56" t="n">
        <v>22.1</v>
      </c>
      <c r="F2190" s="56" t="n">
        <v>0</v>
      </c>
      <c r="G2190" s="56" t="n">
        <v>12.8</v>
      </c>
      <c r="H2190" s="56" t="n">
        <v>0</v>
      </c>
      <c r="I2190" s="56" t="n">
        <v>14.8</v>
      </c>
      <c r="J2190" s="56" t="n">
        <v>0</v>
      </c>
      <c r="K2190" s="56" t="n">
        <v>1018.8</v>
      </c>
      <c r="L2190" s="56" t="n">
        <v>0</v>
      </c>
      <c r="M2190" s="56" t="n">
        <v>90</v>
      </c>
      <c r="N2190" s="56" t="n">
        <v>0.6</v>
      </c>
      <c r="O2190" s="56" t="n">
        <f aca="false">IF(D2190=1,"",E2189)</f>
        <v>16.7</v>
      </c>
      <c r="P2190" s="56" t="n">
        <f aca="false">IF(OR(D2190=1,K2189=""),"",K2189)</f>
        <v>1023.2</v>
      </c>
      <c r="Q2190" s="56" t="n">
        <f aca="false">IF(OR(F2190&lt;&gt;0,AND(I2190&lt;&gt;"",E2190&lt;I2190)),1,0)</f>
        <v>0</v>
      </c>
      <c r="R2190" s="56" t="n">
        <f aca="false">IF(AND(D2190&gt;1,Q2190=0,ISNUMBER(O2190),ISNUMBER(P2190)),IF(Q2189=0,1,0),0)</f>
        <v>1</v>
      </c>
      <c r="S2190" s="56" t="n">
        <f aca="false">R2190*(B2190&gt;=Train_Start)*(B2190&lt;=Train_End)</f>
        <v>1</v>
      </c>
      <c r="T2190" s="84" t="n">
        <f aca="false">IF(AND(ISNUMBER(O2190),ISNUMBER(P2190)),Coef_A+Coef_B1*O2190+Coef_B2*P2190,"")</f>
        <v>17.867616135306</v>
      </c>
      <c r="U2190" s="84" t="n">
        <f aca="false">IF(AND(R2190=1,ISNUMBER(T2190)),E2190-T2190,"")</f>
        <v>4.23238386469398</v>
      </c>
      <c r="V2190" s="84" t="n">
        <f aca="false">IF(ISNUMBER(T2190),T2190,-99)</f>
        <v>17.867616135306</v>
      </c>
      <c r="W2190" s="84" t="n">
        <f aca="false">IF(ISNUMBER(U2190),ABS(U2190),"")</f>
        <v>4.23238386469398</v>
      </c>
    </row>
    <row r="2191" customFormat="false" ht="15" hidden="false" customHeight="false" outlineLevel="0" collapsed="false">
      <c r="A2191" s="57" t="n">
        <v>34137</v>
      </c>
      <c r="B2191" s="56" t="n">
        <v>1993</v>
      </c>
      <c r="C2191" s="56" t="n">
        <v>6</v>
      </c>
      <c r="D2191" s="56" t="n">
        <v>48</v>
      </c>
      <c r="E2191" s="56" t="n">
        <v>19</v>
      </c>
      <c r="F2191" s="56" t="n">
        <v>0</v>
      </c>
      <c r="G2191" s="56" t="n">
        <v>11.9</v>
      </c>
      <c r="H2191" s="56" t="n">
        <v>0</v>
      </c>
      <c r="I2191" s="56" t="n">
        <v>17</v>
      </c>
      <c r="J2191" s="56" t="n">
        <v>0</v>
      </c>
      <c r="K2191" s="56" t="n">
        <v>1019</v>
      </c>
      <c r="L2191" s="56" t="n">
        <v>0</v>
      </c>
      <c r="M2191" s="56" t="n">
        <v>73</v>
      </c>
      <c r="N2191" s="56" t="n">
        <v>6.9</v>
      </c>
      <c r="O2191" s="56" t="n">
        <f aca="false">IF(D2191=1,"",E2190)</f>
        <v>22.1</v>
      </c>
      <c r="P2191" s="56" t="n">
        <f aca="false">IF(OR(D2191=1,K2190=""),"",K2190)</f>
        <v>1018.8</v>
      </c>
      <c r="Q2191" s="56" t="n">
        <f aca="false">IF(OR(F2191&lt;&gt;0,AND(I2191&lt;&gt;"",E2191&lt;I2191)),1,0)</f>
        <v>0</v>
      </c>
      <c r="R2191" s="56" t="n">
        <f aca="false">IF(AND(D2191&gt;1,Q2191=0,ISNUMBER(O2191),ISNUMBER(P2191)),IF(Q2190=0,1,0),0)</f>
        <v>1</v>
      </c>
      <c r="S2191" s="56" t="n">
        <f aca="false">R2191*(B2191&gt;=Train_Start)*(B2191&lt;=Train_End)</f>
        <v>1</v>
      </c>
      <c r="T2191" s="84" t="n">
        <f aca="false">IF(AND(ISNUMBER(O2191),ISNUMBER(P2191)),Coef_A+Coef_B1*O2191+Coef_B2*P2191,"")</f>
        <v>22.1540202413468</v>
      </c>
      <c r="U2191" s="84" t="n">
        <f aca="false">IF(AND(R2191=1,ISNUMBER(T2191)),E2191-T2191,"")</f>
        <v>-3.15402024134682</v>
      </c>
      <c r="V2191" s="84" t="n">
        <f aca="false">IF(ISNUMBER(T2191),T2191,-99)</f>
        <v>22.1540202413468</v>
      </c>
      <c r="W2191" s="84" t="n">
        <f aca="false">IF(ISNUMBER(U2191),ABS(U2191),"")</f>
        <v>3.15402024134682</v>
      </c>
    </row>
    <row r="2192" customFormat="false" ht="15" hidden="false" customHeight="false" outlineLevel="0" collapsed="false">
      <c r="A2192" s="57" t="n">
        <v>34138</v>
      </c>
      <c r="B2192" s="56" t="n">
        <v>1993</v>
      </c>
      <c r="C2192" s="56" t="n">
        <v>6</v>
      </c>
      <c r="D2192" s="56" t="n">
        <v>49</v>
      </c>
      <c r="E2192" s="56" t="n">
        <v>20.4</v>
      </c>
      <c r="F2192" s="56" t="n">
        <v>0</v>
      </c>
      <c r="G2192" s="56" t="n">
        <v>13.8</v>
      </c>
      <c r="H2192" s="56" t="n">
        <v>0</v>
      </c>
      <c r="I2192" s="56" t="n">
        <v>16.4</v>
      </c>
      <c r="J2192" s="56" t="n">
        <v>0</v>
      </c>
      <c r="K2192" s="56" t="n">
        <v>1014.7</v>
      </c>
      <c r="L2192" s="56" t="n">
        <v>0</v>
      </c>
      <c r="M2192" s="56" t="n">
        <v>83</v>
      </c>
      <c r="N2192" s="56" t="n">
        <v>0.1</v>
      </c>
      <c r="O2192" s="56" t="n">
        <f aca="false">IF(D2192=1,"",E2191)</f>
        <v>19</v>
      </c>
      <c r="P2192" s="56" t="n">
        <f aca="false">IF(OR(D2192=1,K2191=""),"",K2191)</f>
        <v>1019</v>
      </c>
      <c r="Q2192" s="56" t="n">
        <f aca="false">IF(OR(F2192&lt;&gt;0,AND(I2192&lt;&gt;"",E2192&lt;I2192)),1,0)</f>
        <v>0</v>
      </c>
      <c r="R2192" s="56" t="n">
        <f aca="false">IF(AND(D2192&gt;1,Q2192=0,ISNUMBER(O2192),ISNUMBER(P2192)),IF(Q2191=0,1,0),0)</f>
        <v>1</v>
      </c>
      <c r="S2192" s="56" t="n">
        <f aca="false">R2192*(B2192&gt;=Train_Start)*(B2192&lt;=Train_End)</f>
        <v>1</v>
      </c>
      <c r="T2192" s="84" t="n">
        <f aca="false">IF(AND(ISNUMBER(O2192),ISNUMBER(P2192)),Coef_A+Coef_B1*O2192+Coef_B2*P2192,"")</f>
        <v>19.6203427218414</v>
      </c>
      <c r="U2192" s="84" t="n">
        <f aca="false">IF(AND(R2192=1,ISNUMBER(T2192)),E2192-T2192,"")</f>
        <v>0.779657278158616</v>
      </c>
      <c r="V2192" s="84" t="n">
        <f aca="false">IF(ISNUMBER(T2192),T2192,-99)</f>
        <v>19.6203427218414</v>
      </c>
      <c r="W2192" s="84" t="n">
        <f aca="false">IF(ISNUMBER(U2192),ABS(U2192),"")</f>
        <v>0.779657278158616</v>
      </c>
    </row>
    <row r="2193" customFormat="false" ht="15" hidden="false" customHeight="false" outlineLevel="0" collapsed="false">
      <c r="A2193" s="57" t="n">
        <v>34139</v>
      </c>
      <c r="B2193" s="56" t="n">
        <v>1993</v>
      </c>
      <c r="C2193" s="56" t="n">
        <v>6</v>
      </c>
      <c r="D2193" s="56" t="n">
        <v>50</v>
      </c>
      <c r="E2193" s="56" t="n">
        <v>20.8</v>
      </c>
      <c r="F2193" s="56" t="n">
        <v>0</v>
      </c>
      <c r="G2193" s="56" t="n">
        <v>12.3</v>
      </c>
      <c r="H2193" s="56" t="n">
        <v>0</v>
      </c>
      <c r="I2193" s="56" t="n">
        <v>16.4</v>
      </c>
      <c r="J2193" s="56" t="n">
        <v>0</v>
      </c>
      <c r="K2193" s="56" t="n">
        <v>1015.6</v>
      </c>
      <c r="L2193" s="56" t="n">
        <v>0</v>
      </c>
      <c r="M2193" s="56" t="n">
        <v>68</v>
      </c>
      <c r="N2193" s="56" t="n">
        <v>3.6</v>
      </c>
      <c r="O2193" s="56" t="n">
        <f aca="false">IF(D2193=1,"",E2192)</f>
        <v>20.4</v>
      </c>
      <c r="P2193" s="56" t="n">
        <f aca="false">IF(OR(D2193=1,K2192=""),"",K2192)</f>
        <v>1014.7</v>
      </c>
      <c r="Q2193" s="56" t="n">
        <f aca="false">IF(OR(F2193&lt;&gt;0,AND(I2193&lt;&gt;"",E2193&lt;I2193)),1,0)</f>
        <v>0</v>
      </c>
      <c r="R2193" s="56" t="n">
        <f aca="false">IF(AND(D2193&gt;1,Q2193=0,ISNUMBER(O2193),ISNUMBER(P2193)),IF(Q2192=0,1,0),0)</f>
        <v>1</v>
      </c>
      <c r="S2193" s="56" t="n">
        <f aca="false">R2193*(B2193&gt;=Train_Start)*(B2193&lt;=Train_End)</f>
        <v>1</v>
      </c>
      <c r="T2193" s="84" t="n">
        <f aca="false">IF(AND(ISNUMBER(O2193),ISNUMBER(P2193)),Coef_A+Coef_B1*O2193+Coef_B2*P2193,"")</f>
        <v>20.632527045175</v>
      </c>
      <c r="U2193" s="84" t="n">
        <f aca="false">IF(AND(R2193=1,ISNUMBER(T2193)),E2193-T2193,"")</f>
        <v>0.167472954825051</v>
      </c>
      <c r="V2193" s="84" t="n">
        <f aca="false">IF(ISNUMBER(T2193),T2193,-99)</f>
        <v>20.632527045175</v>
      </c>
      <c r="W2193" s="84" t="n">
        <f aca="false">IF(ISNUMBER(U2193),ABS(U2193),"")</f>
        <v>0.167472954825051</v>
      </c>
    </row>
    <row r="2194" customFormat="false" ht="15" hidden="false" customHeight="false" outlineLevel="0" collapsed="false">
      <c r="A2194" s="57" t="n">
        <v>34140</v>
      </c>
      <c r="B2194" s="56" t="n">
        <v>1993</v>
      </c>
      <c r="C2194" s="56" t="n">
        <v>6</v>
      </c>
      <c r="D2194" s="56" t="n">
        <v>51</v>
      </c>
      <c r="E2194" s="56" t="n">
        <v>19.1</v>
      </c>
      <c r="F2194" s="56" t="n">
        <v>0</v>
      </c>
      <c r="G2194" s="56" t="n">
        <v>9.2</v>
      </c>
      <c r="H2194" s="56" t="n">
        <v>0</v>
      </c>
      <c r="I2194" s="56" t="n">
        <v>15</v>
      </c>
      <c r="J2194" s="56" t="n">
        <v>0</v>
      </c>
      <c r="K2194" s="56" t="n">
        <v>1019.8</v>
      </c>
      <c r="L2194" s="56" t="n">
        <v>0</v>
      </c>
      <c r="M2194" s="56" t="n">
        <v>65</v>
      </c>
      <c r="N2194" s="56" t="n">
        <v>12.7</v>
      </c>
      <c r="O2194" s="56" t="n">
        <f aca="false">IF(D2194=1,"",E2193)</f>
        <v>20.8</v>
      </c>
      <c r="P2194" s="56" t="n">
        <f aca="false">IF(OR(D2194=1,K2193=""),"",K2193)</f>
        <v>1015.6</v>
      </c>
      <c r="Q2194" s="56" t="n">
        <f aca="false">IF(OR(F2194&lt;&gt;0,AND(I2194&lt;&gt;"",E2194&lt;I2194)),1,0)</f>
        <v>0</v>
      </c>
      <c r="R2194" s="56" t="n">
        <f aca="false">IF(AND(D2194&gt;1,Q2194=0,ISNUMBER(O2194),ISNUMBER(P2194)),IF(Q2193=0,1,0),0)</f>
        <v>1</v>
      </c>
      <c r="S2194" s="56" t="n">
        <f aca="false">R2194*(B2194&gt;=Train_Start)*(B2194&lt;=Train_End)</f>
        <v>1</v>
      </c>
      <c r="T2194" s="84" t="n">
        <f aca="false">IF(AND(ISNUMBER(O2194),ISNUMBER(P2194)),Coef_A+Coef_B1*O2194+Coef_B2*P2194,"")</f>
        <v>20.9884956275626</v>
      </c>
      <c r="U2194" s="84" t="n">
        <f aca="false">IF(AND(R2194=1,ISNUMBER(T2194)),E2194-T2194,"")</f>
        <v>-1.8884956275626</v>
      </c>
      <c r="V2194" s="84" t="n">
        <f aca="false">IF(ISNUMBER(T2194),T2194,-99)</f>
        <v>20.9884956275626</v>
      </c>
      <c r="W2194" s="84" t="n">
        <f aca="false">IF(ISNUMBER(U2194),ABS(U2194),"")</f>
        <v>1.8884956275626</v>
      </c>
    </row>
    <row r="2195" customFormat="false" ht="15" hidden="false" customHeight="false" outlineLevel="0" collapsed="false">
      <c r="A2195" s="57" t="n">
        <v>34141</v>
      </c>
      <c r="B2195" s="56" t="n">
        <v>1993</v>
      </c>
      <c r="C2195" s="56" t="n">
        <v>6</v>
      </c>
      <c r="D2195" s="56" t="n">
        <v>52</v>
      </c>
      <c r="E2195" s="56" t="n">
        <v>19.4</v>
      </c>
      <c r="F2195" s="56" t="n">
        <v>0</v>
      </c>
      <c r="G2195" s="56" t="n">
        <v>10.5</v>
      </c>
      <c r="H2195" s="56" t="n">
        <v>0</v>
      </c>
      <c r="I2195" s="56" t="n">
        <v>14.8</v>
      </c>
      <c r="J2195" s="56" t="n">
        <v>0</v>
      </c>
      <c r="K2195" s="56" t="n">
        <v>1020.6</v>
      </c>
      <c r="L2195" s="56" t="n">
        <v>0</v>
      </c>
      <c r="M2195" s="56" t="n">
        <v>60</v>
      </c>
      <c r="N2195" s="56" t="n">
        <v>11.3</v>
      </c>
      <c r="O2195" s="56" t="n">
        <f aca="false">IF(D2195=1,"",E2194)</f>
        <v>19.1</v>
      </c>
      <c r="P2195" s="56" t="n">
        <f aca="false">IF(OR(D2195=1,K2194=""),"",K2194)</f>
        <v>1019.8</v>
      </c>
      <c r="Q2195" s="56" t="n">
        <f aca="false">IF(OR(F2195&lt;&gt;0,AND(I2195&lt;&gt;"",E2195&lt;I2195)),1,0)</f>
        <v>0</v>
      </c>
      <c r="R2195" s="56" t="n">
        <f aca="false">IF(AND(D2195&gt;1,Q2195=0,ISNUMBER(O2195),ISNUMBER(P2195)),IF(Q2194=0,1,0),0)</f>
        <v>1</v>
      </c>
      <c r="S2195" s="56" t="n">
        <f aca="false">R2195*(B2195&gt;=Train_Start)*(B2195&lt;=Train_End)</f>
        <v>1</v>
      </c>
      <c r="T2195" s="84" t="n">
        <f aca="false">IF(AND(ISNUMBER(O2195),ISNUMBER(P2195)),Coef_A+Coef_B1*O2195+Coef_B2*P2195,"")</f>
        <v>19.7273725568528</v>
      </c>
      <c r="U2195" s="84" t="n">
        <f aca="false">IF(AND(R2195=1,ISNUMBER(T2195)),E2195-T2195,"")</f>
        <v>-0.32737255685284</v>
      </c>
      <c r="V2195" s="84" t="n">
        <f aca="false">IF(ISNUMBER(T2195),T2195,-99)</f>
        <v>19.7273725568528</v>
      </c>
      <c r="W2195" s="84" t="n">
        <f aca="false">IF(ISNUMBER(U2195),ABS(U2195),"")</f>
        <v>0.32737255685284</v>
      </c>
    </row>
    <row r="2196" customFormat="false" ht="15" hidden="false" customHeight="false" outlineLevel="0" collapsed="false">
      <c r="A2196" s="57" t="n">
        <v>34142</v>
      </c>
      <c r="B2196" s="56" t="n">
        <v>1993</v>
      </c>
      <c r="C2196" s="56" t="n">
        <v>6</v>
      </c>
      <c r="D2196" s="56" t="n">
        <v>53</v>
      </c>
      <c r="E2196" s="56" t="n">
        <v>19.2</v>
      </c>
      <c r="F2196" s="56" t="n">
        <v>0</v>
      </c>
      <c r="G2196" s="56" t="n">
        <v>9.7</v>
      </c>
      <c r="H2196" s="56" t="n">
        <v>0</v>
      </c>
      <c r="I2196" s="56" t="n">
        <v>14.6</v>
      </c>
      <c r="J2196" s="56" t="n">
        <v>0</v>
      </c>
      <c r="K2196" s="56" t="n">
        <v>1017.5</v>
      </c>
      <c r="L2196" s="56" t="n">
        <v>0</v>
      </c>
      <c r="M2196" s="56" t="n">
        <v>67</v>
      </c>
      <c r="N2196" s="56" t="n">
        <v>7.2</v>
      </c>
      <c r="O2196" s="56" t="n">
        <f aca="false">IF(D2196=1,"",E2195)</f>
        <v>19.4</v>
      </c>
      <c r="P2196" s="56" t="n">
        <f aca="false">IF(OR(D2196=1,K2195=""),"",K2195)</f>
        <v>1020.6</v>
      </c>
      <c r="Q2196" s="56" t="n">
        <f aca="false">IF(OR(F2196&lt;&gt;0,AND(I2196&lt;&gt;"",E2196&lt;I2196)),1,0)</f>
        <v>0</v>
      </c>
      <c r="R2196" s="56" t="n">
        <f aca="false">IF(AND(D2196&gt;1,Q2196=0,ISNUMBER(O2196),ISNUMBER(P2196)),IF(Q2195=0,1,0),0)</f>
        <v>1</v>
      </c>
      <c r="S2196" s="56" t="n">
        <f aca="false">R2196*(B2196&gt;=Train_Start)*(B2196&lt;=Train_End)</f>
        <v>1</v>
      </c>
      <c r="T2196" s="84" t="n">
        <f aca="false">IF(AND(ISNUMBER(O2196),ISNUMBER(P2196)),Coef_A+Coef_B1*O2196+Coef_B2*P2196,"")</f>
        <v>19.9982702304728</v>
      </c>
      <c r="U2196" s="84" t="n">
        <f aca="false">IF(AND(R2196=1,ISNUMBER(T2196)),E2196-T2196,"")</f>
        <v>-0.798270230472831</v>
      </c>
      <c r="V2196" s="84" t="n">
        <f aca="false">IF(ISNUMBER(T2196),T2196,-99)</f>
        <v>19.9982702304728</v>
      </c>
      <c r="W2196" s="84" t="n">
        <f aca="false">IF(ISNUMBER(U2196),ABS(U2196),"")</f>
        <v>0.798270230472831</v>
      </c>
    </row>
    <row r="2197" customFormat="false" ht="15" hidden="false" customHeight="false" outlineLevel="0" collapsed="false">
      <c r="A2197" s="57" t="n">
        <v>34143</v>
      </c>
      <c r="B2197" s="56" t="n">
        <v>1993</v>
      </c>
      <c r="C2197" s="56" t="n">
        <v>6</v>
      </c>
      <c r="D2197" s="56" t="n">
        <v>54</v>
      </c>
      <c r="E2197" s="56" t="n">
        <v>21.8</v>
      </c>
      <c r="F2197" s="56" t="n">
        <v>0</v>
      </c>
      <c r="G2197" s="56" t="n">
        <v>11.9</v>
      </c>
      <c r="H2197" s="56" t="n">
        <v>0</v>
      </c>
      <c r="I2197" s="56" t="n">
        <v>15.6</v>
      </c>
      <c r="J2197" s="56" t="n">
        <v>0</v>
      </c>
      <c r="K2197" s="56" t="n">
        <v>1017.4</v>
      </c>
      <c r="L2197" s="56" t="n">
        <v>0</v>
      </c>
      <c r="M2197" s="56" t="n">
        <v>64</v>
      </c>
      <c r="N2197" s="56" t="n">
        <v>6.2</v>
      </c>
      <c r="O2197" s="56" t="n">
        <f aca="false">IF(D2197=1,"",E2196)</f>
        <v>19.2</v>
      </c>
      <c r="P2197" s="56" t="n">
        <f aca="false">IF(OR(D2197=1,K2196=""),"",K2196)</f>
        <v>1017.5</v>
      </c>
      <c r="Q2197" s="56" t="n">
        <f aca="false">IF(OR(F2197&lt;&gt;0,AND(I2197&lt;&gt;"",E2197&lt;I2197)),1,0)</f>
        <v>0</v>
      </c>
      <c r="R2197" s="56" t="n">
        <f aca="false">IF(AND(D2197&gt;1,Q2197=0,ISNUMBER(O2197),ISNUMBER(P2197)),IF(Q2196=0,1,0),0)</f>
        <v>1</v>
      </c>
      <c r="S2197" s="56" t="n">
        <f aca="false">R2197*(B2197&gt;=Train_Start)*(B2197&lt;=Train_End)</f>
        <v>1</v>
      </c>
      <c r="T2197" s="84" t="n">
        <f aca="false">IF(AND(ISNUMBER(O2197),ISNUMBER(P2197)),Coef_A+Coef_B1*O2197+Coef_B2*P2197,"")</f>
        <v>19.7371557184989</v>
      </c>
      <c r="U2197" s="84" t="n">
        <f aca="false">IF(AND(R2197=1,ISNUMBER(T2197)),E2197-T2197,"")</f>
        <v>2.06284428150107</v>
      </c>
      <c r="V2197" s="84" t="n">
        <f aca="false">IF(ISNUMBER(T2197),T2197,-99)</f>
        <v>19.7371557184989</v>
      </c>
      <c r="W2197" s="84" t="n">
        <f aca="false">IF(ISNUMBER(U2197),ABS(U2197),"")</f>
        <v>2.06284428150107</v>
      </c>
    </row>
    <row r="2198" customFormat="false" ht="15" hidden="false" customHeight="false" outlineLevel="0" collapsed="false">
      <c r="A2198" s="57" t="n">
        <v>34144</v>
      </c>
      <c r="B2198" s="56" t="n">
        <v>1993</v>
      </c>
      <c r="C2198" s="56" t="n">
        <v>6</v>
      </c>
      <c r="D2198" s="56" t="n">
        <v>55</v>
      </c>
      <c r="E2198" s="56" t="n">
        <v>21.7</v>
      </c>
      <c r="F2198" s="56" t="n">
        <v>0</v>
      </c>
      <c r="G2198" s="56" t="n">
        <v>10.1</v>
      </c>
      <c r="H2198" s="56" t="n">
        <v>0</v>
      </c>
      <c r="I2198" s="56" t="n">
        <v>16</v>
      </c>
      <c r="J2198" s="56" t="n">
        <v>0</v>
      </c>
      <c r="K2198" s="56" t="n">
        <v>1023.2</v>
      </c>
      <c r="L2198" s="56" t="n">
        <v>0</v>
      </c>
      <c r="M2198" s="56" t="n">
        <v>61</v>
      </c>
      <c r="N2198" s="56" t="n">
        <v>9.5</v>
      </c>
      <c r="O2198" s="56" t="n">
        <f aca="false">IF(D2198=1,"",E2197)</f>
        <v>21.8</v>
      </c>
      <c r="P2198" s="56" t="n">
        <f aca="false">IF(OR(D2198=1,K2197=""),"",K2197)</f>
        <v>1017.4</v>
      </c>
      <c r="Q2198" s="56" t="n">
        <f aca="false">IF(OR(F2198&lt;&gt;0,AND(I2198&lt;&gt;"",E2198&lt;I2198)),1,0)</f>
        <v>0</v>
      </c>
      <c r="R2198" s="56" t="n">
        <f aca="false">IF(AND(D2198&gt;1,Q2198=0,ISNUMBER(O2198),ISNUMBER(P2198)),IF(Q2197=0,1,0),0)</f>
        <v>1</v>
      </c>
      <c r="S2198" s="56" t="n">
        <f aca="false">R2198*(B2198&gt;=Train_Start)*(B2198&lt;=Train_End)</f>
        <v>1</v>
      </c>
      <c r="T2198" s="84" t="n">
        <f aca="false">IF(AND(ISNUMBER(O2198),ISNUMBER(P2198)),Coef_A+Coef_B1*O2198+Coef_B2*P2198,"")</f>
        <v>21.8643006309464</v>
      </c>
      <c r="U2198" s="84" t="n">
        <f aca="false">IF(AND(R2198=1,ISNUMBER(T2198)),E2198-T2198,"")</f>
        <v>-0.164300630946443</v>
      </c>
      <c r="V2198" s="84" t="n">
        <f aca="false">IF(ISNUMBER(T2198),T2198,-99)</f>
        <v>21.8643006309464</v>
      </c>
      <c r="W2198" s="84" t="n">
        <f aca="false">IF(ISNUMBER(U2198),ABS(U2198),"")</f>
        <v>0.164300630946443</v>
      </c>
    </row>
    <row r="2199" customFormat="false" ht="15" hidden="false" customHeight="false" outlineLevel="0" collapsed="false">
      <c r="A2199" s="57" t="n">
        <v>34145</v>
      </c>
      <c r="B2199" s="56" t="n">
        <v>1993</v>
      </c>
      <c r="C2199" s="56" t="n">
        <v>6</v>
      </c>
      <c r="D2199" s="56" t="n">
        <v>56</v>
      </c>
      <c r="E2199" s="56" t="n">
        <v>23.7</v>
      </c>
      <c r="F2199" s="56" t="n">
        <v>0</v>
      </c>
      <c r="G2199" s="56" t="n">
        <v>9.9</v>
      </c>
      <c r="H2199" s="56" t="n">
        <v>0</v>
      </c>
      <c r="I2199" s="56" t="n">
        <v>15.8</v>
      </c>
      <c r="J2199" s="56" t="n">
        <v>0</v>
      </c>
      <c r="K2199" s="56" t="n">
        <v>1024.9</v>
      </c>
      <c r="L2199" s="56" t="n">
        <v>0</v>
      </c>
      <c r="M2199" s="56" t="n">
        <v>58</v>
      </c>
      <c r="N2199" s="56" t="n">
        <v>12.1</v>
      </c>
      <c r="O2199" s="56" t="n">
        <f aca="false">IF(D2199=1,"",E2198)</f>
        <v>21.7</v>
      </c>
      <c r="P2199" s="56" t="n">
        <f aca="false">IF(OR(D2199=1,K2198=""),"",K2198)</f>
        <v>1023.2</v>
      </c>
      <c r="Q2199" s="56" t="n">
        <f aca="false">IF(OR(F2199&lt;&gt;0,AND(I2199&lt;&gt;"",E2199&lt;I2199)),1,0)</f>
        <v>0</v>
      </c>
      <c r="R2199" s="56" t="n">
        <f aca="false">IF(AND(D2199&gt;1,Q2199=0,ISNUMBER(O2199),ISNUMBER(P2199)),IF(Q2198=0,1,0),0)</f>
        <v>1</v>
      </c>
      <c r="S2199" s="56" t="n">
        <f aca="false">R2199*(B2199&gt;=Train_Start)*(B2199&lt;=Train_End)</f>
        <v>1</v>
      </c>
      <c r="T2199" s="84" t="n">
        <f aca="false">IF(AND(ISNUMBER(O2199),ISNUMBER(P2199)),Coef_A+Coef_B1*O2199+Coef_B2*P2199,"")</f>
        <v>21.9643121005193</v>
      </c>
      <c r="U2199" s="84" t="n">
        <f aca="false">IF(AND(R2199=1,ISNUMBER(T2199)),E2199-T2199,"")</f>
        <v>1.73568789948068</v>
      </c>
      <c r="V2199" s="84" t="n">
        <f aca="false">IF(ISNUMBER(T2199),T2199,-99)</f>
        <v>21.9643121005193</v>
      </c>
      <c r="W2199" s="84" t="n">
        <f aca="false">IF(ISNUMBER(U2199),ABS(U2199),"")</f>
        <v>1.73568789948068</v>
      </c>
    </row>
    <row r="2200" customFormat="false" ht="15" hidden="false" customHeight="false" outlineLevel="0" collapsed="false">
      <c r="A2200" s="57" t="n">
        <v>34146</v>
      </c>
      <c r="B2200" s="56" t="n">
        <v>1993</v>
      </c>
      <c r="C2200" s="56" t="n">
        <v>6</v>
      </c>
      <c r="D2200" s="56" t="n">
        <v>57</v>
      </c>
      <c r="E2200" s="56" t="n">
        <v>25</v>
      </c>
      <c r="F2200" s="56" t="n">
        <v>0</v>
      </c>
      <c r="G2200" s="56" t="n">
        <v>13.7</v>
      </c>
      <c r="H2200" s="56" t="n">
        <v>0</v>
      </c>
      <c r="I2200" s="56" t="n">
        <v>18.7</v>
      </c>
      <c r="J2200" s="56" t="n">
        <v>0</v>
      </c>
      <c r="K2200" s="56" t="n">
        <v>1021.2</v>
      </c>
      <c r="L2200" s="56" t="n">
        <v>0</v>
      </c>
      <c r="M2200" s="56" t="n">
        <v>71</v>
      </c>
      <c r="N2200" s="56" t="n">
        <v>2.6</v>
      </c>
      <c r="O2200" s="56" t="n">
        <f aca="false">IF(D2200=1,"",E2199)</f>
        <v>23.7</v>
      </c>
      <c r="P2200" s="56" t="n">
        <f aca="false">IF(OR(D2200=1,K2199=""),"",K2199)</f>
        <v>1024.9</v>
      </c>
      <c r="Q2200" s="56" t="n">
        <f aca="false">IF(OR(F2200&lt;&gt;0,AND(I2200&lt;&gt;"",E2200&lt;I2200)),1,0)</f>
        <v>0</v>
      </c>
      <c r="R2200" s="56" t="n">
        <f aca="false">IF(AND(D2200&gt;1,Q2200=0,ISNUMBER(O2200),ISNUMBER(P2200)),IF(Q2199=0,1,0),0)</f>
        <v>1</v>
      </c>
      <c r="S2200" s="56" t="n">
        <f aca="false">R2200*(B2200&gt;=Train_Start)*(B2200&lt;=Train_End)</f>
        <v>1</v>
      </c>
      <c r="T2200" s="84" t="n">
        <f aca="false">IF(AND(ISNUMBER(O2200),ISNUMBER(P2200)),Coef_A+Coef_B1*O2200+Coef_B2*P2200,"")</f>
        <v>23.6563193074824</v>
      </c>
      <c r="U2200" s="84" t="n">
        <f aca="false">IF(AND(R2200=1,ISNUMBER(T2200)),E2200-T2200,"")</f>
        <v>1.34368069251759</v>
      </c>
      <c r="V2200" s="84" t="n">
        <f aca="false">IF(ISNUMBER(T2200),T2200,-99)</f>
        <v>23.6563193074824</v>
      </c>
      <c r="W2200" s="84" t="n">
        <f aca="false">IF(ISNUMBER(U2200),ABS(U2200),"")</f>
        <v>1.34368069251759</v>
      </c>
    </row>
    <row r="2201" customFormat="false" ht="15" hidden="false" customHeight="false" outlineLevel="0" collapsed="false">
      <c r="A2201" s="57" t="n">
        <v>34147</v>
      </c>
      <c r="B2201" s="56" t="n">
        <v>1993</v>
      </c>
      <c r="C2201" s="56" t="n">
        <v>6</v>
      </c>
      <c r="D2201" s="56" t="n">
        <v>58</v>
      </c>
      <c r="E2201" s="56" t="n">
        <v>23.7</v>
      </c>
      <c r="F2201" s="56" t="n">
        <v>0</v>
      </c>
      <c r="G2201" s="56" t="n">
        <v>14.6</v>
      </c>
      <c r="H2201" s="56" t="n">
        <v>0</v>
      </c>
      <c r="I2201" s="56" t="n">
        <v>19.8</v>
      </c>
      <c r="J2201" s="56" t="n">
        <v>0</v>
      </c>
      <c r="K2201" s="56" t="n">
        <v>1021</v>
      </c>
      <c r="L2201" s="56" t="n">
        <v>0</v>
      </c>
      <c r="M2201" s="56" t="n">
        <v>62</v>
      </c>
      <c r="N2201" s="56" t="n">
        <v>14.9</v>
      </c>
      <c r="O2201" s="56" t="n">
        <f aca="false">IF(D2201=1,"",E2200)</f>
        <v>25</v>
      </c>
      <c r="P2201" s="56" t="n">
        <f aca="false">IF(OR(D2201=1,K2200=""),"",K2200)</f>
        <v>1021.2</v>
      </c>
      <c r="Q2201" s="56" t="n">
        <f aca="false">IF(OR(F2201&lt;&gt;0,AND(I2201&lt;&gt;"",E2201&lt;I2201)),1,0)</f>
        <v>0</v>
      </c>
      <c r="R2201" s="56" t="n">
        <f aca="false">IF(AND(D2201&gt;1,Q2201=0,ISNUMBER(O2201),ISNUMBER(P2201)),IF(Q2200=0,1,0),0)</f>
        <v>1</v>
      </c>
      <c r="S2201" s="56" t="n">
        <f aca="false">R2201*(B2201&gt;=Train_Start)*(B2201&lt;=Train_End)</f>
        <v>1</v>
      </c>
      <c r="T2201" s="84" t="n">
        <f aca="false">IF(AND(ISNUMBER(O2201),ISNUMBER(P2201)),Coef_A+Coef_B1*O2201+Coef_B2*P2201,"")</f>
        <v>24.6053916482921</v>
      </c>
      <c r="U2201" s="84" t="n">
        <f aca="false">IF(AND(R2201=1,ISNUMBER(T2201)),E2201-T2201,"")</f>
        <v>-0.905391648292106</v>
      </c>
      <c r="V2201" s="84" t="n">
        <f aca="false">IF(ISNUMBER(T2201),T2201,-99)</f>
        <v>24.6053916482921</v>
      </c>
      <c r="W2201" s="84" t="n">
        <f aca="false">IF(ISNUMBER(U2201),ABS(U2201),"")</f>
        <v>0.905391648292106</v>
      </c>
    </row>
    <row r="2202" customFormat="false" ht="15" hidden="false" customHeight="false" outlineLevel="0" collapsed="false">
      <c r="A2202" s="57" t="n">
        <v>34148</v>
      </c>
      <c r="B2202" s="56" t="n">
        <v>1993</v>
      </c>
      <c r="C2202" s="56" t="n">
        <v>6</v>
      </c>
      <c r="D2202" s="56" t="n">
        <v>59</v>
      </c>
      <c r="E2202" s="56" t="n">
        <v>25</v>
      </c>
      <c r="F2202" s="56" t="n">
        <v>0</v>
      </c>
      <c r="G2202" s="56" t="n">
        <v>12.9</v>
      </c>
      <c r="H2202" s="56" t="n">
        <v>0</v>
      </c>
      <c r="I2202" s="56" t="n">
        <v>18.3</v>
      </c>
      <c r="J2202" s="56" t="n">
        <v>0</v>
      </c>
      <c r="K2202" s="56" t="n">
        <v>1020.7</v>
      </c>
      <c r="L2202" s="56" t="n">
        <v>0</v>
      </c>
      <c r="M2202" s="56" t="n">
        <v>66</v>
      </c>
      <c r="N2202" s="56" t="n">
        <v>15.1</v>
      </c>
      <c r="O2202" s="56" t="n">
        <f aca="false">IF(D2202=1,"",E2201)</f>
        <v>23.7</v>
      </c>
      <c r="P2202" s="56" t="n">
        <f aca="false">IF(OR(D2202=1,K2201=""),"",K2201)</f>
        <v>1021</v>
      </c>
      <c r="Q2202" s="56" t="n">
        <f aca="false">IF(OR(F2202&lt;&gt;0,AND(I2202&lt;&gt;"",E2202&lt;I2202)),1,0)</f>
        <v>0</v>
      </c>
      <c r="R2202" s="56" t="n">
        <f aca="false">IF(AND(D2202&gt;1,Q2202=0,ISNUMBER(O2202),ISNUMBER(P2202)),IF(Q2201=0,1,0),0)</f>
        <v>1</v>
      </c>
      <c r="S2202" s="56" t="n">
        <f aca="false">R2202*(B2202&gt;=Train_Start)*(B2202&lt;=Train_End)</f>
        <v>1</v>
      </c>
      <c r="T2202" s="84" t="n">
        <f aca="false">IF(AND(ISNUMBER(O2202),ISNUMBER(P2202)),Coef_A+Coef_B1*O2202+Coef_B2*P2202,"")</f>
        <v>23.5339767184099</v>
      </c>
      <c r="U2202" s="84" t="n">
        <f aca="false">IF(AND(R2202=1,ISNUMBER(T2202)),E2202-T2202,"")</f>
        <v>1.46602328159015</v>
      </c>
      <c r="V2202" s="84" t="n">
        <f aca="false">IF(ISNUMBER(T2202),T2202,-99)</f>
        <v>23.5339767184099</v>
      </c>
      <c r="W2202" s="84" t="n">
        <f aca="false">IF(ISNUMBER(U2202),ABS(U2202),"")</f>
        <v>1.46602328159015</v>
      </c>
    </row>
    <row r="2203" customFormat="false" ht="15" hidden="false" customHeight="false" outlineLevel="0" collapsed="false">
      <c r="A2203" s="57" t="n">
        <v>34149</v>
      </c>
      <c r="B2203" s="56" t="n">
        <v>1993</v>
      </c>
      <c r="C2203" s="56" t="n">
        <v>6</v>
      </c>
      <c r="D2203" s="56" t="n">
        <v>60</v>
      </c>
      <c r="E2203" s="56" t="n">
        <v>27.7</v>
      </c>
      <c r="F2203" s="56" t="n">
        <v>0</v>
      </c>
      <c r="G2203" s="56" t="n">
        <v>12.2</v>
      </c>
      <c r="H2203" s="56" t="n">
        <v>0</v>
      </c>
      <c r="I2203" s="56" t="n">
        <v>18.6</v>
      </c>
      <c r="J2203" s="56" t="n">
        <v>0</v>
      </c>
      <c r="K2203" s="56" t="n">
        <v>1016.4</v>
      </c>
      <c r="L2203" s="56" t="n">
        <v>0</v>
      </c>
      <c r="M2203" s="56" t="n">
        <v>62</v>
      </c>
      <c r="N2203" s="56" t="n">
        <v>14</v>
      </c>
      <c r="O2203" s="56" t="n">
        <f aca="false">IF(D2203=1,"",E2202)</f>
        <v>25</v>
      </c>
      <c r="P2203" s="56" t="n">
        <f aca="false">IF(OR(D2203=1,K2202=""),"",K2202)</f>
        <v>1020.7</v>
      </c>
      <c r="Q2203" s="56" t="n">
        <f aca="false">IF(OR(F2203&lt;&gt;0,AND(I2203&lt;&gt;"",E2203&lt;I2203)),1,0)</f>
        <v>0</v>
      </c>
      <c r="R2203" s="56" t="n">
        <f aca="false">IF(AND(D2203&gt;1,Q2203=0,ISNUMBER(O2203),ISNUMBER(P2203)),IF(Q2202=0,1,0),0)</f>
        <v>1</v>
      </c>
      <c r="S2203" s="56" t="n">
        <f aca="false">R2203*(B2203&gt;=Train_Start)*(B2203&lt;=Train_End)</f>
        <v>1</v>
      </c>
      <c r="T2203" s="84" t="n">
        <f aca="false">IF(AND(ISNUMBER(O2203),ISNUMBER(P2203)),Coef_A+Coef_B1*O2203+Coef_B2*P2203,"")</f>
        <v>24.5897067009751</v>
      </c>
      <c r="U2203" s="84" t="n">
        <f aca="false">IF(AND(R2203=1,ISNUMBER(T2203)),E2203-T2203,"")</f>
        <v>3.11029329902489</v>
      </c>
      <c r="V2203" s="84" t="n">
        <f aca="false">IF(ISNUMBER(T2203),T2203,-99)</f>
        <v>24.5897067009751</v>
      </c>
      <c r="W2203" s="84" t="n">
        <f aca="false">IF(ISNUMBER(U2203),ABS(U2203),"")</f>
        <v>3.11029329902489</v>
      </c>
    </row>
    <row r="2204" customFormat="false" ht="15" hidden="false" customHeight="false" outlineLevel="0" collapsed="false">
      <c r="A2204" s="57" t="n">
        <v>34150</v>
      </c>
      <c r="B2204" s="56" t="n">
        <v>1993</v>
      </c>
      <c r="C2204" s="56" t="n">
        <v>6</v>
      </c>
      <c r="D2204" s="56" t="n">
        <v>61</v>
      </c>
      <c r="E2204" s="56" t="n">
        <v>23.9</v>
      </c>
      <c r="F2204" s="56" t="n">
        <v>0</v>
      </c>
      <c r="G2204" s="56" t="n">
        <v>12.8</v>
      </c>
      <c r="H2204" s="56" t="n">
        <v>0</v>
      </c>
      <c r="I2204" s="56" t="n">
        <v>20.2</v>
      </c>
      <c r="J2204" s="56" t="n">
        <v>0</v>
      </c>
      <c r="K2204" s="56" t="n">
        <v>1016.1</v>
      </c>
      <c r="L2204" s="56" t="n">
        <v>0</v>
      </c>
      <c r="M2204" s="56" t="n">
        <v>60</v>
      </c>
      <c r="N2204" s="56" t="n">
        <v>12.4</v>
      </c>
      <c r="O2204" s="56" t="n">
        <f aca="false">IF(D2204=1,"",E2203)</f>
        <v>27.7</v>
      </c>
      <c r="P2204" s="56" t="n">
        <f aca="false">IF(OR(D2204=1,K2203=""),"",K2203)</f>
        <v>1016.4</v>
      </c>
      <c r="Q2204" s="56" t="n">
        <f aca="false">IF(OR(F2204&lt;&gt;0,AND(I2204&lt;&gt;"",E2204&lt;I2204)),1,0)</f>
        <v>0</v>
      </c>
      <c r="R2204" s="56" t="n">
        <f aca="false">IF(AND(D2204&gt;1,Q2204=0,ISNUMBER(O2204),ISNUMBER(P2204)),IF(Q2203=0,1,0),0)</f>
        <v>1</v>
      </c>
      <c r="S2204" s="56" t="n">
        <f aca="false">R2204*(B2204&gt;=Train_Start)*(B2204&lt;=Train_End)</f>
        <v>1</v>
      </c>
      <c r="T2204" s="84" t="n">
        <f aca="false">IF(AND(ISNUMBER(O2204),ISNUMBER(P2204)),Coef_A+Coef_B1*O2204+Coef_B2*P2204,"")</f>
        <v>26.6670319752641</v>
      </c>
      <c r="U2204" s="84" t="n">
        <f aca="false">IF(AND(R2204=1,ISNUMBER(T2204)),E2204-T2204,"")</f>
        <v>-2.76703197526413</v>
      </c>
      <c r="V2204" s="84" t="n">
        <f aca="false">IF(ISNUMBER(T2204),T2204,-99)</f>
        <v>26.6670319752641</v>
      </c>
      <c r="W2204" s="84" t="n">
        <f aca="false">IF(ISNUMBER(U2204),ABS(U2204),"")</f>
        <v>2.76703197526413</v>
      </c>
    </row>
    <row r="2205" customFormat="false" ht="15" hidden="false" customHeight="false" outlineLevel="0" collapsed="false">
      <c r="A2205" s="57" t="n">
        <v>34151</v>
      </c>
      <c r="B2205" s="56" t="n">
        <v>1993</v>
      </c>
      <c r="C2205" s="56" t="n">
        <v>7</v>
      </c>
      <c r="D2205" s="56" t="n">
        <v>62</v>
      </c>
      <c r="E2205" s="56" t="n">
        <v>26.1</v>
      </c>
      <c r="F2205" s="56" t="n">
        <v>0</v>
      </c>
      <c r="G2205" s="56" t="n">
        <v>12.8</v>
      </c>
      <c r="H2205" s="56" t="n">
        <v>0</v>
      </c>
      <c r="I2205" s="56" t="n">
        <v>18.4</v>
      </c>
      <c r="J2205" s="56" t="n">
        <v>0</v>
      </c>
      <c r="K2205" s="56" t="n">
        <v>1019.1</v>
      </c>
      <c r="L2205" s="56" t="n">
        <v>0</v>
      </c>
      <c r="M2205" s="56" t="n">
        <v>65</v>
      </c>
      <c r="N2205" s="56" t="n">
        <v>12.5</v>
      </c>
      <c r="O2205" s="56" t="n">
        <f aca="false">IF(D2205=1,"",E2204)</f>
        <v>23.9</v>
      </c>
      <c r="P2205" s="56" t="n">
        <f aca="false">IF(OR(D2205=1,K2204=""),"",K2204)</f>
        <v>1016.1</v>
      </c>
      <c r="Q2205" s="56" t="n">
        <f aca="false">IF(OR(F2205&lt;&gt;0,AND(I2205&lt;&gt;"",E2205&lt;I2205)),1,0)</f>
        <v>0</v>
      </c>
      <c r="R2205" s="56" t="n">
        <f aca="false">IF(AND(D2205&gt;1,Q2205=0,ISNUMBER(O2205),ISNUMBER(P2205)),IF(Q2204=0,1,0),0)</f>
        <v>1</v>
      </c>
      <c r="S2205" s="56" t="n">
        <f aca="false">R2205*(B2205&gt;=Train_Start)*(B2205&lt;=Train_End)</f>
        <v>1</v>
      </c>
      <c r="T2205" s="84" t="n">
        <f aca="false">IF(AND(ISNUMBER(O2205),ISNUMBER(P2205)),Coef_A+Coef_B1*O2205+Coef_B2*P2205,"")</f>
        <v>23.5441320733118</v>
      </c>
      <c r="U2205" s="84" t="n">
        <f aca="false">IF(AND(R2205=1,ISNUMBER(T2205)),E2205-T2205,"")</f>
        <v>2.55586792668817</v>
      </c>
      <c r="V2205" s="84" t="n">
        <f aca="false">IF(ISNUMBER(T2205),T2205,-99)</f>
        <v>23.5441320733118</v>
      </c>
      <c r="W2205" s="84" t="n">
        <f aca="false">IF(ISNUMBER(U2205),ABS(U2205),"")</f>
        <v>2.55586792668817</v>
      </c>
    </row>
    <row r="2206" customFormat="false" ht="15" hidden="false" customHeight="false" outlineLevel="0" collapsed="false">
      <c r="A2206" s="57" t="n">
        <v>34152</v>
      </c>
      <c r="B2206" s="56" t="n">
        <v>1993</v>
      </c>
      <c r="C2206" s="56" t="n">
        <v>7</v>
      </c>
      <c r="D2206" s="56" t="n">
        <v>63</v>
      </c>
      <c r="E2206" s="56" t="n">
        <v>27.6</v>
      </c>
      <c r="F2206" s="56" t="n">
        <v>0</v>
      </c>
      <c r="G2206" s="56" t="n">
        <v>14.3</v>
      </c>
      <c r="H2206" s="56" t="n">
        <v>0</v>
      </c>
      <c r="I2206" s="56" t="n">
        <v>20.2</v>
      </c>
      <c r="J2206" s="56" t="n">
        <v>0</v>
      </c>
      <c r="K2206" s="56" t="n">
        <v>1019.6</v>
      </c>
      <c r="L2206" s="56" t="n">
        <v>0</v>
      </c>
      <c r="M2206" s="56" t="n">
        <v>64</v>
      </c>
      <c r="N2206" s="56" t="n">
        <v>8.8</v>
      </c>
      <c r="O2206" s="56" t="n">
        <f aca="false">IF(D2206=1,"",E2205)</f>
        <v>26.1</v>
      </c>
      <c r="P2206" s="56" t="n">
        <f aca="false">IF(OR(D2206=1,K2205=""),"",K2205)</f>
        <v>1019.1</v>
      </c>
      <c r="Q2206" s="56" t="n">
        <f aca="false">IF(OR(F2206&lt;&gt;0,AND(I2206&lt;&gt;"",E2206&lt;I2206)),1,0)</f>
        <v>0</v>
      </c>
      <c r="R2206" s="56" t="n">
        <f aca="false">IF(AND(D2206&gt;1,Q2206=0,ISNUMBER(O2206),ISNUMBER(P2206)),IF(Q2205=0,1,0),0)</f>
        <v>1</v>
      </c>
      <c r="S2206" s="56" t="n">
        <f aca="false">R2206*(B2206&gt;=Train_Start)*(B2206&lt;=Train_End)</f>
        <v>1</v>
      </c>
      <c r="T2206" s="84" t="n">
        <f aca="false">IF(AND(ISNUMBER(O2206),ISNUMBER(P2206)),Coef_A+Coef_B1*O2206+Coef_B2*P2206,"")</f>
        <v>25.4407879819077</v>
      </c>
      <c r="U2206" s="84" t="n">
        <f aca="false">IF(AND(R2206=1,ISNUMBER(T2206)),E2206-T2206,"")</f>
        <v>2.15921201809235</v>
      </c>
      <c r="V2206" s="84" t="n">
        <f aca="false">IF(ISNUMBER(T2206),T2206,-99)</f>
        <v>25.4407879819077</v>
      </c>
      <c r="W2206" s="84" t="n">
        <f aca="false">IF(ISNUMBER(U2206),ABS(U2206),"")</f>
        <v>2.15921201809235</v>
      </c>
    </row>
    <row r="2207" customFormat="false" ht="15" hidden="false" customHeight="false" outlineLevel="0" collapsed="false">
      <c r="A2207" s="57" t="n">
        <v>34153</v>
      </c>
      <c r="B2207" s="56" t="n">
        <v>1993</v>
      </c>
      <c r="C2207" s="56" t="n">
        <v>7</v>
      </c>
      <c r="D2207" s="56" t="n">
        <v>64</v>
      </c>
      <c r="E2207" s="56" t="n">
        <v>28.1</v>
      </c>
      <c r="F2207" s="56" t="n">
        <v>0</v>
      </c>
      <c r="G2207" s="56" t="n">
        <v>14.5</v>
      </c>
      <c r="H2207" s="56" t="n">
        <v>0</v>
      </c>
      <c r="I2207" s="56" t="n">
        <v>21</v>
      </c>
      <c r="J2207" s="56" t="n">
        <v>0</v>
      </c>
      <c r="K2207" s="56" t="n">
        <v>1020.9</v>
      </c>
      <c r="L2207" s="56" t="n">
        <v>0</v>
      </c>
      <c r="M2207" s="56" t="n">
        <v>67</v>
      </c>
      <c r="N2207" s="56" t="n">
        <v>10.6</v>
      </c>
      <c r="O2207" s="56" t="n">
        <f aca="false">IF(D2207=1,"",E2206)</f>
        <v>27.6</v>
      </c>
      <c r="P2207" s="56" t="n">
        <f aca="false">IF(OR(D2207=1,K2206=""),"",K2206)</f>
        <v>1019.6</v>
      </c>
      <c r="Q2207" s="56" t="n">
        <f aca="false">IF(OR(F2207&lt;&gt;0,AND(I2207&lt;&gt;"",E2207&lt;I2207)),1,0)</f>
        <v>0</v>
      </c>
      <c r="R2207" s="56" t="n">
        <f aca="false">IF(AND(D2207&gt;1,Q2207=0,ISNUMBER(O2207),ISNUMBER(P2207)),IF(Q2206=0,1,0),0)</f>
        <v>1</v>
      </c>
      <c r="S2207" s="56" t="n">
        <f aca="false">R2207*(B2207&gt;=Train_Start)*(B2207&lt;=Train_End)</f>
        <v>1</v>
      </c>
      <c r="T2207" s="84" t="n">
        <f aca="false">IF(AND(ISNUMBER(O2207),ISNUMBER(P2207)),Coef_A+Coef_B1*O2207+Coef_B2*P2207,"")</f>
        <v>26.6854817187886</v>
      </c>
      <c r="U2207" s="84" t="n">
        <f aca="false">IF(AND(R2207=1,ISNUMBER(T2207)),E2207-T2207,"")</f>
        <v>1.41451828121137</v>
      </c>
      <c r="V2207" s="84" t="n">
        <f aca="false">IF(ISNUMBER(T2207),T2207,-99)</f>
        <v>26.6854817187886</v>
      </c>
      <c r="W2207" s="84" t="n">
        <f aca="false">IF(ISNUMBER(U2207),ABS(U2207),"")</f>
        <v>1.41451828121137</v>
      </c>
    </row>
    <row r="2208" customFormat="false" ht="15" hidden="false" customHeight="false" outlineLevel="0" collapsed="false">
      <c r="A2208" s="57" t="n">
        <v>34154</v>
      </c>
      <c r="B2208" s="56" t="n">
        <v>1993</v>
      </c>
      <c r="C2208" s="56" t="n">
        <v>7</v>
      </c>
      <c r="D2208" s="56" t="n">
        <v>65</v>
      </c>
      <c r="E2208" s="56" t="n">
        <v>19.5</v>
      </c>
      <c r="F2208" s="56" t="n">
        <v>1</v>
      </c>
      <c r="G2208" s="56" t="n">
        <v>15.3</v>
      </c>
      <c r="H2208" s="56" t="n">
        <v>0</v>
      </c>
      <c r="I2208" s="56" t="n">
        <v>21.7</v>
      </c>
      <c r="J2208" s="56" t="n">
        <v>1</v>
      </c>
      <c r="K2208" s="56" t="n">
        <v>1023.2</v>
      </c>
      <c r="L2208" s="56" t="n">
        <v>0</v>
      </c>
      <c r="M2208" s="56" t="n">
        <v>66</v>
      </c>
      <c r="N2208" s="56" t="n">
        <v>11.1</v>
      </c>
      <c r="O2208" s="56" t="n">
        <f aca="false">IF(D2208=1,"",E2207)</f>
        <v>28.1</v>
      </c>
      <c r="P2208" s="56" t="n">
        <f aca="false">IF(OR(D2208=1,K2207=""),"",K2207)</f>
        <v>1020.9</v>
      </c>
      <c r="Q2208" s="56" t="n">
        <f aca="false">IF(OR(F2208&lt;&gt;0,AND(I2208&lt;&gt;"",E2208&lt;I2208)),1,0)</f>
        <v>1</v>
      </c>
      <c r="R2208" s="56" t="n">
        <f aca="false">IF(AND(D2208&gt;1,Q2208=0,ISNUMBER(O2208),ISNUMBER(P2208)),IF(Q2207=0,1,0),0)</f>
        <v>0</v>
      </c>
      <c r="S2208" s="56" t="n">
        <f aca="false">R2208*(B2208&gt;=Train_Start)*(B2208&lt;=Train_End)</f>
        <v>0</v>
      </c>
      <c r="T2208" s="84" t="n">
        <f aca="false">IF(AND(ISNUMBER(O2208),ISNUMBER(P2208)),Coef_A+Coef_B1*O2208+Coef_B2*P2208,"")</f>
        <v>27.1359321783341</v>
      </c>
      <c r="U2208" s="84" t="str">
        <f aca="false">IF(AND(R2208=1,ISNUMBER(T2208)),E2208-T2208,"")</f>
        <v/>
      </c>
      <c r="V2208" s="84" t="n">
        <f aca="false">IF(ISNUMBER(T2208),T2208,-99)</f>
        <v>27.1359321783341</v>
      </c>
      <c r="W2208" s="84" t="str">
        <f aca="false">IF(ISNUMBER(U2208),ABS(U2208),"")</f>
        <v/>
      </c>
    </row>
    <row r="2209" customFormat="false" ht="15" hidden="false" customHeight="false" outlineLevel="0" collapsed="false">
      <c r="A2209" s="57" t="n">
        <v>34155</v>
      </c>
      <c r="B2209" s="56" t="n">
        <v>1993</v>
      </c>
      <c r="C2209" s="56" t="n">
        <v>7</v>
      </c>
      <c r="D2209" s="56" t="n">
        <v>66</v>
      </c>
      <c r="E2209" s="56" t="n">
        <v>24.1</v>
      </c>
      <c r="F2209" s="56" t="n">
        <v>0</v>
      </c>
      <c r="G2209" s="56" t="n">
        <v>14.2</v>
      </c>
      <c r="H2209" s="56" t="n">
        <v>0</v>
      </c>
      <c r="I2209" s="56" t="n">
        <v>16.8</v>
      </c>
      <c r="J2209" s="56" t="n">
        <v>0</v>
      </c>
      <c r="K2209" s="56" t="n">
        <v>1026.4</v>
      </c>
      <c r="L2209" s="56" t="n">
        <v>0</v>
      </c>
      <c r="M2209" s="56" t="n">
        <v>55</v>
      </c>
      <c r="N2209" s="56" t="n">
        <v>8.2</v>
      </c>
      <c r="O2209" s="56" t="n">
        <f aca="false">IF(D2209=1,"",E2208)</f>
        <v>19.5</v>
      </c>
      <c r="P2209" s="56" t="n">
        <f aca="false">IF(OR(D2209=1,K2208=""),"",K2208)</f>
        <v>1023.2</v>
      </c>
      <c r="Q2209" s="56" t="n">
        <f aca="false">IF(OR(F2209&lt;&gt;0,AND(I2209&lt;&gt;"",E2209&lt;I2209)),1,0)</f>
        <v>0</v>
      </c>
      <c r="R2209" s="56" t="n">
        <f aca="false">IF(AND(D2209&gt;1,Q2209=0,ISNUMBER(O2209),ISNUMBER(P2209)),IF(Q2208=0,1,0),0)</f>
        <v>0</v>
      </c>
      <c r="S2209" s="56" t="n">
        <f aca="false">R2209*(B2209&gt;=Train_Start)*(B2209&lt;=Train_End)</f>
        <v>0</v>
      </c>
      <c r="T2209" s="84" t="n">
        <f aca="false">IF(AND(ISNUMBER(O2209),ISNUMBER(P2209)),Coef_A+Coef_B1*O2209+Coef_B2*P2209,"")</f>
        <v>20.1617658758255</v>
      </c>
      <c r="U2209" s="84" t="str">
        <f aca="false">IF(AND(R2209=1,ISNUMBER(T2209)),E2209-T2209,"")</f>
        <v/>
      </c>
      <c r="V2209" s="84" t="n">
        <f aca="false">IF(ISNUMBER(T2209),T2209,-99)</f>
        <v>20.1617658758255</v>
      </c>
      <c r="W2209" s="84" t="str">
        <f aca="false">IF(ISNUMBER(U2209),ABS(U2209),"")</f>
        <v/>
      </c>
    </row>
    <row r="2210" customFormat="false" ht="15" hidden="false" customHeight="false" outlineLevel="0" collapsed="false">
      <c r="A2210" s="57" t="n">
        <v>34156</v>
      </c>
      <c r="B2210" s="56" t="n">
        <v>1993</v>
      </c>
      <c r="C2210" s="56" t="n">
        <v>7</v>
      </c>
      <c r="D2210" s="56" t="n">
        <v>67</v>
      </c>
      <c r="E2210" s="56" t="n">
        <v>23</v>
      </c>
      <c r="F2210" s="56" t="n">
        <v>0</v>
      </c>
      <c r="G2210" s="56" t="n">
        <v>10.1</v>
      </c>
      <c r="H2210" s="56" t="n">
        <v>0</v>
      </c>
      <c r="I2210" s="56" t="n">
        <v>17.1</v>
      </c>
      <c r="J2210" s="56" t="n">
        <v>0</v>
      </c>
      <c r="K2210" s="56" t="n">
        <v>1030.3</v>
      </c>
      <c r="L2210" s="56" t="n">
        <v>0</v>
      </c>
      <c r="M2210" s="56" t="n">
        <v>59</v>
      </c>
      <c r="N2210" s="56" t="n">
        <v>13.9</v>
      </c>
      <c r="O2210" s="56" t="n">
        <f aca="false">IF(D2210=1,"",E2209)</f>
        <v>24.1</v>
      </c>
      <c r="P2210" s="56" t="n">
        <f aca="false">IF(OR(D2210=1,K2209=""),"",K2209)</f>
        <v>1026.4</v>
      </c>
      <c r="Q2210" s="56" t="n">
        <f aca="false">IF(OR(F2210&lt;&gt;0,AND(I2210&lt;&gt;"",E2210&lt;I2210)),1,0)</f>
        <v>0</v>
      </c>
      <c r="R2210" s="56" t="n">
        <f aca="false">IF(AND(D2210&gt;1,Q2210=0,ISNUMBER(O2210),ISNUMBER(P2210)),IF(Q2209=0,1,0),0)</f>
        <v>1</v>
      </c>
      <c r="S2210" s="56" t="n">
        <f aca="false">R2210*(B2210&gt;=Train_Start)*(B2210&lt;=Train_End)</f>
        <v>1</v>
      </c>
      <c r="T2210" s="84" t="n">
        <f aca="false">IF(AND(ISNUMBER(O2210),ISNUMBER(P2210)),Coef_A+Coef_B1*O2210+Coef_B2*P2210,"")</f>
        <v>24.0311098266505</v>
      </c>
      <c r="U2210" s="84" t="n">
        <f aca="false">IF(AND(R2210=1,ISNUMBER(T2210)),E2210-T2210,"")</f>
        <v>-1.03110982665046</v>
      </c>
      <c r="V2210" s="84" t="n">
        <f aca="false">IF(ISNUMBER(T2210),T2210,-99)</f>
        <v>24.0311098266505</v>
      </c>
      <c r="W2210" s="84" t="n">
        <f aca="false">IF(ISNUMBER(U2210),ABS(U2210),"")</f>
        <v>1.03110982665046</v>
      </c>
    </row>
    <row r="2211" customFormat="false" ht="15" hidden="false" customHeight="false" outlineLevel="0" collapsed="false">
      <c r="A2211" s="57" t="n">
        <v>34157</v>
      </c>
      <c r="B2211" s="56" t="n">
        <v>1993</v>
      </c>
      <c r="C2211" s="56" t="n">
        <v>7</v>
      </c>
      <c r="D2211" s="56" t="n">
        <v>68</v>
      </c>
      <c r="E2211" s="56" t="n">
        <v>23</v>
      </c>
      <c r="F2211" s="56" t="n">
        <v>0</v>
      </c>
      <c r="G2211" s="56" t="n">
        <v>10</v>
      </c>
      <c r="H2211" s="56" t="n">
        <v>0</v>
      </c>
      <c r="I2211" s="56" t="n">
        <v>16.5</v>
      </c>
      <c r="J2211" s="56" t="n">
        <v>0</v>
      </c>
      <c r="K2211" s="56" t="n">
        <v>1026.8</v>
      </c>
      <c r="L2211" s="56" t="n">
        <v>0</v>
      </c>
      <c r="M2211" s="56" t="n">
        <v>60</v>
      </c>
      <c r="N2211" s="56" t="n">
        <v>13</v>
      </c>
      <c r="O2211" s="56" t="n">
        <f aca="false">IF(D2211=1,"",E2210)</f>
        <v>23</v>
      </c>
      <c r="P2211" s="56" t="n">
        <f aca="false">IF(OR(D2211=1,K2210=""),"",K2210)</f>
        <v>1030.3</v>
      </c>
      <c r="Q2211" s="56" t="n">
        <f aca="false">IF(OR(F2211&lt;&gt;0,AND(I2211&lt;&gt;"",E2211&lt;I2211)),1,0)</f>
        <v>0</v>
      </c>
      <c r="R2211" s="56" t="n">
        <f aca="false">IF(AND(D2211&gt;1,Q2211=0,ISNUMBER(O2211),ISNUMBER(P2211)),IF(Q2210=0,1,0),0)</f>
        <v>1</v>
      </c>
      <c r="S2211" s="56" t="n">
        <f aca="false">R2211*(B2211&gt;=Train_Start)*(B2211&lt;=Train_End)</f>
        <v>1</v>
      </c>
      <c r="T2211" s="84" t="n">
        <f aca="false">IF(AND(ISNUMBER(O2211),ISNUMBER(P2211)),Coef_A+Coef_B1*O2211+Coef_B2*P2211,"")</f>
        <v>23.2521793033761</v>
      </c>
      <c r="U2211" s="84" t="n">
        <f aca="false">IF(AND(R2211=1,ISNUMBER(T2211)),E2211-T2211,"")</f>
        <v>-0.252179303376092</v>
      </c>
      <c r="V2211" s="84" t="n">
        <f aca="false">IF(ISNUMBER(T2211),T2211,-99)</f>
        <v>23.2521793033761</v>
      </c>
      <c r="W2211" s="84" t="n">
        <f aca="false">IF(ISNUMBER(U2211),ABS(U2211),"")</f>
        <v>0.252179303376092</v>
      </c>
    </row>
    <row r="2212" customFormat="false" ht="15" hidden="false" customHeight="false" outlineLevel="0" collapsed="false">
      <c r="A2212" s="57" t="n">
        <v>34158</v>
      </c>
      <c r="B2212" s="56" t="n">
        <v>1993</v>
      </c>
      <c r="C2212" s="56" t="n">
        <v>7</v>
      </c>
      <c r="D2212" s="56" t="n">
        <v>69</v>
      </c>
      <c r="E2212" s="56" t="n">
        <v>18.5</v>
      </c>
      <c r="F2212" s="56" t="n">
        <v>0</v>
      </c>
      <c r="G2212" s="56" t="n">
        <v>13.4</v>
      </c>
      <c r="H2212" s="56" t="n">
        <v>0</v>
      </c>
      <c r="I2212" s="56" t="n">
        <v>18.2</v>
      </c>
      <c r="J2212" s="56" t="n">
        <v>0</v>
      </c>
      <c r="K2212" s="56" t="n">
        <v>1018.4</v>
      </c>
      <c r="L2212" s="56" t="n">
        <v>0</v>
      </c>
      <c r="M2212" s="56" t="n">
        <v>64</v>
      </c>
      <c r="N2212" s="56" t="n">
        <v>5.5</v>
      </c>
      <c r="O2212" s="56" t="n">
        <f aca="false">IF(D2212=1,"",E2211)</f>
        <v>23</v>
      </c>
      <c r="P2212" s="56" t="n">
        <f aca="false">IF(OR(D2212=1,K2211=""),"",K2211)</f>
        <v>1026.8</v>
      </c>
      <c r="Q2212" s="56" t="n">
        <f aca="false">IF(OR(F2212&lt;&gt;0,AND(I2212&lt;&gt;"",E2212&lt;I2212)),1,0)</f>
        <v>0</v>
      </c>
      <c r="R2212" s="56" t="n">
        <f aca="false">IF(AND(D2212&gt;1,Q2212=0,ISNUMBER(O2212),ISNUMBER(P2212)),IF(Q2211=0,1,0),0)</f>
        <v>1</v>
      </c>
      <c r="S2212" s="56" t="n">
        <f aca="false">R2212*(B2212&gt;=Train_Start)*(B2212&lt;=Train_End)</f>
        <v>1</v>
      </c>
      <c r="T2212" s="84" t="n">
        <f aca="false">IF(AND(ISNUMBER(O2212),ISNUMBER(P2212)),Coef_A+Coef_B1*O2212+Coef_B2*P2212,"")</f>
        <v>23.1423846721571</v>
      </c>
      <c r="U2212" s="84" t="n">
        <f aca="false">IF(AND(R2212=1,ISNUMBER(T2212)),E2212-T2212,"")</f>
        <v>-4.64238467215713</v>
      </c>
      <c r="V2212" s="84" t="n">
        <f aca="false">IF(ISNUMBER(T2212),T2212,-99)</f>
        <v>23.1423846721571</v>
      </c>
      <c r="W2212" s="84" t="n">
        <f aca="false">IF(ISNUMBER(U2212),ABS(U2212),"")</f>
        <v>4.64238467215713</v>
      </c>
    </row>
    <row r="2213" customFormat="false" ht="15" hidden="false" customHeight="false" outlineLevel="0" collapsed="false">
      <c r="A2213" s="57" t="n">
        <v>34159</v>
      </c>
      <c r="B2213" s="56" t="n">
        <v>1993</v>
      </c>
      <c r="C2213" s="56" t="n">
        <v>7</v>
      </c>
      <c r="D2213" s="56" t="n">
        <v>70</v>
      </c>
      <c r="E2213" s="56" t="n">
        <v>17.3</v>
      </c>
      <c r="F2213" s="56" t="n">
        <v>0</v>
      </c>
      <c r="G2213" s="56" t="n">
        <v>15.2</v>
      </c>
      <c r="H2213" s="56" t="n">
        <v>0</v>
      </c>
      <c r="I2213" s="56" t="n">
        <v>16.8</v>
      </c>
      <c r="J2213" s="56" t="n">
        <v>0</v>
      </c>
      <c r="K2213" s="56" t="n">
        <v>1006.5</v>
      </c>
      <c r="L2213" s="56" t="n">
        <v>0</v>
      </c>
      <c r="M2213" s="56" t="n">
        <v>81</v>
      </c>
      <c r="N2213" s="56" t="n">
        <v>1</v>
      </c>
      <c r="O2213" s="56" t="n">
        <f aca="false">IF(D2213=1,"",E2212)</f>
        <v>18.5</v>
      </c>
      <c r="P2213" s="56" t="n">
        <f aca="false">IF(OR(D2213=1,K2212=""),"",K2212)</f>
        <v>1018.4</v>
      </c>
      <c r="Q2213" s="56" t="n">
        <f aca="false">IF(OR(F2213&lt;&gt;0,AND(I2213&lt;&gt;"",E2213&lt;I2213)),1,0)</f>
        <v>0</v>
      </c>
      <c r="R2213" s="56" t="n">
        <f aca="false">IF(AND(D2213&gt;1,Q2213=0,ISNUMBER(O2213),ISNUMBER(P2213)),IF(Q2212=0,1,0),0)</f>
        <v>1</v>
      </c>
      <c r="S2213" s="56" t="n">
        <f aca="false">R2213*(B2213&gt;=Train_Start)*(B2213&lt;=Train_End)</f>
        <v>1</v>
      </c>
      <c r="T2213" s="84" t="n">
        <f aca="false">IF(AND(ISNUMBER(O2213),ISNUMBER(P2213)),Coef_A+Coef_B1*O2213+Coef_B2*P2213,"")</f>
        <v>19.1918511885397</v>
      </c>
      <c r="U2213" s="84" t="n">
        <f aca="false">IF(AND(R2213=1,ISNUMBER(T2213)),E2213-T2213,"")</f>
        <v>-1.89185118853966</v>
      </c>
      <c r="V2213" s="84" t="n">
        <f aca="false">IF(ISNUMBER(T2213),T2213,-99)</f>
        <v>19.1918511885397</v>
      </c>
      <c r="W2213" s="84" t="n">
        <f aca="false">IF(ISNUMBER(U2213),ABS(U2213),"")</f>
        <v>1.89185118853966</v>
      </c>
    </row>
    <row r="2214" customFormat="false" ht="15" hidden="false" customHeight="false" outlineLevel="0" collapsed="false">
      <c r="A2214" s="57" t="n">
        <v>34160</v>
      </c>
      <c r="B2214" s="56" t="n">
        <v>1993</v>
      </c>
      <c r="C2214" s="56" t="n">
        <v>7</v>
      </c>
      <c r="D2214" s="56" t="n">
        <v>71</v>
      </c>
      <c r="E2214" s="56" t="n">
        <v>18</v>
      </c>
      <c r="F2214" s="56" t="n">
        <v>0</v>
      </c>
      <c r="G2214" s="56" t="n">
        <v>6.7</v>
      </c>
      <c r="H2214" s="56" t="n">
        <v>0</v>
      </c>
      <c r="I2214" s="56" t="n">
        <v>12</v>
      </c>
      <c r="J2214" s="56" t="n">
        <v>0</v>
      </c>
      <c r="K2214" s="56" t="n">
        <v>1007.4</v>
      </c>
      <c r="L2214" s="56" t="n">
        <v>0</v>
      </c>
      <c r="M2214" s="56" t="n">
        <v>74</v>
      </c>
      <c r="N2214" s="56" t="n">
        <v>7.5</v>
      </c>
      <c r="O2214" s="56" t="n">
        <f aca="false">IF(D2214=1,"",E2213)</f>
        <v>17.3</v>
      </c>
      <c r="P2214" s="56" t="n">
        <f aca="false">IF(OR(D2214=1,K2213=""),"",K2213)</f>
        <v>1006.5</v>
      </c>
      <c r="Q2214" s="56" t="n">
        <f aca="false">IF(OR(F2214&lt;&gt;0,AND(I2214&lt;&gt;"",E2214&lt;I2214)),1,0)</f>
        <v>0</v>
      </c>
      <c r="R2214" s="56" t="n">
        <f aca="false">IF(AND(D2214&gt;1,Q2214=0,ISNUMBER(O2214),ISNUMBER(P2214)),IF(Q2213=0,1,0),0)</f>
        <v>1</v>
      </c>
      <c r="S2214" s="56" t="n">
        <f aca="false">R2214*(B2214&gt;=Train_Start)*(B2214&lt;=Train_End)</f>
        <v>1</v>
      </c>
      <c r="T2214" s="84" t="n">
        <f aca="false">IF(AND(ISNUMBER(O2214),ISNUMBER(P2214)),Coef_A+Coef_B1*O2214+Coef_B2*P2214,"")</f>
        <v>17.835342410744</v>
      </c>
      <c r="U2214" s="84" t="n">
        <f aca="false">IF(AND(R2214=1,ISNUMBER(T2214)),E2214-T2214,"")</f>
        <v>0.164657589256002</v>
      </c>
      <c r="V2214" s="84" t="n">
        <f aca="false">IF(ISNUMBER(T2214),T2214,-99)</f>
        <v>17.835342410744</v>
      </c>
      <c r="W2214" s="84" t="n">
        <f aca="false">IF(ISNUMBER(U2214),ABS(U2214),"")</f>
        <v>0.164657589256002</v>
      </c>
    </row>
    <row r="2215" customFormat="false" ht="15" hidden="false" customHeight="false" outlineLevel="0" collapsed="false">
      <c r="A2215" s="57" t="n">
        <v>34161</v>
      </c>
      <c r="B2215" s="56" t="n">
        <v>1993</v>
      </c>
      <c r="C2215" s="56" t="n">
        <v>7</v>
      </c>
      <c r="D2215" s="56" t="n">
        <v>72</v>
      </c>
      <c r="E2215" s="56" t="n">
        <v>18.7</v>
      </c>
      <c r="F2215" s="56" t="n">
        <v>0</v>
      </c>
      <c r="G2215" s="56" t="n">
        <v>7.2</v>
      </c>
      <c r="H2215" s="56" t="n">
        <v>0</v>
      </c>
      <c r="I2215" s="56" t="n">
        <v>12.6</v>
      </c>
      <c r="J2215" s="56" t="n">
        <v>0</v>
      </c>
      <c r="K2215" s="56" t="n">
        <v>1011.7</v>
      </c>
      <c r="L2215" s="56" t="n">
        <v>0</v>
      </c>
      <c r="M2215" s="56" t="n">
        <v>67</v>
      </c>
      <c r="N2215" s="56" t="n">
        <v>8.2</v>
      </c>
      <c r="O2215" s="56" t="n">
        <f aca="false">IF(D2215=1,"",E2214)</f>
        <v>18</v>
      </c>
      <c r="P2215" s="56" t="n">
        <f aca="false">IF(OR(D2215=1,K2214=""),"",K2214)</f>
        <v>1007.4</v>
      </c>
      <c r="Q2215" s="56" t="n">
        <f aca="false">IF(OR(F2215&lt;&gt;0,AND(I2215&lt;&gt;"",E2215&lt;I2215)),1,0)</f>
        <v>0</v>
      </c>
      <c r="R2215" s="56" t="n">
        <f aca="false">IF(AND(D2215&gt;1,Q2215=0,ISNUMBER(O2215),ISNUMBER(P2215)),IF(Q2214=0,1,0),0)</f>
        <v>1</v>
      </c>
      <c r="S2215" s="56" t="n">
        <f aca="false">R2215*(B2215&gt;=Train_Start)*(B2215&lt;=Train_End)</f>
        <v>1</v>
      </c>
      <c r="T2215" s="84" t="n">
        <f aca="false">IF(AND(ISNUMBER(O2215),ISNUMBER(P2215)),Coef_A+Coef_B1*O2215+Coef_B2*P2215,"")</f>
        <v>18.4371127510445</v>
      </c>
      <c r="U2215" s="84" t="n">
        <f aca="false">IF(AND(R2215=1,ISNUMBER(T2215)),E2215-T2215,"")</f>
        <v>0.262887248955551</v>
      </c>
      <c r="V2215" s="84" t="n">
        <f aca="false">IF(ISNUMBER(T2215),T2215,-99)</f>
        <v>18.4371127510445</v>
      </c>
      <c r="W2215" s="84" t="n">
        <f aca="false">IF(ISNUMBER(U2215),ABS(U2215),"")</f>
        <v>0.262887248955551</v>
      </c>
    </row>
    <row r="2216" customFormat="false" ht="15" hidden="false" customHeight="false" outlineLevel="0" collapsed="false">
      <c r="A2216" s="57" t="n">
        <v>34162</v>
      </c>
      <c r="B2216" s="56" t="n">
        <v>1993</v>
      </c>
      <c r="C2216" s="56" t="n">
        <v>7</v>
      </c>
      <c r="D2216" s="56" t="n">
        <v>73</v>
      </c>
      <c r="E2216" s="56" t="n">
        <v>18.5</v>
      </c>
      <c r="F2216" s="56" t="n">
        <v>0</v>
      </c>
      <c r="G2216" s="56" t="n">
        <v>7.1</v>
      </c>
      <c r="H2216" s="56" t="n">
        <v>0</v>
      </c>
      <c r="I2216" s="56" t="n">
        <v>12.9</v>
      </c>
      <c r="J2216" s="56" t="n">
        <v>0</v>
      </c>
      <c r="K2216" s="56" t="n">
        <v>1020.2</v>
      </c>
      <c r="L2216" s="56" t="n">
        <v>0</v>
      </c>
      <c r="M2216" s="56" t="n">
        <v>64</v>
      </c>
      <c r="N2216" s="56" t="n">
        <v>6</v>
      </c>
      <c r="O2216" s="56" t="n">
        <f aca="false">IF(D2216=1,"",E2215)</f>
        <v>18.7</v>
      </c>
      <c r="P2216" s="56" t="n">
        <f aca="false">IF(OR(D2216=1,K2215=""),"",K2215)</f>
        <v>1011.7</v>
      </c>
      <c r="Q2216" s="56" t="n">
        <f aca="false">IF(OR(F2216&lt;&gt;0,AND(I2216&lt;&gt;"",E2216&lt;I2216)),1,0)</f>
        <v>0</v>
      </c>
      <c r="R2216" s="56" t="n">
        <f aca="false">IF(AND(D2216&gt;1,Q2216=0,ISNUMBER(O2216),ISNUMBER(P2216)),IF(Q2215=0,1,0),0)</f>
        <v>1</v>
      </c>
      <c r="S2216" s="56" t="n">
        <f aca="false">R2216*(B2216&gt;=Train_Start)*(B2216&lt;=Train_End)</f>
        <v>1</v>
      </c>
      <c r="T2216" s="84" t="n">
        <f aca="false">IF(AND(ISNUMBER(O2216),ISNUMBER(P2216)),Coef_A+Coef_B1*O2216+Coef_B2*P2216,"")</f>
        <v>19.1455407331005</v>
      </c>
      <c r="U2216" s="84" t="n">
        <f aca="false">IF(AND(R2216=1,ISNUMBER(T2216)),E2216-T2216,"")</f>
        <v>-0.645540733100461</v>
      </c>
      <c r="V2216" s="84" t="n">
        <f aca="false">IF(ISNUMBER(T2216),T2216,-99)</f>
        <v>19.1455407331005</v>
      </c>
      <c r="W2216" s="84" t="n">
        <f aca="false">IF(ISNUMBER(U2216),ABS(U2216),"")</f>
        <v>0.645540733100461</v>
      </c>
    </row>
    <row r="2217" customFormat="false" ht="15" hidden="false" customHeight="false" outlineLevel="0" collapsed="false">
      <c r="A2217" s="57" t="n">
        <v>34163</v>
      </c>
      <c r="B2217" s="56" t="n">
        <v>1993</v>
      </c>
      <c r="C2217" s="56" t="n">
        <v>7</v>
      </c>
      <c r="D2217" s="56" t="n">
        <v>74</v>
      </c>
      <c r="E2217" s="56" t="n">
        <v>23.4</v>
      </c>
      <c r="F2217" s="56" t="n">
        <v>0</v>
      </c>
      <c r="G2217" s="56" t="n">
        <v>8.5</v>
      </c>
      <c r="H2217" s="56" t="n">
        <v>0</v>
      </c>
      <c r="I2217" s="56" t="n">
        <v>13.5</v>
      </c>
      <c r="J2217" s="56" t="n">
        <v>0</v>
      </c>
      <c r="K2217" s="56" t="n">
        <v>1019.4</v>
      </c>
      <c r="L2217" s="56" t="n">
        <v>0</v>
      </c>
      <c r="M2217" s="56" t="n">
        <v>81</v>
      </c>
      <c r="N2217" s="56" t="n">
        <v>0.3</v>
      </c>
      <c r="O2217" s="56" t="n">
        <f aca="false">IF(D2217=1,"",E2216)</f>
        <v>18.5</v>
      </c>
      <c r="P2217" s="56" t="n">
        <f aca="false">IF(OR(D2217=1,K2216=""),"",K2216)</f>
        <v>1020.2</v>
      </c>
      <c r="Q2217" s="56" t="n">
        <f aca="false">IF(OR(F2217&lt;&gt;0,AND(I2217&lt;&gt;"",E2217&lt;I2217)),1,0)</f>
        <v>0</v>
      </c>
      <c r="R2217" s="56" t="n">
        <f aca="false">IF(AND(D2217&gt;1,Q2217=0,ISNUMBER(O2217),ISNUMBER(P2217)),IF(Q2216=0,1,0),0)</f>
        <v>1</v>
      </c>
      <c r="S2217" s="56" t="n">
        <f aca="false">R2217*(B2217&gt;=Train_Start)*(B2217&lt;=Train_End)</f>
        <v>1</v>
      </c>
      <c r="T2217" s="84" t="n">
        <f aca="false">IF(AND(ISNUMBER(O2217),ISNUMBER(P2217)),Coef_A+Coef_B1*O2217+Coef_B2*P2217,"")</f>
        <v>19.2483169988808</v>
      </c>
      <c r="U2217" s="84" t="n">
        <f aca="false">IF(AND(R2217=1,ISNUMBER(T2217)),E2217-T2217,"")</f>
        <v>4.15168300111916</v>
      </c>
      <c r="V2217" s="84" t="n">
        <f aca="false">IF(ISNUMBER(T2217),T2217,-99)</f>
        <v>19.2483169988808</v>
      </c>
      <c r="W2217" s="84" t="n">
        <f aca="false">IF(ISNUMBER(U2217),ABS(U2217),"")</f>
        <v>4.15168300111916</v>
      </c>
    </row>
    <row r="2218" customFormat="false" ht="15" hidden="false" customHeight="false" outlineLevel="0" collapsed="false">
      <c r="A2218" s="57" t="n">
        <v>34164</v>
      </c>
      <c r="B2218" s="56" t="n">
        <v>1993</v>
      </c>
      <c r="C2218" s="56" t="n">
        <v>7</v>
      </c>
      <c r="D2218" s="56" t="n">
        <v>75</v>
      </c>
      <c r="E2218" s="56" t="n">
        <v>22.2</v>
      </c>
      <c r="F2218" s="56" t="n">
        <v>0</v>
      </c>
      <c r="G2218" s="56" t="n">
        <v>13.6</v>
      </c>
      <c r="H2218" s="56" t="n">
        <v>0</v>
      </c>
      <c r="I2218" s="56" t="n">
        <v>18.5</v>
      </c>
      <c r="J2218" s="56" t="n">
        <v>0</v>
      </c>
      <c r="K2218" s="56" t="n">
        <v>1009.3</v>
      </c>
      <c r="L2218" s="56" t="n">
        <v>0</v>
      </c>
      <c r="M2218" s="56" t="n">
        <v>80</v>
      </c>
      <c r="N2218" s="56" t="n">
        <v>2.7</v>
      </c>
      <c r="O2218" s="56" t="n">
        <f aca="false">IF(D2218=1,"",E2217)</f>
        <v>23.4</v>
      </c>
      <c r="P2218" s="56" t="n">
        <f aca="false">IF(OR(D2218=1,K2217=""),"",K2217)</f>
        <v>1019.4</v>
      </c>
      <c r="Q2218" s="56" t="n">
        <f aca="false">IF(OR(F2218&lt;&gt;0,AND(I2218&lt;&gt;"",E2218&lt;I2218)),1,0)</f>
        <v>0</v>
      </c>
      <c r="R2218" s="56" t="n">
        <f aca="false">IF(AND(D2218&gt;1,Q2218=0,ISNUMBER(O2218),ISNUMBER(P2218)),IF(Q2217=0,1,0),0)</f>
        <v>1</v>
      </c>
      <c r="S2218" s="56" t="n">
        <f aca="false">R2218*(B2218&gt;=Train_Start)*(B2218&lt;=Train_End)</f>
        <v>1</v>
      </c>
      <c r="T2218" s="84" t="n">
        <f aca="false">IF(AND(ISNUMBER(O2218),ISNUMBER(P2218)),Coef_A+Coef_B1*O2218+Coef_B2*P2218,"")</f>
        <v>23.2379831290827</v>
      </c>
      <c r="U2218" s="84" t="n">
        <f aca="false">IF(AND(R2218=1,ISNUMBER(T2218)),E2218-T2218,"")</f>
        <v>-1.03798312908267</v>
      </c>
      <c r="V2218" s="84" t="n">
        <f aca="false">IF(ISNUMBER(T2218),T2218,-99)</f>
        <v>23.2379831290827</v>
      </c>
      <c r="W2218" s="84" t="n">
        <f aca="false">IF(ISNUMBER(U2218),ABS(U2218),"")</f>
        <v>1.03798312908267</v>
      </c>
    </row>
    <row r="2219" customFormat="false" ht="15" hidden="false" customHeight="false" outlineLevel="0" collapsed="false">
      <c r="A2219" s="57" t="n">
        <v>34165</v>
      </c>
      <c r="B2219" s="56" t="n">
        <v>1993</v>
      </c>
      <c r="C2219" s="56" t="n">
        <v>7</v>
      </c>
      <c r="D2219" s="56" t="n">
        <v>76</v>
      </c>
      <c r="E2219" s="56" t="n">
        <v>22.2</v>
      </c>
      <c r="F2219" s="56" t="n">
        <v>0</v>
      </c>
      <c r="G2219" s="56" t="n">
        <v>14.4</v>
      </c>
      <c r="H2219" s="56" t="n">
        <v>0</v>
      </c>
      <c r="I2219" s="56" t="n">
        <v>18.3</v>
      </c>
      <c r="J2219" s="56" t="n">
        <v>0</v>
      </c>
      <c r="K2219" s="56" t="n">
        <v>1009.4</v>
      </c>
      <c r="L2219" s="56" t="n">
        <v>0</v>
      </c>
      <c r="M2219" s="56" t="n">
        <v>89</v>
      </c>
      <c r="N2219" s="56" t="n">
        <v>0.9</v>
      </c>
      <c r="O2219" s="56" t="n">
        <f aca="false">IF(D2219=1,"",E2218)</f>
        <v>22.2</v>
      </c>
      <c r="P2219" s="56" t="n">
        <f aca="false">IF(OR(D2219=1,K2218=""),"",K2218)</f>
        <v>1009.3</v>
      </c>
      <c r="Q2219" s="56" t="n">
        <f aca="false">IF(OR(F2219&lt;&gt;0,AND(I2219&lt;&gt;"",E2219&lt;I2219)),1,0)</f>
        <v>0</v>
      </c>
      <c r="R2219" s="56" t="n">
        <f aca="false">IF(AND(D2219&gt;1,Q2219=0,ISNUMBER(O2219),ISNUMBER(P2219)),IF(Q2218=0,1,0),0)</f>
        <v>1</v>
      </c>
      <c r="S2219" s="56" t="n">
        <f aca="false">R2219*(B2219&gt;=Train_Start)*(B2219&lt;=Train_End)</f>
        <v>1</v>
      </c>
      <c r="T2219" s="84" t="n">
        <f aca="false">IF(AND(ISNUMBER(O2219),ISNUMBER(P2219)),Coef_A+Coef_B1*O2219+Coef_B2*P2219,"")</f>
        <v>21.9379401616282</v>
      </c>
      <c r="U2219" s="84" t="n">
        <f aca="false">IF(AND(R2219=1,ISNUMBER(T2219)),E2219-T2219,"")</f>
        <v>0.262059838371812</v>
      </c>
      <c r="V2219" s="84" t="n">
        <f aca="false">IF(ISNUMBER(T2219),T2219,-99)</f>
        <v>21.9379401616282</v>
      </c>
      <c r="W2219" s="84" t="n">
        <f aca="false">IF(ISNUMBER(U2219),ABS(U2219),"")</f>
        <v>0.262059838371812</v>
      </c>
    </row>
    <row r="2220" customFormat="false" ht="15" hidden="false" customHeight="false" outlineLevel="0" collapsed="false">
      <c r="A2220" s="57" t="n">
        <v>34166</v>
      </c>
      <c r="B2220" s="56" t="n">
        <v>1993</v>
      </c>
      <c r="C2220" s="56" t="n">
        <v>7</v>
      </c>
      <c r="D2220" s="56" t="n">
        <v>77</v>
      </c>
      <c r="E2220" s="56" t="n">
        <v>22.4</v>
      </c>
      <c r="F2220" s="56" t="n">
        <v>0</v>
      </c>
      <c r="G2220" s="56" t="n">
        <v>15.4</v>
      </c>
      <c r="H2220" s="56" t="n">
        <v>0</v>
      </c>
      <c r="I2220" s="56" t="n">
        <v>18.8</v>
      </c>
      <c r="J2220" s="56" t="n">
        <v>0</v>
      </c>
      <c r="K2220" s="56" t="n">
        <v>1010.8</v>
      </c>
      <c r="L2220" s="56" t="n">
        <v>0</v>
      </c>
      <c r="M2220" s="56" t="n">
        <v>84</v>
      </c>
      <c r="N2220" s="56" t="n">
        <v>1.3</v>
      </c>
      <c r="O2220" s="56" t="n">
        <f aca="false">IF(D2220=1,"",E2219)</f>
        <v>22.2</v>
      </c>
      <c r="P2220" s="56" t="n">
        <f aca="false">IF(OR(D2220=1,K2219=""),"",K2219)</f>
        <v>1009.4</v>
      </c>
      <c r="Q2220" s="56" t="n">
        <f aca="false">IF(OR(F2220&lt;&gt;0,AND(I2220&lt;&gt;"",E2220&lt;I2220)),1,0)</f>
        <v>0</v>
      </c>
      <c r="R2220" s="56" t="n">
        <f aca="false">IF(AND(D2220&gt;1,Q2220=0,ISNUMBER(O2220),ISNUMBER(P2220)),IF(Q2219=0,1,0),0)</f>
        <v>1</v>
      </c>
      <c r="S2220" s="56" t="n">
        <f aca="false">R2220*(B2220&gt;=Train_Start)*(B2220&lt;=Train_End)</f>
        <v>1</v>
      </c>
      <c r="T2220" s="84" t="n">
        <f aca="false">IF(AND(ISNUMBER(O2220),ISNUMBER(P2220)),Coef_A+Coef_B1*O2220+Coef_B2*P2220,"")</f>
        <v>21.9410771510916</v>
      </c>
      <c r="U2220" s="84" t="n">
        <f aca="false">IF(AND(R2220=1,ISNUMBER(T2220)),E2220-T2220,"")</f>
        <v>0.458922848908411</v>
      </c>
      <c r="V2220" s="84" t="n">
        <f aca="false">IF(ISNUMBER(T2220),T2220,-99)</f>
        <v>21.9410771510916</v>
      </c>
      <c r="W2220" s="84" t="n">
        <f aca="false">IF(ISNUMBER(U2220),ABS(U2220),"")</f>
        <v>0.458922848908411</v>
      </c>
    </row>
    <row r="2221" customFormat="false" ht="15" hidden="false" customHeight="false" outlineLevel="0" collapsed="false">
      <c r="A2221" s="57" t="n">
        <v>34167</v>
      </c>
      <c r="B2221" s="56" t="n">
        <v>1993</v>
      </c>
      <c r="C2221" s="56" t="n">
        <v>7</v>
      </c>
      <c r="D2221" s="56" t="n">
        <v>78</v>
      </c>
      <c r="E2221" s="56" t="n">
        <v>20.5</v>
      </c>
      <c r="F2221" s="56" t="n">
        <v>0</v>
      </c>
      <c r="G2221" s="56" t="n">
        <v>13.4</v>
      </c>
      <c r="H2221" s="56" t="n">
        <v>0</v>
      </c>
      <c r="I2221" s="56" t="n">
        <v>17.9</v>
      </c>
      <c r="J2221" s="56" t="n">
        <v>0</v>
      </c>
      <c r="K2221" s="56" t="n">
        <v>1016.3</v>
      </c>
      <c r="L2221" s="56" t="n">
        <v>0</v>
      </c>
      <c r="M2221" s="56" t="n">
        <v>65</v>
      </c>
      <c r="N2221" s="56" t="n">
        <v>8</v>
      </c>
      <c r="O2221" s="56" t="n">
        <f aca="false">IF(D2221=1,"",E2220)</f>
        <v>22.4</v>
      </c>
      <c r="P2221" s="56" t="n">
        <f aca="false">IF(OR(D2221=1,K2220=""),"",K2220)</f>
        <v>1010.8</v>
      </c>
      <c r="Q2221" s="56" t="n">
        <f aca="false">IF(OR(F2221&lt;&gt;0,AND(I2221&lt;&gt;"",E2221&lt;I2221)),1,0)</f>
        <v>0</v>
      </c>
      <c r="R2221" s="56" t="n">
        <f aca="false">IF(AND(D2221&gt;1,Q2221=0,ISNUMBER(O2221),ISNUMBER(P2221)),IF(Q2220=0,1,0),0)</f>
        <v>1</v>
      </c>
      <c r="S2221" s="56" t="n">
        <f aca="false">R2221*(B2221&gt;=Train_Start)*(B2221&lt;=Train_End)</f>
        <v>1</v>
      </c>
      <c r="T2221" s="84" t="n">
        <f aca="false">IF(AND(ISNUMBER(O2221),ISNUMBER(P2221)),Coef_A+Coef_B1*O2221+Coef_B2*P2221,"")</f>
        <v>22.1488628421877</v>
      </c>
      <c r="U2221" s="84" t="n">
        <f aca="false">IF(AND(R2221=1,ISNUMBER(T2221)),E2221-T2221,"")</f>
        <v>-1.6488628421877</v>
      </c>
      <c r="V2221" s="84" t="n">
        <f aca="false">IF(ISNUMBER(T2221),T2221,-99)</f>
        <v>22.1488628421877</v>
      </c>
      <c r="W2221" s="84" t="n">
        <f aca="false">IF(ISNUMBER(U2221),ABS(U2221),"")</f>
        <v>1.6488628421877</v>
      </c>
    </row>
    <row r="2222" customFormat="false" ht="15" hidden="false" customHeight="false" outlineLevel="0" collapsed="false">
      <c r="A2222" s="57" t="n">
        <v>34168</v>
      </c>
      <c r="B2222" s="56" t="n">
        <v>1993</v>
      </c>
      <c r="C2222" s="56" t="n">
        <v>7</v>
      </c>
      <c r="D2222" s="56" t="n">
        <v>79</v>
      </c>
      <c r="E2222" s="56" t="n">
        <v>21.2</v>
      </c>
      <c r="F2222" s="56" t="n">
        <v>0</v>
      </c>
      <c r="G2222" s="56" t="n">
        <v>10.9</v>
      </c>
      <c r="H2222" s="56" t="n">
        <v>0</v>
      </c>
      <c r="I2222" s="56" t="n">
        <v>15.7</v>
      </c>
      <c r="J2222" s="56" t="n">
        <v>0</v>
      </c>
      <c r="K2222" s="56" t="n">
        <v>1014.3</v>
      </c>
      <c r="L2222" s="56" t="n">
        <v>0</v>
      </c>
      <c r="M2222" s="56" t="n">
        <v>79</v>
      </c>
      <c r="N2222" s="56" t="n">
        <v>4.9</v>
      </c>
      <c r="O2222" s="56" t="n">
        <f aca="false">IF(D2222=1,"",E2221)</f>
        <v>20.5</v>
      </c>
      <c r="P2222" s="56" t="n">
        <f aca="false">IF(OR(D2222=1,K2221=""),"",K2221)</f>
        <v>1016.3</v>
      </c>
      <c r="Q2222" s="56" t="n">
        <f aca="false">IF(OR(F2222&lt;&gt;0,AND(I2222&lt;&gt;"",E2222&lt;I2222)),1,0)</f>
        <v>0</v>
      </c>
      <c r="R2222" s="56" t="n">
        <f aca="false">IF(AND(D2222&gt;1,Q2222=0,ISNUMBER(O2222),ISNUMBER(P2222)),IF(Q2221=0,1,0),0)</f>
        <v>1</v>
      </c>
      <c r="S2222" s="56" t="n">
        <f aca="false">R2222*(B2222&gt;=Train_Start)*(B2222&lt;=Train_End)</f>
        <v>1</v>
      </c>
      <c r="T2222" s="84" t="n">
        <f aca="false">IF(AND(ISNUMBER(O2222),ISNUMBER(P2222)),Coef_A+Coef_B1*O2222+Coef_B2*P2222,"")</f>
        <v>20.7646527958936</v>
      </c>
      <c r="U2222" s="84" t="n">
        <f aca="false">IF(AND(R2222=1,ISNUMBER(T2222)),E2222-T2222,"")</f>
        <v>0.435347204106403</v>
      </c>
      <c r="V2222" s="84" t="n">
        <f aca="false">IF(ISNUMBER(T2222),T2222,-99)</f>
        <v>20.7646527958936</v>
      </c>
      <c r="W2222" s="84" t="n">
        <f aca="false">IF(ISNUMBER(U2222),ABS(U2222),"")</f>
        <v>0.435347204106403</v>
      </c>
    </row>
    <row r="2223" customFormat="false" ht="15" hidden="false" customHeight="false" outlineLevel="0" collapsed="false">
      <c r="A2223" s="57" t="n">
        <v>34169</v>
      </c>
      <c r="B2223" s="56" t="n">
        <v>1993</v>
      </c>
      <c r="C2223" s="56" t="n">
        <v>7</v>
      </c>
      <c r="D2223" s="56" t="n">
        <v>80</v>
      </c>
      <c r="E2223" s="56" t="n">
        <v>19.2</v>
      </c>
      <c r="F2223" s="56" t="n">
        <v>0</v>
      </c>
      <c r="G2223" s="56" t="n">
        <v>12.3</v>
      </c>
      <c r="H2223" s="56" t="n">
        <v>0</v>
      </c>
      <c r="I2223" s="56" t="n">
        <v>16.8</v>
      </c>
      <c r="J2223" s="56" t="n">
        <v>0</v>
      </c>
      <c r="K2223" s="56" t="n">
        <v>1006.9</v>
      </c>
      <c r="L2223" s="56" t="n">
        <v>0</v>
      </c>
      <c r="M2223" s="56" t="n">
        <v>74</v>
      </c>
      <c r="N2223" s="56" t="n">
        <v>6.5</v>
      </c>
      <c r="O2223" s="56" t="n">
        <f aca="false">IF(D2223=1,"",E2222)</f>
        <v>21.2</v>
      </c>
      <c r="P2223" s="56" t="n">
        <f aca="false">IF(OR(D2223=1,K2222=""),"",K2222)</f>
        <v>1014.3</v>
      </c>
      <c r="Q2223" s="56" t="n">
        <f aca="false">IF(OR(F2223&lt;&gt;0,AND(I2223&lt;&gt;"",E2223&lt;I2223)),1,0)</f>
        <v>0</v>
      </c>
      <c r="R2223" s="56" t="n">
        <f aca="false">IF(AND(D2223&gt;1,Q2223=0,ISNUMBER(O2223),ISNUMBER(P2223)),IF(Q2222=0,1,0),0)</f>
        <v>1</v>
      </c>
      <c r="S2223" s="56" t="n">
        <f aca="false">R2223*(B2223&gt;=Train_Start)*(B2223&lt;=Train_End)</f>
        <v>1</v>
      </c>
      <c r="T2223" s="84" t="n">
        <f aca="false">IF(AND(ISNUMBER(O2223),ISNUMBER(P2223)),Coef_A+Coef_B1*O2223+Coef_B2*P2223,"")</f>
        <v>21.2754504417555</v>
      </c>
      <c r="U2223" s="84" t="n">
        <f aca="false">IF(AND(R2223=1,ISNUMBER(T2223)),E2223-T2223,"")</f>
        <v>-2.07545044175548</v>
      </c>
      <c r="V2223" s="84" t="n">
        <f aca="false">IF(ISNUMBER(T2223),T2223,-99)</f>
        <v>21.2754504417555</v>
      </c>
      <c r="W2223" s="84" t="n">
        <f aca="false">IF(ISNUMBER(U2223),ABS(U2223),"")</f>
        <v>2.07545044175548</v>
      </c>
    </row>
    <row r="2224" customFormat="false" ht="15" hidden="false" customHeight="false" outlineLevel="0" collapsed="false">
      <c r="A2224" s="57" t="n">
        <v>34170</v>
      </c>
      <c r="B2224" s="56" t="n">
        <v>1993</v>
      </c>
      <c r="C2224" s="56" t="n">
        <v>7</v>
      </c>
      <c r="D2224" s="56" t="n">
        <v>81</v>
      </c>
      <c r="E2224" s="56" t="n">
        <v>18.1</v>
      </c>
      <c r="F2224" s="56" t="n">
        <v>0</v>
      </c>
      <c r="G2224" s="56" t="n">
        <v>13.5</v>
      </c>
      <c r="H2224" s="56" t="n">
        <v>0</v>
      </c>
      <c r="I2224" s="56" t="n">
        <v>16.4</v>
      </c>
      <c r="J2224" s="56" t="n">
        <v>0</v>
      </c>
      <c r="K2224" s="56" t="n">
        <v>1013.2</v>
      </c>
      <c r="L2224" s="56" t="n">
        <v>0</v>
      </c>
      <c r="M2224" s="56" t="n">
        <v>76</v>
      </c>
      <c r="N2224" s="56" t="n">
        <v>1.4</v>
      </c>
      <c r="O2224" s="56" t="n">
        <f aca="false">IF(D2224=1,"",E2223)</f>
        <v>19.2</v>
      </c>
      <c r="P2224" s="56" t="n">
        <f aca="false">IF(OR(D2224=1,K2223=""),"",K2223)</f>
        <v>1006.9</v>
      </c>
      <c r="Q2224" s="56" t="n">
        <f aca="false">IF(OR(F2224&lt;&gt;0,AND(I2224&lt;&gt;"",E2224&lt;I2224)),1,0)</f>
        <v>0</v>
      </c>
      <c r="R2224" s="56" t="n">
        <f aca="false">IF(AND(D2224&gt;1,Q2224=0,ISNUMBER(O2224),ISNUMBER(P2224)),IF(Q2223=0,1,0),0)</f>
        <v>1</v>
      </c>
      <c r="S2224" s="56" t="n">
        <f aca="false">R2224*(B2224&gt;=Train_Start)*(B2224&lt;=Train_End)</f>
        <v>1</v>
      </c>
      <c r="T2224" s="84" t="n">
        <f aca="false">IF(AND(ISNUMBER(O2224),ISNUMBER(P2224)),Coef_A+Coef_B1*O2224+Coef_B2*P2224,"")</f>
        <v>19.4046348353786</v>
      </c>
      <c r="U2224" s="84" t="n">
        <f aca="false">IF(AND(R2224=1,ISNUMBER(T2224)),E2224-T2224,"")</f>
        <v>-1.30463483537864</v>
      </c>
      <c r="V2224" s="84" t="n">
        <f aca="false">IF(ISNUMBER(T2224),T2224,-99)</f>
        <v>19.4046348353786</v>
      </c>
      <c r="W2224" s="84" t="n">
        <f aca="false">IF(ISNUMBER(U2224),ABS(U2224),"")</f>
        <v>1.30463483537864</v>
      </c>
    </row>
    <row r="2225" customFormat="false" ht="15" hidden="false" customHeight="false" outlineLevel="0" collapsed="false">
      <c r="A2225" s="57" t="n">
        <v>34171</v>
      </c>
      <c r="B2225" s="56" t="n">
        <v>1993</v>
      </c>
      <c r="C2225" s="56" t="n">
        <v>7</v>
      </c>
      <c r="D2225" s="56" t="n">
        <v>82</v>
      </c>
      <c r="E2225" s="56" t="n">
        <v>22.7</v>
      </c>
      <c r="F2225" s="56" t="n">
        <v>0</v>
      </c>
      <c r="G2225" s="56" t="n">
        <v>13</v>
      </c>
      <c r="H2225" s="56" t="n">
        <v>0</v>
      </c>
      <c r="I2225" s="56" t="n">
        <v>15.6</v>
      </c>
      <c r="J2225" s="56" t="n">
        <v>0</v>
      </c>
      <c r="K2225" s="56" t="n">
        <v>1019</v>
      </c>
      <c r="L2225" s="56" t="n">
        <v>0</v>
      </c>
      <c r="M2225" s="56" t="n">
        <v>68</v>
      </c>
      <c r="N2225" s="56" t="n">
        <v>0.3</v>
      </c>
      <c r="O2225" s="56" t="n">
        <f aca="false">IF(D2225=1,"",E2224)</f>
        <v>18.1</v>
      </c>
      <c r="P2225" s="56" t="n">
        <f aca="false">IF(OR(D2225=1,K2224=""),"",K2224)</f>
        <v>1013.2</v>
      </c>
      <c r="Q2225" s="56" t="n">
        <f aca="false">IF(OR(F2225&lt;&gt;0,AND(I2225&lt;&gt;"",E2225&lt;I2225)),1,0)</f>
        <v>0</v>
      </c>
      <c r="R2225" s="56" t="n">
        <f aca="false">IF(AND(D2225&gt;1,Q2225=0,ISNUMBER(O2225),ISNUMBER(P2225)),IF(Q2224=0,1,0),0)</f>
        <v>1</v>
      </c>
      <c r="S2225" s="56" t="n">
        <f aca="false">R2225*(B2225&gt;=Train_Start)*(B2225&lt;=Train_End)</f>
        <v>1</v>
      </c>
      <c r="T2225" s="84" t="n">
        <f aca="false">IF(AND(ISNUMBER(O2225),ISNUMBER(P2225)),Coef_A+Coef_B1*O2225+Coef_B2*P2225,"")</f>
        <v>18.7009920592259</v>
      </c>
      <c r="U2225" s="84" t="n">
        <f aca="false">IF(AND(R2225=1,ISNUMBER(T2225)),E2225-T2225,"")</f>
        <v>3.99900794077415</v>
      </c>
      <c r="V2225" s="84" t="n">
        <f aca="false">IF(ISNUMBER(T2225),T2225,-99)</f>
        <v>18.7009920592259</v>
      </c>
      <c r="W2225" s="84" t="n">
        <f aca="false">IF(ISNUMBER(U2225),ABS(U2225),"")</f>
        <v>3.99900794077415</v>
      </c>
    </row>
    <row r="2226" customFormat="false" ht="15" hidden="false" customHeight="false" outlineLevel="0" collapsed="false">
      <c r="A2226" s="57" t="n">
        <v>34172</v>
      </c>
      <c r="B2226" s="56" t="n">
        <v>1993</v>
      </c>
      <c r="C2226" s="56" t="n">
        <v>7</v>
      </c>
      <c r="D2226" s="56" t="n">
        <v>83</v>
      </c>
      <c r="E2226" s="56" t="n">
        <v>25.2</v>
      </c>
      <c r="F2226" s="56" t="n">
        <v>0</v>
      </c>
      <c r="G2226" s="56" t="n">
        <v>11.5</v>
      </c>
      <c r="H2226" s="56" t="n">
        <v>0</v>
      </c>
      <c r="I2226" s="56" t="n">
        <v>17.1</v>
      </c>
      <c r="J2226" s="56" t="n">
        <v>0</v>
      </c>
      <c r="K2226" s="56" t="n">
        <v>1022</v>
      </c>
      <c r="L2226" s="56" t="n">
        <v>0</v>
      </c>
      <c r="M2226" s="56" t="n">
        <v>68</v>
      </c>
      <c r="N2226" s="56" t="n">
        <v>8.9</v>
      </c>
      <c r="O2226" s="56" t="n">
        <f aca="false">IF(D2226=1,"",E2225)</f>
        <v>22.7</v>
      </c>
      <c r="P2226" s="56" t="n">
        <f aca="false">IF(OR(D2226=1,K2225=""),"",K2225)</f>
        <v>1019</v>
      </c>
      <c r="Q2226" s="56" t="n">
        <f aca="false">IF(OR(F2226&lt;&gt;0,AND(I2226&lt;&gt;"",E2226&lt;I2226)),1,0)</f>
        <v>0</v>
      </c>
      <c r="R2226" s="56" t="n">
        <f aca="false">IF(AND(D2226&gt;1,Q2226=0,ISNUMBER(O2226),ISNUMBER(P2226)),IF(Q2225=0,1,0),0)</f>
        <v>1</v>
      </c>
      <c r="S2226" s="56" t="n">
        <f aca="false">R2226*(B2226&gt;=Train_Start)*(B2226&lt;=Train_End)</f>
        <v>1</v>
      </c>
      <c r="T2226" s="84" t="n">
        <f aca="false">IF(AND(ISNUMBER(O2226),ISNUMBER(P2226)),Coef_A+Coef_B1*O2226+Coef_B2*P2226,"")</f>
        <v>22.6518977360992</v>
      </c>
      <c r="U2226" s="84" t="n">
        <f aca="false">IF(AND(R2226=1,ISNUMBER(T2226)),E2226-T2226,"")</f>
        <v>2.54810226390078</v>
      </c>
      <c r="V2226" s="84" t="n">
        <f aca="false">IF(ISNUMBER(T2226),T2226,-99)</f>
        <v>22.6518977360992</v>
      </c>
      <c r="W2226" s="84" t="n">
        <f aca="false">IF(ISNUMBER(U2226),ABS(U2226),"")</f>
        <v>2.54810226390078</v>
      </c>
    </row>
    <row r="2227" customFormat="false" ht="15" hidden="false" customHeight="false" outlineLevel="0" collapsed="false">
      <c r="A2227" s="57" t="n">
        <v>34173</v>
      </c>
      <c r="B2227" s="56" t="n">
        <v>1993</v>
      </c>
      <c r="C2227" s="56" t="n">
        <v>7</v>
      </c>
      <c r="D2227" s="56" t="n">
        <v>84</v>
      </c>
      <c r="E2227" s="56" t="n">
        <v>19.1</v>
      </c>
      <c r="F2227" s="56" t="n">
        <v>1</v>
      </c>
      <c r="G2227" s="56" t="n">
        <v>15.2</v>
      </c>
      <c r="H2227" s="56" t="n">
        <v>0</v>
      </c>
      <c r="I2227" s="56" t="n">
        <v>20.2</v>
      </c>
      <c r="J2227" s="56" t="n">
        <v>1</v>
      </c>
      <c r="K2227" s="56" t="n">
        <v>1020.4</v>
      </c>
      <c r="L2227" s="56" t="n">
        <v>0</v>
      </c>
      <c r="M2227" s="56" t="n">
        <v>79</v>
      </c>
      <c r="N2227" s="56" t="n">
        <v>3.6</v>
      </c>
      <c r="O2227" s="56" t="n">
        <f aca="false">IF(D2227=1,"",E2226)</f>
        <v>25.2</v>
      </c>
      <c r="P2227" s="56" t="n">
        <f aca="false">IF(OR(D2227=1,K2226=""),"",K2226)</f>
        <v>1022</v>
      </c>
      <c r="Q2227" s="56" t="n">
        <f aca="false">IF(OR(F2227&lt;&gt;0,AND(I2227&lt;&gt;"",E2227&lt;I2227)),1,0)</f>
        <v>1</v>
      </c>
      <c r="R2227" s="56" t="n">
        <f aca="false">IF(AND(D2227&gt;1,Q2227=0,ISNUMBER(O2227),ISNUMBER(P2227)),IF(Q2226=0,1,0),0)</f>
        <v>0</v>
      </c>
      <c r="S2227" s="56" t="n">
        <f aca="false">R2227*(B2227&gt;=Train_Start)*(B2227&lt;=Train_End)</f>
        <v>0</v>
      </c>
      <c r="T2227" s="84" t="n">
        <f aca="false">IF(AND(ISNUMBER(O2227),ISNUMBER(P2227)),Coef_A+Coef_B1*O2227+Coef_B2*P2227,"")</f>
        <v>24.7943554026078</v>
      </c>
      <c r="U2227" s="84" t="str">
        <f aca="false">IF(AND(R2227=1,ISNUMBER(T2227)),E2227-T2227,"")</f>
        <v/>
      </c>
      <c r="V2227" s="84" t="n">
        <f aca="false">IF(ISNUMBER(T2227),T2227,-99)</f>
        <v>24.7943554026078</v>
      </c>
      <c r="W2227" s="84" t="str">
        <f aca="false">IF(ISNUMBER(U2227),ABS(U2227),"")</f>
        <v/>
      </c>
    </row>
    <row r="2228" customFormat="false" ht="15" hidden="false" customHeight="false" outlineLevel="0" collapsed="false">
      <c r="A2228" s="57" t="n">
        <v>34174</v>
      </c>
      <c r="B2228" s="56" t="n">
        <v>1993</v>
      </c>
      <c r="C2228" s="56" t="n">
        <v>7</v>
      </c>
      <c r="D2228" s="56" t="n">
        <v>85</v>
      </c>
      <c r="E2228" s="56" t="n">
        <v>20.4</v>
      </c>
      <c r="F2228" s="56" t="n">
        <v>0</v>
      </c>
      <c r="G2228" s="56" t="n">
        <v>16</v>
      </c>
      <c r="H2228" s="56" t="n">
        <v>0</v>
      </c>
      <c r="I2228" s="56" t="n">
        <v>17.6</v>
      </c>
      <c r="J2228" s="56" t="n">
        <v>0</v>
      </c>
      <c r="K2228" s="56" t="n">
        <v>1012.6</v>
      </c>
      <c r="L2228" s="56" t="n">
        <v>0</v>
      </c>
      <c r="M2228" s="56" t="n">
        <v>85</v>
      </c>
      <c r="N2228" s="56" t="n">
        <v>0.4</v>
      </c>
      <c r="O2228" s="56" t="n">
        <f aca="false">IF(D2228=1,"",E2227)</f>
        <v>19.1</v>
      </c>
      <c r="P2228" s="56" t="n">
        <f aca="false">IF(OR(D2228=1,K2227=""),"",K2227)</f>
        <v>1020.4</v>
      </c>
      <c r="Q2228" s="56" t="n">
        <f aca="false">IF(OR(F2228&lt;&gt;0,AND(I2228&lt;&gt;"",E2228&lt;I2228)),1,0)</f>
        <v>0</v>
      </c>
      <c r="R2228" s="56" t="n">
        <f aca="false">IF(AND(D2228&gt;1,Q2228=0,ISNUMBER(O2228),ISNUMBER(P2228)),IF(Q2227=0,1,0),0)</f>
        <v>0</v>
      </c>
      <c r="S2228" s="56" t="n">
        <f aca="false">R2228*(B2228&gt;=Train_Start)*(B2228&lt;=Train_End)</f>
        <v>0</v>
      </c>
      <c r="T2228" s="84" t="n">
        <f aca="false">IF(AND(ISNUMBER(O2228),ISNUMBER(P2228)),Coef_A+Coef_B1*O2228+Coef_B2*P2228,"")</f>
        <v>19.7461944936332</v>
      </c>
      <c r="U2228" s="84" t="str">
        <f aca="false">IF(AND(R2228=1,ISNUMBER(T2228)),E2228-T2228,"")</f>
        <v/>
      </c>
      <c r="V2228" s="84" t="n">
        <f aca="false">IF(ISNUMBER(T2228),T2228,-99)</f>
        <v>19.7461944936332</v>
      </c>
      <c r="W2228" s="84" t="str">
        <f aca="false">IF(ISNUMBER(U2228),ABS(U2228),"")</f>
        <v/>
      </c>
    </row>
    <row r="2229" customFormat="false" ht="15" hidden="false" customHeight="false" outlineLevel="0" collapsed="false">
      <c r="A2229" s="57" t="n">
        <v>34175</v>
      </c>
      <c r="B2229" s="56" t="n">
        <v>1993</v>
      </c>
      <c r="C2229" s="56" t="n">
        <v>7</v>
      </c>
      <c r="D2229" s="56" t="n">
        <v>86</v>
      </c>
      <c r="E2229" s="56" t="n">
        <v>19.1</v>
      </c>
      <c r="F2229" s="56" t="n">
        <v>0</v>
      </c>
      <c r="G2229" s="56" t="n">
        <v>10.1</v>
      </c>
      <c r="H2229" s="56" t="n">
        <v>0</v>
      </c>
      <c r="I2229" s="56" t="n">
        <v>15.2</v>
      </c>
      <c r="J2229" s="56" t="n">
        <v>0</v>
      </c>
      <c r="K2229" s="56" t="n">
        <v>1008</v>
      </c>
      <c r="L2229" s="56" t="n">
        <v>0</v>
      </c>
      <c r="M2229" s="56" t="n">
        <v>74</v>
      </c>
      <c r="N2229" s="56" t="n">
        <v>8.8</v>
      </c>
      <c r="O2229" s="56" t="n">
        <f aca="false">IF(D2229=1,"",E2228)</f>
        <v>20.4</v>
      </c>
      <c r="P2229" s="56" t="n">
        <f aca="false">IF(OR(D2229=1,K2228=""),"",K2228)</f>
        <v>1012.6</v>
      </c>
      <c r="Q2229" s="56" t="n">
        <f aca="false">IF(OR(F2229&lt;&gt;0,AND(I2229&lt;&gt;"",E2229&lt;I2229)),1,0)</f>
        <v>0</v>
      </c>
      <c r="R2229" s="56" t="n">
        <f aca="false">IF(AND(D2229&gt;1,Q2229=0,ISNUMBER(O2229),ISNUMBER(P2229)),IF(Q2228=0,1,0),0)</f>
        <v>1</v>
      </c>
      <c r="S2229" s="56" t="n">
        <f aca="false">R2229*(B2229&gt;=Train_Start)*(B2229&lt;=Train_End)</f>
        <v>1</v>
      </c>
      <c r="T2229" s="84" t="n">
        <f aca="false">IF(AND(ISNUMBER(O2229),ISNUMBER(P2229)),Coef_A+Coef_B1*O2229+Coef_B2*P2229,"")</f>
        <v>20.5666502664436</v>
      </c>
      <c r="U2229" s="84" t="n">
        <f aca="false">IF(AND(R2229=1,ISNUMBER(T2229)),E2229-T2229,"")</f>
        <v>-1.46665026644357</v>
      </c>
      <c r="V2229" s="84" t="n">
        <f aca="false">IF(ISNUMBER(T2229),T2229,-99)</f>
        <v>20.5666502664436</v>
      </c>
      <c r="W2229" s="84" t="n">
        <f aca="false">IF(ISNUMBER(U2229),ABS(U2229),"")</f>
        <v>1.46665026644357</v>
      </c>
    </row>
    <row r="2230" customFormat="false" ht="15" hidden="false" customHeight="false" outlineLevel="0" collapsed="false">
      <c r="A2230" s="57" t="n">
        <v>34176</v>
      </c>
      <c r="B2230" s="56" t="n">
        <v>1993</v>
      </c>
      <c r="C2230" s="56" t="n">
        <v>7</v>
      </c>
      <c r="D2230" s="56" t="n">
        <v>87</v>
      </c>
      <c r="E2230" s="56" t="n">
        <v>20.3</v>
      </c>
      <c r="F2230" s="56" t="n">
        <v>0</v>
      </c>
      <c r="G2230" s="56" t="n">
        <v>10.8</v>
      </c>
      <c r="H2230" s="56" t="n">
        <v>0</v>
      </c>
      <c r="I2230" s="56" t="n">
        <v>15</v>
      </c>
      <c r="J2230" s="56" t="n">
        <v>0</v>
      </c>
      <c r="K2230" s="56" t="n">
        <v>1013.7</v>
      </c>
      <c r="L2230" s="56" t="n">
        <v>0</v>
      </c>
      <c r="M2230" s="56" t="n">
        <v>72</v>
      </c>
      <c r="N2230" s="56" t="n">
        <v>1</v>
      </c>
      <c r="O2230" s="56" t="n">
        <f aca="false">IF(D2230=1,"",E2229)</f>
        <v>19.1</v>
      </c>
      <c r="P2230" s="56" t="n">
        <f aca="false">IF(OR(D2230=1,K2229=""),"",K2229)</f>
        <v>1008</v>
      </c>
      <c r="Q2230" s="56" t="n">
        <f aca="false">IF(OR(F2230&lt;&gt;0,AND(I2230&lt;&gt;"",E2230&lt;I2230)),1,0)</f>
        <v>0</v>
      </c>
      <c r="R2230" s="56" t="n">
        <f aca="false">IF(AND(D2230&gt;1,Q2230=0,ISNUMBER(O2230),ISNUMBER(P2230)),IF(Q2229=0,1,0),0)</f>
        <v>1</v>
      </c>
      <c r="S2230" s="56" t="n">
        <f aca="false">R2230*(B2230&gt;=Train_Start)*(B2230&lt;=Train_End)</f>
        <v>1</v>
      </c>
      <c r="T2230" s="84" t="n">
        <f aca="false">IF(AND(ISNUMBER(O2230),ISNUMBER(P2230)),Coef_A+Coef_B1*O2230+Coef_B2*P2230,"")</f>
        <v>19.3572078001718</v>
      </c>
      <c r="U2230" s="84" t="n">
        <f aca="false">IF(AND(R2230=1,ISNUMBER(T2230)),E2230-T2230,"")</f>
        <v>0.942792199828233</v>
      </c>
      <c r="V2230" s="84" t="n">
        <f aca="false">IF(ISNUMBER(T2230),T2230,-99)</f>
        <v>19.3572078001718</v>
      </c>
      <c r="W2230" s="84" t="n">
        <f aca="false">IF(ISNUMBER(U2230),ABS(U2230),"")</f>
        <v>0.942792199828233</v>
      </c>
    </row>
    <row r="2231" customFormat="false" ht="15" hidden="false" customHeight="false" outlineLevel="0" collapsed="false">
      <c r="A2231" s="57" t="n">
        <v>34177</v>
      </c>
      <c r="B2231" s="56" t="n">
        <v>1993</v>
      </c>
      <c r="C2231" s="56" t="n">
        <v>7</v>
      </c>
      <c r="D2231" s="56" t="n">
        <v>88</v>
      </c>
      <c r="E2231" s="56" t="n">
        <v>24.4</v>
      </c>
      <c r="F2231" s="56" t="n">
        <v>0</v>
      </c>
      <c r="G2231" s="56" t="n">
        <v>14.3</v>
      </c>
      <c r="H2231" s="56" t="n">
        <v>0</v>
      </c>
      <c r="I2231" s="56" t="n">
        <v>17.3</v>
      </c>
      <c r="J2231" s="56" t="n">
        <v>0</v>
      </c>
      <c r="K2231" s="56" t="n">
        <v>1011.6</v>
      </c>
      <c r="L2231" s="56" t="n">
        <v>0</v>
      </c>
      <c r="M2231" s="56" t="n">
        <v>83</v>
      </c>
      <c r="N2231" s="56" t="n">
        <v>0.6</v>
      </c>
      <c r="O2231" s="56" t="n">
        <f aca="false">IF(D2231=1,"",E2230)</f>
        <v>20.3</v>
      </c>
      <c r="P2231" s="56" t="n">
        <f aca="false">IF(OR(D2231=1,K2230=""),"",K2230)</f>
        <v>1013.7</v>
      </c>
      <c r="Q2231" s="56" t="n">
        <f aca="false">IF(OR(F2231&lt;&gt;0,AND(I2231&lt;&gt;"",E2231&lt;I2231)),1,0)</f>
        <v>0</v>
      </c>
      <c r="R2231" s="56" t="n">
        <f aca="false">IF(AND(D2231&gt;1,Q2231=0,ISNUMBER(O2231),ISNUMBER(P2231)),IF(Q2230=0,1,0),0)</f>
        <v>1</v>
      </c>
      <c r="S2231" s="56" t="n">
        <f aca="false">R2231*(B2231&gt;=Train_Start)*(B2231&lt;=Train_End)</f>
        <v>1</v>
      </c>
      <c r="T2231" s="84" t="n">
        <f aca="false">IF(AND(ISNUMBER(O2231),ISNUMBER(P2231)),Coef_A+Coef_B1*O2231+Coef_B2*P2231,"")</f>
        <v>20.5192232312367</v>
      </c>
      <c r="U2231" s="84" t="n">
        <f aca="false">IF(AND(R2231=1,ISNUMBER(T2231)),E2231-T2231,"")</f>
        <v>3.8807767687633</v>
      </c>
      <c r="V2231" s="84" t="n">
        <f aca="false">IF(ISNUMBER(T2231),T2231,-99)</f>
        <v>20.5192232312367</v>
      </c>
      <c r="W2231" s="84" t="n">
        <f aca="false">IF(ISNUMBER(U2231),ABS(U2231),"")</f>
        <v>3.8807767687633</v>
      </c>
    </row>
    <row r="2232" customFormat="false" ht="15" hidden="false" customHeight="false" outlineLevel="0" collapsed="false">
      <c r="A2232" s="57" t="n">
        <v>34178</v>
      </c>
      <c r="B2232" s="56" t="n">
        <v>1993</v>
      </c>
      <c r="C2232" s="56" t="n">
        <v>7</v>
      </c>
      <c r="D2232" s="56" t="n">
        <v>89</v>
      </c>
      <c r="E2232" s="56" t="n">
        <v>20.3</v>
      </c>
      <c r="F2232" s="56" t="n">
        <v>0</v>
      </c>
      <c r="G2232" s="56" t="n">
        <v>15.2</v>
      </c>
      <c r="H2232" s="56" t="n">
        <v>0</v>
      </c>
      <c r="I2232" s="56" t="n">
        <v>19.8</v>
      </c>
      <c r="J2232" s="56" t="n">
        <v>0</v>
      </c>
      <c r="K2232" s="56" t="n">
        <v>1015.5</v>
      </c>
      <c r="L2232" s="56" t="n">
        <v>0</v>
      </c>
      <c r="M2232" s="56" t="n">
        <v>72</v>
      </c>
      <c r="N2232" s="56" t="n">
        <v>6.6</v>
      </c>
      <c r="O2232" s="56" t="n">
        <f aca="false">IF(D2232=1,"",E2231)</f>
        <v>24.4</v>
      </c>
      <c r="P2232" s="56" t="n">
        <f aca="false">IF(OR(D2232=1,K2231=""),"",K2231)</f>
        <v>1011.6</v>
      </c>
      <c r="Q2232" s="56" t="n">
        <f aca="false">IF(OR(F2232&lt;&gt;0,AND(I2232&lt;&gt;"",E2232&lt;I2232)),1,0)</f>
        <v>0</v>
      </c>
      <c r="R2232" s="56" t="n">
        <f aca="false">IF(AND(D2232&gt;1,Q2232=0,ISNUMBER(O2232),ISNUMBER(P2232)),IF(Q2231=0,1,0),0)</f>
        <v>1</v>
      </c>
      <c r="S2232" s="56" t="n">
        <f aca="false">R2232*(B2232&gt;=Train_Start)*(B2232&lt;=Train_End)</f>
        <v>1</v>
      </c>
      <c r="T2232" s="84" t="n">
        <f aca="false">IF(AND(ISNUMBER(O2232),ISNUMBER(P2232)),Coef_A+Coef_B1*O2232+Coef_B2*P2232,"")</f>
        <v>23.8126371439802</v>
      </c>
      <c r="U2232" s="84" t="n">
        <f aca="false">IF(AND(R2232=1,ISNUMBER(T2232)),E2232-T2232,"")</f>
        <v>-3.51263714398021</v>
      </c>
      <c r="V2232" s="84" t="n">
        <f aca="false">IF(ISNUMBER(T2232),T2232,-99)</f>
        <v>23.8126371439802</v>
      </c>
      <c r="W2232" s="84" t="n">
        <f aca="false">IF(ISNUMBER(U2232),ABS(U2232),"")</f>
        <v>3.51263714398021</v>
      </c>
    </row>
    <row r="2233" customFormat="false" ht="15" hidden="false" customHeight="false" outlineLevel="0" collapsed="false">
      <c r="A2233" s="57" t="n">
        <v>34179</v>
      </c>
      <c r="B2233" s="56" t="n">
        <v>1993</v>
      </c>
      <c r="C2233" s="56" t="n">
        <v>7</v>
      </c>
      <c r="D2233" s="56" t="n">
        <v>90</v>
      </c>
      <c r="E2233" s="56" t="n">
        <v>21.6</v>
      </c>
      <c r="F2233" s="56" t="n">
        <v>0</v>
      </c>
      <c r="G2233" s="56" t="n">
        <v>17.2</v>
      </c>
      <c r="H2233" s="56" t="n">
        <v>0</v>
      </c>
      <c r="I2233" s="56" t="n">
        <v>18.8</v>
      </c>
      <c r="J2233" s="56" t="n">
        <v>0</v>
      </c>
      <c r="K2233" s="56" t="n">
        <v>1013.8</v>
      </c>
      <c r="L2233" s="56" t="n">
        <v>0</v>
      </c>
      <c r="M2233" s="56" t="n">
        <v>85</v>
      </c>
      <c r="N2233" s="56" t="n">
        <v>0.2</v>
      </c>
      <c r="O2233" s="56" t="n">
        <f aca="false">IF(D2233=1,"",E2232)</f>
        <v>20.3</v>
      </c>
      <c r="P2233" s="56" t="n">
        <f aca="false">IF(OR(D2233=1,K2232=""),"",K2232)</f>
        <v>1015.5</v>
      </c>
      <c r="Q2233" s="56" t="n">
        <f aca="false">IF(OR(F2233&lt;&gt;0,AND(I2233&lt;&gt;"",E2233&lt;I2233)),1,0)</f>
        <v>0</v>
      </c>
      <c r="R2233" s="56" t="n">
        <f aca="false">IF(AND(D2233&gt;1,Q2233=0,ISNUMBER(O2233),ISNUMBER(P2233)),IF(Q2232=0,1,0),0)</f>
        <v>1</v>
      </c>
      <c r="S2233" s="56" t="n">
        <f aca="false">R2233*(B2233&gt;=Train_Start)*(B2233&lt;=Train_End)</f>
        <v>1</v>
      </c>
      <c r="T2233" s="84" t="n">
        <f aca="false">IF(AND(ISNUMBER(O2233),ISNUMBER(P2233)),Coef_A+Coef_B1*O2233+Coef_B2*P2233,"")</f>
        <v>20.5756890415779</v>
      </c>
      <c r="U2233" s="84" t="n">
        <f aca="false">IF(AND(R2233=1,ISNUMBER(T2233)),E2233-T2233,"")</f>
        <v>1.02431095842213</v>
      </c>
      <c r="V2233" s="84" t="n">
        <f aca="false">IF(ISNUMBER(T2233),T2233,-99)</f>
        <v>20.5756890415779</v>
      </c>
      <c r="W2233" s="84" t="n">
        <f aca="false">IF(ISNUMBER(U2233),ABS(U2233),"")</f>
        <v>1.02431095842213</v>
      </c>
    </row>
    <row r="2234" customFormat="false" ht="15" hidden="false" customHeight="false" outlineLevel="0" collapsed="false">
      <c r="A2234" s="57" t="n">
        <v>34180</v>
      </c>
      <c r="B2234" s="56" t="n">
        <v>1993</v>
      </c>
      <c r="C2234" s="56" t="n">
        <v>7</v>
      </c>
      <c r="D2234" s="56" t="n">
        <v>91</v>
      </c>
      <c r="E2234" s="56" t="n">
        <v>20.8</v>
      </c>
      <c r="F2234" s="56" t="n">
        <v>0</v>
      </c>
      <c r="G2234" s="56" t="n">
        <v>14.1</v>
      </c>
      <c r="H2234" s="56" t="n">
        <v>0</v>
      </c>
      <c r="I2234" s="56" t="n">
        <v>17.8</v>
      </c>
      <c r="J2234" s="56" t="n">
        <v>0</v>
      </c>
      <c r="K2234" s="56" t="n">
        <v>1013.7</v>
      </c>
      <c r="L2234" s="56" t="n">
        <v>0</v>
      </c>
      <c r="M2234" s="56" t="n">
        <v>72</v>
      </c>
      <c r="N2234" s="56" t="n">
        <v>5.3</v>
      </c>
      <c r="O2234" s="56" t="n">
        <f aca="false">IF(D2234=1,"",E2233)</f>
        <v>21.6</v>
      </c>
      <c r="P2234" s="56" t="n">
        <f aca="false">IF(OR(D2234=1,K2233=""),"",K2233)</f>
        <v>1013.8</v>
      </c>
      <c r="Q2234" s="56" t="n">
        <f aca="false">IF(OR(F2234&lt;&gt;0,AND(I2234&lt;&gt;"",E2234&lt;I2234)),1,0)</f>
        <v>0</v>
      </c>
      <c r="R2234" s="56" t="n">
        <f aca="false">IF(AND(D2234&gt;1,Q2234=0,ISNUMBER(O2234),ISNUMBER(P2234)),IF(Q2233=0,1,0),0)</f>
        <v>1</v>
      </c>
      <c r="S2234" s="56" t="n">
        <f aca="false">R2234*(B2234&gt;=Train_Start)*(B2234&lt;=Train_End)</f>
        <v>1</v>
      </c>
      <c r="T2234" s="84" t="n">
        <f aca="false">IF(AND(ISNUMBER(O2234),ISNUMBER(P2234)),Coef_A+Coef_B1*O2234+Coef_B2*P2234,"")</f>
        <v>21.5875011716555</v>
      </c>
      <c r="U2234" s="84" t="n">
        <f aca="false">IF(AND(R2234=1,ISNUMBER(T2234)),E2234-T2234,"")</f>
        <v>-0.787501171655546</v>
      </c>
      <c r="V2234" s="84" t="n">
        <f aca="false">IF(ISNUMBER(T2234),T2234,-99)</f>
        <v>21.5875011716555</v>
      </c>
      <c r="W2234" s="84" t="n">
        <f aca="false">IF(ISNUMBER(U2234),ABS(U2234),"")</f>
        <v>0.787501171655546</v>
      </c>
    </row>
    <row r="2235" customFormat="false" ht="15" hidden="false" customHeight="false" outlineLevel="0" collapsed="false">
      <c r="A2235" s="57" t="n">
        <v>34181</v>
      </c>
      <c r="B2235" s="56" t="n">
        <v>1993</v>
      </c>
      <c r="C2235" s="56" t="n">
        <v>7</v>
      </c>
      <c r="D2235" s="56" t="n">
        <v>92</v>
      </c>
      <c r="E2235" s="56" t="n">
        <v>22.3</v>
      </c>
      <c r="F2235" s="56" t="n">
        <v>0</v>
      </c>
      <c r="G2235" s="56" t="n">
        <v>10.9</v>
      </c>
      <c r="H2235" s="56" t="n">
        <v>0</v>
      </c>
      <c r="I2235" s="56" t="n">
        <v>15.8</v>
      </c>
      <c r="J2235" s="56" t="n">
        <v>0</v>
      </c>
      <c r="K2235" s="56" t="n">
        <v>1019</v>
      </c>
      <c r="L2235" s="56" t="n">
        <v>0</v>
      </c>
      <c r="M2235" s="56" t="n">
        <v>68</v>
      </c>
      <c r="N2235" s="56" t="n">
        <v>6.6</v>
      </c>
      <c r="O2235" s="56" t="n">
        <f aca="false">IF(D2235=1,"",E2234)</f>
        <v>20.8</v>
      </c>
      <c r="P2235" s="56" t="n">
        <f aca="false">IF(OR(D2235=1,K2234=""),"",K2234)</f>
        <v>1013.7</v>
      </c>
      <c r="Q2235" s="56" t="n">
        <f aca="false">IF(OR(F2235&lt;&gt;0,AND(I2235&lt;&gt;"",E2235&lt;I2235)),1,0)</f>
        <v>0</v>
      </c>
      <c r="R2235" s="56" t="n">
        <f aca="false">IF(AND(D2235&gt;1,Q2235=0,ISNUMBER(O2235),ISNUMBER(P2235)),IF(Q2234=0,1,0),0)</f>
        <v>1</v>
      </c>
      <c r="S2235" s="56" t="n">
        <f aca="false">R2235*(B2235&gt;=Train_Start)*(B2235&lt;=Train_End)</f>
        <v>1</v>
      </c>
      <c r="T2235" s="84" t="n">
        <f aca="false">IF(AND(ISNUMBER(O2235),ISNUMBER(P2235)),Coef_A+Coef_B1*O2235+Coef_B2*P2235,"")</f>
        <v>20.928892827758</v>
      </c>
      <c r="U2235" s="84" t="n">
        <f aca="false">IF(AND(R2235=1,ISNUMBER(T2235)),E2235-T2235,"")</f>
        <v>1.37110717224198</v>
      </c>
      <c r="V2235" s="84" t="n">
        <f aca="false">IF(ISNUMBER(T2235),T2235,-99)</f>
        <v>20.928892827758</v>
      </c>
      <c r="W2235" s="84" t="n">
        <f aca="false">IF(ISNUMBER(U2235),ABS(U2235),"")</f>
        <v>1.37110717224198</v>
      </c>
    </row>
    <row r="2236" customFormat="false" ht="15" hidden="false" customHeight="false" outlineLevel="0" collapsed="false">
      <c r="A2236" s="57" t="n">
        <v>34182</v>
      </c>
      <c r="B2236" s="56" t="n">
        <v>1993</v>
      </c>
      <c r="C2236" s="56" t="n">
        <v>8</v>
      </c>
      <c r="D2236" s="56" t="n">
        <v>93</v>
      </c>
      <c r="E2236" s="56" t="n">
        <v>22.3</v>
      </c>
      <c r="F2236" s="56" t="n">
        <v>0</v>
      </c>
      <c r="G2236" s="56" t="n">
        <v>10.2</v>
      </c>
      <c r="H2236" s="56" t="n">
        <v>0</v>
      </c>
      <c r="I2236" s="56" t="n">
        <v>16.2</v>
      </c>
      <c r="J2236" s="56" t="n">
        <v>0</v>
      </c>
      <c r="K2236" s="56" t="n">
        <v>1020.8</v>
      </c>
      <c r="L2236" s="56" t="n">
        <v>0</v>
      </c>
      <c r="M2236" s="56" t="n">
        <v>69</v>
      </c>
      <c r="N2236" s="56" t="n">
        <v>7.7</v>
      </c>
      <c r="O2236" s="56" t="n">
        <f aca="false">IF(D2236=1,"",E2235)</f>
        <v>22.3</v>
      </c>
      <c r="P2236" s="56" t="n">
        <f aca="false">IF(OR(D2236=1,K2235=""),"",K2235)</f>
        <v>1019</v>
      </c>
      <c r="Q2236" s="56" t="n">
        <f aca="false">IF(OR(F2236&lt;&gt;0,AND(I2236&lt;&gt;"",E2236&lt;I2236)),1,0)</f>
        <v>0</v>
      </c>
      <c r="R2236" s="56" t="n">
        <f aca="false">IF(AND(D2236&gt;1,Q2236=0,ISNUMBER(O2236),ISNUMBER(P2236)),IF(Q2235=0,1,0),0)</f>
        <v>1</v>
      </c>
      <c r="S2236" s="56" t="n">
        <f aca="false">R2236*(B2236&gt;=Train_Start)*(B2236&lt;=Train_End)</f>
        <v>1</v>
      </c>
      <c r="T2236" s="84" t="n">
        <f aca="false">IF(AND(ISNUMBER(O2236),ISNUMBER(P2236)),Coef_A+Coef_B1*O2236+Coef_B2*P2236,"")</f>
        <v>22.3241620588822</v>
      </c>
      <c r="U2236" s="84" t="n">
        <f aca="false">IF(AND(R2236=1,ISNUMBER(T2236)),E2236-T2236,"")</f>
        <v>-0.0241620588821547</v>
      </c>
      <c r="V2236" s="84" t="n">
        <f aca="false">IF(ISNUMBER(T2236),T2236,-99)</f>
        <v>22.3241620588822</v>
      </c>
      <c r="W2236" s="84" t="n">
        <f aca="false">IF(ISNUMBER(U2236),ABS(U2236),"")</f>
        <v>0.0241620588821547</v>
      </c>
    </row>
    <row r="2237" customFormat="false" ht="15" hidden="false" customHeight="false" outlineLevel="0" collapsed="false">
      <c r="A2237" s="57" t="n">
        <v>34183</v>
      </c>
      <c r="B2237" s="56" t="n">
        <v>1993</v>
      </c>
      <c r="C2237" s="56" t="n">
        <v>8</v>
      </c>
      <c r="D2237" s="56" t="n">
        <v>94</v>
      </c>
      <c r="E2237" s="56" t="n">
        <v>22.2</v>
      </c>
      <c r="F2237" s="56" t="n">
        <v>0</v>
      </c>
      <c r="G2237" s="56" t="n">
        <v>13.5</v>
      </c>
      <c r="H2237" s="56" t="n">
        <v>0</v>
      </c>
      <c r="I2237" s="56" t="n">
        <v>17.9</v>
      </c>
      <c r="J2237" s="56" t="n">
        <v>0</v>
      </c>
      <c r="K2237" s="56" t="n">
        <v>1015.2</v>
      </c>
      <c r="L2237" s="56" t="n">
        <v>0</v>
      </c>
      <c r="M2237" s="56" t="n">
        <v>70</v>
      </c>
      <c r="N2237" s="56" t="n">
        <v>6.1</v>
      </c>
      <c r="O2237" s="56" t="n">
        <f aca="false">IF(D2237=1,"",E2236)</f>
        <v>22.3</v>
      </c>
      <c r="P2237" s="56" t="n">
        <f aca="false">IF(OR(D2237=1,K2236=""),"",K2236)</f>
        <v>1020.8</v>
      </c>
      <c r="Q2237" s="56" t="n">
        <f aca="false">IF(OR(F2237&lt;&gt;0,AND(I2237&lt;&gt;"",E2237&lt;I2237)),1,0)</f>
        <v>0</v>
      </c>
      <c r="R2237" s="56" t="n">
        <f aca="false">IF(AND(D2237&gt;1,Q2237=0,ISNUMBER(O2237),ISNUMBER(P2237)),IF(Q2236=0,1,0),0)</f>
        <v>1</v>
      </c>
      <c r="S2237" s="56" t="n">
        <f aca="false">R2237*(B2237&gt;=Train_Start)*(B2237&lt;=Train_End)</f>
        <v>1</v>
      </c>
      <c r="T2237" s="84" t="n">
        <f aca="false">IF(AND(ISNUMBER(O2237),ISNUMBER(P2237)),Coef_A+Coef_B1*O2237+Coef_B2*P2237,"")</f>
        <v>22.3806278692233</v>
      </c>
      <c r="U2237" s="84" t="n">
        <f aca="false">IF(AND(R2237=1,ISNUMBER(T2237)),E2237-T2237,"")</f>
        <v>-0.180627869223333</v>
      </c>
      <c r="V2237" s="84" t="n">
        <f aca="false">IF(ISNUMBER(T2237),T2237,-99)</f>
        <v>22.3806278692233</v>
      </c>
      <c r="W2237" s="84" t="n">
        <f aca="false">IF(ISNUMBER(U2237),ABS(U2237),"")</f>
        <v>0.180627869223333</v>
      </c>
    </row>
    <row r="2238" customFormat="false" ht="15" hidden="false" customHeight="false" outlineLevel="0" collapsed="false">
      <c r="A2238" s="57" t="n">
        <v>34184</v>
      </c>
      <c r="B2238" s="56" t="n">
        <v>1993</v>
      </c>
      <c r="C2238" s="56" t="n">
        <v>8</v>
      </c>
      <c r="D2238" s="56" t="n">
        <v>95</v>
      </c>
      <c r="E2238" s="56" t="n">
        <v>20.4</v>
      </c>
      <c r="F2238" s="56" t="n">
        <v>0</v>
      </c>
      <c r="G2238" s="56" t="n">
        <v>13.3</v>
      </c>
      <c r="H2238" s="56" t="n">
        <v>0</v>
      </c>
      <c r="I2238" s="56" t="n">
        <v>17.8</v>
      </c>
      <c r="J2238" s="56" t="n">
        <v>0</v>
      </c>
      <c r="K2238" s="56" t="n">
        <v>1015.5</v>
      </c>
      <c r="L2238" s="56" t="n">
        <v>0</v>
      </c>
      <c r="M2238" s="56" t="n">
        <v>68</v>
      </c>
      <c r="N2238" s="56" t="n">
        <v>7.7</v>
      </c>
      <c r="O2238" s="56" t="n">
        <f aca="false">IF(D2238=1,"",E2237)</f>
        <v>22.2</v>
      </c>
      <c r="P2238" s="56" t="n">
        <f aca="false">IF(OR(D2238=1,K2237=""),"",K2237)</f>
        <v>1015.2</v>
      </c>
      <c r="Q2238" s="56" t="n">
        <f aca="false">IF(OR(F2238&lt;&gt;0,AND(I2238&lt;&gt;"",E2238&lt;I2238)),1,0)</f>
        <v>0</v>
      </c>
      <c r="R2238" s="56" t="n">
        <f aca="false">IF(AND(D2238&gt;1,Q2238=0,ISNUMBER(O2238),ISNUMBER(P2238)),IF(Q2237=0,1,0),0)</f>
        <v>1</v>
      </c>
      <c r="S2238" s="56" t="n">
        <f aca="false">R2238*(B2238&gt;=Train_Start)*(B2238&lt;=Train_End)</f>
        <v>1</v>
      </c>
      <c r="T2238" s="84" t="n">
        <f aca="false">IF(AND(ISNUMBER(O2238),ISNUMBER(P2238)),Coef_A+Coef_B1*O2238+Coef_B2*P2238,"")</f>
        <v>22.1230225399687</v>
      </c>
      <c r="U2238" s="84" t="n">
        <f aca="false">IF(AND(R2238=1,ISNUMBER(T2238)),E2238-T2238,"")</f>
        <v>-1.72302253996873</v>
      </c>
      <c r="V2238" s="84" t="n">
        <f aca="false">IF(ISNUMBER(T2238),T2238,-99)</f>
        <v>22.1230225399687</v>
      </c>
      <c r="W2238" s="84" t="n">
        <f aca="false">IF(ISNUMBER(U2238),ABS(U2238),"")</f>
        <v>1.72302253996873</v>
      </c>
    </row>
    <row r="2239" customFormat="false" ht="15" hidden="false" customHeight="false" outlineLevel="0" collapsed="false">
      <c r="A2239" s="57" t="n">
        <v>34185</v>
      </c>
      <c r="B2239" s="56" t="n">
        <v>1993</v>
      </c>
      <c r="C2239" s="56" t="n">
        <v>8</v>
      </c>
      <c r="D2239" s="56" t="n">
        <v>96</v>
      </c>
      <c r="E2239" s="56" t="n">
        <v>21.8</v>
      </c>
      <c r="F2239" s="56" t="n">
        <v>0</v>
      </c>
      <c r="G2239" s="56" t="n">
        <v>13</v>
      </c>
      <c r="H2239" s="56" t="n">
        <v>0</v>
      </c>
      <c r="I2239" s="56" t="n">
        <v>16.7</v>
      </c>
      <c r="J2239" s="56" t="n">
        <v>0</v>
      </c>
      <c r="K2239" s="56" t="n">
        <v>1017.4</v>
      </c>
      <c r="L2239" s="56" t="n">
        <v>0</v>
      </c>
      <c r="M2239" s="56" t="n">
        <v>77</v>
      </c>
      <c r="N2239" s="56" t="n">
        <v>2.1</v>
      </c>
      <c r="O2239" s="56" t="n">
        <f aca="false">IF(D2239=1,"",E2238)</f>
        <v>20.4</v>
      </c>
      <c r="P2239" s="56" t="n">
        <f aca="false">IF(OR(D2239=1,K2238=""),"",K2238)</f>
        <v>1015.5</v>
      </c>
      <c r="Q2239" s="56" t="n">
        <f aca="false">IF(OR(F2239&lt;&gt;0,AND(I2239&lt;&gt;"",E2239&lt;I2239)),1,0)</f>
        <v>0</v>
      </c>
      <c r="R2239" s="56" t="n">
        <f aca="false">IF(AND(D2239&gt;1,Q2239=0,ISNUMBER(O2239),ISNUMBER(P2239)),IF(Q2238=0,1,0),0)</f>
        <v>1</v>
      </c>
      <c r="S2239" s="56" t="n">
        <f aca="false">R2239*(B2239&gt;=Train_Start)*(B2239&lt;=Train_End)</f>
        <v>1</v>
      </c>
      <c r="T2239" s="84" t="n">
        <f aca="false">IF(AND(ISNUMBER(O2239),ISNUMBER(P2239)),Coef_A+Coef_B1*O2239+Coef_B2*P2239,"")</f>
        <v>20.6576229608821</v>
      </c>
      <c r="U2239" s="84" t="n">
        <f aca="false">IF(AND(R2239=1,ISNUMBER(T2239)),E2239-T2239,"")</f>
        <v>1.14237703911786</v>
      </c>
      <c r="V2239" s="84" t="n">
        <f aca="false">IF(ISNUMBER(T2239),T2239,-99)</f>
        <v>20.6576229608821</v>
      </c>
      <c r="W2239" s="84" t="n">
        <f aca="false">IF(ISNUMBER(U2239),ABS(U2239),"")</f>
        <v>1.14237703911786</v>
      </c>
    </row>
    <row r="2240" customFormat="false" ht="15" hidden="false" customHeight="false" outlineLevel="0" collapsed="false">
      <c r="A2240" s="57" t="n">
        <v>34186</v>
      </c>
      <c r="B2240" s="56" t="n">
        <v>1993</v>
      </c>
      <c r="C2240" s="56" t="n">
        <v>8</v>
      </c>
      <c r="D2240" s="56" t="n">
        <v>97</v>
      </c>
      <c r="E2240" s="56" t="n">
        <v>22.2</v>
      </c>
      <c r="F2240" s="56" t="n">
        <v>0</v>
      </c>
      <c r="G2240" s="56" t="n">
        <v>14.1</v>
      </c>
      <c r="H2240" s="56" t="n">
        <v>0</v>
      </c>
      <c r="I2240" s="56" t="n">
        <v>18</v>
      </c>
      <c r="J2240" s="56" t="n">
        <v>0</v>
      </c>
      <c r="K2240" s="56" t="n">
        <v>1016.2</v>
      </c>
      <c r="L2240" s="56" t="n">
        <v>0</v>
      </c>
      <c r="M2240" s="56" t="n">
        <v>67</v>
      </c>
      <c r="N2240" s="56" t="n">
        <v>9.8</v>
      </c>
      <c r="O2240" s="56" t="n">
        <f aca="false">IF(D2240=1,"",E2239)</f>
        <v>21.8</v>
      </c>
      <c r="P2240" s="56" t="n">
        <f aca="false">IF(OR(D2240=1,K2239=""),"",K2239)</f>
        <v>1017.4</v>
      </c>
      <c r="Q2240" s="56" t="n">
        <f aca="false">IF(OR(F2240&lt;&gt;0,AND(I2240&lt;&gt;"",E2240&lt;I2240)),1,0)</f>
        <v>0</v>
      </c>
      <c r="R2240" s="56" t="n">
        <f aca="false">IF(AND(D2240&gt;1,Q2240=0,ISNUMBER(O2240),ISNUMBER(P2240)),IF(Q2239=0,1,0),0)</f>
        <v>1</v>
      </c>
      <c r="S2240" s="56" t="n">
        <f aca="false">R2240*(B2240&gt;=Train_Start)*(B2240&lt;=Train_End)</f>
        <v>1</v>
      </c>
      <c r="T2240" s="84" t="n">
        <f aca="false">IF(AND(ISNUMBER(O2240),ISNUMBER(P2240)),Coef_A+Coef_B1*O2240+Coef_B2*P2240,"")</f>
        <v>21.8643006309464</v>
      </c>
      <c r="U2240" s="84" t="n">
        <f aca="false">IF(AND(R2240=1,ISNUMBER(T2240)),E2240-T2240,"")</f>
        <v>0.335699369053557</v>
      </c>
      <c r="V2240" s="84" t="n">
        <f aca="false">IF(ISNUMBER(T2240),T2240,-99)</f>
        <v>21.8643006309464</v>
      </c>
      <c r="W2240" s="84" t="n">
        <f aca="false">IF(ISNUMBER(U2240),ABS(U2240),"")</f>
        <v>0.335699369053557</v>
      </c>
    </row>
    <row r="2241" customFormat="false" ht="15" hidden="false" customHeight="false" outlineLevel="0" collapsed="false">
      <c r="A2241" s="57" t="n">
        <v>34187</v>
      </c>
      <c r="B2241" s="56" t="n">
        <v>1993</v>
      </c>
      <c r="C2241" s="56" t="n">
        <v>8</v>
      </c>
      <c r="D2241" s="56" t="n">
        <v>98</v>
      </c>
      <c r="E2241" s="56" t="n">
        <v>24.2</v>
      </c>
      <c r="F2241" s="56" t="n">
        <v>0</v>
      </c>
      <c r="G2241" s="56" t="n">
        <v>9.1</v>
      </c>
      <c r="H2241" s="56" t="n">
        <v>0</v>
      </c>
      <c r="I2241" s="56" t="n">
        <v>15.6</v>
      </c>
      <c r="J2241" s="56" t="n">
        <v>0</v>
      </c>
      <c r="K2241" s="56" t="n">
        <v>1023.1</v>
      </c>
      <c r="L2241" s="56" t="n">
        <v>0</v>
      </c>
      <c r="M2241" s="56" t="n">
        <v>71</v>
      </c>
      <c r="N2241" s="56" t="n">
        <v>5.1</v>
      </c>
      <c r="O2241" s="56" t="n">
        <f aca="false">IF(D2241=1,"",E2240)</f>
        <v>22.2</v>
      </c>
      <c r="P2241" s="56" t="n">
        <f aca="false">IF(OR(D2241=1,K2240=""),"",K2240)</f>
        <v>1016.2</v>
      </c>
      <c r="Q2241" s="56" t="n">
        <f aca="false">IF(OR(F2241&lt;&gt;0,AND(I2241&lt;&gt;"",E2241&lt;I2241)),1,0)</f>
        <v>0</v>
      </c>
      <c r="R2241" s="56" t="n">
        <f aca="false">IF(AND(D2241&gt;1,Q2241=0,ISNUMBER(O2241),ISNUMBER(P2241)),IF(Q2240=0,1,0),0)</f>
        <v>1</v>
      </c>
      <c r="S2241" s="56" t="n">
        <f aca="false">R2241*(B2241&gt;=Train_Start)*(B2241&lt;=Train_End)</f>
        <v>1</v>
      </c>
      <c r="T2241" s="84" t="n">
        <f aca="false">IF(AND(ISNUMBER(O2241),ISNUMBER(P2241)),Coef_A+Coef_B1*O2241+Coef_B2*P2241,"")</f>
        <v>22.1543924346027</v>
      </c>
      <c r="U2241" s="84" t="n">
        <f aca="false">IF(AND(R2241=1,ISNUMBER(T2241)),E2241-T2241,"")</f>
        <v>2.04560756539728</v>
      </c>
      <c r="V2241" s="84" t="n">
        <f aca="false">IF(ISNUMBER(T2241),T2241,-99)</f>
        <v>22.1543924346027</v>
      </c>
      <c r="W2241" s="84" t="n">
        <f aca="false">IF(ISNUMBER(U2241),ABS(U2241),"")</f>
        <v>2.04560756539728</v>
      </c>
    </row>
    <row r="2242" customFormat="false" ht="15" hidden="false" customHeight="false" outlineLevel="0" collapsed="false">
      <c r="A2242" s="57" t="n">
        <v>34188</v>
      </c>
      <c r="B2242" s="56" t="n">
        <v>1993</v>
      </c>
      <c r="C2242" s="56" t="n">
        <v>8</v>
      </c>
      <c r="D2242" s="56" t="n">
        <v>99</v>
      </c>
      <c r="E2242" s="56" t="n">
        <v>21.7</v>
      </c>
      <c r="F2242" s="56" t="n">
        <v>0</v>
      </c>
      <c r="G2242" s="56" t="n">
        <v>13.5</v>
      </c>
      <c r="H2242" s="56" t="n">
        <v>0</v>
      </c>
      <c r="I2242" s="56" t="n">
        <v>18.8</v>
      </c>
      <c r="J2242" s="56" t="n">
        <v>0</v>
      </c>
      <c r="K2242" s="56" t="n">
        <v>1020.3</v>
      </c>
      <c r="L2242" s="56" t="n">
        <v>0</v>
      </c>
      <c r="M2242" s="56" t="n">
        <v>63</v>
      </c>
      <c r="N2242" s="56" t="n">
        <v>10.9</v>
      </c>
      <c r="O2242" s="56" t="n">
        <f aca="false">IF(D2242=1,"",E2241)</f>
        <v>24.2</v>
      </c>
      <c r="P2242" s="56" t="n">
        <f aca="false">IF(OR(D2242=1,K2241=""),"",K2241)</f>
        <v>1023.1</v>
      </c>
      <c r="Q2242" s="56" t="n">
        <f aca="false">IF(OR(F2242&lt;&gt;0,AND(I2242&lt;&gt;"",E2242&lt;I2242)),1,0)</f>
        <v>0</v>
      </c>
      <c r="R2242" s="56" t="n">
        <f aca="false">IF(AND(D2242&gt;1,Q2242=0,ISNUMBER(O2242),ISNUMBER(P2242)),IF(Q2241=0,1,0),0)</f>
        <v>1</v>
      </c>
      <c r="S2242" s="56" t="n">
        <f aca="false">R2242*(B2242&gt;=Train_Start)*(B2242&lt;=Train_End)</f>
        <v>1</v>
      </c>
      <c r="T2242" s="84" t="n">
        <f aca="false">IF(AND(ISNUMBER(O2242),ISNUMBER(P2242)),Coef_A+Coef_B1*O2242+Coef_B2*P2242,"")</f>
        <v>24.0095230936626</v>
      </c>
      <c r="U2242" s="84" t="n">
        <f aca="false">IF(AND(R2242=1,ISNUMBER(T2242)),E2242-T2242,"")</f>
        <v>-2.30952309366256</v>
      </c>
      <c r="V2242" s="84" t="n">
        <f aca="false">IF(ISNUMBER(T2242),T2242,-99)</f>
        <v>24.0095230936626</v>
      </c>
      <c r="W2242" s="84" t="n">
        <f aca="false">IF(ISNUMBER(U2242),ABS(U2242),"")</f>
        <v>2.30952309366256</v>
      </c>
    </row>
    <row r="2243" customFormat="false" ht="15" hidden="false" customHeight="false" outlineLevel="0" collapsed="false">
      <c r="A2243" s="57" t="n">
        <v>34189</v>
      </c>
      <c r="B2243" s="56" t="n">
        <v>1993</v>
      </c>
      <c r="C2243" s="56" t="n">
        <v>8</v>
      </c>
      <c r="D2243" s="56" t="n">
        <v>100</v>
      </c>
      <c r="E2243" s="56" t="n">
        <v>23.2</v>
      </c>
      <c r="F2243" s="56" t="n">
        <v>0</v>
      </c>
      <c r="G2243" s="56" t="n">
        <v>15</v>
      </c>
      <c r="H2243" s="56" t="n">
        <v>0</v>
      </c>
      <c r="I2243" s="56" t="n">
        <v>18.4</v>
      </c>
      <c r="J2243" s="56" t="n">
        <v>0</v>
      </c>
      <c r="K2243" s="56" t="n">
        <v>1018.1</v>
      </c>
      <c r="L2243" s="56" t="n">
        <v>0</v>
      </c>
      <c r="M2243" s="56" t="n">
        <v>64</v>
      </c>
      <c r="N2243" s="56" t="n">
        <v>5.6</v>
      </c>
      <c r="O2243" s="56" t="n">
        <f aca="false">IF(D2243=1,"",E2242)</f>
        <v>21.7</v>
      </c>
      <c r="P2243" s="56" t="n">
        <f aca="false">IF(OR(D2243=1,K2242=""),"",K2242)</f>
        <v>1020.3</v>
      </c>
      <c r="Q2243" s="56" t="n">
        <f aca="false">IF(OR(F2243&lt;&gt;0,AND(I2243&lt;&gt;"",E2243&lt;I2243)),1,0)</f>
        <v>0</v>
      </c>
      <c r="R2243" s="56" t="n">
        <f aca="false">IF(AND(D2243&gt;1,Q2243=0,ISNUMBER(O2243),ISNUMBER(P2243)),IF(Q2242=0,1,0),0)</f>
        <v>1</v>
      </c>
      <c r="S2243" s="56" t="n">
        <f aca="false">R2243*(B2243&gt;=Train_Start)*(B2243&lt;=Train_End)</f>
        <v>1</v>
      </c>
      <c r="T2243" s="84" t="n">
        <f aca="false">IF(AND(ISNUMBER(O2243),ISNUMBER(P2243)),Coef_A+Coef_B1*O2243+Coef_B2*P2243,"")</f>
        <v>21.8733394060807</v>
      </c>
      <c r="U2243" s="84" t="n">
        <f aca="false">IF(AND(R2243=1,ISNUMBER(T2243)),E2243-T2243,"")</f>
        <v>1.32666059391925</v>
      </c>
      <c r="V2243" s="84" t="n">
        <f aca="false">IF(ISNUMBER(T2243),T2243,-99)</f>
        <v>21.8733394060807</v>
      </c>
      <c r="W2243" s="84" t="n">
        <f aca="false">IF(ISNUMBER(U2243),ABS(U2243),"")</f>
        <v>1.32666059391925</v>
      </c>
    </row>
    <row r="2244" customFormat="false" ht="15" hidden="false" customHeight="false" outlineLevel="0" collapsed="false">
      <c r="A2244" s="57" t="n">
        <v>34190</v>
      </c>
      <c r="B2244" s="56" t="n">
        <v>1993</v>
      </c>
      <c r="C2244" s="56" t="n">
        <v>8</v>
      </c>
      <c r="D2244" s="56" t="n">
        <v>101</v>
      </c>
      <c r="E2244" s="56" t="n">
        <v>19.4</v>
      </c>
      <c r="F2244" s="56" t="n">
        <v>0</v>
      </c>
      <c r="G2244" s="56" t="n">
        <v>14.5</v>
      </c>
      <c r="H2244" s="56" t="n">
        <v>0</v>
      </c>
      <c r="I2244" s="56" t="n">
        <v>18.8</v>
      </c>
      <c r="J2244" s="56" t="n">
        <v>0</v>
      </c>
      <c r="K2244" s="56" t="n">
        <v>1012</v>
      </c>
      <c r="L2244" s="56" t="n">
        <v>0</v>
      </c>
      <c r="M2244" s="56" t="n">
        <v>76</v>
      </c>
      <c r="N2244" s="56" t="n">
        <v>1.9</v>
      </c>
      <c r="O2244" s="56" t="n">
        <f aca="false">IF(D2244=1,"",E2243)</f>
        <v>23.2</v>
      </c>
      <c r="P2244" s="56" t="n">
        <f aca="false">IF(OR(D2244=1,K2243=""),"",K2243)</f>
        <v>1018.1</v>
      </c>
      <c r="Q2244" s="56" t="n">
        <f aca="false">IF(OR(F2244&lt;&gt;0,AND(I2244&lt;&gt;"",E2244&lt;I2244)),1,0)</f>
        <v>0</v>
      </c>
      <c r="R2244" s="56" t="n">
        <f aca="false">IF(AND(D2244&gt;1,Q2244=0,ISNUMBER(O2244),ISNUMBER(P2244)),IF(Q2243=0,1,0),0)</f>
        <v>1</v>
      </c>
      <c r="S2244" s="56" t="n">
        <f aca="false">R2244*(B2244&gt;=Train_Start)*(B2244&lt;=Train_End)</f>
        <v>1</v>
      </c>
      <c r="T2244" s="84" t="n">
        <f aca="false">IF(AND(ISNUMBER(O2244),ISNUMBER(P2244)),Coef_A+Coef_B1*O2244+Coef_B2*P2244,"")</f>
        <v>23.03333442745</v>
      </c>
      <c r="U2244" s="84" t="n">
        <f aca="false">IF(AND(R2244=1,ISNUMBER(T2244)),E2244-T2244,"")</f>
        <v>-3.63333442744996</v>
      </c>
      <c r="V2244" s="84" t="n">
        <f aca="false">IF(ISNUMBER(T2244),T2244,-99)</f>
        <v>23.03333442745</v>
      </c>
      <c r="W2244" s="84" t="n">
        <f aca="false">IF(ISNUMBER(U2244),ABS(U2244),"")</f>
        <v>3.63333442744996</v>
      </c>
    </row>
    <row r="2245" customFormat="false" ht="15" hidden="false" customHeight="false" outlineLevel="0" collapsed="false">
      <c r="A2245" s="57" t="n">
        <v>34191</v>
      </c>
      <c r="B2245" s="56" t="n">
        <v>1993</v>
      </c>
      <c r="C2245" s="56" t="n">
        <v>8</v>
      </c>
      <c r="D2245" s="56" t="n">
        <v>102</v>
      </c>
      <c r="E2245" s="56" t="n">
        <v>21.1</v>
      </c>
      <c r="F2245" s="56" t="n">
        <v>0</v>
      </c>
      <c r="G2245" s="56" t="n">
        <v>13.6</v>
      </c>
      <c r="H2245" s="56" t="n">
        <v>0</v>
      </c>
      <c r="I2245" s="56" t="n">
        <v>16.5</v>
      </c>
      <c r="J2245" s="56" t="n">
        <v>0</v>
      </c>
      <c r="K2245" s="56" t="n">
        <v>1012.5</v>
      </c>
      <c r="L2245" s="56" t="n">
        <v>0</v>
      </c>
      <c r="M2245" s="56" t="n">
        <v>58</v>
      </c>
      <c r="N2245" s="56" t="n">
        <v>7.7</v>
      </c>
      <c r="O2245" s="56" t="n">
        <f aca="false">IF(D2245=1,"",E2244)</f>
        <v>19.4</v>
      </c>
      <c r="P2245" s="56" t="n">
        <f aca="false">IF(OR(D2245=1,K2244=""),"",K2244)</f>
        <v>1012</v>
      </c>
      <c r="Q2245" s="56" t="n">
        <f aca="false">IF(OR(F2245&lt;&gt;0,AND(I2245&lt;&gt;"",E2245&lt;I2245)),1,0)</f>
        <v>0</v>
      </c>
      <c r="R2245" s="56" t="n">
        <f aca="false">IF(AND(D2245&gt;1,Q2245=0,ISNUMBER(O2245),ISNUMBER(P2245)),IF(Q2244=0,1,0),0)</f>
        <v>1</v>
      </c>
      <c r="S2245" s="56" t="n">
        <f aca="false">R2245*(B2245&gt;=Train_Start)*(B2245&lt;=Train_End)</f>
        <v>1</v>
      </c>
      <c r="T2245" s="84" t="n">
        <f aca="false">IF(AND(ISNUMBER(O2245),ISNUMBER(P2245)),Coef_A+Coef_B1*O2245+Coef_B2*P2245,"")</f>
        <v>19.7284891366205</v>
      </c>
      <c r="U2245" s="84" t="n">
        <f aca="false">IF(AND(R2245=1,ISNUMBER(T2245)),E2245-T2245,"")</f>
        <v>1.37151086337948</v>
      </c>
      <c r="V2245" s="84" t="n">
        <f aca="false">IF(ISNUMBER(T2245),T2245,-99)</f>
        <v>19.7284891366205</v>
      </c>
      <c r="W2245" s="84" t="n">
        <f aca="false">IF(ISNUMBER(U2245),ABS(U2245),"")</f>
        <v>1.37151086337948</v>
      </c>
    </row>
    <row r="2246" customFormat="false" ht="15" hidden="false" customHeight="false" outlineLevel="0" collapsed="false">
      <c r="A2246" s="57" t="n">
        <v>34192</v>
      </c>
      <c r="B2246" s="56" t="n">
        <v>1993</v>
      </c>
      <c r="C2246" s="56" t="n">
        <v>8</v>
      </c>
      <c r="D2246" s="56" t="n">
        <v>103</v>
      </c>
      <c r="E2246" s="56" t="n">
        <v>21</v>
      </c>
      <c r="F2246" s="56" t="n">
        <v>0</v>
      </c>
      <c r="G2246" s="56" t="n">
        <v>11</v>
      </c>
      <c r="H2246" s="56" t="n">
        <v>0</v>
      </c>
      <c r="I2246" s="56" t="n">
        <v>16</v>
      </c>
      <c r="J2246" s="56" t="n">
        <v>0</v>
      </c>
      <c r="K2246" s="56" t="n">
        <v>1009.2</v>
      </c>
      <c r="L2246" s="56" t="n">
        <v>0</v>
      </c>
      <c r="M2246" s="56" t="n">
        <v>76</v>
      </c>
      <c r="N2246" s="56" t="n">
        <v>1.1</v>
      </c>
      <c r="O2246" s="56" t="n">
        <f aca="false">IF(D2246=1,"",E2245)</f>
        <v>21.1</v>
      </c>
      <c r="P2246" s="56" t="n">
        <f aca="false">IF(OR(D2246=1,K2245=""),"",K2245)</f>
        <v>1012.5</v>
      </c>
      <c r="Q2246" s="56" t="n">
        <f aca="false">IF(OR(F2246&lt;&gt;0,AND(I2246&lt;&gt;"",E2246&lt;I2246)),1,0)</f>
        <v>0</v>
      </c>
      <c r="R2246" s="56" t="n">
        <f aca="false">IF(AND(D2246&gt;1,Q2246=0,ISNUMBER(O2246),ISNUMBER(P2246)),IF(Q2245=0,1,0),0)</f>
        <v>1</v>
      </c>
      <c r="S2246" s="56" t="n">
        <f aca="false">R2246*(B2246&gt;=Train_Start)*(B2246&lt;=Train_End)</f>
        <v>1</v>
      </c>
      <c r="T2246" s="84" t="n">
        <f aca="false">IF(AND(ISNUMBER(O2246),ISNUMBER(P2246)),Coef_A+Coef_B1*O2246+Coef_B2*P2246,"")</f>
        <v>21.13705071211</v>
      </c>
      <c r="U2246" s="84" t="n">
        <f aca="false">IF(AND(R2246=1,ISNUMBER(T2246)),E2246-T2246,"")</f>
        <v>-0.137050712110032</v>
      </c>
      <c r="V2246" s="84" t="n">
        <f aca="false">IF(ISNUMBER(T2246),T2246,-99)</f>
        <v>21.13705071211</v>
      </c>
      <c r="W2246" s="84" t="n">
        <f aca="false">IF(ISNUMBER(U2246),ABS(U2246),"")</f>
        <v>0.137050712110032</v>
      </c>
    </row>
    <row r="2247" customFormat="false" ht="15" hidden="false" customHeight="false" outlineLevel="0" collapsed="false">
      <c r="A2247" s="57" t="n">
        <v>34193</v>
      </c>
      <c r="B2247" s="56" t="n">
        <v>1993</v>
      </c>
      <c r="C2247" s="56" t="n">
        <v>8</v>
      </c>
      <c r="D2247" s="56" t="n">
        <v>104</v>
      </c>
      <c r="E2247" s="56" t="n">
        <v>21.2</v>
      </c>
      <c r="F2247" s="56" t="n">
        <v>0</v>
      </c>
      <c r="G2247" s="56" t="n">
        <v>13.5</v>
      </c>
      <c r="H2247" s="56" t="n">
        <v>0</v>
      </c>
      <c r="I2247" s="56" t="n">
        <v>17.2</v>
      </c>
      <c r="J2247" s="56" t="n">
        <v>0</v>
      </c>
      <c r="K2247" s="56" t="n">
        <v>1008.6</v>
      </c>
      <c r="L2247" s="56" t="n">
        <v>0</v>
      </c>
      <c r="M2247" s="56" t="n">
        <v>72</v>
      </c>
      <c r="N2247" s="56" t="n">
        <v>8.8</v>
      </c>
      <c r="O2247" s="56" t="n">
        <f aca="false">IF(D2247=1,"",E2246)</f>
        <v>21</v>
      </c>
      <c r="P2247" s="56" t="n">
        <f aca="false">IF(OR(D2247=1,K2246=""),"",K2246)</f>
        <v>1009.2</v>
      </c>
      <c r="Q2247" s="56" t="n">
        <f aca="false">IF(OR(F2247&lt;&gt;0,AND(I2247&lt;&gt;"",E2247&lt;I2247)),1,0)</f>
        <v>0</v>
      </c>
      <c r="R2247" s="56" t="n">
        <f aca="false">IF(AND(D2247&gt;1,Q2247=0,ISNUMBER(O2247),ISNUMBER(P2247)),IF(Q2246=0,1,0),0)</f>
        <v>1</v>
      </c>
      <c r="S2247" s="56" t="n">
        <f aca="false">R2247*(B2247&gt;=Train_Start)*(B2247&lt;=Train_End)</f>
        <v>1</v>
      </c>
      <c r="T2247" s="84" t="n">
        <f aca="false">IF(AND(ISNUMBER(O2247),ISNUMBER(P2247)),Coef_A+Coef_B1*O2247+Coef_B2*P2247,"")</f>
        <v>20.9515961405136</v>
      </c>
      <c r="U2247" s="84" t="n">
        <f aca="false">IF(AND(R2247=1,ISNUMBER(T2247)),E2247-T2247,"")</f>
        <v>0.248403859486395</v>
      </c>
      <c r="V2247" s="84" t="n">
        <f aca="false">IF(ISNUMBER(T2247),T2247,-99)</f>
        <v>20.9515961405136</v>
      </c>
      <c r="W2247" s="84" t="n">
        <f aca="false">IF(ISNUMBER(U2247),ABS(U2247),"")</f>
        <v>0.248403859486395</v>
      </c>
    </row>
    <row r="2248" customFormat="false" ht="15" hidden="false" customHeight="false" outlineLevel="0" collapsed="false">
      <c r="A2248" s="57" t="n">
        <v>34194</v>
      </c>
      <c r="B2248" s="56" t="n">
        <v>1993</v>
      </c>
      <c r="C2248" s="56" t="n">
        <v>8</v>
      </c>
      <c r="D2248" s="56" t="n">
        <v>105</v>
      </c>
      <c r="E2248" s="56" t="n">
        <v>25.9</v>
      </c>
      <c r="F2248" s="56" t="n">
        <v>0</v>
      </c>
      <c r="G2248" s="56" t="n">
        <v>8.2</v>
      </c>
      <c r="H2248" s="56" t="n">
        <v>0</v>
      </c>
      <c r="I2248" s="56" t="n">
        <v>14.7</v>
      </c>
      <c r="J2248" s="56" t="n">
        <v>0</v>
      </c>
      <c r="K2248" s="56" t="n">
        <v>1020.4</v>
      </c>
      <c r="L2248" s="56" t="n">
        <v>0</v>
      </c>
      <c r="M2248" s="56" t="n">
        <v>63</v>
      </c>
      <c r="N2248" s="56" t="n">
        <v>12.2</v>
      </c>
      <c r="O2248" s="56" t="n">
        <f aca="false">IF(D2248=1,"",E2247)</f>
        <v>21.2</v>
      </c>
      <c r="P2248" s="56" t="n">
        <f aca="false">IF(OR(D2248=1,K2247=""),"",K2247)</f>
        <v>1008.6</v>
      </c>
      <c r="Q2248" s="56" t="n">
        <f aca="false">IF(OR(F2248&lt;&gt;0,AND(I2248&lt;&gt;"",E2248&lt;I2248)),1,0)</f>
        <v>0</v>
      </c>
      <c r="R2248" s="56" t="n">
        <f aca="false">IF(AND(D2248&gt;1,Q2248=0,ISNUMBER(O2248),ISNUMBER(P2248)),IF(Q2247=0,1,0),0)</f>
        <v>1</v>
      </c>
      <c r="S2248" s="56" t="n">
        <f aca="false">R2248*(B2248&gt;=Train_Start)*(B2248&lt;=Train_End)</f>
        <v>1</v>
      </c>
      <c r="T2248" s="84" t="n">
        <f aca="false">IF(AND(ISNUMBER(O2248),ISNUMBER(P2248)),Coef_A+Coef_B1*O2248+Coef_B2*P2248,"")</f>
        <v>21.0966420423417</v>
      </c>
      <c r="U2248" s="84" t="n">
        <f aca="false">IF(AND(R2248=1,ISNUMBER(T2248)),E2248-T2248,"")</f>
        <v>4.80335795765826</v>
      </c>
      <c r="V2248" s="84" t="n">
        <f aca="false">IF(ISNUMBER(T2248),T2248,-99)</f>
        <v>21.0966420423417</v>
      </c>
      <c r="W2248" s="84" t="n">
        <f aca="false">IF(ISNUMBER(U2248),ABS(U2248),"")</f>
        <v>4.80335795765826</v>
      </c>
    </row>
    <row r="2249" customFormat="false" ht="15" hidden="false" customHeight="false" outlineLevel="0" collapsed="false">
      <c r="A2249" s="57" t="n">
        <v>34195</v>
      </c>
      <c r="B2249" s="56" t="n">
        <v>1993</v>
      </c>
      <c r="C2249" s="56" t="n">
        <v>8</v>
      </c>
      <c r="D2249" s="56" t="n">
        <v>106</v>
      </c>
      <c r="E2249" s="56" t="n">
        <v>23.1</v>
      </c>
      <c r="F2249" s="56" t="n">
        <v>0</v>
      </c>
      <c r="G2249" s="56" t="n">
        <v>11.5</v>
      </c>
      <c r="H2249" s="56" t="n">
        <v>0</v>
      </c>
      <c r="I2249" s="56" t="n">
        <v>18.7</v>
      </c>
      <c r="J2249" s="56" t="n">
        <v>0</v>
      </c>
      <c r="K2249" s="56" t="n">
        <v>1013.4</v>
      </c>
      <c r="L2249" s="56" t="n">
        <v>0</v>
      </c>
      <c r="M2249" s="56" t="n">
        <v>61</v>
      </c>
      <c r="N2249" s="56" t="n">
        <v>9.8</v>
      </c>
      <c r="O2249" s="56" t="n">
        <f aca="false">IF(D2249=1,"",E2248)</f>
        <v>25.9</v>
      </c>
      <c r="P2249" s="56" t="n">
        <f aca="false">IF(OR(D2249=1,K2248=""),"",K2248)</f>
        <v>1020.4</v>
      </c>
      <c r="Q2249" s="56" t="n">
        <f aca="false">IF(OR(F2249&lt;&gt;0,AND(I2249&lt;&gt;"",E2249&lt;I2249)),1,0)</f>
        <v>0</v>
      </c>
      <c r="R2249" s="56" t="n">
        <f aca="false">IF(AND(D2249&gt;1,Q2249=0,ISNUMBER(O2249),ISNUMBER(P2249)),IF(Q2248=0,1,0),0)</f>
        <v>1</v>
      </c>
      <c r="S2249" s="56" t="n">
        <f aca="false">R2249*(B2249&gt;=Train_Start)*(B2249&lt;=Train_End)</f>
        <v>1</v>
      </c>
      <c r="T2249" s="84" t="n">
        <f aca="false">IF(AND(ISNUMBER(O2249),ISNUMBER(P2249)),Coef_A+Coef_B1*O2249+Coef_B2*P2249,"")</f>
        <v>25.3177010063233</v>
      </c>
      <c r="U2249" s="84" t="n">
        <f aca="false">IF(AND(R2249=1,ISNUMBER(T2249)),E2249-T2249,"")</f>
        <v>-2.2177010063233</v>
      </c>
      <c r="V2249" s="84" t="n">
        <f aca="false">IF(ISNUMBER(T2249),T2249,-99)</f>
        <v>25.3177010063233</v>
      </c>
      <c r="W2249" s="84" t="n">
        <f aca="false">IF(ISNUMBER(U2249),ABS(U2249),"")</f>
        <v>2.2177010063233</v>
      </c>
    </row>
    <row r="2250" customFormat="false" ht="15" hidden="false" customHeight="false" outlineLevel="0" collapsed="false">
      <c r="A2250" s="57" t="n">
        <v>34196</v>
      </c>
      <c r="B2250" s="56" t="n">
        <v>1993</v>
      </c>
      <c r="C2250" s="56" t="n">
        <v>8</v>
      </c>
      <c r="D2250" s="56" t="n">
        <v>107</v>
      </c>
      <c r="E2250" s="56" t="n">
        <v>22.4</v>
      </c>
      <c r="F2250" s="56" t="n">
        <v>0</v>
      </c>
      <c r="G2250" s="56" t="n">
        <v>15.3</v>
      </c>
      <c r="H2250" s="56" t="n">
        <v>0</v>
      </c>
      <c r="I2250" s="56" t="n">
        <v>19.2</v>
      </c>
      <c r="J2250" s="56" t="n">
        <v>0</v>
      </c>
      <c r="K2250" s="56" t="n">
        <v>1013.4</v>
      </c>
      <c r="L2250" s="56" t="n">
        <v>0</v>
      </c>
      <c r="M2250" s="56" t="n">
        <v>72</v>
      </c>
      <c r="N2250" s="56" t="n">
        <v>4.6</v>
      </c>
      <c r="O2250" s="56" t="n">
        <f aca="false">IF(D2250=1,"",E2249)</f>
        <v>23.1</v>
      </c>
      <c r="P2250" s="56" t="n">
        <f aca="false">IF(OR(D2250=1,K2249=""),"",K2249)</f>
        <v>1013.4</v>
      </c>
      <c r="Q2250" s="56" t="n">
        <f aca="false">IF(OR(F2250&lt;&gt;0,AND(I2250&lt;&gt;"",E2250&lt;I2250)),1,0)</f>
        <v>0</v>
      </c>
      <c r="R2250" s="56" t="n">
        <f aca="false">IF(AND(D2250&gt;1,Q2250=0,ISNUMBER(O2250),ISNUMBER(P2250)),IF(Q2249=0,1,0),0)</f>
        <v>1</v>
      </c>
      <c r="S2250" s="56" t="n">
        <f aca="false">R2250*(B2250&gt;=Train_Start)*(B2250&lt;=Train_End)</f>
        <v>1</v>
      </c>
      <c r="T2250" s="84" t="n">
        <f aca="false">IF(AND(ISNUMBER(O2250),ISNUMBER(P2250)),Coef_A+Coef_B1*O2250+Coef_B2*P2250,"")</f>
        <v>22.8039620033659</v>
      </c>
      <c r="U2250" s="84" t="n">
        <f aca="false">IF(AND(R2250=1,ISNUMBER(T2250)),E2250-T2250,"")</f>
        <v>-0.40396200336594</v>
      </c>
      <c r="V2250" s="84" t="n">
        <f aca="false">IF(ISNUMBER(T2250),T2250,-99)</f>
        <v>22.8039620033659</v>
      </c>
      <c r="W2250" s="84" t="n">
        <f aca="false">IF(ISNUMBER(U2250),ABS(U2250),"")</f>
        <v>0.40396200336594</v>
      </c>
    </row>
    <row r="2251" customFormat="false" ht="15" hidden="false" customHeight="false" outlineLevel="0" collapsed="false">
      <c r="A2251" s="57" t="n">
        <v>34197</v>
      </c>
      <c r="B2251" s="56" t="n">
        <v>1993</v>
      </c>
      <c r="C2251" s="56" t="n">
        <v>8</v>
      </c>
      <c r="D2251" s="56" t="n">
        <v>108</v>
      </c>
      <c r="E2251" s="56" t="n">
        <v>23.1</v>
      </c>
      <c r="F2251" s="56" t="n">
        <v>0</v>
      </c>
      <c r="G2251" s="56" t="n">
        <v>14.1</v>
      </c>
      <c r="H2251" s="56" t="n">
        <v>0</v>
      </c>
      <c r="I2251" s="56" t="n">
        <v>18.2</v>
      </c>
      <c r="J2251" s="56" t="n">
        <v>0</v>
      </c>
      <c r="K2251" s="56" t="n">
        <v>1021.9</v>
      </c>
      <c r="L2251" s="56" t="n">
        <v>0</v>
      </c>
      <c r="M2251" s="56" t="n">
        <v>62</v>
      </c>
      <c r="N2251" s="56" t="n">
        <v>7.9</v>
      </c>
      <c r="O2251" s="56" t="n">
        <f aca="false">IF(D2251=1,"",E2250)</f>
        <v>22.4</v>
      </c>
      <c r="P2251" s="56" t="n">
        <f aca="false">IF(OR(D2251=1,K2250=""),"",K2250)</f>
        <v>1013.4</v>
      </c>
      <c r="Q2251" s="56" t="n">
        <f aca="false">IF(OR(F2251&lt;&gt;0,AND(I2251&lt;&gt;"",E2251&lt;I2251)),1,0)</f>
        <v>0</v>
      </c>
      <c r="R2251" s="56" t="n">
        <f aca="false">IF(AND(D2251&gt;1,Q2251=0,ISNUMBER(O2251),ISNUMBER(P2251)),IF(Q2250=0,1,0),0)</f>
        <v>1</v>
      </c>
      <c r="S2251" s="56" t="n">
        <f aca="false">R2251*(B2251&gt;=Train_Start)*(B2251&lt;=Train_End)</f>
        <v>1</v>
      </c>
      <c r="T2251" s="84" t="n">
        <f aca="false">IF(AND(ISNUMBER(O2251),ISNUMBER(P2251)),Coef_A+Coef_B1*O2251+Coef_B2*P2251,"")</f>
        <v>22.2304245682361</v>
      </c>
      <c r="U2251" s="84" t="n">
        <f aca="false">IF(AND(R2251=1,ISNUMBER(T2251)),E2251-T2251,"")</f>
        <v>0.869575431763927</v>
      </c>
      <c r="V2251" s="84" t="n">
        <f aca="false">IF(ISNUMBER(T2251),T2251,-99)</f>
        <v>22.2304245682361</v>
      </c>
      <c r="W2251" s="84" t="n">
        <f aca="false">IF(ISNUMBER(U2251),ABS(U2251),"")</f>
        <v>0.869575431763927</v>
      </c>
    </row>
    <row r="2252" customFormat="false" ht="15" hidden="false" customHeight="false" outlineLevel="0" collapsed="false">
      <c r="A2252" s="57" t="n">
        <v>34198</v>
      </c>
      <c r="B2252" s="56" t="n">
        <v>1993</v>
      </c>
      <c r="C2252" s="56" t="n">
        <v>8</v>
      </c>
      <c r="D2252" s="56" t="n">
        <v>109</v>
      </c>
      <c r="E2252" s="56" t="n">
        <v>23.8</v>
      </c>
      <c r="F2252" s="56" t="n">
        <v>0</v>
      </c>
      <c r="G2252" s="56" t="n">
        <v>11.2</v>
      </c>
      <c r="H2252" s="56" t="n">
        <v>0</v>
      </c>
      <c r="I2252" s="56" t="n">
        <v>17.2</v>
      </c>
      <c r="J2252" s="56" t="n">
        <v>0</v>
      </c>
      <c r="K2252" s="56" t="n">
        <v>1029.4</v>
      </c>
      <c r="L2252" s="56" t="n">
        <v>0</v>
      </c>
      <c r="M2252" s="56" t="n">
        <v>70</v>
      </c>
      <c r="N2252" s="56" t="n">
        <v>10.6</v>
      </c>
      <c r="O2252" s="56" t="n">
        <f aca="false">IF(D2252=1,"",E2251)</f>
        <v>23.1</v>
      </c>
      <c r="P2252" s="56" t="n">
        <f aca="false">IF(OR(D2252=1,K2251=""),"",K2251)</f>
        <v>1021.9</v>
      </c>
      <c r="Q2252" s="56" t="n">
        <f aca="false">IF(OR(F2252&lt;&gt;0,AND(I2252&lt;&gt;"",E2252&lt;I2252)),1,0)</f>
        <v>0</v>
      </c>
      <c r="R2252" s="56" t="n">
        <f aca="false">IF(AND(D2252&gt;1,Q2252=0,ISNUMBER(O2252),ISNUMBER(P2252)),IF(Q2251=0,1,0),0)</f>
        <v>1</v>
      </c>
      <c r="S2252" s="56" t="n">
        <f aca="false">R2252*(B2252&gt;=Train_Start)*(B2252&lt;=Train_End)</f>
        <v>1</v>
      </c>
      <c r="T2252" s="84" t="n">
        <f aca="false">IF(AND(ISNUMBER(O2252),ISNUMBER(P2252)),Coef_A+Coef_B1*O2252+Coef_B2*P2252,"")</f>
        <v>23.0706061077549</v>
      </c>
      <c r="U2252" s="84" t="n">
        <f aca="false">IF(AND(R2252=1,ISNUMBER(T2252)),E2252-T2252,"")</f>
        <v>0.729393892245152</v>
      </c>
      <c r="V2252" s="84" t="n">
        <f aca="false">IF(ISNUMBER(T2252),T2252,-99)</f>
        <v>23.0706061077549</v>
      </c>
      <c r="W2252" s="84" t="n">
        <f aca="false">IF(ISNUMBER(U2252),ABS(U2252),"")</f>
        <v>0.729393892245152</v>
      </c>
    </row>
    <row r="2253" customFormat="false" ht="15" hidden="false" customHeight="false" outlineLevel="0" collapsed="false">
      <c r="A2253" s="57" t="n">
        <v>34199</v>
      </c>
      <c r="B2253" s="56" t="n">
        <v>1993</v>
      </c>
      <c r="C2253" s="56" t="n">
        <v>8</v>
      </c>
      <c r="D2253" s="56" t="n">
        <v>110</v>
      </c>
      <c r="E2253" s="56" t="n">
        <v>26.3</v>
      </c>
      <c r="F2253" s="56" t="n">
        <v>0</v>
      </c>
      <c r="G2253" s="56" t="n">
        <v>12</v>
      </c>
      <c r="H2253" s="56" t="n">
        <v>0</v>
      </c>
      <c r="I2253" s="56" t="n">
        <v>17.9</v>
      </c>
      <c r="J2253" s="56" t="n">
        <v>0</v>
      </c>
      <c r="K2253" s="56" t="n">
        <v>1026.1</v>
      </c>
      <c r="L2253" s="56" t="n">
        <v>0</v>
      </c>
      <c r="M2253" s="56" t="n">
        <v>64</v>
      </c>
      <c r="N2253" s="56" t="n">
        <v>9.7</v>
      </c>
      <c r="O2253" s="56" t="n">
        <f aca="false">IF(D2253=1,"",E2252)</f>
        <v>23.8</v>
      </c>
      <c r="P2253" s="56" t="n">
        <f aca="false">IF(OR(D2253=1,K2252=""),"",K2252)</f>
        <v>1029.4</v>
      </c>
      <c r="Q2253" s="56" t="n">
        <f aca="false">IF(OR(F2253&lt;&gt;0,AND(I2253&lt;&gt;"",E2253&lt;I2253)),1,0)</f>
        <v>0</v>
      </c>
      <c r="R2253" s="56" t="n">
        <f aca="false">IF(AND(D2253&gt;1,Q2253=0,ISNUMBER(O2253),ISNUMBER(P2253)),IF(Q2252=0,1,0),0)</f>
        <v>1</v>
      </c>
      <c r="S2253" s="56" t="n">
        <f aca="false">R2253*(B2253&gt;=Train_Start)*(B2253&lt;=Train_End)</f>
        <v>1</v>
      </c>
      <c r="T2253" s="84" t="n">
        <f aca="false">IF(AND(ISNUMBER(O2253),ISNUMBER(P2253)),Coef_A+Coef_B1*O2253+Coef_B2*P2253,"")</f>
        <v>23.8794177526396</v>
      </c>
      <c r="U2253" s="84" t="n">
        <f aca="false">IF(AND(R2253=1,ISNUMBER(T2253)),E2253-T2253,"")</f>
        <v>2.42058224736037</v>
      </c>
      <c r="V2253" s="84" t="n">
        <f aca="false">IF(ISNUMBER(T2253),T2253,-99)</f>
        <v>23.8794177526396</v>
      </c>
      <c r="W2253" s="84" t="n">
        <f aca="false">IF(ISNUMBER(U2253),ABS(U2253),"")</f>
        <v>2.42058224736037</v>
      </c>
    </row>
    <row r="2254" customFormat="false" ht="15" hidden="false" customHeight="false" outlineLevel="0" collapsed="false">
      <c r="A2254" s="57" t="n">
        <v>34200</v>
      </c>
      <c r="B2254" s="56" t="n">
        <v>1993</v>
      </c>
      <c r="C2254" s="56" t="n">
        <v>8</v>
      </c>
      <c r="D2254" s="56" t="n">
        <v>111</v>
      </c>
      <c r="E2254" s="56" t="n">
        <v>25.5</v>
      </c>
      <c r="F2254" s="56" t="n">
        <v>0</v>
      </c>
      <c r="G2254" s="56" t="n">
        <v>12.2</v>
      </c>
      <c r="H2254" s="56" t="n">
        <v>0</v>
      </c>
      <c r="I2254" s="56" t="n">
        <v>19.2</v>
      </c>
      <c r="J2254" s="56" t="n">
        <v>0</v>
      </c>
      <c r="K2254" s="56" t="n">
        <v>1024.7</v>
      </c>
      <c r="L2254" s="56" t="n">
        <v>0</v>
      </c>
      <c r="M2254" s="56" t="n">
        <v>62</v>
      </c>
      <c r="N2254" s="56" t="n">
        <v>6</v>
      </c>
      <c r="O2254" s="56" t="n">
        <f aca="false">IF(D2254=1,"",E2253)</f>
        <v>26.3</v>
      </c>
      <c r="P2254" s="56" t="n">
        <f aca="false">IF(OR(D2254=1,K2253=""),"",K2253)</f>
        <v>1026.1</v>
      </c>
      <c r="Q2254" s="56" t="n">
        <f aca="false">IF(OR(F2254&lt;&gt;0,AND(I2254&lt;&gt;"",E2254&lt;I2254)),1,0)</f>
        <v>0</v>
      </c>
      <c r="R2254" s="56" t="n">
        <f aca="false">IF(AND(D2254&gt;1,Q2254=0,ISNUMBER(O2254),ISNUMBER(P2254)),IF(Q2253=0,1,0),0)</f>
        <v>1</v>
      </c>
      <c r="S2254" s="56" t="n">
        <f aca="false">R2254*(B2254&gt;=Train_Start)*(B2254&lt;=Train_End)</f>
        <v>1</v>
      </c>
      <c r="T2254" s="84" t="n">
        <f aca="false">IF(AND(ISNUMBER(O2254),ISNUMBER(P2254)),Coef_A+Coef_B1*O2254+Coef_B2*P2254,"")</f>
        <v>25.8242450829541</v>
      </c>
      <c r="U2254" s="84" t="n">
        <f aca="false">IF(AND(R2254=1,ISNUMBER(T2254)),E2254-T2254,"")</f>
        <v>-0.324245082954104</v>
      </c>
      <c r="V2254" s="84" t="n">
        <f aca="false">IF(ISNUMBER(T2254),T2254,-99)</f>
        <v>25.8242450829541</v>
      </c>
      <c r="W2254" s="84" t="n">
        <f aca="false">IF(ISNUMBER(U2254),ABS(U2254),"")</f>
        <v>0.324245082954104</v>
      </c>
    </row>
    <row r="2255" customFormat="false" ht="15" hidden="false" customHeight="false" outlineLevel="0" collapsed="false">
      <c r="A2255" s="57" t="n">
        <v>34201</v>
      </c>
      <c r="B2255" s="56" t="n">
        <v>1993</v>
      </c>
      <c r="C2255" s="56" t="n">
        <v>8</v>
      </c>
      <c r="D2255" s="56" t="n">
        <v>112</v>
      </c>
      <c r="E2255" s="56" t="n">
        <v>23.9</v>
      </c>
      <c r="F2255" s="56" t="n">
        <v>0</v>
      </c>
      <c r="G2255" s="56" t="n">
        <v>14.9</v>
      </c>
      <c r="H2255" s="56" t="n">
        <v>0</v>
      </c>
      <c r="I2255" s="56" t="n">
        <v>20.2</v>
      </c>
      <c r="J2255" s="56" t="n">
        <v>0</v>
      </c>
      <c r="K2255" s="56" t="n">
        <v>1021.6</v>
      </c>
      <c r="L2255" s="56" t="n">
        <v>0</v>
      </c>
      <c r="M2255" s="56" t="n">
        <v>65</v>
      </c>
      <c r="N2255" s="56" t="n">
        <v>6.3</v>
      </c>
      <c r="O2255" s="56" t="n">
        <f aca="false">IF(D2255=1,"",E2254)</f>
        <v>25.5</v>
      </c>
      <c r="P2255" s="56" t="n">
        <f aca="false">IF(OR(D2255=1,K2254=""),"",K2254)</f>
        <v>1024.7</v>
      </c>
      <c r="Q2255" s="56" t="n">
        <f aca="false">IF(OR(F2255&lt;&gt;0,AND(I2255&lt;&gt;"",E2255&lt;I2255)),1,0)</f>
        <v>0</v>
      </c>
      <c r="R2255" s="56" t="n">
        <f aca="false">IF(AND(D2255&gt;1,Q2255=0,ISNUMBER(O2255),ISNUMBER(P2255)),IF(Q2254=0,1,0),0)</f>
        <v>1</v>
      </c>
      <c r="S2255" s="56" t="n">
        <f aca="false">R2255*(B2255&gt;=Train_Start)*(B2255&lt;=Train_End)</f>
        <v>1</v>
      </c>
      <c r="T2255" s="84" t="n">
        <f aca="false">IF(AND(ISNUMBER(O2255),ISNUMBER(P2255)),Coef_A+Coef_B1*O2255+Coef_B2*P2255,"")</f>
        <v>25.1248558760324</v>
      </c>
      <c r="U2255" s="84" t="n">
        <f aca="false">IF(AND(R2255=1,ISNUMBER(T2255)),E2255-T2255,"")</f>
        <v>-1.2248558760324</v>
      </c>
      <c r="V2255" s="84" t="n">
        <f aca="false">IF(ISNUMBER(T2255),T2255,-99)</f>
        <v>25.1248558760324</v>
      </c>
      <c r="W2255" s="84" t="n">
        <f aca="false">IF(ISNUMBER(U2255),ABS(U2255),"")</f>
        <v>1.2248558760324</v>
      </c>
    </row>
    <row r="2256" customFormat="false" ht="15" hidden="false" customHeight="false" outlineLevel="0" collapsed="false">
      <c r="A2256" s="57" t="n">
        <v>34202</v>
      </c>
      <c r="B2256" s="56" t="n">
        <v>1993</v>
      </c>
      <c r="C2256" s="56" t="n">
        <v>8</v>
      </c>
      <c r="D2256" s="56" t="n">
        <v>113</v>
      </c>
      <c r="E2256" s="56" t="n">
        <v>17.2</v>
      </c>
      <c r="F2256" s="56" t="n">
        <v>1</v>
      </c>
      <c r="G2256" s="56" t="n">
        <v>13.1</v>
      </c>
      <c r="H2256" s="56" t="n">
        <v>0</v>
      </c>
      <c r="I2256" s="56" t="n">
        <v>18.5</v>
      </c>
      <c r="J2256" s="56" t="n">
        <v>1</v>
      </c>
      <c r="K2256" s="56" t="n">
        <v>1018.7</v>
      </c>
      <c r="L2256" s="56" t="n">
        <v>0</v>
      </c>
      <c r="M2256" s="56" t="n">
        <v>75</v>
      </c>
      <c r="N2256" s="56" t="n">
        <v>6.2</v>
      </c>
      <c r="O2256" s="56" t="n">
        <f aca="false">IF(D2256=1,"",E2255)</f>
        <v>23.9</v>
      </c>
      <c r="P2256" s="56" t="n">
        <f aca="false">IF(OR(D2256=1,K2255=""),"",K2255)</f>
        <v>1021.6</v>
      </c>
      <c r="Q2256" s="56" t="n">
        <f aca="false">IF(OR(F2256&lt;&gt;0,AND(I2256&lt;&gt;"",E2256&lt;I2256)),1,0)</f>
        <v>1</v>
      </c>
      <c r="R2256" s="56" t="n">
        <f aca="false">IF(AND(D2256&gt;1,Q2256=0,ISNUMBER(O2256),ISNUMBER(P2256)),IF(Q2255=0,1,0),0)</f>
        <v>0</v>
      </c>
      <c r="S2256" s="56" t="n">
        <f aca="false">R2256*(B2256&gt;=Train_Start)*(B2256&lt;=Train_End)</f>
        <v>0</v>
      </c>
      <c r="T2256" s="84" t="n">
        <f aca="false">IF(AND(ISNUMBER(O2256),ISNUMBER(P2256)),Coef_A+Coef_B1*O2256+Coef_B2*P2256,"")</f>
        <v>23.7166664937988</v>
      </c>
      <c r="U2256" s="84" t="str">
        <f aca="false">IF(AND(R2256=1,ISNUMBER(T2256)),E2256-T2256,"")</f>
        <v/>
      </c>
      <c r="V2256" s="84" t="n">
        <f aca="false">IF(ISNUMBER(T2256),T2256,-99)</f>
        <v>23.7166664937988</v>
      </c>
      <c r="W2256" s="84" t="str">
        <f aca="false">IF(ISNUMBER(U2256),ABS(U2256),"")</f>
        <v/>
      </c>
    </row>
    <row r="2257" customFormat="false" ht="15" hidden="false" customHeight="false" outlineLevel="0" collapsed="false">
      <c r="A2257" s="57" t="n">
        <v>34203</v>
      </c>
      <c r="B2257" s="56" t="n">
        <v>1993</v>
      </c>
      <c r="C2257" s="56" t="n">
        <v>8</v>
      </c>
      <c r="D2257" s="56" t="n">
        <v>114</v>
      </c>
      <c r="E2257" s="56" t="n">
        <v>17.4</v>
      </c>
      <c r="F2257" s="56" t="n">
        <v>0</v>
      </c>
      <c r="G2257" s="56" t="n">
        <v>12.2</v>
      </c>
      <c r="H2257" s="56" t="n">
        <v>0</v>
      </c>
      <c r="I2257" s="56" t="n">
        <v>14.7</v>
      </c>
      <c r="J2257" s="56" t="n">
        <v>0</v>
      </c>
      <c r="K2257" s="56" t="n">
        <v>1014.3</v>
      </c>
      <c r="L2257" s="56" t="n">
        <v>0</v>
      </c>
      <c r="M2257" s="56" t="n">
        <v>79</v>
      </c>
      <c r="N2257" s="56" t="n">
        <v>2.1</v>
      </c>
      <c r="O2257" s="56" t="n">
        <f aca="false">IF(D2257=1,"",E2256)</f>
        <v>17.2</v>
      </c>
      <c r="P2257" s="56" t="n">
        <f aca="false">IF(OR(D2257=1,K2256=""),"",K2256)</f>
        <v>1018.7</v>
      </c>
      <c r="Q2257" s="56" t="n">
        <f aca="false">IF(OR(F2257&lt;&gt;0,AND(I2257&lt;&gt;"",E2257&lt;I2257)),1,0)</f>
        <v>0</v>
      </c>
      <c r="R2257" s="56" t="n">
        <f aca="false">IF(AND(D2257&gt;1,Q2257=0,ISNUMBER(O2257),ISNUMBER(P2257)),IF(Q2256=0,1,0),0)</f>
        <v>0</v>
      </c>
      <c r="S2257" s="56" t="n">
        <f aca="false">R2257*(B2257&gt;=Train_Start)*(B2257&lt;=Train_End)</f>
        <v>0</v>
      </c>
      <c r="T2257" s="84" t="n">
        <f aca="false">IF(AND(ISNUMBER(O2257),ISNUMBER(P2257)),Coef_A+Coef_B1*O2257+Coef_B2*P2257,"")</f>
        <v>18.1361212059744</v>
      </c>
      <c r="U2257" s="84" t="str">
        <f aca="false">IF(AND(R2257=1,ISNUMBER(T2257)),E2257-T2257,"")</f>
        <v/>
      </c>
      <c r="V2257" s="84" t="n">
        <f aca="false">IF(ISNUMBER(T2257),T2257,-99)</f>
        <v>18.1361212059744</v>
      </c>
      <c r="W2257" s="84" t="str">
        <f aca="false">IF(ISNUMBER(U2257),ABS(U2257),"")</f>
        <v/>
      </c>
    </row>
    <row r="2258" customFormat="false" ht="15" hidden="false" customHeight="false" outlineLevel="0" collapsed="false">
      <c r="A2258" s="57" t="n">
        <v>34204</v>
      </c>
      <c r="B2258" s="56" t="n">
        <v>1993</v>
      </c>
      <c r="C2258" s="56" t="n">
        <v>8</v>
      </c>
      <c r="D2258" s="56" t="n">
        <v>115</v>
      </c>
      <c r="E2258" s="56" t="n">
        <v>18.2</v>
      </c>
      <c r="F2258" s="56" t="n">
        <v>0</v>
      </c>
      <c r="G2258" s="56" t="n">
        <v>10.1</v>
      </c>
      <c r="H2258" s="56" t="n">
        <v>0</v>
      </c>
      <c r="I2258" s="56" t="n">
        <v>13.8</v>
      </c>
      <c r="J2258" s="56" t="n">
        <v>0</v>
      </c>
      <c r="K2258" s="56" t="n">
        <v>1018.8</v>
      </c>
      <c r="L2258" s="56" t="n">
        <v>0</v>
      </c>
      <c r="M2258" s="56" t="n">
        <v>58</v>
      </c>
      <c r="N2258" s="56" t="n">
        <v>8.3</v>
      </c>
      <c r="O2258" s="56" t="n">
        <f aca="false">IF(D2258=1,"",E2257)</f>
        <v>17.4</v>
      </c>
      <c r="P2258" s="56" t="n">
        <f aca="false">IF(OR(D2258=1,K2257=""),"",K2257)</f>
        <v>1014.3</v>
      </c>
      <c r="Q2258" s="56" t="n">
        <f aca="false">IF(OR(F2258&lt;&gt;0,AND(I2258&lt;&gt;"",E2258&lt;I2258)),1,0)</f>
        <v>0</v>
      </c>
      <c r="R2258" s="56" t="n">
        <f aca="false">IF(AND(D2258&gt;1,Q2258=0,ISNUMBER(O2258),ISNUMBER(P2258)),IF(Q2257=0,1,0),0)</f>
        <v>1</v>
      </c>
      <c r="S2258" s="56" t="n">
        <f aca="false">R2258*(B2258&gt;=Train_Start)*(B2258&lt;=Train_End)</f>
        <v>1</v>
      </c>
      <c r="T2258" s="84" t="n">
        <f aca="false">IF(AND(ISNUMBER(O2258),ISNUMBER(P2258)),Coef_A+Coef_B1*O2258+Coef_B2*P2258,"")</f>
        <v>18.1619615081934</v>
      </c>
      <c r="U2258" s="84" t="n">
        <f aca="false">IF(AND(R2258=1,ISNUMBER(T2258)),E2258-T2258,"")</f>
        <v>0.0380384918066206</v>
      </c>
      <c r="V2258" s="84" t="n">
        <f aca="false">IF(ISNUMBER(T2258),T2258,-99)</f>
        <v>18.1619615081934</v>
      </c>
      <c r="W2258" s="84" t="n">
        <f aca="false">IF(ISNUMBER(U2258),ABS(U2258),"")</f>
        <v>0.0380384918066206</v>
      </c>
    </row>
    <row r="2259" customFormat="false" ht="15" hidden="false" customHeight="false" outlineLevel="0" collapsed="false">
      <c r="A2259" s="57" t="n">
        <v>34205</v>
      </c>
      <c r="B2259" s="56" t="n">
        <v>1993</v>
      </c>
      <c r="C2259" s="56" t="n">
        <v>8</v>
      </c>
      <c r="D2259" s="56" t="n">
        <v>116</v>
      </c>
      <c r="E2259" s="56" t="n">
        <v>18.8</v>
      </c>
      <c r="F2259" s="56" t="n">
        <v>0</v>
      </c>
      <c r="G2259" s="56" t="n">
        <v>9.4</v>
      </c>
      <c r="H2259" s="56" t="n">
        <v>0</v>
      </c>
      <c r="I2259" s="56" t="n">
        <v>13.8</v>
      </c>
      <c r="J2259" s="56" t="n">
        <v>0</v>
      </c>
      <c r="K2259" s="56" t="n">
        <v>1022.2</v>
      </c>
      <c r="L2259" s="56" t="n">
        <v>0</v>
      </c>
      <c r="M2259" s="56" t="n">
        <v>63</v>
      </c>
      <c r="N2259" s="56" t="n">
        <v>10.4</v>
      </c>
      <c r="O2259" s="56" t="n">
        <f aca="false">IF(D2259=1,"",E2258)</f>
        <v>18.2</v>
      </c>
      <c r="P2259" s="56" t="n">
        <f aca="false">IF(OR(D2259=1,K2258=""),"",K2258)</f>
        <v>1018.8</v>
      </c>
      <c r="Q2259" s="56" t="n">
        <f aca="false">IF(OR(F2259&lt;&gt;0,AND(I2259&lt;&gt;"",E2259&lt;I2259)),1,0)</f>
        <v>0</v>
      </c>
      <c r="R2259" s="56" t="n">
        <f aca="false">IF(AND(D2259&gt;1,Q2259=0,ISNUMBER(O2259),ISNUMBER(P2259)),IF(Q2258=0,1,0),0)</f>
        <v>1</v>
      </c>
      <c r="S2259" s="56" t="n">
        <f aca="false">R2259*(B2259&gt;=Train_Start)*(B2259&lt;=Train_End)</f>
        <v>1</v>
      </c>
      <c r="T2259" s="84" t="n">
        <f aca="false">IF(AND(ISNUMBER(O2259),ISNUMBER(P2259)),Coef_A+Coef_B1*O2259+Coef_B2*P2259,"")</f>
        <v>18.9585973884805</v>
      </c>
      <c r="U2259" s="84" t="n">
        <f aca="false">IF(AND(R2259=1,ISNUMBER(T2259)),E2259-T2259,"")</f>
        <v>-0.158597388480455</v>
      </c>
      <c r="V2259" s="84" t="n">
        <f aca="false">IF(ISNUMBER(T2259),T2259,-99)</f>
        <v>18.9585973884805</v>
      </c>
      <c r="W2259" s="84" t="n">
        <f aca="false">IF(ISNUMBER(U2259),ABS(U2259),"")</f>
        <v>0.158597388480455</v>
      </c>
    </row>
    <row r="2260" customFormat="false" ht="15" hidden="false" customHeight="false" outlineLevel="0" collapsed="false">
      <c r="A2260" s="57" t="n">
        <v>34206</v>
      </c>
      <c r="B2260" s="56" t="n">
        <v>1993</v>
      </c>
      <c r="C2260" s="56" t="n">
        <v>8</v>
      </c>
      <c r="D2260" s="56" t="n">
        <v>117</v>
      </c>
      <c r="E2260" s="56" t="n">
        <v>18.3</v>
      </c>
      <c r="F2260" s="56" t="n">
        <v>0</v>
      </c>
      <c r="G2260" s="56" t="n">
        <v>6.2</v>
      </c>
      <c r="H2260" s="56" t="n">
        <v>0</v>
      </c>
      <c r="I2260" s="56" t="n">
        <v>12.5</v>
      </c>
      <c r="J2260" s="56" t="n">
        <v>0</v>
      </c>
      <c r="K2260" s="56" t="n">
        <v>1021.5</v>
      </c>
      <c r="L2260" s="56" t="n">
        <v>0</v>
      </c>
      <c r="M2260" s="56" t="n">
        <v>70</v>
      </c>
      <c r="N2260" s="56" t="n">
        <v>4.9</v>
      </c>
      <c r="O2260" s="56" t="n">
        <f aca="false">IF(D2260=1,"",E2259)</f>
        <v>18.8</v>
      </c>
      <c r="P2260" s="56" t="n">
        <f aca="false">IF(OR(D2260=1,K2259=""),"",K2259)</f>
        <v>1022.2</v>
      </c>
      <c r="Q2260" s="56" t="n">
        <f aca="false">IF(OR(F2260&lt;&gt;0,AND(I2260&lt;&gt;"",E2260&lt;I2260)),1,0)</f>
        <v>0</v>
      </c>
      <c r="R2260" s="56" t="n">
        <f aca="false">IF(AND(D2260&gt;1,Q2260=0,ISNUMBER(O2260),ISNUMBER(P2260)),IF(Q2259=0,1,0),0)</f>
        <v>1</v>
      </c>
      <c r="S2260" s="56" t="n">
        <f aca="false">R2260*(B2260&gt;=Train_Start)*(B2260&lt;=Train_End)</f>
        <v>1</v>
      </c>
      <c r="T2260" s="84" t="n">
        <f aca="false">IF(AND(ISNUMBER(O2260),ISNUMBER(P2260)),Coef_A+Coef_B1*O2260+Coef_B2*P2260,"")</f>
        <v>19.5568585460616</v>
      </c>
      <c r="U2260" s="84" t="n">
        <f aca="false">IF(AND(R2260=1,ISNUMBER(T2260)),E2260-T2260,"")</f>
        <v>-1.25685854606162</v>
      </c>
      <c r="V2260" s="84" t="n">
        <f aca="false">IF(ISNUMBER(T2260),T2260,-99)</f>
        <v>19.5568585460616</v>
      </c>
      <c r="W2260" s="84" t="n">
        <f aca="false">IF(ISNUMBER(U2260),ABS(U2260),"")</f>
        <v>1.25685854606162</v>
      </c>
    </row>
    <row r="2261" customFormat="false" ht="15" hidden="false" customHeight="false" outlineLevel="0" collapsed="false">
      <c r="A2261" s="57" t="n">
        <v>34207</v>
      </c>
      <c r="B2261" s="56" t="n">
        <v>1993</v>
      </c>
      <c r="C2261" s="56" t="n">
        <v>8</v>
      </c>
      <c r="D2261" s="56" t="n">
        <v>118</v>
      </c>
      <c r="E2261" s="56" t="n">
        <v>18.4</v>
      </c>
      <c r="F2261" s="56" t="n">
        <v>0</v>
      </c>
      <c r="G2261" s="56" t="n">
        <v>8.4</v>
      </c>
      <c r="H2261" s="56" t="n">
        <v>0</v>
      </c>
      <c r="I2261" s="56" t="n">
        <v>13.4</v>
      </c>
      <c r="J2261" s="56" t="n">
        <v>0</v>
      </c>
      <c r="K2261" s="56" t="n">
        <v>1022</v>
      </c>
      <c r="L2261" s="56" t="n">
        <v>0</v>
      </c>
      <c r="M2261" s="56" t="n">
        <v>73</v>
      </c>
      <c r="N2261" s="56" t="n">
        <v>3.9</v>
      </c>
      <c r="O2261" s="56" t="n">
        <f aca="false">IF(D2261=1,"",E2260)</f>
        <v>18.3</v>
      </c>
      <c r="P2261" s="56" t="n">
        <f aca="false">IF(OR(D2261=1,K2260=""),"",K2260)</f>
        <v>1021.5</v>
      </c>
      <c r="Q2261" s="56" t="n">
        <f aca="false">IF(OR(F2261&lt;&gt;0,AND(I2261&lt;&gt;"",E2261&lt;I2261)),1,0)</f>
        <v>0</v>
      </c>
      <c r="R2261" s="56" t="n">
        <f aca="false">IF(AND(D2261&gt;1,Q2261=0,ISNUMBER(O2261),ISNUMBER(P2261)),IF(Q2260=0,1,0),0)</f>
        <v>1</v>
      </c>
      <c r="S2261" s="56" t="n">
        <f aca="false">R2261*(B2261&gt;=Train_Start)*(B2261&lt;=Train_End)</f>
        <v>1</v>
      </c>
      <c r="T2261" s="84" t="n">
        <f aca="false">IF(AND(ISNUMBER(O2261),ISNUMBER(P2261)),Coef_A+Coef_B1*O2261+Coef_B2*P2261,"")</f>
        <v>19.1252300232965</v>
      </c>
      <c r="U2261" s="84" t="n">
        <f aca="false">IF(AND(R2261=1,ISNUMBER(T2261)),E2261-T2261,"")</f>
        <v>-0.725230023296501</v>
      </c>
      <c r="V2261" s="84" t="n">
        <f aca="false">IF(ISNUMBER(T2261),T2261,-99)</f>
        <v>19.1252300232965</v>
      </c>
      <c r="W2261" s="84" t="n">
        <f aca="false">IF(ISNUMBER(U2261),ABS(U2261),"")</f>
        <v>0.725230023296501</v>
      </c>
    </row>
    <row r="2262" customFormat="false" ht="15" hidden="false" customHeight="false" outlineLevel="0" collapsed="false">
      <c r="A2262" s="57" t="n">
        <v>34208</v>
      </c>
      <c r="B2262" s="56" t="n">
        <v>1993</v>
      </c>
      <c r="C2262" s="56" t="n">
        <v>8</v>
      </c>
      <c r="D2262" s="56" t="n">
        <v>119</v>
      </c>
      <c r="E2262" s="56" t="n">
        <v>20.5</v>
      </c>
      <c r="F2262" s="56" t="n">
        <v>0</v>
      </c>
      <c r="G2262" s="56" t="n">
        <v>8.5</v>
      </c>
      <c r="H2262" s="56" t="n">
        <v>0</v>
      </c>
      <c r="I2262" s="56" t="n">
        <v>13.4</v>
      </c>
      <c r="J2262" s="56" t="n">
        <v>0</v>
      </c>
      <c r="K2262" s="56" t="n">
        <v>1022.7</v>
      </c>
      <c r="L2262" s="56" t="n">
        <v>0</v>
      </c>
      <c r="M2262" s="56" t="n">
        <v>69</v>
      </c>
      <c r="N2262" s="56" t="n">
        <v>9.2</v>
      </c>
      <c r="O2262" s="56" t="n">
        <f aca="false">IF(D2262=1,"",E2261)</f>
        <v>18.4</v>
      </c>
      <c r="P2262" s="56" t="n">
        <f aca="false">IF(OR(D2262=1,K2261=""),"",K2261)</f>
        <v>1022</v>
      </c>
      <c r="Q2262" s="56" t="n">
        <f aca="false">IF(OR(F2262&lt;&gt;0,AND(I2262&lt;&gt;"",E2262&lt;I2262)),1,0)</f>
        <v>0</v>
      </c>
      <c r="R2262" s="56" t="n">
        <f aca="false">IF(AND(D2262&gt;1,Q2262=0,ISNUMBER(O2262),ISNUMBER(P2262)),IF(Q2261=0,1,0),0)</f>
        <v>1</v>
      </c>
      <c r="S2262" s="56" t="n">
        <f aca="false">R2262*(B2262&gt;=Train_Start)*(B2262&lt;=Train_End)</f>
        <v>1</v>
      </c>
      <c r="T2262" s="84" t="n">
        <f aca="false">IF(AND(ISNUMBER(O2262),ISNUMBER(P2262)),Coef_A+Coef_B1*O2262+Coef_B2*P2262,"")</f>
        <v>19.2228488899178</v>
      </c>
      <c r="U2262" s="84" t="n">
        <f aca="false">IF(AND(R2262=1,ISNUMBER(T2262)),E2262-T2262,"")</f>
        <v>1.27715111008224</v>
      </c>
      <c r="V2262" s="84" t="n">
        <f aca="false">IF(ISNUMBER(T2262),T2262,-99)</f>
        <v>19.2228488899178</v>
      </c>
      <c r="W2262" s="84" t="n">
        <f aca="false">IF(ISNUMBER(U2262),ABS(U2262),"")</f>
        <v>1.27715111008224</v>
      </c>
    </row>
    <row r="2263" customFormat="false" ht="15" hidden="false" customHeight="false" outlineLevel="0" collapsed="false">
      <c r="A2263" s="57" t="n">
        <v>34209</v>
      </c>
      <c r="B2263" s="56" t="n">
        <v>1993</v>
      </c>
      <c r="C2263" s="56" t="n">
        <v>8</v>
      </c>
      <c r="D2263" s="56" t="n">
        <v>120</v>
      </c>
      <c r="E2263" s="56" t="n">
        <v>22.7</v>
      </c>
      <c r="F2263" s="56" t="n">
        <v>0</v>
      </c>
      <c r="G2263" s="56" t="n">
        <v>8</v>
      </c>
      <c r="H2263" s="56" t="n">
        <v>0</v>
      </c>
      <c r="I2263" s="56" t="n">
        <v>14.2</v>
      </c>
      <c r="J2263" s="56" t="n">
        <v>0</v>
      </c>
      <c r="K2263" s="56" t="n">
        <v>1026.8</v>
      </c>
      <c r="L2263" s="56" t="n">
        <v>0</v>
      </c>
      <c r="M2263" s="56" t="n">
        <v>66</v>
      </c>
      <c r="N2263" s="56" t="n">
        <v>9.9</v>
      </c>
      <c r="O2263" s="56" t="n">
        <f aca="false">IF(D2263=1,"",E2262)</f>
        <v>20.5</v>
      </c>
      <c r="P2263" s="56" t="n">
        <f aca="false">IF(OR(D2263=1,K2262=""),"",K2262)</f>
        <v>1022.7</v>
      </c>
      <c r="Q2263" s="56" t="n">
        <f aca="false">IF(OR(F2263&lt;&gt;0,AND(I2263&lt;&gt;"",E2263&lt;I2263)),1,0)</f>
        <v>0</v>
      </c>
      <c r="R2263" s="56" t="n">
        <f aca="false">IF(AND(D2263&gt;1,Q2263=0,ISNUMBER(O2263),ISNUMBER(P2263)),IF(Q2262=0,1,0),0)</f>
        <v>1</v>
      </c>
      <c r="S2263" s="56" t="n">
        <f aca="false">R2263*(B2263&gt;=Train_Start)*(B2263&lt;=Train_End)</f>
        <v>1</v>
      </c>
      <c r="T2263" s="84" t="n">
        <f aca="false">IF(AND(ISNUMBER(O2263),ISNUMBER(P2263)),Coef_A+Coef_B1*O2263+Coef_B2*P2263,"")</f>
        <v>20.9654201215511</v>
      </c>
      <c r="U2263" s="84" t="n">
        <f aca="false">IF(AND(R2263=1,ISNUMBER(T2263)),E2263-T2263,"")</f>
        <v>1.73457987844887</v>
      </c>
      <c r="V2263" s="84" t="n">
        <f aca="false">IF(ISNUMBER(T2263),T2263,-99)</f>
        <v>20.9654201215511</v>
      </c>
      <c r="W2263" s="84" t="n">
        <f aca="false">IF(ISNUMBER(U2263),ABS(U2263),"")</f>
        <v>1.73457987844887</v>
      </c>
    </row>
    <row r="2264" customFormat="false" ht="15" hidden="false" customHeight="false" outlineLevel="0" collapsed="false">
      <c r="A2264" s="57" t="n">
        <v>34210</v>
      </c>
      <c r="B2264" s="56" t="n">
        <v>1993</v>
      </c>
      <c r="C2264" s="56" t="n">
        <v>8</v>
      </c>
      <c r="D2264" s="56" t="n">
        <v>121</v>
      </c>
      <c r="E2264" s="56" t="n">
        <v>24.1</v>
      </c>
      <c r="F2264" s="56" t="n">
        <v>0</v>
      </c>
      <c r="G2264" s="56" t="n">
        <v>7.5</v>
      </c>
      <c r="H2264" s="56" t="n">
        <v>0</v>
      </c>
      <c r="I2264" s="56" t="n">
        <v>15.1</v>
      </c>
      <c r="J2264" s="56" t="n">
        <v>0</v>
      </c>
      <c r="K2264" s="56" t="n">
        <v>1027.5</v>
      </c>
      <c r="L2264" s="56" t="n">
        <v>0</v>
      </c>
      <c r="M2264" s="56" t="n">
        <v>67</v>
      </c>
      <c r="N2264" s="56" t="n">
        <v>10</v>
      </c>
      <c r="O2264" s="56" t="n">
        <f aca="false">IF(D2264=1,"",E2263)</f>
        <v>22.7</v>
      </c>
      <c r="P2264" s="56" t="n">
        <f aca="false">IF(OR(D2264=1,K2263=""),"",K2263)</f>
        <v>1026.8</v>
      </c>
      <c r="Q2264" s="56" t="n">
        <f aca="false">IF(OR(F2264&lt;&gt;0,AND(I2264&lt;&gt;"",E2264&lt;I2264)),1,0)</f>
        <v>0</v>
      </c>
      <c r="R2264" s="56" t="n">
        <f aca="false">IF(AND(D2264&gt;1,Q2264=0,ISNUMBER(O2264),ISNUMBER(P2264)),IF(Q2263=0,1,0),0)</f>
        <v>1</v>
      </c>
      <c r="S2264" s="56" t="n">
        <f aca="false">R2264*(B2264&gt;=Train_Start)*(B2264&lt;=Train_End)</f>
        <v>1</v>
      </c>
      <c r="T2264" s="84" t="n">
        <f aca="false">IF(AND(ISNUMBER(O2264),ISNUMBER(P2264)),Coef_A+Coef_B1*O2264+Coef_B2*P2264,"")</f>
        <v>22.8965829142443</v>
      </c>
      <c r="U2264" s="84" t="n">
        <f aca="false">IF(AND(R2264=1,ISNUMBER(T2264)),E2264-T2264,"")</f>
        <v>1.20341708575567</v>
      </c>
      <c r="V2264" s="84" t="n">
        <f aca="false">IF(ISNUMBER(T2264),T2264,-99)</f>
        <v>22.8965829142443</v>
      </c>
      <c r="W2264" s="84" t="n">
        <f aca="false">IF(ISNUMBER(U2264),ABS(U2264),"")</f>
        <v>1.20341708575567</v>
      </c>
    </row>
    <row r="2265" customFormat="false" ht="15" hidden="false" customHeight="false" outlineLevel="0" collapsed="false">
      <c r="A2265" s="57" t="n">
        <v>34211</v>
      </c>
      <c r="B2265" s="56" t="n">
        <v>1993</v>
      </c>
      <c r="C2265" s="56" t="n">
        <v>8</v>
      </c>
      <c r="D2265" s="56" t="n">
        <v>122</v>
      </c>
      <c r="E2265" s="56" t="n">
        <v>18.3</v>
      </c>
      <c r="F2265" s="56" t="n">
        <v>1</v>
      </c>
      <c r="G2265" s="56" t="n">
        <v>14.2</v>
      </c>
      <c r="H2265" s="56" t="n">
        <v>0</v>
      </c>
      <c r="I2265" s="56" t="n">
        <v>19.2</v>
      </c>
      <c r="J2265" s="56" t="n">
        <v>1</v>
      </c>
      <c r="K2265" s="56" t="n">
        <v>1025.2</v>
      </c>
      <c r="L2265" s="56" t="n">
        <v>0</v>
      </c>
      <c r="M2265" s="56" t="n">
        <v>69</v>
      </c>
      <c r="N2265" s="56" t="n">
        <v>6.6</v>
      </c>
      <c r="O2265" s="56" t="n">
        <f aca="false">IF(D2265=1,"",E2264)</f>
        <v>24.1</v>
      </c>
      <c r="P2265" s="56" t="n">
        <f aca="false">IF(OR(D2265=1,K2264=""),"",K2264)</f>
        <v>1027.5</v>
      </c>
      <c r="Q2265" s="56" t="n">
        <f aca="false">IF(OR(F2265&lt;&gt;0,AND(I2265&lt;&gt;"",E2265&lt;I2265)),1,0)</f>
        <v>1</v>
      </c>
      <c r="R2265" s="56" t="n">
        <f aca="false">IF(AND(D2265&gt;1,Q2265=0,ISNUMBER(O2265),ISNUMBER(P2265)),IF(Q2264=0,1,0),0)</f>
        <v>0</v>
      </c>
      <c r="S2265" s="56" t="n">
        <f aca="false">R2265*(B2265&gt;=Train_Start)*(B2265&lt;=Train_End)</f>
        <v>0</v>
      </c>
      <c r="T2265" s="84" t="n">
        <f aca="false">IF(AND(ISNUMBER(O2265),ISNUMBER(P2265)),Coef_A+Coef_B1*O2265+Coef_B2*P2265,"")</f>
        <v>24.0656167107478</v>
      </c>
      <c r="U2265" s="84" t="str">
        <f aca="false">IF(AND(R2265=1,ISNUMBER(T2265)),E2265-T2265,"")</f>
        <v/>
      </c>
      <c r="V2265" s="84" t="n">
        <f aca="false">IF(ISNUMBER(T2265),T2265,-99)</f>
        <v>24.0656167107478</v>
      </c>
      <c r="W2265" s="84" t="str">
        <f aca="false">IF(ISNUMBER(U2265),ABS(U2265),"")</f>
        <v/>
      </c>
    </row>
    <row r="2266" customFormat="false" ht="15" hidden="false" customHeight="false" outlineLevel="0" collapsed="false">
      <c r="A2266" s="57" t="n">
        <v>34212</v>
      </c>
      <c r="B2266" s="56" t="n">
        <v>1993</v>
      </c>
      <c r="C2266" s="56" t="n">
        <v>8</v>
      </c>
      <c r="D2266" s="56" t="n">
        <v>123</v>
      </c>
      <c r="E2266" s="56" t="n">
        <v>24.5</v>
      </c>
      <c r="F2266" s="56" t="n">
        <v>0</v>
      </c>
      <c r="G2266" s="56" t="n">
        <v>10</v>
      </c>
      <c r="H2266" s="56" t="n">
        <v>0</v>
      </c>
      <c r="I2266" s="56" t="n">
        <v>14.2</v>
      </c>
      <c r="J2266" s="56" t="n">
        <v>0</v>
      </c>
      <c r="K2266" s="56" t="n">
        <v>1029.6</v>
      </c>
      <c r="L2266" s="56" t="n">
        <v>0</v>
      </c>
      <c r="M2266" s="56" t="n">
        <v>71</v>
      </c>
      <c r="N2266" s="56" t="n">
        <v>6.3</v>
      </c>
      <c r="O2266" s="56" t="n">
        <f aca="false">IF(D2266=1,"",E2265)</f>
        <v>18.3</v>
      </c>
      <c r="P2266" s="56" t="n">
        <f aca="false">IF(OR(D2266=1,K2265=""),"",K2265)</f>
        <v>1025.2</v>
      </c>
      <c r="Q2266" s="56" t="n">
        <f aca="false">IF(OR(F2266&lt;&gt;0,AND(I2266&lt;&gt;"",E2266&lt;I2266)),1,0)</f>
        <v>0</v>
      </c>
      <c r="R2266" s="56" t="n">
        <f aca="false">IF(AND(D2266&gt;1,Q2266=0,ISNUMBER(O2266),ISNUMBER(P2266)),IF(Q2265=0,1,0),0)</f>
        <v>0</v>
      </c>
      <c r="S2266" s="56" t="n">
        <f aca="false">R2266*(B2266&gt;=Train_Start)*(B2266&lt;=Train_End)</f>
        <v>0</v>
      </c>
      <c r="T2266" s="84" t="n">
        <f aca="false">IF(AND(ISNUMBER(O2266),ISNUMBER(P2266)),Coef_A+Coef_B1*O2266+Coef_B2*P2266,"")</f>
        <v>19.2412986334423</v>
      </c>
      <c r="U2266" s="84" t="str">
        <f aca="false">IF(AND(R2266=1,ISNUMBER(T2266)),E2266-T2266,"")</f>
        <v/>
      </c>
      <c r="V2266" s="84" t="n">
        <f aca="false">IF(ISNUMBER(T2266),T2266,-99)</f>
        <v>19.2412986334423</v>
      </c>
      <c r="W2266" s="84" t="str">
        <f aca="false">IF(ISNUMBER(U2266),ABS(U2266),"")</f>
        <v/>
      </c>
    </row>
    <row r="2267" customFormat="false" ht="15" hidden="false" customHeight="false" outlineLevel="0" collapsed="false">
      <c r="A2267" s="57" t="n">
        <v>34213</v>
      </c>
      <c r="B2267" s="56" t="n">
        <v>1993</v>
      </c>
      <c r="C2267" s="56" t="n">
        <v>9</v>
      </c>
      <c r="D2267" s="56" t="n">
        <v>124</v>
      </c>
      <c r="E2267" s="56" t="n">
        <v>20.4</v>
      </c>
      <c r="F2267" s="56" t="n">
        <v>0</v>
      </c>
      <c r="G2267" s="56" t="n">
        <v>11.5</v>
      </c>
      <c r="H2267" s="56" t="n">
        <v>0</v>
      </c>
      <c r="I2267" s="56" t="n">
        <v>18</v>
      </c>
      <c r="J2267" s="56" t="n">
        <v>0</v>
      </c>
      <c r="K2267" s="56" t="n">
        <v>1029.6</v>
      </c>
      <c r="L2267" s="56" t="n">
        <v>0</v>
      </c>
      <c r="M2267" s="56" t="n">
        <v>70</v>
      </c>
      <c r="N2267" s="56" t="n">
        <v>8.9</v>
      </c>
      <c r="O2267" s="56" t="n">
        <f aca="false">IF(D2267=1,"",E2266)</f>
        <v>24.5</v>
      </c>
      <c r="P2267" s="56" t="n">
        <f aca="false">IF(OR(D2267=1,K2266=""),"",K2266)</f>
        <v>1029.6</v>
      </c>
      <c r="Q2267" s="56" t="n">
        <f aca="false">IF(OR(F2267&lt;&gt;0,AND(I2267&lt;&gt;"",E2267&lt;I2267)),1,0)</f>
        <v>0</v>
      </c>
      <c r="R2267" s="56" t="n">
        <f aca="false">IF(AND(D2267&gt;1,Q2267=0,ISNUMBER(O2267),ISNUMBER(P2267)),IF(Q2266=0,1,0),0)</f>
        <v>1</v>
      </c>
      <c r="S2267" s="56" t="n">
        <f aca="false">R2267*(B2267&gt;=Train_Start)*(B2267&lt;=Train_End)</f>
        <v>1</v>
      </c>
      <c r="T2267" s="84" t="n">
        <f aca="false">IF(AND(ISNUMBER(O2267),ISNUMBER(P2267)),Coef_A+Coef_B1*O2267+Coef_B2*P2267,"")</f>
        <v>24.4592291666963</v>
      </c>
      <c r="U2267" s="84" t="n">
        <f aca="false">IF(AND(R2267=1,ISNUMBER(T2267)),E2267-T2267,"")</f>
        <v>-4.05922916669629</v>
      </c>
      <c r="V2267" s="84" t="n">
        <f aca="false">IF(ISNUMBER(T2267),T2267,-99)</f>
        <v>24.4592291666963</v>
      </c>
      <c r="W2267" s="84" t="n">
        <f aca="false">IF(ISNUMBER(U2267),ABS(U2267),"")</f>
        <v>4.05922916669629</v>
      </c>
    </row>
    <row r="2268" customFormat="false" ht="15" hidden="false" customHeight="false" outlineLevel="0" collapsed="false">
      <c r="A2268" s="57" t="n">
        <v>34214</v>
      </c>
      <c r="B2268" s="56" t="n">
        <v>1993</v>
      </c>
      <c r="C2268" s="56" t="n">
        <v>9</v>
      </c>
      <c r="D2268" s="56" t="n">
        <v>125</v>
      </c>
      <c r="E2268" s="56" t="n">
        <v>19.3</v>
      </c>
      <c r="F2268" s="56" t="n">
        <v>0</v>
      </c>
      <c r="G2268" s="56" t="n">
        <v>12.6</v>
      </c>
      <c r="H2268" s="56" t="n">
        <v>0</v>
      </c>
      <c r="I2268" s="56" t="n">
        <v>16.5</v>
      </c>
      <c r="J2268" s="56" t="n">
        <v>0</v>
      </c>
      <c r="K2268" s="56" t="n">
        <v>1024.4</v>
      </c>
      <c r="L2268" s="56" t="n">
        <v>0</v>
      </c>
      <c r="M2268" s="56" t="n">
        <v>74</v>
      </c>
      <c r="N2268" s="56" t="n">
        <v>4.1</v>
      </c>
      <c r="O2268" s="56" t="n">
        <f aca="false">IF(D2268=1,"",E2267)</f>
        <v>20.4</v>
      </c>
      <c r="P2268" s="56" t="n">
        <f aca="false">IF(OR(D2268=1,K2267=""),"",K2267)</f>
        <v>1029.6</v>
      </c>
      <c r="Q2268" s="56" t="n">
        <f aca="false">IF(OR(F2268&lt;&gt;0,AND(I2268&lt;&gt;"",E2268&lt;I2268)),1,0)</f>
        <v>0</v>
      </c>
      <c r="R2268" s="56" t="n">
        <f aca="false">IF(AND(D2268&gt;1,Q2268=0,ISNUMBER(O2268),ISNUMBER(P2268)),IF(Q2267=0,1,0),0)</f>
        <v>1</v>
      </c>
      <c r="S2268" s="56" t="n">
        <f aca="false">R2268*(B2268&gt;=Train_Start)*(B2268&lt;=Train_End)</f>
        <v>1</v>
      </c>
      <c r="T2268" s="84" t="n">
        <f aca="false">IF(AND(ISNUMBER(O2268),ISNUMBER(P2268)),Coef_A+Coef_B1*O2268+Coef_B2*P2268,"")</f>
        <v>21.0999384752214</v>
      </c>
      <c r="U2268" s="84" t="n">
        <f aca="false">IF(AND(R2268=1,ISNUMBER(T2268)),E2268-T2268,"")</f>
        <v>-1.79993847522139</v>
      </c>
      <c r="V2268" s="84" t="n">
        <f aca="false">IF(ISNUMBER(T2268),T2268,-99)</f>
        <v>21.0999384752214</v>
      </c>
      <c r="W2268" s="84" t="n">
        <f aca="false">IF(ISNUMBER(U2268),ABS(U2268),"")</f>
        <v>1.79993847522139</v>
      </c>
    </row>
    <row r="2269" customFormat="false" ht="15" hidden="false" customHeight="false" outlineLevel="0" collapsed="false">
      <c r="A2269" s="57" t="n">
        <v>34215</v>
      </c>
      <c r="B2269" s="56" t="n">
        <v>1993</v>
      </c>
      <c r="C2269" s="56" t="n">
        <v>9</v>
      </c>
      <c r="D2269" s="56" t="n">
        <v>126</v>
      </c>
      <c r="E2269" s="56" t="n">
        <v>16.6</v>
      </c>
      <c r="F2269" s="56" t="n">
        <v>0</v>
      </c>
      <c r="G2269" s="56" t="n">
        <v>12.7</v>
      </c>
      <c r="H2269" s="56" t="n">
        <v>0</v>
      </c>
      <c r="I2269" s="56" t="n">
        <v>16</v>
      </c>
      <c r="J2269" s="56" t="n">
        <v>0</v>
      </c>
      <c r="K2269" s="56" t="n">
        <v>1018</v>
      </c>
      <c r="L2269" s="56" t="n">
        <v>0</v>
      </c>
      <c r="M2269" s="56" t="n">
        <v>77</v>
      </c>
      <c r="N2269" s="56" t="n">
        <v>1.5</v>
      </c>
      <c r="O2269" s="56" t="n">
        <f aca="false">IF(D2269=1,"",E2268)</f>
        <v>19.3</v>
      </c>
      <c r="P2269" s="56" t="n">
        <f aca="false">IF(OR(D2269=1,K2268=""),"",K2268)</f>
        <v>1024.4</v>
      </c>
      <c r="Q2269" s="56" t="n">
        <f aca="false">IF(OR(F2269&lt;&gt;0,AND(I2269&lt;&gt;"",E2269&lt;I2269)),1,0)</f>
        <v>0</v>
      </c>
      <c r="R2269" s="56" t="n">
        <f aca="false">IF(AND(D2269&gt;1,Q2269=0,ISNUMBER(O2269),ISNUMBER(P2269)),IF(Q2268=0,1,0),0)</f>
        <v>1</v>
      </c>
      <c r="S2269" s="56" t="n">
        <f aca="false">R2269*(B2269&gt;=Train_Start)*(B2269&lt;=Train_End)</f>
        <v>1</v>
      </c>
      <c r="T2269" s="84" t="n">
        <f aca="false">IF(AND(ISNUMBER(O2269),ISNUMBER(P2269)),Coef_A+Coef_B1*O2269+Coef_B2*P2269,"")</f>
        <v>20.0355419107777</v>
      </c>
      <c r="U2269" s="84" t="n">
        <f aca="false">IF(AND(R2269=1,ISNUMBER(T2269)),E2269-T2269,"")</f>
        <v>-3.43554191077772</v>
      </c>
      <c r="V2269" s="84" t="n">
        <f aca="false">IF(ISNUMBER(T2269),T2269,-99)</f>
        <v>20.0355419107777</v>
      </c>
      <c r="W2269" s="84" t="n">
        <f aca="false">IF(ISNUMBER(U2269),ABS(U2269),"")</f>
        <v>3.43554191077772</v>
      </c>
    </row>
    <row r="2270" customFormat="false" ht="15" hidden="false" customHeight="false" outlineLevel="0" collapsed="false">
      <c r="A2270" s="57" t="n">
        <v>34216</v>
      </c>
      <c r="B2270" s="56" t="n">
        <v>1993</v>
      </c>
      <c r="C2270" s="56" t="n">
        <v>9</v>
      </c>
      <c r="D2270" s="56" t="n">
        <v>127</v>
      </c>
      <c r="E2270" s="56" t="n">
        <v>18</v>
      </c>
      <c r="F2270" s="56" t="n">
        <v>0</v>
      </c>
      <c r="G2270" s="56" t="n">
        <v>8.2</v>
      </c>
      <c r="H2270" s="56" t="n">
        <v>0</v>
      </c>
      <c r="I2270" s="56" t="n">
        <v>12.4</v>
      </c>
      <c r="J2270" s="56" t="n">
        <v>0</v>
      </c>
      <c r="K2270" s="56" t="n">
        <v>1020.1</v>
      </c>
      <c r="L2270" s="56" t="n">
        <v>0</v>
      </c>
      <c r="M2270" s="56" t="n">
        <v>65</v>
      </c>
      <c r="N2270" s="56" t="n">
        <v>7.7</v>
      </c>
      <c r="O2270" s="56" t="n">
        <f aca="false">IF(D2270=1,"",E2269)</f>
        <v>16.6</v>
      </c>
      <c r="P2270" s="56" t="n">
        <f aca="false">IF(OR(D2270=1,K2269=""),"",K2269)</f>
        <v>1018</v>
      </c>
      <c r="Q2270" s="56" t="n">
        <f aca="false">IF(OR(F2270&lt;&gt;0,AND(I2270&lt;&gt;"",E2270&lt;I2270)),1,0)</f>
        <v>0</v>
      </c>
      <c r="R2270" s="56" t="n">
        <f aca="false">IF(AND(D2270&gt;1,Q2270=0,ISNUMBER(O2270),ISNUMBER(P2270)),IF(Q2269=0,1,0),0)</f>
        <v>1</v>
      </c>
      <c r="S2270" s="56" t="n">
        <f aca="false">R2270*(B2270&gt;=Train_Start)*(B2270&lt;=Train_End)</f>
        <v>1</v>
      </c>
      <c r="T2270" s="84" t="n">
        <f aca="false">IF(AND(ISNUMBER(O2270),ISNUMBER(P2270)),Coef_A+Coef_B1*O2270+Coef_B2*P2270,"")</f>
        <v>17.622558763905</v>
      </c>
      <c r="U2270" s="84" t="n">
        <f aca="false">IF(AND(R2270=1,ISNUMBER(T2270)),E2270-T2270,"")</f>
        <v>0.377441236094981</v>
      </c>
      <c r="V2270" s="84" t="n">
        <f aca="false">IF(ISNUMBER(T2270),T2270,-99)</f>
        <v>17.622558763905</v>
      </c>
      <c r="W2270" s="84" t="n">
        <f aca="false">IF(ISNUMBER(U2270),ABS(U2270),"")</f>
        <v>0.377441236094981</v>
      </c>
    </row>
    <row r="2271" customFormat="false" ht="15" hidden="false" customHeight="false" outlineLevel="0" collapsed="false">
      <c r="A2271" s="57" t="n">
        <v>34217</v>
      </c>
      <c r="B2271" s="56" t="n">
        <v>1993</v>
      </c>
      <c r="C2271" s="56" t="n">
        <v>9</v>
      </c>
      <c r="D2271" s="56" t="n">
        <v>128</v>
      </c>
      <c r="E2271" s="56" t="n">
        <v>19.2</v>
      </c>
      <c r="F2271" s="56" t="n">
        <v>0</v>
      </c>
      <c r="G2271" s="56" t="n">
        <v>8.4</v>
      </c>
      <c r="H2271" s="56" t="n">
        <v>0</v>
      </c>
      <c r="I2271" s="56" t="n">
        <v>13.2</v>
      </c>
      <c r="J2271" s="56" t="n">
        <v>0</v>
      </c>
      <c r="K2271" s="56" t="n">
        <v>1021.9</v>
      </c>
      <c r="L2271" s="56" t="n">
        <v>0</v>
      </c>
      <c r="M2271" s="56" t="n">
        <v>61</v>
      </c>
      <c r="N2271" s="56" t="n">
        <v>5.5</v>
      </c>
      <c r="O2271" s="56" t="n">
        <f aca="false">IF(D2271=1,"",E2270)</f>
        <v>18</v>
      </c>
      <c r="P2271" s="56" t="n">
        <f aca="false">IF(OR(D2271=1,K2270=""),"",K2270)</f>
        <v>1020.1</v>
      </c>
      <c r="Q2271" s="56" t="n">
        <f aca="false">IF(OR(F2271&lt;&gt;0,AND(I2271&lt;&gt;"",E2271&lt;I2271)),1,0)</f>
        <v>0</v>
      </c>
      <c r="R2271" s="56" t="n">
        <f aca="false">IF(AND(D2271&gt;1,Q2271=0,ISNUMBER(O2271),ISNUMBER(P2271)),IF(Q2270=0,1,0),0)</f>
        <v>1</v>
      </c>
      <c r="S2271" s="56" t="n">
        <f aca="false">R2271*(B2271&gt;=Train_Start)*(B2271&lt;=Train_End)</f>
        <v>1</v>
      </c>
      <c r="T2271" s="84" t="n">
        <f aca="false">IF(AND(ISNUMBER(O2271),ISNUMBER(P2271)),Coef_A+Coef_B1*O2271+Coef_B2*P2271,"")</f>
        <v>18.8355104128961</v>
      </c>
      <c r="U2271" s="84" t="n">
        <f aca="false">IF(AND(R2271=1,ISNUMBER(T2271)),E2271-T2271,"")</f>
        <v>0.364489587103886</v>
      </c>
      <c r="V2271" s="84" t="n">
        <f aca="false">IF(ISNUMBER(T2271),T2271,-99)</f>
        <v>18.8355104128961</v>
      </c>
      <c r="W2271" s="84" t="n">
        <f aca="false">IF(ISNUMBER(U2271),ABS(U2271),"")</f>
        <v>0.364489587103886</v>
      </c>
    </row>
    <row r="2272" customFormat="false" ht="15" hidden="false" customHeight="false" outlineLevel="0" collapsed="false">
      <c r="A2272" s="57" t="n">
        <v>34218</v>
      </c>
      <c r="B2272" s="56" t="n">
        <v>1993</v>
      </c>
      <c r="C2272" s="56" t="n">
        <v>9</v>
      </c>
      <c r="D2272" s="56" t="n">
        <v>129</v>
      </c>
      <c r="E2272" s="56" t="n">
        <v>23.4</v>
      </c>
      <c r="F2272" s="56" t="n">
        <v>0</v>
      </c>
      <c r="G2272" s="56" t="n">
        <v>9.2</v>
      </c>
      <c r="H2272" s="56" t="n">
        <v>0</v>
      </c>
      <c r="I2272" s="56" t="n">
        <v>14.2</v>
      </c>
      <c r="J2272" s="56" t="n">
        <v>0</v>
      </c>
      <c r="K2272" s="56" t="n">
        <v>1016.6</v>
      </c>
      <c r="L2272" s="56" t="n">
        <v>0</v>
      </c>
      <c r="M2272" s="56" t="n">
        <v>67</v>
      </c>
      <c r="N2272" s="56" t="n">
        <v>4.1</v>
      </c>
      <c r="O2272" s="56" t="n">
        <f aca="false">IF(D2272=1,"",E2271)</f>
        <v>19.2</v>
      </c>
      <c r="P2272" s="56" t="n">
        <f aca="false">IF(OR(D2272=1,K2271=""),"",K2271)</f>
        <v>1021.9</v>
      </c>
      <c r="Q2272" s="56" t="n">
        <f aca="false">IF(OR(F2272&lt;&gt;0,AND(I2272&lt;&gt;"",E2272&lt;I2272)),1,0)</f>
        <v>0</v>
      </c>
      <c r="R2272" s="56" t="n">
        <f aca="false">IF(AND(D2272&gt;1,Q2272=0,ISNUMBER(O2272),ISNUMBER(P2272)),IF(Q2271=0,1,0),0)</f>
        <v>1</v>
      </c>
      <c r="S2272" s="56" t="n">
        <f aca="false">R2272*(B2272&gt;=Train_Start)*(B2272&lt;=Train_End)</f>
        <v>1</v>
      </c>
      <c r="T2272" s="84" t="n">
        <f aca="false">IF(AND(ISNUMBER(O2272),ISNUMBER(P2272)),Coef_A+Coef_B1*O2272+Coef_B2*P2272,"")</f>
        <v>19.8751832548885</v>
      </c>
      <c r="U2272" s="84" t="n">
        <f aca="false">IF(AND(R2272=1,ISNUMBER(T2272)),E2272-T2272,"")</f>
        <v>3.52481674511152</v>
      </c>
      <c r="V2272" s="84" t="n">
        <f aca="false">IF(ISNUMBER(T2272),T2272,-99)</f>
        <v>19.8751832548885</v>
      </c>
      <c r="W2272" s="84" t="n">
        <f aca="false">IF(ISNUMBER(U2272),ABS(U2272),"")</f>
        <v>3.52481674511152</v>
      </c>
    </row>
    <row r="2273" customFormat="false" ht="15" hidden="false" customHeight="false" outlineLevel="0" collapsed="false">
      <c r="A2273" s="57" t="n">
        <v>34219</v>
      </c>
      <c r="B2273" s="56" t="n">
        <v>1993</v>
      </c>
      <c r="C2273" s="56" t="n">
        <v>9</v>
      </c>
      <c r="D2273" s="56" t="n">
        <v>130</v>
      </c>
      <c r="E2273" s="56" t="n">
        <v>21.4</v>
      </c>
      <c r="F2273" s="56" t="n">
        <v>0</v>
      </c>
      <c r="G2273" s="56" t="n">
        <v>11.9</v>
      </c>
      <c r="H2273" s="56" t="n">
        <v>0</v>
      </c>
      <c r="I2273" s="56" t="n">
        <v>17.6</v>
      </c>
      <c r="J2273" s="56" t="n">
        <v>0</v>
      </c>
      <c r="K2273" s="56" t="n">
        <v>1006</v>
      </c>
      <c r="L2273" s="56" t="n">
        <v>0</v>
      </c>
      <c r="M2273" s="56" t="n">
        <v>66</v>
      </c>
      <c r="N2273" s="56" t="n">
        <v>5.8</v>
      </c>
      <c r="O2273" s="56" t="n">
        <f aca="false">IF(D2273=1,"",E2272)</f>
        <v>23.4</v>
      </c>
      <c r="P2273" s="56" t="n">
        <f aca="false">IF(OR(D2273=1,K2272=""),"",K2272)</f>
        <v>1016.6</v>
      </c>
      <c r="Q2273" s="56" t="n">
        <f aca="false">IF(OR(F2273&lt;&gt;0,AND(I2273&lt;&gt;"",E2273&lt;I2273)),1,0)</f>
        <v>0</v>
      </c>
      <c r="R2273" s="56" t="n">
        <f aca="false">IF(AND(D2273&gt;1,Q2273=0,ISNUMBER(O2273),ISNUMBER(P2273)),IF(Q2272=0,1,0),0)</f>
        <v>1</v>
      </c>
      <c r="S2273" s="56" t="n">
        <f aca="false">R2273*(B2273&gt;=Train_Start)*(B2273&lt;=Train_End)</f>
        <v>1</v>
      </c>
      <c r="T2273" s="84" t="n">
        <f aca="false">IF(AND(ISNUMBER(O2273),ISNUMBER(P2273)),Coef_A+Coef_B1*O2273+Coef_B2*P2273,"")</f>
        <v>23.1501474241075</v>
      </c>
      <c r="U2273" s="84" t="n">
        <f aca="false">IF(AND(R2273=1,ISNUMBER(T2273)),E2273-T2273,"")</f>
        <v>-1.7501474241075</v>
      </c>
      <c r="V2273" s="84" t="n">
        <f aca="false">IF(ISNUMBER(T2273),T2273,-99)</f>
        <v>23.1501474241075</v>
      </c>
      <c r="W2273" s="84" t="n">
        <f aca="false">IF(ISNUMBER(U2273),ABS(U2273),"")</f>
        <v>1.7501474241075</v>
      </c>
    </row>
    <row r="2274" customFormat="false" ht="15" hidden="false" customHeight="false" outlineLevel="0" collapsed="false">
      <c r="A2274" s="57" t="n">
        <v>34220</v>
      </c>
      <c r="B2274" s="56" t="n">
        <v>1993</v>
      </c>
      <c r="C2274" s="56" t="n">
        <v>9</v>
      </c>
      <c r="D2274" s="56" t="n">
        <v>131</v>
      </c>
      <c r="E2274" s="56" t="n">
        <v>20.7</v>
      </c>
      <c r="F2274" s="56" t="n">
        <v>0</v>
      </c>
      <c r="G2274" s="56" t="n">
        <v>13.7</v>
      </c>
      <c r="H2274" s="56" t="n">
        <v>0</v>
      </c>
      <c r="I2274" s="56" t="n">
        <v>17.6</v>
      </c>
      <c r="J2274" s="56" t="n">
        <v>0</v>
      </c>
      <c r="K2274" s="56" t="n">
        <v>997.1</v>
      </c>
      <c r="L2274" s="56" t="n">
        <v>0</v>
      </c>
      <c r="M2274" s="56" t="n">
        <v>87</v>
      </c>
      <c r="N2274" s="56" t="n">
        <v>2.8</v>
      </c>
      <c r="O2274" s="56" t="n">
        <f aca="false">IF(D2274=1,"",E2273)</f>
        <v>21.4</v>
      </c>
      <c r="P2274" s="56" t="n">
        <f aca="false">IF(OR(D2274=1,K2273=""),"",K2273)</f>
        <v>1006</v>
      </c>
      <c r="Q2274" s="56" t="n">
        <f aca="false">IF(OR(F2274&lt;&gt;0,AND(I2274&lt;&gt;"",E2274&lt;I2274)),1,0)</f>
        <v>0</v>
      </c>
      <c r="R2274" s="56" t="n">
        <f aca="false">IF(AND(D2274&gt;1,Q2274=0,ISNUMBER(O2274),ISNUMBER(P2274)),IF(Q2273=0,1,0),0)</f>
        <v>1</v>
      </c>
      <c r="S2274" s="56" t="n">
        <f aca="false">R2274*(B2274&gt;=Train_Start)*(B2274&lt;=Train_End)</f>
        <v>1</v>
      </c>
      <c r="T2274" s="84" t="n">
        <f aca="false">IF(AND(ISNUMBER(O2274),ISNUMBER(P2274)),Coef_A+Coef_B1*O2274+Coef_B2*P2274,"")</f>
        <v>21.1789481549019</v>
      </c>
      <c r="U2274" s="84" t="n">
        <f aca="false">IF(AND(R2274=1,ISNUMBER(T2274)),E2274-T2274,"")</f>
        <v>-0.4789481549019</v>
      </c>
      <c r="V2274" s="84" t="n">
        <f aca="false">IF(ISNUMBER(T2274),T2274,-99)</f>
        <v>21.1789481549019</v>
      </c>
      <c r="W2274" s="84" t="n">
        <f aca="false">IF(ISNUMBER(U2274),ABS(U2274),"")</f>
        <v>0.4789481549019</v>
      </c>
    </row>
    <row r="2275" customFormat="false" ht="15" hidden="false" customHeight="false" outlineLevel="0" collapsed="false">
      <c r="A2275" s="57" t="n">
        <v>34221</v>
      </c>
      <c r="B2275" s="56" t="n">
        <v>1993</v>
      </c>
      <c r="C2275" s="56" t="n">
        <v>9</v>
      </c>
      <c r="D2275" s="56" t="n">
        <v>132</v>
      </c>
      <c r="E2275" s="56" t="n">
        <v>17.2</v>
      </c>
      <c r="F2275" s="56" t="n">
        <v>1</v>
      </c>
      <c r="G2275" s="56" t="n">
        <v>15.2</v>
      </c>
      <c r="H2275" s="56" t="n">
        <v>0</v>
      </c>
      <c r="I2275" s="56" t="n">
        <v>18</v>
      </c>
      <c r="J2275" s="56" t="n">
        <v>1</v>
      </c>
      <c r="K2275" s="56" t="n">
        <v>997.2</v>
      </c>
      <c r="L2275" s="56" t="n">
        <v>0</v>
      </c>
      <c r="M2275" s="56" t="n">
        <v>76</v>
      </c>
      <c r="N2275" s="56" t="n">
        <v>6</v>
      </c>
      <c r="O2275" s="56" t="n">
        <f aca="false">IF(D2275=1,"",E2274)</f>
        <v>20.7</v>
      </c>
      <c r="P2275" s="56" t="n">
        <f aca="false">IF(OR(D2275=1,K2274=""),"",K2274)</f>
        <v>997.1</v>
      </c>
      <c r="Q2275" s="56" t="n">
        <f aca="false">IF(OR(F2275&lt;&gt;0,AND(I2275&lt;&gt;"",E2275&lt;I2275)),1,0)</f>
        <v>1</v>
      </c>
      <c r="R2275" s="56" t="n">
        <f aca="false">IF(AND(D2275&gt;1,Q2275=0,ISNUMBER(O2275),ISNUMBER(P2275)),IF(Q2274=0,1,0),0)</f>
        <v>0</v>
      </c>
      <c r="S2275" s="56" t="n">
        <f aca="false">R2275*(B2275&gt;=Train_Start)*(B2275&lt;=Train_End)</f>
        <v>0</v>
      </c>
      <c r="T2275" s="84" t="n">
        <f aca="false">IF(AND(ISNUMBER(O2275),ISNUMBER(P2275)),Coef_A+Coef_B1*O2275+Coef_B2*P2275,"")</f>
        <v>20.3262186575295</v>
      </c>
      <c r="U2275" s="84" t="str">
        <f aca="false">IF(AND(R2275=1,ISNUMBER(T2275)),E2275-T2275,"")</f>
        <v/>
      </c>
      <c r="V2275" s="84" t="n">
        <f aca="false">IF(ISNUMBER(T2275),T2275,-99)</f>
        <v>20.3262186575295</v>
      </c>
      <c r="W2275" s="84" t="str">
        <f aca="false">IF(ISNUMBER(U2275),ABS(U2275),"")</f>
        <v/>
      </c>
    </row>
    <row r="2276" customFormat="false" ht="15" hidden="false" customHeight="false" outlineLevel="0" collapsed="false">
      <c r="A2276" s="57" t="n">
        <v>34222</v>
      </c>
      <c r="B2276" s="56" t="n">
        <v>1993</v>
      </c>
      <c r="C2276" s="56" t="n">
        <v>9</v>
      </c>
      <c r="D2276" s="56" t="n">
        <v>133</v>
      </c>
      <c r="E2276" s="56" t="n">
        <v>18.1</v>
      </c>
      <c r="F2276" s="56" t="n">
        <v>0</v>
      </c>
      <c r="G2276" s="56" t="n">
        <v>13.8</v>
      </c>
      <c r="H2276" s="56" t="n">
        <v>0</v>
      </c>
      <c r="I2276" s="56" t="n">
        <v>15.5</v>
      </c>
      <c r="J2276" s="56" t="n">
        <v>0</v>
      </c>
      <c r="K2276" s="56" t="n">
        <v>1001.7</v>
      </c>
      <c r="L2276" s="56" t="n">
        <v>0</v>
      </c>
      <c r="M2276" s="56" t="n">
        <v>83</v>
      </c>
      <c r="N2276" s="56" t="n">
        <v>1.2</v>
      </c>
      <c r="O2276" s="56" t="n">
        <f aca="false">IF(D2276=1,"",E2275)</f>
        <v>17.2</v>
      </c>
      <c r="P2276" s="56" t="n">
        <f aca="false">IF(OR(D2276=1,K2275=""),"",K2275)</f>
        <v>997.2</v>
      </c>
      <c r="Q2276" s="56" t="n">
        <f aca="false">IF(OR(F2276&lt;&gt;0,AND(I2276&lt;&gt;"",E2276&lt;I2276)),1,0)</f>
        <v>0</v>
      </c>
      <c r="R2276" s="56" t="n">
        <f aca="false">IF(AND(D2276&gt;1,Q2276=0,ISNUMBER(O2276),ISNUMBER(P2276)),IF(Q2275=0,1,0),0)</f>
        <v>0</v>
      </c>
      <c r="S2276" s="56" t="n">
        <f aca="false">R2276*(B2276&gt;=Train_Start)*(B2276&lt;=Train_End)</f>
        <v>0</v>
      </c>
      <c r="T2276" s="84" t="n">
        <f aca="false">IF(AND(ISNUMBER(O2276),ISNUMBER(P2276)),Coef_A+Coef_B1*O2276+Coef_B2*P2276,"")</f>
        <v>17.4616684713436</v>
      </c>
      <c r="U2276" s="84" t="str">
        <f aca="false">IF(AND(R2276=1,ISNUMBER(T2276)),E2276-T2276,"")</f>
        <v/>
      </c>
      <c r="V2276" s="84" t="n">
        <f aca="false">IF(ISNUMBER(T2276),T2276,-99)</f>
        <v>17.4616684713436</v>
      </c>
      <c r="W2276" s="84" t="str">
        <f aca="false">IF(ISNUMBER(U2276),ABS(U2276),"")</f>
        <v/>
      </c>
    </row>
    <row r="2277" customFormat="false" ht="15" hidden="false" customHeight="false" outlineLevel="0" collapsed="false">
      <c r="A2277" s="57" t="n">
        <v>34223</v>
      </c>
      <c r="B2277" s="56" t="n">
        <v>1993</v>
      </c>
      <c r="C2277" s="56" t="n">
        <v>9</v>
      </c>
      <c r="D2277" s="56" t="n">
        <v>134</v>
      </c>
      <c r="E2277" s="56" t="n">
        <v>16.3</v>
      </c>
      <c r="F2277" s="56" t="n">
        <v>0</v>
      </c>
      <c r="G2277" s="56" t="n">
        <v>8.2</v>
      </c>
      <c r="H2277" s="56" t="n">
        <v>0</v>
      </c>
      <c r="I2277" s="56" t="n">
        <v>13.2</v>
      </c>
      <c r="J2277" s="56" t="n">
        <v>0</v>
      </c>
      <c r="K2277" s="56" t="n">
        <v>1006.1</v>
      </c>
      <c r="L2277" s="56" t="n">
        <v>0</v>
      </c>
      <c r="M2277" s="56" t="n">
        <v>76</v>
      </c>
      <c r="N2277" s="56" t="n">
        <v>3.5</v>
      </c>
      <c r="O2277" s="56" t="n">
        <f aca="false">IF(D2277=1,"",E2276)</f>
        <v>18.1</v>
      </c>
      <c r="P2277" s="56" t="n">
        <f aca="false">IF(OR(D2277=1,K2276=""),"",K2276)</f>
        <v>1001.7</v>
      </c>
      <c r="Q2277" s="56" t="n">
        <f aca="false">IF(OR(F2277&lt;&gt;0,AND(I2277&lt;&gt;"",E2277&lt;I2277)),1,0)</f>
        <v>0</v>
      </c>
      <c r="R2277" s="56" t="n">
        <f aca="false">IF(AND(D2277&gt;1,Q2277=0,ISNUMBER(O2277),ISNUMBER(P2277)),IF(Q2276=0,1,0),0)</f>
        <v>1</v>
      </c>
      <c r="S2277" s="56" t="n">
        <f aca="false">R2277*(B2277&gt;=Train_Start)*(B2277&lt;=Train_End)</f>
        <v>1</v>
      </c>
      <c r="T2277" s="84" t="n">
        <f aca="false">IF(AND(ISNUMBER(O2277),ISNUMBER(P2277)),Coef_A+Coef_B1*O2277+Coef_B2*P2277,"")</f>
        <v>18.340238270935</v>
      </c>
      <c r="U2277" s="84" t="n">
        <f aca="false">IF(AND(R2277=1,ISNUMBER(T2277)),E2277-T2277,"")</f>
        <v>-2.04023827093497</v>
      </c>
      <c r="V2277" s="84" t="n">
        <f aca="false">IF(ISNUMBER(T2277),T2277,-99)</f>
        <v>18.340238270935</v>
      </c>
      <c r="W2277" s="84" t="n">
        <f aca="false">IF(ISNUMBER(U2277),ABS(U2277),"")</f>
        <v>2.04023827093497</v>
      </c>
    </row>
    <row r="2278" customFormat="false" ht="15" hidden="false" customHeight="false" outlineLevel="0" collapsed="false">
      <c r="A2278" s="57" t="n">
        <v>34224</v>
      </c>
      <c r="B2278" s="56" t="n">
        <v>1993</v>
      </c>
      <c r="C2278" s="56" t="n">
        <v>9</v>
      </c>
      <c r="D2278" s="56" t="n">
        <v>135</v>
      </c>
      <c r="E2278" s="56" t="n">
        <v>17.7</v>
      </c>
      <c r="F2278" s="56" t="n">
        <v>0</v>
      </c>
      <c r="G2278" s="56" t="n">
        <v>7.8</v>
      </c>
      <c r="H2278" s="56" t="n">
        <v>0</v>
      </c>
      <c r="I2278" s="56" t="n">
        <v>12</v>
      </c>
      <c r="J2278" s="56" t="n">
        <v>0</v>
      </c>
      <c r="K2278" s="56" t="n">
        <v>1000.6</v>
      </c>
      <c r="L2278" s="56" t="n">
        <v>0</v>
      </c>
      <c r="M2278" s="56" t="n">
        <v>89</v>
      </c>
      <c r="N2278" s="56" t="n">
        <v>0.3</v>
      </c>
      <c r="O2278" s="56" t="n">
        <f aca="false">IF(D2278=1,"",E2277)</f>
        <v>16.3</v>
      </c>
      <c r="P2278" s="56" t="n">
        <f aca="false">IF(OR(D2278=1,K2277=""),"",K2277)</f>
        <v>1006.1</v>
      </c>
      <c r="Q2278" s="56" t="n">
        <f aca="false">IF(OR(F2278&lt;&gt;0,AND(I2278&lt;&gt;"",E2278&lt;I2278)),1,0)</f>
        <v>0</v>
      </c>
      <c r="R2278" s="56" t="n">
        <f aca="false">IF(AND(D2278&gt;1,Q2278=0,ISNUMBER(O2278),ISNUMBER(P2278)),IF(Q2277=0,1,0),0)</f>
        <v>1</v>
      </c>
      <c r="S2278" s="56" t="n">
        <f aca="false">R2278*(B2278&gt;=Train_Start)*(B2278&lt;=Train_End)</f>
        <v>1</v>
      </c>
      <c r="T2278" s="84" t="n">
        <f aca="false">IF(AND(ISNUMBER(O2278),ISNUMBER(P2278)),Coef_A+Coef_B1*O2278+Coef_B2*P2278,"")</f>
        <v>17.0034552598477</v>
      </c>
      <c r="U2278" s="84" t="n">
        <f aca="false">IF(AND(R2278=1,ISNUMBER(T2278)),E2278-T2278,"")</f>
        <v>0.696544740152252</v>
      </c>
      <c r="V2278" s="84" t="n">
        <f aca="false">IF(ISNUMBER(T2278),T2278,-99)</f>
        <v>17.0034552598477</v>
      </c>
      <c r="W2278" s="84" t="n">
        <f aca="false">IF(ISNUMBER(U2278),ABS(U2278),"")</f>
        <v>0.696544740152252</v>
      </c>
    </row>
    <row r="2279" customFormat="false" ht="15" hidden="false" customHeight="false" outlineLevel="0" collapsed="false">
      <c r="A2279" s="57" t="n">
        <v>34225</v>
      </c>
      <c r="B2279" s="56" t="n">
        <v>1993</v>
      </c>
      <c r="C2279" s="56" t="n">
        <v>9</v>
      </c>
      <c r="D2279" s="56" t="n">
        <v>136</v>
      </c>
      <c r="E2279" s="56" t="n">
        <v>15.1</v>
      </c>
      <c r="F2279" s="56" t="n">
        <v>0</v>
      </c>
      <c r="G2279" s="56" t="n">
        <v>11.2</v>
      </c>
      <c r="H2279" s="56" t="n">
        <v>0</v>
      </c>
      <c r="I2279" s="56" t="n">
        <v>14.4</v>
      </c>
      <c r="J2279" s="56" t="n">
        <v>0</v>
      </c>
      <c r="K2279" s="56" t="n">
        <v>990.3</v>
      </c>
      <c r="L2279" s="56" t="n">
        <v>0</v>
      </c>
      <c r="M2279" s="56" t="n">
        <v>85</v>
      </c>
      <c r="N2279" s="56" t="n">
        <v>3.8</v>
      </c>
      <c r="O2279" s="56" t="n">
        <f aca="false">IF(D2279=1,"",E2278)</f>
        <v>17.7</v>
      </c>
      <c r="P2279" s="56" t="n">
        <f aca="false">IF(OR(D2279=1,K2278=""),"",K2278)</f>
        <v>1000.6</v>
      </c>
      <c r="Q2279" s="56" t="n">
        <f aca="false">IF(OR(F2279&lt;&gt;0,AND(I2279&lt;&gt;"",E2279&lt;I2279)),1,0)</f>
        <v>0</v>
      </c>
      <c r="R2279" s="56" t="n">
        <f aca="false">IF(AND(D2279&gt;1,Q2279=0,ISNUMBER(O2279),ISNUMBER(P2279)),IF(Q2278=0,1,0),0)</f>
        <v>1</v>
      </c>
      <c r="S2279" s="56" t="n">
        <f aca="false">R2279*(B2279&gt;=Train_Start)*(B2279&lt;=Train_End)</f>
        <v>1</v>
      </c>
      <c r="T2279" s="84" t="n">
        <f aca="false">IF(AND(ISNUMBER(O2279),ISNUMBER(P2279)),Coef_A+Coef_B1*O2279+Coef_B2*P2279,"")</f>
        <v>17.9779957096205</v>
      </c>
      <c r="U2279" s="84" t="n">
        <f aca="false">IF(AND(R2279=1,ISNUMBER(T2279)),E2279-T2279,"")</f>
        <v>-2.87799570962052</v>
      </c>
      <c r="V2279" s="84" t="n">
        <f aca="false">IF(ISNUMBER(T2279),T2279,-99)</f>
        <v>17.9779957096205</v>
      </c>
      <c r="W2279" s="84" t="n">
        <f aca="false">IF(ISNUMBER(U2279),ABS(U2279),"")</f>
        <v>2.87799570962052</v>
      </c>
    </row>
    <row r="2280" customFormat="false" ht="15" hidden="false" customHeight="false" outlineLevel="0" collapsed="false">
      <c r="A2280" s="57" t="n">
        <v>34226</v>
      </c>
      <c r="B2280" s="56" t="n">
        <v>1993</v>
      </c>
      <c r="C2280" s="56" t="n">
        <v>9</v>
      </c>
      <c r="D2280" s="56" t="n">
        <v>137</v>
      </c>
      <c r="E2280" s="56" t="n">
        <v>16.6</v>
      </c>
      <c r="F2280" s="56" t="n">
        <v>0</v>
      </c>
      <c r="G2280" s="56" t="n">
        <v>11.1</v>
      </c>
      <c r="H2280" s="56" t="n">
        <v>0</v>
      </c>
      <c r="I2280" s="56" t="n">
        <v>13.1</v>
      </c>
      <c r="J2280" s="56" t="n">
        <v>0</v>
      </c>
      <c r="K2280" s="56" t="n">
        <v>993.1</v>
      </c>
      <c r="L2280" s="56" t="n">
        <v>0</v>
      </c>
      <c r="M2280" s="56" t="n">
        <v>84</v>
      </c>
      <c r="N2280" s="56" t="n">
        <v>0.8</v>
      </c>
      <c r="O2280" s="56" t="n">
        <f aca="false">IF(D2280=1,"",E2279)</f>
        <v>15.1</v>
      </c>
      <c r="P2280" s="56" t="n">
        <f aca="false">IF(OR(D2280=1,K2279=""),"",K2279)</f>
        <v>990.3</v>
      </c>
      <c r="Q2280" s="56" t="n">
        <f aca="false">IF(OR(F2280&lt;&gt;0,AND(I2280&lt;&gt;"",E2280&lt;I2280)),1,0)</f>
        <v>0</v>
      </c>
      <c r="R2280" s="56" t="n">
        <f aca="false">IF(AND(D2280&gt;1,Q2280=0,ISNUMBER(O2280),ISNUMBER(P2280)),IF(Q2279=0,1,0),0)</f>
        <v>1</v>
      </c>
      <c r="S2280" s="56" t="n">
        <f aca="false">R2280*(B2280&gt;=Train_Start)*(B2280&lt;=Train_End)</f>
        <v>1</v>
      </c>
      <c r="T2280" s="84" t="n">
        <f aca="false">IF(AND(ISNUMBER(O2280),ISNUMBER(P2280)),Coef_A+Coef_B1*O2280+Coef_B2*P2280,"")</f>
        <v>15.5246038929795</v>
      </c>
      <c r="U2280" s="84" t="n">
        <f aca="false">IF(AND(R2280=1,ISNUMBER(T2280)),E2280-T2280,"")</f>
        <v>1.07539610702048</v>
      </c>
      <c r="V2280" s="84" t="n">
        <f aca="false">IF(ISNUMBER(T2280),T2280,-99)</f>
        <v>15.5246038929795</v>
      </c>
      <c r="W2280" s="84" t="n">
        <f aca="false">IF(ISNUMBER(U2280),ABS(U2280),"")</f>
        <v>1.07539610702048</v>
      </c>
    </row>
    <row r="2281" customFormat="false" ht="15" hidden="false" customHeight="false" outlineLevel="0" collapsed="false">
      <c r="A2281" s="57" t="n">
        <v>34227</v>
      </c>
      <c r="B2281" s="56" t="n">
        <v>1993</v>
      </c>
      <c r="C2281" s="56" t="n">
        <v>9</v>
      </c>
      <c r="D2281" s="56" t="n">
        <v>138</v>
      </c>
      <c r="E2281" s="56" t="n">
        <v>14.8</v>
      </c>
      <c r="F2281" s="56" t="n">
        <v>0</v>
      </c>
      <c r="G2281" s="56" t="n">
        <v>8.1</v>
      </c>
      <c r="H2281" s="56" t="n">
        <v>0</v>
      </c>
      <c r="I2281" s="56" t="n">
        <v>12.4</v>
      </c>
      <c r="J2281" s="56" t="n">
        <v>0</v>
      </c>
      <c r="K2281" s="56" t="n">
        <v>997.2</v>
      </c>
      <c r="L2281" s="56" t="n">
        <v>0</v>
      </c>
      <c r="M2281" s="56" t="n">
        <v>79</v>
      </c>
      <c r="N2281" s="56" t="n">
        <v>3.9</v>
      </c>
      <c r="O2281" s="56" t="n">
        <f aca="false">IF(D2281=1,"",E2280)</f>
        <v>16.6</v>
      </c>
      <c r="P2281" s="56" t="n">
        <f aca="false">IF(OR(D2281=1,K2280=""),"",K2280)</f>
        <v>993.1</v>
      </c>
      <c r="Q2281" s="56" t="n">
        <f aca="false">IF(OR(F2281&lt;&gt;0,AND(I2281&lt;&gt;"",E2281&lt;I2281)),1,0)</f>
        <v>0</v>
      </c>
      <c r="R2281" s="56" t="n">
        <f aca="false">IF(AND(D2281&gt;1,Q2281=0,ISNUMBER(O2281),ISNUMBER(P2281)),IF(Q2280=0,1,0),0)</f>
        <v>1</v>
      </c>
      <c r="S2281" s="56" t="n">
        <f aca="false">R2281*(B2281&gt;=Train_Start)*(B2281&lt;=Train_End)</f>
        <v>1</v>
      </c>
      <c r="T2281" s="84" t="n">
        <f aca="false">IF(AND(ISNUMBER(O2281),ISNUMBER(P2281)),Coef_A+Coef_B1*O2281+Coef_B2*P2281,"")</f>
        <v>16.8414483875187</v>
      </c>
      <c r="U2281" s="84" t="n">
        <f aca="false">IF(AND(R2281=1,ISNUMBER(T2281)),E2281-T2281,"")</f>
        <v>-2.04144838751868</v>
      </c>
      <c r="V2281" s="84" t="n">
        <f aca="false">IF(ISNUMBER(T2281),T2281,-99)</f>
        <v>16.8414483875187</v>
      </c>
      <c r="W2281" s="84" t="n">
        <f aca="false">IF(ISNUMBER(U2281),ABS(U2281),"")</f>
        <v>2.04144838751868</v>
      </c>
    </row>
    <row r="2282" customFormat="false" ht="15" hidden="false" customHeight="false" outlineLevel="0" collapsed="false">
      <c r="A2282" s="57" t="n">
        <v>34228</v>
      </c>
      <c r="B2282" s="56" t="n">
        <v>1993</v>
      </c>
      <c r="C2282" s="56" t="n">
        <v>9</v>
      </c>
      <c r="D2282" s="56" t="n">
        <v>139</v>
      </c>
      <c r="E2282" s="56" t="n">
        <v>16.3</v>
      </c>
      <c r="F2282" s="56" t="n">
        <v>0</v>
      </c>
      <c r="G2282" s="56" t="n">
        <v>10.6</v>
      </c>
      <c r="H2282" s="56" t="n">
        <v>0</v>
      </c>
      <c r="I2282" s="56" t="n">
        <v>12.7</v>
      </c>
      <c r="J2282" s="56" t="n">
        <v>0</v>
      </c>
      <c r="K2282" s="56" t="n">
        <v>1006.5</v>
      </c>
      <c r="L2282" s="56" t="n">
        <v>0</v>
      </c>
      <c r="M2282" s="56" t="n">
        <v>84</v>
      </c>
      <c r="N2282" s="56" t="n">
        <v>0.5</v>
      </c>
      <c r="O2282" s="56" t="n">
        <f aca="false">IF(D2282=1,"",E2281)</f>
        <v>14.8</v>
      </c>
      <c r="P2282" s="56" t="n">
        <f aca="false">IF(OR(D2282=1,K2281=""),"",K2281)</f>
        <v>997.2</v>
      </c>
      <c r="Q2282" s="56" t="n">
        <f aca="false">IF(OR(F2282&lt;&gt;0,AND(I2282&lt;&gt;"",E2282&lt;I2282)),1,0)</f>
        <v>0</v>
      </c>
      <c r="R2282" s="56" t="n">
        <f aca="false">IF(AND(D2282&gt;1,Q2282=0,ISNUMBER(O2282),ISNUMBER(P2282)),IF(Q2281=0,1,0),0)</f>
        <v>1</v>
      </c>
      <c r="S2282" s="56" t="n">
        <f aca="false">R2282*(B2282&gt;=Train_Start)*(B2282&lt;=Train_End)</f>
        <v>1</v>
      </c>
      <c r="T2282" s="84" t="n">
        <f aca="false">IF(AND(ISNUMBER(O2282),ISNUMBER(P2282)),Coef_A+Coef_B1*O2282+Coef_B2*P2282,"")</f>
        <v>15.4952544080413</v>
      </c>
      <c r="U2282" s="84" t="n">
        <f aca="false">IF(AND(R2282=1,ISNUMBER(T2282)),E2282-T2282,"")</f>
        <v>0.804745591958746</v>
      </c>
      <c r="V2282" s="84" t="n">
        <f aca="false">IF(ISNUMBER(T2282),T2282,-99)</f>
        <v>15.4952544080413</v>
      </c>
      <c r="W2282" s="84" t="n">
        <f aca="false">IF(ISNUMBER(U2282),ABS(U2282),"")</f>
        <v>0.804745591958746</v>
      </c>
    </row>
    <row r="2283" customFormat="false" ht="15" hidden="false" customHeight="false" outlineLevel="0" collapsed="false">
      <c r="A2283" s="57" t="n">
        <v>34229</v>
      </c>
      <c r="B2283" s="56" t="n">
        <v>1993</v>
      </c>
      <c r="C2283" s="56" t="n">
        <v>9</v>
      </c>
      <c r="D2283" s="56" t="n">
        <v>140</v>
      </c>
      <c r="E2283" s="56" t="n">
        <v>17.9</v>
      </c>
      <c r="F2283" s="56" t="n">
        <v>0</v>
      </c>
      <c r="G2283" s="56" t="n">
        <v>10.4</v>
      </c>
      <c r="H2283" s="56" t="n">
        <v>0</v>
      </c>
      <c r="I2283" s="56" t="n">
        <v>13.4</v>
      </c>
      <c r="J2283" s="56" t="n">
        <v>0</v>
      </c>
      <c r="K2283" s="56" t="n">
        <v>1016.8</v>
      </c>
      <c r="L2283" s="56" t="n">
        <v>0</v>
      </c>
      <c r="M2283" s="56" t="n">
        <v>75</v>
      </c>
      <c r="N2283" s="56" t="n">
        <v>4.2</v>
      </c>
      <c r="O2283" s="56" t="n">
        <f aca="false">IF(D2283=1,"",E2282)</f>
        <v>16.3</v>
      </c>
      <c r="P2283" s="56" t="n">
        <f aca="false">IF(OR(D2283=1,K2282=""),"",K2282)</f>
        <v>1006.5</v>
      </c>
      <c r="Q2283" s="56" t="n">
        <f aca="false">IF(OR(F2283&lt;&gt;0,AND(I2283&lt;&gt;"",E2283&lt;I2283)),1,0)</f>
        <v>0</v>
      </c>
      <c r="R2283" s="56" t="n">
        <f aca="false">IF(AND(D2283&gt;1,Q2283=0,ISNUMBER(O2283),ISNUMBER(P2283)),IF(Q2282=0,1,0),0)</f>
        <v>1</v>
      </c>
      <c r="S2283" s="56" t="n">
        <f aca="false">R2283*(B2283&gt;=Train_Start)*(B2283&lt;=Train_End)</f>
        <v>1</v>
      </c>
      <c r="T2283" s="84" t="n">
        <f aca="false">IF(AND(ISNUMBER(O2283),ISNUMBER(P2283)),Coef_A+Coef_B1*O2283+Coef_B2*P2283,"")</f>
        <v>17.0160032177013</v>
      </c>
      <c r="U2283" s="84" t="n">
        <f aca="false">IF(AND(R2283=1,ISNUMBER(T2283)),E2283-T2283,"")</f>
        <v>0.883996782298659</v>
      </c>
      <c r="V2283" s="84" t="n">
        <f aca="false">IF(ISNUMBER(T2283),T2283,-99)</f>
        <v>17.0160032177013</v>
      </c>
      <c r="W2283" s="84" t="n">
        <f aca="false">IF(ISNUMBER(U2283),ABS(U2283),"")</f>
        <v>0.883996782298659</v>
      </c>
    </row>
    <row r="2284" customFormat="false" ht="15" hidden="false" customHeight="false" outlineLevel="0" collapsed="false">
      <c r="A2284" s="57" t="n">
        <v>34230</v>
      </c>
      <c r="B2284" s="56" t="n">
        <v>1993</v>
      </c>
      <c r="C2284" s="56" t="n">
        <v>9</v>
      </c>
      <c r="D2284" s="56" t="n">
        <v>141</v>
      </c>
      <c r="E2284" s="56" t="n">
        <v>21</v>
      </c>
      <c r="F2284" s="56" t="n">
        <v>0</v>
      </c>
      <c r="G2284" s="56" t="n">
        <v>5.9</v>
      </c>
      <c r="H2284" s="56" t="n">
        <v>0</v>
      </c>
      <c r="I2284" s="56" t="n">
        <v>11.9</v>
      </c>
      <c r="J2284" s="56" t="n">
        <v>0</v>
      </c>
      <c r="K2284" s="56" t="n">
        <v>1020.8</v>
      </c>
      <c r="L2284" s="56" t="n">
        <v>0</v>
      </c>
      <c r="M2284" s="56" t="n">
        <v>74</v>
      </c>
      <c r="N2284" s="56" t="n">
        <v>8.7</v>
      </c>
      <c r="O2284" s="56" t="n">
        <f aca="false">IF(D2284=1,"",E2283)</f>
        <v>17.9</v>
      </c>
      <c r="P2284" s="56" t="n">
        <f aca="false">IF(OR(D2284=1,K2283=""),"",K2283)</f>
        <v>1016.8</v>
      </c>
      <c r="Q2284" s="56" t="n">
        <f aca="false">IF(OR(F2284&lt;&gt;0,AND(I2284&lt;&gt;"",E2284&lt;I2284)),1,0)</f>
        <v>0</v>
      </c>
      <c r="R2284" s="56" t="n">
        <f aca="false">IF(AND(D2284&gt;1,Q2284=0,ISNUMBER(O2284),ISNUMBER(P2284)),IF(Q2283=0,1,0),0)</f>
        <v>1</v>
      </c>
      <c r="S2284" s="56" t="n">
        <f aca="false">R2284*(B2284&gt;=Train_Start)*(B2284&lt;=Train_End)</f>
        <v>1</v>
      </c>
      <c r="T2284" s="84" t="n">
        <f aca="false">IF(AND(ISNUMBER(O2284),ISNUMBER(P2284)),Coef_A+Coef_B1*O2284+Coef_B2*P2284,"")</f>
        <v>18.6500558412997</v>
      </c>
      <c r="U2284" s="84" t="n">
        <f aca="false">IF(AND(R2284=1,ISNUMBER(T2284)),E2284-T2284,"")</f>
        <v>2.34994415870032</v>
      </c>
      <c r="V2284" s="84" t="n">
        <f aca="false">IF(ISNUMBER(T2284),T2284,-99)</f>
        <v>18.6500558412997</v>
      </c>
      <c r="W2284" s="84" t="n">
        <f aca="false">IF(ISNUMBER(U2284),ABS(U2284),"")</f>
        <v>2.34994415870032</v>
      </c>
    </row>
    <row r="2285" customFormat="false" ht="15" hidden="false" customHeight="false" outlineLevel="0" collapsed="false">
      <c r="A2285" s="57" t="n">
        <v>34231</v>
      </c>
      <c r="B2285" s="56" t="n">
        <v>1993</v>
      </c>
      <c r="C2285" s="56" t="n">
        <v>9</v>
      </c>
      <c r="D2285" s="56" t="n">
        <v>142</v>
      </c>
      <c r="E2285" s="56" t="n">
        <v>16.6</v>
      </c>
      <c r="F2285" s="56" t="n">
        <v>0</v>
      </c>
      <c r="G2285" s="56" t="n">
        <v>6.9</v>
      </c>
      <c r="H2285" s="56" t="n">
        <v>0</v>
      </c>
      <c r="I2285" s="56" t="n">
        <v>14</v>
      </c>
      <c r="J2285" s="56" t="n">
        <v>0</v>
      </c>
      <c r="K2285" s="56" t="n">
        <v>1018.8</v>
      </c>
      <c r="L2285" s="56" t="n">
        <v>0</v>
      </c>
      <c r="M2285" s="56" t="n">
        <v>71</v>
      </c>
      <c r="N2285" s="56" t="n">
        <v>10.3</v>
      </c>
      <c r="O2285" s="56" t="n">
        <f aca="false">IF(D2285=1,"",E2284)</f>
        <v>21</v>
      </c>
      <c r="P2285" s="56" t="n">
        <f aca="false">IF(OR(D2285=1,K2284=""),"",K2284)</f>
        <v>1020.8</v>
      </c>
      <c r="Q2285" s="56" t="n">
        <f aca="false">IF(OR(F2285&lt;&gt;0,AND(I2285&lt;&gt;"",E2285&lt;I2285)),1,0)</f>
        <v>0</v>
      </c>
      <c r="R2285" s="56" t="n">
        <f aca="false">IF(AND(D2285&gt;1,Q2285=0,ISNUMBER(O2285),ISNUMBER(P2285)),IF(Q2284=0,1,0),0)</f>
        <v>1</v>
      </c>
      <c r="S2285" s="56" t="n">
        <f aca="false">R2285*(B2285&gt;=Train_Start)*(B2285&lt;=Train_End)</f>
        <v>1</v>
      </c>
      <c r="T2285" s="84" t="n">
        <f aca="false">IF(AND(ISNUMBER(O2285),ISNUMBER(P2285)),Coef_A+Coef_B1*O2285+Coef_B2*P2285,"")</f>
        <v>21.3154869182679</v>
      </c>
      <c r="U2285" s="84" t="n">
        <f aca="false">IF(AND(R2285=1,ISNUMBER(T2285)),E2285-T2285,"")</f>
        <v>-4.71548691826787</v>
      </c>
      <c r="V2285" s="84" t="n">
        <f aca="false">IF(ISNUMBER(T2285),T2285,-99)</f>
        <v>21.3154869182679</v>
      </c>
      <c r="W2285" s="84" t="n">
        <f aca="false">IF(ISNUMBER(U2285),ABS(U2285),"")</f>
        <v>4.71548691826787</v>
      </c>
    </row>
    <row r="2286" customFormat="false" ht="15" hidden="false" customHeight="false" outlineLevel="0" collapsed="false">
      <c r="A2286" s="57" t="n">
        <v>34232</v>
      </c>
      <c r="B2286" s="56" t="n">
        <v>1993</v>
      </c>
      <c r="C2286" s="56" t="n">
        <v>9</v>
      </c>
      <c r="D2286" s="56" t="n">
        <v>143</v>
      </c>
      <c r="E2286" s="56" t="n">
        <v>19.6</v>
      </c>
      <c r="F2286" s="56" t="n">
        <v>0</v>
      </c>
      <c r="G2286" s="56" t="n">
        <v>12.7</v>
      </c>
      <c r="H2286" s="56" t="n">
        <v>0</v>
      </c>
      <c r="I2286" s="56" t="n">
        <v>14.6</v>
      </c>
      <c r="J2286" s="56" t="n">
        <v>0</v>
      </c>
      <c r="K2286" s="56" t="n">
        <v>1014.7</v>
      </c>
      <c r="L2286" s="56" t="n">
        <v>0</v>
      </c>
      <c r="M2286" s="56" t="n">
        <v>92</v>
      </c>
      <c r="N2286" s="56" t="n">
        <v>0</v>
      </c>
      <c r="O2286" s="56" t="n">
        <f aca="false">IF(D2286=1,"",E2285)</f>
        <v>16.6</v>
      </c>
      <c r="P2286" s="56" t="n">
        <f aca="false">IF(OR(D2286=1,K2285=""),"",K2285)</f>
        <v>1018.8</v>
      </c>
      <c r="Q2286" s="56" t="n">
        <f aca="false">IF(OR(F2286&lt;&gt;0,AND(I2286&lt;&gt;"",E2286&lt;I2286)),1,0)</f>
        <v>0</v>
      </c>
      <c r="R2286" s="56" t="n">
        <f aca="false">IF(AND(D2286&gt;1,Q2286=0,ISNUMBER(O2286),ISNUMBER(P2286)),IF(Q2285=0,1,0),0)</f>
        <v>1</v>
      </c>
      <c r="S2286" s="56" t="n">
        <f aca="false">R2286*(B2286&gt;=Train_Start)*(B2286&lt;=Train_End)</f>
        <v>1</v>
      </c>
      <c r="T2286" s="84" t="n">
        <f aca="false">IF(AND(ISNUMBER(O2286),ISNUMBER(P2286)),Coef_A+Coef_B1*O2286+Coef_B2*P2286,"")</f>
        <v>17.6476546796122</v>
      </c>
      <c r="U2286" s="84" t="n">
        <f aca="false">IF(AND(R2286=1,ISNUMBER(T2286)),E2286-T2286,"")</f>
        <v>1.95234532038779</v>
      </c>
      <c r="V2286" s="84" t="n">
        <f aca="false">IF(ISNUMBER(T2286),T2286,-99)</f>
        <v>17.6476546796122</v>
      </c>
      <c r="W2286" s="84" t="n">
        <f aca="false">IF(ISNUMBER(U2286),ABS(U2286),"")</f>
        <v>1.95234532038779</v>
      </c>
    </row>
    <row r="2287" customFormat="false" ht="15" hidden="false" customHeight="false" outlineLevel="0" collapsed="false">
      <c r="A2287" s="57" t="n">
        <v>34233</v>
      </c>
      <c r="B2287" s="56" t="n">
        <v>1993</v>
      </c>
      <c r="C2287" s="56" t="n">
        <v>9</v>
      </c>
      <c r="D2287" s="56" t="n">
        <v>144</v>
      </c>
      <c r="E2287" s="56" t="n">
        <v>18.8</v>
      </c>
      <c r="F2287" s="56" t="n">
        <v>0</v>
      </c>
      <c r="G2287" s="56" t="n">
        <v>12.6</v>
      </c>
      <c r="H2287" s="56" t="n">
        <v>0</v>
      </c>
      <c r="I2287" s="56" t="n">
        <v>16.1</v>
      </c>
      <c r="J2287" s="56" t="n">
        <v>0</v>
      </c>
      <c r="K2287" s="56" t="n">
        <v>1013.6</v>
      </c>
      <c r="L2287" s="56" t="n">
        <v>0</v>
      </c>
      <c r="M2287" s="56" t="n">
        <v>80</v>
      </c>
      <c r="N2287" s="56" t="n">
        <v>7.5</v>
      </c>
      <c r="O2287" s="56" t="n">
        <f aca="false">IF(D2287=1,"",E2286)</f>
        <v>19.6</v>
      </c>
      <c r="P2287" s="56" t="n">
        <f aca="false">IF(OR(D2287=1,K2286=""),"",K2286)</f>
        <v>1014.7</v>
      </c>
      <c r="Q2287" s="56" t="n">
        <f aca="false">IF(OR(F2287&lt;&gt;0,AND(I2287&lt;&gt;"",E2287&lt;I2287)),1,0)</f>
        <v>0</v>
      </c>
      <c r="R2287" s="56" t="n">
        <f aca="false">IF(AND(D2287&gt;1,Q2287=0,ISNUMBER(O2287),ISNUMBER(P2287)),IF(Q2286=0,1,0),0)</f>
        <v>1</v>
      </c>
      <c r="S2287" s="56" t="n">
        <f aca="false">R2287*(B2287&gt;=Train_Start)*(B2287&lt;=Train_End)</f>
        <v>1</v>
      </c>
      <c r="T2287" s="84" t="n">
        <f aca="false">IF(AND(ISNUMBER(O2287),ISNUMBER(P2287)),Coef_A+Coef_B1*O2287+Coef_B2*P2287,"")</f>
        <v>19.9770556907408</v>
      </c>
      <c r="U2287" s="84" t="n">
        <f aca="false">IF(AND(R2287=1,ISNUMBER(T2287)),E2287-T2287,"")</f>
        <v>-1.17705569074083</v>
      </c>
      <c r="V2287" s="84" t="n">
        <f aca="false">IF(ISNUMBER(T2287),T2287,-99)</f>
        <v>19.9770556907408</v>
      </c>
      <c r="W2287" s="84" t="n">
        <f aca="false">IF(ISNUMBER(U2287),ABS(U2287),"")</f>
        <v>1.17705569074083</v>
      </c>
    </row>
    <row r="2288" customFormat="false" ht="15" hidden="false" customHeight="false" outlineLevel="0" collapsed="false">
      <c r="A2288" s="57" t="n">
        <v>34234</v>
      </c>
      <c r="B2288" s="56" t="n">
        <v>1993</v>
      </c>
      <c r="C2288" s="56" t="n">
        <v>9</v>
      </c>
      <c r="D2288" s="56" t="n">
        <v>145</v>
      </c>
      <c r="E2288" s="56" t="n">
        <v>16.6</v>
      </c>
      <c r="F2288" s="56" t="n">
        <v>0</v>
      </c>
      <c r="G2288" s="56" t="n">
        <v>11.2</v>
      </c>
      <c r="H2288" s="56" t="n">
        <v>0</v>
      </c>
      <c r="I2288" s="56" t="n">
        <v>15</v>
      </c>
      <c r="J2288" s="56" t="n">
        <v>0</v>
      </c>
      <c r="K2288" s="56" t="n">
        <v>1013.6</v>
      </c>
      <c r="L2288" s="56" t="n">
        <v>0</v>
      </c>
      <c r="M2288" s="56" t="n">
        <v>82</v>
      </c>
      <c r="N2288" s="56" t="n">
        <v>0.7</v>
      </c>
      <c r="O2288" s="56" t="n">
        <f aca="false">IF(D2288=1,"",E2287)</f>
        <v>18.8</v>
      </c>
      <c r="P2288" s="56" t="n">
        <f aca="false">IF(OR(D2288=1,K2287=""),"",K2287)</f>
        <v>1013.6</v>
      </c>
      <c r="Q2288" s="56" t="n">
        <f aca="false">IF(OR(F2288&lt;&gt;0,AND(I2288&lt;&gt;"",E2288&lt;I2288)),1,0)</f>
        <v>0</v>
      </c>
      <c r="R2288" s="56" t="n">
        <f aca="false">IF(AND(D2288&gt;1,Q2288=0,ISNUMBER(O2288),ISNUMBER(P2288)),IF(Q2287=0,1,0),0)</f>
        <v>1</v>
      </c>
      <c r="S2288" s="56" t="n">
        <f aca="false">R2288*(B2288&gt;=Train_Start)*(B2288&lt;=Train_End)</f>
        <v>1</v>
      </c>
      <c r="T2288" s="84" t="n">
        <f aca="false">IF(AND(ISNUMBER(O2288),ISNUMBER(P2288)),Coef_A+Coef_B1*O2288+Coef_B2*P2288,"")</f>
        <v>19.2870774522093</v>
      </c>
      <c r="U2288" s="84" t="n">
        <f aca="false">IF(AND(R2288=1,ISNUMBER(T2288)),E2288-T2288,"")</f>
        <v>-2.68707745220931</v>
      </c>
      <c r="V2288" s="84" t="n">
        <f aca="false">IF(ISNUMBER(T2288),T2288,-99)</f>
        <v>19.2870774522093</v>
      </c>
      <c r="W2288" s="84" t="n">
        <f aca="false">IF(ISNUMBER(U2288),ABS(U2288),"")</f>
        <v>2.68707745220931</v>
      </c>
    </row>
    <row r="2289" customFormat="false" ht="15" hidden="false" customHeight="false" outlineLevel="0" collapsed="false">
      <c r="A2289" s="57" t="n">
        <v>34235</v>
      </c>
      <c r="B2289" s="56" t="n">
        <v>1993</v>
      </c>
      <c r="C2289" s="56" t="n">
        <v>9</v>
      </c>
      <c r="D2289" s="56" t="n">
        <v>146</v>
      </c>
      <c r="E2289" s="56" t="n">
        <v>17.4</v>
      </c>
      <c r="F2289" s="56" t="n">
        <v>0</v>
      </c>
      <c r="G2289" s="56" t="n">
        <v>8.6</v>
      </c>
      <c r="H2289" s="56" t="n">
        <v>0</v>
      </c>
      <c r="I2289" s="56" t="n">
        <v>12.6</v>
      </c>
      <c r="J2289" s="56" t="n">
        <v>0</v>
      </c>
      <c r="K2289" s="56" t="n">
        <v>1017.7</v>
      </c>
      <c r="L2289" s="56" t="n">
        <v>0</v>
      </c>
      <c r="M2289" s="56" t="n">
        <v>83</v>
      </c>
      <c r="N2289" s="56" t="n">
        <v>4.6</v>
      </c>
      <c r="O2289" s="56" t="n">
        <f aca="false">IF(D2289=1,"",E2288)</f>
        <v>16.6</v>
      </c>
      <c r="P2289" s="56" t="n">
        <f aca="false">IF(OR(D2289=1,K2288=""),"",K2288)</f>
        <v>1013.6</v>
      </c>
      <c r="Q2289" s="56" t="n">
        <f aca="false">IF(OR(F2289&lt;&gt;0,AND(I2289&lt;&gt;"",E2289&lt;I2289)),1,0)</f>
        <v>0</v>
      </c>
      <c r="R2289" s="56" t="n">
        <f aca="false">IF(AND(D2289&gt;1,Q2289=0,ISNUMBER(O2289),ISNUMBER(P2289)),IF(Q2288=0,1,0),0)</f>
        <v>1</v>
      </c>
      <c r="S2289" s="56" t="n">
        <f aca="false">R2289*(B2289&gt;=Train_Start)*(B2289&lt;=Train_End)</f>
        <v>1</v>
      </c>
      <c r="T2289" s="84" t="n">
        <f aca="false">IF(AND(ISNUMBER(O2289),ISNUMBER(P2289)),Coef_A+Coef_B1*O2289+Coef_B2*P2289,"")</f>
        <v>17.4845312275155</v>
      </c>
      <c r="U2289" s="84" t="n">
        <f aca="false">IF(AND(R2289=1,ISNUMBER(T2289)),E2289-T2289,"")</f>
        <v>-0.0845312275154626</v>
      </c>
      <c r="V2289" s="84" t="n">
        <f aca="false">IF(ISNUMBER(T2289),T2289,-99)</f>
        <v>17.4845312275155</v>
      </c>
      <c r="W2289" s="84" t="n">
        <f aca="false">IF(ISNUMBER(U2289),ABS(U2289),"")</f>
        <v>0.0845312275154626</v>
      </c>
    </row>
    <row r="2290" customFormat="false" ht="15" hidden="false" customHeight="false" outlineLevel="0" collapsed="false">
      <c r="A2290" s="57" t="n">
        <v>34236</v>
      </c>
      <c r="B2290" s="56" t="n">
        <v>1993</v>
      </c>
      <c r="C2290" s="56" t="n">
        <v>9</v>
      </c>
      <c r="D2290" s="56" t="n">
        <v>147</v>
      </c>
      <c r="E2290" s="56" t="n">
        <v>13.7</v>
      </c>
      <c r="F2290" s="56" t="n">
        <v>0</v>
      </c>
      <c r="G2290" s="56" t="n">
        <v>7.5</v>
      </c>
      <c r="H2290" s="56" t="n">
        <v>0</v>
      </c>
      <c r="I2290" s="56" t="n">
        <v>12.4</v>
      </c>
      <c r="J2290" s="56" t="n">
        <v>0</v>
      </c>
      <c r="K2290" s="56" t="n">
        <v>1016.1</v>
      </c>
      <c r="L2290" s="56" t="n">
        <v>0</v>
      </c>
      <c r="M2290" s="56" t="n">
        <v>84</v>
      </c>
      <c r="N2290" s="56" t="n">
        <v>4.2</v>
      </c>
      <c r="O2290" s="56" t="n">
        <f aca="false">IF(D2290=1,"",E2289)</f>
        <v>17.4</v>
      </c>
      <c r="P2290" s="56" t="n">
        <f aca="false">IF(OR(D2290=1,K2289=""),"",K2289)</f>
        <v>1017.7</v>
      </c>
      <c r="Q2290" s="56" t="n">
        <f aca="false">IF(OR(F2290&lt;&gt;0,AND(I2290&lt;&gt;"",E2290&lt;I2290)),1,0)</f>
        <v>0</v>
      </c>
      <c r="R2290" s="56" t="n">
        <f aca="false">IF(AND(D2290&gt;1,Q2290=0,ISNUMBER(O2290),ISNUMBER(P2290)),IF(Q2289=0,1,0),0)</f>
        <v>1</v>
      </c>
      <c r="S2290" s="56" t="n">
        <f aca="false">R2290*(B2290&gt;=Train_Start)*(B2290&lt;=Train_End)</f>
        <v>1</v>
      </c>
      <c r="T2290" s="84" t="n">
        <f aca="false">IF(AND(ISNUMBER(O2290),ISNUMBER(P2290)),Coef_A+Coef_B1*O2290+Coef_B2*P2290,"")</f>
        <v>18.2686191499489</v>
      </c>
      <c r="U2290" s="84" t="n">
        <f aca="false">IF(AND(R2290=1,ISNUMBER(T2290)),E2290-T2290,"")</f>
        <v>-4.56861914994895</v>
      </c>
      <c r="V2290" s="84" t="n">
        <f aca="false">IF(ISNUMBER(T2290),T2290,-99)</f>
        <v>18.2686191499489</v>
      </c>
      <c r="W2290" s="84" t="n">
        <f aca="false">IF(ISNUMBER(U2290),ABS(U2290),"")</f>
        <v>4.56861914994895</v>
      </c>
    </row>
    <row r="2291" customFormat="false" ht="15" hidden="false" customHeight="false" outlineLevel="0" collapsed="false">
      <c r="A2291" s="57" t="n">
        <v>34237</v>
      </c>
      <c r="B2291" s="56" t="n">
        <v>1993</v>
      </c>
      <c r="C2291" s="56" t="n">
        <v>9</v>
      </c>
      <c r="D2291" s="56" t="n">
        <v>148</v>
      </c>
      <c r="E2291" s="56" t="n">
        <v>14.3</v>
      </c>
      <c r="F2291" s="56" t="n">
        <v>0</v>
      </c>
      <c r="G2291" s="56" t="n">
        <v>9.9</v>
      </c>
      <c r="H2291" s="56" t="n">
        <v>0</v>
      </c>
      <c r="I2291" s="56" t="n">
        <v>11.8</v>
      </c>
      <c r="J2291" s="56" t="n">
        <v>0</v>
      </c>
      <c r="K2291" s="56" t="n">
        <v>1014.1</v>
      </c>
      <c r="L2291" s="56" t="n">
        <v>0</v>
      </c>
      <c r="M2291" s="56" t="n">
        <v>86</v>
      </c>
      <c r="N2291" s="56" t="n">
        <v>0</v>
      </c>
      <c r="O2291" s="56" t="n">
        <f aca="false">IF(D2291=1,"",E2290)</f>
        <v>13.7</v>
      </c>
      <c r="P2291" s="56" t="n">
        <f aca="false">IF(OR(D2291=1,K2290=""),"",K2290)</f>
        <v>1016.1</v>
      </c>
      <c r="Q2291" s="56" t="n">
        <f aca="false">IF(OR(F2291&lt;&gt;0,AND(I2291&lt;&gt;"",E2291&lt;I2291)),1,0)</f>
        <v>0</v>
      </c>
      <c r="R2291" s="56" t="n">
        <f aca="false">IF(AND(D2291&gt;1,Q2291=0,ISNUMBER(O2291),ISNUMBER(P2291)),IF(Q2290=0,1,0),0)</f>
        <v>1</v>
      </c>
      <c r="S2291" s="56" t="n">
        <f aca="false">R2291*(B2291&gt;=Train_Start)*(B2291&lt;=Train_End)</f>
        <v>1</v>
      </c>
      <c r="T2291" s="84" t="n">
        <f aca="false">IF(AND(ISNUMBER(O2291),ISNUMBER(P2291)),Coef_A+Coef_B1*O2291+Coef_B2*P2291,"")</f>
        <v>15.1868723042767</v>
      </c>
      <c r="U2291" s="84" t="n">
        <f aca="false">IF(AND(R2291=1,ISNUMBER(T2291)),E2291-T2291,"")</f>
        <v>-0.886872304276729</v>
      </c>
      <c r="V2291" s="84" t="n">
        <f aca="false">IF(ISNUMBER(T2291),T2291,-99)</f>
        <v>15.1868723042767</v>
      </c>
      <c r="W2291" s="84" t="n">
        <f aca="false">IF(ISNUMBER(U2291),ABS(U2291),"")</f>
        <v>0.886872304276729</v>
      </c>
    </row>
    <row r="2292" customFormat="false" ht="15" hidden="false" customHeight="false" outlineLevel="0" collapsed="false">
      <c r="A2292" s="57" t="n">
        <v>34238</v>
      </c>
      <c r="B2292" s="56" t="n">
        <v>1993</v>
      </c>
      <c r="C2292" s="56" t="n">
        <v>9</v>
      </c>
      <c r="D2292" s="56" t="n">
        <v>149</v>
      </c>
      <c r="E2292" s="56" t="n">
        <v>10</v>
      </c>
      <c r="F2292" s="56" t="n">
        <v>0</v>
      </c>
      <c r="G2292" s="56" t="n">
        <v>4.5</v>
      </c>
      <c r="H2292" s="56" t="n">
        <v>0</v>
      </c>
      <c r="I2292" s="56" t="n">
        <v>9.4</v>
      </c>
      <c r="J2292" s="56" t="n">
        <v>0</v>
      </c>
      <c r="K2292" s="56" t="n">
        <v>1017.1</v>
      </c>
      <c r="L2292" s="56" t="n">
        <v>0</v>
      </c>
      <c r="M2292" s="56" t="n">
        <v>80</v>
      </c>
      <c r="N2292" s="56" t="n">
        <v>0.5</v>
      </c>
      <c r="O2292" s="56" t="n">
        <f aca="false">IF(D2292=1,"",E2291)</f>
        <v>14.3</v>
      </c>
      <c r="P2292" s="56" t="n">
        <f aca="false">IF(OR(D2292=1,K2291=""),"",K2291)</f>
        <v>1014.1</v>
      </c>
      <c r="Q2292" s="56" t="n">
        <f aca="false">IF(OR(F2292&lt;&gt;0,AND(I2292&lt;&gt;"",E2292&lt;I2292)),1,0)</f>
        <v>0</v>
      </c>
      <c r="R2292" s="56" t="n">
        <f aca="false">IF(AND(D2292&gt;1,Q2292=0,ISNUMBER(O2292),ISNUMBER(P2292)),IF(Q2291=0,1,0),0)</f>
        <v>1</v>
      </c>
      <c r="S2292" s="56" t="n">
        <f aca="false">R2292*(B2292&gt;=Train_Start)*(B2292&lt;=Train_End)</f>
        <v>1</v>
      </c>
      <c r="T2292" s="84" t="n">
        <f aca="false">IF(AND(ISNUMBER(O2292),ISNUMBER(P2292)),Coef_A+Coef_B1*O2292+Coef_B2*P2292,"")</f>
        <v>15.6157360308343</v>
      </c>
      <c r="U2292" s="84" t="n">
        <f aca="false">IF(AND(R2292=1,ISNUMBER(T2292)),E2292-T2292,"")</f>
        <v>-5.61573603083435</v>
      </c>
      <c r="V2292" s="84" t="n">
        <f aca="false">IF(ISNUMBER(T2292),T2292,-99)</f>
        <v>15.6157360308343</v>
      </c>
      <c r="W2292" s="84" t="n">
        <f aca="false">IF(ISNUMBER(U2292),ABS(U2292),"")</f>
        <v>5.61573603083435</v>
      </c>
    </row>
    <row r="2293" customFormat="false" ht="15" hidden="false" customHeight="false" outlineLevel="0" collapsed="false">
      <c r="A2293" s="57" t="n">
        <v>34239</v>
      </c>
      <c r="B2293" s="56" t="n">
        <v>1993</v>
      </c>
      <c r="C2293" s="56" t="n">
        <v>9</v>
      </c>
      <c r="D2293" s="56" t="n">
        <v>150</v>
      </c>
      <c r="E2293" s="56" t="n">
        <v>12.5</v>
      </c>
      <c r="F2293" s="56" t="n">
        <v>0</v>
      </c>
      <c r="G2293" s="56" t="n">
        <v>8</v>
      </c>
      <c r="H2293" s="56" t="n">
        <v>0</v>
      </c>
      <c r="I2293" s="56" t="n">
        <v>9</v>
      </c>
      <c r="J2293" s="56" t="n">
        <v>0</v>
      </c>
      <c r="K2293" s="56" t="n">
        <v>1016.8</v>
      </c>
      <c r="L2293" s="56" t="n">
        <v>0</v>
      </c>
      <c r="M2293" s="56" t="n">
        <v>86</v>
      </c>
      <c r="N2293" s="56" t="n">
        <v>0</v>
      </c>
      <c r="O2293" s="56" t="n">
        <f aca="false">IF(D2293=1,"",E2292)</f>
        <v>10</v>
      </c>
      <c r="P2293" s="56" t="n">
        <f aca="false">IF(OR(D2293=1,K2292=""),"",K2292)</f>
        <v>1017.1</v>
      </c>
      <c r="Q2293" s="56" t="n">
        <f aca="false">IF(OR(F2293&lt;&gt;0,AND(I2293&lt;&gt;"",E2293&lt;I2293)),1,0)</f>
        <v>0</v>
      </c>
      <c r="R2293" s="56" t="n">
        <f aca="false">IF(AND(D2293&gt;1,Q2293=0,ISNUMBER(O2293),ISNUMBER(P2293)),IF(Q2292=0,1,0),0)</f>
        <v>1</v>
      </c>
      <c r="S2293" s="56" t="n">
        <f aca="false">R2293*(B2293&gt;=Train_Start)*(B2293&lt;=Train_End)</f>
        <v>1</v>
      </c>
      <c r="T2293" s="84" t="n">
        <f aca="false">IF(AND(ISNUMBER(O2293),ISNUMBER(P2293)),Coef_A+Coef_B1*O2293+Coef_B2*P2293,"")</f>
        <v>12.1866871846529</v>
      </c>
      <c r="U2293" s="84" t="n">
        <f aca="false">IF(AND(R2293=1,ISNUMBER(T2293)),E2293-T2293,"")</f>
        <v>0.313312815347114</v>
      </c>
      <c r="V2293" s="84" t="n">
        <f aca="false">IF(ISNUMBER(T2293),T2293,-99)</f>
        <v>12.1866871846529</v>
      </c>
      <c r="W2293" s="84" t="n">
        <f aca="false">IF(ISNUMBER(U2293),ABS(U2293),"")</f>
        <v>0.313312815347114</v>
      </c>
    </row>
    <row r="2294" customFormat="false" ht="15" hidden="false" customHeight="false" outlineLevel="0" collapsed="false">
      <c r="A2294" s="57" t="n">
        <v>34240</v>
      </c>
      <c r="B2294" s="56" t="n">
        <v>1993</v>
      </c>
      <c r="C2294" s="56" t="n">
        <v>9</v>
      </c>
      <c r="D2294" s="56" t="n">
        <v>151</v>
      </c>
      <c r="E2294" s="56" t="n">
        <v>14.8</v>
      </c>
      <c r="F2294" s="56" t="n">
        <v>0</v>
      </c>
      <c r="G2294" s="56" t="n">
        <v>8.3</v>
      </c>
      <c r="H2294" s="56" t="n">
        <v>0</v>
      </c>
      <c r="I2294" s="56" t="n">
        <v>10.4</v>
      </c>
      <c r="J2294" s="56" t="n">
        <v>0</v>
      </c>
      <c r="K2294" s="56" t="n">
        <v>1014</v>
      </c>
      <c r="L2294" s="56" t="n">
        <v>0</v>
      </c>
      <c r="M2294" s="56" t="n">
        <v>90</v>
      </c>
      <c r="N2294" s="56" t="n">
        <v>0</v>
      </c>
      <c r="O2294" s="56" t="n">
        <f aca="false">IF(D2294=1,"",E2293)</f>
        <v>12.5</v>
      </c>
      <c r="P2294" s="56" t="n">
        <f aca="false">IF(OR(D2294=1,K2293=""),"",K2293)</f>
        <v>1016.8</v>
      </c>
      <c r="Q2294" s="56" t="n">
        <f aca="false">IF(OR(F2294&lt;&gt;0,AND(I2294&lt;&gt;"",E2294&lt;I2294)),1,0)</f>
        <v>0</v>
      </c>
      <c r="R2294" s="56" t="n">
        <f aca="false">IF(AND(D2294&gt;1,Q2294=0,ISNUMBER(O2294),ISNUMBER(P2294)),IF(Q2293=0,1,0),0)</f>
        <v>1</v>
      </c>
      <c r="S2294" s="56" t="n">
        <f aca="false">R2294*(B2294&gt;=Train_Start)*(B2294&lt;=Train_End)</f>
        <v>1</v>
      </c>
      <c r="T2294" s="84" t="n">
        <f aca="false">IF(AND(ISNUMBER(O2294),ISNUMBER(P2294)),Coef_A+Coef_B1*O2294+Coef_B2*P2294,"")</f>
        <v>14.2256241988693</v>
      </c>
      <c r="U2294" s="84" t="n">
        <f aca="false">IF(AND(R2294=1,ISNUMBER(T2294)),E2294-T2294,"")</f>
        <v>0.574375801130671</v>
      </c>
      <c r="V2294" s="84" t="n">
        <f aca="false">IF(ISNUMBER(T2294),T2294,-99)</f>
        <v>14.2256241988693</v>
      </c>
      <c r="W2294" s="84" t="n">
        <f aca="false">IF(ISNUMBER(U2294),ABS(U2294),"")</f>
        <v>0.574375801130671</v>
      </c>
    </row>
    <row r="2295" customFormat="false" ht="15" hidden="false" customHeight="false" outlineLevel="0" collapsed="false">
      <c r="A2295" s="57" t="n">
        <v>34241</v>
      </c>
      <c r="B2295" s="56" t="n">
        <v>1993</v>
      </c>
      <c r="C2295" s="56" t="n">
        <v>9</v>
      </c>
      <c r="D2295" s="56" t="n">
        <v>152</v>
      </c>
      <c r="E2295" s="56" t="n">
        <v>15</v>
      </c>
      <c r="F2295" s="56" t="n">
        <v>0</v>
      </c>
      <c r="G2295" s="56" t="n">
        <v>6.7</v>
      </c>
      <c r="H2295" s="56" t="n">
        <v>0</v>
      </c>
      <c r="I2295" s="56" t="n">
        <v>10.8</v>
      </c>
      <c r="J2295" s="56" t="n">
        <v>0</v>
      </c>
      <c r="K2295" s="56" t="n">
        <v>1009.5</v>
      </c>
      <c r="L2295" s="56" t="n">
        <v>0</v>
      </c>
      <c r="M2295" s="56" t="n">
        <v>88</v>
      </c>
      <c r="N2295" s="56" t="n">
        <v>0.1</v>
      </c>
      <c r="O2295" s="56" t="n">
        <f aca="false">IF(D2295=1,"",E2294)</f>
        <v>14.8</v>
      </c>
      <c r="P2295" s="56" t="n">
        <f aca="false">IF(OR(D2295=1,K2294=""),"",K2294)</f>
        <v>1014</v>
      </c>
      <c r="Q2295" s="56" t="n">
        <f aca="false">IF(OR(F2295&lt;&gt;0,AND(I2295&lt;&gt;"",E2295&lt;I2295)),1,0)</f>
        <v>0</v>
      </c>
      <c r="R2295" s="56" t="n">
        <f aca="false">IF(AND(D2295&gt;1,Q2295=0,ISNUMBER(O2295),ISNUMBER(P2295)),IF(Q2294=0,1,0),0)</f>
        <v>1</v>
      </c>
      <c r="S2295" s="56" t="n">
        <f aca="false">R2295*(B2295&gt;=Train_Start)*(B2295&lt;=Train_End)</f>
        <v>1</v>
      </c>
      <c r="T2295" s="84" t="n">
        <f aca="false">IF(AND(ISNUMBER(O2295),ISNUMBER(P2295)),Coef_A+Coef_B1*O2295+Coef_B2*P2295,"")</f>
        <v>16.0222686378923</v>
      </c>
      <c r="U2295" s="84" t="n">
        <f aca="false">IF(AND(R2295=1,ISNUMBER(T2295)),E2295-T2295,"")</f>
        <v>-1.02226863789227</v>
      </c>
      <c r="V2295" s="84" t="n">
        <f aca="false">IF(ISNUMBER(T2295),T2295,-99)</f>
        <v>16.0222686378923</v>
      </c>
      <c r="W2295" s="84" t="n">
        <f aca="false">IF(ISNUMBER(U2295),ABS(U2295),"")</f>
        <v>1.02226863789227</v>
      </c>
    </row>
    <row r="2296" customFormat="false" ht="15" hidden="false" customHeight="false" outlineLevel="0" collapsed="false">
      <c r="A2296" s="57" t="n">
        <v>34242</v>
      </c>
      <c r="B2296" s="56" t="n">
        <v>1993</v>
      </c>
      <c r="C2296" s="56" t="n">
        <v>9</v>
      </c>
      <c r="D2296" s="56" t="n">
        <v>153</v>
      </c>
      <c r="E2296" s="56" t="n">
        <v>13.9</v>
      </c>
      <c r="F2296" s="56" t="n">
        <v>0</v>
      </c>
      <c r="G2296" s="56" t="n">
        <v>5.7</v>
      </c>
      <c r="H2296" s="56" t="n">
        <v>0</v>
      </c>
      <c r="I2296" s="56" t="n">
        <v>10.4</v>
      </c>
      <c r="J2296" s="56" t="n">
        <v>0</v>
      </c>
      <c r="K2296" s="56" t="n">
        <v>1002.8</v>
      </c>
      <c r="L2296" s="56" t="n">
        <v>0</v>
      </c>
      <c r="M2296" s="56" t="n">
        <v>86</v>
      </c>
      <c r="N2296" s="56" t="n">
        <v>3.3</v>
      </c>
      <c r="O2296" s="56" t="n">
        <f aca="false">IF(D2296=1,"",E2295)</f>
        <v>15</v>
      </c>
      <c r="P2296" s="56" t="n">
        <f aca="false">IF(OR(D2296=1,K2295=""),"",K2295)</f>
        <v>1009.5</v>
      </c>
      <c r="Q2296" s="56" t="n">
        <f aca="false">IF(OR(F2296&lt;&gt;0,AND(I2296&lt;&gt;"",E2296&lt;I2296)),1,0)</f>
        <v>0</v>
      </c>
      <c r="R2296" s="56" t="n">
        <f aca="false">IF(AND(D2296&gt;1,Q2296=0,ISNUMBER(O2296),ISNUMBER(P2296)),IF(Q2295=0,1,0),0)</f>
        <v>1</v>
      </c>
      <c r="S2296" s="56" t="n">
        <f aca="false">R2296*(B2296&gt;=Train_Start)*(B2296&lt;=Train_End)</f>
        <v>1</v>
      </c>
      <c r="T2296" s="84" t="n">
        <f aca="false">IF(AND(ISNUMBER(O2296),ISNUMBER(P2296)),Coef_A+Coef_B1*O2296+Coef_B2*P2296,"")</f>
        <v>16.0449719506479</v>
      </c>
      <c r="U2296" s="84" t="n">
        <f aca="false">IF(AND(R2296=1,ISNUMBER(T2296)),E2296-T2296,"")</f>
        <v>-2.14497195064785</v>
      </c>
      <c r="V2296" s="84" t="n">
        <f aca="false">IF(ISNUMBER(T2296),T2296,-99)</f>
        <v>16.0449719506479</v>
      </c>
      <c r="W2296" s="84" t="n">
        <f aca="false">IF(ISNUMBER(U2296),ABS(U2296),"")</f>
        <v>2.14497195064785</v>
      </c>
    </row>
    <row r="2297" customFormat="false" ht="15" hidden="false" customHeight="false" outlineLevel="0" collapsed="false">
      <c r="A2297" s="57" t="n">
        <v>34455</v>
      </c>
      <c r="B2297" s="56" t="n">
        <v>1994</v>
      </c>
      <c r="C2297" s="56" t="n">
        <v>5</v>
      </c>
      <c r="D2297" s="56" t="n">
        <v>1</v>
      </c>
      <c r="E2297" s="56" t="n">
        <v>17.5</v>
      </c>
      <c r="F2297" s="56" t="n">
        <v>0</v>
      </c>
      <c r="G2297" s="56" t="n">
        <v>7.2</v>
      </c>
      <c r="H2297" s="56" t="n">
        <v>0</v>
      </c>
      <c r="I2297" s="56" t="n">
        <v>12.3</v>
      </c>
      <c r="J2297" s="56" t="n">
        <v>0</v>
      </c>
      <c r="K2297" s="56" t="n">
        <v>1029.4</v>
      </c>
      <c r="L2297" s="56" t="n">
        <v>0</v>
      </c>
      <c r="M2297" s="56" t="n">
        <v>64</v>
      </c>
      <c r="N2297" s="56" t="n">
        <v>12.7</v>
      </c>
      <c r="O2297" s="56" t="str">
        <f aca="false">IF(D2297=1,"",E2296)</f>
        <v/>
      </c>
      <c r="P2297" s="56" t="str">
        <f aca="false">IF(OR(D2297=1,K2296=""),"",K2296)</f>
        <v/>
      </c>
      <c r="Q2297" s="56" t="n">
        <f aca="false">IF(OR(F2297&lt;&gt;0,AND(I2297&lt;&gt;"",E2297&lt;I2297)),1,0)</f>
        <v>0</v>
      </c>
      <c r="R2297" s="56" t="n">
        <f aca="false">IF(AND(D2297&gt;1,Q2297=0,ISNUMBER(O2297),ISNUMBER(P2297)),IF(Q2296=0,1,0),0)</f>
        <v>0</v>
      </c>
      <c r="S2297" s="56" t="n">
        <f aca="false">R2297*(B2297&gt;=Train_Start)*(B2297&lt;=Train_End)</f>
        <v>0</v>
      </c>
      <c r="T2297" s="84" t="str">
        <f aca="false">IF(AND(ISNUMBER(O2297),ISNUMBER(P2297)),Coef_A+Coef_B1*O2297+Coef_B2*P2297,"")</f>
        <v/>
      </c>
      <c r="U2297" s="84" t="str">
        <f aca="false">IF(AND(R2297=1,ISNUMBER(T2297)),E2297-T2297,"")</f>
        <v/>
      </c>
      <c r="V2297" s="84" t="n">
        <f aca="false">IF(ISNUMBER(T2297),T2297,-99)</f>
        <v>-99</v>
      </c>
      <c r="W2297" s="84" t="str">
        <f aca="false">IF(ISNUMBER(U2297),ABS(U2297),"")</f>
        <v/>
      </c>
    </row>
    <row r="2298" customFormat="false" ht="15" hidden="false" customHeight="false" outlineLevel="0" collapsed="false">
      <c r="A2298" s="57" t="n">
        <v>34456</v>
      </c>
      <c r="B2298" s="56" t="n">
        <v>1994</v>
      </c>
      <c r="C2298" s="56" t="n">
        <v>5</v>
      </c>
      <c r="D2298" s="56" t="n">
        <v>2</v>
      </c>
      <c r="E2298" s="56" t="n">
        <v>19.8</v>
      </c>
      <c r="F2298" s="56" t="n">
        <v>0</v>
      </c>
      <c r="G2298" s="56" t="n">
        <v>6.5</v>
      </c>
      <c r="H2298" s="56" t="n">
        <v>0</v>
      </c>
      <c r="I2298" s="56" t="n">
        <v>12</v>
      </c>
      <c r="J2298" s="56" t="n">
        <v>0</v>
      </c>
      <c r="K2298" s="56" t="n">
        <v>1024.7</v>
      </c>
      <c r="L2298" s="56" t="n">
        <v>0</v>
      </c>
      <c r="M2298" s="56" t="n">
        <v>68</v>
      </c>
      <c r="N2298" s="56" t="n">
        <v>11.2</v>
      </c>
      <c r="O2298" s="56" t="n">
        <f aca="false">IF(D2298=1,"",E2297)</f>
        <v>17.5</v>
      </c>
      <c r="P2298" s="56" t="n">
        <f aca="false">IF(OR(D2298=1,K2297=""),"",K2297)</f>
        <v>1029.4</v>
      </c>
      <c r="Q2298" s="56" t="n">
        <f aca="false">IF(OR(F2298&lt;&gt;0,AND(I2298&lt;&gt;"",E2298&lt;I2298)),1,0)</f>
        <v>0</v>
      </c>
      <c r="R2298" s="56" t="n">
        <f aca="false">IF(AND(D2298&gt;1,Q2298=0,ISNUMBER(O2298),ISNUMBER(P2298)),IF(Q2297=0,1,0),0)</f>
        <v>1</v>
      </c>
      <c r="S2298" s="56" t="n">
        <f aca="false">R2298*(B2298&gt;=Train_Start)*(B2298&lt;=Train_End)</f>
        <v>1</v>
      </c>
      <c r="T2298" s="84" t="n">
        <f aca="false">IF(AND(ISNUMBER(O2298),ISNUMBER(P2298)),Coef_A+Coef_B1*O2298+Coef_B2*P2298,"")</f>
        <v>18.7175808364709</v>
      </c>
      <c r="U2298" s="84" t="n">
        <f aca="false">IF(AND(R2298=1,ISNUMBER(T2298)),E2298-T2298,"")</f>
        <v>1.08241916352911</v>
      </c>
      <c r="V2298" s="84" t="n">
        <f aca="false">IF(ISNUMBER(T2298),T2298,-99)</f>
        <v>18.7175808364709</v>
      </c>
      <c r="W2298" s="84" t="n">
        <f aca="false">IF(ISNUMBER(U2298),ABS(U2298),"")</f>
        <v>1.08241916352911</v>
      </c>
    </row>
    <row r="2299" customFormat="false" ht="15" hidden="false" customHeight="false" outlineLevel="0" collapsed="false">
      <c r="A2299" s="57" t="n">
        <v>34457</v>
      </c>
      <c r="B2299" s="56" t="n">
        <v>1994</v>
      </c>
      <c r="C2299" s="56" t="n">
        <v>5</v>
      </c>
      <c r="D2299" s="56" t="n">
        <v>3</v>
      </c>
      <c r="E2299" s="56" t="n">
        <v>14.6</v>
      </c>
      <c r="F2299" s="56" t="n">
        <v>0</v>
      </c>
      <c r="G2299" s="56" t="n">
        <v>6.9</v>
      </c>
      <c r="H2299" s="56" t="n">
        <v>0</v>
      </c>
      <c r="I2299" s="56" t="n">
        <v>13.4</v>
      </c>
      <c r="J2299" s="56" t="n">
        <v>0</v>
      </c>
      <c r="K2299" s="56" t="n">
        <v>1010.1</v>
      </c>
      <c r="L2299" s="56" t="n">
        <v>0</v>
      </c>
      <c r="M2299" s="56" t="n">
        <v>62</v>
      </c>
      <c r="N2299" s="56" t="n">
        <v>11.1</v>
      </c>
      <c r="O2299" s="56" t="n">
        <f aca="false">IF(D2299=1,"",E2298)</f>
        <v>19.8</v>
      </c>
      <c r="P2299" s="56" t="n">
        <f aca="false">IF(OR(D2299=1,K2298=""),"",K2298)</f>
        <v>1024.7</v>
      </c>
      <c r="Q2299" s="56" t="n">
        <f aca="false">IF(OR(F2299&lt;&gt;0,AND(I2299&lt;&gt;"",E2299&lt;I2299)),1,0)</f>
        <v>0</v>
      </c>
      <c r="R2299" s="56" t="n">
        <f aca="false">IF(AND(D2299&gt;1,Q2299=0,ISNUMBER(O2299),ISNUMBER(P2299)),IF(Q2298=0,1,0),0)</f>
        <v>1</v>
      </c>
      <c r="S2299" s="56" t="n">
        <f aca="false">R2299*(B2299&gt;=Train_Start)*(B2299&lt;=Train_End)</f>
        <v>1</v>
      </c>
      <c r="T2299" s="84" t="n">
        <f aca="false">IF(AND(ISNUMBER(O2299),ISNUMBER(P2299)),Coef_A+Coef_B1*O2299+Coef_B2*P2299,"")</f>
        <v>20.4546224756893</v>
      </c>
      <c r="U2299" s="84" t="n">
        <f aca="false">IF(AND(R2299=1,ISNUMBER(T2299)),E2299-T2299,"")</f>
        <v>-5.85462247568925</v>
      </c>
      <c r="V2299" s="84" t="n">
        <f aca="false">IF(ISNUMBER(T2299),T2299,-99)</f>
        <v>20.4546224756893</v>
      </c>
      <c r="W2299" s="84" t="n">
        <f aca="false">IF(ISNUMBER(U2299),ABS(U2299),"")</f>
        <v>5.85462247568925</v>
      </c>
    </row>
    <row r="2300" customFormat="false" ht="15" hidden="false" customHeight="false" outlineLevel="0" collapsed="false">
      <c r="A2300" s="57" t="n">
        <v>34458</v>
      </c>
      <c r="B2300" s="56" t="n">
        <v>1994</v>
      </c>
      <c r="C2300" s="56" t="n">
        <v>5</v>
      </c>
      <c r="D2300" s="56" t="n">
        <v>4</v>
      </c>
      <c r="E2300" s="56" t="n">
        <v>13.2</v>
      </c>
      <c r="F2300" s="56" t="n">
        <v>0</v>
      </c>
      <c r="G2300" s="56" t="n">
        <v>9.1</v>
      </c>
      <c r="H2300" s="56" t="n">
        <v>0</v>
      </c>
      <c r="I2300" s="56" t="n">
        <v>11.8</v>
      </c>
      <c r="J2300" s="56" t="n">
        <v>0</v>
      </c>
      <c r="K2300" s="56" t="n">
        <v>1010.3</v>
      </c>
      <c r="L2300" s="56" t="n">
        <v>0</v>
      </c>
      <c r="M2300" s="56" t="n">
        <v>74</v>
      </c>
      <c r="N2300" s="56" t="n">
        <v>4.7</v>
      </c>
      <c r="O2300" s="56" t="n">
        <f aca="false">IF(D2300=1,"",E2299)</f>
        <v>14.6</v>
      </c>
      <c r="P2300" s="56" t="n">
        <f aca="false">IF(OR(D2300=1,K2299=""),"",K2299)</f>
        <v>1010.1</v>
      </c>
      <c r="Q2300" s="56" t="n">
        <f aca="false">IF(OR(F2300&lt;&gt;0,AND(I2300&lt;&gt;"",E2300&lt;I2300)),1,0)</f>
        <v>0</v>
      </c>
      <c r="R2300" s="56" t="n">
        <f aca="false">IF(AND(D2300&gt;1,Q2300=0,ISNUMBER(O2300),ISNUMBER(P2300)),IF(Q2299=0,1,0),0)</f>
        <v>1</v>
      </c>
      <c r="S2300" s="56" t="n">
        <f aca="false">R2300*(B2300&gt;=Train_Start)*(B2300&lt;=Train_End)</f>
        <v>1</v>
      </c>
      <c r="T2300" s="84" t="n">
        <f aca="false">IF(AND(ISNUMBER(O2300),ISNUMBER(P2300)),Coef_A+Coef_B1*O2300+Coef_B2*P2300,"")</f>
        <v>15.7360582102112</v>
      </c>
      <c r="U2300" s="84" t="n">
        <f aca="false">IF(AND(R2300=1,ISNUMBER(T2300)),E2300-T2300,"")</f>
        <v>-2.53605821021118</v>
      </c>
      <c r="V2300" s="84" t="n">
        <f aca="false">IF(ISNUMBER(T2300),T2300,-99)</f>
        <v>15.7360582102112</v>
      </c>
      <c r="W2300" s="84" t="n">
        <f aca="false">IF(ISNUMBER(U2300),ABS(U2300),"")</f>
        <v>2.53605821021118</v>
      </c>
    </row>
    <row r="2301" customFormat="false" ht="15" hidden="false" customHeight="false" outlineLevel="0" collapsed="false">
      <c r="A2301" s="57" t="n">
        <v>34459</v>
      </c>
      <c r="B2301" s="56" t="n">
        <v>1994</v>
      </c>
      <c r="C2301" s="56" t="n">
        <v>5</v>
      </c>
      <c r="D2301" s="56" t="n">
        <v>5</v>
      </c>
      <c r="E2301" s="56" t="n">
        <v>15.9</v>
      </c>
      <c r="F2301" s="56" t="n">
        <v>0</v>
      </c>
      <c r="G2301" s="56" t="n">
        <v>6.3</v>
      </c>
      <c r="H2301" s="56" t="n">
        <v>0</v>
      </c>
      <c r="I2301" s="56" t="n">
        <v>9.8</v>
      </c>
      <c r="J2301" s="56" t="n">
        <v>0</v>
      </c>
      <c r="K2301" s="56" t="n">
        <v>1016.4</v>
      </c>
      <c r="L2301" s="56" t="n">
        <v>0</v>
      </c>
      <c r="M2301" s="56" t="n">
        <v>86</v>
      </c>
      <c r="N2301" s="56" t="n">
        <v>0.2</v>
      </c>
      <c r="O2301" s="56" t="n">
        <f aca="false">IF(D2301=1,"",E2300)</f>
        <v>13.2</v>
      </c>
      <c r="P2301" s="56" t="n">
        <f aca="false">IF(OR(D2301=1,K2300=""),"",K2300)</f>
        <v>1010.3</v>
      </c>
      <c r="Q2301" s="56" t="n">
        <f aca="false">IF(OR(F2301&lt;&gt;0,AND(I2301&lt;&gt;"",E2301&lt;I2301)),1,0)</f>
        <v>0</v>
      </c>
      <c r="R2301" s="56" t="n">
        <f aca="false">IF(AND(D2301&gt;1,Q2301=0,ISNUMBER(O2301),ISNUMBER(P2301)),IF(Q2300=0,1,0),0)</f>
        <v>1</v>
      </c>
      <c r="S2301" s="56" t="n">
        <f aca="false">R2301*(B2301&gt;=Train_Start)*(B2301&lt;=Train_End)</f>
        <v>1</v>
      </c>
      <c r="T2301" s="84" t="n">
        <f aca="false">IF(AND(ISNUMBER(O2301),ISNUMBER(P2301)),Coef_A+Coef_B1*O2301+Coef_B2*P2301,"")</f>
        <v>14.5952573188783</v>
      </c>
      <c r="U2301" s="84" t="n">
        <f aca="false">IF(AND(R2301=1,ISNUMBER(T2301)),E2301-T2301,"")</f>
        <v>1.30474268112174</v>
      </c>
      <c r="V2301" s="84" t="n">
        <f aca="false">IF(ISNUMBER(T2301),T2301,-99)</f>
        <v>14.5952573188783</v>
      </c>
      <c r="W2301" s="84" t="n">
        <f aca="false">IF(ISNUMBER(U2301),ABS(U2301),"")</f>
        <v>1.30474268112174</v>
      </c>
    </row>
    <row r="2302" customFormat="false" ht="15" hidden="false" customHeight="false" outlineLevel="0" collapsed="false">
      <c r="A2302" s="57" t="n">
        <v>34460</v>
      </c>
      <c r="B2302" s="56" t="n">
        <v>1994</v>
      </c>
      <c r="C2302" s="56" t="n">
        <v>5</v>
      </c>
      <c r="D2302" s="56" t="n">
        <v>6</v>
      </c>
      <c r="E2302" s="56" t="n">
        <v>14</v>
      </c>
      <c r="F2302" s="56" t="n">
        <v>0</v>
      </c>
      <c r="G2302" s="56" t="n">
        <v>9.4</v>
      </c>
      <c r="H2302" s="56" t="n">
        <v>0</v>
      </c>
      <c r="I2302" s="56" t="n">
        <v>12.6</v>
      </c>
      <c r="J2302" s="56" t="n">
        <v>0</v>
      </c>
      <c r="K2302" s="56" t="n">
        <v>1016.6</v>
      </c>
      <c r="L2302" s="56" t="n">
        <v>0</v>
      </c>
      <c r="M2302" s="56" t="n">
        <v>78</v>
      </c>
      <c r="N2302" s="56" t="n">
        <v>0.8</v>
      </c>
      <c r="O2302" s="56" t="n">
        <f aca="false">IF(D2302=1,"",E2301)</f>
        <v>15.9</v>
      </c>
      <c r="P2302" s="56" t="n">
        <f aca="false">IF(OR(D2302=1,K2301=""),"",K2301)</f>
        <v>1016.4</v>
      </c>
      <c r="Q2302" s="56" t="n">
        <f aca="false">IF(OR(F2302&lt;&gt;0,AND(I2302&lt;&gt;"",E2302&lt;I2302)),1,0)</f>
        <v>0</v>
      </c>
      <c r="R2302" s="56" t="n">
        <f aca="false">IF(AND(D2302&gt;1,Q2302=0,ISNUMBER(O2302),ISNUMBER(P2302)),IF(Q2301=0,1,0),0)</f>
        <v>1</v>
      </c>
      <c r="S2302" s="56" t="n">
        <f aca="false">R2302*(B2302&gt;=Train_Start)*(B2302&lt;=Train_End)</f>
        <v>1</v>
      </c>
      <c r="T2302" s="84" t="n">
        <f aca="false">IF(AND(ISNUMBER(O2302),ISNUMBER(P2302)),Coef_A+Coef_B1*O2302+Coef_B2*P2302,"")</f>
        <v>16.9988294973608</v>
      </c>
      <c r="U2302" s="84" t="n">
        <f aca="false">IF(AND(R2302=1,ISNUMBER(T2302)),E2302-T2302,"")</f>
        <v>-2.99882949736077</v>
      </c>
      <c r="V2302" s="84" t="n">
        <f aca="false">IF(ISNUMBER(T2302),T2302,-99)</f>
        <v>16.9988294973608</v>
      </c>
      <c r="W2302" s="84" t="n">
        <f aca="false">IF(ISNUMBER(U2302),ABS(U2302),"")</f>
        <v>2.99882949736077</v>
      </c>
    </row>
    <row r="2303" customFormat="false" ht="15" hidden="false" customHeight="false" outlineLevel="0" collapsed="false">
      <c r="A2303" s="57" t="n">
        <v>34461</v>
      </c>
      <c r="B2303" s="56" t="n">
        <v>1994</v>
      </c>
      <c r="C2303" s="56" t="n">
        <v>5</v>
      </c>
      <c r="D2303" s="56" t="n">
        <v>7</v>
      </c>
      <c r="E2303" s="56" t="n">
        <v>16.5</v>
      </c>
      <c r="F2303" s="56" t="n">
        <v>0</v>
      </c>
      <c r="G2303" s="56" t="n">
        <v>10.9</v>
      </c>
      <c r="H2303" s="56" t="n">
        <v>0</v>
      </c>
      <c r="I2303" s="56" t="n">
        <v>12.4</v>
      </c>
      <c r="J2303" s="56" t="n">
        <v>0</v>
      </c>
      <c r="K2303" s="56" t="n">
        <v>1013.1</v>
      </c>
      <c r="L2303" s="56" t="n">
        <v>0</v>
      </c>
      <c r="M2303" s="56" t="n">
        <v>91</v>
      </c>
      <c r="N2303" s="56" t="n">
        <v>0</v>
      </c>
      <c r="O2303" s="56" t="n">
        <f aca="false">IF(D2303=1,"",E2302)</f>
        <v>14</v>
      </c>
      <c r="P2303" s="56" t="n">
        <f aca="false">IF(OR(D2303=1,K2302=""),"",K2302)</f>
        <v>1016.6</v>
      </c>
      <c r="Q2303" s="56" t="n">
        <f aca="false">IF(OR(F2303&lt;&gt;0,AND(I2303&lt;&gt;"",E2303&lt;I2303)),1,0)</f>
        <v>0</v>
      </c>
      <c r="R2303" s="56" t="n">
        <f aca="false">IF(AND(D2303&gt;1,Q2303=0,ISNUMBER(O2303),ISNUMBER(P2303)),IF(Q2302=0,1,0),0)</f>
        <v>1</v>
      </c>
      <c r="S2303" s="56" t="n">
        <f aca="false">R2303*(B2303&gt;=Train_Start)*(B2303&lt;=Train_End)</f>
        <v>1</v>
      </c>
      <c r="T2303" s="84" t="n">
        <f aca="false">IF(AND(ISNUMBER(O2303),ISNUMBER(P2303)),Coef_A+Coef_B1*O2303+Coef_B2*P2303,"")</f>
        <v>15.4483590095065</v>
      </c>
      <c r="U2303" s="84" t="n">
        <f aca="false">IF(AND(R2303=1,ISNUMBER(T2303)),E2303-T2303,"")</f>
        <v>1.05164099049348</v>
      </c>
      <c r="V2303" s="84" t="n">
        <f aca="false">IF(ISNUMBER(T2303),T2303,-99)</f>
        <v>15.4483590095065</v>
      </c>
      <c r="W2303" s="84" t="n">
        <f aca="false">IF(ISNUMBER(U2303),ABS(U2303),"")</f>
        <v>1.05164099049348</v>
      </c>
    </row>
    <row r="2304" customFormat="false" ht="15" hidden="false" customHeight="false" outlineLevel="0" collapsed="false">
      <c r="A2304" s="57" t="n">
        <v>34462</v>
      </c>
      <c r="B2304" s="56" t="n">
        <v>1994</v>
      </c>
      <c r="C2304" s="56" t="n">
        <v>5</v>
      </c>
      <c r="D2304" s="56" t="n">
        <v>8</v>
      </c>
      <c r="E2304" s="56" t="n">
        <v>17.3</v>
      </c>
      <c r="F2304" s="56" t="n">
        <v>0</v>
      </c>
      <c r="G2304" s="56" t="n">
        <v>6.5</v>
      </c>
      <c r="H2304" s="56" t="n">
        <v>0</v>
      </c>
      <c r="I2304" s="56" t="n">
        <v>11.5</v>
      </c>
      <c r="J2304" s="56" t="n">
        <v>0</v>
      </c>
      <c r="K2304" s="56" t="n">
        <v>1012.6</v>
      </c>
      <c r="L2304" s="56" t="n">
        <v>0</v>
      </c>
      <c r="M2304" s="56" t="n">
        <v>72</v>
      </c>
      <c r="N2304" s="56" t="n">
        <v>9.3</v>
      </c>
      <c r="O2304" s="56" t="n">
        <f aca="false">IF(D2304=1,"",E2303)</f>
        <v>16.5</v>
      </c>
      <c r="P2304" s="56" t="n">
        <f aca="false">IF(OR(D2304=1,K2303=""),"",K2303)</f>
        <v>1013.1</v>
      </c>
      <c r="Q2304" s="56" t="n">
        <f aca="false">IF(OR(F2304&lt;&gt;0,AND(I2304&lt;&gt;"",E2304&lt;I2304)),1,0)</f>
        <v>0</v>
      </c>
      <c r="R2304" s="56" t="n">
        <f aca="false">IF(AND(D2304&gt;1,Q2304=0,ISNUMBER(O2304),ISNUMBER(P2304)),IF(Q2303=0,1,0),0)</f>
        <v>1</v>
      </c>
      <c r="S2304" s="56" t="n">
        <f aca="false">R2304*(B2304&gt;=Train_Start)*(B2304&lt;=Train_End)</f>
        <v>1</v>
      </c>
      <c r="T2304" s="84" t="n">
        <f aca="false">IF(AND(ISNUMBER(O2304),ISNUMBER(P2304)),Coef_A+Coef_B1*O2304+Coef_B2*P2304,"")</f>
        <v>17.3869123608942</v>
      </c>
      <c r="U2304" s="84" t="n">
        <f aca="false">IF(AND(R2304=1,ISNUMBER(T2304)),E2304-T2304,"")</f>
        <v>-0.0869123608941997</v>
      </c>
      <c r="V2304" s="84" t="n">
        <f aca="false">IF(ISNUMBER(T2304),T2304,-99)</f>
        <v>17.3869123608942</v>
      </c>
      <c r="W2304" s="84" t="n">
        <f aca="false">IF(ISNUMBER(U2304),ABS(U2304),"")</f>
        <v>0.0869123608941997</v>
      </c>
    </row>
    <row r="2305" customFormat="false" ht="15" hidden="false" customHeight="false" outlineLevel="0" collapsed="false">
      <c r="A2305" s="57" t="n">
        <v>34463</v>
      </c>
      <c r="B2305" s="56" t="n">
        <v>1994</v>
      </c>
      <c r="C2305" s="56" t="n">
        <v>5</v>
      </c>
      <c r="D2305" s="56" t="n">
        <v>9</v>
      </c>
      <c r="E2305" s="56" t="n">
        <v>18.4</v>
      </c>
      <c r="F2305" s="56" t="n">
        <v>0</v>
      </c>
      <c r="G2305" s="56" t="n">
        <v>6.4</v>
      </c>
      <c r="H2305" s="56" t="n">
        <v>0</v>
      </c>
      <c r="I2305" s="56" t="n">
        <v>11.8</v>
      </c>
      <c r="J2305" s="56" t="n">
        <v>0</v>
      </c>
      <c r="K2305" s="56" t="n">
        <v>1018.2</v>
      </c>
      <c r="L2305" s="56" t="n">
        <v>0</v>
      </c>
      <c r="M2305" s="56" t="n">
        <v>72</v>
      </c>
      <c r="N2305" s="56" t="n">
        <v>7.2</v>
      </c>
      <c r="O2305" s="56" t="n">
        <f aca="false">IF(D2305=1,"",E2304)</f>
        <v>17.3</v>
      </c>
      <c r="P2305" s="56" t="n">
        <f aca="false">IF(OR(D2305=1,K2304=""),"",K2304)</f>
        <v>1012.6</v>
      </c>
      <c r="Q2305" s="56" t="n">
        <f aca="false">IF(OR(F2305&lt;&gt;0,AND(I2305&lt;&gt;"",E2305&lt;I2305)),1,0)</f>
        <v>0</v>
      </c>
      <c r="R2305" s="56" t="n">
        <f aca="false">IF(AND(D2305&gt;1,Q2305=0,ISNUMBER(O2305),ISNUMBER(P2305)),IF(Q2304=0,1,0),0)</f>
        <v>1</v>
      </c>
      <c r="S2305" s="56" t="n">
        <f aca="false">R2305*(B2305&gt;=Train_Start)*(B2305&lt;=Train_End)</f>
        <v>1</v>
      </c>
      <c r="T2305" s="84" t="n">
        <f aca="false">IF(AND(ISNUMBER(O2305),ISNUMBER(P2305)),Coef_A+Coef_B1*O2305+Coef_B2*P2305,"")</f>
        <v>18.0266987680113</v>
      </c>
      <c r="U2305" s="84" t="n">
        <f aca="false">IF(AND(R2305=1,ISNUMBER(T2305)),E2305-T2305,"")</f>
        <v>0.373301231988663</v>
      </c>
      <c r="V2305" s="84" t="n">
        <f aca="false">IF(ISNUMBER(T2305),T2305,-99)</f>
        <v>18.0266987680113</v>
      </c>
      <c r="W2305" s="84" t="n">
        <f aca="false">IF(ISNUMBER(U2305),ABS(U2305),"")</f>
        <v>0.373301231988663</v>
      </c>
    </row>
    <row r="2306" customFormat="false" ht="15" hidden="false" customHeight="false" outlineLevel="0" collapsed="false">
      <c r="A2306" s="57" t="n">
        <v>34464</v>
      </c>
      <c r="B2306" s="56" t="n">
        <v>1994</v>
      </c>
      <c r="C2306" s="56" t="n">
        <v>5</v>
      </c>
      <c r="D2306" s="56" t="n">
        <v>10</v>
      </c>
      <c r="E2306" s="56" t="n">
        <v>18.3</v>
      </c>
      <c r="F2306" s="56" t="n">
        <v>0</v>
      </c>
      <c r="G2306" s="56" t="n">
        <v>6.9</v>
      </c>
      <c r="H2306" s="56" t="n">
        <v>0</v>
      </c>
      <c r="I2306" s="56" t="n">
        <v>12.6</v>
      </c>
      <c r="J2306" s="56" t="n">
        <v>0</v>
      </c>
      <c r="K2306" s="56" t="n">
        <v>1016.2</v>
      </c>
      <c r="L2306" s="56" t="n">
        <v>0</v>
      </c>
      <c r="M2306" s="56" t="n">
        <v>68</v>
      </c>
      <c r="N2306" s="56" t="n">
        <v>8.2</v>
      </c>
      <c r="O2306" s="56" t="n">
        <f aca="false">IF(D2306=1,"",E2305)</f>
        <v>18.4</v>
      </c>
      <c r="P2306" s="56" t="n">
        <f aca="false">IF(OR(D2306=1,K2305=""),"",K2305)</f>
        <v>1018.2</v>
      </c>
      <c r="Q2306" s="56" t="n">
        <f aca="false">IF(OR(F2306&lt;&gt;0,AND(I2306&lt;&gt;"",E2306&lt;I2306)),1,0)</f>
        <v>0</v>
      </c>
      <c r="R2306" s="56" t="n">
        <f aca="false">IF(AND(D2306&gt;1,Q2306=0,ISNUMBER(O2306),ISNUMBER(P2306)),IF(Q2305=0,1,0),0)</f>
        <v>1</v>
      </c>
      <c r="S2306" s="56" t="n">
        <f aca="false">R2306*(B2306&gt;=Train_Start)*(B2306&lt;=Train_End)</f>
        <v>1</v>
      </c>
      <c r="T2306" s="84" t="n">
        <f aca="false">IF(AND(ISNUMBER(O2306),ISNUMBER(P2306)),Coef_A+Coef_B1*O2306+Coef_B2*P2306,"")</f>
        <v>19.1036432903086</v>
      </c>
      <c r="U2306" s="84" t="n">
        <f aca="false">IF(AND(R2306=1,ISNUMBER(T2306)),E2306-T2306,"")</f>
        <v>-0.803643290308596</v>
      </c>
      <c r="V2306" s="84" t="n">
        <f aca="false">IF(ISNUMBER(T2306),T2306,-99)</f>
        <v>19.1036432903086</v>
      </c>
      <c r="W2306" s="84" t="n">
        <f aca="false">IF(ISNUMBER(U2306),ABS(U2306),"")</f>
        <v>0.803643290308596</v>
      </c>
    </row>
    <row r="2307" customFormat="false" ht="15" hidden="false" customHeight="false" outlineLevel="0" collapsed="false">
      <c r="A2307" s="57" t="n">
        <v>34465</v>
      </c>
      <c r="B2307" s="56" t="n">
        <v>1994</v>
      </c>
      <c r="C2307" s="56" t="n">
        <v>5</v>
      </c>
      <c r="D2307" s="56" t="n">
        <v>11</v>
      </c>
      <c r="E2307" s="56" t="n">
        <v>17.8</v>
      </c>
      <c r="F2307" s="56" t="n">
        <v>0</v>
      </c>
      <c r="G2307" s="56" t="n">
        <v>9.9</v>
      </c>
      <c r="H2307" s="56" t="n">
        <v>0</v>
      </c>
      <c r="I2307" s="56" t="n">
        <v>14.1</v>
      </c>
      <c r="J2307" s="56" t="n">
        <v>0</v>
      </c>
      <c r="K2307" s="56" t="n">
        <v>1009.4</v>
      </c>
      <c r="L2307" s="56" t="n">
        <v>0</v>
      </c>
      <c r="M2307" s="56" t="n">
        <v>70</v>
      </c>
      <c r="N2307" s="56" t="n">
        <v>9.4</v>
      </c>
      <c r="O2307" s="56" t="n">
        <f aca="false">IF(D2307=1,"",E2306)</f>
        <v>18.3</v>
      </c>
      <c r="P2307" s="56" t="n">
        <f aca="false">IF(OR(D2307=1,K2306=""),"",K2306)</f>
        <v>1016.2</v>
      </c>
      <c r="Q2307" s="56" t="n">
        <f aca="false">IF(OR(F2307&lt;&gt;0,AND(I2307&lt;&gt;"",E2307&lt;I2307)),1,0)</f>
        <v>0</v>
      </c>
      <c r="R2307" s="56" t="n">
        <f aca="false">IF(AND(D2307&gt;1,Q2307=0,ISNUMBER(O2307),ISNUMBER(P2307)),IF(Q2306=0,1,0),0)</f>
        <v>1</v>
      </c>
      <c r="S2307" s="56" t="n">
        <f aca="false">R2307*(B2307&gt;=Train_Start)*(B2307&lt;=Train_End)</f>
        <v>1</v>
      </c>
      <c r="T2307" s="84" t="n">
        <f aca="false">IF(AND(ISNUMBER(O2307),ISNUMBER(P2307)),Coef_A+Coef_B1*O2307+Coef_B2*P2307,"")</f>
        <v>18.9589695817364</v>
      </c>
      <c r="U2307" s="84" t="n">
        <f aca="false">IF(AND(R2307=1,ISNUMBER(T2307)),E2307-T2307,"")</f>
        <v>-1.15896958173635</v>
      </c>
      <c r="V2307" s="84" t="n">
        <f aca="false">IF(ISNUMBER(T2307),T2307,-99)</f>
        <v>18.9589695817364</v>
      </c>
      <c r="W2307" s="84" t="n">
        <f aca="false">IF(ISNUMBER(U2307),ABS(U2307),"")</f>
        <v>1.15896958173635</v>
      </c>
    </row>
    <row r="2308" customFormat="false" ht="15" hidden="false" customHeight="false" outlineLevel="0" collapsed="false">
      <c r="A2308" s="57" t="n">
        <v>34466</v>
      </c>
      <c r="B2308" s="56" t="n">
        <v>1994</v>
      </c>
      <c r="C2308" s="56" t="n">
        <v>5</v>
      </c>
      <c r="D2308" s="56" t="n">
        <v>12</v>
      </c>
      <c r="E2308" s="56" t="n">
        <v>19.7</v>
      </c>
      <c r="F2308" s="56" t="n">
        <v>0</v>
      </c>
      <c r="G2308" s="56" t="n">
        <v>11.3</v>
      </c>
      <c r="H2308" s="56" t="n">
        <v>0</v>
      </c>
      <c r="I2308" s="56" t="n">
        <v>14.6</v>
      </c>
      <c r="J2308" s="56" t="n">
        <v>0</v>
      </c>
      <c r="K2308" s="56" t="n">
        <v>1008.6</v>
      </c>
      <c r="L2308" s="56" t="n">
        <v>0</v>
      </c>
      <c r="M2308" s="56" t="n">
        <v>69</v>
      </c>
      <c r="N2308" s="56" t="n">
        <v>4</v>
      </c>
      <c r="O2308" s="56" t="n">
        <f aca="false">IF(D2308=1,"",E2307)</f>
        <v>17.8</v>
      </c>
      <c r="P2308" s="56" t="n">
        <f aca="false">IF(OR(D2308=1,K2307=""),"",K2307)</f>
        <v>1009.4</v>
      </c>
      <c r="Q2308" s="56" t="n">
        <f aca="false">IF(OR(F2308&lt;&gt;0,AND(I2308&lt;&gt;"",E2308&lt;I2308)),1,0)</f>
        <v>0</v>
      </c>
      <c r="R2308" s="56" t="n">
        <f aca="false">IF(AND(D2308&gt;1,Q2308=0,ISNUMBER(O2308),ISNUMBER(P2308)),IF(Q2307=0,1,0),0)</f>
        <v>1</v>
      </c>
      <c r="S2308" s="56" t="n">
        <f aca="false">R2308*(B2308&gt;=Train_Start)*(B2308&lt;=Train_End)</f>
        <v>1</v>
      </c>
      <c r="T2308" s="84" t="n">
        <f aca="false">IF(AND(ISNUMBER(O2308),ISNUMBER(P2308)),Coef_A+Coef_B1*O2308+Coef_B2*P2308,"")</f>
        <v>18.3359847017039</v>
      </c>
      <c r="U2308" s="84" t="n">
        <f aca="false">IF(AND(R2308=1,ISNUMBER(T2308)),E2308-T2308,"")</f>
        <v>1.36401529829611</v>
      </c>
      <c r="V2308" s="84" t="n">
        <f aca="false">IF(ISNUMBER(T2308),T2308,-99)</f>
        <v>18.3359847017039</v>
      </c>
      <c r="W2308" s="84" t="n">
        <f aca="false">IF(ISNUMBER(U2308),ABS(U2308),"")</f>
        <v>1.36401529829611</v>
      </c>
    </row>
    <row r="2309" customFormat="false" ht="15" hidden="false" customHeight="false" outlineLevel="0" collapsed="false">
      <c r="A2309" s="57" t="n">
        <v>34467</v>
      </c>
      <c r="B2309" s="56" t="n">
        <v>1994</v>
      </c>
      <c r="C2309" s="56" t="n">
        <v>5</v>
      </c>
      <c r="D2309" s="56" t="n">
        <v>13</v>
      </c>
      <c r="E2309" s="56" t="n">
        <v>20.1</v>
      </c>
      <c r="F2309" s="56" t="n">
        <v>0</v>
      </c>
      <c r="G2309" s="56" t="n">
        <v>9.9</v>
      </c>
      <c r="H2309" s="56" t="n">
        <v>0</v>
      </c>
      <c r="I2309" s="56" t="n">
        <v>14.8</v>
      </c>
      <c r="J2309" s="56" t="n">
        <v>0</v>
      </c>
      <c r="K2309" s="56" t="n">
        <v>1011.4</v>
      </c>
      <c r="L2309" s="56" t="n">
        <v>0</v>
      </c>
      <c r="M2309" s="56" t="n">
        <v>73</v>
      </c>
      <c r="N2309" s="56" t="n">
        <v>9.5</v>
      </c>
      <c r="O2309" s="56" t="n">
        <f aca="false">IF(D2309=1,"",E2308)</f>
        <v>19.7</v>
      </c>
      <c r="P2309" s="56" t="n">
        <f aca="false">IF(OR(D2309=1,K2308=""),"",K2308)</f>
        <v>1008.6</v>
      </c>
      <c r="Q2309" s="56" t="n">
        <f aca="false">IF(OR(F2309&lt;&gt;0,AND(I2309&lt;&gt;"",E2309&lt;I2309)),1,0)</f>
        <v>0</v>
      </c>
      <c r="R2309" s="56" t="n">
        <f aca="false">IF(AND(D2309&gt;1,Q2309=0,ISNUMBER(O2309),ISNUMBER(P2309)),IF(Q2308=0,1,0),0)</f>
        <v>1</v>
      </c>
      <c r="S2309" s="56" t="n">
        <f aca="false">R2309*(B2309&gt;=Train_Start)*(B2309&lt;=Train_End)</f>
        <v>1</v>
      </c>
      <c r="T2309" s="84" t="n">
        <f aca="false">IF(AND(ISNUMBER(O2309),ISNUMBER(P2309)),Coef_A+Coef_B1*O2309+Coef_B2*P2309,"")</f>
        <v>19.8676332527778</v>
      </c>
      <c r="U2309" s="84" t="n">
        <f aca="false">IF(AND(R2309=1,ISNUMBER(T2309)),E2309-T2309,"")</f>
        <v>0.232366747222247</v>
      </c>
      <c r="V2309" s="84" t="n">
        <f aca="false">IF(ISNUMBER(T2309),T2309,-99)</f>
        <v>19.8676332527778</v>
      </c>
      <c r="W2309" s="84" t="n">
        <f aca="false">IF(ISNUMBER(U2309),ABS(U2309),"")</f>
        <v>0.232366747222247</v>
      </c>
    </row>
    <row r="2310" customFormat="false" ht="15" hidden="false" customHeight="false" outlineLevel="0" collapsed="false">
      <c r="A2310" s="57" t="n">
        <v>34468</v>
      </c>
      <c r="B2310" s="56" t="n">
        <v>1994</v>
      </c>
      <c r="C2310" s="56" t="n">
        <v>5</v>
      </c>
      <c r="D2310" s="56" t="n">
        <v>14</v>
      </c>
      <c r="E2310" s="56" t="n">
        <v>20.1</v>
      </c>
      <c r="F2310" s="56" t="n">
        <v>0</v>
      </c>
      <c r="G2310" s="56" t="n">
        <v>11.5</v>
      </c>
      <c r="H2310" s="56" t="n">
        <v>0</v>
      </c>
      <c r="I2310" s="56" t="n">
        <v>15.8</v>
      </c>
      <c r="J2310" s="56" t="n">
        <v>0</v>
      </c>
      <c r="K2310" s="56" t="n">
        <v>1005.1</v>
      </c>
      <c r="L2310" s="56" t="n">
        <v>0</v>
      </c>
      <c r="M2310" s="56" t="n">
        <v>82</v>
      </c>
      <c r="N2310" s="56" t="n">
        <v>2.4</v>
      </c>
      <c r="O2310" s="56" t="n">
        <f aca="false">IF(D2310=1,"",E2309)</f>
        <v>20.1</v>
      </c>
      <c r="P2310" s="56" t="n">
        <f aca="false">IF(OR(D2310=1,K2309=""),"",K2309)</f>
        <v>1011.4</v>
      </c>
      <c r="Q2310" s="56" t="n">
        <f aca="false">IF(OR(F2310&lt;&gt;0,AND(I2310&lt;&gt;"",E2310&lt;I2310)),1,0)</f>
        <v>0</v>
      </c>
      <c r="R2310" s="56" t="n">
        <f aca="false">IF(AND(D2310&gt;1,Q2310=0,ISNUMBER(O2310),ISNUMBER(P2310)),IF(Q2309=0,1,0),0)</f>
        <v>1</v>
      </c>
      <c r="S2310" s="56" t="n">
        <f aca="false">R2310*(B2310&gt;=Train_Start)*(B2310&lt;=Train_End)</f>
        <v>1</v>
      </c>
      <c r="T2310" s="84" t="n">
        <f aca="false">IF(AND(ISNUMBER(O2310),ISNUMBER(P2310)),Coef_A+Coef_B1*O2310+Coef_B2*P2310,"")</f>
        <v>20.28320463497</v>
      </c>
      <c r="U2310" s="84" t="n">
        <f aca="false">IF(AND(R2310=1,ISNUMBER(T2310)),E2310-T2310,"")</f>
        <v>-0.183204634969986</v>
      </c>
      <c r="V2310" s="84" t="n">
        <f aca="false">IF(ISNUMBER(T2310),T2310,-99)</f>
        <v>20.28320463497</v>
      </c>
      <c r="W2310" s="84" t="n">
        <f aca="false">IF(ISNUMBER(U2310),ABS(U2310),"")</f>
        <v>0.183204634969986</v>
      </c>
    </row>
    <row r="2311" customFormat="false" ht="15" hidden="false" customHeight="false" outlineLevel="0" collapsed="false">
      <c r="A2311" s="57" t="n">
        <v>34469</v>
      </c>
      <c r="B2311" s="56" t="n">
        <v>1994</v>
      </c>
      <c r="C2311" s="56" t="n">
        <v>5</v>
      </c>
      <c r="D2311" s="56" t="n">
        <v>15</v>
      </c>
      <c r="E2311" s="56" t="n">
        <v>14</v>
      </c>
      <c r="F2311" s="56" t="n">
        <v>1</v>
      </c>
      <c r="G2311" s="56" t="n">
        <v>9.8</v>
      </c>
      <c r="H2311" s="56" t="n">
        <v>0</v>
      </c>
      <c r="I2311" s="56" t="n">
        <v>15</v>
      </c>
      <c r="J2311" s="56" t="n">
        <v>1</v>
      </c>
      <c r="K2311" s="56" t="n">
        <v>1008.2</v>
      </c>
      <c r="L2311" s="56" t="n">
        <v>0</v>
      </c>
      <c r="M2311" s="56" t="n">
        <v>74</v>
      </c>
      <c r="N2311" s="56" t="n">
        <v>11.2</v>
      </c>
      <c r="O2311" s="56" t="n">
        <f aca="false">IF(D2311=1,"",E2310)</f>
        <v>20.1</v>
      </c>
      <c r="P2311" s="56" t="n">
        <f aca="false">IF(OR(D2311=1,K2310=""),"",K2310)</f>
        <v>1005.1</v>
      </c>
      <c r="Q2311" s="56" t="n">
        <f aca="false">IF(OR(F2311&lt;&gt;0,AND(I2311&lt;&gt;"",E2311&lt;I2311)),1,0)</f>
        <v>1</v>
      </c>
      <c r="R2311" s="56" t="n">
        <f aca="false">IF(AND(D2311&gt;1,Q2311=0,ISNUMBER(O2311),ISNUMBER(P2311)),IF(Q2310=0,1,0),0)</f>
        <v>0</v>
      </c>
      <c r="S2311" s="56" t="n">
        <f aca="false">R2311*(B2311&gt;=Train_Start)*(B2311&lt;=Train_End)</f>
        <v>0</v>
      </c>
      <c r="T2311" s="84" t="n">
        <f aca="false">IF(AND(ISNUMBER(O2311),ISNUMBER(P2311)),Coef_A+Coef_B1*O2311+Coef_B2*P2311,"")</f>
        <v>20.0855742987759</v>
      </c>
      <c r="U2311" s="84" t="str">
        <f aca="false">IF(AND(R2311=1,ISNUMBER(T2311)),E2311-T2311,"")</f>
        <v/>
      </c>
      <c r="V2311" s="84" t="n">
        <f aca="false">IF(ISNUMBER(T2311),T2311,-99)</f>
        <v>20.0855742987759</v>
      </c>
      <c r="W2311" s="84" t="str">
        <f aca="false">IF(ISNUMBER(U2311),ABS(U2311),"")</f>
        <v/>
      </c>
    </row>
    <row r="2312" customFormat="false" ht="15" hidden="false" customHeight="false" outlineLevel="0" collapsed="false">
      <c r="A2312" s="57" t="n">
        <v>34470</v>
      </c>
      <c r="B2312" s="56" t="n">
        <v>1994</v>
      </c>
      <c r="C2312" s="56" t="n">
        <v>5</v>
      </c>
      <c r="D2312" s="56" t="n">
        <v>16</v>
      </c>
      <c r="E2312" s="56" t="n">
        <v>9.4</v>
      </c>
      <c r="F2312" s="56" t="n">
        <v>1</v>
      </c>
      <c r="G2312" s="56" t="n">
        <v>10.6</v>
      </c>
      <c r="H2312" s="56" t="n">
        <v>1</v>
      </c>
      <c r="I2312" s="56" t="n">
        <v>12.3</v>
      </c>
      <c r="J2312" s="56" t="n">
        <v>1</v>
      </c>
      <c r="K2312" s="56" t="n">
        <v>1008.7</v>
      </c>
      <c r="L2312" s="56" t="n">
        <v>0</v>
      </c>
      <c r="M2312" s="56" t="n">
        <v>82</v>
      </c>
      <c r="N2312" s="56" t="n">
        <v>0</v>
      </c>
      <c r="O2312" s="56" t="n">
        <f aca="false">IF(D2312=1,"",E2311)</f>
        <v>14</v>
      </c>
      <c r="P2312" s="56" t="n">
        <f aca="false">IF(OR(D2312=1,K2311=""),"",K2311)</f>
        <v>1008.2</v>
      </c>
      <c r="Q2312" s="56" t="n">
        <f aca="false">IF(OR(F2312&lt;&gt;0,AND(I2312&lt;&gt;"",E2312&lt;I2312)),1,0)</f>
        <v>1</v>
      </c>
      <c r="R2312" s="56" t="n">
        <f aca="false">IF(AND(D2312&gt;1,Q2312=0,ISNUMBER(O2312),ISNUMBER(P2312)),IF(Q2311=0,1,0),0)</f>
        <v>0</v>
      </c>
      <c r="S2312" s="56" t="n">
        <f aca="false">R2312*(B2312&gt;=Train_Start)*(B2312&lt;=Train_End)</f>
        <v>0</v>
      </c>
      <c r="T2312" s="84" t="n">
        <f aca="false">IF(AND(ISNUMBER(O2312),ISNUMBER(P2312)),Coef_A+Coef_B1*O2312+Coef_B2*P2312,"")</f>
        <v>15.184851894581</v>
      </c>
      <c r="U2312" s="84" t="str">
        <f aca="false">IF(AND(R2312=1,ISNUMBER(T2312)),E2312-T2312,"")</f>
        <v/>
      </c>
      <c r="V2312" s="84" t="n">
        <f aca="false">IF(ISNUMBER(T2312),T2312,-99)</f>
        <v>15.184851894581</v>
      </c>
      <c r="W2312" s="84" t="str">
        <f aca="false">IF(ISNUMBER(U2312),ABS(U2312),"")</f>
        <v/>
      </c>
    </row>
    <row r="2313" customFormat="false" ht="15" hidden="false" customHeight="false" outlineLevel="0" collapsed="false">
      <c r="A2313" s="57" t="n">
        <v>34471</v>
      </c>
      <c r="B2313" s="56" t="n">
        <v>1994</v>
      </c>
      <c r="C2313" s="56" t="n">
        <v>5</v>
      </c>
      <c r="D2313" s="56" t="n">
        <v>17</v>
      </c>
      <c r="E2313" s="56" t="n">
        <v>14.5</v>
      </c>
      <c r="F2313" s="56" t="n">
        <v>0</v>
      </c>
      <c r="G2313" s="56" t="n">
        <v>6.6</v>
      </c>
      <c r="H2313" s="56" t="n">
        <v>0</v>
      </c>
      <c r="I2313" s="56" t="n">
        <v>8</v>
      </c>
      <c r="J2313" s="56" t="n">
        <v>0</v>
      </c>
      <c r="K2313" s="56" t="n">
        <v>1005.2</v>
      </c>
      <c r="L2313" s="56" t="n">
        <v>0</v>
      </c>
      <c r="M2313" s="56" t="n">
        <v>89</v>
      </c>
      <c r="N2313" s="56" t="n">
        <v>0</v>
      </c>
      <c r="O2313" s="56" t="n">
        <f aca="false">IF(D2313=1,"",E2312)</f>
        <v>9.4</v>
      </c>
      <c r="P2313" s="56" t="n">
        <f aca="false">IF(OR(D2313=1,K2312=""),"",K2312)</f>
        <v>1008.7</v>
      </c>
      <c r="Q2313" s="56" t="n">
        <f aca="false">IF(OR(F2313&lt;&gt;0,AND(I2313&lt;&gt;"",E2313&lt;I2313)),1,0)</f>
        <v>0</v>
      </c>
      <c r="R2313" s="56" t="n">
        <f aca="false">IF(AND(D2313&gt;1,Q2313=0,ISNUMBER(O2313),ISNUMBER(P2313)),IF(Q2312=0,1,0),0)</f>
        <v>0</v>
      </c>
      <c r="S2313" s="56" t="n">
        <f aca="false">R2313*(B2313&gt;=Train_Start)*(B2313&lt;=Train_End)</f>
        <v>0</v>
      </c>
      <c r="T2313" s="84" t="n">
        <f aca="false">IF(AND(ISNUMBER(O2313),ISNUMBER(P2313)),Coef_A+Coef_B1*O2313+Coef_B2*P2313,"")</f>
        <v>11.4315765539018</v>
      </c>
      <c r="U2313" s="84" t="str">
        <f aca="false">IF(AND(R2313=1,ISNUMBER(T2313)),E2313-T2313,"")</f>
        <v/>
      </c>
      <c r="V2313" s="84" t="n">
        <f aca="false">IF(ISNUMBER(T2313),T2313,-99)</f>
        <v>11.4315765539018</v>
      </c>
      <c r="W2313" s="84" t="str">
        <f aca="false">IF(ISNUMBER(U2313),ABS(U2313),"")</f>
        <v/>
      </c>
    </row>
    <row r="2314" customFormat="false" ht="15" hidden="false" customHeight="false" outlineLevel="0" collapsed="false">
      <c r="A2314" s="57" t="n">
        <v>34472</v>
      </c>
      <c r="B2314" s="56" t="n">
        <v>1994</v>
      </c>
      <c r="C2314" s="56" t="n">
        <v>5</v>
      </c>
      <c r="D2314" s="56" t="n">
        <v>18</v>
      </c>
      <c r="E2314" s="56" t="n">
        <v>13.9</v>
      </c>
      <c r="F2314" s="56" t="n">
        <v>0</v>
      </c>
      <c r="G2314" s="56" t="n">
        <v>6.7</v>
      </c>
      <c r="H2314" s="56" t="n">
        <v>0</v>
      </c>
      <c r="I2314" s="56" t="n">
        <v>10.6</v>
      </c>
      <c r="J2314" s="56" t="n">
        <v>0</v>
      </c>
      <c r="K2314" s="56" t="n">
        <v>1009.8</v>
      </c>
      <c r="L2314" s="56" t="n">
        <v>0</v>
      </c>
      <c r="M2314" s="56" t="n">
        <v>67</v>
      </c>
      <c r="N2314" s="56" t="n">
        <v>4.8</v>
      </c>
      <c r="O2314" s="56" t="n">
        <f aca="false">IF(D2314=1,"",E2313)</f>
        <v>14.5</v>
      </c>
      <c r="P2314" s="56" t="n">
        <f aca="false">IF(OR(D2314=1,K2313=""),"",K2313)</f>
        <v>1005.2</v>
      </c>
      <c r="Q2314" s="56" t="n">
        <f aca="false">IF(OR(F2314&lt;&gt;0,AND(I2314&lt;&gt;"",E2314&lt;I2314)),1,0)</f>
        <v>0</v>
      </c>
      <c r="R2314" s="56" t="n">
        <f aca="false">IF(AND(D2314&gt;1,Q2314=0,ISNUMBER(O2314),ISNUMBER(P2314)),IF(Q2313=0,1,0),0)</f>
        <v>1</v>
      </c>
      <c r="S2314" s="56" t="n">
        <f aca="false">R2314*(B2314&gt;=Train_Start)*(B2314&lt;=Train_End)</f>
        <v>1</v>
      </c>
      <c r="T2314" s="84" t="n">
        <f aca="false">IF(AND(ISNUMBER(O2314),ISNUMBER(P2314)),Coef_A+Coef_B1*O2314+Coef_B2*P2314,"")</f>
        <v>15.5004118072004</v>
      </c>
      <c r="U2314" s="84" t="n">
        <f aca="false">IF(AND(R2314=1,ISNUMBER(T2314)),E2314-T2314,"")</f>
        <v>-1.60041180720037</v>
      </c>
      <c r="V2314" s="84" t="n">
        <f aca="false">IF(ISNUMBER(T2314),T2314,-99)</f>
        <v>15.5004118072004</v>
      </c>
      <c r="W2314" s="84" t="n">
        <f aca="false">IF(ISNUMBER(U2314),ABS(U2314),"")</f>
        <v>1.60041180720037</v>
      </c>
    </row>
    <row r="2315" customFormat="false" ht="15" hidden="false" customHeight="false" outlineLevel="0" collapsed="false">
      <c r="A2315" s="57" t="n">
        <v>34473</v>
      </c>
      <c r="B2315" s="56" t="n">
        <v>1994</v>
      </c>
      <c r="C2315" s="56" t="n">
        <v>5</v>
      </c>
      <c r="D2315" s="56" t="n">
        <v>19</v>
      </c>
      <c r="E2315" s="56" t="n">
        <v>15.7</v>
      </c>
      <c r="F2315" s="56" t="n">
        <v>0</v>
      </c>
      <c r="G2315" s="56" t="n">
        <v>4.5</v>
      </c>
      <c r="H2315" s="56" t="n">
        <v>0</v>
      </c>
      <c r="I2315" s="56" t="n">
        <v>9.2</v>
      </c>
      <c r="J2315" s="56" t="n">
        <v>0</v>
      </c>
      <c r="K2315" s="56" t="n">
        <v>1010.4</v>
      </c>
      <c r="L2315" s="56" t="n">
        <v>0</v>
      </c>
      <c r="M2315" s="56" t="n">
        <v>66</v>
      </c>
      <c r="N2315" s="56" t="n">
        <v>4.8</v>
      </c>
      <c r="O2315" s="56" t="n">
        <f aca="false">IF(D2315=1,"",E2314)</f>
        <v>13.9</v>
      </c>
      <c r="P2315" s="56" t="n">
        <f aca="false">IF(OR(D2315=1,K2314=""),"",K2314)</f>
        <v>1009.8</v>
      </c>
      <c r="Q2315" s="56" t="n">
        <f aca="false">IF(OR(F2315&lt;&gt;0,AND(I2315&lt;&gt;"",E2315&lt;I2315)),1,0)</f>
        <v>0</v>
      </c>
      <c r="R2315" s="56" t="n">
        <f aca="false">IF(AND(D2315&gt;1,Q2315=0,ISNUMBER(O2315),ISNUMBER(P2315)),IF(Q2314=0,1,0),0)</f>
        <v>1</v>
      </c>
      <c r="S2315" s="56" t="n">
        <f aca="false">R2315*(B2315&gt;=Train_Start)*(B2315&lt;=Train_End)</f>
        <v>1</v>
      </c>
      <c r="T2315" s="84" t="n">
        <f aca="false">IF(AND(ISNUMBER(O2315),ISNUMBER(P2315)),Coef_A+Coef_B1*O2315+Coef_B2*P2315,"")</f>
        <v>15.1531098066911</v>
      </c>
      <c r="U2315" s="84" t="n">
        <f aca="false">IF(AND(R2315=1,ISNUMBER(T2315)),E2315-T2315,"")</f>
        <v>0.546890193308876</v>
      </c>
      <c r="V2315" s="84" t="n">
        <f aca="false">IF(ISNUMBER(T2315),T2315,-99)</f>
        <v>15.1531098066911</v>
      </c>
      <c r="W2315" s="84" t="n">
        <f aca="false">IF(ISNUMBER(U2315),ABS(U2315),"")</f>
        <v>0.546890193308876</v>
      </c>
    </row>
    <row r="2316" customFormat="false" ht="15" hidden="false" customHeight="false" outlineLevel="0" collapsed="false">
      <c r="A2316" s="57" t="n">
        <v>34474</v>
      </c>
      <c r="B2316" s="56" t="n">
        <v>1994</v>
      </c>
      <c r="C2316" s="56" t="n">
        <v>5</v>
      </c>
      <c r="D2316" s="56" t="n">
        <v>20</v>
      </c>
      <c r="E2316" s="56" t="n">
        <v>13.7</v>
      </c>
      <c r="F2316" s="56" t="n">
        <v>0</v>
      </c>
      <c r="G2316" s="56" t="n">
        <v>7.7</v>
      </c>
      <c r="H2316" s="56" t="n">
        <v>0</v>
      </c>
      <c r="I2316" s="56" t="n">
        <v>11.7</v>
      </c>
      <c r="J2316" s="56" t="n">
        <v>0</v>
      </c>
      <c r="K2316" s="56" t="n">
        <v>1004.8</v>
      </c>
      <c r="L2316" s="56" t="n">
        <v>0</v>
      </c>
      <c r="M2316" s="56" t="n">
        <v>76</v>
      </c>
      <c r="N2316" s="56" t="n">
        <v>2.1</v>
      </c>
      <c r="O2316" s="56" t="n">
        <f aca="false">IF(D2316=1,"",E2315)</f>
        <v>15.7</v>
      </c>
      <c r="P2316" s="56" t="n">
        <f aca="false">IF(OR(D2316=1,K2315=""),"",K2315)</f>
        <v>1010.4</v>
      </c>
      <c r="Q2316" s="56" t="n">
        <f aca="false">IF(OR(F2316&lt;&gt;0,AND(I2316&lt;&gt;"",E2316&lt;I2316)),1,0)</f>
        <v>0</v>
      </c>
      <c r="R2316" s="56" t="n">
        <f aca="false">IF(AND(D2316&gt;1,Q2316=0,ISNUMBER(O2316),ISNUMBER(P2316)),IF(Q2315=0,1,0),0)</f>
        <v>1</v>
      </c>
      <c r="S2316" s="56" t="n">
        <f aca="false">R2316*(B2316&gt;=Train_Start)*(B2316&lt;=Train_End)</f>
        <v>1</v>
      </c>
      <c r="T2316" s="84" t="n">
        <f aca="false">IF(AND(ISNUMBER(O2316),ISNUMBER(P2316)),Coef_A+Coef_B1*O2316+Coef_B2*P2316,"")</f>
        <v>16.6467422909483</v>
      </c>
      <c r="U2316" s="84" t="n">
        <f aca="false">IF(AND(R2316=1,ISNUMBER(T2316)),E2316-T2316,"")</f>
        <v>-2.9467422909483</v>
      </c>
      <c r="V2316" s="84" t="n">
        <f aca="false">IF(ISNUMBER(T2316),T2316,-99)</f>
        <v>16.6467422909483</v>
      </c>
      <c r="W2316" s="84" t="n">
        <f aca="false">IF(ISNUMBER(U2316),ABS(U2316),"")</f>
        <v>2.9467422909483</v>
      </c>
    </row>
    <row r="2317" customFormat="false" ht="15" hidden="false" customHeight="false" outlineLevel="0" collapsed="false">
      <c r="A2317" s="57" t="n">
        <v>34475</v>
      </c>
      <c r="B2317" s="56" t="n">
        <v>1994</v>
      </c>
      <c r="C2317" s="56" t="n">
        <v>5</v>
      </c>
      <c r="D2317" s="56" t="n">
        <v>21</v>
      </c>
      <c r="E2317" s="56" t="n">
        <v>16.9</v>
      </c>
      <c r="F2317" s="56" t="n">
        <v>0</v>
      </c>
      <c r="G2317" s="56" t="n">
        <v>10.2</v>
      </c>
      <c r="H2317" s="56" t="n">
        <v>0</v>
      </c>
      <c r="I2317" s="56" t="n">
        <v>12</v>
      </c>
      <c r="J2317" s="56" t="n">
        <v>0</v>
      </c>
      <c r="K2317" s="56" t="n">
        <v>998.4</v>
      </c>
      <c r="L2317" s="56" t="n">
        <v>0</v>
      </c>
      <c r="M2317" s="56" t="n">
        <v>94</v>
      </c>
      <c r="N2317" s="56" t="n">
        <v>0</v>
      </c>
      <c r="O2317" s="56" t="n">
        <f aca="false">IF(D2317=1,"",E2316)</f>
        <v>13.7</v>
      </c>
      <c r="P2317" s="56" t="n">
        <f aca="false">IF(OR(D2317=1,K2316=""),"",K2316)</f>
        <v>1004.8</v>
      </c>
      <c r="Q2317" s="56" t="n">
        <f aca="false">IF(OR(F2317&lt;&gt;0,AND(I2317&lt;&gt;"",E2317&lt;I2317)),1,0)</f>
        <v>0</v>
      </c>
      <c r="R2317" s="56" t="n">
        <f aca="false">IF(AND(D2317&gt;1,Q2317=0,ISNUMBER(O2317),ISNUMBER(P2317)),IF(Q2316=0,1,0),0)</f>
        <v>1</v>
      </c>
      <c r="S2317" s="56" t="n">
        <f aca="false">R2317*(B2317&gt;=Train_Start)*(B2317&lt;=Train_End)</f>
        <v>1</v>
      </c>
      <c r="T2317" s="84" t="n">
        <f aca="false">IF(AND(ISNUMBER(O2317),ISNUMBER(P2317)),Coef_A+Coef_B1*O2317+Coef_B2*P2317,"")</f>
        <v>14.8323924949126</v>
      </c>
      <c r="U2317" s="84" t="n">
        <f aca="false">IF(AND(R2317=1,ISNUMBER(T2317)),E2317-T2317,"")</f>
        <v>2.06760750508735</v>
      </c>
      <c r="V2317" s="84" t="n">
        <f aca="false">IF(ISNUMBER(T2317),T2317,-99)</f>
        <v>14.8323924949126</v>
      </c>
      <c r="W2317" s="84" t="n">
        <f aca="false">IF(ISNUMBER(U2317),ABS(U2317),"")</f>
        <v>2.06760750508735</v>
      </c>
    </row>
    <row r="2318" customFormat="false" ht="15" hidden="false" customHeight="false" outlineLevel="0" collapsed="false">
      <c r="A2318" s="57" t="n">
        <v>34476</v>
      </c>
      <c r="B2318" s="56" t="n">
        <v>1994</v>
      </c>
      <c r="C2318" s="56" t="n">
        <v>5</v>
      </c>
      <c r="D2318" s="56" t="n">
        <v>22</v>
      </c>
      <c r="E2318" s="56" t="n">
        <v>16.1</v>
      </c>
      <c r="F2318" s="56" t="n">
        <v>0</v>
      </c>
      <c r="G2318" s="56" t="n">
        <v>10.7</v>
      </c>
      <c r="H2318" s="56" t="n">
        <v>0</v>
      </c>
      <c r="I2318" s="56" t="n">
        <v>13.8</v>
      </c>
      <c r="J2318" s="56" t="n">
        <v>0</v>
      </c>
      <c r="K2318" s="56" t="n">
        <v>1006.2</v>
      </c>
      <c r="L2318" s="56" t="n">
        <v>0</v>
      </c>
      <c r="M2318" s="56" t="n">
        <v>86</v>
      </c>
      <c r="N2318" s="56" t="n">
        <v>1.6</v>
      </c>
      <c r="O2318" s="56" t="n">
        <f aca="false">IF(D2318=1,"",E2317)</f>
        <v>16.9</v>
      </c>
      <c r="P2318" s="56" t="n">
        <f aca="false">IF(OR(D2318=1,K2317=""),"",K2317)</f>
        <v>998.4</v>
      </c>
      <c r="Q2318" s="56" t="n">
        <f aca="false">IF(OR(F2318&lt;&gt;0,AND(I2318&lt;&gt;"",E2318&lt;I2318)),1,0)</f>
        <v>0</v>
      </c>
      <c r="R2318" s="56" t="n">
        <f aca="false">IF(AND(D2318&gt;1,Q2318=0,ISNUMBER(O2318),ISNUMBER(P2318)),IF(Q2317=0,1,0),0)</f>
        <v>1</v>
      </c>
      <c r="S2318" s="56" t="n">
        <f aca="false">R2318*(B2318&gt;=Train_Start)*(B2318&lt;=Train_End)</f>
        <v>1</v>
      </c>
      <c r="T2318" s="84" t="n">
        <f aca="false">IF(AND(ISNUMBER(O2318),ISNUMBER(P2318)),Coef_A+Coef_B1*O2318+Coef_B2*P2318,"")</f>
        <v>17.2535105869916</v>
      </c>
      <c r="U2318" s="84" t="n">
        <f aca="false">IF(AND(R2318=1,ISNUMBER(T2318)),E2318-T2318,"")</f>
        <v>-1.15351058699162</v>
      </c>
      <c r="V2318" s="84" t="n">
        <f aca="false">IF(ISNUMBER(T2318),T2318,-99)</f>
        <v>17.2535105869916</v>
      </c>
      <c r="W2318" s="84" t="n">
        <f aca="false">IF(ISNUMBER(U2318),ABS(U2318),"")</f>
        <v>1.15351058699162</v>
      </c>
    </row>
    <row r="2319" customFormat="false" ht="15" hidden="false" customHeight="false" outlineLevel="0" collapsed="false">
      <c r="A2319" s="57" t="n">
        <v>34477</v>
      </c>
      <c r="B2319" s="56" t="n">
        <v>1994</v>
      </c>
      <c r="C2319" s="56" t="n">
        <v>5</v>
      </c>
      <c r="D2319" s="56" t="n">
        <v>23</v>
      </c>
      <c r="E2319" s="56" t="n">
        <v>13.6</v>
      </c>
      <c r="F2319" s="56" t="n">
        <v>0</v>
      </c>
      <c r="G2319" s="56" t="n">
        <v>10.5</v>
      </c>
      <c r="H2319" s="56" t="n">
        <v>0</v>
      </c>
      <c r="I2319" s="56" t="n">
        <v>13.3</v>
      </c>
      <c r="J2319" s="56" t="n">
        <v>0</v>
      </c>
      <c r="K2319" s="56" t="n">
        <v>1011.3</v>
      </c>
      <c r="L2319" s="56" t="n">
        <v>0</v>
      </c>
      <c r="M2319" s="56" t="n">
        <v>84</v>
      </c>
      <c r="N2319" s="56" t="n">
        <v>0.9</v>
      </c>
      <c r="O2319" s="56" t="n">
        <f aca="false">IF(D2319=1,"",E2318)</f>
        <v>16.1</v>
      </c>
      <c r="P2319" s="56" t="n">
        <f aca="false">IF(OR(D2319=1,K2318=""),"",K2318)</f>
        <v>1006.2</v>
      </c>
      <c r="Q2319" s="56" t="n">
        <f aca="false">IF(OR(F2319&lt;&gt;0,AND(I2319&lt;&gt;"",E2319&lt;I2319)),1,0)</f>
        <v>0</v>
      </c>
      <c r="R2319" s="56" t="n">
        <f aca="false">IF(AND(D2319&gt;1,Q2319=0,ISNUMBER(O2319),ISNUMBER(P2319)),IF(Q2318=0,1,0),0)</f>
        <v>1</v>
      </c>
      <c r="S2319" s="56" t="n">
        <f aca="false">R2319*(B2319&gt;=Train_Start)*(B2319&lt;=Train_End)</f>
        <v>1</v>
      </c>
      <c r="T2319" s="84" t="n">
        <f aca="false">IF(AND(ISNUMBER(O2319),ISNUMBER(P2319)),Coef_A+Coef_B1*O2319+Coef_B2*P2319,"")</f>
        <v>16.8427244107026</v>
      </c>
      <c r="U2319" s="84" t="n">
        <f aca="false">IF(AND(R2319=1,ISNUMBER(T2319)),E2319-T2319,"")</f>
        <v>-3.24272441070262</v>
      </c>
      <c r="V2319" s="84" t="n">
        <f aca="false">IF(ISNUMBER(T2319),T2319,-99)</f>
        <v>16.8427244107026</v>
      </c>
      <c r="W2319" s="84" t="n">
        <f aca="false">IF(ISNUMBER(U2319),ABS(U2319),"")</f>
        <v>3.24272441070262</v>
      </c>
    </row>
    <row r="2320" customFormat="false" ht="15" hidden="false" customHeight="false" outlineLevel="0" collapsed="false">
      <c r="A2320" s="57" t="n">
        <v>34478</v>
      </c>
      <c r="B2320" s="56" t="n">
        <v>1994</v>
      </c>
      <c r="C2320" s="56" t="n">
        <v>5</v>
      </c>
      <c r="D2320" s="56" t="n">
        <v>24</v>
      </c>
      <c r="E2320" s="56" t="n">
        <v>14.5</v>
      </c>
      <c r="F2320" s="56" t="n">
        <v>0</v>
      </c>
      <c r="G2320" s="56" t="n">
        <v>10.6</v>
      </c>
      <c r="H2320" s="56" t="n">
        <v>0</v>
      </c>
      <c r="I2320" s="56" t="n">
        <v>12.1</v>
      </c>
      <c r="J2320" s="56" t="n">
        <v>0</v>
      </c>
      <c r="K2320" s="56" t="n">
        <v>1011.3</v>
      </c>
      <c r="L2320" s="56" t="n">
        <v>0</v>
      </c>
      <c r="M2320" s="56" t="n">
        <v>87</v>
      </c>
      <c r="N2320" s="56" t="n">
        <v>0</v>
      </c>
      <c r="O2320" s="56" t="n">
        <f aca="false">IF(D2320=1,"",E2319)</f>
        <v>13.6</v>
      </c>
      <c r="P2320" s="56" t="n">
        <f aca="false">IF(OR(D2320=1,K2319=""),"",K2319)</f>
        <v>1011.3</v>
      </c>
      <c r="Q2320" s="56" t="n">
        <f aca="false">IF(OR(F2320&lt;&gt;0,AND(I2320&lt;&gt;"",E2320&lt;I2320)),1,0)</f>
        <v>0</v>
      </c>
      <c r="R2320" s="56" t="n">
        <f aca="false">IF(AND(D2320&gt;1,Q2320=0,ISNUMBER(O2320),ISNUMBER(P2320)),IF(Q2319=0,1,0),0)</f>
        <v>1</v>
      </c>
      <c r="S2320" s="56" t="n">
        <f aca="false">R2320*(B2320&gt;=Train_Start)*(B2320&lt;=Train_End)</f>
        <v>1</v>
      </c>
      <c r="T2320" s="84" t="n">
        <f aca="false">IF(AND(ISNUMBER(O2320),ISNUMBER(P2320)),Coef_A+Coef_B1*O2320+Coef_B2*P2320,"")</f>
        <v>14.9543628907293</v>
      </c>
      <c r="U2320" s="84" t="n">
        <f aca="false">IF(AND(R2320=1,ISNUMBER(T2320)),E2320-T2320,"")</f>
        <v>-0.45436289072931</v>
      </c>
      <c r="V2320" s="84" t="n">
        <f aca="false">IF(ISNUMBER(T2320),T2320,-99)</f>
        <v>14.9543628907293</v>
      </c>
      <c r="W2320" s="84" t="n">
        <f aca="false">IF(ISNUMBER(U2320),ABS(U2320),"")</f>
        <v>0.45436289072931</v>
      </c>
    </row>
    <row r="2321" customFormat="false" ht="15" hidden="false" customHeight="false" outlineLevel="0" collapsed="false">
      <c r="A2321" s="57" t="n">
        <v>34479</v>
      </c>
      <c r="B2321" s="56" t="n">
        <v>1994</v>
      </c>
      <c r="C2321" s="56" t="n">
        <v>5</v>
      </c>
      <c r="D2321" s="56" t="n">
        <v>25</v>
      </c>
      <c r="E2321" s="56" t="n">
        <v>12.9</v>
      </c>
      <c r="F2321" s="56" t="n">
        <v>0</v>
      </c>
      <c r="G2321" s="56" t="n">
        <v>9.7</v>
      </c>
      <c r="H2321" s="56" t="n">
        <v>0</v>
      </c>
      <c r="I2321" s="56" t="n">
        <v>12.1</v>
      </c>
      <c r="J2321" s="56" t="n">
        <v>0</v>
      </c>
      <c r="K2321" s="56" t="n">
        <v>1013.1</v>
      </c>
      <c r="L2321" s="56" t="n">
        <v>0</v>
      </c>
      <c r="M2321" s="56" t="n">
        <v>86</v>
      </c>
      <c r="N2321" s="56" t="n">
        <v>0.1</v>
      </c>
      <c r="O2321" s="56" t="n">
        <f aca="false">IF(D2321=1,"",E2320)</f>
        <v>14.5</v>
      </c>
      <c r="P2321" s="56" t="n">
        <f aca="false">IF(OR(D2321=1,K2320=""),"",K2320)</f>
        <v>1011.3</v>
      </c>
      <c r="Q2321" s="56" t="n">
        <f aca="false">IF(OR(F2321&lt;&gt;0,AND(I2321&lt;&gt;"",E2321&lt;I2321)),1,0)</f>
        <v>0</v>
      </c>
      <c r="R2321" s="56" t="n">
        <f aca="false">IF(AND(D2321&gt;1,Q2321=0,ISNUMBER(O2321),ISNUMBER(P2321)),IF(Q2320=0,1,0),0)</f>
        <v>1</v>
      </c>
      <c r="S2321" s="56" t="n">
        <f aca="false">R2321*(B2321&gt;=Train_Start)*(B2321&lt;=Train_End)</f>
        <v>1</v>
      </c>
      <c r="T2321" s="84" t="n">
        <f aca="false">IF(AND(ISNUMBER(O2321),ISNUMBER(P2321)),Coef_A+Coef_B1*O2321+Coef_B2*P2321,"")</f>
        <v>15.6917681644677</v>
      </c>
      <c r="U2321" s="84" t="n">
        <f aca="false">IF(AND(R2321=1,ISNUMBER(T2321)),E2321-T2321,"")</f>
        <v>-2.7917681644677</v>
      </c>
      <c r="V2321" s="84" t="n">
        <f aca="false">IF(ISNUMBER(T2321),T2321,-99)</f>
        <v>15.6917681644677</v>
      </c>
      <c r="W2321" s="84" t="n">
        <f aca="false">IF(ISNUMBER(U2321),ABS(U2321),"")</f>
        <v>2.7917681644677</v>
      </c>
    </row>
    <row r="2322" customFormat="false" ht="15" hidden="false" customHeight="false" outlineLevel="0" collapsed="false">
      <c r="A2322" s="57" t="n">
        <v>34480</v>
      </c>
      <c r="B2322" s="56" t="n">
        <v>1994</v>
      </c>
      <c r="C2322" s="56" t="n">
        <v>5</v>
      </c>
      <c r="D2322" s="56" t="n">
        <v>26</v>
      </c>
      <c r="E2322" s="56" t="n">
        <v>12.6</v>
      </c>
      <c r="F2322" s="56" t="n">
        <v>0</v>
      </c>
      <c r="G2322" s="56" t="n">
        <v>10.3</v>
      </c>
      <c r="H2322" s="56" t="n">
        <v>0</v>
      </c>
      <c r="I2322" s="56" t="n">
        <v>11.6</v>
      </c>
      <c r="J2322" s="56" t="n">
        <v>0</v>
      </c>
      <c r="K2322" s="56" t="n">
        <v>1012.8</v>
      </c>
      <c r="L2322" s="56" t="n">
        <v>0</v>
      </c>
      <c r="M2322" s="56" t="n">
        <v>88</v>
      </c>
      <c r="N2322" s="56" t="n">
        <v>0</v>
      </c>
      <c r="O2322" s="56" t="n">
        <f aca="false">IF(D2322=1,"",E2321)</f>
        <v>12.9</v>
      </c>
      <c r="P2322" s="56" t="n">
        <f aca="false">IF(OR(D2322=1,K2321=""),"",K2321)</f>
        <v>1013.1</v>
      </c>
      <c r="Q2322" s="56" t="n">
        <f aca="false">IF(OR(F2322&lt;&gt;0,AND(I2322&lt;&gt;"",E2322&lt;I2322)),1,0)</f>
        <v>0</v>
      </c>
      <c r="R2322" s="56" t="n">
        <f aca="false">IF(AND(D2322&gt;1,Q2322=0,ISNUMBER(O2322),ISNUMBER(P2322)),IF(Q2321=0,1,0),0)</f>
        <v>1</v>
      </c>
      <c r="S2322" s="56" t="n">
        <f aca="false">R2322*(B2322&gt;=Train_Start)*(B2322&lt;=Train_End)</f>
        <v>1</v>
      </c>
      <c r="T2322" s="84" t="n">
        <f aca="false">IF(AND(ISNUMBER(O2322),ISNUMBER(P2322)),Coef_A+Coef_B1*O2322+Coef_B2*P2322,"")</f>
        <v>14.4372912659406</v>
      </c>
      <c r="U2322" s="84" t="n">
        <f aca="false">IF(AND(R2322=1,ISNUMBER(T2322)),E2322-T2322,"")</f>
        <v>-1.83729126594063</v>
      </c>
      <c r="V2322" s="84" t="n">
        <f aca="false">IF(ISNUMBER(T2322),T2322,-99)</f>
        <v>14.4372912659406</v>
      </c>
      <c r="W2322" s="84" t="n">
        <f aca="false">IF(ISNUMBER(U2322),ABS(U2322),"")</f>
        <v>1.83729126594063</v>
      </c>
    </row>
    <row r="2323" customFormat="false" ht="15" hidden="false" customHeight="false" outlineLevel="0" collapsed="false">
      <c r="A2323" s="57" t="n">
        <v>34481</v>
      </c>
      <c r="B2323" s="56" t="n">
        <v>1994</v>
      </c>
      <c r="C2323" s="56" t="n">
        <v>5</v>
      </c>
      <c r="D2323" s="56" t="n">
        <v>27</v>
      </c>
      <c r="E2323" s="56" t="n">
        <v>12.4</v>
      </c>
      <c r="F2323" s="56" t="n">
        <v>0</v>
      </c>
      <c r="G2323" s="56" t="n">
        <v>6.4</v>
      </c>
      <c r="H2323" s="56" t="n">
        <v>0</v>
      </c>
      <c r="I2323" s="56" t="n">
        <v>9.5</v>
      </c>
      <c r="J2323" s="56" t="n">
        <v>0</v>
      </c>
      <c r="K2323" s="56" t="n">
        <v>1021.2</v>
      </c>
      <c r="L2323" s="56" t="n">
        <v>0</v>
      </c>
      <c r="M2323" s="56" t="n">
        <v>63</v>
      </c>
      <c r="N2323" s="56" t="n">
        <v>4.4</v>
      </c>
      <c r="O2323" s="56" t="n">
        <f aca="false">IF(D2323=1,"",E2322)</f>
        <v>12.6</v>
      </c>
      <c r="P2323" s="56" t="n">
        <f aca="false">IF(OR(D2323=1,K2322=""),"",K2322)</f>
        <v>1012.8</v>
      </c>
      <c r="Q2323" s="56" t="n">
        <f aca="false">IF(OR(F2323&lt;&gt;0,AND(I2323&lt;&gt;"",E2323&lt;I2323)),1,0)</f>
        <v>0</v>
      </c>
      <c r="R2323" s="56" t="n">
        <f aca="false">IF(AND(D2323&gt;1,Q2323=0,ISNUMBER(O2323),ISNUMBER(P2323)),IF(Q2322=0,1,0),0)</f>
        <v>1</v>
      </c>
      <c r="S2323" s="56" t="n">
        <f aca="false">R2323*(B2323&gt;=Train_Start)*(B2323&lt;=Train_End)</f>
        <v>1</v>
      </c>
      <c r="T2323" s="84" t="n">
        <f aca="false">IF(AND(ISNUMBER(O2323),ISNUMBER(P2323)),Coef_A+Coef_B1*O2323+Coef_B2*P2323,"")</f>
        <v>14.1820785396376</v>
      </c>
      <c r="U2323" s="84" t="n">
        <f aca="false">IF(AND(R2323=1,ISNUMBER(T2323)),E2323-T2323,"")</f>
        <v>-1.78207853963764</v>
      </c>
      <c r="V2323" s="84" t="n">
        <f aca="false">IF(ISNUMBER(T2323),T2323,-99)</f>
        <v>14.1820785396376</v>
      </c>
      <c r="W2323" s="84" t="n">
        <f aca="false">IF(ISNUMBER(U2323),ABS(U2323),"")</f>
        <v>1.78207853963764</v>
      </c>
    </row>
    <row r="2324" customFormat="false" ht="15" hidden="false" customHeight="false" outlineLevel="0" collapsed="false">
      <c r="A2324" s="57" t="n">
        <v>34482</v>
      </c>
      <c r="B2324" s="56" t="n">
        <v>1994</v>
      </c>
      <c r="C2324" s="56" t="n">
        <v>5</v>
      </c>
      <c r="D2324" s="56" t="n">
        <v>28</v>
      </c>
      <c r="E2324" s="56" t="n">
        <v>16.8</v>
      </c>
      <c r="F2324" s="56" t="n">
        <v>0</v>
      </c>
      <c r="G2324" s="56" t="n">
        <v>7.4</v>
      </c>
      <c r="H2324" s="56" t="n">
        <v>0</v>
      </c>
      <c r="I2324" s="56" t="n">
        <v>9.9</v>
      </c>
      <c r="J2324" s="56" t="n">
        <v>0</v>
      </c>
      <c r="K2324" s="56" t="n">
        <v>1021.3</v>
      </c>
      <c r="L2324" s="56" t="n">
        <v>0</v>
      </c>
      <c r="M2324" s="56" t="n">
        <v>72</v>
      </c>
      <c r="N2324" s="56" t="n">
        <v>0.9</v>
      </c>
      <c r="O2324" s="56" t="n">
        <f aca="false">IF(D2324=1,"",E2323)</f>
        <v>12.4</v>
      </c>
      <c r="P2324" s="56" t="n">
        <f aca="false">IF(OR(D2324=1,K2323=""),"",K2323)</f>
        <v>1021.2</v>
      </c>
      <c r="Q2324" s="56" t="n">
        <f aca="false">IF(OR(F2324&lt;&gt;0,AND(I2324&lt;&gt;"",E2324&lt;I2324)),1,0)</f>
        <v>0</v>
      </c>
      <c r="R2324" s="56" t="n">
        <f aca="false">IF(AND(D2324&gt;1,Q2324=0,ISNUMBER(O2324),ISNUMBER(P2324)),IF(Q2323=0,1,0),0)</f>
        <v>1</v>
      </c>
      <c r="S2324" s="56" t="n">
        <f aca="false">R2324*(B2324&gt;=Train_Start)*(B2324&lt;=Train_End)</f>
        <v>1</v>
      </c>
      <c r="T2324" s="84" t="n">
        <f aca="false">IF(AND(ISNUMBER(O2324),ISNUMBER(P2324)),Coef_A+Coef_B1*O2324+Coef_B2*P2324,"")</f>
        <v>14.2817178159546</v>
      </c>
      <c r="U2324" s="84" t="n">
        <f aca="false">IF(AND(R2324=1,ISNUMBER(T2324)),E2324-T2324,"")</f>
        <v>2.51828218404538</v>
      </c>
      <c r="V2324" s="84" t="n">
        <f aca="false">IF(ISNUMBER(T2324),T2324,-99)</f>
        <v>14.2817178159546</v>
      </c>
      <c r="W2324" s="84" t="n">
        <f aca="false">IF(ISNUMBER(U2324),ABS(U2324),"")</f>
        <v>2.51828218404538</v>
      </c>
    </row>
    <row r="2325" customFormat="false" ht="15" hidden="false" customHeight="false" outlineLevel="0" collapsed="false">
      <c r="A2325" s="57" t="n">
        <v>34483</v>
      </c>
      <c r="B2325" s="56" t="n">
        <v>1994</v>
      </c>
      <c r="C2325" s="56" t="n">
        <v>5</v>
      </c>
      <c r="D2325" s="56" t="n">
        <v>29</v>
      </c>
      <c r="E2325" s="56" t="n">
        <v>18</v>
      </c>
      <c r="F2325" s="56" t="n">
        <v>0</v>
      </c>
      <c r="G2325" s="56" t="n">
        <v>3.6</v>
      </c>
      <c r="H2325" s="56" t="n">
        <v>0</v>
      </c>
      <c r="I2325" s="56" t="n">
        <v>10.2</v>
      </c>
      <c r="J2325" s="56" t="n">
        <v>0</v>
      </c>
      <c r="K2325" s="56" t="n">
        <v>1023.7</v>
      </c>
      <c r="L2325" s="56" t="n">
        <v>0</v>
      </c>
      <c r="M2325" s="56" t="n">
        <v>67</v>
      </c>
      <c r="N2325" s="56" t="n">
        <v>8.6</v>
      </c>
      <c r="O2325" s="56" t="n">
        <f aca="false">IF(D2325=1,"",E2324)</f>
        <v>16.8</v>
      </c>
      <c r="P2325" s="56" t="n">
        <f aca="false">IF(OR(D2325=1,K2324=""),"",K2324)</f>
        <v>1021.3</v>
      </c>
      <c r="Q2325" s="56" t="n">
        <f aca="false">IF(OR(F2325&lt;&gt;0,AND(I2325&lt;&gt;"",E2325&lt;I2325)),1,0)</f>
        <v>0</v>
      </c>
      <c r="R2325" s="56" t="n">
        <f aca="false">IF(AND(D2325&gt;1,Q2325=0,ISNUMBER(O2325),ISNUMBER(P2325)),IF(Q2324=0,1,0),0)</f>
        <v>1</v>
      </c>
      <c r="S2325" s="56" t="n">
        <f aca="false">R2325*(B2325&gt;=Train_Start)*(B2325&lt;=Train_End)</f>
        <v>1</v>
      </c>
      <c r="T2325" s="84" t="n">
        <f aca="false">IF(AND(ISNUMBER(O2325),ISNUMBER(P2325)),Coef_A+Coef_B1*O2325+Coef_B2*P2325,"")</f>
        <v>17.8899472548057</v>
      </c>
      <c r="U2325" s="84" t="n">
        <f aca="false">IF(AND(R2325=1,ISNUMBER(T2325)),E2325-T2325,"")</f>
        <v>0.110052745194288</v>
      </c>
      <c r="V2325" s="84" t="n">
        <f aca="false">IF(ISNUMBER(T2325),T2325,-99)</f>
        <v>17.8899472548057</v>
      </c>
      <c r="W2325" s="84" t="n">
        <f aca="false">IF(ISNUMBER(U2325),ABS(U2325),"")</f>
        <v>0.110052745194288</v>
      </c>
    </row>
    <row r="2326" customFormat="false" ht="15" hidden="false" customHeight="false" outlineLevel="0" collapsed="false">
      <c r="A2326" s="57" t="n">
        <v>34484</v>
      </c>
      <c r="B2326" s="56" t="n">
        <v>1994</v>
      </c>
      <c r="C2326" s="56" t="n">
        <v>5</v>
      </c>
      <c r="D2326" s="56" t="n">
        <v>30</v>
      </c>
      <c r="E2326" s="56" t="n">
        <v>21.3</v>
      </c>
      <c r="F2326" s="56" t="n">
        <v>0</v>
      </c>
      <c r="G2326" s="56" t="n">
        <v>5</v>
      </c>
      <c r="H2326" s="56" t="n">
        <v>0</v>
      </c>
      <c r="I2326" s="56" t="n">
        <v>11.5</v>
      </c>
      <c r="J2326" s="56" t="n">
        <v>0</v>
      </c>
      <c r="K2326" s="56" t="n">
        <v>1027.8</v>
      </c>
      <c r="L2326" s="56" t="n">
        <v>0</v>
      </c>
      <c r="M2326" s="56" t="n">
        <v>63</v>
      </c>
      <c r="N2326" s="56" t="n">
        <v>13.3</v>
      </c>
      <c r="O2326" s="56" t="n">
        <f aca="false">IF(D2326=1,"",E2325)</f>
        <v>18</v>
      </c>
      <c r="P2326" s="56" t="n">
        <f aca="false">IF(OR(D2326=1,K2325=""),"",K2325)</f>
        <v>1023.7</v>
      </c>
      <c r="Q2326" s="56" t="n">
        <f aca="false">IF(OR(F2326&lt;&gt;0,AND(I2326&lt;&gt;"",E2326&lt;I2326)),1,0)</f>
        <v>0</v>
      </c>
      <c r="R2326" s="56" t="n">
        <f aca="false">IF(AND(D2326&gt;1,Q2326=0,ISNUMBER(O2326),ISNUMBER(P2326)),IF(Q2325=0,1,0),0)</f>
        <v>1</v>
      </c>
      <c r="S2326" s="56" t="n">
        <f aca="false">R2326*(B2326&gt;=Train_Start)*(B2326&lt;=Train_End)</f>
        <v>1</v>
      </c>
      <c r="T2326" s="84" t="n">
        <f aca="false">IF(AND(ISNUMBER(O2326),ISNUMBER(P2326)),Coef_A+Coef_B1*O2326+Coef_B2*P2326,"")</f>
        <v>18.9484420335785</v>
      </c>
      <c r="U2326" s="84" t="n">
        <f aca="false">IF(AND(R2326=1,ISNUMBER(T2326)),E2326-T2326,"")</f>
        <v>2.35155796642152</v>
      </c>
      <c r="V2326" s="84" t="n">
        <f aca="false">IF(ISNUMBER(T2326),T2326,-99)</f>
        <v>18.9484420335785</v>
      </c>
      <c r="W2326" s="84" t="n">
        <f aca="false">IF(ISNUMBER(U2326),ABS(U2326),"")</f>
        <v>2.35155796642152</v>
      </c>
    </row>
    <row r="2327" customFormat="false" ht="15" hidden="false" customHeight="false" outlineLevel="0" collapsed="false">
      <c r="A2327" s="57" t="n">
        <v>34485</v>
      </c>
      <c r="B2327" s="56" t="n">
        <v>1994</v>
      </c>
      <c r="C2327" s="56" t="n">
        <v>5</v>
      </c>
      <c r="D2327" s="56" t="n">
        <v>31</v>
      </c>
      <c r="E2327" s="56" t="n">
        <v>25.3</v>
      </c>
      <c r="F2327" s="56" t="n">
        <v>0</v>
      </c>
      <c r="G2327" s="56" t="n">
        <v>6.5</v>
      </c>
      <c r="H2327" s="56" t="n">
        <v>0</v>
      </c>
      <c r="I2327" s="56" t="n">
        <v>13.9</v>
      </c>
      <c r="J2327" s="56" t="n">
        <v>0</v>
      </c>
      <c r="K2327" s="56" t="n">
        <v>1024.1</v>
      </c>
      <c r="L2327" s="56" t="n">
        <v>0</v>
      </c>
      <c r="M2327" s="56" t="n">
        <v>62</v>
      </c>
      <c r="N2327" s="56" t="n">
        <v>14.9</v>
      </c>
      <c r="O2327" s="56" t="n">
        <f aca="false">IF(D2327=1,"",E2326)</f>
        <v>21.3</v>
      </c>
      <c r="P2327" s="56" t="n">
        <f aca="false">IF(OR(D2327=1,K2326=""),"",K2326)</f>
        <v>1027.8</v>
      </c>
      <c r="Q2327" s="56" t="n">
        <f aca="false">IF(OR(F2327&lt;&gt;0,AND(I2327&lt;&gt;"",E2327&lt;I2327)),1,0)</f>
        <v>0</v>
      </c>
      <c r="R2327" s="56" t="n">
        <f aca="false">IF(AND(D2327&gt;1,Q2327=0,ISNUMBER(O2327),ISNUMBER(P2327)),IF(Q2326=0,1,0),0)</f>
        <v>1</v>
      </c>
      <c r="S2327" s="56" t="n">
        <f aca="false">R2327*(B2327&gt;=Train_Start)*(B2327&lt;=Train_End)</f>
        <v>1</v>
      </c>
      <c r="T2327" s="84" t="n">
        <f aca="false">IF(AND(ISNUMBER(O2327),ISNUMBER(P2327)),Coef_A+Coef_B1*O2327+Coef_B2*P2327,"")</f>
        <v>21.7808779386186</v>
      </c>
      <c r="U2327" s="84" t="n">
        <f aca="false">IF(AND(R2327=1,ISNUMBER(T2327)),E2327-T2327,"")</f>
        <v>3.5191220613814</v>
      </c>
      <c r="V2327" s="84" t="n">
        <f aca="false">IF(ISNUMBER(T2327),T2327,-99)</f>
        <v>21.7808779386186</v>
      </c>
      <c r="W2327" s="84" t="n">
        <f aca="false">IF(ISNUMBER(U2327),ABS(U2327),"")</f>
        <v>3.5191220613814</v>
      </c>
    </row>
    <row r="2328" customFormat="false" ht="15" hidden="false" customHeight="false" outlineLevel="0" collapsed="false">
      <c r="A2328" s="57" t="n">
        <v>34486</v>
      </c>
      <c r="B2328" s="56" t="n">
        <v>1994</v>
      </c>
      <c r="C2328" s="56" t="n">
        <v>6</v>
      </c>
      <c r="D2328" s="56" t="n">
        <v>32</v>
      </c>
      <c r="E2328" s="56" t="n">
        <v>19.1</v>
      </c>
      <c r="F2328" s="56" t="n">
        <v>0</v>
      </c>
      <c r="G2328" s="56" t="n">
        <v>7.6</v>
      </c>
      <c r="H2328" s="56" t="n">
        <v>0</v>
      </c>
      <c r="I2328" s="56" t="n">
        <v>16.4</v>
      </c>
      <c r="J2328" s="56" t="n">
        <v>0</v>
      </c>
      <c r="K2328" s="56" t="n">
        <v>1013.9</v>
      </c>
      <c r="L2328" s="56" t="n">
        <v>0</v>
      </c>
      <c r="M2328" s="56" t="n">
        <v>62</v>
      </c>
      <c r="N2328" s="56" t="n">
        <v>12.4</v>
      </c>
      <c r="O2328" s="56" t="n">
        <f aca="false">IF(D2328=1,"",E2327)</f>
        <v>25.3</v>
      </c>
      <c r="P2328" s="56" t="n">
        <f aca="false">IF(OR(D2328=1,K2327=""),"",K2327)</f>
        <v>1024.1</v>
      </c>
      <c r="Q2328" s="56" t="n">
        <f aca="false">IF(OR(F2328&lt;&gt;0,AND(I2328&lt;&gt;"",E2328&lt;I2328)),1,0)</f>
        <v>0</v>
      </c>
      <c r="R2328" s="56" t="n">
        <f aca="false">IF(AND(D2328&gt;1,Q2328=0,ISNUMBER(O2328),ISNUMBER(P2328)),IF(Q2327=0,1,0),0)</f>
        <v>1</v>
      </c>
      <c r="S2328" s="56" t="n">
        <f aca="false">R2328*(B2328&gt;=Train_Start)*(B2328&lt;=Train_End)</f>
        <v>1</v>
      </c>
      <c r="T2328" s="84" t="n">
        <f aca="false">IF(AND(ISNUMBER(O2328),ISNUMBER(P2328)),Coef_A+Coef_B1*O2328+Coef_B2*P2328,"")</f>
        <v>24.9421661006435</v>
      </c>
      <c r="U2328" s="84" t="n">
        <f aca="false">IF(AND(R2328=1,ISNUMBER(T2328)),E2328-T2328,"")</f>
        <v>-5.84216610064346</v>
      </c>
      <c r="V2328" s="84" t="n">
        <f aca="false">IF(ISNUMBER(T2328),T2328,-99)</f>
        <v>24.9421661006435</v>
      </c>
      <c r="W2328" s="84" t="n">
        <f aca="false">IF(ISNUMBER(U2328),ABS(U2328),"")</f>
        <v>5.84216610064346</v>
      </c>
    </row>
    <row r="2329" customFormat="false" ht="15" hidden="false" customHeight="false" outlineLevel="0" collapsed="false">
      <c r="A2329" s="57" t="n">
        <v>34487</v>
      </c>
      <c r="B2329" s="56" t="n">
        <v>1994</v>
      </c>
      <c r="C2329" s="56" t="n">
        <v>6</v>
      </c>
      <c r="D2329" s="56" t="n">
        <v>33</v>
      </c>
      <c r="E2329" s="56" t="n">
        <v>17.8</v>
      </c>
      <c r="F2329" s="56" t="n">
        <v>0</v>
      </c>
      <c r="G2329" s="56" t="n">
        <v>11.7</v>
      </c>
      <c r="H2329" s="56" t="n">
        <v>0</v>
      </c>
      <c r="I2329" s="56" t="n">
        <v>15.4</v>
      </c>
      <c r="J2329" s="56" t="n">
        <v>0</v>
      </c>
      <c r="K2329" s="56" t="n">
        <v>1007.5</v>
      </c>
      <c r="L2329" s="56" t="n">
        <v>0</v>
      </c>
      <c r="M2329" s="56" t="n">
        <v>75</v>
      </c>
      <c r="N2329" s="56" t="n">
        <v>4</v>
      </c>
      <c r="O2329" s="56" t="n">
        <f aca="false">IF(D2329=1,"",E2328)</f>
        <v>19.1</v>
      </c>
      <c r="P2329" s="56" t="n">
        <f aca="false">IF(OR(D2329=1,K2328=""),"",K2328)</f>
        <v>1013.9</v>
      </c>
      <c r="Q2329" s="56" t="n">
        <f aca="false">IF(OR(F2329&lt;&gt;0,AND(I2329&lt;&gt;"",E2329&lt;I2329)),1,0)</f>
        <v>0</v>
      </c>
      <c r="R2329" s="56" t="n">
        <f aca="false">IF(AND(D2329&gt;1,Q2329=0,ISNUMBER(O2329),ISNUMBER(P2329)),IF(Q2328=0,1,0),0)</f>
        <v>1</v>
      </c>
      <c r="S2329" s="56" t="n">
        <f aca="false">R2329*(B2329&gt;=Train_Start)*(B2329&lt;=Train_End)</f>
        <v>1</v>
      </c>
      <c r="T2329" s="84" t="n">
        <f aca="false">IF(AND(ISNUMBER(O2329),ISNUMBER(P2329)),Coef_A+Coef_B1*O2329+Coef_B2*P2329,"")</f>
        <v>19.5422901785123</v>
      </c>
      <c r="U2329" s="84" t="n">
        <f aca="false">IF(AND(R2329=1,ISNUMBER(T2329)),E2329-T2329,"")</f>
        <v>-1.7422901785123</v>
      </c>
      <c r="V2329" s="84" t="n">
        <f aca="false">IF(ISNUMBER(T2329),T2329,-99)</f>
        <v>19.5422901785123</v>
      </c>
      <c r="W2329" s="84" t="n">
        <f aca="false">IF(ISNUMBER(U2329),ABS(U2329),"")</f>
        <v>1.7422901785123</v>
      </c>
    </row>
    <row r="2330" customFormat="false" ht="15" hidden="false" customHeight="false" outlineLevel="0" collapsed="false">
      <c r="A2330" s="57" t="n">
        <v>34488</v>
      </c>
      <c r="B2330" s="56" t="n">
        <v>1994</v>
      </c>
      <c r="C2330" s="56" t="n">
        <v>6</v>
      </c>
      <c r="D2330" s="56" t="n">
        <v>34</v>
      </c>
      <c r="E2330" s="56" t="n">
        <v>12.8</v>
      </c>
      <c r="F2330" s="56" t="n">
        <v>1</v>
      </c>
      <c r="G2330" s="56" t="n">
        <v>11.5</v>
      </c>
      <c r="H2330" s="56" t="n">
        <v>0</v>
      </c>
      <c r="I2330" s="56" t="n">
        <v>14.6</v>
      </c>
      <c r="J2330" s="56" t="n">
        <v>1</v>
      </c>
      <c r="K2330" s="56" t="n">
        <v>1004.4</v>
      </c>
      <c r="L2330" s="56" t="n">
        <v>0</v>
      </c>
      <c r="M2330" s="56" t="n">
        <v>72</v>
      </c>
      <c r="N2330" s="56" t="n">
        <v>8.6</v>
      </c>
      <c r="O2330" s="56" t="n">
        <f aca="false">IF(D2330=1,"",E2329)</f>
        <v>17.8</v>
      </c>
      <c r="P2330" s="56" t="n">
        <f aca="false">IF(OR(D2330=1,K2329=""),"",K2329)</f>
        <v>1007.5</v>
      </c>
      <c r="Q2330" s="56" t="n">
        <f aca="false">IF(OR(F2330&lt;&gt;0,AND(I2330&lt;&gt;"",E2330&lt;I2330)),1,0)</f>
        <v>1</v>
      </c>
      <c r="R2330" s="56" t="n">
        <f aca="false">IF(AND(D2330&gt;1,Q2330=0,ISNUMBER(O2330),ISNUMBER(P2330)),IF(Q2329=0,1,0),0)</f>
        <v>0</v>
      </c>
      <c r="S2330" s="56" t="n">
        <f aca="false">R2330*(B2330&gt;=Train_Start)*(B2330&lt;=Train_End)</f>
        <v>0</v>
      </c>
      <c r="T2330" s="84" t="n">
        <f aca="false">IF(AND(ISNUMBER(O2330),ISNUMBER(P2330)),Coef_A+Coef_B1*O2330+Coef_B2*P2330,"")</f>
        <v>18.2763819018993</v>
      </c>
      <c r="U2330" s="84" t="str">
        <f aca="false">IF(AND(R2330=1,ISNUMBER(T2330)),E2330-T2330,"")</f>
        <v/>
      </c>
      <c r="V2330" s="84" t="n">
        <f aca="false">IF(ISNUMBER(T2330),T2330,-99)</f>
        <v>18.2763819018993</v>
      </c>
      <c r="W2330" s="84" t="str">
        <f aca="false">IF(ISNUMBER(U2330),ABS(U2330),"")</f>
        <v/>
      </c>
    </row>
    <row r="2331" customFormat="false" ht="15" hidden="false" customHeight="false" outlineLevel="0" collapsed="false">
      <c r="A2331" s="57" t="n">
        <v>34489</v>
      </c>
      <c r="B2331" s="56" t="n">
        <v>1994</v>
      </c>
      <c r="C2331" s="56" t="n">
        <v>6</v>
      </c>
      <c r="D2331" s="56" t="n">
        <v>35</v>
      </c>
      <c r="E2331" s="56" t="n">
        <v>17.1</v>
      </c>
      <c r="F2331" s="56" t="n">
        <v>0</v>
      </c>
      <c r="G2331" s="56" t="n">
        <v>8.8</v>
      </c>
      <c r="H2331" s="56" t="n">
        <v>0</v>
      </c>
      <c r="I2331" s="56" t="n">
        <v>10.8</v>
      </c>
      <c r="J2331" s="56" t="n">
        <v>0</v>
      </c>
      <c r="K2331" s="56" t="n">
        <v>1006</v>
      </c>
      <c r="L2331" s="56" t="n">
        <v>0</v>
      </c>
      <c r="M2331" s="56" t="n">
        <v>86</v>
      </c>
      <c r="N2331" s="56" t="n">
        <v>0</v>
      </c>
      <c r="O2331" s="56" t="n">
        <f aca="false">IF(D2331=1,"",E2330)</f>
        <v>12.8</v>
      </c>
      <c r="P2331" s="56" t="n">
        <f aca="false">IF(OR(D2331=1,K2330=""),"",K2330)</f>
        <v>1004.4</v>
      </c>
      <c r="Q2331" s="56" t="n">
        <f aca="false">IF(OR(F2331&lt;&gt;0,AND(I2331&lt;&gt;"",E2331&lt;I2331)),1,0)</f>
        <v>0</v>
      </c>
      <c r="R2331" s="56" t="n">
        <f aca="false">IF(AND(D2331&gt;1,Q2331=0,ISNUMBER(O2331),ISNUMBER(P2331)),IF(Q2330=0,1,0),0)</f>
        <v>0</v>
      </c>
      <c r="S2331" s="56" t="n">
        <f aca="false">R2331*(B2331&gt;=Train_Start)*(B2331&lt;=Train_End)</f>
        <v>0</v>
      </c>
      <c r="T2331" s="84" t="n">
        <f aca="false">IF(AND(ISNUMBER(O2331),ISNUMBER(P2331)),Coef_A+Coef_B1*O2331+Coef_B2*P2331,"")</f>
        <v>14.0824392633207</v>
      </c>
      <c r="U2331" s="84" t="str">
        <f aca="false">IF(AND(R2331=1,ISNUMBER(T2331)),E2331-T2331,"")</f>
        <v/>
      </c>
      <c r="V2331" s="84" t="n">
        <f aca="false">IF(ISNUMBER(T2331),T2331,-99)</f>
        <v>14.0824392633207</v>
      </c>
      <c r="W2331" s="84" t="str">
        <f aca="false">IF(ISNUMBER(U2331),ABS(U2331),"")</f>
        <v/>
      </c>
    </row>
    <row r="2332" customFormat="false" ht="15" hidden="false" customHeight="false" outlineLevel="0" collapsed="false">
      <c r="A2332" s="57" t="n">
        <v>34490</v>
      </c>
      <c r="B2332" s="56" t="n">
        <v>1994</v>
      </c>
      <c r="C2332" s="56" t="n">
        <v>6</v>
      </c>
      <c r="D2332" s="56" t="n">
        <v>36</v>
      </c>
      <c r="E2332" s="56" t="n">
        <v>21.5</v>
      </c>
      <c r="F2332" s="56" t="n">
        <v>0</v>
      </c>
      <c r="G2332" s="56" t="n">
        <v>5.5</v>
      </c>
      <c r="H2332" s="56" t="n">
        <v>0</v>
      </c>
      <c r="I2332" s="56" t="n">
        <v>11.3</v>
      </c>
      <c r="J2332" s="56" t="n">
        <v>0</v>
      </c>
      <c r="K2332" s="56" t="n">
        <v>1018.8</v>
      </c>
      <c r="L2332" s="56" t="n">
        <v>0</v>
      </c>
      <c r="M2332" s="56" t="n">
        <v>65</v>
      </c>
      <c r="N2332" s="56" t="n">
        <v>11.1</v>
      </c>
      <c r="O2332" s="56" t="n">
        <f aca="false">IF(D2332=1,"",E2331)</f>
        <v>17.1</v>
      </c>
      <c r="P2332" s="56" t="n">
        <f aca="false">IF(OR(D2332=1,K2331=""),"",K2331)</f>
        <v>1006</v>
      </c>
      <c r="Q2332" s="56" t="n">
        <f aca="false">IF(OR(F2332&lt;&gt;0,AND(I2332&lt;&gt;"",E2332&lt;I2332)),1,0)</f>
        <v>0</v>
      </c>
      <c r="R2332" s="56" t="n">
        <f aca="false">IF(AND(D2332&gt;1,Q2332=0,ISNUMBER(O2332),ISNUMBER(P2332)),IF(Q2331=0,1,0),0)</f>
        <v>1</v>
      </c>
      <c r="S2332" s="56" t="n">
        <f aca="false">R2332*(B2332&gt;=Train_Start)*(B2332&lt;=Train_End)</f>
        <v>1</v>
      </c>
      <c r="T2332" s="84" t="n">
        <f aca="false">IF(AND(ISNUMBER(O2332),ISNUMBER(P2332)),Coef_A+Coef_B1*O2332+Coef_B2*P2332,"")</f>
        <v>17.6557896248185</v>
      </c>
      <c r="U2332" s="84" t="n">
        <f aca="false">IF(AND(R2332=1,ISNUMBER(T2332)),E2332-T2332,"")</f>
        <v>3.84421037518153</v>
      </c>
      <c r="V2332" s="84" t="n">
        <f aca="false">IF(ISNUMBER(T2332),T2332,-99)</f>
        <v>17.6557896248185</v>
      </c>
      <c r="W2332" s="84" t="n">
        <f aca="false">IF(ISNUMBER(U2332),ABS(U2332),"")</f>
        <v>3.84421037518153</v>
      </c>
    </row>
    <row r="2333" customFormat="false" ht="15" hidden="false" customHeight="false" outlineLevel="0" collapsed="false">
      <c r="A2333" s="57" t="n">
        <v>34491</v>
      </c>
      <c r="B2333" s="56" t="n">
        <v>1994</v>
      </c>
      <c r="C2333" s="56" t="n">
        <v>6</v>
      </c>
      <c r="D2333" s="56" t="n">
        <v>37</v>
      </c>
      <c r="E2333" s="56" t="n">
        <v>21.3</v>
      </c>
      <c r="F2333" s="56" t="n">
        <v>0</v>
      </c>
      <c r="G2333" s="56" t="n">
        <v>11.1</v>
      </c>
      <c r="H2333" s="56" t="n">
        <v>0</v>
      </c>
      <c r="I2333" s="56" t="n">
        <v>16.3</v>
      </c>
      <c r="J2333" s="56" t="n">
        <v>0</v>
      </c>
      <c r="K2333" s="56" t="n">
        <v>1018.3</v>
      </c>
      <c r="L2333" s="56" t="n">
        <v>0</v>
      </c>
      <c r="M2333" s="56" t="n">
        <v>82</v>
      </c>
      <c r="N2333" s="56" t="n">
        <v>7</v>
      </c>
      <c r="O2333" s="56" t="n">
        <f aca="false">IF(D2333=1,"",E2332)</f>
        <v>21.5</v>
      </c>
      <c r="P2333" s="56" t="n">
        <f aca="false">IF(OR(D2333=1,K2332=""),"",K2332)</f>
        <v>1018.8</v>
      </c>
      <c r="Q2333" s="56" t="n">
        <f aca="false">IF(OR(F2333&lt;&gt;0,AND(I2333&lt;&gt;"",E2333&lt;I2333)),1,0)</f>
        <v>0</v>
      </c>
      <c r="R2333" s="56" t="n">
        <f aca="false">IF(AND(D2333&gt;1,Q2333=0,ISNUMBER(O2333),ISNUMBER(P2333)),IF(Q2332=0,1,0),0)</f>
        <v>1</v>
      </c>
      <c r="S2333" s="56" t="n">
        <f aca="false">R2333*(B2333&gt;=Train_Start)*(B2333&lt;=Train_End)</f>
        <v>1</v>
      </c>
      <c r="T2333" s="84" t="n">
        <f aca="false">IF(AND(ISNUMBER(O2333),ISNUMBER(P2333)),Coef_A+Coef_B1*O2333+Coef_B2*P2333,"")</f>
        <v>21.6624167255212</v>
      </c>
      <c r="U2333" s="84" t="n">
        <f aca="false">IF(AND(R2333=1,ISNUMBER(T2333)),E2333-T2333,"")</f>
        <v>-0.362416725521229</v>
      </c>
      <c r="V2333" s="84" t="n">
        <f aca="false">IF(ISNUMBER(T2333),T2333,-99)</f>
        <v>21.6624167255212</v>
      </c>
      <c r="W2333" s="84" t="n">
        <f aca="false">IF(ISNUMBER(U2333),ABS(U2333),"")</f>
        <v>0.362416725521229</v>
      </c>
    </row>
    <row r="2334" customFormat="false" ht="15" hidden="false" customHeight="false" outlineLevel="0" collapsed="false">
      <c r="A2334" s="57" t="n">
        <v>34492</v>
      </c>
      <c r="B2334" s="56" t="n">
        <v>1994</v>
      </c>
      <c r="C2334" s="56" t="n">
        <v>6</v>
      </c>
      <c r="D2334" s="56" t="n">
        <v>38</v>
      </c>
      <c r="E2334" s="56" t="n">
        <v>17</v>
      </c>
      <c r="F2334" s="56" t="n">
        <v>0</v>
      </c>
      <c r="G2334" s="56" t="n">
        <v>12.6</v>
      </c>
      <c r="H2334" s="56" t="n">
        <v>0</v>
      </c>
      <c r="I2334" s="56" t="n">
        <v>17</v>
      </c>
      <c r="J2334" s="56" t="n">
        <v>0</v>
      </c>
      <c r="K2334" s="56" t="n">
        <v>1019.5</v>
      </c>
      <c r="L2334" s="56" t="n">
        <v>0</v>
      </c>
      <c r="M2334" s="56" t="n">
        <v>76</v>
      </c>
      <c r="N2334" s="56" t="n">
        <v>4.1</v>
      </c>
      <c r="O2334" s="56" t="n">
        <f aca="false">IF(D2334=1,"",E2333)</f>
        <v>21.3</v>
      </c>
      <c r="P2334" s="56" t="n">
        <f aca="false">IF(OR(D2334=1,K2333=""),"",K2333)</f>
        <v>1018.3</v>
      </c>
      <c r="Q2334" s="56" t="n">
        <f aca="false">IF(OR(F2334&lt;&gt;0,AND(I2334&lt;&gt;"",E2334&lt;I2334)),1,0)</f>
        <v>0</v>
      </c>
      <c r="R2334" s="56" t="n">
        <f aca="false">IF(AND(D2334&gt;1,Q2334=0,ISNUMBER(O2334),ISNUMBER(P2334)),IF(Q2333=0,1,0),0)</f>
        <v>1</v>
      </c>
      <c r="S2334" s="56" t="n">
        <f aca="false">R2334*(B2334&gt;=Train_Start)*(B2334&lt;=Train_End)</f>
        <v>1</v>
      </c>
      <c r="T2334" s="84" t="n">
        <f aca="false">IF(AND(ISNUMBER(O2334),ISNUMBER(P2334)),Coef_A+Coef_B1*O2334+Coef_B2*P2334,"")</f>
        <v>21.4828639395957</v>
      </c>
      <c r="U2334" s="84" t="n">
        <f aca="false">IF(AND(R2334=1,ISNUMBER(T2334)),E2334-T2334,"")</f>
        <v>-4.4828639395957</v>
      </c>
      <c r="V2334" s="84" t="n">
        <f aca="false">IF(ISNUMBER(T2334),T2334,-99)</f>
        <v>21.4828639395957</v>
      </c>
      <c r="W2334" s="84" t="n">
        <f aca="false">IF(ISNUMBER(U2334),ABS(U2334),"")</f>
        <v>4.4828639395957</v>
      </c>
    </row>
    <row r="2335" customFormat="false" ht="15" hidden="false" customHeight="false" outlineLevel="0" collapsed="false">
      <c r="A2335" s="57" t="n">
        <v>34493</v>
      </c>
      <c r="B2335" s="56" t="n">
        <v>1994</v>
      </c>
      <c r="C2335" s="56" t="n">
        <v>6</v>
      </c>
      <c r="D2335" s="56" t="n">
        <v>39</v>
      </c>
      <c r="E2335" s="56" t="n">
        <v>15.8</v>
      </c>
      <c r="F2335" s="56" t="n">
        <v>0</v>
      </c>
      <c r="G2335" s="56" t="n">
        <v>12.1</v>
      </c>
      <c r="H2335" s="56" t="n">
        <v>0</v>
      </c>
      <c r="I2335" s="56" t="n">
        <v>14.6</v>
      </c>
      <c r="J2335" s="56" t="n">
        <v>0</v>
      </c>
      <c r="K2335" s="56" t="n">
        <v>1021.6</v>
      </c>
      <c r="L2335" s="56" t="n">
        <v>0</v>
      </c>
      <c r="M2335" s="56" t="n">
        <v>70</v>
      </c>
      <c r="N2335" s="56" t="n">
        <v>6.3</v>
      </c>
      <c r="O2335" s="56" t="n">
        <f aca="false">IF(D2335=1,"",E2334)</f>
        <v>17</v>
      </c>
      <c r="P2335" s="56" t="n">
        <f aca="false">IF(OR(D2335=1,K2334=""),"",K2334)</f>
        <v>1019.5</v>
      </c>
      <c r="Q2335" s="56" t="n">
        <f aca="false">IF(OR(F2335&lt;&gt;0,AND(I2335&lt;&gt;"",E2335&lt;I2335)),1,0)</f>
        <v>0</v>
      </c>
      <c r="R2335" s="56" t="n">
        <f aca="false">IF(AND(D2335&gt;1,Q2335=0,ISNUMBER(O2335),ISNUMBER(P2335)),IF(Q2334=0,1,0),0)</f>
        <v>1</v>
      </c>
      <c r="S2335" s="56" t="n">
        <f aca="false">R2335*(B2335&gt;=Train_Start)*(B2335&lt;=Train_End)</f>
        <v>1</v>
      </c>
      <c r="T2335" s="84" t="n">
        <f aca="false">IF(AND(ISNUMBER(O2335),ISNUMBER(P2335)),Coef_A+Coef_B1*O2335+Coef_B2*P2335,"")</f>
        <v>17.9973492830731</v>
      </c>
      <c r="U2335" s="84" t="n">
        <f aca="false">IF(AND(R2335=1,ISNUMBER(T2335)),E2335-T2335,"")</f>
        <v>-2.19734928307306</v>
      </c>
      <c r="V2335" s="84" t="n">
        <f aca="false">IF(ISNUMBER(T2335),T2335,-99)</f>
        <v>17.9973492830731</v>
      </c>
      <c r="W2335" s="84" t="n">
        <f aca="false">IF(ISNUMBER(U2335),ABS(U2335),"")</f>
        <v>2.19734928307306</v>
      </c>
    </row>
    <row r="2336" customFormat="false" ht="15" hidden="false" customHeight="false" outlineLevel="0" collapsed="false">
      <c r="A2336" s="57" t="n">
        <v>34494</v>
      </c>
      <c r="B2336" s="56" t="n">
        <v>1994</v>
      </c>
      <c r="C2336" s="56" t="n">
        <v>6</v>
      </c>
      <c r="D2336" s="56" t="n">
        <v>40</v>
      </c>
      <c r="E2336" s="56" t="n">
        <v>17</v>
      </c>
      <c r="F2336" s="56" t="n">
        <v>0</v>
      </c>
      <c r="G2336" s="56" t="n">
        <v>5.7</v>
      </c>
      <c r="H2336" s="56" t="n">
        <v>0</v>
      </c>
      <c r="I2336" s="56" t="n">
        <v>10.8</v>
      </c>
      <c r="J2336" s="56" t="n">
        <v>0</v>
      </c>
      <c r="K2336" s="56" t="n">
        <v>1027.9</v>
      </c>
      <c r="L2336" s="56" t="n">
        <v>0</v>
      </c>
      <c r="M2336" s="56" t="n">
        <v>68</v>
      </c>
      <c r="N2336" s="56" t="n">
        <v>0.1</v>
      </c>
      <c r="O2336" s="56" t="n">
        <f aca="false">IF(D2336=1,"",E2335)</f>
        <v>15.8</v>
      </c>
      <c r="P2336" s="56" t="n">
        <f aca="false">IF(OR(D2336=1,K2335=""),"",K2335)</f>
        <v>1021.6</v>
      </c>
      <c r="Q2336" s="56" t="n">
        <f aca="false">IF(OR(F2336&lt;&gt;0,AND(I2336&lt;&gt;"",E2336&lt;I2336)),1,0)</f>
        <v>0</v>
      </c>
      <c r="R2336" s="56" t="n">
        <f aca="false">IF(AND(D2336&gt;1,Q2336=0,ISNUMBER(O2336),ISNUMBER(P2336)),IF(Q2335=0,1,0),0)</f>
        <v>1</v>
      </c>
      <c r="S2336" s="56" t="n">
        <f aca="false">R2336*(B2336&gt;=Train_Start)*(B2336&lt;=Train_End)</f>
        <v>1</v>
      </c>
      <c r="T2336" s="84" t="n">
        <f aca="false">IF(AND(ISNUMBER(O2336),ISNUMBER(P2336)),Coef_A+Coef_B1*O2336+Coef_B2*P2336,"")</f>
        <v>17.0800190301533</v>
      </c>
      <c r="U2336" s="84" t="n">
        <f aca="false">IF(AND(R2336=1,ISNUMBER(T2336)),E2336-T2336,"")</f>
        <v>-0.0800190301532524</v>
      </c>
      <c r="V2336" s="84" t="n">
        <f aca="false">IF(ISNUMBER(T2336),T2336,-99)</f>
        <v>17.0800190301533</v>
      </c>
      <c r="W2336" s="84" t="n">
        <f aca="false">IF(ISNUMBER(U2336),ABS(U2336),"")</f>
        <v>0.0800190301532524</v>
      </c>
    </row>
    <row r="2337" customFormat="false" ht="15" hidden="false" customHeight="false" outlineLevel="0" collapsed="false">
      <c r="A2337" s="57" t="n">
        <v>34495</v>
      </c>
      <c r="B2337" s="56" t="n">
        <v>1994</v>
      </c>
      <c r="C2337" s="56" t="n">
        <v>6</v>
      </c>
      <c r="D2337" s="56" t="n">
        <v>41</v>
      </c>
      <c r="E2337" s="56" t="n">
        <v>19.4</v>
      </c>
      <c r="F2337" s="56" t="n">
        <v>0</v>
      </c>
      <c r="G2337" s="56" t="n">
        <v>10.5</v>
      </c>
      <c r="H2337" s="56" t="n">
        <v>0</v>
      </c>
      <c r="I2337" s="56" t="n">
        <v>13.8</v>
      </c>
      <c r="J2337" s="56" t="n">
        <v>0</v>
      </c>
      <c r="K2337" s="56" t="n">
        <v>1029.9</v>
      </c>
      <c r="L2337" s="56" t="n">
        <v>0</v>
      </c>
      <c r="M2337" s="56" t="n">
        <v>65</v>
      </c>
      <c r="N2337" s="56" t="n">
        <v>6.1</v>
      </c>
      <c r="O2337" s="56" t="n">
        <f aca="false">IF(D2337=1,"",E2336)</f>
        <v>17</v>
      </c>
      <c r="P2337" s="56" t="n">
        <f aca="false">IF(OR(D2337=1,K2336=""),"",K2336)</f>
        <v>1027.9</v>
      </c>
      <c r="Q2337" s="56" t="n">
        <f aca="false">IF(OR(F2337&lt;&gt;0,AND(I2337&lt;&gt;"",E2337&lt;I2337)),1,0)</f>
        <v>0</v>
      </c>
      <c r="R2337" s="56" t="n">
        <f aca="false">IF(AND(D2337&gt;1,Q2337=0,ISNUMBER(O2337),ISNUMBER(P2337)),IF(Q2336=0,1,0),0)</f>
        <v>1</v>
      </c>
      <c r="S2337" s="56" t="n">
        <f aca="false">R2337*(B2337&gt;=Train_Start)*(B2337&lt;=Train_End)</f>
        <v>1</v>
      </c>
      <c r="T2337" s="84" t="n">
        <f aca="false">IF(AND(ISNUMBER(O2337),ISNUMBER(P2337)),Coef_A+Coef_B1*O2337+Coef_B2*P2337,"")</f>
        <v>18.2608563979986</v>
      </c>
      <c r="U2337" s="84" t="n">
        <f aca="false">IF(AND(R2337=1,ISNUMBER(T2337)),E2337-T2337,"")</f>
        <v>1.13914360200143</v>
      </c>
      <c r="V2337" s="84" t="n">
        <f aca="false">IF(ISNUMBER(T2337),T2337,-99)</f>
        <v>18.2608563979986</v>
      </c>
      <c r="W2337" s="84" t="n">
        <f aca="false">IF(ISNUMBER(U2337),ABS(U2337),"")</f>
        <v>1.13914360200143</v>
      </c>
    </row>
    <row r="2338" customFormat="false" ht="15" hidden="false" customHeight="false" outlineLevel="0" collapsed="false">
      <c r="A2338" s="57" t="n">
        <v>34496</v>
      </c>
      <c r="B2338" s="56" t="n">
        <v>1994</v>
      </c>
      <c r="C2338" s="56" t="n">
        <v>6</v>
      </c>
      <c r="D2338" s="56" t="n">
        <v>42</v>
      </c>
      <c r="E2338" s="56" t="n">
        <v>20.4</v>
      </c>
      <c r="F2338" s="56" t="n">
        <v>0</v>
      </c>
      <c r="G2338" s="56" t="n">
        <v>7.3</v>
      </c>
      <c r="H2338" s="56" t="n">
        <v>0</v>
      </c>
      <c r="I2338" s="56" t="n">
        <v>13.4</v>
      </c>
      <c r="J2338" s="56" t="n">
        <v>0</v>
      </c>
      <c r="K2338" s="56" t="n">
        <v>1032.1</v>
      </c>
      <c r="L2338" s="56" t="n">
        <v>0</v>
      </c>
      <c r="M2338" s="56" t="n">
        <v>66</v>
      </c>
      <c r="N2338" s="56" t="n">
        <v>10.2</v>
      </c>
      <c r="O2338" s="56" t="n">
        <f aca="false">IF(D2338=1,"",E2337)</f>
        <v>19.4</v>
      </c>
      <c r="P2338" s="56" t="n">
        <f aca="false">IF(OR(D2338=1,K2337=""),"",K2337)</f>
        <v>1029.9</v>
      </c>
      <c r="Q2338" s="56" t="n">
        <f aca="false">IF(OR(F2338&lt;&gt;0,AND(I2338&lt;&gt;"",E2338&lt;I2338)),1,0)</f>
        <v>0</v>
      </c>
      <c r="R2338" s="56" t="n">
        <f aca="false">IF(AND(D2338&gt;1,Q2338=0,ISNUMBER(O2338),ISNUMBER(P2338)),IF(Q2337=0,1,0),0)</f>
        <v>1</v>
      </c>
      <c r="S2338" s="56" t="n">
        <f aca="false">R2338*(B2338&gt;=Train_Start)*(B2338&lt;=Train_End)</f>
        <v>1</v>
      </c>
      <c r="T2338" s="84" t="n">
        <f aca="false">IF(AND(ISNUMBER(O2338),ISNUMBER(P2338)),Coef_A+Coef_B1*O2338+Coef_B2*P2338,"")</f>
        <v>20.2900102505689</v>
      </c>
      <c r="U2338" s="84" t="n">
        <f aca="false">IF(AND(R2338=1,ISNUMBER(T2338)),E2338-T2338,"")</f>
        <v>0.109989749431069</v>
      </c>
      <c r="V2338" s="84" t="n">
        <f aca="false">IF(ISNUMBER(T2338),T2338,-99)</f>
        <v>20.2900102505689</v>
      </c>
      <c r="W2338" s="84" t="n">
        <f aca="false">IF(ISNUMBER(U2338),ABS(U2338),"")</f>
        <v>0.109989749431069</v>
      </c>
    </row>
    <row r="2339" customFormat="false" ht="15" hidden="false" customHeight="false" outlineLevel="0" collapsed="false">
      <c r="A2339" s="57" t="n">
        <v>34497</v>
      </c>
      <c r="B2339" s="56" t="n">
        <v>1994</v>
      </c>
      <c r="C2339" s="56" t="n">
        <v>6</v>
      </c>
      <c r="D2339" s="56" t="n">
        <v>43</v>
      </c>
      <c r="E2339" s="56" t="n">
        <v>23.3</v>
      </c>
      <c r="F2339" s="56" t="n">
        <v>0</v>
      </c>
      <c r="G2339" s="56" t="n">
        <v>7.8</v>
      </c>
      <c r="H2339" s="56" t="n">
        <v>0</v>
      </c>
      <c r="I2339" s="56" t="n">
        <v>14.1</v>
      </c>
      <c r="J2339" s="56" t="n">
        <v>0</v>
      </c>
      <c r="K2339" s="56" t="n">
        <v>1033</v>
      </c>
      <c r="L2339" s="56" t="n">
        <v>0</v>
      </c>
      <c r="M2339" s="56" t="n">
        <v>66</v>
      </c>
      <c r="N2339" s="56" t="n">
        <v>9.4</v>
      </c>
      <c r="O2339" s="56" t="n">
        <f aca="false">IF(D2339=1,"",E2338)</f>
        <v>20.4</v>
      </c>
      <c r="P2339" s="56" t="n">
        <f aca="false">IF(OR(D2339=1,K2338=""),"",K2338)</f>
        <v>1032.1</v>
      </c>
      <c r="Q2339" s="56" t="n">
        <f aca="false">IF(OR(F2339&lt;&gt;0,AND(I2339&lt;&gt;"",E2339&lt;I2339)),1,0)</f>
        <v>0</v>
      </c>
      <c r="R2339" s="56" t="n">
        <f aca="false">IF(AND(D2339&gt;1,Q2339=0,ISNUMBER(O2339),ISNUMBER(P2339)),IF(Q2338=0,1,0),0)</f>
        <v>1</v>
      </c>
      <c r="S2339" s="56" t="n">
        <f aca="false">R2339*(B2339&gt;=Train_Start)*(B2339&lt;=Train_End)</f>
        <v>1</v>
      </c>
      <c r="T2339" s="84" t="n">
        <f aca="false">IF(AND(ISNUMBER(O2339),ISNUMBER(P2339)),Coef_A+Coef_B1*O2339+Coef_B2*P2339,"")</f>
        <v>21.1783632118064</v>
      </c>
      <c r="U2339" s="84" t="n">
        <f aca="false">IF(AND(R2339=1,ISNUMBER(T2339)),E2339-T2339,"")</f>
        <v>2.12163678819364</v>
      </c>
      <c r="V2339" s="84" t="n">
        <f aca="false">IF(ISNUMBER(T2339),T2339,-99)</f>
        <v>21.1783632118064</v>
      </c>
      <c r="W2339" s="84" t="n">
        <f aca="false">IF(ISNUMBER(U2339),ABS(U2339),"")</f>
        <v>2.12163678819364</v>
      </c>
    </row>
    <row r="2340" customFormat="false" ht="15" hidden="false" customHeight="false" outlineLevel="0" collapsed="false">
      <c r="A2340" s="57" t="n">
        <v>34498</v>
      </c>
      <c r="B2340" s="56" t="n">
        <v>1994</v>
      </c>
      <c r="C2340" s="56" t="n">
        <v>6</v>
      </c>
      <c r="D2340" s="56" t="n">
        <v>44</v>
      </c>
      <c r="E2340" s="56" t="n">
        <v>24.5</v>
      </c>
      <c r="F2340" s="56" t="n">
        <v>0</v>
      </c>
      <c r="G2340" s="56" t="n">
        <v>10.6</v>
      </c>
      <c r="H2340" s="56" t="n">
        <v>0</v>
      </c>
      <c r="I2340" s="56" t="n">
        <v>17</v>
      </c>
      <c r="J2340" s="56" t="n">
        <v>0</v>
      </c>
      <c r="K2340" s="56" t="n">
        <v>1030.2</v>
      </c>
      <c r="L2340" s="56" t="n">
        <v>0</v>
      </c>
      <c r="M2340" s="56" t="n">
        <v>63</v>
      </c>
      <c r="N2340" s="56" t="n">
        <v>13.9</v>
      </c>
      <c r="O2340" s="56" t="n">
        <f aca="false">IF(D2340=1,"",E2339)</f>
        <v>23.3</v>
      </c>
      <c r="P2340" s="56" t="n">
        <f aca="false">IF(OR(D2340=1,K2339=""),"",K2339)</f>
        <v>1033</v>
      </c>
      <c r="Q2340" s="56" t="n">
        <f aca="false">IF(OR(F2340&lt;&gt;0,AND(I2340&lt;&gt;"",E2340&lt;I2340)),1,0)</f>
        <v>0</v>
      </c>
      <c r="R2340" s="56" t="n">
        <f aca="false">IF(AND(D2340&gt;1,Q2340=0,ISNUMBER(O2340),ISNUMBER(P2340)),IF(Q2339=0,1,0),0)</f>
        <v>1</v>
      </c>
      <c r="S2340" s="56" t="n">
        <f aca="false">R2340*(B2340&gt;=Train_Start)*(B2340&lt;=Train_End)</f>
        <v>1</v>
      </c>
      <c r="T2340" s="84" t="n">
        <f aca="false">IF(AND(ISNUMBER(O2340),ISNUMBER(P2340)),Coef_A+Coef_B1*O2340+Coef_B2*P2340,"")</f>
        <v>23.5826797768007</v>
      </c>
      <c r="U2340" s="84" t="n">
        <f aca="false">IF(AND(R2340=1,ISNUMBER(T2340)),E2340-T2340,"")</f>
        <v>0.917320223199333</v>
      </c>
      <c r="V2340" s="84" t="n">
        <f aca="false">IF(ISNUMBER(T2340),T2340,-99)</f>
        <v>23.5826797768007</v>
      </c>
      <c r="W2340" s="84" t="n">
        <f aca="false">IF(ISNUMBER(U2340),ABS(U2340),"")</f>
        <v>0.917320223199333</v>
      </c>
    </row>
    <row r="2341" customFormat="false" ht="15" hidden="false" customHeight="false" outlineLevel="0" collapsed="false">
      <c r="A2341" s="57" t="n">
        <v>34499</v>
      </c>
      <c r="B2341" s="56" t="n">
        <v>1994</v>
      </c>
      <c r="C2341" s="56" t="n">
        <v>6</v>
      </c>
      <c r="D2341" s="56" t="n">
        <v>45</v>
      </c>
      <c r="E2341" s="56" t="n">
        <v>23.6</v>
      </c>
      <c r="F2341" s="56" t="n">
        <v>0</v>
      </c>
      <c r="G2341" s="56" t="n">
        <v>12.3</v>
      </c>
      <c r="H2341" s="56" t="n">
        <v>0</v>
      </c>
      <c r="I2341" s="56" t="n">
        <v>18.4</v>
      </c>
      <c r="J2341" s="56" t="n">
        <v>0</v>
      </c>
      <c r="K2341" s="56" t="n">
        <v>1025.6</v>
      </c>
      <c r="L2341" s="56" t="n">
        <v>0</v>
      </c>
      <c r="M2341" s="56" t="n">
        <v>62</v>
      </c>
      <c r="N2341" s="56" t="n">
        <v>14.7</v>
      </c>
      <c r="O2341" s="56" t="n">
        <f aca="false">IF(D2341=1,"",E2340)</f>
        <v>24.5</v>
      </c>
      <c r="P2341" s="56" t="n">
        <f aca="false">IF(OR(D2341=1,K2340=""),"",K2340)</f>
        <v>1030.2</v>
      </c>
      <c r="Q2341" s="56" t="n">
        <f aca="false">IF(OR(F2341&lt;&gt;0,AND(I2341&lt;&gt;"",E2341&lt;I2341)),1,0)</f>
        <v>0</v>
      </c>
      <c r="R2341" s="56" t="n">
        <f aca="false">IF(AND(D2341&gt;1,Q2341=0,ISNUMBER(O2341),ISNUMBER(P2341)),IF(Q2340=0,1,0),0)</f>
        <v>1</v>
      </c>
      <c r="S2341" s="56" t="n">
        <f aca="false">R2341*(B2341&gt;=Train_Start)*(B2341&lt;=Train_End)</f>
        <v>1</v>
      </c>
      <c r="T2341" s="84" t="n">
        <f aca="false">IF(AND(ISNUMBER(O2341),ISNUMBER(P2341)),Coef_A+Coef_B1*O2341+Coef_B2*P2341,"")</f>
        <v>24.4780511034767</v>
      </c>
      <c r="U2341" s="84" t="n">
        <f aca="false">IF(AND(R2341=1,ISNUMBER(T2341)),E2341-T2341,"")</f>
        <v>-0.878051103476683</v>
      </c>
      <c r="V2341" s="84" t="n">
        <f aca="false">IF(ISNUMBER(T2341),T2341,-99)</f>
        <v>24.4780511034767</v>
      </c>
      <c r="W2341" s="84" t="n">
        <f aca="false">IF(ISNUMBER(U2341),ABS(U2341),"")</f>
        <v>0.878051103476683</v>
      </c>
    </row>
    <row r="2342" customFormat="false" ht="15" hidden="false" customHeight="false" outlineLevel="0" collapsed="false">
      <c r="A2342" s="57" t="n">
        <v>34500</v>
      </c>
      <c r="B2342" s="56" t="n">
        <v>1994</v>
      </c>
      <c r="C2342" s="56" t="n">
        <v>6</v>
      </c>
      <c r="D2342" s="56" t="n">
        <v>46</v>
      </c>
      <c r="E2342" s="56" t="n">
        <v>23.6</v>
      </c>
      <c r="F2342" s="56" t="n">
        <v>0</v>
      </c>
      <c r="G2342" s="56" t="n">
        <v>8.2</v>
      </c>
      <c r="H2342" s="56" t="n">
        <v>0</v>
      </c>
      <c r="I2342" s="56" t="n">
        <v>15.9</v>
      </c>
      <c r="J2342" s="56" t="n">
        <v>0</v>
      </c>
      <c r="K2342" s="56" t="n">
        <v>1022.7</v>
      </c>
      <c r="L2342" s="56" t="n">
        <v>0</v>
      </c>
      <c r="M2342" s="56" t="n">
        <v>57</v>
      </c>
      <c r="N2342" s="56" t="n">
        <v>15.3</v>
      </c>
      <c r="O2342" s="56" t="n">
        <f aca="false">IF(D2342=1,"",E2341)</f>
        <v>23.6</v>
      </c>
      <c r="P2342" s="56" t="n">
        <f aca="false">IF(OR(D2342=1,K2341=""),"",K2341)</f>
        <v>1025.6</v>
      </c>
      <c r="Q2342" s="56" t="n">
        <f aca="false">IF(OR(F2342&lt;&gt;0,AND(I2342&lt;&gt;"",E2342&lt;I2342)),1,0)</f>
        <v>0</v>
      </c>
      <c r="R2342" s="56" t="n">
        <f aca="false">IF(AND(D2342&gt;1,Q2342=0,ISNUMBER(O2342),ISNUMBER(P2342)),IF(Q2341=0,1,0),0)</f>
        <v>1</v>
      </c>
      <c r="S2342" s="56" t="n">
        <f aca="false">R2342*(B2342&gt;=Train_Start)*(B2342&lt;=Train_End)</f>
        <v>1</v>
      </c>
      <c r="T2342" s="84" t="n">
        <f aca="false">IF(AND(ISNUMBER(O2342),ISNUMBER(P2342)),Coef_A+Coef_B1*O2342+Coef_B2*P2342,"")</f>
        <v>23.5963443144219</v>
      </c>
      <c r="U2342" s="84" t="n">
        <f aca="false">IF(AND(R2342=1,ISNUMBER(T2342)),E2342-T2342,"")</f>
        <v>0.00365568557806384</v>
      </c>
      <c r="V2342" s="84" t="n">
        <f aca="false">IF(ISNUMBER(T2342),T2342,-99)</f>
        <v>23.5963443144219</v>
      </c>
      <c r="W2342" s="84" t="n">
        <f aca="false">IF(ISNUMBER(U2342),ABS(U2342),"")</f>
        <v>0.00365568557806384</v>
      </c>
    </row>
    <row r="2343" customFormat="false" ht="15" hidden="false" customHeight="false" outlineLevel="0" collapsed="false">
      <c r="A2343" s="57" t="n">
        <v>34501</v>
      </c>
      <c r="B2343" s="56" t="n">
        <v>1994</v>
      </c>
      <c r="C2343" s="56" t="n">
        <v>6</v>
      </c>
      <c r="D2343" s="56" t="n">
        <v>47</v>
      </c>
      <c r="E2343" s="56" t="n">
        <v>25.7</v>
      </c>
      <c r="F2343" s="56" t="n">
        <v>0</v>
      </c>
      <c r="G2343" s="56" t="n">
        <v>12</v>
      </c>
      <c r="H2343" s="56" t="n">
        <v>0</v>
      </c>
      <c r="I2343" s="56" t="n">
        <v>17.8</v>
      </c>
      <c r="J2343" s="56" t="n">
        <v>0</v>
      </c>
      <c r="K2343" s="56" t="n">
        <v>1017</v>
      </c>
      <c r="L2343" s="56" t="n">
        <v>0</v>
      </c>
      <c r="M2343" s="56" t="n">
        <v>60</v>
      </c>
      <c r="N2343" s="56" t="n">
        <v>14.8</v>
      </c>
      <c r="O2343" s="56" t="n">
        <f aca="false">IF(D2343=1,"",E2342)</f>
        <v>23.6</v>
      </c>
      <c r="P2343" s="56" t="n">
        <f aca="false">IF(OR(D2343=1,K2342=""),"",K2342)</f>
        <v>1022.7</v>
      </c>
      <c r="Q2343" s="56" t="n">
        <f aca="false">IF(OR(F2343&lt;&gt;0,AND(I2343&lt;&gt;"",E2343&lt;I2343)),1,0)</f>
        <v>0</v>
      </c>
      <c r="R2343" s="56" t="n">
        <f aca="false">IF(AND(D2343&gt;1,Q2343=0,ISNUMBER(O2343),ISNUMBER(P2343)),IF(Q2342=0,1,0),0)</f>
        <v>1</v>
      </c>
      <c r="S2343" s="56" t="n">
        <f aca="false">R2343*(B2343&gt;=Train_Start)*(B2343&lt;=Train_End)</f>
        <v>1</v>
      </c>
      <c r="T2343" s="84" t="n">
        <f aca="false">IF(AND(ISNUMBER(O2343),ISNUMBER(P2343)),Coef_A+Coef_B1*O2343+Coef_B2*P2343,"")</f>
        <v>23.5053716199834</v>
      </c>
      <c r="U2343" s="84" t="n">
        <f aca="false">IF(AND(R2343=1,ISNUMBER(T2343)),E2343-T2343,"")</f>
        <v>2.19462838001662</v>
      </c>
      <c r="V2343" s="84" t="n">
        <f aca="false">IF(ISNUMBER(T2343),T2343,-99)</f>
        <v>23.5053716199834</v>
      </c>
      <c r="W2343" s="84" t="n">
        <f aca="false">IF(ISNUMBER(U2343),ABS(U2343),"")</f>
        <v>2.19462838001662</v>
      </c>
    </row>
    <row r="2344" customFormat="false" ht="15" hidden="false" customHeight="false" outlineLevel="0" collapsed="false">
      <c r="A2344" s="57" t="n">
        <v>34502</v>
      </c>
      <c r="B2344" s="56" t="n">
        <v>1994</v>
      </c>
      <c r="C2344" s="56" t="n">
        <v>6</v>
      </c>
      <c r="D2344" s="56" t="n">
        <v>48</v>
      </c>
      <c r="E2344" s="56" t="n">
        <v>23</v>
      </c>
      <c r="F2344" s="56" t="n">
        <v>0</v>
      </c>
      <c r="G2344" s="56" t="n">
        <v>11.2</v>
      </c>
      <c r="H2344" s="56" t="n">
        <v>0</v>
      </c>
      <c r="I2344" s="56" t="n">
        <v>18.4</v>
      </c>
      <c r="J2344" s="56" t="n">
        <v>0</v>
      </c>
      <c r="K2344" s="56" t="n">
        <v>1014.4</v>
      </c>
      <c r="L2344" s="56" t="n">
        <v>0</v>
      </c>
      <c r="M2344" s="56" t="n">
        <v>64</v>
      </c>
      <c r="N2344" s="56" t="n">
        <v>9.7</v>
      </c>
      <c r="O2344" s="56" t="n">
        <f aca="false">IF(D2344=1,"",E2343)</f>
        <v>25.7</v>
      </c>
      <c r="P2344" s="56" t="n">
        <f aca="false">IF(OR(D2344=1,K2343=""),"",K2343)</f>
        <v>1017</v>
      </c>
      <c r="Q2344" s="56" t="n">
        <f aca="false">IF(OR(F2344&lt;&gt;0,AND(I2344&lt;&gt;"",E2344&lt;I2344)),1,0)</f>
        <v>0</v>
      </c>
      <c r="R2344" s="56" t="n">
        <f aca="false">IF(AND(D2344&gt;1,Q2344=0,ISNUMBER(O2344),ISNUMBER(P2344)),IF(Q2343=0,1,0),0)</f>
        <v>1</v>
      </c>
      <c r="S2344" s="56" t="n">
        <f aca="false">R2344*(B2344&gt;=Train_Start)*(B2344&lt;=Train_End)</f>
        <v>1</v>
      </c>
      <c r="T2344" s="84" t="n">
        <f aca="false">IF(AND(ISNUMBER(O2344),ISNUMBER(P2344)),Coef_A+Coef_B1*O2344+Coef_B2*P2344,"")</f>
        <v>25.0471755259592</v>
      </c>
      <c r="U2344" s="84" t="n">
        <f aca="false">IF(AND(R2344=1,ISNUMBER(T2344)),E2344-T2344,"")</f>
        <v>-2.04717552595921</v>
      </c>
      <c r="V2344" s="84" t="n">
        <f aca="false">IF(ISNUMBER(T2344),T2344,-99)</f>
        <v>25.0471755259592</v>
      </c>
      <c r="W2344" s="84" t="n">
        <f aca="false">IF(ISNUMBER(U2344),ABS(U2344),"")</f>
        <v>2.04717552595921</v>
      </c>
    </row>
    <row r="2345" customFormat="false" ht="15" hidden="false" customHeight="false" outlineLevel="0" collapsed="false">
      <c r="A2345" s="57" t="n">
        <v>34503</v>
      </c>
      <c r="B2345" s="56" t="n">
        <v>1994</v>
      </c>
      <c r="C2345" s="56" t="n">
        <v>6</v>
      </c>
      <c r="D2345" s="56" t="n">
        <v>49</v>
      </c>
      <c r="E2345" s="56" t="n">
        <v>21.4</v>
      </c>
      <c r="F2345" s="56" t="n">
        <v>0</v>
      </c>
      <c r="G2345" s="56" t="n">
        <v>12.1</v>
      </c>
      <c r="H2345" s="56" t="n">
        <v>0</v>
      </c>
      <c r="I2345" s="56" t="n">
        <v>17.6</v>
      </c>
      <c r="J2345" s="56" t="n">
        <v>0</v>
      </c>
      <c r="K2345" s="56" t="n">
        <v>1011.1</v>
      </c>
      <c r="L2345" s="56" t="n">
        <v>0</v>
      </c>
      <c r="M2345" s="56" t="n">
        <v>66</v>
      </c>
      <c r="N2345" s="56" t="n">
        <v>9.1</v>
      </c>
      <c r="O2345" s="56" t="n">
        <f aca="false">IF(D2345=1,"",E2344)</f>
        <v>23</v>
      </c>
      <c r="P2345" s="56" t="n">
        <f aca="false">IF(OR(D2345=1,K2344=""),"",K2344)</f>
        <v>1014.4</v>
      </c>
      <c r="Q2345" s="56" t="n">
        <f aca="false">IF(OR(F2345&lt;&gt;0,AND(I2345&lt;&gt;"",E2345&lt;I2345)),1,0)</f>
        <v>0</v>
      </c>
      <c r="R2345" s="56" t="n">
        <f aca="false">IF(AND(D2345&gt;1,Q2345=0,ISNUMBER(O2345),ISNUMBER(P2345)),IF(Q2344=0,1,0),0)</f>
        <v>1</v>
      </c>
      <c r="S2345" s="56" t="n">
        <f aca="false">R2345*(B2345&gt;=Train_Start)*(B2345&lt;=Train_End)</f>
        <v>1</v>
      </c>
      <c r="T2345" s="84" t="n">
        <f aca="false">IF(AND(ISNUMBER(O2345),ISNUMBER(P2345)),Coef_A+Coef_B1*O2345+Coef_B2*P2345,"")</f>
        <v>22.7533979786957</v>
      </c>
      <c r="U2345" s="84" t="n">
        <f aca="false">IF(AND(R2345=1,ISNUMBER(T2345)),E2345-T2345,"")</f>
        <v>-1.35339797869566</v>
      </c>
      <c r="V2345" s="84" t="n">
        <f aca="false">IF(ISNUMBER(T2345),T2345,-99)</f>
        <v>22.7533979786957</v>
      </c>
      <c r="W2345" s="84" t="n">
        <f aca="false">IF(ISNUMBER(U2345),ABS(U2345),"")</f>
        <v>1.35339797869566</v>
      </c>
    </row>
    <row r="2346" customFormat="false" ht="15" hidden="false" customHeight="false" outlineLevel="0" collapsed="false">
      <c r="A2346" s="57" t="n">
        <v>34504</v>
      </c>
      <c r="B2346" s="56" t="n">
        <v>1994</v>
      </c>
      <c r="C2346" s="56" t="n">
        <v>6</v>
      </c>
      <c r="D2346" s="56" t="n">
        <v>50</v>
      </c>
      <c r="E2346" s="56" t="n">
        <v>18.9</v>
      </c>
      <c r="F2346" s="56" t="n">
        <v>0</v>
      </c>
      <c r="G2346" s="56" t="n">
        <v>12.5</v>
      </c>
      <c r="H2346" s="56" t="n">
        <v>0</v>
      </c>
      <c r="I2346" s="56" t="n">
        <v>17</v>
      </c>
      <c r="J2346" s="56" t="n">
        <v>0</v>
      </c>
      <c r="K2346" s="56" t="n">
        <v>1013.9</v>
      </c>
      <c r="L2346" s="56" t="n">
        <v>0</v>
      </c>
      <c r="M2346" s="56" t="n">
        <v>70</v>
      </c>
      <c r="N2346" s="56" t="n">
        <v>5.5</v>
      </c>
      <c r="O2346" s="56" t="n">
        <f aca="false">IF(D2346=1,"",E2345)</f>
        <v>21.4</v>
      </c>
      <c r="P2346" s="56" t="n">
        <f aca="false">IF(OR(D2346=1,K2345=""),"",K2345)</f>
        <v>1011.1</v>
      </c>
      <c r="Q2346" s="56" t="n">
        <f aca="false">IF(OR(F2346&lt;&gt;0,AND(I2346&lt;&gt;"",E2346&lt;I2346)),1,0)</f>
        <v>0</v>
      </c>
      <c r="R2346" s="56" t="n">
        <f aca="false">IF(AND(D2346&gt;1,Q2346=0,ISNUMBER(O2346),ISNUMBER(P2346)),IF(Q2345=0,1,0),0)</f>
        <v>1</v>
      </c>
      <c r="S2346" s="56" t="n">
        <f aca="false">R2346*(B2346&gt;=Train_Start)*(B2346&lt;=Train_End)</f>
        <v>1</v>
      </c>
      <c r="T2346" s="84" t="n">
        <f aca="false">IF(AND(ISNUMBER(O2346),ISNUMBER(P2346)),Coef_A+Coef_B1*O2346+Coef_B2*P2346,"")</f>
        <v>21.3389346175352</v>
      </c>
      <c r="U2346" s="84" t="n">
        <f aca="false">IF(AND(R2346=1,ISNUMBER(T2346)),E2346-T2346,"")</f>
        <v>-2.43893461753525</v>
      </c>
      <c r="V2346" s="84" t="n">
        <f aca="false">IF(ISNUMBER(T2346),T2346,-99)</f>
        <v>21.3389346175352</v>
      </c>
      <c r="W2346" s="84" t="n">
        <f aca="false">IF(ISNUMBER(U2346),ABS(U2346),"")</f>
        <v>2.43893461753525</v>
      </c>
    </row>
    <row r="2347" customFormat="false" ht="15" hidden="false" customHeight="false" outlineLevel="0" collapsed="false">
      <c r="A2347" s="57" t="n">
        <v>34505</v>
      </c>
      <c r="B2347" s="56" t="n">
        <v>1994</v>
      </c>
      <c r="C2347" s="56" t="n">
        <v>6</v>
      </c>
      <c r="D2347" s="56" t="n">
        <v>51</v>
      </c>
      <c r="E2347" s="56" t="n">
        <v>18.2</v>
      </c>
      <c r="F2347" s="56" t="n">
        <v>0</v>
      </c>
      <c r="G2347" s="56" t="n">
        <v>13.2</v>
      </c>
      <c r="H2347" s="56" t="n">
        <v>0</v>
      </c>
      <c r="I2347" s="56" t="n">
        <v>16</v>
      </c>
      <c r="J2347" s="56" t="n">
        <v>0</v>
      </c>
      <c r="K2347" s="56" t="n">
        <v>1017.1</v>
      </c>
      <c r="L2347" s="56" t="n">
        <v>0</v>
      </c>
      <c r="M2347" s="56" t="n">
        <v>70</v>
      </c>
      <c r="N2347" s="56" t="n">
        <v>0</v>
      </c>
      <c r="O2347" s="56" t="n">
        <f aca="false">IF(D2347=1,"",E2346)</f>
        <v>18.9</v>
      </c>
      <c r="P2347" s="56" t="n">
        <f aca="false">IF(OR(D2347=1,K2346=""),"",K2346)</f>
        <v>1013.9</v>
      </c>
      <c r="Q2347" s="56" t="n">
        <f aca="false">IF(OR(F2347&lt;&gt;0,AND(I2347&lt;&gt;"",E2347&lt;I2347)),1,0)</f>
        <v>0</v>
      </c>
      <c r="R2347" s="56" t="n">
        <f aca="false">IF(AND(D2347&gt;1,Q2347=0,ISNUMBER(O2347),ISNUMBER(P2347)),IF(Q2346=0,1,0),0)</f>
        <v>1</v>
      </c>
      <c r="S2347" s="56" t="n">
        <f aca="false">R2347*(B2347&gt;=Train_Start)*(B2347&lt;=Train_End)</f>
        <v>1</v>
      </c>
      <c r="T2347" s="84" t="n">
        <f aca="false">IF(AND(ISNUMBER(O2347),ISNUMBER(P2347)),Coef_A+Coef_B1*O2347+Coef_B2*P2347,"")</f>
        <v>19.3784223399038</v>
      </c>
      <c r="U2347" s="84" t="n">
        <f aca="false">IF(AND(R2347=1,ISNUMBER(T2347)),E2347-T2347,"")</f>
        <v>-1.17842233990377</v>
      </c>
      <c r="V2347" s="84" t="n">
        <f aca="false">IF(ISNUMBER(T2347),T2347,-99)</f>
        <v>19.3784223399038</v>
      </c>
      <c r="W2347" s="84" t="n">
        <f aca="false">IF(ISNUMBER(U2347),ABS(U2347),"")</f>
        <v>1.17842233990377</v>
      </c>
    </row>
    <row r="2348" customFormat="false" ht="15" hidden="false" customHeight="false" outlineLevel="0" collapsed="false">
      <c r="A2348" s="57" t="n">
        <v>34506</v>
      </c>
      <c r="B2348" s="56" t="n">
        <v>1994</v>
      </c>
      <c r="C2348" s="56" t="n">
        <v>6</v>
      </c>
      <c r="D2348" s="56" t="n">
        <v>52</v>
      </c>
      <c r="E2348" s="56" t="n">
        <v>22</v>
      </c>
      <c r="F2348" s="56" t="n">
        <v>0</v>
      </c>
      <c r="G2348" s="56" t="n">
        <v>13.4</v>
      </c>
      <c r="H2348" s="56" t="n">
        <v>0</v>
      </c>
      <c r="I2348" s="56" t="n">
        <v>15.8</v>
      </c>
      <c r="J2348" s="56" t="n">
        <v>0</v>
      </c>
      <c r="K2348" s="56" t="n">
        <v>1015.6</v>
      </c>
      <c r="L2348" s="56" t="n">
        <v>0</v>
      </c>
      <c r="M2348" s="56" t="n">
        <v>83</v>
      </c>
      <c r="N2348" s="56" t="n">
        <v>0</v>
      </c>
      <c r="O2348" s="56" t="n">
        <f aca="false">IF(D2348=1,"",E2347)</f>
        <v>18.2</v>
      </c>
      <c r="P2348" s="56" t="n">
        <f aca="false">IF(OR(D2348=1,K2347=""),"",K2347)</f>
        <v>1017.1</v>
      </c>
      <c r="Q2348" s="56" t="n">
        <f aca="false">IF(OR(F2348&lt;&gt;0,AND(I2348&lt;&gt;"",E2348&lt;I2348)),1,0)</f>
        <v>0</v>
      </c>
      <c r="R2348" s="56" t="n">
        <f aca="false">IF(AND(D2348&gt;1,Q2348=0,ISNUMBER(O2348),ISNUMBER(P2348)),IF(Q2347=0,1,0),0)</f>
        <v>1</v>
      </c>
      <c r="S2348" s="56" t="n">
        <f aca="false">R2348*(B2348&gt;=Train_Start)*(B2348&lt;=Train_End)</f>
        <v>1</v>
      </c>
      <c r="T2348" s="84" t="n">
        <f aca="false">IF(AND(ISNUMBER(O2348),ISNUMBER(P2348)),Coef_A+Coef_B1*O2348+Coef_B2*P2348,"")</f>
        <v>18.9052685676027</v>
      </c>
      <c r="U2348" s="84" t="n">
        <f aca="false">IF(AND(R2348=1,ISNUMBER(T2348)),E2348-T2348,"")</f>
        <v>3.09473143239732</v>
      </c>
      <c r="V2348" s="84" t="n">
        <f aca="false">IF(ISNUMBER(T2348),T2348,-99)</f>
        <v>18.9052685676027</v>
      </c>
      <c r="W2348" s="84" t="n">
        <f aca="false">IF(ISNUMBER(U2348),ABS(U2348),"")</f>
        <v>3.09473143239732</v>
      </c>
    </row>
    <row r="2349" customFormat="false" ht="15" hidden="false" customHeight="false" outlineLevel="0" collapsed="false">
      <c r="A2349" s="57" t="n">
        <v>34507</v>
      </c>
      <c r="B2349" s="56" t="n">
        <v>1994</v>
      </c>
      <c r="C2349" s="56" t="n">
        <v>6</v>
      </c>
      <c r="D2349" s="56" t="n">
        <v>53</v>
      </c>
      <c r="E2349" s="56" t="n">
        <v>24.1</v>
      </c>
      <c r="F2349" s="56" t="n">
        <v>0</v>
      </c>
      <c r="G2349" s="56" t="n">
        <v>15.2</v>
      </c>
      <c r="H2349" s="56" t="n">
        <v>0</v>
      </c>
      <c r="I2349" s="56" t="n">
        <v>18.6</v>
      </c>
      <c r="J2349" s="56" t="n">
        <v>0</v>
      </c>
      <c r="K2349" s="56" t="n">
        <v>1020.9</v>
      </c>
      <c r="L2349" s="56" t="n">
        <v>0</v>
      </c>
      <c r="M2349" s="56" t="n">
        <v>61</v>
      </c>
      <c r="N2349" s="56" t="n">
        <v>14.1</v>
      </c>
      <c r="O2349" s="56" t="n">
        <f aca="false">IF(D2349=1,"",E2348)</f>
        <v>22</v>
      </c>
      <c r="P2349" s="56" t="n">
        <f aca="false">IF(OR(D2349=1,K2348=""),"",K2348)</f>
        <v>1015.6</v>
      </c>
      <c r="Q2349" s="56" t="n">
        <f aca="false">IF(OR(F2349&lt;&gt;0,AND(I2349&lt;&gt;"",E2349&lt;I2349)),1,0)</f>
        <v>0</v>
      </c>
      <c r="R2349" s="56" t="n">
        <f aca="false">IF(AND(D2349&gt;1,Q2349=0,ISNUMBER(O2349),ISNUMBER(P2349)),IF(Q2348=0,1,0),0)</f>
        <v>1</v>
      </c>
      <c r="S2349" s="56" t="n">
        <f aca="false">R2349*(B2349&gt;=Train_Start)*(B2349&lt;=Train_End)</f>
        <v>1</v>
      </c>
      <c r="T2349" s="84" t="n">
        <f aca="false">IF(AND(ISNUMBER(O2349),ISNUMBER(P2349)),Coef_A+Coef_B1*O2349+Coef_B2*P2349,"")</f>
        <v>21.9717026592138</v>
      </c>
      <c r="U2349" s="84" t="n">
        <f aca="false">IF(AND(R2349=1,ISNUMBER(T2349)),E2349-T2349,"")</f>
        <v>2.12829734078621</v>
      </c>
      <c r="V2349" s="84" t="n">
        <f aca="false">IF(ISNUMBER(T2349),T2349,-99)</f>
        <v>21.9717026592138</v>
      </c>
      <c r="W2349" s="84" t="n">
        <f aca="false">IF(ISNUMBER(U2349),ABS(U2349),"")</f>
        <v>2.12829734078621</v>
      </c>
    </row>
    <row r="2350" customFormat="false" ht="15" hidden="false" customHeight="false" outlineLevel="0" collapsed="false">
      <c r="A2350" s="57" t="n">
        <v>34508</v>
      </c>
      <c r="B2350" s="56" t="n">
        <v>1994</v>
      </c>
      <c r="C2350" s="56" t="n">
        <v>6</v>
      </c>
      <c r="D2350" s="56" t="n">
        <v>54</v>
      </c>
      <c r="E2350" s="56" t="n">
        <v>29.3</v>
      </c>
      <c r="F2350" s="56" t="n">
        <v>0</v>
      </c>
      <c r="G2350" s="56" t="n">
        <v>9.8</v>
      </c>
      <c r="H2350" s="56" t="n">
        <v>0</v>
      </c>
      <c r="I2350" s="56" t="n">
        <v>17</v>
      </c>
      <c r="J2350" s="56" t="n">
        <v>0</v>
      </c>
      <c r="K2350" s="56" t="n">
        <v>1024.4</v>
      </c>
      <c r="L2350" s="56" t="n">
        <v>0</v>
      </c>
      <c r="M2350" s="56" t="n">
        <v>59</v>
      </c>
      <c r="N2350" s="56" t="n">
        <v>15.1</v>
      </c>
      <c r="O2350" s="56" t="n">
        <f aca="false">IF(D2350=1,"",E2349)</f>
        <v>24.1</v>
      </c>
      <c r="P2350" s="56" t="n">
        <f aca="false">IF(OR(D2350=1,K2349=""),"",K2349)</f>
        <v>1020.9</v>
      </c>
      <c r="Q2350" s="56" t="n">
        <f aca="false">IF(OR(F2350&lt;&gt;0,AND(I2350&lt;&gt;"",E2350&lt;I2350)),1,0)</f>
        <v>0</v>
      </c>
      <c r="R2350" s="56" t="n">
        <f aca="false">IF(AND(D2350&gt;1,Q2350=0,ISNUMBER(O2350),ISNUMBER(P2350)),IF(Q2349=0,1,0),0)</f>
        <v>1</v>
      </c>
      <c r="S2350" s="56" t="n">
        <f aca="false">R2350*(B2350&gt;=Train_Start)*(B2350&lt;=Train_End)</f>
        <v>1</v>
      </c>
      <c r="T2350" s="84" t="n">
        <f aca="false">IF(AND(ISNUMBER(O2350),ISNUMBER(P2350)),Coef_A+Coef_B1*O2350+Coef_B2*P2350,"")</f>
        <v>23.8585754061635</v>
      </c>
      <c r="U2350" s="84" t="n">
        <f aca="false">IF(AND(R2350=1,ISNUMBER(T2350)),E2350-T2350,"")</f>
        <v>5.44142459383648</v>
      </c>
      <c r="V2350" s="84" t="n">
        <f aca="false">IF(ISNUMBER(T2350),T2350,-99)</f>
        <v>23.8585754061635</v>
      </c>
      <c r="W2350" s="84" t="n">
        <f aca="false">IF(ISNUMBER(U2350),ABS(U2350),"")</f>
        <v>5.44142459383648</v>
      </c>
    </row>
    <row r="2351" customFormat="false" ht="15" hidden="false" customHeight="false" outlineLevel="0" collapsed="false">
      <c r="A2351" s="57" t="n">
        <v>34509</v>
      </c>
      <c r="B2351" s="56" t="n">
        <v>1994</v>
      </c>
      <c r="C2351" s="56" t="n">
        <v>6</v>
      </c>
      <c r="D2351" s="56" t="n">
        <v>55</v>
      </c>
      <c r="E2351" s="56" t="n">
        <v>22.1</v>
      </c>
      <c r="F2351" s="56" t="n">
        <v>0</v>
      </c>
      <c r="G2351" s="56" t="n">
        <v>14.5</v>
      </c>
      <c r="H2351" s="56" t="n">
        <v>0</v>
      </c>
      <c r="I2351" s="56" t="n">
        <v>21.9</v>
      </c>
      <c r="J2351" s="56" t="n">
        <v>0</v>
      </c>
      <c r="K2351" s="56" t="n">
        <v>1011.6</v>
      </c>
      <c r="L2351" s="56" t="n">
        <v>0</v>
      </c>
      <c r="M2351" s="56" t="n">
        <v>60</v>
      </c>
      <c r="N2351" s="56" t="n">
        <v>11.4</v>
      </c>
      <c r="O2351" s="56" t="n">
        <f aca="false">IF(D2351=1,"",E2350)</f>
        <v>29.3</v>
      </c>
      <c r="P2351" s="56" t="n">
        <f aca="false">IF(OR(D2351=1,K2350=""),"",K2350)</f>
        <v>1024.4</v>
      </c>
      <c r="Q2351" s="56" t="n">
        <f aca="false">IF(OR(F2351&lt;&gt;0,AND(I2351&lt;&gt;"",E2351&lt;I2351)),1,0)</f>
        <v>0</v>
      </c>
      <c r="R2351" s="56" t="n">
        <f aca="false">IF(AND(D2351&gt;1,Q2351=0,ISNUMBER(O2351),ISNUMBER(P2351)),IF(Q2350=0,1,0),0)</f>
        <v>1</v>
      </c>
      <c r="S2351" s="56" t="n">
        <f aca="false">R2351*(B2351&gt;=Train_Start)*(B2351&lt;=Train_End)</f>
        <v>1</v>
      </c>
      <c r="T2351" s="84" t="n">
        <f aca="false">IF(AND(ISNUMBER(O2351),ISNUMBER(P2351)),Coef_A+Coef_B1*O2351+Coef_B2*P2351,"")</f>
        <v>28.2289338412043</v>
      </c>
      <c r="U2351" s="84" t="n">
        <f aca="false">IF(AND(R2351=1,ISNUMBER(T2351)),E2351-T2351,"")</f>
        <v>-6.1289338412043</v>
      </c>
      <c r="V2351" s="84" t="n">
        <f aca="false">IF(ISNUMBER(T2351),T2351,-99)</f>
        <v>28.2289338412043</v>
      </c>
      <c r="W2351" s="84" t="n">
        <f aca="false">IF(ISNUMBER(U2351),ABS(U2351),"")</f>
        <v>6.1289338412043</v>
      </c>
    </row>
    <row r="2352" customFormat="false" ht="15" hidden="false" customHeight="false" outlineLevel="0" collapsed="false">
      <c r="A2352" s="57" t="n">
        <v>34510</v>
      </c>
      <c r="B2352" s="56" t="n">
        <v>1994</v>
      </c>
      <c r="C2352" s="56" t="n">
        <v>6</v>
      </c>
      <c r="D2352" s="56" t="n">
        <v>56</v>
      </c>
      <c r="E2352" s="56" t="n">
        <v>21.2</v>
      </c>
      <c r="F2352" s="56" t="n">
        <v>0</v>
      </c>
      <c r="G2352" s="56" t="n">
        <v>15.5</v>
      </c>
      <c r="H2352" s="56" t="n">
        <v>0</v>
      </c>
      <c r="I2352" s="56" t="n">
        <v>18.8</v>
      </c>
      <c r="J2352" s="56" t="n">
        <v>0</v>
      </c>
      <c r="K2352" s="56" t="n">
        <v>1010.8</v>
      </c>
      <c r="L2352" s="56" t="n">
        <v>0</v>
      </c>
      <c r="M2352" s="56" t="n">
        <v>80</v>
      </c>
      <c r="N2352" s="56" t="n">
        <v>3.5</v>
      </c>
      <c r="O2352" s="56" t="n">
        <f aca="false">IF(D2352=1,"",E2351)</f>
        <v>22.1</v>
      </c>
      <c r="P2352" s="56" t="n">
        <f aca="false">IF(OR(D2352=1,K2351=""),"",K2351)</f>
        <v>1011.6</v>
      </c>
      <c r="Q2352" s="56" t="n">
        <f aca="false">IF(OR(F2352&lt;&gt;0,AND(I2352&lt;&gt;"",E2352&lt;I2352)),1,0)</f>
        <v>0</v>
      </c>
      <c r="R2352" s="56" t="n">
        <f aca="false">IF(AND(D2352&gt;1,Q2352=0,ISNUMBER(O2352),ISNUMBER(P2352)),IF(Q2351=0,1,0),0)</f>
        <v>1</v>
      </c>
      <c r="S2352" s="56" t="n">
        <f aca="false">R2352*(B2352&gt;=Train_Start)*(B2352&lt;=Train_End)</f>
        <v>1</v>
      </c>
      <c r="T2352" s="84" t="n">
        <f aca="false">IF(AND(ISNUMBER(O2352),ISNUMBER(P2352)),Coef_A+Coef_B1*O2352+Coef_B2*P2352,"")</f>
        <v>21.9281569999821</v>
      </c>
      <c r="U2352" s="84" t="n">
        <f aca="false">IF(AND(R2352=1,ISNUMBER(T2352)),E2352-T2352,"")</f>
        <v>-0.728156999982101</v>
      </c>
      <c r="V2352" s="84" t="n">
        <f aca="false">IF(ISNUMBER(T2352),T2352,-99)</f>
        <v>21.9281569999821</v>
      </c>
      <c r="W2352" s="84" t="n">
        <f aca="false">IF(ISNUMBER(U2352),ABS(U2352),"")</f>
        <v>0.728156999982101</v>
      </c>
    </row>
    <row r="2353" customFormat="false" ht="15" hidden="false" customHeight="false" outlineLevel="0" collapsed="false">
      <c r="A2353" s="57" t="n">
        <v>34511</v>
      </c>
      <c r="B2353" s="56" t="n">
        <v>1994</v>
      </c>
      <c r="C2353" s="56" t="n">
        <v>6</v>
      </c>
      <c r="D2353" s="56" t="n">
        <v>57</v>
      </c>
      <c r="E2353" s="56" t="n">
        <v>25.7</v>
      </c>
      <c r="F2353" s="56" t="n">
        <v>0</v>
      </c>
      <c r="G2353" s="56" t="n">
        <v>12</v>
      </c>
      <c r="H2353" s="56" t="n">
        <v>0</v>
      </c>
      <c r="I2353" s="56" t="n">
        <v>16.6</v>
      </c>
      <c r="J2353" s="56" t="n">
        <v>0</v>
      </c>
      <c r="K2353" s="56" t="n">
        <v>1016.9</v>
      </c>
      <c r="L2353" s="56" t="n">
        <v>0</v>
      </c>
      <c r="M2353" s="56" t="n">
        <v>73</v>
      </c>
      <c r="N2353" s="56" t="n">
        <v>6.2</v>
      </c>
      <c r="O2353" s="56" t="n">
        <f aca="false">IF(D2353=1,"",E2352)</f>
        <v>21.2</v>
      </c>
      <c r="P2353" s="56" t="n">
        <f aca="false">IF(OR(D2353=1,K2352=""),"",K2352)</f>
        <v>1010.8</v>
      </c>
      <c r="Q2353" s="56" t="n">
        <f aca="false">IF(OR(F2353&lt;&gt;0,AND(I2353&lt;&gt;"",E2353&lt;I2353)),1,0)</f>
        <v>0</v>
      </c>
      <c r="R2353" s="56" t="n">
        <f aca="false">IF(AND(D2353&gt;1,Q2353=0,ISNUMBER(O2353),ISNUMBER(P2353)),IF(Q2352=0,1,0),0)</f>
        <v>1</v>
      </c>
      <c r="S2353" s="56" t="n">
        <f aca="false">R2353*(B2353&gt;=Train_Start)*(B2353&lt;=Train_End)</f>
        <v>1</v>
      </c>
      <c r="T2353" s="84" t="n">
        <f aca="false">IF(AND(ISNUMBER(O2353),ISNUMBER(P2353)),Coef_A+Coef_B1*O2353+Coef_B2*P2353,"")</f>
        <v>21.1656558105365</v>
      </c>
      <c r="U2353" s="84" t="n">
        <f aca="false">IF(AND(R2353=1,ISNUMBER(T2353)),E2353-T2353,"")</f>
        <v>4.53434418946349</v>
      </c>
      <c r="V2353" s="84" t="n">
        <f aca="false">IF(ISNUMBER(T2353),T2353,-99)</f>
        <v>21.1656558105365</v>
      </c>
      <c r="W2353" s="84" t="n">
        <f aca="false">IF(ISNUMBER(U2353),ABS(U2353),"")</f>
        <v>4.53434418946349</v>
      </c>
    </row>
    <row r="2354" customFormat="false" ht="15" hidden="false" customHeight="false" outlineLevel="0" collapsed="false">
      <c r="A2354" s="57" t="n">
        <v>34512</v>
      </c>
      <c r="B2354" s="56" t="n">
        <v>1994</v>
      </c>
      <c r="C2354" s="56" t="n">
        <v>6</v>
      </c>
      <c r="D2354" s="56" t="n">
        <v>58</v>
      </c>
      <c r="E2354" s="56" t="n">
        <v>28.2</v>
      </c>
      <c r="F2354" s="56" t="n">
        <v>0</v>
      </c>
      <c r="G2354" s="56" t="n">
        <v>13.1</v>
      </c>
      <c r="H2354" s="56" t="n">
        <v>0</v>
      </c>
      <c r="I2354" s="56" t="n">
        <v>19.4</v>
      </c>
      <c r="J2354" s="56" t="n">
        <v>0</v>
      </c>
      <c r="K2354" s="56" t="n">
        <v>1021.4</v>
      </c>
      <c r="L2354" s="56" t="n">
        <v>0</v>
      </c>
      <c r="M2354" s="56" t="n">
        <v>68</v>
      </c>
      <c r="N2354" s="56" t="n">
        <v>10</v>
      </c>
      <c r="O2354" s="56" t="n">
        <f aca="false">IF(D2354=1,"",E2353)</f>
        <v>25.7</v>
      </c>
      <c r="P2354" s="56" t="n">
        <f aca="false">IF(OR(D2354=1,K2353=""),"",K2353)</f>
        <v>1016.9</v>
      </c>
      <c r="Q2354" s="56" t="n">
        <f aca="false">IF(OR(F2354&lt;&gt;0,AND(I2354&lt;&gt;"",E2354&lt;I2354)),1,0)</f>
        <v>0</v>
      </c>
      <c r="R2354" s="56" t="n">
        <f aca="false">IF(AND(D2354&gt;1,Q2354=0,ISNUMBER(O2354),ISNUMBER(P2354)),IF(Q2353=0,1,0),0)</f>
        <v>1</v>
      </c>
      <c r="S2354" s="56" t="n">
        <f aca="false">R2354*(B2354&gt;=Train_Start)*(B2354&lt;=Train_End)</f>
        <v>1</v>
      </c>
      <c r="T2354" s="84" t="n">
        <f aca="false">IF(AND(ISNUMBER(O2354),ISNUMBER(P2354)),Coef_A+Coef_B1*O2354+Coef_B2*P2354,"")</f>
        <v>25.0440385364958</v>
      </c>
      <c r="U2354" s="84" t="n">
        <f aca="false">IF(AND(R2354=1,ISNUMBER(T2354)),E2354-T2354,"")</f>
        <v>3.15596146350419</v>
      </c>
      <c r="V2354" s="84" t="n">
        <f aca="false">IF(ISNUMBER(T2354),T2354,-99)</f>
        <v>25.0440385364958</v>
      </c>
      <c r="W2354" s="84" t="n">
        <f aca="false">IF(ISNUMBER(U2354),ABS(U2354),"")</f>
        <v>3.15596146350419</v>
      </c>
    </row>
    <row r="2355" customFormat="false" ht="15" hidden="false" customHeight="false" outlineLevel="0" collapsed="false">
      <c r="A2355" s="57" t="n">
        <v>34513</v>
      </c>
      <c r="B2355" s="56" t="n">
        <v>1994</v>
      </c>
      <c r="C2355" s="56" t="n">
        <v>6</v>
      </c>
      <c r="D2355" s="56" t="n">
        <v>59</v>
      </c>
      <c r="E2355" s="56" t="n">
        <v>21.9</v>
      </c>
      <c r="F2355" s="56" t="n">
        <v>0</v>
      </c>
      <c r="G2355" s="56" t="n">
        <v>13.2</v>
      </c>
      <c r="H2355" s="56" t="n">
        <v>0</v>
      </c>
      <c r="I2355" s="56" t="n">
        <v>20.7</v>
      </c>
      <c r="J2355" s="56" t="n">
        <v>0</v>
      </c>
      <c r="K2355" s="56" t="n">
        <v>1018.5</v>
      </c>
      <c r="L2355" s="56" t="n">
        <v>0</v>
      </c>
      <c r="M2355" s="56" t="n">
        <v>57</v>
      </c>
      <c r="N2355" s="56" t="n">
        <v>15.5</v>
      </c>
      <c r="O2355" s="56" t="n">
        <f aca="false">IF(D2355=1,"",E2354)</f>
        <v>28.2</v>
      </c>
      <c r="P2355" s="56" t="n">
        <f aca="false">IF(OR(D2355=1,K2354=""),"",K2354)</f>
        <v>1021.4</v>
      </c>
      <c r="Q2355" s="56" t="n">
        <f aca="false">IF(OR(F2355&lt;&gt;0,AND(I2355&lt;&gt;"",E2355&lt;I2355)),1,0)</f>
        <v>0</v>
      </c>
      <c r="R2355" s="56" t="n">
        <f aca="false">IF(AND(D2355&gt;1,Q2355=0,ISNUMBER(O2355),ISNUMBER(P2355)),IF(Q2354=0,1,0),0)</f>
        <v>1</v>
      </c>
      <c r="S2355" s="56" t="n">
        <f aca="false">R2355*(B2355&gt;=Train_Start)*(B2355&lt;=Train_End)</f>
        <v>1</v>
      </c>
      <c r="T2355" s="84" t="n">
        <f aca="false">IF(AND(ISNUMBER(O2355),ISNUMBER(P2355)),Coef_A+Coef_B1*O2355+Coef_B2*P2355,"")</f>
        <v>27.2335510449554</v>
      </c>
      <c r="U2355" s="84" t="n">
        <f aca="false">IF(AND(R2355=1,ISNUMBER(T2355)),E2355-T2355,"")</f>
        <v>-5.33355104495541</v>
      </c>
      <c r="V2355" s="84" t="n">
        <f aca="false">IF(ISNUMBER(T2355),T2355,-99)</f>
        <v>27.2335510449554</v>
      </c>
      <c r="W2355" s="84" t="n">
        <f aca="false">IF(ISNUMBER(U2355),ABS(U2355),"")</f>
        <v>5.33355104495541</v>
      </c>
    </row>
    <row r="2356" customFormat="false" ht="15" hidden="false" customHeight="false" outlineLevel="0" collapsed="false">
      <c r="A2356" s="57" t="n">
        <v>34514</v>
      </c>
      <c r="B2356" s="56" t="n">
        <v>1994</v>
      </c>
      <c r="C2356" s="56" t="n">
        <v>6</v>
      </c>
      <c r="D2356" s="56" t="n">
        <v>60</v>
      </c>
      <c r="E2356" s="56" t="n">
        <v>24.2</v>
      </c>
      <c r="F2356" s="56" t="n">
        <v>0</v>
      </c>
      <c r="G2356" s="56" t="n">
        <v>15.4</v>
      </c>
      <c r="H2356" s="56" t="n">
        <v>0</v>
      </c>
      <c r="I2356" s="56" t="n">
        <v>18.6</v>
      </c>
      <c r="J2356" s="56" t="n">
        <v>0</v>
      </c>
      <c r="K2356" s="56" t="n">
        <v>1020.3</v>
      </c>
      <c r="L2356" s="56" t="n">
        <v>0</v>
      </c>
      <c r="M2356" s="56" t="n">
        <v>55</v>
      </c>
      <c r="N2356" s="56" t="n">
        <v>14.8</v>
      </c>
      <c r="O2356" s="56" t="n">
        <f aca="false">IF(D2356=1,"",E2355)</f>
        <v>21.9</v>
      </c>
      <c r="P2356" s="56" t="n">
        <f aca="false">IF(OR(D2356=1,K2355=""),"",K2355)</f>
        <v>1018.5</v>
      </c>
      <c r="Q2356" s="56" t="n">
        <f aca="false">IF(OR(F2356&lt;&gt;0,AND(I2356&lt;&gt;"",E2356&lt;I2356)),1,0)</f>
        <v>0</v>
      </c>
      <c r="R2356" s="56" t="n">
        <f aca="false">IF(AND(D2356&gt;1,Q2356=0,ISNUMBER(O2356),ISNUMBER(P2356)),IF(Q2355=0,1,0),0)</f>
        <v>1</v>
      </c>
      <c r="S2356" s="56" t="n">
        <f aca="false">R2356*(B2356&gt;=Train_Start)*(B2356&lt;=Train_End)</f>
        <v>1</v>
      </c>
      <c r="T2356" s="84" t="n">
        <f aca="false">IF(AND(ISNUMBER(O2356),ISNUMBER(P2356)),Coef_A+Coef_B1*O2356+Coef_B2*P2356,"")</f>
        <v>21.9807414343481</v>
      </c>
      <c r="U2356" s="84" t="n">
        <f aca="false">IF(AND(R2356=1,ISNUMBER(T2356)),E2356-T2356,"")</f>
        <v>2.2192585656519</v>
      </c>
      <c r="V2356" s="84" t="n">
        <f aca="false">IF(ISNUMBER(T2356),T2356,-99)</f>
        <v>21.9807414343481</v>
      </c>
      <c r="W2356" s="84" t="n">
        <f aca="false">IF(ISNUMBER(U2356),ABS(U2356),"")</f>
        <v>2.2192585656519</v>
      </c>
    </row>
    <row r="2357" customFormat="false" ht="15" hidden="false" customHeight="false" outlineLevel="0" collapsed="false">
      <c r="A2357" s="57" t="n">
        <v>34515</v>
      </c>
      <c r="B2357" s="56" t="n">
        <v>1994</v>
      </c>
      <c r="C2357" s="56" t="n">
        <v>6</v>
      </c>
      <c r="D2357" s="56" t="n">
        <v>61</v>
      </c>
      <c r="E2357" s="56" t="n">
        <v>26.6</v>
      </c>
      <c r="F2357" s="56" t="n">
        <v>0</v>
      </c>
      <c r="G2357" s="56" t="n">
        <v>10.2</v>
      </c>
      <c r="H2357" s="56" t="n">
        <v>0</v>
      </c>
      <c r="I2357" s="56" t="n">
        <v>17.2</v>
      </c>
      <c r="J2357" s="56" t="n">
        <v>0</v>
      </c>
      <c r="K2357" s="56" t="n">
        <v>1024.9</v>
      </c>
      <c r="L2357" s="56" t="n">
        <v>0</v>
      </c>
      <c r="M2357" s="56" t="n">
        <v>59</v>
      </c>
      <c r="N2357" s="56" t="n">
        <v>12.1</v>
      </c>
      <c r="O2357" s="56" t="n">
        <f aca="false">IF(D2357=1,"",E2356)</f>
        <v>24.2</v>
      </c>
      <c r="P2357" s="56" t="n">
        <f aca="false">IF(OR(D2357=1,K2356=""),"",K2356)</f>
        <v>1020.3</v>
      </c>
      <c r="Q2357" s="56" t="n">
        <f aca="false">IF(OR(F2357&lt;&gt;0,AND(I2357&lt;&gt;"",E2357&lt;I2357)),1,0)</f>
        <v>0</v>
      </c>
      <c r="R2357" s="56" t="n">
        <f aca="false">IF(AND(D2357&gt;1,Q2357=0,ISNUMBER(O2357),ISNUMBER(P2357)),IF(Q2356=0,1,0),0)</f>
        <v>1</v>
      </c>
      <c r="S2357" s="56" t="n">
        <f aca="false">R2357*(B2357&gt;=Train_Start)*(B2357&lt;=Train_End)</f>
        <v>1</v>
      </c>
      <c r="T2357" s="84" t="n">
        <f aca="false">IF(AND(ISNUMBER(O2357),ISNUMBER(P2357)),Coef_A+Coef_B1*O2357+Coef_B2*P2357,"")</f>
        <v>23.9216873886874</v>
      </c>
      <c r="U2357" s="84" t="n">
        <f aca="false">IF(AND(R2357=1,ISNUMBER(T2357)),E2357-T2357,"")</f>
        <v>2.67831261131261</v>
      </c>
      <c r="V2357" s="84" t="n">
        <f aca="false">IF(ISNUMBER(T2357),T2357,-99)</f>
        <v>23.9216873886874</v>
      </c>
      <c r="W2357" s="84" t="n">
        <f aca="false">IF(ISNUMBER(U2357),ABS(U2357),"")</f>
        <v>2.67831261131261</v>
      </c>
    </row>
    <row r="2358" customFormat="false" ht="15" hidden="false" customHeight="false" outlineLevel="0" collapsed="false">
      <c r="A2358" s="57" t="n">
        <v>34516</v>
      </c>
      <c r="B2358" s="56" t="n">
        <v>1994</v>
      </c>
      <c r="C2358" s="56" t="n">
        <v>7</v>
      </c>
      <c r="D2358" s="56" t="n">
        <v>62</v>
      </c>
      <c r="E2358" s="56" t="n">
        <v>27.6</v>
      </c>
      <c r="F2358" s="56" t="n">
        <v>0</v>
      </c>
      <c r="G2358" s="56" t="n">
        <v>12.8</v>
      </c>
      <c r="H2358" s="56" t="n">
        <v>0</v>
      </c>
      <c r="I2358" s="56" t="n">
        <v>19.7</v>
      </c>
      <c r="J2358" s="56" t="n">
        <v>0</v>
      </c>
      <c r="K2358" s="56" t="n">
        <v>1018.3</v>
      </c>
      <c r="L2358" s="56" t="n">
        <v>0</v>
      </c>
      <c r="M2358" s="56" t="n">
        <v>63</v>
      </c>
      <c r="N2358" s="56" t="n">
        <v>10.7</v>
      </c>
      <c r="O2358" s="56" t="n">
        <f aca="false">IF(D2358=1,"",E2357)</f>
        <v>26.6</v>
      </c>
      <c r="P2358" s="56" t="n">
        <f aca="false">IF(OR(D2358=1,K2357=""),"",K2357)</f>
        <v>1024.9</v>
      </c>
      <c r="Q2358" s="56" t="n">
        <f aca="false">IF(OR(F2358&lt;&gt;0,AND(I2358&lt;&gt;"",E2358&lt;I2358)),1,0)</f>
        <v>0</v>
      </c>
      <c r="R2358" s="56" t="n">
        <f aca="false">IF(AND(D2358&gt;1,Q2358=0,ISNUMBER(O2358),ISNUMBER(P2358)),IF(Q2357=0,1,0),0)</f>
        <v>1</v>
      </c>
      <c r="S2358" s="56" t="n">
        <f aca="false">R2358*(B2358&gt;=Train_Start)*(B2358&lt;=Train_End)</f>
        <v>1</v>
      </c>
      <c r="T2358" s="84" t="n">
        <f aca="false">IF(AND(ISNUMBER(O2358),ISNUMBER(P2358)),Coef_A+Coef_B1*O2358+Coef_B2*P2358,"")</f>
        <v>26.0324029673061</v>
      </c>
      <c r="U2358" s="84" t="n">
        <f aca="false">IF(AND(R2358=1,ISNUMBER(T2358)),E2358-T2358,"")</f>
        <v>1.56759703269388</v>
      </c>
      <c r="V2358" s="84" t="n">
        <f aca="false">IF(ISNUMBER(T2358),T2358,-99)</f>
        <v>26.0324029673061</v>
      </c>
      <c r="W2358" s="84" t="n">
        <f aca="false">IF(ISNUMBER(U2358),ABS(U2358),"")</f>
        <v>1.56759703269388</v>
      </c>
    </row>
    <row r="2359" customFormat="false" ht="15" hidden="false" customHeight="false" outlineLevel="0" collapsed="false">
      <c r="A2359" s="57" t="n">
        <v>34517</v>
      </c>
      <c r="B2359" s="56" t="n">
        <v>1994</v>
      </c>
      <c r="C2359" s="56" t="n">
        <v>7</v>
      </c>
      <c r="D2359" s="56" t="n">
        <v>63</v>
      </c>
      <c r="E2359" s="56" t="n">
        <v>28</v>
      </c>
      <c r="F2359" s="56" t="n">
        <v>0</v>
      </c>
      <c r="G2359" s="56" t="n">
        <v>18.2</v>
      </c>
      <c r="H2359" s="56" t="n">
        <v>0</v>
      </c>
      <c r="I2359" s="56" t="n">
        <v>22.9</v>
      </c>
      <c r="J2359" s="56" t="n">
        <v>0</v>
      </c>
      <c r="K2359" s="56" t="n">
        <v>1013.6</v>
      </c>
      <c r="L2359" s="56" t="n">
        <v>0</v>
      </c>
      <c r="M2359" s="56" t="n">
        <v>72</v>
      </c>
      <c r="N2359" s="56" t="n">
        <v>4.7</v>
      </c>
      <c r="O2359" s="56" t="n">
        <f aca="false">IF(D2359=1,"",E2358)</f>
        <v>27.6</v>
      </c>
      <c r="P2359" s="56" t="n">
        <f aca="false">IF(OR(D2359=1,K2358=""),"",K2358)</f>
        <v>1018.3</v>
      </c>
      <c r="Q2359" s="56" t="n">
        <f aca="false">IF(OR(F2359&lt;&gt;0,AND(I2359&lt;&gt;"",E2359&lt;I2359)),1,0)</f>
        <v>0</v>
      </c>
      <c r="R2359" s="56" t="n">
        <f aca="false">IF(AND(D2359&gt;1,Q2359=0,ISNUMBER(O2359),ISNUMBER(P2359)),IF(Q2358=0,1,0),0)</f>
        <v>1</v>
      </c>
      <c r="S2359" s="56" t="n">
        <f aca="false">R2359*(B2359&gt;=Train_Start)*(B2359&lt;=Train_End)</f>
        <v>1</v>
      </c>
      <c r="T2359" s="84" t="n">
        <f aca="false">IF(AND(ISNUMBER(O2359),ISNUMBER(P2359)),Coef_A+Coef_B1*O2359+Coef_B2*P2359,"")</f>
        <v>26.6447008557644</v>
      </c>
      <c r="U2359" s="84" t="n">
        <f aca="false">IF(AND(R2359=1,ISNUMBER(T2359)),E2359-T2359,"")</f>
        <v>1.35529914423555</v>
      </c>
      <c r="V2359" s="84" t="n">
        <f aca="false">IF(ISNUMBER(T2359),T2359,-99)</f>
        <v>26.6447008557644</v>
      </c>
      <c r="W2359" s="84" t="n">
        <f aca="false">IF(ISNUMBER(U2359),ABS(U2359),"")</f>
        <v>1.35529914423555</v>
      </c>
    </row>
    <row r="2360" customFormat="false" ht="15" hidden="false" customHeight="false" outlineLevel="0" collapsed="false">
      <c r="A2360" s="57" t="n">
        <v>34518</v>
      </c>
      <c r="B2360" s="56" t="n">
        <v>1994</v>
      </c>
      <c r="C2360" s="56" t="n">
        <v>7</v>
      </c>
      <c r="D2360" s="56" t="n">
        <v>64</v>
      </c>
      <c r="E2360" s="56" t="n">
        <v>24.4</v>
      </c>
      <c r="F2360" s="56" t="n">
        <v>0</v>
      </c>
      <c r="G2360" s="56" t="n">
        <v>14.8</v>
      </c>
      <c r="H2360" s="56" t="n">
        <v>0</v>
      </c>
      <c r="I2360" s="56" t="n">
        <v>21.4</v>
      </c>
      <c r="J2360" s="56" t="n">
        <v>0</v>
      </c>
      <c r="K2360" s="56" t="n">
        <v>1014.6</v>
      </c>
      <c r="L2360" s="56" t="n">
        <v>0</v>
      </c>
      <c r="M2360" s="56" t="n">
        <v>64</v>
      </c>
      <c r="N2360" s="56" t="n">
        <v>9.8</v>
      </c>
      <c r="O2360" s="56" t="n">
        <f aca="false">IF(D2360=1,"",E2359)</f>
        <v>28</v>
      </c>
      <c r="P2360" s="56" t="n">
        <f aca="false">IF(OR(D2360=1,K2359=""),"",K2359)</f>
        <v>1013.6</v>
      </c>
      <c r="Q2360" s="56" t="n">
        <f aca="false">IF(OR(F2360&lt;&gt;0,AND(I2360&lt;&gt;"",E2360&lt;I2360)),1,0)</f>
        <v>0</v>
      </c>
      <c r="R2360" s="56" t="n">
        <f aca="false">IF(AND(D2360&gt;1,Q2360=0,ISNUMBER(O2360),ISNUMBER(P2360)),IF(Q2359=0,1,0),0)</f>
        <v>1</v>
      </c>
      <c r="S2360" s="56" t="n">
        <f aca="false">R2360*(B2360&gt;=Train_Start)*(B2360&lt;=Train_End)</f>
        <v>1</v>
      </c>
      <c r="T2360" s="84" t="n">
        <f aca="false">IF(AND(ISNUMBER(O2360),ISNUMBER(P2360)),Coef_A+Coef_B1*O2360+Coef_B2*P2360,"")</f>
        <v>26.8249980282018</v>
      </c>
      <c r="U2360" s="84" t="n">
        <f aca="false">IF(AND(R2360=1,ISNUMBER(T2360)),E2360-T2360,"")</f>
        <v>-2.42499802820176</v>
      </c>
      <c r="V2360" s="84" t="n">
        <f aca="false">IF(ISNUMBER(T2360),T2360,-99)</f>
        <v>26.8249980282018</v>
      </c>
      <c r="W2360" s="84" t="n">
        <f aca="false">IF(ISNUMBER(U2360),ABS(U2360),"")</f>
        <v>2.42499802820176</v>
      </c>
    </row>
    <row r="2361" customFormat="false" ht="15" hidden="false" customHeight="false" outlineLevel="0" collapsed="false">
      <c r="A2361" s="57" t="n">
        <v>34519</v>
      </c>
      <c r="B2361" s="56" t="n">
        <v>1994</v>
      </c>
      <c r="C2361" s="56" t="n">
        <v>7</v>
      </c>
      <c r="D2361" s="56" t="n">
        <v>65</v>
      </c>
      <c r="E2361" s="56" t="n">
        <v>22.5</v>
      </c>
      <c r="F2361" s="56" t="n">
        <v>0</v>
      </c>
      <c r="G2361" s="56" t="n">
        <v>16.7</v>
      </c>
      <c r="H2361" s="56" t="n">
        <v>0</v>
      </c>
      <c r="I2361" s="56" t="n">
        <v>20.6</v>
      </c>
      <c r="J2361" s="56" t="n">
        <v>0</v>
      </c>
      <c r="K2361" s="56" t="n">
        <v>1013.7</v>
      </c>
      <c r="L2361" s="56" t="n">
        <v>0</v>
      </c>
      <c r="M2361" s="56" t="n">
        <v>74</v>
      </c>
      <c r="N2361" s="56" t="n">
        <v>7</v>
      </c>
      <c r="O2361" s="56" t="n">
        <f aca="false">IF(D2361=1,"",E2360)</f>
        <v>24.4</v>
      </c>
      <c r="P2361" s="56" t="n">
        <f aca="false">IF(OR(D2361=1,K2360=""),"",K2360)</f>
        <v>1014.6</v>
      </c>
      <c r="Q2361" s="56" t="n">
        <f aca="false">IF(OR(F2361&lt;&gt;0,AND(I2361&lt;&gt;"",E2361&lt;I2361)),1,0)</f>
        <v>0</v>
      </c>
      <c r="R2361" s="56" t="n">
        <f aca="false">IF(AND(D2361&gt;1,Q2361=0,ISNUMBER(O2361),ISNUMBER(P2361)),IF(Q2360=0,1,0),0)</f>
        <v>1</v>
      </c>
      <c r="S2361" s="56" t="n">
        <f aca="false">R2361*(B2361&gt;=Train_Start)*(B2361&lt;=Train_End)</f>
        <v>1</v>
      </c>
      <c r="T2361" s="84" t="n">
        <f aca="false">IF(AND(ISNUMBER(O2361),ISNUMBER(P2361)),Coef_A+Coef_B1*O2361+Coef_B2*P2361,"")</f>
        <v>23.9067468278822</v>
      </c>
      <c r="U2361" s="84" t="n">
        <f aca="false">IF(AND(R2361=1,ISNUMBER(T2361)),E2361-T2361,"")</f>
        <v>-1.40674682788218</v>
      </c>
      <c r="V2361" s="84" t="n">
        <f aca="false">IF(ISNUMBER(T2361),T2361,-99)</f>
        <v>23.9067468278822</v>
      </c>
      <c r="W2361" s="84" t="n">
        <f aca="false">IF(ISNUMBER(U2361),ABS(U2361),"")</f>
        <v>1.40674682788218</v>
      </c>
    </row>
    <row r="2362" customFormat="false" ht="15" hidden="false" customHeight="false" outlineLevel="0" collapsed="false">
      <c r="A2362" s="57" t="n">
        <v>34520</v>
      </c>
      <c r="B2362" s="56" t="n">
        <v>1994</v>
      </c>
      <c r="C2362" s="56" t="n">
        <v>7</v>
      </c>
      <c r="D2362" s="56" t="n">
        <v>66</v>
      </c>
      <c r="E2362" s="56" t="n">
        <v>21.4</v>
      </c>
      <c r="F2362" s="56" t="n">
        <v>0</v>
      </c>
      <c r="G2362" s="56" t="n">
        <v>12.1</v>
      </c>
      <c r="H2362" s="56" t="n">
        <v>0</v>
      </c>
      <c r="I2362" s="56" t="n">
        <v>17.3</v>
      </c>
      <c r="J2362" s="56" t="n">
        <v>0</v>
      </c>
      <c r="K2362" s="56" t="n">
        <v>1018.7</v>
      </c>
      <c r="L2362" s="56" t="n">
        <v>0</v>
      </c>
      <c r="M2362" s="56" t="n">
        <v>69</v>
      </c>
      <c r="N2362" s="56" t="n">
        <v>7.4</v>
      </c>
      <c r="O2362" s="56" t="n">
        <f aca="false">IF(D2362=1,"",E2361)</f>
        <v>22.5</v>
      </c>
      <c r="P2362" s="56" t="n">
        <f aca="false">IF(OR(D2362=1,K2361=""),"",K2361)</f>
        <v>1013.7</v>
      </c>
      <c r="Q2362" s="56" t="n">
        <f aca="false">IF(OR(F2362&lt;&gt;0,AND(I2362&lt;&gt;"",E2362&lt;I2362)),1,0)</f>
        <v>0</v>
      </c>
      <c r="R2362" s="56" t="n">
        <f aca="false">IF(AND(D2362&gt;1,Q2362=0,ISNUMBER(O2362),ISNUMBER(P2362)),IF(Q2361=0,1,0),0)</f>
        <v>1</v>
      </c>
      <c r="S2362" s="56" t="n">
        <f aca="false">R2362*(B2362&gt;=Train_Start)*(B2362&lt;=Train_End)</f>
        <v>1</v>
      </c>
      <c r="T2362" s="84" t="n">
        <f aca="false">IF(AND(ISNUMBER(O2362),ISNUMBER(P2362)),Coef_A+Coef_B1*O2362+Coef_B2*P2362,"")</f>
        <v>22.3217694559305</v>
      </c>
      <c r="U2362" s="84" t="n">
        <f aca="false">IF(AND(R2362=1,ISNUMBER(T2362)),E2362-T2362,"")</f>
        <v>-0.921769455930544</v>
      </c>
      <c r="V2362" s="84" t="n">
        <f aca="false">IF(ISNUMBER(T2362),T2362,-99)</f>
        <v>22.3217694559305</v>
      </c>
      <c r="W2362" s="84" t="n">
        <f aca="false">IF(ISNUMBER(U2362),ABS(U2362),"")</f>
        <v>0.921769455930544</v>
      </c>
    </row>
    <row r="2363" customFormat="false" ht="15" hidden="false" customHeight="false" outlineLevel="0" collapsed="false">
      <c r="A2363" s="57" t="n">
        <v>34521</v>
      </c>
      <c r="B2363" s="56" t="n">
        <v>1994</v>
      </c>
      <c r="C2363" s="56" t="n">
        <v>7</v>
      </c>
      <c r="D2363" s="56" t="n">
        <v>67</v>
      </c>
      <c r="E2363" s="56" t="n">
        <v>22.4</v>
      </c>
      <c r="F2363" s="56" t="n">
        <v>0</v>
      </c>
      <c r="G2363" s="56" t="n">
        <v>12.3</v>
      </c>
      <c r="H2363" s="56" t="n">
        <v>0</v>
      </c>
      <c r="I2363" s="56" t="n">
        <v>16.8</v>
      </c>
      <c r="J2363" s="56" t="n">
        <v>0</v>
      </c>
      <c r="K2363" s="56" t="n">
        <v>1016.8</v>
      </c>
      <c r="L2363" s="56" t="n">
        <v>0</v>
      </c>
      <c r="M2363" s="56" t="n">
        <v>77</v>
      </c>
      <c r="N2363" s="56" t="n">
        <v>3.3</v>
      </c>
      <c r="O2363" s="56" t="n">
        <f aca="false">IF(D2363=1,"",E2362)</f>
        <v>21.4</v>
      </c>
      <c r="P2363" s="56" t="n">
        <f aca="false">IF(OR(D2363=1,K2362=""),"",K2362)</f>
        <v>1018.7</v>
      </c>
      <c r="Q2363" s="56" t="n">
        <f aca="false">IF(OR(F2363&lt;&gt;0,AND(I2363&lt;&gt;"",E2363&lt;I2363)),1,0)</f>
        <v>0</v>
      </c>
      <c r="R2363" s="56" t="n">
        <f aca="false">IF(AND(D2363&gt;1,Q2363=0,ISNUMBER(O2363),ISNUMBER(P2363)),IF(Q2362=0,1,0),0)</f>
        <v>1</v>
      </c>
      <c r="S2363" s="56" t="n">
        <f aca="false">R2363*(B2363&gt;=Train_Start)*(B2363&lt;=Train_End)</f>
        <v>1</v>
      </c>
      <c r="T2363" s="84" t="n">
        <f aca="false">IF(AND(ISNUMBER(O2363),ISNUMBER(P2363)),Coef_A+Coef_B1*O2363+Coef_B2*P2363,"")</f>
        <v>21.5773458167536</v>
      </c>
      <c r="U2363" s="84" t="n">
        <f aca="false">IF(AND(R2363=1,ISNUMBER(T2363)),E2363-T2363,"")</f>
        <v>0.822654183246431</v>
      </c>
      <c r="V2363" s="84" t="n">
        <f aca="false">IF(ISNUMBER(T2363),T2363,-99)</f>
        <v>21.5773458167536</v>
      </c>
      <c r="W2363" s="84" t="n">
        <f aca="false">IF(ISNUMBER(U2363),ABS(U2363),"")</f>
        <v>0.822654183246431</v>
      </c>
    </row>
    <row r="2364" customFormat="false" ht="15" hidden="false" customHeight="false" outlineLevel="0" collapsed="false">
      <c r="A2364" s="57" t="n">
        <v>34522</v>
      </c>
      <c r="B2364" s="56" t="n">
        <v>1994</v>
      </c>
      <c r="C2364" s="56" t="n">
        <v>7</v>
      </c>
      <c r="D2364" s="56" t="n">
        <v>68</v>
      </c>
      <c r="E2364" s="56" t="n">
        <v>18.3</v>
      </c>
      <c r="F2364" s="56" t="n">
        <v>0</v>
      </c>
      <c r="G2364" s="56" t="n">
        <v>11.9</v>
      </c>
      <c r="H2364" s="56" t="n">
        <v>0</v>
      </c>
      <c r="I2364" s="56" t="n">
        <v>17.2</v>
      </c>
      <c r="J2364" s="56" t="n">
        <v>0</v>
      </c>
      <c r="K2364" s="56" t="n">
        <v>1016.5</v>
      </c>
      <c r="L2364" s="56" t="n">
        <v>0</v>
      </c>
      <c r="M2364" s="56" t="n">
        <v>70</v>
      </c>
      <c r="N2364" s="56" t="n">
        <v>11.2</v>
      </c>
      <c r="O2364" s="56" t="n">
        <f aca="false">IF(D2364=1,"",E2363)</f>
        <v>22.4</v>
      </c>
      <c r="P2364" s="56" t="n">
        <f aca="false">IF(OR(D2364=1,K2363=""),"",K2363)</f>
        <v>1016.8</v>
      </c>
      <c r="Q2364" s="56" t="n">
        <f aca="false">IF(OR(F2364&lt;&gt;0,AND(I2364&lt;&gt;"",E2364&lt;I2364)),1,0)</f>
        <v>0</v>
      </c>
      <c r="R2364" s="56" t="n">
        <f aca="false">IF(AND(D2364&gt;1,Q2364=0,ISNUMBER(O2364),ISNUMBER(P2364)),IF(Q2363=0,1,0),0)</f>
        <v>1</v>
      </c>
      <c r="S2364" s="56" t="n">
        <f aca="false">R2364*(B2364&gt;=Train_Start)*(B2364&lt;=Train_End)</f>
        <v>1</v>
      </c>
      <c r="T2364" s="84" t="n">
        <f aca="false">IF(AND(ISNUMBER(O2364),ISNUMBER(P2364)),Coef_A+Coef_B1*O2364+Coef_B2*P2364,"")</f>
        <v>22.3370822099916</v>
      </c>
      <c r="U2364" s="84" t="n">
        <f aca="false">IF(AND(R2364=1,ISNUMBER(T2364)),E2364-T2364,"")</f>
        <v>-4.03708220999164</v>
      </c>
      <c r="V2364" s="84" t="n">
        <f aca="false">IF(ISNUMBER(T2364),T2364,-99)</f>
        <v>22.3370822099916</v>
      </c>
      <c r="W2364" s="84" t="n">
        <f aca="false">IF(ISNUMBER(U2364),ABS(U2364),"")</f>
        <v>4.03708220999164</v>
      </c>
    </row>
    <row r="2365" customFormat="false" ht="15" hidden="false" customHeight="false" outlineLevel="0" collapsed="false">
      <c r="A2365" s="57" t="n">
        <v>34523</v>
      </c>
      <c r="B2365" s="56" t="n">
        <v>1994</v>
      </c>
      <c r="C2365" s="56" t="n">
        <v>7</v>
      </c>
      <c r="D2365" s="56" t="n">
        <v>69</v>
      </c>
      <c r="E2365" s="56" t="n">
        <v>25</v>
      </c>
      <c r="F2365" s="56" t="n">
        <v>0</v>
      </c>
      <c r="G2365" s="56" t="n">
        <v>14</v>
      </c>
      <c r="H2365" s="56" t="n">
        <v>0</v>
      </c>
      <c r="I2365" s="56" t="n">
        <v>16.2</v>
      </c>
      <c r="J2365" s="56" t="n">
        <v>0</v>
      </c>
      <c r="K2365" s="56" t="n">
        <v>1016.1</v>
      </c>
      <c r="L2365" s="56" t="n">
        <v>0</v>
      </c>
      <c r="M2365" s="56" t="n">
        <v>87</v>
      </c>
      <c r="N2365" s="56" t="n">
        <v>0</v>
      </c>
      <c r="O2365" s="56" t="n">
        <f aca="false">IF(D2365=1,"",E2364)</f>
        <v>18.3</v>
      </c>
      <c r="P2365" s="56" t="n">
        <f aca="false">IF(OR(D2365=1,K2364=""),"",K2364)</f>
        <v>1016.5</v>
      </c>
      <c r="Q2365" s="56" t="n">
        <f aca="false">IF(OR(F2365&lt;&gt;0,AND(I2365&lt;&gt;"",E2365&lt;I2365)),1,0)</f>
        <v>0</v>
      </c>
      <c r="R2365" s="56" t="n">
        <f aca="false">IF(AND(D2365&gt;1,Q2365=0,ISNUMBER(O2365),ISNUMBER(P2365)),IF(Q2364=0,1,0),0)</f>
        <v>1</v>
      </c>
      <c r="S2365" s="56" t="n">
        <f aca="false">R2365*(B2365&gt;=Train_Start)*(B2365&lt;=Train_End)</f>
        <v>1</v>
      </c>
      <c r="T2365" s="84" t="n">
        <f aca="false">IF(AND(ISNUMBER(O2365),ISNUMBER(P2365)),Coef_A+Coef_B1*O2365+Coef_B2*P2365,"")</f>
        <v>18.9683805501266</v>
      </c>
      <c r="U2365" s="84" t="n">
        <f aca="false">IF(AND(R2365=1,ISNUMBER(T2365)),E2365-T2365,"")</f>
        <v>6.03161944987345</v>
      </c>
      <c r="V2365" s="84" t="n">
        <f aca="false">IF(ISNUMBER(T2365),T2365,-99)</f>
        <v>18.9683805501266</v>
      </c>
      <c r="W2365" s="84" t="n">
        <f aca="false">IF(ISNUMBER(U2365),ABS(U2365),"")</f>
        <v>6.03161944987345</v>
      </c>
    </row>
    <row r="2366" customFormat="false" ht="15" hidden="false" customHeight="false" outlineLevel="0" collapsed="false">
      <c r="A2366" s="57" t="n">
        <v>34524</v>
      </c>
      <c r="B2366" s="56" t="n">
        <v>1994</v>
      </c>
      <c r="C2366" s="56" t="n">
        <v>7</v>
      </c>
      <c r="D2366" s="56" t="n">
        <v>70</v>
      </c>
      <c r="E2366" s="56" t="n">
        <v>26.6</v>
      </c>
      <c r="F2366" s="56" t="n">
        <v>0</v>
      </c>
      <c r="G2366" s="56" t="n">
        <v>14</v>
      </c>
      <c r="H2366" s="56" t="n">
        <v>0</v>
      </c>
      <c r="I2366" s="56" t="n">
        <v>19.5</v>
      </c>
      <c r="J2366" s="56" t="n">
        <v>0</v>
      </c>
      <c r="K2366" s="56" t="n">
        <v>1020.4</v>
      </c>
      <c r="L2366" s="56" t="n">
        <v>0</v>
      </c>
      <c r="M2366" s="56" t="n">
        <v>74</v>
      </c>
      <c r="N2366" s="56" t="n">
        <v>10.1</v>
      </c>
      <c r="O2366" s="56" t="n">
        <f aca="false">IF(D2366=1,"",E2365)</f>
        <v>25</v>
      </c>
      <c r="P2366" s="56" t="n">
        <f aca="false">IF(OR(D2366=1,K2365=""),"",K2365)</f>
        <v>1016.1</v>
      </c>
      <c r="Q2366" s="56" t="n">
        <f aca="false">IF(OR(F2366&lt;&gt;0,AND(I2366&lt;&gt;"",E2366&lt;I2366)),1,0)</f>
        <v>0</v>
      </c>
      <c r="R2366" s="56" t="n">
        <f aca="false">IF(AND(D2366&gt;1,Q2366=0,ISNUMBER(O2366),ISNUMBER(P2366)),IF(Q2365=0,1,0),0)</f>
        <v>1</v>
      </c>
      <c r="S2366" s="56" t="n">
        <f aca="false">R2366*(B2366&gt;=Train_Start)*(B2366&lt;=Train_End)</f>
        <v>1</v>
      </c>
      <c r="T2366" s="84" t="n">
        <f aca="false">IF(AND(ISNUMBER(O2366),ISNUMBER(P2366)),Coef_A+Coef_B1*O2366+Coef_B2*P2366,"")</f>
        <v>24.4454051856588</v>
      </c>
      <c r="U2366" s="84" t="n">
        <f aca="false">IF(AND(R2366=1,ISNUMBER(T2366)),E2366-T2366,"")</f>
        <v>2.15459481434124</v>
      </c>
      <c r="V2366" s="84" t="n">
        <f aca="false">IF(ISNUMBER(T2366),T2366,-99)</f>
        <v>24.4454051856588</v>
      </c>
      <c r="W2366" s="84" t="n">
        <f aca="false">IF(ISNUMBER(U2366),ABS(U2366),"")</f>
        <v>2.15459481434124</v>
      </c>
    </row>
    <row r="2367" customFormat="false" ht="15" hidden="false" customHeight="false" outlineLevel="0" collapsed="false">
      <c r="A2367" s="57" t="n">
        <v>34525</v>
      </c>
      <c r="B2367" s="56" t="n">
        <v>1994</v>
      </c>
      <c r="C2367" s="56" t="n">
        <v>7</v>
      </c>
      <c r="D2367" s="56" t="n">
        <v>71</v>
      </c>
      <c r="E2367" s="56" t="n">
        <v>30.4</v>
      </c>
      <c r="F2367" s="56" t="n">
        <v>0</v>
      </c>
      <c r="G2367" s="56" t="n">
        <v>12.2</v>
      </c>
      <c r="H2367" s="56" t="n">
        <v>0</v>
      </c>
      <c r="I2367" s="56" t="n">
        <v>19.4</v>
      </c>
      <c r="J2367" s="56" t="n">
        <v>0</v>
      </c>
      <c r="K2367" s="56" t="n">
        <v>1021.8</v>
      </c>
      <c r="L2367" s="56" t="n">
        <v>0</v>
      </c>
      <c r="M2367" s="56" t="n">
        <v>64</v>
      </c>
      <c r="N2367" s="56" t="n">
        <v>14.7</v>
      </c>
      <c r="O2367" s="56" t="n">
        <f aca="false">IF(D2367=1,"",E2366)</f>
        <v>26.6</v>
      </c>
      <c r="P2367" s="56" t="n">
        <f aca="false">IF(OR(D2367=1,K2366=""),"",K2366)</f>
        <v>1020.4</v>
      </c>
      <c r="Q2367" s="56" t="n">
        <f aca="false">IF(OR(F2367&lt;&gt;0,AND(I2367&lt;&gt;"",E2367&lt;I2367)),1,0)</f>
        <v>0</v>
      </c>
      <c r="R2367" s="56" t="n">
        <f aca="false">IF(AND(D2367&gt;1,Q2367=0,ISNUMBER(O2367),ISNUMBER(P2367)),IF(Q2366=0,1,0),0)</f>
        <v>1</v>
      </c>
      <c r="S2367" s="56" t="n">
        <f aca="false">R2367*(B2367&gt;=Train_Start)*(B2367&lt;=Train_End)</f>
        <v>1</v>
      </c>
      <c r="T2367" s="84" t="n">
        <f aca="false">IF(AND(ISNUMBER(O2367),ISNUMBER(P2367)),Coef_A+Coef_B1*O2367+Coef_B2*P2367,"")</f>
        <v>25.8912384414532</v>
      </c>
      <c r="U2367" s="84" t="n">
        <f aca="false">IF(AND(R2367=1,ISNUMBER(T2367)),E2367-T2367,"")</f>
        <v>4.50876155854683</v>
      </c>
      <c r="V2367" s="84" t="n">
        <f aca="false">IF(ISNUMBER(T2367),T2367,-99)</f>
        <v>25.8912384414532</v>
      </c>
      <c r="W2367" s="84" t="n">
        <f aca="false">IF(ISNUMBER(U2367),ABS(U2367),"")</f>
        <v>4.50876155854683</v>
      </c>
    </row>
    <row r="2368" customFormat="false" ht="15" hidden="false" customHeight="false" outlineLevel="0" collapsed="false">
      <c r="A2368" s="57" t="n">
        <v>34526</v>
      </c>
      <c r="B2368" s="56" t="n">
        <v>1994</v>
      </c>
      <c r="C2368" s="56" t="n">
        <v>7</v>
      </c>
      <c r="D2368" s="56" t="n">
        <v>72</v>
      </c>
      <c r="E2368" s="56" t="n">
        <v>33.1</v>
      </c>
      <c r="F2368" s="56" t="n">
        <v>0</v>
      </c>
      <c r="G2368" s="56" t="n">
        <v>13.3</v>
      </c>
      <c r="H2368" s="56" t="n">
        <v>0</v>
      </c>
      <c r="I2368" s="56" t="n">
        <v>21.8</v>
      </c>
      <c r="J2368" s="56" t="n">
        <v>0</v>
      </c>
      <c r="K2368" s="56" t="n">
        <v>1020.3</v>
      </c>
      <c r="L2368" s="56" t="n">
        <v>0</v>
      </c>
      <c r="M2368" s="56" t="n">
        <v>58</v>
      </c>
      <c r="N2368" s="56" t="n">
        <v>15</v>
      </c>
      <c r="O2368" s="56" t="n">
        <f aca="false">IF(D2368=1,"",E2367)</f>
        <v>30.4</v>
      </c>
      <c r="P2368" s="56" t="n">
        <f aca="false">IF(OR(D2368=1,K2367=""),"",K2367)</f>
        <v>1021.8</v>
      </c>
      <c r="Q2368" s="56" t="n">
        <f aca="false">IF(OR(F2368&lt;&gt;0,AND(I2368&lt;&gt;"",E2368&lt;I2368)),1,0)</f>
        <v>0</v>
      </c>
      <c r="R2368" s="56" t="n">
        <f aca="false">IF(AND(D2368&gt;1,Q2368=0,ISNUMBER(O2368),ISNUMBER(P2368)),IF(Q2367=0,1,0),0)</f>
        <v>1</v>
      </c>
      <c r="S2368" s="56" t="n">
        <f aca="false">R2368*(B2368&gt;=Train_Start)*(B2368&lt;=Train_End)</f>
        <v>1</v>
      </c>
      <c r="T2368" s="84" t="n">
        <f aca="false">IF(AND(ISNUMBER(O2368),ISNUMBER(P2368)),Coef_A+Coef_B1*O2368+Coef_B2*P2368,"")</f>
        <v>29.0486452275028</v>
      </c>
      <c r="U2368" s="84" t="n">
        <f aca="false">IF(AND(R2368=1,ISNUMBER(T2368)),E2368-T2368,"")</f>
        <v>4.05135477249716</v>
      </c>
      <c r="V2368" s="84" t="n">
        <f aca="false">IF(ISNUMBER(T2368),T2368,-99)</f>
        <v>29.0486452275028</v>
      </c>
      <c r="W2368" s="84" t="n">
        <f aca="false">IF(ISNUMBER(U2368),ABS(U2368),"")</f>
        <v>4.05135477249716</v>
      </c>
    </row>
    <row r="2369" customFormat="false" ht="15" hidden="false" customHeight="false" outlineLevel="0" collapsed="false">
      <c r="A2369" s="57" t="n">
        <v>34527</v>
      </c>
      <c r="B2369" s="56" t="n">
        <v>1994</v>
      </c>
      <c r="C2369" s="56" t="n">
        <v>7</v>
      </c>
      <c r="D2369" s="56" t="n">
        <v>73</v>
      </c>
      <c r="E2369" s="56" t="n">
        <v>23.4</v>
      </c>
      <c r="F2369" s="56" t="n">
        <v>1</v>
      </c>
      <c r="G2369" s="56" t="n">
        <v>17.4</v>
      </c>
      <c r="H2369" s="56" t="n">
        <v>0</v>
      </c>
      <c r="I2369" s="56" t="n">
        <v>25.2</v>
      </c>
      <c r="J2369" s="56" t="n">
        <v>1</v>
      </c>
      <c r="K2369" s="56" t="n">
        <v>1016.6</v>
      </c>
      <c r="L2369" s="56" t="n">
        <v>0</v>
      </c>
      <c r="M2369" s="56" t="n">
        <v>55</v>
      </c>
      <c r="N2369" s="56" t="n">
        <v>13.1</v>
      </c>
      <c r="O2369" s="56" t="n">
        <f aca="false">IF(D2369=1,"",E2368)</f>
        <v>33.1</v>
      </c>
      <c r="P2369" s="56" t="n">
        <f aca="false">IF(OR(D2369=1,K2368=""),"",K2368)</f>
        <v>1020.3</v>
      </c>
      <c r="Q2369" s="56" t="n">
        <f aca="false">IF(OR(F2369&lt;&gt;0,AND(I2369&lt;&gt;"",E2369&lt;I2369)),1,0)</f>
        <v>1</v>
      </c>
      <c r="R2369" s="56" t="n">
        <f aca="false">IF(AND(D2369&gt;1,Q2369=0,ISNUMBER(O2369),ISNUMBER(P2369)),IF(Q2368=0,1,0),0)</f>
        <v>0</v>
      </c>
      <c r="S2369" s="56" t="n">
        <f aca="false">R2369*(B2369&gt;=Train_Start)*(B2369&lt;=Train_End)</f>
        <v>0</v>
      </c>
      <c r="T2369" s="84" t="n">
        <f aca="false">IF(AND(ISNUMBER(O2369),ISNUMBER(P2369)),Coef_A+Coef_B1*O2369+Coef_B2*P2369,"")</f>
        <v>31.213806206767</v>
      </c>
      <c r="U2369" s="84" t="str">
        <f aca="false">IF(AND(R2369=1,ISNUMBER(T2369)),E2369-T2369,"")</f>
        <v/>
      </c>
      <c r="V2369" s="84" t="n">
        <f aca="false">IF(ISNUMBER(T2369),T2369,-99)</f>
        <v>31.213806206767</v>
      </c>
      <c r="W2369" s="84" t="str">
        <f aca="false">IF(ISNUMBER(U2369),ABS(U2369),"")</f>
        <v/>
      </c>
    </row>
    <row r="2370" customFormat="false" ht="15" hidden="false" customHeight="false" outlineLevel="0" collapsed="false">
      <c r="A2370" s="57" t="n">
        <v>34528</v>
      </c>
      <c r="B2370" s="56" t="n">
        <v>1994</v>
      </c>
      <c r="C2370" s="56" t="n">
        <v>7</v>
      </c>
      <c r="D2370" s="56" t="n">
        <v>74</v>
      </c>
      <c r="E2370" s="56" t="n">
        <v>26.7</v>
      </c>
      <c r="F2370" s="56" t="n">
        <v>0</v>
      </c>
      <c r="G2370" s="56" t="n">
        <v>17.4</v>
      </c>
      <c r="H2370" s="56" t="n">
        <v>0</v>
      </c>
      <c r="I2370" s="56" t="n">
        <v>20.4</v>
      </c>
      <c r="J2370" s="56" t="n">
        <v>0</v>
      </c>
      <c r="K2370" s="56" t="n">
        <v>1020</v>
      </c>
      <c r="L2370" s="56" t="n">
        <v>0</v>
      </c>
      <c r="M2370" s="56" t="n">
        <v>76</v>
      </c>
      <c r="N2370" s="56" t="n">
        <v>0.9</v>
      </c>
      <c r="O2370" s="56" t="n">
        <f aca="false">IF(D2370=1,"",E2369)</f>
        <v>23.4</v>
      </c>
      <c r="P2370" s="56" t="n">
        <f aca="false">IF(OR(D2370=1,K2369=""),"",K2369)</f>
        <v>1016.6</v>
      </c>
      <c r="Q2370" s="56" t="n">
        <f aca="false">IF(OR(F2370&lt;&gt;0,AND(I2370&lt;&gt;"",E2370&lt;I2370)),1,0)</f>
        <v>0</v>
      </c>
      <c r="R2370" s="56" t="n">
        <f aca="false">IF(AND(D2370&gt;1,Q2370=0,ISNUMBER(O2370),ISNUMBER(P2370)),IF(Q2369=0,1,0),0)</f>
        <v>0</v>
      </c>
      <c r="S2370" s="56" t="n">
        <f aca="false">R2370*(B2370&gt;=Train_Start)*(B2370&lt;=Train_End)</f>
        <v>0</v>
      </c>
      <c r="T2370" s="84" t="n">
        <f aca="false">IF(AND(ISNUMBER(O2370),ISNUMBER(P2370)),Coef_A+Coef_B1*O2370+Coef_B2*P2370,"")</f>
        <v>23.1501474241075</v>
      </c>
      <c r="U2370" s="84" t="str">
        <f aca="false">IF(AND(R2370=1,ISNUMBER(T2370)),E2370-T2370,"")</f>
        <v/>
      </c>
      <c r="V2370" s="84" t="n">
        <f aca="false">IF(ISNUMBER(T2370),T2370,-99)</f>
        <v>23.1501474241075</v>
      </c>
      <c r="W2370" s="84" t="str">
        <f aca="false">IF(ISNUMBER(U2370),ABS(U2370),"")</f>
        <v/>
      </c>
    </row>
    <row r="2371" customFormat="false" ht="15" hidden="false" customHeight="false" outlineLevel="0" collapsed="false">
      <c r="A2371" s="57" t="n">
        <v>34529</v>
      </c>
      <c r="B2371" s="56" t="n">
        <v>1994</v>
      </c>
      <c r="C2371" s="56" t="n">
        <v>7</v>
      </c>
      <c r="D2371" s="56" t="n">
        <v>75</v>
      </c>
      <c r="E2371" s="56" t="n">
        <v>23</v>
      </c>
      <c r="F2371" s="56" t="n">
        <v>0</v>
      </c>
      <c r="G2371" s="56" t="n">
        <v>15.6</v>
      </c>
      <c r="H2371" s="56" t="n">
        <v>0</v>
      </c>
      <c r="I2371" s="56" t="n">
        <v>21.2</v>
      </c>
      <c r="J2371" s="56" t="n">
        <v>0</v>
      </c>
      <c r="K2371" s="56" t="n">
        <v>1021.5</v>
      </c>
      <c r="L2371" s="56" t="n">
        <v>0</v>
      </c>
      <c r="M2371" s="56" t="n">
        <v>65</v>
      </c>
      <c r="N2371" s="56" t="n">
        <v>9</v>
      </c>
      <c r="O2371" s="56" t="n">
        <f aca="false">IF(D2371=1,"",E2370)</f>
        <v>26.7</v>
      </c>
      <c r="P2371" s="56" t="n">
        <f aca="false">IF(OR(D2371=1,K2370=""),"",K2370)</f>
        <v>1020</v>
      </c>
      <c r="Q2371" s="56" t="n">
        <f aca="false">IF(OR(F2371&lt;&gt;0,AND(I2371&lt;&gt;"",E2371&lt;I2371)),1,0)</f>
        <v>0</v>
      </c>
      <c r="R2371" s="56" t="n">
        <f aca="false">IF(AND(D2371&gt;1,Q2371=0,ISNUMBER(O2371),ISNUMBER(P2371)),IF(Q2370=0,1,0),0)</f>
        <v>1</v>
      </c>
      <c r="S2371" s="56" t="n">
        <f aca="false">R2371*(B2371&gt;=Train_Start)*(B2371&lt;=Train_End)</f>
        <v>1</v>
      </c>
      <c r="T2371" s="84" t="n">
        <f aca="false">IF(AND(ISNUMBER(O2371),ISNUMBER(P2371)),Coef_A+Coef_B1*O2371+Coef_B2*P2371,"")</f>
        <v>25.9606244029038</v>
      </c>
      <c r="U2371" s="84" t="n">
        <f aca="false">IF(AND(R2371=1,ISNUMBER(T2371)),E2371-T2371,"")</f>
        <v>-2.96062440290383</v>
      </c>
      <c r="V2371" s="84" t="n">
        <f aca="false">IF(ISNUMBER(T2371),T2371,-99)</f>
        <v>25.9606244029038</v>
      </c>
      <c r="W2371" s="84" t="n">
        <f aca="false">IF(ISNUMBER(U2371),ABS(U2371),"")</f>
        <v>2.96062440290383</v>
      </c>
    </row>
    <row r="2372" customFormat="false" ht="15" hidden="false" customHeight="false" outlineLevel="0" collapsed="false">
      <c r="A2372" s="57" t="n">
        <v>34530</v>
      </c>
      <c r="B2372" s="56" t="n">
        <v>1994</v>
      </c>
      <c r="C2372" s="56" t="n">
        <v>7</v>
      </c>
      <c r="D2372" s="56" t="n">
        <v>76</v>
      </c>
      <c r="E2372" s="56" t="n">
        <v>25.1</v>
      </c>
      <c r="F2372" s="56" t="n">
        <v>0</v>
      </c>
      <c r="G2372" s="56" t="n">
        <v>13.5</v>
      </c>
      <c r="H2372" s="56" t="n">
        <v>0</v>
      </c>
      <c r="I2372" s="56" t="n">
        <v>18.2</v>
      </c>
      <c r="J2372" s="56" t="n">
        <v>0</v>
      </c>
      <c r="K2372" s="56" t="n">
        <v>1022.1</v>
      </c>
      <c r="L2372" s="56" t="n">
        <v>0</v>
      </c>
      <c r="M2372" s="56" t="n">
        <v>75</v>
      </c>
      <c r="N2372" s="56" t="n">
        <v>4.3</v>
      </c>
      <c r="O2372" s="56" t="n">
        <f aca="false">IF(D2372=1,"",E2371)</f>
        <v>23</v>
      </c>
      <c r="P2372" s="56" t="n">
        <f aca="false">IF(OR(D2372=1,K2371=""),"",K2371)</f>
        <v>1021.5</v>
      </c>
      <c r="Q2372" s="56" t="n">
        <f aca="false">IF(OR(F2372&lt;&gt;0,AND(I2372&lt;&gt;"",E2372&lt;I2372)),1,0)</f>
        <v>0</v>
      </c>
      <c r="R2372" s="56" t="n">
        <f aca="false">IF(AND(D2372&gt;1,Q2372=0,ISNUMBER(O2372),ISNUMBER(P2372)),IF(Q2371=0,1,0),0)</f>
        <v>1</v>
      </c>
      <c r="S2372" s="56" t="n">
        <f aca="false">R2372*(B2372&gt;=Train_Start)*(B2372&lt;=Train_End)</f>
        <v>1</v>
      </c>
      <c r="T2372" s="84" t="n">
        <f aca="false">IF(AND(ISNUMBER(O2372),ISNUMBER(P2372)),Coef_A+Coef_B1*O2372+Coef_B2*P2372,"")</f>
        <v>22.976124230597</v>
      </c>
      <c r="U2372" s="84" t="n">
        <f aca="false">IF(AND(R2372=1,ISNUMBER(T2372)),E2372-T2372,"")</f>
        <v>2.12387576940301</v>
      </c>
      <c r="V2372" s="84" t="n">
        <f aca="false">IF(ISNUMBER(T2372),T2372,-99)</f>
        <v>22.976124230597</v>
      </c>
      <c r="W2372" s="84" t="n">
        <f aca="false">IF(ISNUMBER(U2372),ABS(U2372),"")</f>
        <v>2.12387576940301</v>
      </c>
    </row>
    <row r="2373" customFormat="false" ht="15" hidden="false" customHeight="false" outlineLevel="0" collapsed="false">
      <c r="A2373" s="57" t="n">
        <v>34531</v>
      </c>
      <c r="B2373" s="56" t="n">
        <v>1994</v>
      </c>
      <c r="C2373" s="56" t="n">
        <v>7</v>
      </c>
      <c r="D2373" s="56" t="n">
        <v>77</v>
      </c>
      <c r="E2373" s="56" t="n">
        <v>25.1</v>
      </c>
      <c r="F2373" s="56" t="n">
        <v>0</v>
      </c>
      <c r="G2373" s="56" t="n">
        <v>15.5</v>
      </c>
      <c r="H2373" s="56" t="n">
        <v>0</v>
      </c>
      <c r="I2373" s="56" t="n">
        <v>20.3</v>
      </c>
      <c r="J2373" s="56" t="n">
        <v>0</v>
      </c>
      <c r="K2373" s="56" t="n">
        <v>1022.5</v>
      </c>
      <c r="L2373" s="56" t="n">
        <v>0</v>
      </c>
      <c r="M2373" s="56" t="n">
        <v>62</v>
      </c>
      <c r="N2373" s="56" t="n">
        <v>10.2</v>
      </c>
      <c r="O2373" s="56" t="n">
        <f aca="false">IF(D2373=1,"",E2372)</f>
        <v>25.1</v>
      </c>
      <c r="P2373" s="56" t="n">
        <f aca="false">IF(OR(D2373=1,K2372=""),"",K2372)</f>
        <v>1022.1</v>
      </c>
      <c r="Q2373" s="56" t="n">
        <f aca="false">IF(OR(F2373&lt;&gt;0,AND(I2373&lt;&gt;"",E2373&lt;I2373)),1,0)</f>
        <v>0</v>
      </c>
      <c r="R2373" s="56" t="n">
        <f aca="false">IF(AND(D2373&gt;1,Q2373=0,ISNUMBER(O2373),ISNUMBER(P2373)),IF(Q2372=0,1,0),0)</f>
        <v>1</v>
      </c>
      <c r="S2373" s="56" t="n">
        <f aca="false">R2373*(B2373&gt;=Train_Start)*(B2373&lt;=Train_End)</f>
        <v>1</v>
      </c>
      <c r="T2373" s="84" t="n">
        <f aca="false">IF(AND(ISNUMBER(O2373),ISNUMBER(P2373)),Coef_A+Coef_B1*O2373+Coef_B2*P2373,"")</f>
        <v>24.715558472767</v>
      </c>
      <c r="U2373" s="84" t="n">
        <f aca="false">IF(AND(R2373=1,ISNUMBER(T2373)),E2373-T2373,"")</f>
        <v>0.38444152723304</v>
      </c>
      <c r="V2373" s="84" t="n">
        <f aca="false">IF(ISNUMBER(T2373),T2373,-99)</f>
        <v>24.715558472767</v>
      </c>
      <c r="W2373" s="84" t="n">
        <f aca="false">IF(ISNUMBER(U2373),ABS(U2373),"")</f>
        <v>0.38444152723304</v>
      </c>
    </row>
    <row r="2374" customFormat="false" ht="15" hidden="false" customHeight="false" outlineLevel="0" collapsed="false">
      <c r="A2374" s="57" t="n">
        <v>34532</v>
      </c>
      <c r="B2374" s="56" t="n">
        <v>1994</v>
      </c>
      <c r="C2374" s="56" t="n">
        <v>7</v>
      </c>
      <c r="D2374" s="56" t="n">
        <v>78</v>
      </c>
      <c r="E2374" s="56" t="n">
        <v>25.1</v>
      </c>
      <c r="F2374" s="56" t="n">
        <v>0</v>
      </c>
      <c r="G2374" s="56" t="n">
        <v>13.9</v>
      </c>
      <c r="H2374" s="56" t="n">
        <v>0</v>
      </c>
      <c r="I2374" s="56" t="n">
        <v>19.5</v>
      </c>
      <c r="J2374" s="56" t="n">
        <v>0</v>
      </c>
      <c r="K2374" s="56" t="n">
        <v>1021.8</v>
      </c>
      <c r="L2374" s="56" t="n">
        <v>0</v>
      </c>
      <c r="M2374" s="56" t="n">
        <v>66</v>
      </c>
      <c r="N2374" s="56" t="n">
        <v>12.2</v>
      </c>
      <c r="O2374" s="56" t="n">
        <f aca="false">IF(D2374=1,"",E2373)</f>
        <v>25.1</v>
      </c>
      <c r="P2374" s="56" t="n">
        <f aca="false">IF(OR(D2374=1,K2373=""),"",K2373)</f>
        <v>1022.5</v>
      </c>
      <c r="Q2374" s="56" t="n">
        <f aca="false">IF(OR(F2374&lt;&gt;0,AND(I2374&lt;&gt;"",E2374&lt;I2374)),1,0)</f>
        <v>0</v>
      </c>
      <c r="R2374" s="56" t="n">
        <f aca="false">IF(AND(D2374&gt;1,Q2374=0,ISNUMBER(O2374),ISNUMBER(P2374)),IF(Q2373=0,1,0),0)</f>
        <v>1</v>
      </c>
      <c r="S2374" s="56" t="n">
        <f aca="false">R2374*(B2374&gt;=Train_Start)*(B2374&lt;=Train_End)</f>
        <v>1</v>
      </c>
      <c r="T2374" s="84" t="n">
        <f aca="false">IF(AND(ISNUMBER(O2374),ISNUMBER(P2374)),Coef_A+Coef_B1*O2374+Coef_B2*P2374,"")</f>
        <v>24.7281064306206</v>
      </c>
      <c r="U2374" s="84" t="n">
        <f aca="false">IF(AND(R2374=1,ISNUMBER(T2374)),E2374-T2374,"")</f>
        <v>0.371893569379441</v>
      </c>
      <c r="V2374" s="84" t="n">
        <f aca="false">IF(ISNUMBER(T2374),T2374,-99)</f>
        <v>24.7281064306206</v>
      </c>
      <c r="W2374" s="84" t="n">
        <f aca="false">IF(ISNUMBER(U2374),ABS(U2374),"")</f>
        <v>0.371893569379441</v>
      </c>
    </row>
    <row r="2375" customFormat="false" ht="15" hidden="false" customHeight="false" outlineLevel="0" collapsed="false">
      <c r="A2375" s="57" t="n">
        <v>34533</v>
      </c>
      <c r="B2375" s="56" t="n">
        <v>1994</v>
      </c>
      <c r="C2375" s="56" t="n">
        <v>7</v>
      </c>
      <c r="D2375" s="56" t="n">
        <v>79</v>
      </c>
      <c r="E2375" s="56" t="n">
        <v>26.3</v>
      </c>
      <c r="F2375" s="56" t="n">
        <v>0</v>
      </c>
      <c r="G2375" s="56" t="n">
        <v>13.9</v>
      </c>
      <c r="H2375" s="56" t="n">
        <v>0</v>
      </c>
      <c r="I2375" s="56" t="n">
        <v>19.5</v>
      </c>
      <c r="J2375" s="56" t="n">
        <v>0</v>
      </c>
      <c r="K2375" s="56" t="n">
        <v>1019.6</v>
      </c>
      <c r="L2375" s="56" t="n">
        <v>0</v>
      </c>
      <c r="M2375" s="56" t="n">
        <v>65</v>
      </c>
      <c r="N2375" s="56" t="n">
        <v>10.3</v>
      </c>
      <c r="O2375" s="56" t="n">
        <f aca="false">IF(D2375=1,"",E2374)</f>
        <v>25.1</v>
      </c>
      <c r="P2375" s="56" t="n">
        <f aca="false">IF(OR(D2375=1,K2374=""),"",K2374)</f>
        <v>1021.8</v>
      </c>
      <c r="Q2375" s="56" t="n">
        <f aca="false">IF(OR(F2375&lt;&gt;0,AND(I2375&lt;&gt;"",E2375&lt;I2375)),1,0)</f>
        <v>0</v>
      </c>
      <c r="R2375" s="56" t="n">
        <f aca="false">IF(AND(D2375&gt;1,Q2375=0,ISNUMBER(O2375),ISNUMBER(P2375)),IF(Q2374=0,1,0),0)</f>
        <v>1</v>
      </c>
      <c r="S2375" s="56" t="n">
        <f aca="false">R2375*(B2375&gt;=Train_Start)*(B2375&lt;=Train_End)</f>
        <v>1</v>
      </c>
      <c r="T2375" s="84" t="n">
        <f aca="false">IF(AND(ISNUMBER(O2375),ISNUMBER(P2375)),Coef_A+Coef_B1*O2375+Coef_B2*P2375,"")</f>
        <v>24.7061475043768</v>
      </c>
      <c r="U2375" s="84" t="n">
        <f aca="false">IF(AND(R2375=1,ISNUMBER(T2375)),E2375-T2375,"")</f>
        <v>1.59385249562324</v>
      </c>
      <c r="V2375" s="84" t="n">
        <f aca="false">IF(ISNUMBER(T2375),T2375,-99)</f>
        <v>24.7061475043768</v>
      </c>
      <c r="W2375" s="84" t="n">
        <f aca="false">IF(ISNUMBER(U2375),ABS(U2375),"")</f>
        <v>1.59385249562324</v>
      </c>
    </row>
    <row r="2376" customFormat="false" ht="15" hidden="false" customHeight="false" outlineLevel="0" collapsed="false">
      <c r="A2376" s="57" t="n">
        <v>34534</v>
      </c>
      <c r="B2376" s="56" t="n">
        <v>1994</v>
      </c>
      <c r="C2376" s="56" t="n">
        <v>7</v>
      </c>
      <c r="D2376" s="56" t="n">
        <v>80</v>
      </c>
      <c r="E2376" s="56" t="n">
        <v>27</v>
      </c>
      <c r="F2376" s="56" t="n">
        <v>0</v>
      </c>
      <c r="G2376" s="56" t="n">
        <v>13.7</v>
      </c>
      <c r="H2376" s="56" t="n">
        <v>0</v>
      </c>
      <c r="I2376" s="56" t="n">
        <v>20</v>
      </c>
      <c r="J2376" s="56" t="n">
        <v>0</v>
      </c>
      <c r="K2376" s="56" t="n">
        <v>1018.4</v>
      </c>
      <c r="L2376" s="56" t="n">
        <v>0</v>
      </c>
      <c r="M2376" s="56" t="n">
        <v>64</v>
      </c>
      <c r="N2376" s="56" t="n">
        <v>11.1</v>
      </c>
      <c r="O2376" s="56" t="n">
        <f aca="false">IF(D2376=1,"",E2375)</f>
        <v>26.3</v>
      </c>
      <c r="P2376" s="56" t="n">
        <f aca="false">IF(OR(D2376=1,K2375=""),"",K2375)</f>
        <v>1019.6</v>
      </c>
      <c r="Q2376" s="56" t="n">
        <f aca="false">IF(OR(F2376&lt;&gt;0,AND(I2376&lt;&gt;"",E2376&lt;I2376)),1,0)</f>
        <v>0</v>
      </c>
      <c r="R2376" s="56" t="n">
        <f aca="false">IF(AND(D2376&gt;1,Q2376=0,ISNUMBER(O2376),ISNUMBER(P2376)),IF(Q2375=0,1,0),0)</f>
        <v>1</v>
      </c>
      <c r="S2376" s="56" t="n">
        <f aca="false">R2376*(B2376&gt;=Train_Start)*(B2376&lt;=Train_End)</f>
        <v>1</v>
      </c>
      <c r="T2376" s="84" t="n">
        <f aca="false">IF(AND(ISNUMBER(O2376),ISNUMBER(P2376)),Coef_A+Coef_B1*O2376+Coef_B2*P2376,"")</f>
        <v>25.6203407678332</v>
      </c>
      <c r="U2376" s="84" t="n">
        <f aca="false">IF(AND(R2376=1,ISNUMBER(T2376)),E2376-T2376,"")</f>
        <v>1.37965923216682</v>
      </c>
      <c r="V2376" s="84" t="n">
        <f aca="false">IF(ISNUMBER(T2376),T2376,-99)</f>
        <v>25.6203407678332</v>
      </c>
      <c r="W2376" s="84" t="n">
        <f aca="false">IF(ISNUMBER(U2376),ABS(U2376),"")</f>
        <v>1.37965923216682</v>
      </c>
    </row>
    <row r="2377" customFormat="false" ht="15" hidden="false" customHeight="false" outlineLevel="0" collapsed="false">
      <c r="A2377" s="57" t="n">
        <v>34535</v>
      </c>
      <c r="B2377" s="56" t="n">
        <v>1994</v>
      </c>
      <c r="C2377" s="56" t="n">
        <v>7</v>
      </c>
      <c r="D2377" s="56" t="n">
        <v>81</v>
      </c>
      <c r="E2377" s="56" t="n">
        <v>29.3</v>
      </c>
      <c r="F2377" s="56" t="n">
        <v>0</v>
      </c>
      <c r="G2377" s="56" t="n">
        <v>13.8</v>
      </c>
      <c r="H2377" s="56" t="n">
        <v>0</v>
      </c>
      <c r="I2377" s="56" t="n">
        <v>20.4</v>
      </c>
      <c r="J2377" s="56" t="n">
        <v>0</v>
      </c>
      <c r="K2377" s="56" t="n">
        <v>1019</v>
      </c>
      <c r="L2377" s="56" t="n">
        <v>0</v>
      </c>
      <c r="M2377" s="56" t="n">
        <v>63</v>
      </c>
      <c r="N2377" s="56" t="n">
        <v>12.1</v>
      </c>
      <c r="O2377" s="56" t="n">
        <f aca="false">IF(D2377=1,"",E2376)</f>
        <v>27</v>
      </c>
      <c r="P2377" s="56" t="n">
        <f aca="false">IF(OR(D2377=1,K2376=""),"",K2376)</f>
        <v>1018.4</v>
      </c>
      <c r="Q2377" s="56" t="n">
        <f aca="false">IF(OR(F2377&lt;&gt;0,AND(I2377&lt;&gt;"",E2377&lt;I2377)),1,0)</f>
        <v>0</v>
      </c>
      <c r="R2377" s="56" t="n">
        <f aca="false">IF(AND(D2377&gt;1,Q2377=0,ISNUMBER(O2377),ISNUMBER(P2377)),IF(Q2376=0,1,0),0)</f>
        <v>1</v>
      </c>
      <c r="S2377" s="56" t="n">
        <f aca="false">R2377*(B2377&gt;=Train_Start)*(B2377&lt;=Train_End)</f>
        <v>1</v>
      </c>
      <c r="T2377" s="84" t="n">
        <f aca="false">IF(AND(ISNUMBER(O2377),ISNUMBER(P2377)),Coef_A+Coef_B1*O2377+Coef_B2*P2377,"")</f>
        <v>26.1562343294023</v>
      </c>
      <c r="U2377" s="84" t="n">
        <f aca="false">IF(AND(R2377=1,ISNUMBER(T2377)),E2377-T2377,"")</f>
        <v>3.14376567059775</v>
      </c>
      <c r="V2377" s="84" t="n">
        <f aca="false">IF(ISNUMBER(T2377),T2377,-99)</f>
        <v>26.1562343294023</v>
      </c>
      <c r="W2377" s="84" t="n">
        <f aca="false">IF(ISNUMBER(U2377),ABS(U2377),"")</f>
        <v>3.14376567059775</v>
      </c>
    </row>
    <row r="2378" customFormat="false" ht="15" hidden="false" customHeight="false" outlineLevel="0" collapsed="false">
      <c r="A2378" s="57" t="n">
        <v>34536</v>
      </c>
      <c r="B2378" s="56" t="n">
        <v>1994</v>
      </c>
      <c r="C2378" s="56" t="n">
        <v>7</v>
      </c>
      <c r="D2378" s="56" t="n">
        <v>82</v>
      </c>
      <c r="E2378" s="56" t="n">
        <v>27.8</v>
      </c>
      <c r="F2378" s="56" t="n">
        <v>0</v>
      </c>
      <c r="G2378" s="56" t="n">
        <v>15.5</v>
      </c>
      <c r="H2378" s="56" t="n">
        <v>0</v>
      </c>
      <c r="I2378" s="56" t="n">
        <v>22.4</v>
      </c>
      <c r="J2378" s="56" t="n">
        <v>0</v>
      </c>
      <c r="K2378" s="56" t="n">
        <v>1017.8</v>
      </c>
      <c r="L2378" s="56" t="n">
        <v>0</v>
      </c>
      <c r="M2378" s="56" t="n">
        <v>55</v>
      </c>
      <c r="N2378" s="56" t="n">
        <v>11.3</v>
      </c>
      <c r="O2378" s="56" t="n">
        <f aca="false">IF(D2378=1,"",E2377)</f>
        <v>29.3</v>
      </c>
      <c r="P2378" s="56" t="n">
        <f aca="false">IF(OR(D2378=1,K2377=""),"",K2377)</f>
        <v>1019</v>
      </c>
      <c r="Q2378" s="56" t="n">
        <f aca="false">IF(OR(F2378&lt;&gt;0,AND(I2378&lt;&gt;"",E2378&lt;I2378)),1,0)</f>
        <v>0</v>
      </c>
      <c r="R2378" s="56" t="n">
        <f aca="false">IF(AND(D2378&gt;1,Q2378=0,ISNUMBER(O2378),ISNUMBER(P2378)),IF(Q2377=0,1,0),0)</f>
        <v>1</v>
      </c>
      <c r="S2378" s="56" t="n">
        <f aca="false">R2378*(B2378&gt;=Train_Start)*(B2378&lt;=Train_End)</f>
        <v>1</v>
      </c>
      <c r="T2378" s="84" t="n">
        <f aca="false">IF(AND(ISNUMBER(O2378),ISNUMBER(P2378)),Coef_A+Coef_B1*O2378+Coef_B2*P2378,"")</f>
        <v>28.0595364101808</v>
      </c>
      <c r="U2378" s="84" t="n">
        <f aca="false">IF(AND(R2378=1,ISNUMBER(T2378)),E2378-T2378,"")</f>
        <v>-0.259536410180758</v>
      </c>
      <c r="V2378" s="84" t="n">
        <f aca="false">IF(ISNUMBER(T2378),T2378,-99)</f>
        <v>28.0595364101808</v>
      </c>
      <c r="W2378" s="84" t="n">
        <f aca="false">IF(ISNUMBER(U2378),ABS(U2378),"")</f>
        <v>0.259536410180758</v>
      </c>
    </row>
    <row r="2379" customFormat="false" ht="15" hidden="false" customHeight="false" outlineLevel="0" collapsed="false">
      <c r="A2379" s="57" t="n">
        <v>34537</v>
      </c>
      <c r="B2379" s="56" t="n">
        <v>1994</v>
      </c>
      <c r="C2379" s="56" t="n">
        <v>7</v>
      </c>
      <c r="D2379" s="56" t="n">
        <v>83</v>
      </c>
      <c r="E2379" s="56" t="n">
        <v>28.5</v>
      </c>
      <c r="F2379" s="56" t="n">
        <v>0</v>
      </c>
      <c r="G2379" s="56" t="n">
        <v>16.7</v>
      </c>
      <c r="H2379" s="56" t="n">
        <v>0</v>
      </c>
      <c r="I2379" s="56" t="n">
        <v>22.2</v>
      </c>
      <c r="J2379" s="56" t="n">
        <v>0</v>
      </c>
      <c r="K2379" s="56" t="n">
        <v>1020.4</v>
      </c>
      <c r="L2379" s="56" t="n">
        <v>0</v>
      </c>
      <c r="M2379" s="56" t="n">
        <v>64</v>
      </c>
      <c r="N2379" s="56" t="n">
        <v>11.2</v>
      </c>
      <c r="O2379" s="56" t="n">
        <f aca="false">IF(D2379=1,"",E2378)</f>
        <v>27.8</v>
      </c>
      <c r="P2379" s="56" t="n">
        <f aca="false">IF(OR(D2379=1,K2378=""),"",K2378)</f>
        <v>1017.8</v>
      </c>
      <c r="Q2379" s="56" t="n">
        <f aca="false">IF(OR(F2379&lt;&gt;0,AND(I2379&lt;&gt;"",E2379&lt;I2379)),1,0)</f>
        <v>0</v>
      </c>
      <c r="R2379" s="56" t="n">
        <f aca="false">IF(AND(D2379&gt;1,Q2379=0,ISNUMBER(O2379),ISNUMBER(P2379)),IF(Q2378=0,1,0),0)</f>
        <v>1</v>
      </c>
      <c r="S2379" s="56" t="n">
        <f aca="false">R2379*(B2379&gt;=Train_Start)*(B2379&lt;=Train_End)</f>
        <v>1</v>
      </c>
      <c r="T2379" s="84" t="n">
        <f aca="false">IF(AND(ISNUMBER(O2379),ISNUMBER(P2379)),Coef_A+Coef_B1*O2379+Coef_B2*P2379,"")</f>
        <v>26.792883747056</v>
      </c>
      <c r="U2379" s="84" t="n">
        <f aca="false">IF(AND(R2379=1,ISNUMBER(T2379)),E2379-T2379,"")</f>
        <v>1.70711625294402</v>
      </c>
      <c r="V2379" s="84" t="n">
        <f aca="false">IF(ISNUMBER(T2379),T2379,-99)</f>
        <v>26.792883747056</v>
      </c>
      <c r="W2379" s="84" t="n">
        <f aca="false">IF(ISNUMBER(U2379),ABS(U2379),"")</f>
        <v>1.70711625294402</v>
      </c>
    </row>
    <row r="2380" customFormat="false" ht="15" hidden="false" customHeight="false" outlineLevel="0" collapsed="false">
      <c r="A2380" s="57" t="n">
        <v>34538</v>
      </c>
      <c r="B2380" s="56" t="n">
        <v>1994</v>
      </c>
      <c r="C2380" s="56" t="n">
        <v>7</v>
      </c>
      <c r="D2380" s="56" t="n">
        <v>84</v>
      </c>
      <c r="E2380" s="56" t="n">
        <v>32</v>
      </c>
      <c r="F2380" s="56" t="n">
        <v>0</v>
      </c>
      <c r="G2380" s="56" t="n">
        <v>15.8</v>
      </c>
      <c r="H2380" s="56" t="n">
        <v>0</v>
      </c>
      <c r="I2380" s="56" t="n">
        <v>22.2</v>
      </c>
      <c r="J2380" s="56" t="n">
        <v>0</v>
      </c>
      <c r="K2380" s="56" t="n">
        <v>1019.8</v>
      </c>
      <c r="L2380" s="56" t="n">
        <v>0</v>
      </c>
      <c r="M2380" s="56" t="n">
        <v>64</v>
      </c>
      <c r="N2380" s="56" t="n">
        <v>12.1</v>
      </c>
      <c r="O2380" s="56" t="n">
        <f aca="false">IF(D2380=1,"",E2379)</f>
        <v>28.5</v>
      </c>
      <c r="P2380" s="56" t="n">
        <f aca="false">IF(OR(D2380=1,K2379=""),"",K2379)</f>
        <v>1020.4</v>
      </c>
      <c r="Q2380" s="56" t="n">
        <f aca="false">IF(OR(F2380&lt;&gt;0,AND(I2380&lt;&gt;"",E2380&lt;I2380)),1,0)</f>
        <v>0</v>
      </c>
      <c r="R2380" s="56" t="n">
        <f aca="false">IF(AND(D2380&gt;1,Q2380=0,ISNUMBER(O2380),ISNUMBER(P2380)),IF(Q2379=0,1,0),0)</f>
        <v>1</v>
      </c>
      <c r="S2380" s="56" t="n">
        <f aca="false">R2380*(B2380&gt;=Train_Start)*(B2380&lt;=Train_End)</f>
        <v>1</v>
      </c>
      <c r="T2380" s="84" t="n">
        <f aca="false">IF(AND(ISNUMBER(O2380),ISNUMBER(P2380)),Coef_A+Coef_B1*O2380+Coef_B2*P2380,"")</f>
        <v>27.4479829082342</v>
      </c>
      <c r="U2380" s="84" t="n">
        <f aca="false">IF(AND(R2380=1,ISNUMBER(T2380)),E2380-T2380,"")</f>
        <v>4.55201709176578</v>
      </c>
      <c r="V2380" s="84" t="n">
        <f aca="false">IF(ISNUMBER(T2380),T2380,-99)</f>
        <v>27.4479829082342</v>
      </c>
      <c r="W2380" s="84" t="n">
        <f aca="false">IF(ISNUMBER(U2380),ABS(U2380),"")</f>
        <v>4.55201709176578</v>
      </c>
    </row>
    <row r="2381" customFormat="false" ht="15" hidden="false" customHeight="false" outlineLevel="0" collapsed="false">
      <c r="A2381" s="57" t="n">
        <v>34539</v>
      </c>
      <c r="B2381" s="56" t="n">
        <v>1994</v>
      </c>
      <c r="C2381" s="56" t="n">
        <v>7</v>
      </c>
      <c r="D2381" s="56" t="n">
        <v>85</v>
      </c>
      <c r="E2381" s="56" t="n">
        <v>30.2</v>
      </c>
      <c r="F2381" s="56" t="n">
        <v>0</v>
      </c>
      <c r="G2381" s="56" t="n">
        <v>17.9</v>
      </c>
      <c r="H2381" s="56" t="n">
        <v>0</v>
      </c>
      <c r="I2381" s="56" t="n">
        <v>25</v>
      </c>
      <c r="J2381" s="56" t="n">
        <v>0</v>
      </c>
      <c r="K2381" s="56" t="n">
        <v>1013</v>
      </c>
      <c r="L2381" s="56" t="n">
        <v>0</v>
      </c>
      <c r="M2381" s="56" t="n">
        <v>67</v>
      </c>
      <c r="N2381" s="56" t="n">
        <v>9.5</v>
      </c>
      <c r="O2381" s="56" t="n">
        <f aca="false">IF(D2381=1,"",E2380)</f>
        <v>32</v>
      </c>
      <c r="P2381" s="56" t="n">
        <f aca="false">IF(OR(D2381=1,K2380=""),"",K2380)</f>
        <v>1019.8</v>
      </c>
      <c r="Q2381" s="56" t="n">
        <f aca="false">IF(OR(F2381&lt;&gt;0,AND(I2381&lt;&gt;"",E2381&lt;I2381)),1,0)</f>
        <v>0</v>
      </c>
      <c r="R2381" s="56" t="n">
        <f aca="false">IF(AND(D2381&gt;1,Q2381=0,ISNUMBER(O2381),ISNUMBER(P2381)),IF(Q2380=0,1,0),0)</f>
        <v>1</v>
      </c>
      <c r="S2381" s="56" t="n">
        <f aca="false">R2381*(B2381&gt;=Train_Start)*(B2381&lt;=Train_End)</f>
        <v>1</v>
      </c>
      <c r="T2381" s="84" t="n">
        <f aca="false">IF(AND(ISNUMBER(O2381),ISNUMBER(P2381)),Coef_A+Coef_B1*O2381+Coef_B2*P2381,"")</f>
        <v>30.2968481471031</v>
      </c>
      <c r="U2381" s="84" t="n">
        <f aca="false">IF(AND(R2381=1,ISNUMBER(T2381)),E2381-T2381,"")</f>
        <v>-0.0968481471031204</v>
      </c>
      <c r="V2381" s="84" t="n">
        <f aca="false">IF(ISNUMBER(T2381),T2381,-99)</f>
        <v>30.2968481471031</v>
      </c>
      <c r="W2381" s="84" t="n">
        <f aca="false">IF(ISNUMBER(U2381),ABS(U2381),"")</f>
        <v>0.0968481471031204</v>
      </c>
    </row>
    <row r="2382" customFormat="false" ht="15" hidden="false" customHeight="false" outlineLevel="0" collapsed="false">
      <c r="A2382" s="57" t="n">
        <v>34540</v>
      </c>
      <c r="B2382" s="56" t="n">
        <v>1994</v>
      </c>
      <c r="C2382" s="56" t="n">
        <v>7</v>
      </c>
      <c r="D2382" s="56" t="n">
        <v>86</v>
      </c>
      <c r="E2382" s="56" t="n">
        <v>23.3</v>
      </c>
      <c r="F2382" s="56" t="n">
        <v>1</v>
      </c>
      <c r="G2382" s="56" t="n">
        <v>18.4</v>
      </c>
      <c r="H2382" s="56" t="n">
        <v>0</v>
      </c>
      <c r="I2382" s="56" t="n">
        <v>24.3</v>
      </c>
      <c r="J2382" s="56" t="n">
        <v>1</v>
      </c>
      <c r="K2382" s="56" t="n">
        <v>1013.4</v>
      </c>
      <c r="L2382" s="56" t="n">
        <v>0</v>
      </c>
      <c r="M2382" s="56" t="n">
        <v>65</v>
      </c>
      <c r="N2382" s="56" t="n">
        <v>10.5</v>
      </c>
      <c r="O2382" s="56" t="n">
        <f aca="false">IF(D2382=1,"",E2381)</f>
        <v>30.2</v>
      </c>
      <c r="P2382" s="56" t="n">
        <f aca="false">IF(OR(D2382=1,K2381=""),"",K2381)</f>
        <v>1013</v>
      </c>
      <c r="Q2382" s="56" t="n">
        <f aca="false">IF(OR(F2382&lt;&gt;0,AND(I2382&lt;&gt;"",E2382&lt;I2382)),1,0)</f>
        <v>1</v>
      </c>
      <c r="R2382" s="56" t="n">
        <f aca="false">IF(AND(D2382&gt;1,Q2382=0,ISNUMBER(O2382),ISNUMBER(P2382)),IF(Q2381=0,1,0),0)</f>
        <v>0</v>
      </c>
      <c r="S2382" s="56" t="n">
        <f aca="false">R2382*(B2382&gt;=Train_Start)*(B2382&lt;=Train_End)</f>
        <v>0</v>
      </c>
      <c r="T2382" s="84" t="n">
        <f aca="false">IF(AND(ISNUMBER(O2382),ISNUMBER(P2382)),Coef_A+Coef_B1*O2382+Coef_B2*P2382,"")</f>
        <v>28.6087223161152</v>
      </c>
      <c r="U2382" s="84" t="str">
        <f aca="false">IF(AND(R2382=1,ISNUMBER(T2382)),E2382-T2382,"")</f>
        <v/>
      </c>
      <c r="V2382" s="84" t="n">
        <f aca="false">IF(ISNUMBER(T2382),T2382,-99)</f>
        <v>28.6087223161152</v>
      </c>
      <c r="W2382" s="84" t="str">
        <f aca="false">IF(ISNUMBER(U2382),ABS(U2382),"")</f>
        <v/>
      </c>
    </row>
    <row r="2383" customFormat="false" ht="15" hidden="false" customHeight="false" outlineLevel="0" collapsed="false">
      <c r="A2383" s="57" t="n">
        <v>34541</v>
      </c>
      <c r="B2383" s="56" t="n">
        <v>1994</v>
      </c>
      <c r="C2383" s="56" t="n">
        <v>7</v>
      </c>
      <c r="D2383" s="56" t="n">
        <v>87</v>
      </c>
      <c r="E2383" s="56" t="n">
        <v>27.2</v>
      </c>
      <c r="F2383" s="56" t="n">
        <v>0</v>
      </c>
      <c r="G2383" s="56" t="n">
        <v>17</v>
      </c>
      <c r="H2383" s="56" t="n">
        <v>0</v>
      </c>
      <c r="I2383" s="56" t="n">
        <v>20.2</v>
      </c>
      <c r="J2383" s="56" t="n">
        <v>0</v>
      </c>
      <c r="K2383" s="56" t="n">
        <v>1017.1</v>
      </c>
      <c r="L2383" s="56" t="n">
        <v>0</v>
      </c>
      <c r="M2383" s="56" t="n">
        <v>80</v>
      </c>
      <c r="N2383" s="56" t="n">
        <v>0.3</v>
      </c>
      <c r="O2383" s="56" t="n">
        <f aca="false">IF(D2383=1,"",E2382)</f>
        <v>23.3</v>
      </c>
      <c r="P2383" s="56" t="n">
        <f aca="false">IF(OR(D2383=1,K2382=""),"",K2382)</f>
        <v>1013.4</v>
      </c>
      <c r="Q2383" s="56" t="n">
        <f aca="false">IF(OR(F2383&lt;&gt;0,AND(I2383&lt;&gt;"",E2383&lt;I2383)),1,0)</f>
        <v>0</v>
      </c>
      <c r="R2383" s="56" t="n">
        <f aca="false">IF(AND(D2383&gt;1,Q2383=0,ISNUMBER(O2383),ISNUMBER(P2383)),IF(Q2382=0,1,0),0)</f>
        <v>0</v>
      </c>
      <c r="S2383" s="56" t="n">
        <f aca="false">R2383*(B2383&gt;=Train_Start)*(B2383&lt;=Train_End)</f>
        <v>0</v>
      </c>
      <c r="T2383" s="84" t="n">
        <f aca="false">IF(AND(ISNUMBER(O2383),ISNUMBER(P2383)),Coef_A+Coef_B1*O2383+Coef_B2*P2383,"")</f>
        <v>22.9678298419745</v>
      </c>
      <c r="U2383" s="84" t="str">
        <f aca="false">IF(AND(R2383=1,ISNUMBER(T2383)),E2383-T2383,"")</f>
        <v/>
      </c>
      <c r="V2383" s="84" t="n">
        <f aca="false">IF(ISNUMBER(T2383),T2383,-99)</f>
        <v>22.9678298419745</v>
      </c>
      <c r="W2383" s="84" t="str">
        <f aca="false">IF(ISNUMBER(U2383),ABS(U2383),"")</f>
        <v/>
      </c>
    </row>
    <row r="2384" customFormat="false" ht="15" hidden="false" customHeight="false" outlineLevel="0" collapsed="false">
      <c r="A2384" s="57" t="n">
        <v>34542</v>
      </c>
      <c r="B2384" s="56" t="n">
        <v>1994</v>
      </c>
      <c r="C2384" s="56" t="n">
        <v>7</v>
      </c>
      <c r="D2384" s="56" t="n">
        <v>88</v>
      </c>
      <c r="E2384" s="56" t="n">
        <v>20.4</v>
      </c>
      <c r="F2384" s="56" t="n">
        <v>1</v>
      </c>
      <c r="G2384" s="56" t="n">
        <v>18.1</v>
      </c>
      <c r="H2384" s="56" t="n">
        <v>0</v>
      </c>
      <c r="I2384" s="56" t="n">
        <v>22.6</v>
      </c>
      <c r="J2384" s="56" t="n">
        <v>1</v>
      </c>
      <c r="K2384" s="56" t="n">
        <v>1017.7</v>
      </c>
      <c r="L2384" s="56" t="n">
        <v>0</v>
      </c>
      <c r="M2384" s="56" t="n">
        <v>72</v>
      </c>
      <c r="N2384" s="56" t="n">
        <v>7.1</v>
      </c>
      <c r="O2384" s="56" t="n">
        <f aca="false">IF(D2384=1,"",E2383)</f>
        <v>27.2</v>
      </c>
      <c r="P2384" s="56" t="n">
        <f aca="false">IF(OR(D2384=1,K2383=""),"",K2383)</f>
        <v>1017.1</v>
      </c>
      <c r="Q2384" s="56" t="n">
        <f aca="false">IF(OR(F2384&lt;&gt;0,AND(I2384&lt;&gt;"",E2384&lt;I2384)),1,0)</f>
        <v>1</v>
      </c>
      <c r="R2384" s="56" t="n">
        <f aca="false">IF(AND(D2384&gt;1,Q2384=0,ISNUMBER(O2384),ISNUMBER(P2384)),IF(Q2383=0,1,0),0)</f>
        <v>0</v>
      </c>
      <c r="S2384" s="56" t="n">
        <f aca="false">R2384*(B2384&gt;=Train_Start)*(B2384&lt;=Train_End)</f>
        <v>0</v>
      </c>
      <c r="T2384" s="84" t="n">
        <f aca="false">IF(AND(ISNUMBER(O2384),ISNUMBER(P2384)),Coef_A+Coef_B1*O2384+Coef_B2*P2384,"")</f>
        <v>26.2793213049866</v>
      </c>
      <c r="U2384" s="84" t="str">
        <f aca="false">IF(AND(R2384=1,ISNUMBER(T2384)),E2384-T2384,"")</f>
        <v/>
      </c>
      <c r="V2384" s="84" t="n">
        <f aca="false">IF(ISNUMBER(T2384),T2384,-99)</f>
        <v>26.2793213049866</v>
      </c>
      <c r="W2384" s="84" t="str">
        <f aca="false">IF(ISNUMBER(U2384),ABS(U2384),"")</f>
        <v/>
      </c>
    </row>
    <row r="2385" customFormat="false" ht="15" hidden="false" customHeight="false" outlineLevel="0" collapsed="false">
      <c r="A2385" s="57" t="n">
        <v>34543</v>
      </c>
      <c r="B2385" s="56" t="n">
        <v>1994</v>
      </c>
      <c r="C2385" s="56" t="n">
        <v>7</v>
      </c>
      <c r="D2385" s="56" t="n">
        <v>89</v>
      </c>
      <c r="E2385" s="56" t="n">
        <v>26.3</v>
      </c>
      <c r="F2385" s="56" t="n">
        <v>0</v>
      </c>
      <c r="G2385" s="56" t="n">
        <v>15.3</v>
      </c>
      <c r="H2385" s="56" t="n">
        <v>0</v>
      </c>
      <c r="I2385" s="56" t="n">
        <v>17.8</v>
      </c>
      <c r="J2385" s="56" t="n">
        <v>0</v>
      </c>
      <c r="K2385" s="56" t="n">
        <v>1017.9</v>
      </c>
      <c r="L2385" s="56" t="n">
        <v>0</v>
      </c>
      <c r="M2385" s="56" t="n">
        <v>80</v>
      </c>
      <c r="N2385" s="56" t="n">
        <v>3.8</v>
      </c>
      <c r="O2385" s="56" t="n">
        <f aca="false">IF(D2385=1,"",E2384)</f>
        <v>20.4</v>
      </c>
      <c r="P2385" s="56" t="n">
        <f aca="false">IF(OR(D2385=1,K2384=""),"",K2384)</f>
        <v>1017.7</v>
      </c>
      <c r="Q2385" s="56" t="n">
        <f aca="false">IF(OR(F2385&lt;&gt;0,AND(I2385&lt;&gt;"",E2385&lt;I2385)),1,0)</f>
        <v>0</v>
      </c>
      <c r="R2385" s="56" t="n">
        <f aca="false">IF(AND(D2385&gt;1,Q2385=0,ISNUMBER(O2385),ISNUMBER(P2385)),IF(Q2384=0,1,0),0)</f>
        <v>0</v>
      </c>
      <c r="S2385" s="56" t="n">
        <f aca="false">R2385*(B2385&gt;=Train_Start)*(B2385&lt;=Train_End)</f>
        <v>0</v>
      </c>
      <c r="T2385" s="84" t="n">
        <f aca="false">IF(AND(ISNUMBER(O2385),ISNUMBER(P2385)),Coef_A+Coef_B1*O2385+Coef_B2*P2385,"")</f>
        <v>20.7266367290769</v>
      </c>
      <c r="U2385" s="84" t="str">
        <f aca="false">IF(AND(R2385=1,ISNUMBER(T2385)),E2385-T2385,"")</f>
        <v/>
      </c>
      <c r="V2385" s="84" t="n">
        <f aca="false">IF(ISNUMBER(T2385),T2385,-99)</f>
        <v>20.7266367290769</v>
      </c>
      <c r="W2385" s="84" t="str">
        <f aca="false">IF(ISNUMBER(U2385),ABS(U2385),"")</f>
        <v/>
      </c>
    </row>
    <row r="2386" customFormat="false" ht="15" hidden="false" customHeight="false" outlineLevel="0" collapsed="false">
      <c r="A2386" s="57" t="n">
        <v>34544</v>
      </c>
      <c r="B2386" s="56" t="n">
        <v>1994</v>
      </c>
      <c r="C2386" s="56" t="n">
        <v>7</v>
      </c>
      <c r="D2386" s="56" t="n">
        <v>90</v>
      </c>
      <c r="E2386" s="56" t="n">
        <v>31.8</v>
      </c>
      <c r="F2386" s="56" t="n">
        <v>0</v>
      </c>
      <c r="G2386" s="56" t="n">
        <v>13.1</v>
      </c>
      <c r="H2386" s="56" t="n">
        <v>0</v>
      </c>
      <c r="I2386" s="56" t="n">
        <v>19.7</v>
      </c>
      <c r="J2386" s="56" t="n">
        <v>0</v>
      </c>
      <c r="K2386" s="56" t="n">
        <v>1017.3</v>
      </c>
      <c r="L2386" s="56" t="n">
        <v>0</v>
      </c>
      <c r="M2386" s="56" t="n">
        <v>69</v>
      </c>
      <c r="N2386" s="56" t="n">
        <v>11.6</v>
      </c>
      <c r="O2386" s="56" t="n">
        <f aca="false">IF(D2386=1,"",E2385)</f>
        <v>26.3</v>
      </c>
      <c r="P2386" s="56" t="n">
        <f aca="false">IF(OR(D2386=1,K2385=""),"",K2385)</f>
        <v>1017.9</v>
      </c>
      <c r="Q2386" s="56" t="n">
        <f aca="false">IF(OR(F2386&lt;&gt;0,AND(I2386&lt;&gt;"",E2386&lt;I2386)),1,0)</f>
        <v>0</v>
      </c>
      <c r="R2386" s="56" t="n">
        <f aca="false">IF(AND(D2386&gt;1,Q2386=0,ISNUMBER(O2386),ISNUMBER(P2386)),IF(Q2385=0,1,0),0)</f>
        <v>1</v>
      </c>
      <c r="S2386" s="56" t="n">
        <f aca="false">R2386*(B2386&gt;=Train_Start)*(B2386&lt;=Train_End)</f>
        <v>1</v>
      </c>
      <c r="T2386" s="84" t="n">
        <f aca="false">IF(AND(ISNUMBER(O2386),ISNUMBER(P2386)),Coef_A+Coef_B1*O2386+Coef_B2*P2386,"")</f>
        <v>25.5670119469554</v>
      </c>
      <c r="U2386" s="84" t="n">
        <f aca="false">IF(AND(R2386=1,ISNUMBER(T2386)),E2386-T2386,"")</f>
        <v>6.2329880530446</v>
      </c>
      <c r="V2386" s="84" t="n">
        <f aca="false">IF(ISNUMBER(T2386),T2386,-99)</f>
        <v>25.5670119469554</v>
      </c>
      <c r="W2386" s="84" t="n">
        <f aca="false">IF(ISNUMBER(U2386),ABS(U2386),"")</f>
        <v>6.2329880530446</v>
      </c>
    </row>
    <row r="2387" customFormat="false" ht="15" hidden="false" customHeight="false" outlineLevel="0" collapsed="false">
      <c r="A2387" s="57" t="n">
        <v>34545</v>
      </c>
      <c r="B2387" s="56" t="n">
        <v>1994</v>
      </c>
      <c r="C2387" s="56" t="n">
        <v>7</v>
      </c>
      <c r="D2387" s="56" t="n">
        <v>91</v>
      </c>
      <c r="E2387" s="56" t="n">
        <v>26.1</v>
      </c>
      <c r="F2387" s="56" t="n">
        <v>0</v>
      </c>
      <c r="G2387" s="56" t="n">
        <v>16.7</v>
      </c>
      <c r="H2387" s="56" t="n">
        <v>0</v>
      </c>
      <c r="I2387" s="56" t="n">
        <v>24.2</v>
      </c>
      <c r="J2387" s="56" t="n">
        <v>0</v>
      </c>
      <c r="K2387" s="56" t="n">
        <v>1010.3</v>
      </c>
      <c r="L2387" s="56" t="n">
        <v>0</v>
      </c>
      <c r="M2387" s="56" t="n">
        <v>68</v>
      </c>
      <c r="N2387" s="56" t="n">
        <v>7.8</v>
      </c>
      <c r="O2387" s="56" t="n">
        <f aca="false">IF(D2387=1,"",E2386)</f>
        <v>31.8</v>
      </c>
      <c r="P2387" s="56" t="n">
        <f aca="false">IF(OR(D2387=1,K2386=""),"",K2386)</f>
        <v>1017.3</v>
      </c>
      <c r="Q2387" s="56" t="n">
        <f aca="false">IF(OR(F2387&lt;&gt;0,AND(I2387&lt;&gt;"",E2387&lt;I2387)),1,0)</f>
        <v>0</v>
      </c>
      <c r="R2387" s="56" t="n">
        <f aca="false">IF(AND(D2387&gt;1,Q2387=0,ISNUMBER(O2387),ISNUMBER(P2387)),IF(Q2386=0,1,0),0)</f>
        <v>1</v>
      </c>
      <c r="S2387" s="56" t="n">
        <f aca="false">R2387*(B2387&gt;=Train_Start)*(B2387&lt;=Train_End)</f>
        <v>1</v>
      </c>
      <c r="T2387" s="84" t="n">
        <f aca="false">IF(AND(ISNUMBER(O2387),ISNUMBER(P2387)),Coef_A+Coef_B1*O2387+Coef_B2*P2387,"")</f>
        <v>30.0545555719096</v>
      </c>
      <c r="U2387" s="84" t="n">
        <f aca="false">IF(AND(R2387=1,ISNUMBER(T2387)),E2387-T2387,"")</f>
        <v>-3.95455557190962</v>
      </c>
      <c r="V2387" s="84" t="n">
        <f aca="false">IF(ISNUMBER(T2387),T2387,-99)</f>
        <v>30.0545555719096</v>
      </c>
      <c r="W2387" s="84" t="n">
        <f aca="false">IF(ISNUMBER(U2387),ABS(U2387),"")</f>
        <v>3.95455557190962</v>
      </c>
    </row>
    <row r="2388" customFormat="false" ht="15" hidden="false" customHeight="false" outlineLevel="0" collapsed="false">
      <c r="A2388" s="57" t="n">
        <v>34546</v>
      </c>
      <c r="B2388" s="56" t="n">
        <v>1994</v>
      </c>
      <c r="C2388" s="56" t="n">
        <v>7</v>
      </c>
      <c r="D2388" s="56" t="n">
        <v>92</v>
      </c>
      <c r="E2388" s="56" t="n">
        <v>24.5</v>
      </c>
      <c r="F2388" s="56" t="n">
        <v>0</v>
      </c>
      <c r="G2388" s="56" t="n">
        <v>20.1</v>
      </c>
      <c r="H2388" s="56" t="n">
        <v>0</v>
      </c>
      <c r="I2388" s="56" t="n">
        <v>23.1</v>
      </c>
      <c r="J2388" s="56" t="n">
        <v>0</v>
      </c>
      <c r="K2388" s="56" t="n">
        <v>1008.3</v>
      </c>
      <c r="L2388" s="56" t="n">
        <v>0</v>
      </c>
      <c r="M2388" s="56" t="n">
        <v>75</v>
      </c>
      <c r="N2388" s="56" t="n">
        <v>4.8</v>
      </c>
      <c r="O2388" s="56" t="n">
        <f aca="false">IF(D2388=1,"",E2387)</f>
        <v>26.1</v>
      </c>
      <c r="P2388" s="56" t="n">
        <f aca="false">IF(OR(D2388=1,K2387=""),"",K2387)</f>
        <v>1010.3</v>
      </c>
      <c r="Q2388" s="56" t="n">
        <f aca="false">IF(OR(F2388&lt;&gt;0,AND(I2388&lt;&gt;"",E2388&lt;I2388)),1,0)</f>
        <v>0</v>
      </c>
      <c r="R2388" s="56" t="n">
        <f aca="false">IF(AND(D2388&gt;1,Q2388=0,ISNUMBER(O2388),ISNUMBER(P2388)),IF(Q2387=0,1,0),0)</f>
        <v>1</v>
      </c>
      <c r="S2388" s="56" t="n">
        <f aca="false">R2388*(B2388&gt;=Train_Start)*(B2388&lt;=Train_End)</f>
        <v>1</v>
      </c>
      <c r="T2388" s="84" t="n">
        <f aca="false">IF(AND(ISNUMBER(O2388),ISNUMBER(P2388)),Coef_A+Coef_B1*O2388+Coef_B2*P2388,"")</f>
        <v>25.1647329091285</v>
      </c>
      <c r="U2388" s="84" t="n">
        <f aca="false">IF(AND(R2388=1,ISNUMBER(T2388)),E2388-T2388,"")</f>
        <v>-0.664732909128542</v>
      </c>
      <c r="V2388" s="84" t="n">
        <f aca="false">IF(ISNUMBER(T2388),T2388,-99)</f>
        <v>25.1647329091285</v>
      </c>
      <c r="W2388" s="84" t="n">
        <f aca="false">IF(ISNUMBER(U2388),ABS(U2388),"")</f>
        <v>0.664732909128542</v>
      </c>
    </row>
    <row r="2389" customFormat="false" ht="15" hidden="false" customHeight="false" outlineLevel="0" collapsed="false">
      <c r="A2389" s="57" t="n">
        <v>34547</v>
      </c>
      <c r="B2389" s="56" t="n">
        <v>1994</v>
      </c>
      <c r="C2389" s="56" t="n">
        <v>8</v>
      </c>
      <c r="D2389" s="56" t="n">
        <v>93</v>
      </c>
      <c r="E2389" s="56" t="n">
        <v>23.9</v>
      </c>
      <c r="F2389" s="56" t="n">
        <v>0</v>
      </c>
      <c r="G2389" s="56" t="n">
        <v>16.6</v>
      </c>
      <c r="H2389" s="56" t="n">
        <v>0</v>
      </c>
      <c r="I2389" s="56" t="n">
        <v>20.6</v>
      </c>
      <c r="J2389" s="56" t="n">
        <v>0</v>
      </c>
      <c r="K2389" s="56" t="n">
        <v>1011.8</v>
      </c>
      <c r="L2389" s="56" t="n">
        <v>0</v>
      </c>
      <c r="M2389" s="56" t="n">
        <v>71</v>
      </c>
      <c r="N2389" s="56" t="n">
        <v>8.1</v>
      </c>
      <c r="O2389" s="56" t="n">
        <f aca="false">IF(D2389=1,"",E2388)</f>
        <v>24.5</v>
      </c>
      <c r="P2389" s="56" t="n">
        <f aca="false">IF(OR(D2389=1,K2388=""),"",K2388)</f>
        <v>1008.3</v>
      </c>
      <c r="Q2389" s="56" t="n">
        <f aca="false">IF(OR(F2389&lt;&gt;0,AND(I2389&lt;&gt;"",E2389&lt;I2389)),1,0)</f>
        <v>0</v>
      </c>
      <c r="R2389" s="56" t="n">
        <f aca="false">IF(AND(D2389&gt;1,Q2389=0,ISNUMBER(O2389),ISNUMBER(P2389)),IF(Q2388=0,1,0),0)</f>
        <v>1</v>
      </c>
      <c r="S2389" s="56" t="n">
        <f aca="false">R2389*(B2389&gt;=Train_Start)*(B2389&lt;=Train_End)</f>
        <v>1</v>
      </c>
      <c r="T2389" s="84" t="n">
        <f aca="false">IF(AND(ISNUMBER(O2389),ISNUMBER(P2389)),Coef_A+Coef_B1*O2389+Coef_B2*P2389,"")</f>
        <v>23.7910504109923</v>
      </c>
      <c r="U2389" s="84" t="n">
        <f aca="false">IF(AND(R2389=1,ISNUMBER(T2389)),E2389-T2389,"")</f>
        <v>0.108949589007686</v>
      </c>
      <c r="V2389" s="84" t="n">
        <f aca="false">IF(ISNUMBER(T2389),T2389,-99)</f>
        <v>23.7910504109923</v>
      </c>
      <c r="W2389" s="84" t="n">
        <f aca="false">IF(ISNUMBER(U2389),ABS(U2389),"")</f>
        <v>0.108949589007686</v>
      </c>
    </row>
    <row r="2390" customFormat="false" ht="15" hidden="false" customHeight="false" outlineLevel="0" collapsed="false">
      <c r="A2390" s="57" t="n">
        <v>34548</v>
      </c>
      <c r="B2390" s="56" t="n">
        <v>1994</v>
      </c>
      <c r="C2390" s="56" t="n">
        <v>8</v>
      </c>
      <c r="D2390" s="56" t="n">
        <v>94</v>
      </c>
      <c r="E2390" s="56" t="n">
        <v>31</v>
      </c>
      <c r="F2390" s="56" t="n">
        <v>0</v>
      </c>
      <c r="G2390" s="56" t="n">
        <v>14</v>
      </c>
      <c r="H2390" s="56" t="n">
        <v>0</v>
      </c>
      <c r="I2390" s="56" t="n">
        <v>19</v>
      </c>
      <c r="J2390" s="56" t="n">
        <v>0</v>
      </c>
      <c r="K2390" s="56" t="n">
        <v>1016.8</v>
      </c>
      <c r="L2390" s="56" t="n">
        <v>0</v>
      </c>
      <c r="M2390" s="56" t="n">
        <v>76</v>
      </c>
      <c r="N2390" s="56" t="n">
        <v>1.1</v>
      </c>
      <c r="O2390" s="56" t="n">
        <f aca="false">IF(D2390=1,"",E2389)</f>
        <v>23.9</v>
      </c>
      <c r="P2390" s="56" t="n">
        <f aca="false">IF(OR(D2390=1,K2389=""),"",K2389)</f>
        <v>1011.8</v>
      </c>
      <c r="Q2390" s="56" t="n">
        <f aca="false">IF(OR(F2390&lt;&gt;0,AND(I2390&lt;&gt;"",E2390&lt;I2390)),1,0)</f>
        <v>0</v>
      </c>
      <c r="R2390" s="56" t="n">
        <f aca="false">IF(AND(D2390&gt;1,Q2390=0,ISNUMBER(O2390),ISNUMBER(P2390)),IF(Q2389=0,1,0),0)</f>
        <v>1</v>
      </c>
      <c r="S2390" s="56" t="n">
        <f aca="false">R2390*(B2390&gt;=Train_Start)*(B2390&lt;=Train_End)</f>
        <v>1</v>
      </c>
      <c r="T2390" s="84" t="n">
        <f aca="false">IF(AND(ISNUMBER(O2390),ISNUMBER(P2390)),Coef_A+Coef_B1*O2390+Coef_B2*P2390,"")</f>
        <v>23.4092415263857</v>
      </c>
      <c r="U2390" s="84" t="n">
        <f aca="false">IF(AND(R2390=1,ISNUMBER(T2390)),E2390-T2390,"")</f>
        <v>7.59075847361432</v>
      </c>
      <c r="V2390" s="84" t="n">
        <f aca="false">IF(ISNUMBER(T2390),T2390,-99)</f>
        <v>23.4092415263857</v>
      </c>
      <c r="W2390" s="84" t="n">
        <f aca="false">IF(ISNUMBER(U2390),ABS(U2390),"")</f>
        <v>7.59075847361432</v>
      </c>
    </row>
    <row r="2391" customFormat="false" ht="15" hidden="false" customHeight="false" outlineLevel="0" collapsed="false">
      <c r="A2391" s="57" t="n">
        <v>34549</v>
      </c>
      <c r="B2391" s="56" t="n">
        <v>1994</v>
      </c>
      <c r="C2391" s="56" t="n">
        <v>8</v>
      </c>
      <c r="D2391" s="56" t="n">
        <v>95</v>
      </c>
      <c r="E2391" s="56" t="n">
        <v>25.2</v>
      </c>
      <c r="F2391" s="56" t="n">
        <v>0</v>
      </c>
      <c r="G2391" s="56" t="n">
        <v>17.1</v>
      </c>
      <c r="H2391" s="56" t="n">
        <v>0</v>
      </c>
      <c r="I2391" s="56" t="n">
        <v>24</v>
      </c>
      <c r="J2391" s="56" t="n">
        <v>0</v>
      </c>
      <c r="K2391" s="56" t="n">
        <v>1017.6</v>
      </c>
      <c r="L2391" s="56" t="n">
        <v>0</v>
      </c>
      <c r="M2391" s="56" t="n">
        <v>65</v>
      </c>
      <c r="N2391" s="56" t="n">
        <v>8.7</v>
      </c>
      <c r="O2391" s="56" t="n">
        <f aca="false">IF(D2391=1,"",E2390)</f>
        <v>31</v>
      </c>
      <c r="P2391" s="56" t="n">
        <f aca="false">IF(OR(D2391=1,K2390=""),"",K2390)</f>
        <v>1016.8</v>
      </c>
      <c r="Q2391" s="56" t="n">
        <f aca="false">IF(OR(F2391&lt;&gt;0,AND(I2391&lt;&gt;"",E2391&lt;I2391)),1,0)</f>
        <v>0</v>
      </c>
      <c r="R2391" s="56" t="n">
        <f aca="false">IF(AND(D2391&gt;1,Q2391=0,ISNUMBER(O2391),ISNUMBER(P2391)),IF(Q2390=0,1,0),0)</f>
        <v>1</v>
      </c>
      <c r="S2391" s="56" t="n">
        <f aca="false">R2391*(B2391&gt;=Train_Start)*(B2391&lt;=Train_End)</f>
        <v>1</v>
      </c>
      <c r="T2391" s="84" t="n">
        <f aca="false">IF(AND(ISNUMBER(O2391),ISNUMBER(P2391)),Coef_A+Coef_B1*O2391+Coef_B2*P2391,"")</f>
        <v>29.3833992701585</v>
      </c>
      <c r="U2391" s="84" t="n">
        <f aca="false">IF(AND(R2391=1,ISNUMBER(T2391)),E2391-T2391,"")</f>
        <v>-4.1833992701585</v>
      </c>
      <c r="V2391" s="84" t="n">
        <f aca="false">IF(ISNUMBER(T2391),T2391,-99)</f>
        <v>29.3833992701585</v>
      </c>
      <c r="W2391" s="84" t="n">
        <f aca="false">IF(ISNUMBER(U2391),ABS(U2391),"")</f>
        <v>4.1833992701585</v>
      </c>
    </row>
    <row r="2392" customFormat="false" ht="15" hidden="false" customHeight="false" outlineLevel="0" collapsed="false">
      <c r="A2392" s="57" t="n">
        <v>34550</v>
      </c>
      <c r="B2392" s="56" t="n">
        <v>1994</v>
      </c>
      <c r="C2392" s="56" t="n">
        <v>8</v>
      </c>
      <c r="D2392" s="56" t="n">
        <v>96</v>
      </c>
      <c r="E2392" s="56" t="n">
        <v>27.4</v>
      </c>
      <c r="F2392" s="56" t="n">
        <v>0</v>
      </c>
      <c r="G2392" s="56" t="n">
        <v>20.7</v>
      </c>
      <c r="H2392" s="56" t="n">
        <v>0</v>
      </c>
      <c r="I2392" s="56" t="n">
        <v>23</v>
      </c>
      <c r="J2392" s="56" t="n">
        <v>0</v>
      </c>
      <c r="K2392" s="56" t="n">
        <v>1015.8</v>
      </c>
      <c r="L2392" s="56" t="n">
        <v>0</v>
      </c>
      <c r="M2392" s="56" t="n">
        <v>73</v>
      </c>
      <c r="N2392" s="56" t="n">
        <v>0.4</v>
      </c>
      <c r="O2392" s="56" t="n">
        <f aca="false">IF(D2392=1,"",E2391)</f>
        <v>25.2</v>
      </c>
      <c r="P2392" s="56" t="n">
        <f aca="false">IF(OR(D2392=1,K2391=""),"",K2391)</f>
        <v>1017.6</v>
      </c>
      <c r="Q2392" s="56" t="n">
        <f aca="false">IF(OR(F2392&lt;&gt;0,AND(I2392&lt;&gt;"",E2392&lt;I2392)),1,0)</f>
        <v>0</v>
      </c>
      <c r="R2392" s="56" t="n">
        <f aca="false">IF(AND(D2392&gt;1,Q2392=0,ISNUMBER(O2392),ISNUMBER(P2392)),IF(Q2391=0,1,0),0)</f>
        <v>1</v>
      </c>
      <c r="S2392" s="56" t="n">
        <f aca="false">R2392*(B2392&gt;=Train_Start)*(B2392&lt;=Train_End)</f>
        <v>1</v>
      </c>
      <c r="T2392" s="84" t="n">
        <f aca="false">IF(AND(ISNUMBER(O2392),ISNUMBER(P2392)),Coef_A+Coef_B1*O2392+Coef_B2*P2392,"")</f>
        <v>24.6563278662183</v>
      </c>
      <c r="U2392" s="84" t="n">
        <f aca="false">IF(AND(R2392=1,ISNUMBER(T2392)),E2392-T2392,"")</f>
        <v>2.74367213378172</v>
      </c>
      <c r="V2392" s="84" t="n">
        <f aca="false">IF(ISNUMBER(T2392),T2392,-99)</f>
        <v>24.6563278662183</v>
      </c>
      <c r="W2392" s="84" t="n">
        <f aca="false">IF(ISNUMBER(U2392),ABS(U2392),"")</f>
        <v>2.74367213378172</v>
      </c>
    </row>
    <row r="2393" customFormat="false" ht="15" hidden="false" customHeight="false" outlineLevel="0" collapsed="false">
      <c r="A2393" s="57" t="n">
        <v>34551</v>
      </c>
      <c r="B2393" s="56" t="n">
        <v>1994</v>
      </c>
      <c r="C2393" s="56" t="n">
        <v>8</v>
      </c>
      <c r="D2393" s="56" t="n">
        <v>97</v>
      </c>
      <c r="E2393" s="56" t="n">
        <v>27.2</v>
      </c>
      <c r="F2393" s="56" t="n">
        <v>0</v>
      </c>
      <c r="G2393" s="56" t="n">
        <v>17.3</v>
      </c>
      <c r="H2393" s="56" t="n">
        <v>0</v>
      </c>
      <c r="I2393" s="56" t="n">
        <v>22.4</v>
      </c>
      <c r="J2393" s="56" t="n">
        <v>0</v>
      </c>
      <c r="K2393" s="56" t="n">
        <v>1019.4</v>
      </c>
      <c r="L2393" s="56" t="n">
        <v>0</v>
      </c>
      <c r="M2393" s="56" t="n">
        <v>65</v>
      </c>
      <c r="N2393" s="56" t="n">
        <v>8</v>
      </c>
      <c r="O2393" s="56" t="n">
        <f aca="false">IF(D2393=1,"",E2392)</f>
        <v>27.4</v>
      </c>
      <c r="P2393" s="56" t="n">
        <f aca="false">IF(OR(D2393=1,K2392=""),"",K2392)</f>
        <v>1015.8</v>
      </c>
      <c r="Q2393" s="56" t="n">
        <f aca="false">IF(OR(F2393&lt;&gt;0,AND(I2393&lt;&gt;"",E2393&lt;I2393)),1,0)</f>
        <v>0</v>
      </c>
      <c r="R2393" s="56" t="n">
        <f aca="false">IF(AND(D2393&gt;1,Q2393=0,ISNUMBER(O2393),ISNUMBER(P2393)),IF(Q2392=0,1,0),0)</f>
        <v>1</v>
      </c>
      <c r="S2393" s="56" t="n">
        <f aca="false">R2393*(B2393&gt;=Train_Start)*(B2393&lt;=Train_End)</f>
        <v>1</v>
      </c>
      <c r="T2393" s="84" t="n">
        <f aca="false">IF(AND(ISNUMBER(O2393),ISNUMBER(P2393)),Coef_A+Coef_B1*O2393+Coef_B2*P2393,"")</f>
        <v>26.4024082805709</v>
      </c>
      <c r="U2393" s="84" t="n">
        <f aca="false">IF(AND(R2393=1,ISNUMBER(T2393)),E2393-T2393,"")</f>
        <v>0.797591719429061</v>
      </c>
      <c r="V2393" s="84" t="n">
        <f aca="false">IF(ISNUMBER(T2393),T2393,-99)</f>
        <v>26.4024082805709</v>
      </c>
      <c r="W2393" s="84" t="n">
        <f aca="false">IF(ISNUMBER(U2393),ABS(U2393),"")</f>
        <v>0.797591719429061</v>
      </c>
    </row>
    <row r="2394" customFormat="false" ht="15" hidden="false" customHeight="false" outlineLevel="0" collapsed="false">
      <c r="A2394" s="57" t="n">
        <v>34552</v>
      </c>
      <c r="B2394" s="56" t="n">
        <v>1994</v>
      </c>
      <c r="C2394" s="56" t="n">
        <v>8</v>
      </c>
      <c r="D2394" s="56" t="n">
        <v>98</v>
      </c>
      <c r="E2394" s="56" t="n">
        <v>23.9</v>
      </c>
      <c r="F2394" s="56" t="n">
        <v>0</v>
      </c>
      <c r="G2394" s="56" t="n">
        <v>16.5</v>
      </c>
      <c r="H2394" s="56" t="n">
        <v>0</v>
      </c>
      <c r="I2394" s="56" t="n">
        <v>21.8</v>
      </c>
      <c r="J2394" s="56" t="n">
        <v>0</v>
      </c>
      <c r="K2394" s="56" t="n">
        <v>1022.3</v>
      </c>
      <c r="L2394" s="56" t="n">
        <v>0</v>
      </c>
      <c r="M2394" s="56" t="n">
        <v>63</v>
      </c>
      <c r="N2394" s="56" t="n">
        <v>2</v>
      </c>
      <c r="O2394" s="56" t="n">
        <f aca="false">IF(D2394=1,"",E2393)</f>
        <v>27.2</v>
      </c>
      <c r="P2394" s="56" t="n">
        <f aca="false">IF(OR(D2394=1,K2393=""),"",K2393)</f>
        <v>1019.4</v>
      </c>
      <c r="Q2394" s="56" t="n">
        <f aca="false">IF(OR(F2394&lt;&gt;0,AND(I2394&lt;&gt;"",E2394&lt;I2394)),1,0)</f>
        <v>0</v>
      </c>
      <c r="R2394" s="56" t="n">
        <f aca="false">IF(AND(D2394&gt;1,Q2394=0,ISNUMBER(O2394),ISNUMBER(P2394)),IF(Q2393=0,1,0),0)</f>
        <v>1</v>
      </c>
      <c r="S2394" s="56" t="n">
        <f aca="false">R2394*(B2394&gt;=Train_Start)*(B2394&lt;=Train_End)</f>
        <v>1</v>
      </c>
      <c r="T2394" s="84" t="n">
        <f aca="false">IF(AND(ISNUMBER(O2394),ISNUMBER(P2394)),Coef_A+Coef_B1*O2394+Coef_B2*P2394,"")</f>
        <v>26.3514720626448</v>
      </c>
      <c r="U2394" s="84" t="n">
        <f aca="false">IF(AND(R2394=1,ISNUMBER(T2394)),E2394-T2394,"")</f>
        <v>-2.45147206264477</v>
      </c>
      <c r="V2394" s="84" t="n">
        <f aca="false">IF(ISNUMBER(T2394),T2394,-99)</f>
        <v>26.3514720626448</v>
      </c>
      <c r="W2394" s="84" t="n">
        <f aca="false">IF(ISNUMBER(U2394),ABS(U2394),"")</f>
        <v>2.45147206264477</v>
      </c>
    </row>
    <row r="2395" customFormat="false" ht="15" hidden="false" customHeight="false" outlineLevel="0" collapsed="false">
      <c r="A2395" s="57" t="n">
        <v>34553</v>
      </c>
      <c r="B2395" s="56" t="n">
        <v>1994</v>
      </c>
      <c r="C2395" s="56" t="n">
        <v>8</v>
      </c>
      <c r="D2395" s="56" t="n">
        <v>99</v>
      </c>
      <c r="E2395" s="56" t="n">
        <v>24.5</v>
      </c>
      <c r="F2395" s="56" t="n">
        <v>0</v>
      </c>
      <c r="G2395" s="56" t="n">
        <v>16.9</v>
      </c>
      <c r="H2395" s="56" t="n">
        <v>0</v>
      </c>
      <c r="I2395" s="56" t="n">
        <v>20.4</v>
      </c>
      <c r="J2395" s="56" t="n">
        <v>0</v>
      </c>
      <c r="K2395" s="56" t="n">
        <v>1021.9</v>
      </c>
      <c r="L2395" s="56" t="n">
        <v>0</v>
      </c>
      <c r="M2395" s="56" t="n">
        <v>66</v>
      </c>
      <c r="N2395" s="56" t="n">
        <v>2</v>
      </c>
      <c r="O2395" s="56" t="n">
        <f aca="false">IF(D2395=1,"",E2394)</f>
        <v>23.9</v>
      </c>
      <c r="P2395" s="56" t="n">
        <f aca="false">IF(OR(D2395=1,K2394=""),"",K2394)</f>
        <v>1022.3</v>
      </c>
      <c r="Q2395" s="56" t="n">
        <f aca="false">IF(OR(F2395&lt;&gt;0,AND(I2395&lt;&gt;"",E2395&lt;I2395)),1,0)</f>
        <v>0</v>
      </c>
      <c r="R2395" s="56" t="n">
        <f aca="false">IF(AND(D2395&gt;1,Q2395=0,ISNUMBER(O2395),ISNUMBER(P2395)),IF(Q2394=0,1,0),0)</f>
        <v>1</v>
      </c>
      <c r="S2395" s="56" t="n">
        <f aca="false">R2395*(B2395&gt;=Train_Start)*(B2395&lt;=Train_End)</f>
        <v>1</v>
      </c>
      <c r="T2395" s="84" t="n">
        <f aca="false">IF(AND(ISNUMBER(O2395),ISNUMBER(P2395)),Coef_A+Coef_B1*O2395+Coef_B2*P2395,"")</f>
        <v>23.7386254200426</v>
      </c>
      <c r="U2395" s="84" t="n">
        <f aca="false">IF(AND(R2395=1,ISNUMBER(T2395)),E2395-T2395,"")</f>
        <v>0.76137457995743</v>
      </c>
      <c r="V2395" s="84" t="n">
        <f aca="false">IF(ISNUMBER(T2395),T2395,-99)</f>
        <v>23.7386254200426</v>
      </c>
      <c r="W2395" s="84" t="n">
        <f aca="false">IF(ISNUMBER(U2395),ABS(U2395),"")</f>
        <v>0.76137457995743</v>
      </c>
    </row>
    <row r="2396" customFormat="false" ht="15" hidden="false" customHeight="false" outlineLevel="0" collapsed="false">
      <c r="A2396" s="57" t="n">
        <v>34554</v>
      </c>
      <c r="B2396" s="56" t="n">
        <v>1994</v>
      </c>
      <c r="C2396" s="56" t="n">
        <v>8</v>
      </c>
      <c r="D2396" s="56" t="n">
        <v>100</v>
      </c>
      <c r="E2396" s="56" t="n">
        <v>23.8</v>
      </c>
      <c r="F2396" s="56" t="n">
        <v>0</v>
      </c>
      <c r="G2396" s="56" t="n">
        <v>15.4</v>
      </c>
      <c r="H2396" s="56" t="n">
        <v>0</v>
      </c>
      <c r="I2396" s="56" t="n">
        <v>20</v>
      </c>
      <c r="J2396" s="56" t="n">
        <v>0</v>
      </c>
      <c r="K2396" s="56" t="n">
        <v>1021.1</v>
      </c>
      <c r="L2396" s="56" t="n">
        <v>0</v>
      </c>
      <c r="M2396" s="56" t="n">
        <v>65</v>
      </c>
      <c r="N2396" s="56" t="n">
        <v>6.9</v>
      </c>
      <c r="O2396" s="56" t="n">
        <f aca="false">IF(D2396=1,"",E2395)</f>
        <v>24.5</v>
      </c>
      <c r="P2396" s="56" t="n">
        <f aca="false">IF(OR(D2396=1,K2395=""),"",K2395)</f>
        <v>1021.9</v>
      </c>
      <c r="Q2396" s="56" t="n">
        <f aca="false">IF(OR(F2396&lt;&gt;0,AND(I2396&lt;&gt;"",E2396&lt;I2396)),1,0)</f>
        <v>0</v>
      </c>
      <c r="R2396" s="56" t="n">
        <f aca="false">IF(AND(D2396&gt;1,Q2396=0,ISNUMBER(O2396),ISNUMBER(P2396)),IF(Q2395=0,1,0),0)</f>
        <v>1</v>
      </c>
      <c r="S2396" s="56" t="n">
        <f aca="false">R2396*(B2396&gt;=Train_Start)*(B2396&lt;=Train_End)</f>
        <v>1</v>
      </c>
      <c r="T2396" s="84" t="n">
        <f aca="false">IF(AND(ISNUMBER(O2396),ISNUMBER(P2396)),Coef_A+Coef_B1*O2396+Coef_B2*P2396,"")</f>
        <v>24.2176809780146</v>
      </c>
      <c r="U2396" s="84" t="n">
        <f aca="false">IF(AND(R2396=1,ISNUMBER(T2396)),E2396-T2396,"")</f>
        <v>-0.417680978014566</v>
      </c>
      <c r="V2396" s="84" t="n">
        <f aca="false">IF(ISNUMBER(T2396),T2396,-99)</f>
        <v>24.2176809780146</v>
      </c>
      <c r="W2396" s="84" t="n">
        <f aca="false">IF(ISNUMBER(U2396),ABS(U2396),"")</f>
        <v>0.417680978014566</v>
      </c>
    </row>
    <row r="2397" customFormat="false" ht="15" hidden="false" customHeight="false" outlineLevel="0" collapsed="false">
      <c r="A2397" s="57" t="n">
        <v>34555</v>
      </c>
      <c r="B2397" s="56" t="n">
        <v>1994</v>
      </c>
      <c r="C2397" s="56" t="n">
        <v>8</v>
      </c>
      <c r="D2397" s="56" t="n">
        <v>101</v>
      </c>
      <c r="E2397" s="56" t="n">
        <v>19</v>
      </c>
      <c r="F2397" s="56" t="n">
        <v>0</v>
      </c>
      <c r="G2397" s="56" t="n">
        <v>13.7</v>
      </c>
      <c r="H2397" s="56" t="n">
        <v>0</v>
      </c>
      <c r="I2397" s="56" t="n">
        <v>18.8</v>
      </c>
      <c r="J2397" s="56" t="n">
        <v>0</v>
      </c>
      <c r="K2397" s="56" t="n">
        <v>1015.3</v>
      </c>
      <c r="L2397" s="56" t="n">
        <v>0</v>
      </c>
      <c r="M2397" s="56" t="n">
        <v>67</v>
      </c>
      <c r="N2397" s="56" t="n">
        <v>7.3</v>
      </c>
      <c r="O2397" s="56" t="n">
        <f aca="false">IF(D2397=1,"",E2396)</f>
        <v>23.8</v>
      </c>
      <c r="P2397" s="56" t="n">
        <f aca="false">IF(OR(D2397=1,K2396=""),"",K2396)</f>
        <v>1021.1</v>
      </c>
      <c r="Q2397" s="56" t="n">
        <f aca="false">IF(OR(F2397&lt;&gt;0,AND(I2397&lt;&gt;"",E2397&lt;I2397)),1,0)</f>
        <v>0</v>
      </c>
      <c r="R2397" s="56" t="n">
        <f aca="false">IF(AND(D2397&gt;1,Q2397=0,ISNUMBER(O2397),ISNUMBER(P2397)),IF(Q2396=0,1,0),0)</f>
        <v>1</v>
      </c>
      <c r="S2397" s="56" t="n">
        <f aca="false">R2397*(B2397&gt;=Train_Start)*(B2397&lt;=Train_End)</f>
        <v>1</v>
      </c>
      <c r="T2397" s="84" t="n">
        <f aca="false">IF(AND(ISNUMBER(O2397),ISNUMBER(P2397)),Coef_A+Coef_B1*O2397+Coef_B2*P2397,"")</f>
        <v>23.6190476271775</v>
      </c>
      <c r="U2397" s="84" t="n">
        <f aca="false">IF(AND(R2397=1,ISNUMBER(T2397)),E2397-T2397,"")</f>
        <v>-4.61904762717752</v>
      </c>
      <c r="V2397" s="84" t="n">
        <f aca="false">IF(ISNUMBER(T2397),T2397,-99)</f>
        <v>23.6190476271775</v>
      </c>
      <c r="W2397" s="84" t="n">
        <f aca="false">IF(ISNUMBER(U2397),ABS(U2397),"")</f>
        <v>4.61904762717752</v>
      </c>
    </row>
    <row r="2398" customFormat="false" ht="15" hidden="false" customHeight="false" outlineLevel="0" collapsed="false">
      <c r="A2398" s="57" t="n">
        <v>34556</v>
      </c>
      <c r="B2398" s="56" t="n">
        <v>1994</v>
      </c>
      <c r="C2398" s="56" t="n">
        <v>8</v>
      </c>
      <c r="D2398" s="56" t="n">
        <v>102</v>
      </c>
      <c r="E2398" s="56" t="n">
        <v>18.3</v>
      </c>
      <c r="F2398" s="56" t="n">
        <v>0</v>
      </c>
      <c r="G2398" s="56" t="n">
        <v>15.6</v>
      </c>
      <c r="H2398" s="56" t="n">
        <v>0</v>
      </c>
      <c r="I2398" s="56" t="n">
        <v>17.3</v>
      </c>
      <c r="J2398" s="56" t="n">
        <v>0</v>
      </c>
      <c r="K2398" s="56" t="n">
        <v>1005.4</v>
      </c>
      <c r="L2398" s="56" t="n">
        <v>0</v>
      </c>
      <c r="M2398" s="56" t="n">
        <v>86</v>
      </c>
      <c r="N2398" s="56" t="n">
        <v>0</v>
      </c>
      <c r="O2398" s="56" t="n">
        <f aca="false">IF(D2398=1,"",E2397)</f>
        <v>19</v>
      </c>
      <c r="P2398" s="56" t="n">
        <f aca="false">IF(OR(D2398=1,K2397=""),"",K2397)</f>
        <v>1015.3</v>
      </c>
      <c r="Q2398" s="56" t="n">
        <f aca="false">IF(OR(F2398&lt;&gt;0,AND(I2398&lt;&gt;"",E2398&lt;I2398)),1,0)</f>
        <v>0</v>
      </c>
      <c r="R2398" s="56" t="n">
        <f aca="false">IF(AND(D2398&gt;1,Q2398=0,ISNUMBER(O2398),ISNUMBER(P2398)),IF(Q2397=0,1,0),0)</f>
        <v>1</v>
      </c>
      <c r="S2398" s="56" t="n">
        <f aca="false">R2398*(B2398&gt;=Train_Start)*(B2398&lt;=Train_End)</f>
        <v>1</v>
      </c>
      <c r="T2398" s="84" t="n">
        <f aca="false">IF(AND(ISNUMBER(O2398),ISNUMBER(P2398)),Coef_A+Coef_B1*O2398+Coef_B2*P2398,"")</f>
        <v>19.5042741116956</v>
      </c>
      <c r="U2398" s="84" t="n">
        <f aca="false">IF(AND(R2398=1,ISNUMBER(T2398)),E2398-T2398,"")</f>
        <v>-1.20427411169562</v>
      </c>
      <c r="V2398" s="84" t="n">
        <f aca="false">IF(ISNUMBER(T2398),T2398,-99)</f>
        <v>19.5042741116956</v>
      </c>
      <c r="W2398" s="84" t="n">
        <f aca="false">IF(ISNUMBER(U2398),ABS(U2398),"")</f>
        <v>1.20427411169562</v>
      </c>
    </row>
    <row r="2399" customFormat="false" ht="15" hidden="false" customHeight="false" outlineLevel="0" collapsed="false">
      <c r="A2399" s="57" t="n">
        <v>34557</v>
      </c>
      <c r="B2399" s="56" t="n">
        <v>1994</v>
      </c>
      <c r="C2399" s="56" t="n">
        <v>8</v>
      </c>
      <c r="D2399" s="56" t="n">
        <v>103</v>
      </c>
      <c r="E2399" s="56" t="n">
        <v>20.1</v>
      </c>
      <c r="F2399" s="56" t="n">
        <v>0</v>
      </c>
      <c r="G2399" s="56" t="n">
        <v>15.3</v>
      </c>
      <c r="H2399" s="56" t="n">
        <v>0</v>
      </c>
      <c r="I2399" s="56" t="n">
        <v>16.8</v>
      </c>
      <c r="J2399" s="56" t="n">
        <v>0</v>
      </c>
      <c r="K2399" s="56" t="n">
        <v>1007.8</v>
      </c>
      <c r="L2399" s="56" t="n">
        <v>0</v>
      </c>
      <c r="M2399" s="56" t="n">
        <v>90</v>
      </c>
      <c r="N2399" s="56" t="n">
        <v>0</v>
      </c>
      <c r="O2399" s="56" t="n">
        <f aca="false">IF(D2399=1,"",E2398)</f>
        <v>18.3</v>
      </c>
      <c r="P2399" s="56" t="n">
        <f aca="false">IF(OR(D2399=1,K2398=""),"",K2398)</f>
        <v>1005.4</v>
      </c>
      <c r="Q2399" s="56" t="n">
        <f aca="false">IF(OR(F2399&lt;&gt;0,AND(I2399&lt;&gt;"",E2399&lt;I2399)),1,0)</f>
        <v>0</v>
      </c>
      <c r="R2399" s="56" t="n">
        <f aca="false">IF(AND(D2399&gt;1,Q2399=0,ISNUMBER(O2399),ISNUMBER(P2399)),IF(Q2398=0,1,0),0)</f>
        <v>1</v>
      </c>
      <c r="S2399" s="56" t="n">
        <f aca="false">R2399*(B2399&gt;=Train_Start)*(B2399&lt;=Train_End)</f>
        <v>1</v>
      </c>
      <c r="T2399" s="84" t="n">
        <f aca="false">IF(AND(ISNUMBER(O2399),ISNUMBER(P2399)),Coef_A+Coef_B1*O2399+Coef_B2*P2399,"")</f>
        <v>18.6201747196893</v>
      </c>
      <c r="U2399" s="84" t="n">
        <f aca="false">IF(AND(R2399=1,ISNUMBER(T2399)),E2399-T2399,"")</f>
        <v>1.47982528031073</v>
      </c>
      <c r="V2399" s="84" t="n">
        <f aca="false">IF(ISNUMBER(T2399),T2399,-99)</f>
        <v>18.6201747196893</v>
      </c>
      <c r="W2399" s="84" t="n">
        <f aca="false">IF(ISNUMBER(U2399),ABS(U2399),"")</f>
        <v>1.47982528031073</v>
      </c>
    </row>
    <row r="2400" customFormat="false" ht="15" hidden="false" customHeight="false" outlineLevel="0" collapsed="false">
      <c r="A2400" s="57" t="n">
        <v>34558</v>
      </c>
      <c r="B2400" s="56" t="n">
        <v>1994</v>
      </c>
      <c r="C2400" s="56" t="n">
        <v>8</v>
      </c>
      <c r="D2400" s="56" t="n">
        <v>104</v>
      </c>
      <c r="E2400" s="56" t="n">
        <v>21.6</v>
      </c>
      <c r="F2400" s="56" t="n">
        <v>0</v>
      </c>
      <c r="G2400" s="56" t="n">
        <v>14.3</v>
      </c>
      <c r="H2400" s="56" t="n">
        <v>0</v>
      </c>
      <c r="I2400" s="56" t="n">
        <v>17.2</v>
      </c>
      <c r="J2400" s="56" t="n">
        <v>0</v>
      </c>
      <c r="K2400" s="56" t="n">
        <v>1015.9</v>
      </c>
      <c r="L2400" s="56" t="n">
        <v>0</v>
      </c>
      <c r="M2400" s="56" t="n">
        <v>74</v>
      </c>
      <c r="N2400" s="56" t="n">
        <v>2.2</v>
      </c>
      <c r="O2400" s="56" t="n">
        <f aca="false">IF(D2400=1,"",E2399)</f>
        <v>20.1</v>
      </c>
      <c r="P2400" s="56" t="n">
        <f aca="false">IF(OR(D2400=1,K2399=""),"",K2399)</f>
        <v>1007.8</v>
      </c>
      <c r="Q2400" s="56" t="n">
        <f aca="false">IF(OR(F2400&lt;&gt;0,AND(I2400&lt;&gt;"",E2400&lt;I2400)),1,0)</f>
        <v>0</v>
      </c>
      <c r="R2400" s="56" t="n">
        <f aca="false">IF(AND(D2400&gt;1,Q2400=0,ISNUMBER(O2400),ISNUMBER(P2400)),IF(Q2399=0,1,0),0)</f>
        <v>1</v>
      </c>
      <c r="S2400" s="56" t="n">
        <f aca="false">R2400*(B2400&gt;=Train_Start)*(B2400&lt;=Train_End)</f>
        <v>1</v>
      </c>
      <c r="T2400" s="84" t="n">
        <f aca="false">IF(AND(ISNUMBER(O2400),ISNUMBER(P2400)),Coef_A+Coef_B1*O2400+Coef_B2*P2400,"")</f>
        <v>20.1702730142876</v>
      </c>
      <c r="U2400" s="84" t="n">
        <f aca="false">IF(AND(R2400=1,ISNUMBER(T2400)),E2400-T2400,"")</f>
        <v>1.42972698571237</v>
      </c>
      <c r="V2400" s="84" t="n">
        <f aca="false">IF(ISNUMBER(T2400),T2400,-99)</f>
        <v>20.1702730142876</v>
      </c>
      <c r="W2400" s="84" t="n">
        <f aca="false">IF(ISNUMBER(U2400),ABS(U2400),"")</f>
        <v>1.42972698571237</v>
      </c>
    </row>
    <row r="2401" customFormat="false" ht="15" hidden="false" customHeight="false" outlineLevel="0" collapsed="false">
      <c r="A2401" s="57" t="n">
        <v>34559</v>
      </c>
      <c r="B2401" s="56" t="n">
        <v>1994</v>
      </c>
      <c r="C2401" s="56" t="n">
        <v>8</v>
      </c>
      <c r="D2401" s="56" t="n">
        <v>105</v>
      </c>
      <c r="E2401" s="56" t="n">
        <v>20.6</v>
      </c>
      <c r="F2401" s="56" t="n">
        <v>0</v>
      </c>
      <c r="G2401" s="56" t="n">
        <v>9.9</v>
      </c>
      <c r="H2401" s="56" t="n">
        <v>0</v>
      </c>
      <c r="I2401" s="56" t="n">
        <v>15.8</v>
      </c>
      <c r="J2401" s="56" t="n">
        <v>0</v>
      </c>
      <c r="K2401" s="56" t="n">
        <v>1021.2</v>
      </c>
      <c r="L2401" s="56" t="n">
        <v>0</v>
      </c>
      <c r="M2401" s="56" t="n">
        <v>58</v>
      </c>
      <c r="N2401" s="56" t="n">
        <v>9.7</v>
      </c>
      <c r="O2401" s="56" t="n">
        <f aca="false">IF(D2401=1,"",E2400)</f>
        <v>21.6</v>
      </c>
      <c r="P2401" s="56" t="n">
        <f aca="false">IF(OR(D2401=1,K2400=""),"",K2400)</f>
        <v>1015.9</v>
      </c>
      <c r="Q2401" s="56" t="n">
        <f aca="false">IF(OR(F2401&lt;&gt;0,AND(I2401&lt;&gt;"",E2401&lt;I2401)),1,0)</f>
        <v>0</v>
      </c>
      <c r="R2401" s="56" t="n">
        <f aca="false">IF(AND(D2401&gt;1,Q2401=0,ISNUMBER(O2401),ISNUMBER(P2401)),IF(Q2400=0,1,0),0)</f>
        <v>1</v>
      </c>
      <c r="S2401" s="56" t="n">
        <f aca="false">R2401*(B2401&gt;=Train_Start)*(B2401&lt;=Train_End)</f>
        <v>1</v>
      </c>
      <c r="T2401" s="84" t="n">
        <f aca="false">IF(AND(ISNUMBER(O2401),ISNUMBER(P2401)),Coef_A+Coef_B1*O2401+Coef_B2*P2401,"")</f>
        <v>21.6533779503869</v>
      </c>
      <c r="U2401" s="84" t="n">
        <f aca="false">IF(AND(R2401=1,ISNUMBER(T2401)),E2401-T2401,"")</f>
        <v>-1.05337795038692</v>
      </c>
      <c r="V2401" s="84" t="n">
        <f aca="false">IF(ISNUMBER(T2401),T2401,-99)</f>
        <v>21.6533779503869</v>
      </c>
      <c r="W2401" s="84" t="n">
        <f aca="false">IF(ISNUMBER(U2401),ABS(U2401),"")</f>
        <v>1.05337795038692</v>
      </c>
    </row>
    <row r="2402" customFormat="false" ht="15" hidden="false" customHeight="false" outlineLevel="0" collapsed="false">
      <c r="A2402" s="57" t="n">
        <v>34560</v>
      </c>
      <c r="B2402" s="56" t="n">
        <v>1994</v>
      </c>
      <c r="C2402" s="56" t="n">
        <v>8</v>
      </c>
      <c r="D2402" s="56" t="n">
        <v>106</v>
      </c>
      <c r="E2402" s="56" t="n">
        <v>23.8</v>
      </c>
      <c r="F2402" s="56" t="n">
        <v>0</v>
      </c>
      <c r="G2402" s="56" t="n">
        <v>10.4</v>
      </c>
      <c r="H2402" s="56" t="n">
        <v>0</v>
      </c>
      <c r="I2402" s="56" t="n">
        <v>15.5</v>
      </c>
      <c r="J2402" s="56" t="n">
        <v>0</v>
      </c>
      <c r="K2402" s="56" t="n">
        <v>1023.2</v>
      </c>
      <c r="L2402" s="56" t="n">
        <v>0</v>
      </c>
      <c r="M2402" s="56" t="n">
        <v>56</v>
      </c>
      <c r="N2402" s="56" t="n">
        <v>12</v>
      </c>
      <c r="O2402" s="56" t="n">
        <f aca="false">IF(D2402=1,"",E2401)</f>
        <v>20.6</v>
      </c>
      <c r="P2402" s="56" t="n">
        <f aca="false">IF(OR(D2402=1,K2401=""),"",K2401)</f>
        <v>1021.2</v>
      </c>
      <c r="Q2402" s="56" t="n">
        <f aca="false">IF(OR(F2402&lt;&gt;0,AND(I2402&lt;&gt;"",E2402&lt;I2402)),1,0)</f>
        <v>0</v>
      </c>
      <c r="R2402" s="56" t="n">
        <f aca="false">IF(AND(D2402&gt;1,Q2402=0,ISNUMBER(O2402),ISNUMBER(P2402)),IF(Q2401=0,1,0),0)</f>
        <v>1</v>
      </c>
      <c r="S2402" s="56" t="n">
        <f aca="false">R2402*(B2402&gt;=Train_Start)*(B2402&lt;=Train_End)</f>
        <v>1</v>
      </c>
      <c r="T2402" s="84" t="n">
        <f aca="false">IF(AND(ISNUMBER(O2402),ISNUMBER(P2402)),Coef_A+Coef_B1*O2402+Coef_B2*P2402,"")</f>
        <v>21.0002991989044</v>
      </c>
      <c r="U2402" s="84" t="n">
        <f aca="false">IF(AND(R2402=1,ISNUMBER(T2402)),E2402-T2402,"")</f>
        <v>2.79970080109559</v>
      </c>
      <c r="V2402" s="84" t="n">
        <f aca="false">IF(ISNUMBER(T2402),T2402,-99)</f>
        <v>21.0002991989044</v>
      </c>
      <c r="W2402" s="84" t="n">
        <f aca="false">IF(ISNUMBER(U2402),ABS(U2402),"")</f>
        <v>2.79970080109559</v>
      </c>
    </row>
    <row r="2403" customFormat="false" ht="15" hidden="false" customHeight="false" outlineLevel="0" collapsed="false">
      <c r="A2403" s="57" t="n">
        <v>34561</v>
      </c>
      <c r="B2403" s="56" t="n">
        <v>1994</v>
      </c>
      <c r="C2403" s="56" t="n">
        <v>8</v>
      </c>
      <c r="D2403" s="56" t="n">
        <v>107</v>
      </c>
      <c r="E2403" s="56" t="n">
        <v>26.1</v>
      </c>
      <c r="F2403" s="56" t="n">
        <v>0</v>
      </c>
      <c r="G2403" s="56" t="n">
        <v>9</v>
      </c>
      <c r="H2403" s="56" t="n">
        <v>0</v>
      </c>
      <c r="I2403" s="56" t="n">
        <v>16.4</v>
      </c>
      <c r="J2403" s="56" t="n">
        <v>0</v>
      </c>
      <c r="K2403" s="56" t="n">
        <v>1023.8</v>
      </c>
      <c r="L2403" s="56" t="n">
        <v>0</v>
      </c>
      <c r="M2403" s="56" t="n">
        <v>57</v>
      </c>
      <c r="N2403" s="56" t="n">
        <v>11</v>
      </c>
      <c r="O2403" s="56" t="n">
        <f aca="false">IF(D2403=1,"",E2402)</f>
        <v>23.8</v>
      </c>
      <c r="P2403" s="56" t="n">
        <f aca="false">IF(OR(D2403=1,K2402=""),"",K2402)</f>
        <v>1023.2</v>
      </c>
      <c r="Q2403" s="56" t="n">
        <f aca="false">IF(OR(F2403&lt;&gt;0,AND(I2403&lt;&gt;"",E2403&lt;I2403)),1,0)</f>
        <v>0</v>
      </c>
      <c r="R2403" s="56" t="n">
        <f aca="false">IF(AND(D2403&gt;1,Q2403=0,ISNUMBER(O2403),ISNUMBER(P2403)),IF(Q2402=0,1,0),0)</f>
        <v>1</v>
      </c>
      <c r="S2403" s="56" t="n">
        <f aca="false">R2403*(B2403&gt;=Train_Start)*(B2403&lt;=Train_End)</f>
        <v>1</v>
      </c>
      <c r="T2403" s="84" t="n">
        <f aca="false">IF(AND(ISNUMBER(O2403),ISNUMBER(P2403)),Coef_A+Coef_B1*O2403+Coef_B2*P2403,"")</f>
        <v>23.6849244059089</v>
      </c>
      <c r="U2403" s="84" t="n">
        <f aca="false">IF(AND(R2403=1,ISNUMBER(T2403)),E2403-T2403,"")</f>
        <v>2.41507559409111</v>
      </c>
      <c r="V2403" s="84" t="n">
        <f aca="false">IF(ISNUMBER(T2403),T2403,-99)</f>
        <v>23.6849244059089</v>
      </c>
      <c r="W2403" s="84" t="n">
        <f aca="false">IF(ISNUMBER(U2403),ABS(U2403),"")</f>
        <v>2.41507559409111</v>
      </c>
    </row>
    <row r="2404" customFormat="false" ht="15" hidden="false" customHeight="false" outlineLevel="0" collapsed="false">
      <c r="A2404" s="57" t="n">
        <v>34562</v>
      </c>
      <c r="B2404" s="56" t="n">
        <v>1994</v>
      </c>
      <c r="C2404" s="56" t="n">
        <v>8</v>
      </c>
      <c r="D2404" s="56" t="n">
        <v>108</v>
      </c>
      <c r="E2404" s="56" t="n">
        <v>20.8</v>
      </c>
      <c r="F2404" s="56" t="n">
        <v>0</v>
      </c>
      <c r="G2404" s="56" t="n">
        <v>11.9</v>
      </c>
      <c r="H2404" s="56" t="n">
        <v>0</v>
      </c>
      <c r="I2404" s="56" t="n">
        <v>19</v>
      </c>
      <c r="J2404" s="56" t="n">
        <v>0</v>
      </c>
      <c r="K2404" s="56" t="n">
        <v>1017.3</v>
      </c>
      <c r="L2404" s="56" t="n">
        <v>0</v>
      </c>
      <c r="M2404" s="56" t="n">
        <v>65</v>
      </c>
      <c r="N2404" s="56" t="n">
        <v>8.6</v>
      </c>
      <c r="O2404" s="56" t="n">
        <f aca="false">IF(D2404=1,"",E2403)</f>
        <v>26.1</v>
      </c>
      <c r="P2404" s="56" t="n">
        <f aca="false">IF(OR(D2404=1,K2403=""),"",K2403)</f>
        <v>1023.8</v>
      </c>
      <c r="Q2404" s="56" t="n">
        <f aca="false">IF(OR(F2404&lt;&gt;0,AND(I2404&lt;&gt;"",E2404&lt;I2404)),1,0)</f>
        <v>0</v>
      </c>
      <c r="R2404" s="56" t="n">
        <f aca="false">IF(AND(D2404&gt;1,Q2404=0,ISNUMBER(O2404),ISNUMBER(P2404)),IF(Q2403=0,1,0),0)</f>
        <v>1</v>
      </c>
      <c r="S2404" s="56" t="n">
        <f aca="false">R2404*(B2404&gt;=Train_Start)*(B2404&lt;=Train_End)</f>
        <v>1</v>
      </c>
      <c r="T2404" s="84" t="n">
        <f aca="false">IF(AND(ISNUMBER(O2404),ISNUMBER(P2404)),Coef_A+Coef_B1*O2404+Coef_B2*P2404,"")</f>
        <v>25.5882264866874</v>
      </c>
      <c r="U2404" s="84" t="n">
        <f aca="false">IF(AND(R2404=1,ISNUMBER(T2404)),E2404-T2404,"")</f>
        <v>-4.7882264866874</v>
      </c>
      <c r="V2404" s="84" t="n">
        <f aca="false">IF(ISNUMBER(T2404),T2404,-99)</f>
        <v>25.5882264866874</v>
      </c>
      <c r="W2404" s="84" t="n">
        <f aca="false">IF(ISNUMBER(U2404),ABS(U2404),"")</f>
        <v>4.7882264866874</v>
      </c>
    </row>
    <row r="2405" customFormat="false" ht="15" hidden="false" customHeight="false" outlineLevel="0" collapsed="false">
      <c r="A2405" s="57" t="n">
        <v>34563</v>
      </c>
      <c r="B2405" s="56" t="n">
        <v>1994</v>
      </c>
      <c r="C2405" s="56" t="n">
        <v>8</v>
      </c>
      <c r="D2405" s="56" t="n">
        <v>109</v>
      </c>
      <c r="E2405" s="56" t="n">
        <v>22.5</v>
      </c>
      <c r="F2405" s="56" t="n">
        <v>0</v>
      </c>
      <c r="G2405" s="56" t="n">
        <v>12.4</v>
      </c>
      <c r="H2405" s="56" t="n">
        <v>0</v>
      </c>
      <c r="I2405" s="56" t="n">
        <v>16.6</v>
      </c>
      <c r="J2405" s="56" t="n">
        <v>0</v>
      </c>
      <c r="K2405" s="56" t="n">
        <v>1009.2</v>
      </c>
      <c r="L2405" s="56" t="n">
        <v>0</v>
      </c>
      <c r="M2405" s="56" t="n">
        <v>64</v>
      </c>
      <c r="N2405" s="56" t="n">
        <v>7.1</v>
      </c>
      <c r="O2405" s="56" t="n">
        <f aca="false">IF(D2405=1,"",E2404)</f>
        <v>20.8</v>
      </c>
      <c r="P2405" s="56" t="n">
        <f aca="false">IF(OR(D2405=1,K2404=""),"",K2404)</f>
        <v>1017.3</v>
      </c>
      <c r="Q2405" s="56" t="n">
        <f aca="false">IF(OR(F2405&lt;&gt;0,AND(I2405&lt;&gt;"",E2405&lt;I2405)),1,0)</f>
        <v>0</v>
      </c>
      <c r="R2405" s="56" t="n">
        <f aca="false">IF(AND(D2405&gt;1,Q2405=0,ISNUMBER(O2405),ISNUMBER(P2405)),IF(Q2404=0,1,0),0)</f>
        <v>1</v>
      </c>
      <c r="S2405" s="56" t="n">
        <f aca="false">R2405*(B2405&gt;=Train_Start)*(B2405&lt;=Train_End)</f>
        <v>1</v>
      </c>
      <c r="T2405" s="84" t="n">
        <f aca="false">IF(AND(ISNUMBER(O2405),ISNUMBER(P2405)),Coef_A+Coef_B1*O2405+Coef_B2*P2405,"")</f>
        <v>21.0418244484404</v>
      </c>
      <c r="U2405" s="84" t="n">
        <f aca="false">IF(AND(R2405=1,ISNUMBER(T2405)),E2405-T2405,"")</f>
        <v>1.45817555155962</v>
      </c>
      <c r="V2405" s="84" t="n">
        <f aca="false">IF(ISNUMBER(T2405),T2405,-99)</f>
        <v>21.0418244484404</v>
      </c>
      <c r="W2405" s="84" t="n">
        <f aca="false">IF(ISNUMBER(U2405),ABS(U2405),"")</f>
        <v>1.45817555155962</v>
      </c>
    </row>
    <row r="2406" customFormat="false" ht="15" hidden="false" customHeight="false" outlineLevel="0" collapsed="false">
      <c r="A2406" s="57" t="n">
        <v>34564</v>
      </c>
      <c r="B2406" s="56" t="n">
        <v>1994</v>
      </c>
      <c r="C2406" s="56" t="n">
        <v>8</v>
      </c>
      <c r="D2406" s="56" t="n">
        <v>110</v>
      </c>
      <c r="E2406" s="56" t="n">
        <v>23</v>
      </c>
      <c r="F2406" s="56" t="n">
        <v>0</v>
      </c>
      <c r="G2406" s="56" t="n">
        <v>9.9</v>
      </c>
      <c r="H2406" s="56" t="n">
        <v>0</v>
      </c>
      <c r="I2406" s="56" t="n">
        <v>16.2</v>
      </c>
      <c r="J2406" s="56" t="n">
        <v>0</v>
      </c>
      <c r="K2406" s="56" t="n">
        <v>1012.1</v>
      </c>
      <c r="L2406" s="56" t="n">
        <v>0</v>
      </c>
      <c r="M2406" s="56" t="n">
        <v>67</v>
      </c>
      <c r="N2406" s="56" t="n">
        <v>7.6</v>
      </c>
      <c r="O2406" s="56" t="n">
        <f aca="false">IF(D2406=1,"",E2405)</f>
        <v>22.5</v>
      </c>
      <c r="P2406" s="56" t="n">
        <f aca="false">IF(OR(D2406=1,K2405=""),"",K2405)</f>
        <v>1009.2</v>
      </c>
      <c r="Q2406" s="56" t="n">
        <f aca="false">IF(OR(F2406&lt;&gt;0,AND(I2406&lt;&gt;"",E2406&lt;I2406)),1,0)</f>
        <v>0</v>
      </c>
      <c r="R2406" s="56" t="n">
        <f aca="false">IF(AND(D2406&gt;1,Q2406=0,ISNUMBER(O2406),ISNUMBER(P2406)),IF(Q2405=0,1,0),0)</f>
        <v>1</v>
      </c>
      <c r="S2406" s="56" t="n">
        <f aca="false">R2406*(B2406&gt;=Train_Start)*(B2406&lt;=Train_End)</f>
        <v>1</v>
      </c>
      <c r="T2406" s="84" t="n">
        <f aca="false">IF(AND(ISNUMBER(O2406),ISNUMBER(P2406)),Coef_A+Coef_B1*O2406+Coef_B2*P2406,"")</f>
        <v>22.1806049300776</v>
      </c>
      <c r="U2406" s="84" t="n">
        <f aca="false">IF(AND(R2406=1,ISNUMBER(T2406)),E2406-T2406,"")</f>
        <v>0.819395069922408</v>
      </c>
      <c r="V2406" s="84" t="n">
        <f aca="false">IF(ISNUMBER(T2406),T2406,-99)</f>
        <v>22.1806049300776</v>
      </c>
      <c r="W2406" s="84" t="n">
        <f aca="false">IF(ISNUMBER(U2406),ABS(U2406),"")</f>
        <v>0.819395069922408</v>
      </c>
    </row>
    <row r="2407" customFormat="false" ht="15" hidden="false" customHeight="false" outlineLevel="0" collapsed="false">
      <c r="A2407" s="57" t="n">
        <v>34565</v>
      </c>
      <c r="B2407" s="56" t="n">
        <v>1994</v>
      </c>
      <c r="C2407" s="56" t="n">
        <v>8</v>
      </c>
      <c r="D2407" s="56" t="n">
        <v>111</v>
      </c>
      <c r="E2407" s="56" t="n">
        <v>21.8</v>
      </c>
      <c r="F2407" s="56" t="n">
        <v>0</v>
      </c>
      <c r="G2407" s="56" t="n">
        <v>14.6</v>
      </c>
      <c r="H2407" s="56" t="n">
        <v>0</v>
      </c>
      <c r="I2407" s="56" t="n">
        <v>18.8</v>
      </c>
      <c r="J2407" s="56" t="n">
        <v>0</v>
      </c>
      <c r="K2407" s="56" t="n">
        <v>1008</v>
      </c>
      <c r="L2407" s="56" t="n">
        <v>0</v>
      </c>
      <c r="M2407" s="56" t="n">
        <v>73</v>
      </c>
      <c r="N2407" s="56" t="n">
        <v>6.9</v>
      </c>
      <c r="O2407" s="56" t="n">
        <f aca="false">IF(D2407=1,"",E2406)</f>
        <v>23</v>
      </c>
      <c r="P2407" s="56" t="n">
        <f aca="false">IF(OR(D2407=1,K2406=""),"",K2406)</f>
        <v>1012.1</v>
      </c>
      <c r="Q2407" s="56" t="n">
        <f aca="false">IF(OR(F2407&lt;&gt;0,AND(I2407&lt;&gt;"",E2407&lt;I2407)),1,0)</f>
        <v>0</v>
      </c>
      <c r="R2407" s="56" t="n">
        <f aca="false">IF(AND(D2407&gt;1,Q2407=0,ISNUMBER(O2407),ISNUMBER(P2407)),IF(Q2406=0,1,0),0)</f>
        <v>1</v>
      </c>
      <c r="S2407" s="56" t="n">
        <f aca="false">R2407*(B2407&gt;=Train_Start)*(B2407&lt;=Train_End)</f>
        <v>1</v>
      </c>
      <c r="T2407" s="84" t="n">
        <f aca="false">IF(AND(ISNUMBER(O2407),ISNUMBER(P2407)),Coef_A+Coef_B1*O2407+Coef_B2*P2407,"")</f>
        <v>22.6812472210375</v>
      </c>
      <c r="U2407" s="84" t="n">
        <f aca="false">IF(AND(R2407=1,ISNUMBER(T2407)),E2407-T2407,"")</f>
        <v>-0.881247221037487</v>
      </c>
      <c r="V2407" s="84" t="n">
        <f aca="false">IF(ISNUMBER(T2407),T2407,-99)</f>
        <v>22.6812472210375</v>
      </c>
      <c r="W2407" s="84" t="n">
        <f aca="false">IF(ISNUMBER(U2407),ABS(U2407),"")</f>
        <v>0.881247221037487</v>
      </c>
    </row>
    <row r="2408" customFormat="false" ht="15" hidden="false" customHeight="false" outlineLevel="0" collapsed="false">
      <c r="A2408" s="57" t="n">
        <v>34566</v>
      </c>
      <c r="B2408" s="56" t="n">
        <v>1994</v>
      </c>
      <c r="C2408" s="56" t="n">
        <v>8</v>
      </c>
      <c r="D2408" s="56" t="n">
        <v>112</v>
      </c>
      <c r="E2408" s="56" t="n">
        <v>23.1</v>
      </c>
      <c r="F2408" s="56" t="n">
        <v>0</v>
      </c>
      <c r="G2408" s="56" t="n">
        <v>11.1</v>
      </c>
      <c r="H2408" s="56" t="n">
        <v>0</v>
      </c>
      <c r="I2408" s="56" t="n">
        <v>16.4</v>
      </c>
      <c r="J2408" s="56" t="n">
        <v>0</v>
      </c>
      <c r="K2408" s="56" t="n">
        <v>1013.5</v>
      </c>
      <c r="L2408" s="56" t="n">
        <v>0</v>
      </c>
      <c r="M2408" s="56" t="n">
        <v>66</v>
      </c>
      <c r="N2408" s="56" t="n">
        <v>6</v>
      </c>
      <c r="O2408" s="56" t="n">
        <f aca="false">IF(D2408=1,"",E2407)</f>
        <v>21.8</v>
      </c>
      <c r="P2408" s="56" t="n">
        <f aca="false">IF(OR(D2408=1,K2407=""),"",K2407)</f>
        <v>1008</v>
      </c>
      <c r="Q2408" s="56" t="n">
        <f aca="false">IF(OR(F2408&lt;&gt;0,AND(I2408&lt;&gt;"",E2408&lt;I2408)),1,0)</f>
        <v>0</v>
      </c>
      <c r="R2408" s="56" t="n">
        <f aca="false">IF(AND(D2408&gt;1,Q2408=0,ISNUMBER(O2408),ISNUMBER(P2408)),IF(Q2407=0,1,0),0)</f>
        <v>1</v>
      </c>
      <c r="S2408" s="56" t="n">
        <f aca="false">R2408*(B2408&gt;=Train_Start)*(B2408&lt;=Train_End)</f>
        <v>1</v>
      </c>
      <c r="T2408" s="84" t="n">
        <f aca="false">IF(AND(ISNUMBER(O2408),ISNUMBER(P2408)),Coef_A+Coef_B1*O2408+Coef_B2*P2408,"")</f>
        <v>21.5694236213869</v>
      </c>
      <c r="U2408" s="84" t="n">
        <f aca="false">IF(AND(R2408=1,ISNUMBER(T2408)),E2408-T2408,"")</f>
        <v>1.53057637861306</v>
      </c>
      <c r="V2408" s="84" t="n">
        <f aca="false">IF(ISNUMBER(T2408),T2408,-99)</f>
        <v>21.5694236213869</v>
      </c>
      <c r="W2408" s="84" t="n">
        <f aca="false">IF(ISNUMBER(U2408),ABS(U2408),"")</f>
        <v>1.53057637861306</v>
      </c>
    </row>
    <row r="2409" customFormat="false" ht="15" hidden="false" customHeight="false" outlineLevel="0" collapsed="false">
      <c r="A2409" s="57" t="n">
        <v>34567</v>
      </c>
      <c r="B2409" s="56" t="n">
        <v>1994</v>
      </c>
      <c r="C2409" s="56" t="n">
        <v>8</v>
      </c>
      <c r="D2409" s="56" t="n">
        <v>113</v>
      </c>
      <c r="E2409" s="56" t="n">
        <v>26.4</v>
      </c>
      <c r="F2409" s="56" t="n">
        <v>0</v>
      </c>
      <c r="G2409" s="56" t="n">
        <v>12.8</v>
      </c>
      <c r="H2409" s="56" t="n">
        <v>0</v>
      </c>
      <c r="I2409" s="56" t="n">
        <v>18</v>
      </c>
      <c r="J2409" s="56" t="n">
        <v>0</v>
      </c>
      <c r="K2409" s="56" t="n">
        <v>1015.8</v>
      </c>
      <c r="L2409" s="56" t="n">
        <v>0</v>
      </c>
      <c r="M2409" s="56" t="n">
        <v>67</v>
      </c>
      <c r="N2409" s="56" t="n">
        <v>8.2</v>
      </c>
      <c r="O2409" s="56" t="n">
        <f aca="false">IF(D2409=1,"",E2408)</f>
        <v>23.1</v>
      </c>
      <c r="P2409" s="56" t="n">
        <f aca="false">IF(OR(D2409=1,K2408=""),"",K2408)</f>
        <v>1013.5</v>
      </c>
      <c r="Q2409" s="56" t="n">
        <f aca="false">IF(OR(F2409&lt;&gt;0,AND(I2409&lt;&gt;"",E2409&lt;I2409)),1,0)</f>
        <v>0</v>
      </c>
      <c r="R2409" s="56" t="n">
        <f aca="false">IF(AND(D2409&gt;1,Q2409=0,ISNUMBER(O2409),ISNUMBER(P2409)),IF(Q2408=0,1,0),0)</f>
        <v>1</v>
      </c>
      <c r="S2409" s="56" t="n">
        <f aca="false">R2409*(B2409&gt;=Train_Start)*(B2409&lt;=Train_End)</f>
        <v>1</v>
      </c>
      <c r="T2409" s="84" t="n">
        <f aca="false">IF(AND(ISNUMBER(O2409),ISNUMBER(P2409)),Coef_A+Coef_B1*O2409+Coef_B2*P2409,"")</f>
        <v>22.8070989928293</v>
      </c>
      <c r="U2409" s="84" t="n">
        <f aca="false">IF(AND(R2409=1,ISNUMBER(T2409)),E2409-T2409,"")</f>
        <v>3.59290100717066</v>
      </c>
      <c r="V2409" s="84" t="n">
        <f aca="false">IF(ISNUMBER(T2409),T2409,-99)</f>
        <v>22.8070989928293</v>
      </c>
      <c r="W2409" s="84" t="n">
        <f aca="false">IF(ISNUMBER(U2409),ABS(U2409),"")</f>
        <v>3.59290100717066</v>
      </c>
    </row>
    <row r="2410" customFormat="false" ht="15" hidden="false" customHeight="false" outlineLevel="0" collapsed="false">
      <c r="A2410" s="57" t="n">
        <v>34568</v>
      </c>
      <c r="B2410" s="56" t="n">
        <v>1994</v>
      </c>
      <c r="C2410" s="56" t="n">
        <v>8</v>
      </c>
      <c r="D2410" s="56" t="n">
        <v>114</v>
      </c>
      <c r="E2410" s="56" t="n">
        <v>22.6</v>
      </c>
      <c r="F2410" s="56" t="n">
        <v>0</v>
      </c>
      <c r="G2410" s="56" t="n">
        <v>16.1</v>
      </c>
      <c r="H2410" s="56" t="n">
        <v>0</v>
      </c>
      <c r="I2410" s="56" t="n">
        <v>21.2</v>
      </c>
      <c r="J2410" s="56" t="n">
        <v>0</v>
      </c>
      <c r="K2410" s="56" t="n">
        <v>1014.9</v>
      </c>
      <c r="L2410" s="56" t="n">
        <v>0</v>
      </c>
      <c r="M2410" s="56" t="n">
        <v>66</v>
      </c>
      <c r="N2410" s="56" t="n">
        <v>5.5</v>
      </c>
      <c r="O2410" s="56" t="n">
        <f aca="false">IF(D2410=1,"",E2409)</f>
        <v>26.4</v>
      </c>
      <c r="P2410" s="56" t="n">
        <f aca="false">IF(OR(D2410=1,K2409=""),"",K2409)</f>
        <v>1015.8</v>
      </c>
      <c r="Q2410" s="56" t="n">
        <f aca="false">IF(OR(F2410&lt;&gt;0,AND(I2410&lt;&gt;"",E2410&lt;I2410)),1,0)</f>
        <v>0</v>
      </c>
      <c r="R2410" s="56" t="n">
        <f aca="false">IF(AND(D2410&gt;1,Q2410=0,ISNUMBER(O2410),ISNUMBER(P2410)),IF(Q2409=0,1,0),0)</f>
        <v>1</v>
      </c>
      <c r="S2410" s="56" t="n">
        <f aca="false">R2410*(B2410&gt;=Train_Start)*(B2410&lt;=Train_End)</f>
        <v>1</v>
      </c>
      <c r="T2410" s="84" t="n">
        <f aca="false">IF(AND(ISNUMBER(O2410),ISNUMBER(P2410)),Coef_A+Coef_B1*O2410+Coef_B2*P2410,"")</f>
        <v>25.5830690875283</v>
      </c>
      <c r="U2410" s="84" t="n">
        <f aca="false">IF(AND(R2410=1,ISNUMBER(T2410)),E2410-T2410,"")</f>
        <v>-2.98306908752828</v>
      </c>
      <c r="V2410" s="84" t="n">
        <f aca="false">IF(ISNUMBER(T2410),T2410,-99)</f>
        <v>25.5830690875283</v>
      </c>
      <c r="W2410" s="84" t="n">
        <f aca="false">IF(ISNUMBER(U2410),ABS(U2410),"")</f>
        <v>2.98306908752828</v>
      </c>
    </row>
    <row r="2411" customFormat="false" ht="15" hidden="false" customHeight="false" outlineLevel="0" collapsed="false">
      <c r="A2411" s="57" t="n">
        <v>34569</v>
      </c>
      <c r="B2411" s="56" t="n">
        <v>1994</v>
      </c>
      <c r="C2411" s="56" t="n">
        <v>8</v>
      </c>
      <c r="D2411" s="56" t="n">
        <v>115</v>
      </c>
      <c r="E2411" s="56" t="n">
        <v>22.6</v>
      </c>
      <c r="F2411" s="56" t="n">
        <v>0</v>
      </c>
      <c r="G2411" s="56" t="n">
        <v>15.7</v>
      </c>
      <c r="H2411" s="56" t="n">
        <v>0</v>
      </c>
      <c r="I2411" s="56" t="n">
        <v>19.2</v>
      </c>
      <c r="J2411" s="56" t="n">
        <v>0</v>
      </c>
      <c r="K2411" s="56" t="n">
        <v>1013.5</v>
      </c>
      <c r="L2411" s="56" t="n">
        <v>0</v>
      </c>
      <c r="M2411" s="56" t="n">
        <v>79</v>
      </c>
      <c r="N2411" s="56" t="n">
        <v>2.2</v>
      </c>
      <c r="O2411" s="56" t="n">
        <f aca="false">IF(D2411=1,"",E2410)</f>
        <v>22.6</v>
      </c>
      <c r="P2411" s="56" t="n">
        <f aca="false">IF(OR(D2411=1,K2410=""),"",K2410)</f>
        <v>1014.9</v>
      </c>
      <c r="Q2411" s="56" t="n">
        <f aca="false">IF(OR(F2411&lt;&gt;0,AND(I2411&lt;&gt;"",E2411&lt;I2411)),1,0)</f>
        <v>0</v>
      </c>
      <c r="R2411" s="56" t="n">
        <f aca="false">IF(AND(D2411&gt;1,Q2411=0,ISNUMBER(O2411),ISNUMBER(P2411)),IF(Q2410=0,1,0),0)</f>
        <v>1</v>
      </c>
      <c r="S2411" s="56" t="n">
        <f aca="false">R2411*(B2411&gt;=Train_Start)*(B2411&lt;=Train_End)</f>
        <v>1</v>
      </c>
      <c r="T2411" s="84" t="n">
        <f aca="false">IF(AND(ISNUMBER(O2411),ISNUMBER(P2411)),Coef_A+Coef_B1*O2411+Coef_B2*P2411,"")</f>
        <v>22.4413472487956</v>
      </c>
      <c r="U2411" s="84" t="n">
        <f aca="false">IF(AND(R2411=1,ISNUMBER(T2411)),E2411-T2411,"")</f>
        <v>0.158652751204407</v>
      </c>
      <c r="V2411" s="84" t="n">
        <f aca="false">IF(ISNUMBER(T2411),T2411,-99)</f>
        <v>22.4413472487956</v>
      </c>
      <c r="W2411" s="84" t="n">
        <f aca="false">IF(ISNUMBER(U2411),ABS(U2411),"")</f>
        <v>0.158652751204407</v>
      </c>
    </row>
    <row r="2412" customFormat="false" ht="15" hidden="false" customHeight="false" outlineLevel="0" collapsed="false">
      <c r="A2412" s="57" t="n">
        <v>34570</v>
      </c>
      <c r="B2412" s="56" t="n">
        <v>1994</v>
      </c>
      <c r="C2412" s="56" t="n">
        <v>8</v>
      </c>
      <c r="D2412" s="56" t="n">
        <v>116</v>
      </c>
      <c r="E2412" s="56" t="n">
        <v>19.9</v>
      </c>
      <c r="F2412" s="56" t="n">
        <v>0</v>
      </c>
      <c r="G2412" s="56" t="n">
        <v>12.5</v>
      </c>
      <c r="H2412" s="56" t="n">
        <v>0</v>
      </c>
      <c r="I2412" s="56" t="n">
        <v>17.6</v>
      </c>
      <c r="J2412" s="56" t="n">
        <v>0</v>
      </c>
      <c r="K2412" s="56" t="n">
        <v>1011.1</v>
      </c>
      <c r="L2412" s="56" t="n">
        <v>0</v>
      </c>
      <c r="M2412" s="56" t="n">
        <v>77</v>
      </c>
      <c r="N2412" s="56" t="n">
        <v>8.3</v>
      </c>
      <c r="O2412" s="56" t="n">
        <f aca="false">IF(D2412=1,"",E2411)</f>
        <v>22.6</v>
      </c>
      <c r="P2412" s="56" t="n">
        <f aca="false">IF(OR(D2412=1,K2411=""),"",K2411)</f>
        <v>1013.5</v>
      </c>
      <c r="Q2412" s="56" t="n">
        <f aca="false">IF(OR(F2412&lt;&gt;0,AND(I2412&lt;&gt;"",E2412&lt;I2412)),1,0)</f>
        <v>0</v>
      </c>
      <c r="R2412" s="56" t="n">
        <f aca="false">IF(AND(D2412&gt;1,Q2412=0,ISNUMBER(O2412),ISNUMBER(P2412)),IF(Q2411=0,1,0),0)</f>
        <v>1</v>
      </c>
      <c r="S2412" s="56" t="n">
        <f aca="false">R2412*(B2412&gt;=Train_Start)*(B2412&lt;=Train_End)</f>
        <v>1</v>
      </c>
      <c r="T2412" s="84" t="n">
        <f aca="false">IF(AND(ISNUMBER(O2412),ISNUMBER(P2412)),Coef_A+Coef_B1*O2412+Coef_B2*P2412,"")</f>
        <v>22.397429396308</v>
      </c>
      <c r="U2412" s="84" t="n">
        <f aca="false">IF(AND(R2412=1,ISNUMBER(T2412)),E2412-T2412,"")</f>
        <v>-2.49742939630801</v>
      </c>
      <c r="V2412" s="84" t="n">
        <f aca="false">IF(ISNUMBER(T2412),T2412,-99)</f>
        <v>22.397429396308</v>
      </c>
      <c r="W2412" s="84" t="n">
        <f aca="false">IF(ISNUMBER(U2412),ABS(U2412),"")</f>
        <v>2.49742939630801</v>
      </c>
    </row>
    <row r="2413" customFormat="false" ht="15" hidden="false" customHeight="false" outlineLevel="0" collapsed="false">
      <c r="A2413" s="57" t="n">
        <v>34571</v>
      </c>
      <c r="B2413" s="56" t="n">
        <v>1994</v>
      </c>
      <c r="C2413" s="56" t="n">
        <v>8</v>
      </c>
      <c r="D2413" s="56" t="n">
        <v>117</v>
      </c>
      <c r="E2413" s="56" t="n">
        <v>24.5</v>
      </c>
      <c r="F2413" s="56" t="n">
        <v>0</v>
      </c>
      <c r="G2413" s="56" t="n">
        <v>12.9</v>
      </c>
      <c r="H2413" s="56" t="n">
        <v>0</v>
      </c>
      <c r="I2413" s="56" t="n">
        <v>16.4</v>
      </c>
      <c r="J2413" s="56" t="n">
        <v>0</v>
      </c>
      <c r="K2413" s="56" t="n">
        <v>1006.2</v>
      </c>
      <c r="L2413" s="56" t="n">
        <v>0</v>
      </c>
      <c r="M2413" s="56" t="n">
        <v>84</v>
      </c>
      <c r="N2413" s="56" t="n">
        <v>3.4</v>
      </c>
      <c r="O2413" s="56" t="n">
        <f aca="false">IF(D2413=1,"",E2412)</f>
        <v>19.9</v>
      </c>
      <c r="P2413" s="56" t="n">
        <f aca="false">IF(OR(D2413=1,K2412=""),"",K2412)</f>
        <v>1011.1</v>
      </c>
      <c r="Q2413" s="56" t="n">
        <f aca="false">IF(OR(F2413&lt;&gt;0,AND(I2413&lt;&gt;"",E2413&lt;I2413)),1,0)</f>
        <v>0</v>
      </c>
      <c r="R2413" s="56" t="n">
        <f aca="false">IF(AND(D2413&gt;1,Q2413=0,ISNUMBER(O2413),ISNUMBER(P2413)),IF(Q2412=0,1,0),0)</f>
        <v>1</v>
      </c>
      <c r="S2413" s="56" t="n">
        <f aca="false">R2413*(B2413&gt;=Train_Start)*(B2413&lt;=Train_End)</f>
        <v>1</v>
      </c>
      <c r="T2413" s="84" t="n">
        <f aca="false">IF(AND(ISNUMBER(O2413),ISNUMBER(P2413)),Coef_A+Coef_B1*O2413+Coef_B2*P2413,"")</f>
        <v>20.1099258279713</v>
      </c>
      <c r="U2413" s="84" t="n">
        <f aca="false">IF(AND(R2413=1,ISNUMBER(T2413)),E2413-T2413,"")</f>
        <v>4.39007417202874</v>
      </c>
      <c r="V2413" s="84" t="n">
        <f aca="false">IF(ISNUMBER(T2413),T2413,-99)</f>
        <v>20.1099258279713</v>
      </c>
      <c r="W2413" s="84" t="n">
        <f aca="false">IF(ISNUMBER(U2413),ABS(U2413),"")</f>
        <v>4.39007417202874</v>
      </c>
    </row>
    <row r="2414" customFormat="false" ht="15" hidden="false" customHeight="false" outlineLevel="0" collapsed="false">
      <c r="A2414" s="57" t="n">
        <v>34572</v>
      </c>
      <c r="B2414" s="56" t="n">
        <v>1994</v>
      </c>
      <c r="C2414" s="56" t="n">
        <v>8</v>
      </c>
      <c r="D2414" s="56" t="n">
        <v>118</v>
      </c>
      <c r="E2414" s="56" t="n">
        <v>21.9</v>
      </c>
      <c r="F2414" s="56" t="n">
        <v>0</v>
      </c>
      <c r="G2414" s="56" t="n">
        <v>14.7</v>
      </c>
      <c r="H2414" s="56" t="n">
        <v>0</v>
      </c>
      <c r="I2414" s="56" t="n">
        <v>19.6</v>
      </c>
      <c r="J2414" s="56" t="n">
        <v>0</v>
      </c>
      <c r="K2414" s="56" t="n">
        <v>1008.4</v>
      </c>
      <c r="L2414" s="56" t="n">
        <v>0</v>
      </c>
      <c r="M2414" s="56" t="n">
        <v>71</v>
      </c>
      <c r="N2414" s="56" t="n">
        <v>7.9</v>
      </c>
      <c r="O2414" s="56" t="n">
        <f aca="false">IF(D2414=1,"",E2413)</f>
        <v>24.5</v>
      </c>
      <c r="P2414" s="56" t="n">
        <f aca="false">IF(OR(D2414=1,K2413=""),"",K2413)</f>
        <v>1006.2</v>
      </c>
      <c r="Q2414" s="56" t="n">
        <f aca="false">IF(OR(F2414&lt;&gt;0,AND(I2414&lt;&gt;"",E2414&lt;I2414)),1,0)</f>
        <v>0</v>
      </c>
      <c r="R2414" s="56" t="n">
        <f aca="false">IF(AND(D2414&gt;1,Q2414=0,ISNUMBER(O2414),ISNUMBER(P2414)),IF(Q2413=0,1,0),0)</f>
        <v>1</v>
      </c>
      <c r="S2414" s="56" t="n">
        <f aca="false">R2414*(B2414&gt;=Train_Start)*(B2414&lt;=Train_End)</f>
        <v>1</v>
      </c>
      <c r="T2414" s="84" t="n">
        <f aca="false">IF(AND(ISNUMBER(O2414),ISNUMBER(P2414)),Coef_A+Coef_B1*O2414+Coef_B2*P2414,"")</f>
        <v>23.7251736322609</v>
      </c>
      <c r="U2414" s="84" t="n">
        <f aca="false">IF(AND(R2414=1,ISNUMBER(T2414)),E2414-T2414,"")</f>
        <v>-1.82517363226094</v>
      </c>
      <c r="V2414" s="84" t="n">
        <f aca="false">IF(ISNUMBER(T2414),T2414,-99)</f>
        <v>23.7251736322609</v>
      </c>
      <c r="W2414" s="84" t="n">
        <f aca="false">IF(ISNUMBER(U2414),ABS(U2414),"")</f>
        <v>1.82517363226094</v>
      </c>
    </row>
    <row r="2415" customFormat="false" ht="15" hidden="false" customHeight="false" outlineLevel="0" collapsed="false">
      <c r="A2415" s="57" t="n">
        <v>34573</v>
      </c>
      <c r="B2415" s="56" t="n">
        <v>1994</v>
      </c>
      <c r="C2415" s="56" t="n">
        <v>8</v>
      </c>
      <c r="D2415" s="56" t="n">
        <v>119</v>
      </c>
      <c r="E2415" s="56" t="n">
        <v>20.6</v>
      </c>
      <c r="F2415" s="56" t="n">
        <v>0</v>
      </c>
      <c r="G2415" s="56" t="n">
        <v>15</v>
      </c>
      <c r="H2415" s="56" t="n">
        <v>0</v>
      </c>
      <c r="I2415" s="56" t="n">
        <v>18.4</v>
      </c>
      <c r="J2415" s="56" t="n">
        <v>0</v>
      </c>
      <c r="K2415" s="56" t="n">
        <v>1010.1</v>
      </c>
      <c r="L2415" s="56" t="n">
        <v>0</v>
      </c>
      <c r="M2415" s="56" t="n">
        <v>63</v>
      </c>
      <c r="N2415" s="56" t="n">
        <v>9.7</v>
      </c>
      <c r="O2415" s="56" t="n">
        <f aca="false">IF(D2415=1,"",E2414)</f>
        <v>21.9</v>
      </c>
      <c r="P2415" s="56" t="n">
        <f aca="false">IF(OR(D2415=1,K2414=""),"",K2414)</f>
        <v>1008.4</v>
      </c>
      <c r="Q2415" s="56" t="n">
        <f aca="false">IF(OR(F2415&lt;&gt;0,AND(I2415&lt;&gt;"",E2415&lt;I2415)),1,0)</f>
        <v>0</v>
      </c>
      <c r="R2415" s="56" t="n">
        <f aca="false">IF(AND(D2415&gt;1,Q2415=0,ISNUMBER(O2415),ISNUMBER(P2415)),IF(Q2414=0,1,0),0)</f>
        <v>1</v>
      </c>
      <c r="S2415" s="56" t="n">
        <f aca="false">R2415*(B2415&gt;=Train_Start)*(B2415&lt;=Train_End)</f>
        <v>1</v>
      </c>
      <c r="T2415" s="84" t="n">
        <f aca="false">IF(AND(ISNUMBER(O2415),ISNUMBER(P2415)),Coef_A+Coef_B1*O2415+Coef_B2*P2415,"")</f>
        <v>21.6639054985448</v>
      </c>
      <c r="U2415" s="84" t="n">
        <f aca="false">IF(AND(R2415=1,ISNUMBER(T2415)),E2415-T2415,"")</f>
        <v>-1.0639054985448</v>
      </c>
      <c r="V2415" s="84" t="n">
        <f aca="false">IF(ISNUMBER(T2415),T2415,-99)</f>
        <v>21.6639054985448</v>
      </c>
      <c r="W2415" s="84" t="n">
        <f aca="false">IF(ISNUMBER(U2415),ABS(U2415),"")</f>
        <v>1.0639054985448</v>
      </c>
    </row>
    <row r="2416" customFormat="false" ht="15" hidden="false" customHeight="false" outlineLevel="0" collapsed="false">
      <c r="A2416" s="57" t="n">
        <v>34574</v>
      </c>
      <c r="B2416" s="56" t="n">
        <v>1994</v>
      </c>
      <c r="C2416" s="56" t="n">
        <v>8</v>
      </c>
      <c r="D2416" s="56" t="n">
        <v>120</v>
      </c>
      <c r="E2416" s="56" t="n">
        <v>21.1</v>
      </c>
      <c r="F2416" s="56" t="n">
        <v>0</v>
      </c>
      <c r="G2416" s="56" t="n">
        <v>10.7</v>
      </c>
      <c r="H2416" s="56" t="n">
        <v>0</v>
      </c>
      <c r="I2416" s="56" t="n">
        <v>15.6</v>
      </c>
      <c r="J2416" s="56" t="n">
        <v>0</v>
      </c>
      <c r="K2416" s="56" t="n">
        <v>1014.2</v>
      </c>
      <c r="L2416" s="56" t="n">
        <v>0</v>
      </c>
      <c r="M2416" s="56" t="n">
        <v>60</v>
      </c>
      <c r="N2416" s="56" t="n">
        <v>11.4</v>
      </c>
      <c r="O2416" s="56" t="n">
        <f aca="false">IF(D2416=1,"",E2415)</f>
        <v>20.6</v>
      </c>
      <c r="P2416" s="56" t="n">
        <f aca="false">IF(OR(D2416=1,K2415=""),"",K2415)</f>
        <v>1010.1</v>
      </c>
      <c r="Q2416" s="56" t="n">
        <f aca="false">IF(OR(F2416&lt;&gt;0,AND(I2416&lt;&gt;"",E2416&lt;I2416)),1,0)</f>
        <v>0</v>
      </c>
      <c r="R2416" s="56" t="n">
        <f aca="false">IF(AND(D2416&gt;1,Q2416=0,ISNUMBER(O2416),ISNUMBER(P2416)),IF(Q2415=0,1,0),0)</f>
        <v>1</v>
      </c>
      <c r="S2416" s="56" t="n">
        <f aca="false">R2416*(B2416&gt;=Train_Start)*(B2416&lt;=Train_End)</f>
        <v>1</v>
      </c>
      <c r="T2416" s="84" t="n">
        <f aca="false">IF(AND(ISNUMBER(O2416),ISNUMBER(P2416)),Coef_A+Coef_B1*O2416+Coef_B2*P2416,"")</f>
        <v>20.6520933684671</v>
      </c>
      <c r="U2416" s="84" t="n">
        <f aca="false">IF(AND(R2416=1,ISNUMBER(T2416)),E2416-T2416,"")</f>
        <v>0.44790663153287</v>
      </c>
      <c r="V2416" s="84" t="n">
        <f aca="false">IF(ISNUMBER(T2416),T2416,-99)</f>
        <v>20.6520933684671</v>
      </c>
      <c r="W2416" s="84" t="n">
        <f aca="false">IF(ISNUMBER(U2416),ABS(U2416),"")</f>
        <v>0.44790663153287</v>
      </c>
    </row>
    <row r="2417" customFormat="false" ht="15" hidden="false" customHeight="false" outlineLevel="0" collapsed="false">
      <c r="A2417" s="57" t="n">
        <v>34575</v>
      </c>
      <c r="B2417" s="56" t="n">
        <v>1994</v>
      </c>
      <c r="C2417" s="56" t="n">
        <v>8</v>
      </c>
      <c r="D2417" s="56" t="n">
        <v>121</v>
      </c>
      <c r="E2417" s="56" t="n">
        <v>21.1</v>
      </c>
      <c r="F2417" s="56" t="n">
        <v>0</v>
      </c>
      <c r="G2417" s="56" t="n">
        <v>9.5</v>
      </c>
      <c r="H2417" s="56" t="n">
        <v>0</v>
      </c>
      <c r="I2417" s="56" t="n">
        <v>15.3</v>
      </c>
      <c r="J2417" s="56" t="n">
        <v>0</v>
      </c>
      <c r="K2417" s="56" t="n">
        <v>1016.5</v>
      </c>
      <c r="L2417" s="56" t="n">
        <v>0</v>
      </c>
      <c r="M2417" s="56" t="n">
        <v>66</v>
      </c>
      <c r="N2417" s="56" t="n">
        <v>5</v>
      </c>
      <c r="O2417" s="56" t="n">
        <f aca="false">IF(D2417=1,"",E2416)</f>
        <v>21.1</v>
      </c>
      <c r="P2417" s="56" t="n">
        <f aca="false">IF(OR(D2417=1,K2416=""),"",K2416)</f>
        <v>1014.2</v>
      </c>
      <c r="Q2417" s="56" t="n">
        <f aca="false">IF(OR(F2417&lt;&gt;0,AND(I2417&lt;&gt;"",E2417&lt;I2417)),1,0)</f>
        <v>0</v>
      </c>
      <c r="R2417" s="56" t="n">
        <f aca="false">IF(AND(D2417&gt;1,Q2417=0,ISNUMBER(O2417),ISNUMBER(P2417)),IF(Q2416=0,1,0),0)</f>
        <v>1</v>
      </c>
      <c r="S2417" s="56" t="n">
        <f aca="false">R2417*(B2417&gt;=Train_Start)*(B2417&lt;=Train_End)</f>
        <v>1</v>
      </c>
      <c r="T2417" s="84" t="n">
        <f aca="false">IF(AND(ISNUMBER(O2417),ISNUMBER(P2417)),Coef_A+Coef_B1*O2417+Coef_B2*P2417,"")</f>
        <v>21.1903795329878</v>
      </c>
      <c r="U2417" s="84" t="n">
        <f aca="false">IF(AND(R2417=1,ISNUMBER(T2417)),E2417-T2417,"")</f>
        <v>-0.0903795329878143</v>
      </c>
      <c r="V2417" s="84" t="n">
        <f aca="false">IF(ISNUMBER(T2417),T2417,-99)</f>
        <v>21.1903795329878</v>
      </c>
      <c r="W2417" s="84" t="n">
        <f aca="false">IF(ISNUMBER(U2417),ABS(U2417),"")</f>
        <v>0.0903795329878143</v>
      </c>
    </row>
    <row r="2418" customFormat="false" ht="15" hidden="false" customHeight="false" outlineLevel="0" collapsed="false">
      <c r="A2418" s="57" t="n">
        <v>34576</v>
      </c>
      <c r="B2418" s="56" t="n">
        <v>1994</v>
      </c>
      <c r="C2418" s="56" t="n">
        <v>8</v>
      </c>
      <c r="D2418" s="56" t="n">
        <v>122</v>
      </c>
      <c r="E2418" s="56" t="n">
        <v>18.5</v>
      </c>
      <c r="F2418" s="56" t="n">
        <v>0</v>
      </c>
      <c r="G2418" s="56" t="n">
        <v>10.8</v>
      </c>
      <c r="H2418" s="56" t="n">
        <v>0</v>
      </c>
      <c r="I2418" s="56" t="n">
        <v>16</v>
      </c>
      <c r="J2418" s="56" t="n">
        <v>0</v>
      </c>
      <c r="K2418" s="56" t="n">
        <v>1015.6</v>
      </c>
      <c r="L2418" s="56" t="n">
        <v>0</v>
      </c>
      <c r="M2418" s="56" t="n">
        <v>72</v>
      </c>
      <c r="N2418" s="56" t="n">
        <v>3.7</v>
      </c>
      <c r="O2418" s="56" t="n">
        <f aca="false">IF(D2418=1,"",E2417)</f>
        <v>21.1</v>
      </c>
      <c r="P2418" s="56" t="n">
        <f aca="false">IF(OR(D2418=1,K2417=""),"",K2417)</f>
        <v>1016.5</v>
      </c>
      <c r="Q2418" s="56" t="n">
        <f aca="false">IF(OR(F2418&lt;&gt;0,AND(I2418&lt;&gt;"",E2418&lt;I2418)),1,0)</f>
        <v>0</v>
      </c>
      <c r="R2418" s="56" t="n">
        <f aca="false">IF(AND(D2418&gt;1,Q2418=0,ISNUMBER(O2418),ISNUMBER(P2418)),IF(Q2417=0,1,0),0)</f>
        <v>1</v>
      </c>
      <c r="S2418" s="56" t="n">
        <f aca="false">R2418*(B2418&gt;=Train_Start)*(B2418&lt;=Train_End)</f>
        <v>1</v>
      </c>
      <c r="T2418" s="84" t="n">
        <f aca="false">IF(AND(ISNUMBER(O2418),ISNUMBER(P2418)),Coef_A+Coef_B1*O2418+Coef_B2*P2418,"")</f>
        <v>21.262530290646</v>
      </c>
      <c r="U2418" s="84" t="n">
        <f aca="false">IF(AND(R2418=1,ISNUMBER(T2418)),E2418-T2418,"")</f>
        <v>-2.76253029064599</v>
      </c>
      <c r="V2418" s="84" t="n">
        <f aca="false">IF(ISNUMBER(T2418),T2418,-99)</f>
        <v>21.262530290646</v>
      </c>
      <c r="W2418" s="84" t="n">
        <f aca="false">IF(ISNUMBER(U2418),ABS(U2418),"")</f>
        <v>2.76253029064599</v>
      </c>
    </row>
    <row r="2419" customFormat="false" ht="15" hidden="false" customHeight="false" outlineLevel="0" collapsed="false">
      <c r="A2419" s="57" t="n">
        <v>34577</v>
      </c>
      <c r="B2419" s="56" t="n">
        <v>1994</v>
      </c>
      <c r="C2419" s="56" t="n">
        <v>8</v>
      </c>
      <c r="D2419" s="56" t="n">
        <v>123</v>
      </c>
      <c r="E2419" s="56" t="n">
        <v>17.9</v>
      </c>
      <c r="F2419" s="56" t="n">
        <v>0</v>
      </c>
      <c r="G2419" s="56" t="n">
        <v>13.1</v>
      </c>
      <c r="H2419" s="56" t="n">
        <v>0</v>
      </c>
      <c r="I2419" s="56" t="n">
        <v>15.8</v>
      </c>
      <c r="J2419" s="56" t="n">
        <v>0</v>
      </c>
      <c r="K2419" s="56" t="n">
        <v>1011.4</v>
      </c>
      <c r="L2419" s="56" t="n">
        <v>0</v>
      </c>
      <c r="M2419" s="56" t="n">
        <v>83</v>
      </c>
      <c r="N2419" s="56" t="n">
        <v>0</v>
      </c>
      <c r="O2419" s="56" t="n">
        <f aca="false">IF(D2419=1,"",E2418)</f>
        <v>18.5</v>
      </c>
      <c r="P2419" s="56" t="n">
        <f aca="false">IF(OR(D2419=1,K2418=""),"",K2418)</f>
        <v>1015.6</v>
      </c>
      <c r="Q2419" s="56" t="n">
        <f aca="false">IF(OR(F2419&lt;&gt;0,AND(I2419&lt;&gt;"",E2419&lt;I2419)),1,0)</f>
        <v>0</v>
      </c>
      <c r="R2419" s="56" t="n">
        <f aca="false">IF(AND(D2419&gt;1,Q2419=0,ISNUMBER(O2419),ISNUMBER(P2419)),IF(Q2418=0,1,0),0)</f>
        <v>1</v>
      </c>
      <c r="S2419" s="56" t="n">
        <f aca="false">R2419*(B2419&gt;=Train_Start)*(B2419&lt;=Train_End)</f>
        <v>1</v>
      </c>
      <c r="T2419" s="84" t="n">
        <f aca="false">IF(AND(ISNUMBER(O2419),ISNUMBER(P2419)),Coef_A+Coef_B1*O2419+Coef_B2*P2419,"")</f>
        <v>19.1040154835645</v>
      </c>
      <c r="U2419" s="84" t="n">
        <f aca="false">IF(AND(R2419=1,ISNUMBER(T2419)),E2419-T2419,"")</f>
        <v>-1.20401548356449</v>
      </c>
      <c r="V2419" s="84" t="n">
        <f aca="false">IF(ISNUMBER(T2419),T2419,-99)</f>
        <v>19.1040154835645</v>
      </c>
      <c r="W2419" s="84" t="n">
        <f aca="false">IF(ISNUMBER(U2419),ABS(U2419),"")</f>
        <v>1.20401548356449</v>
      </c>
    </row>
    <row r="2420" customFormat="false" ht="15" hidden="false" customHeight="false" outlineLevel="0" collapsed="false">
      <c r="A2420" s="57" t="n">
        <v>34578</v>
      </c>
      <c r="B2420" s="56" t="n">
        <v>1994</v>
      </c>
      <c r="C2420" s="56" t="n">
        <v>9</v>
      </c>
      <c r="D2420" s="56" t="n">
        <v>124</v>
      </c>
      <c r="E2420" s="56" t="n">
        <v>22.1</v>
      </c>
      <c r="F2420" s="56" t="n">
        <v>0</v>
      </c>
      <c r="G2420" s="56" t="n">
        <v>14</v>
      </c>
      <c r="H2420" s="56" t="n">
        <v>0</v>
      </c>
      <c r="I2420" s="56" t="n">
        <v>16</v>
      </c>
      <c r="J2420" s="56" t="n">
        <v>0</v>
      </c>
      <c r="K2420" s="56" t="n">
        <v>1010.6</v>
      </c>
      <c r="L2420" s="56" t="n">
        <v>0</v>
      </c>
      <c r="M2420" s="56" t="n">
        <v>89</v>
      </c>
      <c r="N2420" s="56" t="n">
        <v>0.1</v>
      </c>
      <c r="O2420" s="56" t="n">
        <f aca="false">IF(D2420=1,"",E2419)</f>
        <v>17.9</v>
      </c>
      <c r="P2420" s="56" t="n">
        <f aca="false">IF(OR(D2420=1,K2419=""),"",K2419)</f>
        <v>1011.4</v>
      </c>
      <c r="Q2420" s="56" t="n">
        <f aca="false">IF(OR(F2420&lt;&gt;0,AND(I2420&lt;&gt;"",E2420&lt;I2420)),1,0)</f>
        <v>0</v>
      </c>
      <c r="R2420" s="56" t="n">
        <f aca="false">IF(AND(D2420&gt;1,Q2420=0,ISNUMBER(O2420),ISNUMBER(P2420)),IF(Q2419=0,1,0),0)</f>
        <v>1</v>
      </c>
      <c r="S2420" s="56" t="n">
        <f aca="false">R2420*(B2420&gt;=Train_Start)*(B2420&lt;=Train_End)</f>
        <v>1</v>
      </c>
      <c r="T2420" s="84" t="n">
        <f aca="false">IF(AND(ISNUMBER(O2420),ISNUMBER(P2420)),Coef_A+Coef_B1*O2420+Coef_B2*P2420,"")</f>
        <v>18.4806584102761</v>
      </c>
      <c r="U2420" s="84" t="n">
        <f aca="false">IF(AND(R2420=1,ISNUMBER(T2420)),E2420-T2420,"")</f>
        <v>3.61934158972387</v>
      </c>
      <c r="V2420" s="84" t="n">
        <f aca="false">IF(ISNUMBER(T2420),T2420,-99)</f>
        <v>18.4806584102761</v>
      </c>
      <c r="W2420" s="84" t="n">
        <f aca="false">IF(ISNUMBER(U2420),ABS(U2420),"")</f>
        <v>3.61934158972387</v>
      </c>
    </row>
    <row r="2421" customFormat="false" ht="15" hidden="false" customHeight="false" outlineLevel="0" collapsed="false">
      <c r="A2421" s="57" t="n">
        <v>34579</v>
      </c>
      <c r="B2421" s="56" t="n">
        <v>1994</v>
      </c>
      <c r="C2421" s="56" t="n">
        <v>9</v>
      </c>
      <c r="D2421" s="56" t="n">
        <v>125</v>
      </c>
      <c r="E2421" s="56" t="n">
        <v>19.5</v>
      </c>
      <c r="F2421" s="56" t="n">
        <v>0</v>
      </c>
      <c r="G2421" s="56" t="n">
        <v>9.6</v>
      </c>
      <c r="H2421" s="56" t="n">
        <v>0</v>
      </c>
      <c r="I2421" s="56" t="n">
        <v>15.8</v>
      </c>
      <c r="J2421" s="56" t="n">
        <v>0</v>
      </c>
      <c r="K2421" s="56" t="n">
        <v>1018.9</v>
      </c>
      <c r="L2421" s="56" t="n">
        <v>0</v>
      </c>
      <c r="M2421" s="56" t="n">
        <v>64</v>
      </c>
      <c r="N2421" s="56" t="n">
        <v>12.4</v>
      </c>
      <c r="O2421" s="56" t="n">
        <f aca="false">IF(D2421=1,"",E2420)</f>
        <v>22.1</v>
      </c>
      <c r="P2421" s="56" t="n">
        <f aca="false">IF(OR(D2421=1,K2420=""),"",K2420)</f>
        <v>1010.6</v>
      </c>
      <c r="Q2421" s="56" t="n">
        <f aca="false">IF(OR(F2421&lt;&gt;0,AND(I2421&lt;&gt;"",E2421&lt;I2421)),1,0)</f>
        <v>0</v>
      </c>
      <c r="R2421" s="56" t="n">
        <f aca="false">IF(AND(D2421&gt;1,Q2421=0,ISNUMBER(O2421),ISNUMBER(P2421)),IF(Q2420=0,1,0),0)</f>
        <v>1</v>
      </c>
      <c r="S2421" s="56" t="n">
        <f aca="false">R2421*(B2421&gt;=Train_Start)*(B2421&lt;=Train_End)</f>
        <v>1</v>
      </c>
      <c r="T2421" s="84" t="n">
        <f aca="false">IF(AND(ISNUMBER(O2421),ISNUMBER(P2421)),Coef_A+Coef_B1*O2421+Coef_B2*P2421,"")</f>
        <v>21.8967871053481</v>
      </c>
      <c r="U2421" s="84" t="n">
        <f aca="false">IF(AND(R2421=1,ISNUMBER(T2421)),E2421-T2421,"")</f>
        <v>-2.39678710534811</v>
      </c>
      <c r="V2421" s="84" t="n">
        <f aca="false">IF(ISNUMBER(T2421),T2421,-99)</f>
        <v>21.8967871053481</v>
      </c>
      <c r="W2421" s="84" t="n">
        <f aca="false">IF(ISNUMBER(U2421),ABS(U2421),"")</f>
        <v>2.39678710534811</v>
      </c>
    </row>
    <row r="2422" customFormat="false" ht="15" hidden="false" customHeight="false" outlineLevel="0" collapsed="false">
      <c r="A2422" s="57" t="n">
        <v>34580</v>
      </c>
      <c r="B2422" s="56" t="n">
        <v>1994</v>
      </c>
      <c r="C2422" s="56" t="n">
        <v>9</v>
      </c>
      <c r="D2422" s="56" t="n">
        <v>126</v>
      </c>
      <c r="E2422" s="56" t="n">
        <v>21.7</v>
      </c>
      <c r="F2422" s="56" t="n">
        <v>0</v>
      </c>
      <c r="G2422" s="56" t="n">
        <v>10</v>
      </c>
      <c r="H2422" s="56" t="n">
        <v>0</v>
      </c>
      <c r="I2422" s="56" t="n">
        <v>14.8</v>
      </c>
      <c r="J2422" s="56" t="n">
        <v>0</v>
      </c>
      <c r="K2422" s="56" t="n">
        <v>1016.2</v>
      </c>
      <c r="L2422" s="56" t="n">
        <v>0</v>
      </c>
      <c r="M2422" s="56" t="n">
        <v>91</v>
      </c>
      <c r="N2422" s="56" t="n">
        <v>0.6</v>
      </c>
      <c r="O2422" s="56" t="n">
        <f aca="false">IF(D2422=1,"",E2421)</f>
        <v>19.5</v>
      </c>
      <c r="P2422" s="56" t="n">
        <f aca="false">IF(OR(D2422=1,K2421=""),"",K2421)</f>
        <v>1018.9</v>
      </c>
      <c r="Q2422" s="56" t="n">
        <f aca="false">IF(OR(F2422&lt;&gt;0,AND(I2422&lt;&gt;"",E2422&lt;I2422)),1,0)</f>
        <v>0</v>
      </c>
      <c r="R2422" s="56" t="n">
        <f aca="false">IF(AND(D2422&gt;1,Q2422=0,ISNUMBER(O2422),ISNUMBER(P2422)),IF(Q2421=0,1,0),0)</f>
        <v>1</v>
      </c>
      <c r="S2422" s="56" t="n">
        <f aca="false">R2422*(B2422&gt;=Train_Start)*(B2422&lt;=Train_End)</f>
        <v>1</v>
      </c>
      <c r="T2422" s="84" t="n">
        <f aca="false">IF(AND(ISNUMBER(O2422),ISNUMBER(P2422)),Coef_A+Coef_B1*O2422+Coef_B2*P2422,"")</f>
        <v>20.0268753288993</v>
      </c>
      <c r="U2422" s="84" t="n">
        <f aca="false">IF(AND(R2422=1,ISNUMBER(T2422)),E2422-T2422,"")</f>
        <v>1.67312467110068</v>
      </c>
      <c r="V2422" s="84" t="n">
        <f aca="false">IF(ISNUMBER(T2422),T2422,-99)</f>
        <v>20.0268753288993</v>
      </c>
      <c r="W2422" s="84" t="n">
        <f aca="false">IF(ISNUMBER(U2422),ABS(U2422),"")</f>
        <v>1.67312467110068</v>
      </c>
    </row>
    <row r="2423" customFormat="false" ht="15" hidden="false" customHeight="false" outlineLevel="0" collapsed="false">
      <c r="A2423" s="57" t="n">
        <v>34581</v>
      </c>
      <c r="B2423" s="56" t="n">
        <v>1994</v>
      </c>
      <c r="C2423" s="56" t="n">
        <v>9</v>
      </c>
      <c r="D2423" s="56" t="n">
        <v>127</v>
      </c>
      <c r="E2423" s="56" t="n">
        <v>20.2</v>
      </c>
      <c r="F2423" s="56" t="n">
        <v>0</v>
      </c>
      <c r="G2423" s="56" t="n">
        <v>15.3</v>
      </c>
      <c r="H2423" s="56" t="n">
        <v>0</v>
      </c>
      <c r="I2423" s="56" t="n">
        <v>18.5</v>
      </c>
      <c r="J2423" s="56" t="n">
        <v>0</v>
      </c>
      <c r="K2423" s="56" t="n">
        <v>1014.9</v>
      </c>
      <c r="L2423" s="56" t="n">
        <v>0</v>
      </c>
      <c r="M2423" s="56" t="n">
        <v>77</v>
      </c>
      <c r="N2423" s="56" t="n">
        <v>6</v>
      </c>
      <c r="O2423" s="56" t="n">
        <f aca="false">IF(D2423=1,"",E2422)</f>
        <v>21.7</v>
      </c>
      <c r="P2423" s="56" t="n">
        <f aca="false">IF(OR(D2423=1,K2422=""),"",K2422)</f>
        <v>1016.2</v>
      </c>
      <c r="Q2423" s="56" t="n">
        <f aca="false">IF(OR(F2423&lt;&gt;0,AND(I2423&lt;&gt;"",E2423&lt;I2423)),1,0)</f>
        <v>0</v>
      </c>
      <c r="R2423" s="56" t="n">
        <f aca="false">IF(AND(D2423&gt;1,Q2423=0,ISNUMBER(O2423),ISNUMBER(P2423)),IF(Q2422=0,1,0),0)</f>
        <v>1</v>
      </c>
      <c r="S2423" s="56" t="n">
        <f aca="false">R2423*(B2423&gt;=Train_Start)*(B2423&lt;=Train_End)</f>
        <v>1</v>
      </c>
      <c r="T2423" s="84" t="n">
        <f aca="false">IF(AND(ISNUMBER(O2423),ISNUMBER(P2423)),Coef_A+Coef_B1*O2423+Coef_B2*P2423,"")</f>
        <v>21.7447228380814</v>
      </c>
      <c r="U2423" s="84" t="n">
        <f aca="false">IF(AND(R2423=1,ISNUMBER(T2423)),E2423-T2423,"")</f>
        <v>-1.54472283808139</v>
      </c>
      <c r="V2423" s="84" t="n">
        <f aca="false">IF(ISNUMBER(T2423),T2423,-99)</f>
        <v>21.7447228380814</v>
      </c>
      <c r="W2423" s="84" t="n">
        <f aca="false">IF(ISNUMBER(U2423),ABS(U2423),"")</f>
        <v>1.54472283808139</v>
      </c>
    </row>
    <row r="2424" customFormat="false" ht="15" hidden="false" customHeight="false" outlineLevel="0" collapsed="false">
      <c r="A2424" s="57" t="n">
        <v>34582</v>
      </c>
      <c r="B2424" s="56" t="n">
        <v>1994</v>
      </c>
      <c r="C2424" s="56" t="n">
        <v>9</v>
      </c>
      <c r="D2424" s="56" t="n">
        <v>128</v>
      </c>
      <c r="E2424" s="56" t="n">
        <v>17.7</v>
      </c>
      <c r="F2424" s="56" t="n">
        <v>0</v>
      </c>
      <c r="G2424" s="56" t="n">
        <v>12.4</v>
      </c>
      <c r="H2424" s="56" t="n">
        <v>0</v>
      </c>
      <c r="I2424" s="56" t="n">
        <v>16.3</v>
      </c>
      <c r="J2424" s="56" t="n">
        <v>0</v>
      </c>
      <c r="K2424" s="56" t="n">
        <v>1018</v>
      </c>
      <c r="L2424" s="56" t="n">
        <v>0</v>
      </c>
      <c r="M2424" s="56" t="n">
        <v>64</v>
      </c>
      <c r="N2424" s="56" t="n">
        <v>8</v>
      </c>
      <c r="O2424" s="56" t="n">
        <f aca="false">IF(D2424=1,"",E2423)</f>
        <v>20.2</v>
      </c>
      <c r="P2424" s="56" t="n">
        <f aca="false">IF(OR(D2424=1,K2423=""),"",K2423)</f>
        <v>1014.9</v>
      </c>
      <c r="Q2424" s="56" t="n">
        <f aca="false">IF(OR(F2424&lt;&gt;0,AND(I2424&lt;&gt;"",E2424&lt;I2424)),1,0)</f>
        <v>0</v>
      </c>
      <c r="R2424" s="56" t="n">
        <f aca="false">IF(AND(D2424&gt;1,Q2424=0,ISNUMBER(O2424),ISNUMBER(P2424)),IF(Q2423=0,1,0),0)</f>
        <v>1</v>
      </c>
      <c r="S2424" s="56" t="n">
        <f aca="false">R2424*(B2424&gt;=Train_Start)*(B2424&lt;=Train_End)</f>
        <v>1</v>
      </c>
      <c r="T2424" s="84" t="n">
        <f aca="false">IF(AND(ISNUMBER(O2424),ISNUMBER(P2424)),Coef_A+Coef_B1*O2424+Coef_B2*P2424,"")</f>
        <v>20.4749331854932</v>
      </c>
      <c r="U2424" s="84" t="n">
        <f aca="false">IF(AND(R2424=1,ISNUMBER(T2424)),E2424-T2424,"")</f>
        <v>-2.77493318549321</v>
      </c>
      <c r="V2424" s="84" t="n">
        <f aca="false">IF(ISNUMBER(T2424),T2424,-99)</f>
        <v>20.4749331854932</v>
      </c>
      <c r="W2424" s="84" t="n">
        <f aca="false">IF(ISNUMBER(U2424),ABS(U2424),"")</f>
        <v>2.77493318549321</v>
      </c>
    </row>
    <row r="2425" customFormat="false" ht="15" hidden="false" customHeight="false" outlineLevel="0" collapsed="false">
      <c r="A2425" s="57" t="n">
        <v>34583</v>
      </c>
      <c r="B2425" s="56" t="n">
        <v>1994</v>
      </c>
      <c r="C2425" s="56" t="n">
        <v>9</v>
      </c>
      <c r="D2425" s="56" t="n">
        <v>129</v>
      </c>
      <c r="E2425" s="56" t="n">
        <v>19.3</v>
      </c>
      <c r="F2425" s="56" t="n">
        <v>0</v>
      </c>
      <c r="G2425" s="56" t="n">
        <v>9.6</v>
      </c>
      <c r="H2425" s="56" t="n">
        <v>0</v>
      </c>
      <c r="I2425" s="56" t="n">
        <v>13.6</v>
      </c>
      <c r="J2425" s="56" t="n">
        <v>0</v>
      </c>
      <c r="K2425" s="56" t="n">
        <v>1013</v>
      </c>
      <c r="L2425" s="56" t="n">
        <v>0</v>
      </c>
      <c r="M2425" s="56" t="n">
        <v>82</v>
      </c>
      <c r="N2425" s="56" t="n">
        <v>0.1</v>
      </c>
      <c r="O2425" s="56" t="n">
        <f aca="false">IF(D2425=1,"",E2424)</f>
        <v>17.7</v>
      </c>
      <c r="P2425" s="56" t="n">
        <f aca="false">IF(OR(D2425=1,K2424=""),"",K2424)</f>
        <v>1018</v>
      </c>
      <c r="Q2425" s="56" t="n">
        <f aca="false">IF(OR(F2425&lt;&gt;0,AND(I2425&lt;&gt;"",E2425&lt;I2425)),1,0)</f>
        <v>0</v>
      </c>
      <c r="R2425" s="56" t="n">
        <f aca="false">IF(AND(D2425&gt;1,Q2425=0,ISNUMBER(O2425),ISNUMBER(P2425)),IF(Q2424=0,1,0),0)</f>
        <v>1</v>
      </c>
      <c r="S2425" s="56" t="n">
        <f aca="false">R2425*(B2425&gt;=Train_Start)*(B2425&lt;=Train_End)</f>
        <v>1</v>
      </c>
      <c r="T2425" s="84" t="n">
        <f aca="false">IF(AND(ISNUMBER(O2425),ISNUMBER(P2425)),Coef_A+Coef_B1*O2425+Coef_B2*P2425,"")</f>
        <v>18.5238318762519</v>
      </c>
      <c r="U2425" s="84" t="n">
        <f aca="false">IF(AND(R2425=1,ISNUMBER(T2425)),E2425-T2425,"")</f>
        <v>0.776168123748061</v>
      </c>
      <c r="V2425" s="84" t="n">
        <f aca="false">IF(ISNUMBER(T2425),T2425,-99)</f>
        <v>18.5238318762519</v>
      </c>
      <c r="W2425" s="84" t="n">
        <f aca="false">IF(ISNUMBER(U2425),ABS(U2425),"")</f>
        <v>0.776168123748061</v>
      </c>
    </row>
    <row r="2426" customFormat="false" ht="15" hidden="false" customHeight="false" outlineLevel="0" collapsed="false">
      <c r="A2426" s="57" t="n">
        <v>34584</v>
      </c>
      <c r="B2426" s="56" t="n">
        <v>1994</v>
      </c>
      <c r="C2426" s="56" t="n">
        <v>9</v>
      </c>
      <c r="D2426" s="56" t="n">
        <v>130</v>
      </c>
      <c r="E2426" s="56" t="n">
        <v>18.7</v>
      </c>
      <c r="F2426" s="56" t="n">
        <v>0</v>
      </c>
      <c r="G2426" s="56" t="n">
        <v>10.5</v>
      </c>
      <c r="H2426" s="56" t="n">
        <v>0</v>
      </c>
      <c r="I2426" s="56" t="n">
        <v>14.9</v>
      </c>
      <c r="J2426" s="56" t="n">
        <v>0</v>
      </c>
      <c r="K2426" s="56" t="n">
        <v>1005</v>
      </c>
      <c r="L2426" s="56" t="n">
        <v>0</v>
      </c>
      <c r="M2426" s="56" t="n">
        <v>82</v>
      </c>
      <c r="N2426" s="56" t="n">
        <v>6.7</v>
      </c>
      <c r="O2426" s="56" t="n">
        <f aca="false">IF(D2426=1,"",E2425)</f>
        <v>19.3</v>
      </c>
      <c r="P2426" s="56" t="n">
        <f aca="false">IF(OR(D2426=1,K2425=""),"",K2425)</f>
        <v>1013</v>
      </c>
      <c r="Q2426" s="56" t="n">
        <f aca="false">IF(OR(F2426&lt;&gt;0,AND(I2426&lt;&gt;"",E2426&lt;I2426)),1,0)</f>
        <v>0</v>
      </c>
      <c r="R2426" s="56" t="n">
        <f aca="false">IF(AND(D2426&gt;1,Q2426=0,ISNUMBER(O2426),ISNUMBER(P2426)),IF(Q2425=0,1,0),0)</f>
        <v>1</v>
      </c>
      <c r="S2426" s="56" t="n">
        <f aca="false">R2426*(B2426&gt;=Train_Start)*(B2426&lt;=Train_End)</f>
        <v>1</v>
      </c>
      <c r="T2426" s="84" t="n">
        <f aca="false">IF(AND(ISNUMBER(O2426),ISNUMBER(P2426)),Coef_A+Coef_B1*O2426+Coef_B2*P2426,"")</f>
        <v>19.6779251119502</v>
      </c>
      <c r="U2426" s="84" t="n">
        <f aca="false">IF(AND(R2426=1,ISNUMBER(T2426)),E2426-T2426,"")</f>
        <v>-0.977925111950246</v>
      </c>
      <c r="V2426" s="84" t="n">
        <f aca="false">IF(ISNUMBER(T2426),T2426,-99)</f>
        <v>19.6779251119502</v>
      </c>
      <c r="W2426" s="84" t="n">
        <f aca="false">IF(ISNUMBER(U2426),ABS(U2426),"")</f>
        <v>0.977925111950246</v>
      </c>
    </row>
    <row r="2427" customFormat="false" ht="15" hidden="false" customHeight="false" outlineLevel="0" collapsed="false">
      <c r="A2427" s="57" t="n">
        <v>34585</v>
      </c>
      <c r="B2427" s="56" t="n">
        <v>1994</v>
      </c>
      <c r="C2427" s="56" t="n">
        <v>9</v>
      </c>
      <c r="D2427" s="56" t="n">
        <v>131</v>
      </c>
      <c r="E2427" s="56" t="n">
        <v>19.2</v>
      </c>
      <c r="F2427" s="56" t="n">
        <v>0</v>
      </c>
      <c r="G2427" s="56" t="n">
        <v>12.1</v>
      </c>
      <c r="H2427" s="56" t="n">
        <v>0</v>
      </c>
      <c r="I2427" s="56" t="n">
        <v>15.4</v>
      </c>
      <c r="J2427" s="56" t="n">
        <v>0</v>
      </c>
      <c r="K2427" s="56" t="n">
        <v>998.1</v>
      </c>
      <c r="L2427" s="56" t="n">
        <v>0</v>
      </c>
      <c r="M2427" s="56" t="n">
        <v>74</v>
      </c>
      <c r="N2427" s="56" t="n">
        <v>10.1</v>
      </c>
      <c r="O2427" s="56" t="n">
        <f aca="false">IF(D2427=1,"",E2426)</f>
        <v>18.7</v>
      </c>
      <c r="P2427" s="56" t="n">
        <f aca="false">IF(OR(D2427=1,K2426=""),"",K2426)</f>
        <v>1005</v>
      </c>
      <c r="Q2427" s="56" t="n">
        <f aca="false">IF(OR(F2427&lt;&gt;0,AND(I2427&lt;&gt;"",E2427&lt;I2427)),1,0)</f>
        <v>0</v>
      </c>
      <c r="R2427" s="56" t="n">
        <f aca="false">IF(AND(D2427&gt;1,Q2427=0,ISNUMBER(O2427),ISNUMBER(P2427)),IF(Q2426=0,1,0),0)</f>
        <v>1</v>
      </c>
      <c r="S2427" s="56" t="n">
        <f aca="false">R2427*(B2427&gt;=Train_Start)*(B2427&lt;=Train_End)</f>
        <v>1</v>
      </c>
      <c r="T2427" s="84" t="n">
        <f aca="false">IF(AND(ISNUMBER(O2427),ISNUMBER(P2427)),Coef_A+Coef_B1*O2427+Coef_B2*P2427,"")</f>
        <v>18.9353624390527</v>
      </c>
      <c r="U2427" s="84" t="n">
        <f aca="false">IF(AND(R2427=1,ISNUMBER(T2427)),E2427-T2427,"")</f>
        <v>0.264637560947268</v>
      </c>
      <c r="V2427" s="84" t="n">
        <f aca="false">IF(ISNUMBER(T2427),T2427,-99)</f>
        <v>18.9353624390527</v>
      </c>
      <c r="W2427" s="84" t="n">
        <f aca="false">IF(ISNUMBER(U2427),ABS(U2427),"")</f>
        <v>0.264637560947268</v>
      </c>
    </row>
    <row r="2428" customFormat="false" ht="15" hidden="false" customHeight="false" outlineLevel="0" collapsed="false">
      <c r="A2428" s="57" t="n">
        <v>34586</v>
      </c>
      <c r="B2428" s="56" t="n">
        <v>1994</v>
      </c>
      <c r="C2428" s="56" t="n">
        <v>9</v>
      </c>
      <c r="D2428" s="56" t="n">
        <v>132</v>
      </c>
      <c r="E2428" s="56" t="n">
        <v>17.8</v>
      </c>
      <c r="F2428" s="56" t="n">
        <v>0</v>
      </c>
      <c r="G2428" s="56" t="n">
        <v>9.4</v>
      </c>
      <c r="H2428" s="56" t="n">
        <v>0</v>
      </c>
      <c r="I2428" s="56" t="n">
        <v>14.3</v>
      </c>
      <c r="J2428" s="56" t="n">
        <v>0</v>
      </c>
      <c r="K2428" s="56" t="n">
        <v>1001.6</v>
      </c>
      <c r="L2428" s="56" t="n">
        <v>0</v>
      </c>
      <c r="M2428" s="56" t="n">
        <v>77</v>
      </c>
      <c r="N2428" s="56" t="n">
        <v>6.5</v>
      </c>
      <c r="O2428" s="56" t="n">
        <f aca="false">IF(D2428=1,"",E2427)</f>
        <v>19.2</v>
      </c>
      <c r="P2428" s="56" t="n">
        <f aca="false">IF(OR(D2428=1,K2427=""),"",K2427)</f>
        <v>998.1</v>
      </c>
      <c r="Q2428" s="56" t="n">
        <f aca="false">IF(OR(F2428&lt;&gt;0,AND(I2428&lt;&gt;"",E2428&lt;I2428)),1,0)</f>
        <v>0</v>
      </c>
      <c r="R2428" s="56" t="n">
        <f aca="false">IF(AND(D2428&gt;1,Q2428=0,ISNUMBER(O2428),ISNUMBER(P2428)),IF(Q2427=0,1,0),0)</f>
        <v>1</v>
      </c>
      <c r="S2428" s="56" t="n">
        <f aca="false">R2428*(B2428&gt;=Train_Start)*(B2428&lt;=Train_End)</f>
        <v>1</v>
      </c>
      <c r="T2428" s="84" t="n">
        <f aca="false">IF(AND(ISNUMBER(O2428),ISNUMBER(P2428)),Coef_A+Coef_B1*O2428+Coef_B2*P2428,"")</f>
        <v>19.1285797625995</v>
      </c>
      <c r="U2428" s="84" t="n">
        <f aca="false">IF(AND(R2428=1,ISNUMBER(T2428)),E2428-T2428,"")</f>
        <v>-1.32857976259954</v>
      </c>
      <c r="V2428" s="84" t="n">
        <f aca="false">IF(ISNUMBER(T2428),T2428,-99)</f>
        <v>19.1285797625995</v>
      </c>
      <c r="W2428" s="84" t="n">
        <f aca="false">IF(ISNUMBER(U2428),ABS(U2428),"")</f>
        <v>1.32857976259954</v>
      </c>
    </row>
    <row r="2429" customFormat="false" ht="15" hidden="false" customHeight="false" outlineLevel="0" collapsed="false">
      <c r="A2429" s="57" t="n">
        <v>34587</v>
      </c>
      <c r="B2429" s="56" t="n">
        <v>1994</v>
      </c>
      <c r="C2429" s="56" t="n">
        <v>9</v>
      </c>
      <c r="D2429" s="56" t="n">
        <v>133</v>
      </c>
      <c r="E2429" s="56" t="n">
        <v>18.4</v>
      </c>
      <c r="F2429" s="56" t="n">
        <v>0</v>
      </c>
      <c r="G2429" s="56" t="n">
        <v>9.7</v>
      </c>
      <c r="H2429" s="56" t="n">
        <v>0</v>
      </c>
      <c r="I2429" s="56" t="n">
        <v>13.8</v>
      </c>
      <c r="J2429" s="56" t="n">
        <v>0</v>
      </c>
      <c r="K2429" s="56" t="n">
        <v>1004.9</v>
      </c>
      <c r="L2429" s="56" t="n">
        <v>0</v>
      </c>
      <c r="M2429" s="56" t="n">
        <v>73</v>
      </c>
      <c r="N2429" s="56" t="n">
        <v>8.5</v>
      </c>
      <c r="O2429" s="56" t="n">
        <f aca="false">IF(D2429=1,"",E2428)</f>
        <v>17.8</v>
      </c>
      <c r="P2429" s="56" t="n">
        <f aca="false">IF(OR(D2429=1,K2428=""),"",K2428)</f>
        <v>1001.6</v>
      </c>
      <c r="Q2429" s="56" t="n">
        <f aca="false">IF(OR(F2429&lt;&gt;0,AND(I2429&lt;&gt;"",E2429&lt;I2429)),1,0)</f>
        <v>0</v>
      </c>
      <c r="R2429" s="56" t="n">
        <f aca="false">IF(AND(D2429&gt;1,Q2429=0,ISNUMBER(O2429),ISNUMBER(P2429)),IF(Q2428=0,1,0),0)</f>
        <v>1</v>
      </c>
      <c r="S2429" s="56" t="n">
        <f aca="false">R2429*(B2429&gt;=Train_Start)*(B2429&lt;=Train_End)</f>
        <v>1</v>
      </c>
      <c r="T2429" s="84" t="n">
        <f aca="false">IF(AND(ISNUMBER(O2429),ISNUMBER(P2429)),Coef_A+Coef_B1*O2429+Coef_B2*P2429,"")</f>
        <v>18.0912995235588</v>
      </c>
      <c r="U2429" s="84" t="n">
        <f aca="false">IF(AND(R2429=1,ISNUMBER(T2429)),E2429-T2429,"")</f>
        <v>0.308700476441221</v>
      </c>
      <c r="V2429" s="84" t="n">
        <f aca="false">IF(ISNUMBER(T2429),T2429,-99)</f>
        <v>18.0912995235588</v>
      </c>
      <c r="W2429" s="84" t="n">
        <f aca="false">IF(ISNUMBER(U2429),ABS(U2429),"")</f>
        <v>0.308700476441221</v>
      </c>
    </row>
    <row r="2430" customFormat="false" ht="15" hidden="false" customHeight="false" outlineLevel="0" collapsed="false">
      <c r="A2430" s="57" t="n">
        <v>34588</v>
      </c>
      <c r="B2430" s="56" t="n">
        <v>1994</v>
      </c>
      <c r="C2430" s="56" t="n">
        <v>9</v>
      </c>
      <c r="D2430" s="56" t="n">
        <v>134</v>
      </c>
      <c r="E2430" s="56" t="n">
        <v>18.7</v>
      </c>
      <c r="F2430" s="56" t="n">
        <v>0</v>
      </c>
      <c r="G2430" s="56" t="n">
        <v>8.9</v>
      </c>
      <c r="H2430" s="56" t="n">
        <v>0</v>
      </c>
      <c r="I2430" s="56" t="n">
        <v>13.6</v>
      </c>
      <c r="J2430" s="56" t="n">
        <v>0</v>
      </c>
      <c r="K2430" s="56" t="n">
        <v>1006.7</v>
      </c>
      <c r="L2430" s="56" t="n">
        <v>0</v>
      </c>
      <c r="M2430" s="56" t="n">
        <v>70</v>
      </c>
      <c r="N2430" s="56" t="n">
        <v>4</v>
      </c>
      <c r="O2430" s="56" t="n">
        <f aca="false">IF(D2430=1,"",E2429)</f>
        <v>18.4</v>
      </c>
      <c r="P2430" s="56" t="n">
        <f aca="false">IF(OR(D2430=1,K2429=""),"",K2429)</f>
        <v>1004.9</v>
      </c>
      <c r="Q2430" s="56" t="n">
        <f aca="false">IF(OR(F2430&lt;&gt;0,AND(I2430&lt;&gt;"",E2430&lt;I2430)),1,0)</f>
        <v>0</v>
      </c>
      <c r="R2430" s="56" t="n">
        <f aca="false">IF(AND(D2430&gt;1,Q2430=0,ISNUMBER(O2430),ISNUMBER(P2430)),IF(Q2429=0,1,0),0)</f>
        <v>1</v>
      </c>
      <c r="S2430" s="56" t="n">
        <f aca="false">R2430*(B2430&gt;=Train_Start)*(B2430&lt;=Train_End)</f>
        <v>1</v>
      </c>
      <c r="T2430" s="84" t="n">
        <f aca="false">IF(AND(ISNUMBER(O2430),ISNUMBER(P2430)),Coef_A+Coef_B1*O2430+Coef_B2*P2430,"")</f>
        <v>18.6864236916765</v>
      </c>
      <c r="U2430" s="84" t="n">
        <f aca="false">IF(AND(R2430=1,ISNUMBER(T2430)),E2430-T2430,"")</f>
        <v>0.0135763083234615</v>
      </c>
      <c r="V2430" s="84" t="n">
        <f aca="false">IF(ISNUMBER(T2430),T2430,-99)</f>
        <v>18.6864236916765</v>
      </c>
      <c r="W2430" s="84" t="n">
        <f aca="false">IF(ISNUMBER(U2430),ABS(U2430),"")</f>
        <v>0.0135763083234615</v>
      </c>
    </row>
    <row r="2431" customFormat="false" ht="15" hidden="false" customHeight="false" outlineLevel="0" collapsed="false">
      <c r="A2431" s="57" t="n">
        <v>34589</v>
      </c>
      <c r="B2431" s="56" t="n">
        <v>1994</v>
      </c>
      <c r="C2431" s="56" t="n">
        <v>9</v>
      </c>
      <c r="D2431" s="56" t="n">
        <v>135</v>
      </c>
      <c r="E2431" s="56" t="n">
        <v>19.4</v>
      </c>
      <c r="F2431" s="56" t="n">
        <v>0</v>
      </c>
      <c r="G2431" s="56" t="n">
        <v>13.4</v>
      </c>
      <c r="H2431" s="56" t="n">
        <v>0</v>
      </c>
      <c r="I2431" s="56" t="n">
        <v>16</v>
      </c>
      <c r="J2431" s="56" t="n">
        <v>0</v>
      </c>
      <c r="K2431" s="56" t="n">
        <v>1001.5</v>
      </c>
      <c r="L2431" s="56" t="n">
        <v>0</v>
      </c>
      <c r="M2431" s="56" t="n">
        <v>78</v>
      </c>
      <c r="N2431" s="56" t="n">
        <v>5.2</v>
      </c>
      <c r="O2431" s="56" t="n">
        <f aca="false">IF(D2431=1,"",E2430)</f>
        <v>18.7</v>
      </c>
      <c r="P2431" s="56" t="n">
        <f aca="false">IF(OR(D2431=1,K2430=""),"",K2430)</f>
        <v>1006.7</v>
      </c>
      <c r="Q2431" s="56" t="n">
        <f aca="false">IF(OR(F2431&lt;&gt;0,AND(I2431&lt;&gt;"",E2431&lt;I2431)),1,0)</f>
        <v>0</v>
      </c>
      <c r="R2431" s="56" t="n">
        <f aca="false">IF(AND(D2431&gt;1,Q2431=0,ISNUMBER(O2431),ISNUMBER(P2431)),IF(Q2430=0,1,0),0)</f>
        <v>1</v>
      </c>
      <c r="S2431" s="56" t="n">
        <f aca="false">R2431*(B2431&gt;=Train_Start)*(B2431&lt;=Train_End)</f>
        <v>1</v>
      </c>
      <c r="T2431" s="84" t="n">
        <f aca="false">IF(AND(ISNUMBER(O2431),ISNUMBER(P2431)),Coef_A+Coef_B1*O2431+Coef_B2*P2431,"")</f>
        <v>18.9886912599305</v>
      </c>
      <c r="U2431" s="84" t="n">
        <f aca="false">IF(AND(R2431=1,ISNUMBER(T2431)),E2431-T2431,"")</f>
        <v>0.41130874006948</v>
      </c>
      <c r="V2431" s="84" t="n">
        <f aca="false">IF(ISNUMBER(T2431),T2431,-99)</f>
        <v>18.9886912599305</v>
      </c>
      <c r="W2431" s="84" t="n">
        <f aca="false">IF(ISNUMBER(U2431),ABS(U2431),"")</f>
        <v>0.41130874006948</v>
      </c>
    </row>
    <row r="2432" customFormat="false" ht="15" hidden="false" customHeight="false" outlineLevel="0" collapsed="false">
      <c r="A2432" s="57" t="n">
        <v>34590</v>
      </c>
      <c r="B2432" s="56" t="n">
        <v>1994</v>
      </c>
      <c r="C2432" s="56" t="n">
        <v>9</v>
      </c>
      <c r="D2432" s="56" t="n">
        <v>136</v>
      </c>
      <c r="E2432" s="56" t="n">
        <v>18</v>
      </c>
      <c r="F2432" s="56" t="n">
        <v>0</v>
      </c>
      <c r="G2432" s="56" t="n">
        <v>9.4</v>
      </c>
      <c r="H2432" s="56" t="n">
        <v>0</v>
      </c>
      <c r="I2432" s="56" t="n">
        <v>14.4</v>
      </c>
      <c r="J2432" s="56" t="n">
        <v>0</v>
      </c>
      <c r="K2432" s="56" t="n">
        <v>1008.3</v>
      </c>
      <c r="L2432" s="56" t="n">
        <v>0</v>
      </c>
      <c r="M2432" s="56" t="n">
        <v>74</v>
      </c>
      <c r="N2432" s="56" t="n">
        <v>8.5</v>
      </c>
      <c r="O2432" s="56" t="n">
        <f aca="false">IF(D2432=1,"",E2431)</f>
        <v>19.4</v>
      </c>
      <c r="P2432" s="56" t="n">
        <f aca="false">IF(OR(D2432=1,K2431=""),"",K2431)</f>
        <v>1001.5</v>
      </c>
      <c r="Q2432" s="56" t="n">
        <f aca="false">IF(OR(F2432&lt;&gt;0,AND(I2432&lt;&gt;"",E2432&lt;I2432)),1,0)</f>
        <v>0</v>
      </c>
      <c r="R2432" s="56" t="n">
        <f aca="false">IF(AND(D2432&gt;1,Q2432=0,ISNUMBER(O2432),ISNUMBER(P2432)),IF(Q2431=0,1,0),0)</f>
        <v>1</v>
      </c>
      <c r="S2432" s="56" t="n">
        <f aca="false">R2432*(B2432&gt;=Train_Start)*(B2432&lt;=Train_End)</f>
        <v>1</v>
      </c>
      <c r="T2432" s="84" t="n">
        <f aca="false">IF(AND(ISNUMBER(O2432),ISNUMBER(P2432)),Coef_A+Coef_B1*O2432+Coef_B2*P2432,"")</f>
        <v>19.3991052429636</v>
      </c>
      <c r="U2432" s="84" t="n">
        <f aca="false">IF(AND(R2432=1,ISNUMBER(T2432)),E2432-T2432,"")</f>
        <v>-1.39910524296363</v>
      </c>
      <c r="V2432" s="84" t="n">
        <f aca="false">IF(ISNUMBER(T2432),T2432,-99)</f>
        <v>19.3991052429636</v>
      </c>
      <c r="W2432" s="84" t="n">
        <f aca="false">IF(ISNUMBER(U2432),ABS(U2432),"")</f>
        <v>1.39910524296363</v>
      </c>
    </row>
    <row r="2433" customFormat="false" ht="15" hidden="false" customHeight="false" outlineLevel="0" collapsed="false">
      <c r="A2433" s="57" t="n">
        <v>34591</v>
      </c>
      <c r="B2433" s="56" t="n">
        <v>1994</v>
      </c>
      <c r="C2433" s="56" t="n">
        <v>9</v>
      </c>
      <c r="D2433" s="56" t="n">
        <v>137</v>
      </c>
      <c r="E2433" s="56" t="n">
        <v>11.5</v>
      </c>
      <c r="F2433" s="56" t="n">
        <v>1</v>
      </c>
      <c r="G2433" s="56" t="n">
        <v>12.5</v>
      </c>
      <c r="H2433" s="56" t="n">
        <v>1</v>
      </c>
      <c r="I2433" s="56" t="n">
        <v>15.2</v>
      </c>
      <c r="J2433" s="56" t="n">
        <v>1</v>
      </c>
      <c r="K2433" s="56" t="n">
        <v>998.3</v>
      </c>
      <c r="L2433" s="56" t="n">
        <v>0</v>
      </c>
      <c r="M2433" s="56" t="n">
        <v>83</v>
      </c>
      <c r="N2433" s="56" t="n">
        <v>0.7</v>
      </c>
      <c r="O2433" s="56" t="n">
        <f aca="false">IF(D2433=1,"",E2432)</f>
        <v>18</v>
      </c>
      <c r="P2433" s="56" t="n">
        <f aca="false">IF(OR(D2433=1,K2432=""),"",K2432)</f>
        <v>1008.3</v>
      </c>
      <c r="Q2433" s="56" t="n">
        <f aca="false">IF(OR(F2433&lt;&gt;0,AND(I2433&lt;&gt;"",E2433&lt;I2433)),1,0)</f>
        <v>1</v>
      </c>
      <c r="R2433" s="56" t="n">
        <f aca="false">IF(AND(D2433&gt;1,Q2433=0,ISNUMBER(O2433),ISNUMBER(P2433)),IF(Q2432=0,1,0),0)</f>
        <v>0</v>
      </c>
      <c r="S2433" s="56" t="n">
        <f aca="false">R2433*(B2433&gt;=Train_Start)*(B2433&lt;=Train_End)</f>
        <v>0</v>
      </c>
      <c r="T2433" s="84" t="n">
        <f aca="false">IF(AND(ISNUMBER(O2433),ISNUMBER(P2433)),Coef_A+Coef_B1*O2433+Coef_B2*P2433,"")</f>
        <v>18.465345656215</v>
      </c>
      <c r="U2433" s="84" t="str">
        <f aca="false">IF(AND(R2433=1,ISNUMBER(T2433)),E2433-T2433,"")</f>
        <v/>
      </c>
      <c r="V2433" s="84" t="n">
        <f aca="false">IF(ISNUMBER(T2433),T2433,-99)</f>
        <v>18.465345656215</v>
      </c>
      <c r="W2433" s="84" t="str">
        <f aca="false">IF(ISNUMBER(U2433),ABS(U2433),"")</f>
        <v/>
      </c>
    </row>
    <row r="2434" customFormat="false" ht="15" hidden="false" customHeight="false" outlineLevel="0" collapsed="false">
      <c r="A2434" s="57" t="n">
        <v>34592</v>
      </c>
      <c r="B2434" s="56" t="n">
        <v>1994</v>
      </c>
      <c r="C2434" s="56" t="n">
        <v>9</v>
      </c>
      <c r="D2434" s="56" t="n">
        <v>138</v>
      </c>
      <c r="E2434" s="56" t="n">
        <v>14.4</v>
      </c>
      <c r="F2434" s="56" t="n">
        <v>0</v>
      </c>
      <c r="G2434" s="56" t="n">
        <v>9.7</v>
      </c>
      <c r="H2434" s="56" t="n">
        <v>0</v>
      </c>
      <c r="I2434" s="56" t="n">
        <v>10.6</v>
      </c>
      <c r="J2434" s="56" t="n">
        <v>0</v>
      </c>
      <c r="K2434" s="56" t="n">
        <v>998.1</v>
      </c>
      <c r="L2434" s="56" t="n">
        <v>0</v>
      </c>
      <c r="M2434" s="56" t="n">
        <v>92</v>
      </c>
      <c r="N2434" s="56" t="n">
        <v>0</v>
      </c>
      <c r="O2434" s="56" t="n">
        <f aca="false">IF(D2434=1,"",E2433)</f>
        <v>11.5</v>
      </c>
      <c r="P2434" s="56" t="n">
        <f aca="false">IF(OR(D2434=1,K2433=""),"",K2433)</f>
        <v>998.3</v>
      </c>
      <c r="Q2434" s="56" t="n">
        <f aca="false">IF(OR(F2434&lt;&gt;0,AND(I2434&lt;&gt;"",E2434&lt;I2434)),1,0)</f>
        <v>0</v>
      </c>
      <c r="R2434" s="56" t="n">
        <f aca="false">IF(AND(D2434&gt;1,Q2434=0,ISNUMBER(O2434),ISNUMBER(P2434)),IF(Q2433=0,1,0),0)</f>
        <v>0</v>
      </c>
      <c r="S2434" s="56" t="n">
        <f aca="false">R2434*(B2434&gt;=Train_Start)*(B2434&lt;=Train_End)</f>
        <v>0</v>
      </c>
      <c r="T2434" s="84" t="n">
        <f aca="false">IF(AND(ISNUMBER(O2434),ISNUMBER(P2434)),Coef_A+Coef_B1*O2434+Coef_B2*P2434,"")</f>
        <v>12.8259419550979</v>
      </c>
      <c r="U2434" s="84" t="str">
        <f aca="false">IF(AND(R2434=1,ISNUMBER(T2434)),E2434-T2434,"")</f>
        <v/>
      </c>
      <c r="V2434" s="84" t="n">
        <f aca="false">IF(ISNUMBER(T2434),T2434,-99)</f>
        <v>12.8259419550979</v>
      </c>
      <c r="W2434" s="84" t="str">
        <f aca="false">IF(ISNUMBER(U2434),ABS(U2434),"")</f>
        <v/>
      </c>
    </row>
    <row r="2435" customFormat="false" ht="15" hidden="false" customHeight="false" outlineLevel="0" collapsed="false">
      <c r="A2435" s="57" t="n">
        <v>34593</v>
      </c>
      <c r="B2435" s="56" t="n">
        <v>1994</v>
      </c>
      <c r="C2435" s="56" t="n">
        <v>9</v>
      </c>
      <c r="D2435" s="56" t="n">
        <v>139</v>
      </c>
      <c r="E2435" s="56" t="n">
        <v>15.1</v>
      </c>
      <c r="F2435" s="56" t="n">
        <v>0</v>
      </c>
      <c r="G2435" s="56" t="n">
        <v>9.3</v>
      </c>
      <c r="H2435" s="56" t="n">
        <v>0</v>
      </c>
      <c r="I2435" s="56" t="n">
        <v>11.8</v>
      </c>
      <c r="J2435" s="56" t="n">
        <v>0</v>
      </c>
      <c r="K2435" s="56" t="n">
        <v>1010.9</v>
      </c>
      <c r="L2435" s="56" t="n">
        <v>0</v>
      </c>
      <c r="M2435" s="56" t="n">
        <v>67</v>
      </c>
      <c r="N2435" s="56" t="n">
        <v>5.5</v>
      </c>
      <c r="O2435" s="56" t="n">
        <f aca="false">IF(D2435=1,"",E2434)</f>
        <v>14.4</v>
      </c>
      <c r="P2435" s="56" t="n">
        <f aca="false">IF(OR(D2435=1,K2434=""),"",K2434)</f>
        <v>998.1</v>
      </c>
      <c r="Q2435" s="56" t="n">
        <f aca="false">IF(OR(F2435&lt;&gt;0,AND(I2435&lt;&gt;"",E2435&lt;I2435)),1,0)</f>
        <v>0</v>
      </c>
      <c r="R2435" s="56" t="n">
        <f aca="false">IF(AND(D2435&gt;1,Q2435=0,ISNUMBER(O2435),ISNUMBER(P2435)),IF(Q2434=0,1,0),0)</f>
        <v>1</v>
      </c>
      <c r="S2435" s="56" t="n">
        <f aca="false">R2435*(B2435&gt;=Train_Start)*(B2435&lt;=Train_End)</f>
        <v>1</v>
      </c>
      <c r="T2435" s="84" t="n">
        <f aca="false">IF(AND(ISNUMBER(O2435),ISNUMBER(P2435)),Coef_A+Coef_B1*O2435+Coef_B2*P2435,"")</f>
        <v>15.1957516359948</v>
      </c>
      <c r="U2435" s="84" t="n">
        <f aca="false">IF(AND(R2435=1,ISNUMBER(T2435)),E2435-T2435,"")</f>
        <v>-0.0957516359947821</v>
      </c>
      <c r="V2435" s="84" t="n">
        <f aca="false">IF(ISNUMBER(T2435),T2435,-99)</f>
        <v>15.1957516359948</v>
      </c>
      <c r="W2435" s="84" t="n">
        <f aca="false">IF(ISNUMBER(U2435),ABS(U2435),"")</f>
        <v>0.0957516359947821</v>
      </c>
    </row>
    <row r="2436" customFormat="false" ht="15" hidden="false" customHeight="false" outlineLevel="0" collapsed="false">
      <c r="A2436" s="57" t="n">
        <v>34594</v>
      </c>
      <c r="B2436" s="56" t="n">
        <v>1994</v>
      </c>
      <c r="C2436" s="56" t="n">
        <v>9</v>
      </c>
      <c r="D2436" s="56" t="n">
        <v>140</v>
      </c>
      <c r="E2436" s="56" t="n">
        <v>14</v>
      </c>
      <c r="F2436" s="56" t="n">
        <v>0</v>
      </c>
      <c r="G2436" s="56" t="n">
        <v>4.9</v>
      </c>
      <c r="H2436" s="56" t="n">
        <v>0</v>
      </c>
      <c r="I2436" s="56" t="n">
        <v>10</v>
      </c>
      <c r="J2436" s="56" t="n">
        <v>0</v>
      </c>
      <c r="K2436" s="56" t="n">
        <v>1021.1</v>
      </c>
      <c r="L2436" s="56" t="n">
        <v>0</v>
      </c>
      <c r="M2436" s="56" t="n">
        <v>68</v>
      </c>
      <c r="N2436" s="56" t="n">
        <v>1</v>
      </c>
      <c r="O2436" s="56" t="n">
        <f aca="false">IF(D2436=1,"",E2435)</f>
        <v>15.1</v>
      </c>
      <c r="P2436" s="56" t="n">
        <f aca="false">IF(OR(D2436=1,K2435=""),"",K2435)</f>
        <v>1010.9</v>
      </c>
      <c r="Q2436" s="56" t="n">
        <f aca="false">IF(OR(F2436&lt;&gt;0,AND(I2436&lt;&gt;"",E2436&lt;I2436)),1,0)</f>
        <v>0</v>
      </c>
      <c r="R2436" s="56" t="n">
        <f aca="false">IF(AND(D2436&gt;1,Q2436=0,ISNUMBER(O2436),ISNUMBER(P2436)),IF(Q2435=0,1,0),0)</f>
        <v>1</v>
      </c>
      <c r="S2436" s="56" t="n">
        <f aca="false">R2436*(B2436&gt;=Train_Start)*(B2436&lt;=Train_End)</f>
        <v>1</v>
      </c>
      <c r="T2436" s="84" t="n">
        <f aca="false">IF(AND(ISNUMBER(O2436),ISNUMBER(P2436)),Coef_A+Coef_B1*O2436+Coef_B2*P2436,"")</f>
        <v>16.1708237224397</v>
      </c>
      <c r="U2436" s="84" t="n">
        <f aca="false">IF(AND(R2436=1,ISNUMBER(T2436)),E2436-T2436,"")</f>
        <v>-2.1708237224397</v>
      </c>
      <c r="V2436" s="84" t="n">
        <f aca="false">IF(ISNUMBER(T2436),T2436,-99)</f>
        <v>16.1708237224397</v>
      </c>
      <c r="W2436" s="84" t="n">
        <f aca="false">IF(ISNUMBER(U2436),ABS(U2436),"")</f>
        <v>2.1708237224397</v>
      </c>
    </row>
    <row r="2437" customFormat="false" ht="15" hidden="false" customHeight="false" outlineLevel="0" collapsed="false">
      <c r="A2437" s="57" t="n">
        <v>34595</v>
      </c>
      <c r="B2437" s="56" t="n">
        <v>1994</v>
      </c>
      <c r="C2437" s="56" t="n">
        <v>9</v>
      </c>
      <c r="D2437" s="56" t="n">
        <v>141</v>
      </c>
      <c r="E2437" s="56" t="n">
        <v>13.8</v>
      </c>
      <c r="F2437" s="56" t="n">
        <v>0</v>
      </c>
      <c r="G2437" s="56" t="n">
        <v>9.2</v>
      </c>
      <c r="H2437" s="56" t="n">
        <v>0</v>
      </c>
      <c r="I2437" s="56" t="n">
        <v>11.6</v>
      </c>
      <c r="J2437" s="56" t="n">
        <v>0</v>
      </c>
      <c r="K2437" s="56" t="n">
        <v>1026.2</v>
      </c>
      <c r="L2437" s="56" t="n">
        <v>0</v>
      </c>
      <c r="M2437" s="56" t="n">
        <v>64</v>
      </c>
      <c r="N2437" s="56" t="n">
        <v>0.4</v>
      </c>
      <c r="O2437" s="56" t="n">
        <f aca="false">IF(D2437=1,"",E2436)</f>
        <v>14</v>
      </c>
      <c r="P2437" s="56" t="n">
        <f aca="false">IF(OR(D2437=1,K2436=""),"",K2436)</f>
        <v>1021.1</v>
      </c>
      <c r="Q2437" s="56" t="n">
        <f aca="false">IF(OR(F2437&lt;&gt;0,AND(I2437&lt;&gt;"",E2437&lt;I2437)),1,0)</f>
        <v>0</v>
      </c>
      <c r="R2437" s="56" t="n">
        <f aca="false">IF(AND(D2437&gt;1,Q2437=0,ISNUMBER(O2437),ISNUMBER(P2437)),IF(Q2436=0,1,0),0)</f>
        <v>1</v>
      </c>
      <c r="S2437" s="56" t="n">
        <f aca="false">R2437*(B2437&gt;=Train_Start)*(B2437&lt;=Train_End)</f>
        <v>1</v>
      </c>
      <c r="T2437" s="84" t="n">
        <f aca="false">IF(AND(ISNUMBER(O2437),ISNUMBER(P2437)),Coef_A+Coef_B1*O2437+Coef_B2*P2437,"")</f>
        <v>15.5895235353595</v>
      </c>
      <c r="U2437" s="84" t="n">
        <f aca="false">IF(AND(R2437=1,ISNUMBER(T2437)),E2437-T2437,"")</f>
        <v>-1.78952353535947</v>
      </c>
      <c r="V2437" s="84" t="n">
        <f aca="false">IF(ISNUMBER(T2437),T2437,-99)</f>
        <v>15.5895235353595</v>
      </c>
      <c r="W2437" s="84" t="n">
        <f aca="false">IF(ISNUMBER(U2437),ABS(U2437),"")</f>
        <v>1.78952353535947</v>
      </c>
    </row>
    <row r="2438" customFormat="false" ht="15" hidden="false" customHeight="false" outlineLevel="0" collapsed="false">
      <c r="A2438" s="57" t="n">
        <v>34596</v>
      </c>
      <c r="B2438" s="56" t="n">
        <v>1994</v>
      </c>
      <c r="C2438" s="56" t="n">
        <v>9</v>
      </c>
      <c r="D2438" s="56" t="n">
        <v>142</v>
      </c>
      <c r="E2438" s="56" t="n">
        <v>16.5</v>
      </c>
      <c r="F2438" s="56" t="n">
        <v>0</v>
      </c>
      <c r="G2438" s="56" t="n">
        <v>9.3</v>
      </c>
      <c r="H2438" s="56" t="n">
        <v>0</v>
      </c>
      <c r="I2438" s="56" t="n">
        <v>11.6</v>
      </c>
      <c r="J2438" s="56" t="n">
        <v>0</v>
      </c>
      <c r="K2438" s="56" t="n">
        <v>1015</v>
      </c>
      <c r="L2438" s="56" t="n">
        <v>0</v>
      </c>
      <c r="M2438" s="56" t="n">
        <v>89</v>
      </c>
      <c r="N2438" s="56" t="n">
        <v>0</v>
      </c>
      <c r="O2438" s="56" t="n">
        <f aca="false">IF(D2438=1,"",E2437)</f>
        <v>13.8</v>
      </c>
      <c r="P2438" s="56" t="n">
        <f aca="false">IF(OR(D2438=1,K2437=""),"",K2437)</f>
        <v>1026.2</v>
      </c>
      <c r="Q2438" s="56" t="n">
        <f aca="false">IF(OR(F2438&lt;&gt;0,AND(I2438&lt;&gt;"",E2438&lt;I2438)),1,0)</f>
        <v>0</v>
      </c>
      <c r="R2438" s="56" t="n">
        <f aca="false">IF(AND(D2438&gt;1,Q2438=0,ISNUMBER(O2438),ISNUMBER(P2438)),IF(Q2437=0,1,0),0)</f>
        <v>1</v>
      </c>
      <c r="S2438" s="56" t="n">
        <f aca="false">R2438*(B2438&gt;=Train_Start)*(B2438&lt;=Train_End)</f>
        <v>1</v>
      </c>
      <c r="T2438" s="84" t="n">
        <f aca="false">IF(AND(ISNUMBER(O2438),ISNUMBER(P2438)),Coef_A+Coef_B1*O2438+Coef_B2*P2438,"")</f>
        <v>15.5856421593843</v>
      </c>
      <c r="U2438" s="84" t="n">
        <f aca="false">IF(AND(R2438=1,ISNUMBER(T2438)),E2438-T2438,"")</f>
        <v>0.914357840615708</v>
      </c>
      <c r="V2438" s="84" t="n">
        <f aca="false">IF(ISNUMBER(T2438),T2438,-99)</f>
        <v>15.5856421593843</v>
      </c>
      <c r="W2438" s="84" t="n">
        <f aca="false">IF(ISNUMBER(U2438),ABS(U2438),"")</f>
        <v>0.914357840615708</v>
      </c>
    </row>
    <row r="2439" customFormat="false" ht="15" hidden="false" customHeight="false" outlineLevel="0" collapsed="false">
      <c r="A2439" s="57" t="n">
        <v>34597</v>
      </c>
      <c r="B2439" s="56" t="n">
        <v>1994</v>
      </c>
      <c r="C2439" s="56" t="n">
        <v>9</v>
      </c>
      <c r="D2439" s="56" t="n">
        <v>143</v>
      </c>
      <c r="E2439" s="56" t="n">
        <v>20</v>
      </c>
      <c r="F2439" s="56" t="n">
        <v>0</v>
      </c>
      <c r="G2439" s="56" t="n">
        <v>10.9</v>
      </c>
      <c r="H2439" s="56" t="n">
        <v>0</v>
      </c>
      <c r="I2439" s="56" t="n">
        <v>13.7</v>
      </c>
      <c r="J2439" s="56" t="n">
        <v>0</v>
      </c>
      <c r="K2439" s="56" t="n">
        <v>1004.6</v>
      </c>
      <c r="L2439" s="56" t="n">
        <v>0</v>
      </c>
      <c r="M2439" s="56" t="n">
        <v>86</v>
      </c>
      <c r="N2439" s="56" t="n">
        <v>2.3</v>
      </c>
      <c r="O2439" s="56" t="n">
        <f aca="false">IF(D2439=1,"",E2438)</f>
        <v>16.5</v>
      </c>
      <c r="P2439" s="56" t="n">
        <f aca="false">IF(OR(D2439=1,K2438=""),"",K2438)</f>
        <v>1015</v>
      </c>
      <c r="Q2439" s="56" t="n">
        <f aca="false">IF(OR(F2439&lt;&gt;0,AND(I2439&lt;&gt;"",E2439&lt;I2439)),1,0)</f>
        <v>0</v>
      </c>
      <c r="R2439" s="56" t="n">
        <f aca="false">IF(AND(D2439&gt;1,Q2439=0,ISNUMBER(O2439),ISNUMBER(P2439)),IF(Q2438=0,1,0),0)</f>
        <v>1</v>
      </c>
      <c r="S2439" s="56" t="n">
        <f aca="false">R2439*(B2439&gt;=Train_Start)*(B2439&lt;=Train_End)</f>
        <v>1</v>
      </c>
      <c r="T2439" s="84" t="n">
        <f aca="false">IF(AND(ISNUMBER(O2439),ISNUMBER(P2439)),Coef_A+Coef_B1*O2439+Coef_B2*P2439,"")</f>
        <v>17.4465151606988</v>
      </c>
      <c r="U2439" s="84" t="n">
        <f aca="false">IF(AND(R2439=1,ISNUMBER(T2439)),E2439-T2439,"")</f>
        <v>2.55348483930122</v>
      </c>
      <c r="V2439" s="84" t="n">
        <f aca="false">IF(ISNUMBER(T2439),T2439,-99)</f>
        <v>17.4465151606988</v>
      </c>
      <c r="W2439" s="84" t="n">
        <f aca="false">IF(ISNUMBER(U2439),ABS(U2439),"")</f>
        <v>2.55348483930122</v>
      </c>
    </row>
    <row r="2440" customFormat="false" ht="15" hidden="false" customHeight="false" outlineLevel="0" collapsed="false">
      <c r="A2440" s="57" t="n">
        <v>34598</v>
      </c>
      <c r="B2440" s="56" t="n">
        <v>1994</v>
      </c>
      <c r="C2440" s="56" t="n">
        <v>9</v>
      </c>
      <c r="D2440" s="56" t="n">
        <v>144</v>
      </c>
      <c r="E2440" s="56" t="n">
        <v>19.5</v>
      </c>
      <c r="F2440" s="56" t="n">
        <v>0</v>
      </c>
      <c r="G2440" s="56" t="n">
        <v>8.8</v>
      </c>
      <c r="H2440" s="56" t="n">
        <v>0</v>
      </c>
      <c r="I2440" s="56" t="n">
        <v>14.4</v>
      </c>
      <c r="J2440" s="56" t="n">
        <v>0</v>
      </c>
      <c r="K2440" s="56" t="n">
        <v>1014</v>
      </c>
      <c r="L2440" s="56" t="n">
        <v>0</v>
      </c>
      <c r="M2440" s="56" t="n">
        <v>81</v>
      </c>
      <c r="N2440" s="56" t="n">
        <v>5.7</v>
      </c>
      <c r="O2440" s="56" t="n">
        <f aca="false">IF(D2440=1,"",E2439)</f>
        <v>20</v>
      </c>
      <c r="P2440" s="56" t="n">
        <f aca="false">IF(OR(D2440=1,K2439=""),"",K2439)</f>
        <v>1004.6</v>
      </c>
      <c r="Q2440" s="56" t="n">
        <f aca="false">IF(OR(F2440&lt;&gt;0,AND(I2440&lt;&gt;"",E2440&lt;I2440)),1,0)</f>
        <v>0</v>
      </c>
      <c r="R2440" s="56" t="n">
        <f aca="false">IF(AND(D2440&gt;1,Q2440=0,ISNUMBER(O2440),ISNUMBER(P2440)),IF(Q2439=0,1,0),0)</f>
        <v>1</v>
      </c>
      <c r="S2440" s="56" t="n">
        <f aca="false">R2440*(B2440&gt;=Train_Start)*(B2440&lt;=Train_End)</f>
        <v>1</v>
      </c>
      <c r="T2440" s="84" t="n">
        <f aca="false">IF(AND(ISNUMBER(O2440),ISNUMBER(P2440)),Coef_A+Coef_B1*O2440+Coef_B2*P2440,"")</f>
        <v>19.9879554321546</v>
      </c>
      <c r="U2440" s="84" t="n">
        <f aca="false">IF(AND(R2440=1,ISNUMBER(T2440)),E2440-T2440,"")</f>
        <v>-0.487955432154592</v>
      </c>
      <c r="V2440" s="84" t="n">
        <f aca="false">IF(ISNUMBER(T2440),T2440,-99)</f>
        <v>19.9879554321546</v>
      </c>
      <c r="W2440" s="84" t="n">
        <f aca="false">IF(ISNUMBER(U2440),ABS(U2440),"")</f>
        <v>0.487955432154592</v>
      </c>
    </row>
    <row r="2441" customFormat="false" ht="15" hidden="false" customHeight="false" outlineLevel="0" collapsed="false">
      <c r="A2441" s="57" t="n">
        <v>34599</v>
      </c>
      <c r="B2441" s="56" t="n">
        <v>1994</v>
      </c>
      <c r="C2441" s="56" t="n">
        <v>9</v>
      </c>
      <c r="D2441" s="56" t="n">
        <v>145</v>
      </c>
      <c r="E2441" s="56" t="n">
        <v>19.1</v>
      </c>
      <c r="F2441" s="56" t="n">
        <v>0</v>
      </c>
      <c r="G2441" s="56" t="n">
        <v>11.5</v>
      </c>
      <c r="H2441" s="56" t="n">
        <v>0</v>
      </c>
      <c r="I2441" s="56" t="n">
        <v>15.5</v>
      </c>
      <c r="J2441" s="56" t="n">
        <v>0</v>
      </c>
      <c r="K2441" s="56" t="n">
        <v>1022</v>
      </c>
      <c r="L2441" s="56" t="n">
        <v>0</v>
      </c>
      <c r="M2441" s="56" t="n">
        <v>76</v>
      </c>
      <c r="N2441" s="56" t="n">
        <v>6.3</v>
      </c>
      <c r="O2441" s="56" t="n">
        <f aca="false">IF(D2441=1,"",E2440)</f>
        <v>19.5</v>
      </c>
      <c r="P2441" s="56" t="n">
        <f aca="false">IF(OR(D2441=1,K2440=""),"",K2440)</f>
        <v>1014</v>
      </c>
      <c r="Q2441" s="56" t="n">
        <f aca="false">IF(OR(F2441&lt;&gt;0,AND(I2441&lt;&gt;"",E2441&lt;I2441)),1,0)</f>
        <v>0</v>
      </c>
      <c r="R2441" s="56" t="n">
        <f aca="false">IF(AND(D2441&gt;1,Q2441=0,ISNUMBER(O2441),ISNUMBER(P2441)),IF(Q2440=0,1,0),0)</f>
        <v>1</v>
      </c>
      <c r="S2441" s="56" t="n">
        <f aca="false">R2441*(B2441&gt;=Train_Start)*(B2441&lt;=Train_End)</f>
        <v>1</v>
      </c>
      <c r="T2441" s="84" t="n">
        <f aca="false">IF(AND(ISNUMBER(O2441),ISNUMBER(P2441)),Coef_A+Coef_B1*O2441+Coef_B2*P2441,"")</f>
        <v>19.8731628451928</v>
      </c>
      <c r="U2441" s="84" t="n">
        <f aca="false">IF(AND(R2441=1,ISNUMBER(T2441)),E2441-T2441,"")</f>
        <v>-0.773162845192765</v>
      </c>
      <c r="V2441" s="84" t="n">
        <f aca="false">IF(ISNUMBER(T2441),T2441,-99)</f>
        <v>19.8731628451928</v>
      </c>
      <c r="W2441" s="84" t="n">
        <f aca="false">IF(ISNUMBER(U2441),ABS(U2441),"")</f>
        <v>0.773162845192765</v>
      </c>
    </row>
    <row r="2442" customFormat="false" ht="15" hidden="false" customHeight="false" outlineLevel="0" collapsed="false">
      <c r="A2442" s="57" t="n">
        <v>34600</v>
      </c>
      <c r="B2442" s="56" t="n">
        <v>1994</v>
      </c>
      <c r="C2442" s="56" t="n">
        <v>9</v>
      </c>
      <c r="D2442" s="56" t="n">
        <v>146</v>
      </c>
      <c r="E2442" s="56" t="n">
        <v>18.6</v>
      </c>
      <c r="F2442" s="56" t="n">
        <v>0</v>
      </c>
      <c r="G2442" s="56" t="n">
        <v>11.9</v>
      </c>
      <c r="H2442" s="56" t="n">
        <v>0</v>
      </c>
      <c r="I2442" s="56" t="n">
        <v>15.5</v>
      </c>
      <c r="J2442" s="56" t="n">
        <v>0</v>
      </c>
      <c r="K2442" s="56" t="n">
        <v>1020.7</v>
      </c>
      <c r="L2442" s="56" t="n">
        <v>0</v>
      </c>
      <c r="M2442" s="56" t="n">
        <v>76</v>
      </c>
      <c r="N2442" s="56" t="n">
        <v>0.7</v>
      </c>
      <c r="O2442" s="56" t="n">
        <f aca="false">IF(D2442=1,"",E2441)</f>
        <v>19.1</v>
      </c>
      <c r="P2442" s="56" t="n">
        <f aca="false">IF(OR(D2442=1,K2441=""),"",K2441)</f>
        <v>1022</v>
      </c>
      <c r="Q2442" s="56" t="n">
        <f aca="false">IF(OR(F2442&lt;&gt;0,AND(I2442&lt;&gt;"",E2442&lt;I2442)),1,0)</f>
        <v>0</v>
      </c>
      <c r="R2442" s="56" t="n">
        <f aca="false">IF(AND(D2442&gt;1,Q2442=0,ISNUMBER(O2442),ISNUMBER(P2442)),IF(Q2441=0,1,0),0)</f>
        <v>1</v>
      </c>
      <c r="S2442" s="56" t="n">
        <f aca="false">R2442*(B2442&gt;=Train_Start)*(B2442&lt;=Train_End)</f>
        <v>1</v>
      </c>
      <c r="T2442" s="84" t="n">
        <f aca="false">IF(AND(ISNUMBER(O2442),ISNUMBER(P2442)),Coef_A+Coef_B1*O2442+Coef_B2*P2442,"")</f>
        <v>19.7963863250476</v>
      </c>
      <c r="U2442" s="84" t="n">
        <f aca="false">IF(AND(R2442=1,ISNUMBER(T2442)),E2442-T2442,"")</f>
        <v>-1.19638632504762</v>
      </c>
      <c r="V2442" s="84" t="n">
        <f aca="false">IF(ISNUMBER(T2442),T2442,-99)</f>
        <v>19.7963863250476</v>
      </c>
      <c r="W2442" s="84" t="n">
        <f aca="false">IF(ISNUMBER(U2442),ABS(U2442),"")</f>
        <v>1.19638632504762</v>
      </c>
    </row>
    <row r="2443" customFormat="false" ht="15" hidden="false" customHeight="false" outlineLevel="0" collapsed="false">
      <c r="A2443" s="57" t="n">
        <v>34601</v>
      </c>
      <c r="B2443" s="56" t="n">
        <v>1994</v>
      </c>
      <c r="C2443" s="56" t="n">
        <v>9</v>
      </c>
      <c r="D2443" s="56" t="n">
        <v>147</v>
      </c>
      <c r="E2443" s="56" t="n">
        <v>18</v>
      </c>
      <c r="F2443" s="56" t="n">
        <v>0</v>
      </c>
      <c r="G2443" s="56" t="n">
        <v>13.5</v>
      </c>
      <c r="H2443" s="56" t="n">
        <v>0</v>
      </c>
      <c r="I2443" s="56" t="n">
        <v>16</v>
      </c>
      <c r="J2443" s="56" t="n">
        <v>0</v>
      </c>
      <c r="K2443" s="56" t="n">
        <v>1014.8</v>
      </c>
      <c r="L2443" s="56" t="n">
        <v>0</v>
      </c>
      <c r="M2443" s="56" t="n">
        <v>84</v>
      </c>
      <c r="N2443" s="56" t="n">
        <v>0.1</v>
      </c>
      <c r="O2443" s="56" t="n">
        <f aca="false">IF(D2443=1,"",E2442)</f>
        <v>18.6</v>
      </c>
      <c r="P2443" s="56" t="n">
        <f aca="false">IF(OR(D2443=1,K2442=""),"",K2442)</f>
        <v>1020.7</v>
      </c>
      <c r="Q2443" s="56" t="n">
        <f aca="false">IF(OR(F2443&lt;&gt;0,AND(I2443&lt;&gt;"",E2443&lt;I2443)),1,0)</f>
        <v>0</v>
      </c>
      <c r="R2443" s="56" t="n">
        <f aca="false">IF(AND(D2443&gt;1,Q2443=0,ISNUMBER(O2443),ISNUMBER(P2443)),IF(Q2442=0,1,0),0)</f>
        <v>1</v>
      </c>
      <c r="S2443" s="56" t="n">
        <f aca="false">R2443*(B2443&gt;=Train_Start)*(B2443&lt;=Train_End)</f>
        <v>1</v>
      </c>
      <c r="T2443" s="84" t="n">
        <f aca="false">IF(AND(ISNUMBER(O2443),ISNUMBER(P2443)),Coef_A+Coef_B1*O2443+Coef_B2*P2443,"")</f>
        <v>19.3459358655021</v>
      </c>
      <c r="U2443" s="84" t="n">
        <f aca="false">IF(AND(R2443=1,ISNUMBER(T2443)),E2443-T2443,"")</f>
        <v>-1.34593586550211</v>
      </c>
      <c r="V2443" s="84" t="n">
        <f aca="false">IF(ISNUMBER(T2443),T2443,-99)</f>
        <v>19.3459358655021</v>
      </c>
      <c r="W2443" s="84" t="n">
        <f aca="false">IF(ISNUMBER(U2443),ABS(U2443),"")</f>
        <v>1.34593586550211</v>
      </c>
    </row>
    <row r="2444" customFormat="false" ht="15" hidden="false" customHeight="false" outlineLevel="0" collapsed="false">
      <c r="A2444" s="57" t="n">
        <v>34602</v>
      </c>
      <c r="B2444" s="56" t="n">
        <v>1994</v>
      </c>
      <c r="C2444" s="56" t="n">
        <v>9</v>
      </c>
      <c r="D2444" s="56" t="n">
        <v>148</v>
      </c>
      <c r="E2444" s="56" t="n">
        <v>18</v>
      </c>
      <c r="F2444" s="56" t="n">
        <v>0</v>
      </c>
      <c r="G2444" s="56" t="n">
        <v>13.8</v>
      </c>
      <c r="H2444" s="56" t="n">
        <v>0</v>
      </c>
      <c r="I2444" s="56" t="n">
        <v>15.9</v>
      </c>
      <c r="J2444" s="56" t="n">
        <v>0</v>
      </c>
      <c r="K2444" s="56" t="n">
        <v>1016.2</v>
      </c>
      <c r="L2444" s="56" t="n">
        <v>0</v>
      </c>
      <c r="M2444" s="56" t="n">
        <v>88</v>
      </c>
      <c r="N2444" s="56" t="n">
        <v>0</v>
      </c>
      <c r="O2444" s="56" t="n">
        <f aca="false">IF(D2444=1,"",E2443)</f>
        <v>18</v>
      </c>
      <c r="P2444" s="56" t="n">
        <f aca="false">IF(OR(D2444=1,K2443=""),"",K2443)</f>
        <v>1014.8</v>
      </c>
      <c r="Q2444" s="56" t="n">
        <f aca="false">IF(OR(F2444&lt;&gt;0,AND(I2444&lt;&gt;"",E2444&lt;I2444)),1,0)</f>
        <v>0</v>
      </c>
      <c r="R2444" s="56" t="n">
        <f aca="false">IF(AND(D2444&gt;1,Q2444=0,ISNUMBER(O2444),ISNUMBER(P2444)),IF(Q2443=0,1,0),0)</f>
        <v>1</v>
      </c>
      <c r="S2444" s="56" t="n">
        <f aca="false">R2444*(B2444&gt;=Train_Start)*(B2444&lt;=Train_End)</f>
        <v>1</v>
      </c>
      <c r="T2444" s="84" t="n">
        <f aca="false">IF(AND(ISNUMBER(O2444),ISNUMBER(P2444)),Coef_A+Coef_B1*O2444+Coef_B2*P2444,"")</f>
        <v>18.669249971336</v>
      </c>
      <c r="U2444" s="84" t="n">
        <f aca="false">IF(AND(R2444=1,ISNUMBER(T2444)),E2444-T2444,"")</f>
        <v>-0.669249971335969</v>
      </c>
      <c r="V2444" s="84" t="n">
        <f aca="false">IF(ISNUMBER(T2444),T2444,-99)</f>
        <v>18.669249971336</v>
      </c>
      <c r="W2444" s="84" t="n">
        <f aca="false">IF(ISNUMBER(U2444),ABS(U2444),"")</f>
        <v>0.669249971335969</v>
      </c>
    </row>
    <row r="2445" customFormat="false" ht="15" hidden="false" customHeight="false" outlineLevel="0" collapsed="false">
      <c r="A2445" s="57" t="n">
        <v>34603</v>
      </c>
      <c r="B2445" s="56" t="n">
        <v>1994</v>
      </c>
      <c r="C2445" s="56" t="n">
        <v>9</v>
      </c>
      <c r="D2445" s="56" t="n">
        <v>149</v>
      </c>
      <c r="E2445" s="56" t="n">
        <v>18.8</v>
      </c>
      <c r="F2445" s="56" t="n">
        <v>0</v>
      </c>
      <c r="G2445" s="56" t="n">
        <v>13.9</v>
      </c>
      <c r="H2445" s="56" t="n">
        <v>0</v>
      </c>
      <c r="I2445" s="56" t="n">
        <v>16</v>
      </c>
      <c r="J2445" s="56" t="n">
        <v>0</v>
      </c>
      <c r="K2445" s="56" t="n">
        <v>1017.4</v>
      </c>
      <c r="L2445" s="56" t="n">
        <v>0</v>
      </c>
      <c r="M2445" s="56" t="n">
        <v>87</v>
      </c>
      <c r="N2445" s="56" t="n">
        <v>0.8</v>
      </c>
      <c r="O2445" s="56" t="n">
        <f aca="false">IF(D2445=1,"",E2444)</f>
        <v>18</v>
      </c>
      <c r="P2445" s="56" t="n">
        <f aca="false">IF(OR(D2445=1,K2444=""),"",K2444)</f>
        <v>1016.2</v>
      </c>
      <c r="Q2445" s="56" t="n">
        <f aca="false">IF(OR(F2445&lt;&gt;0,AND(I2445&lt;&gt;"",E2445&lt;I2445)),1,0)</f>
        <v>0</v>
      </c>
      <c r="R2445" s="56" t="n">
        <f aca="false">IF(AND(D2445&gt;1,Q2445=0,ISNUMBER(O2445),ISNUMBER(P2445)),IF(Q2444=0,1,0),0)</f>
        <v>1</v>
      </c>
      <c r="S2445" s="56" t="n">
        <f aca="false">R2445*(B2445&gt;=Train_Start)*(B2445&lt;=Train_End)</f>
        <v>1</v>
      </c>
      <c r="T2445" s="84" t="n">
        <f aca="false">IF(AND(ISNUMBER(O2445),ISNUMBER(P2445)),Coef_A+Coef_B1*O2445+Coef_B2*P2445,"")</f>
        <v>18.7131678238236</v>
      </c>
      <c r="U2445" s="84" t="n">
        <f aca="false">IF(AND(R2445=1,ISNUMBER(T2445)),E2445-T2445,"")</f>
        <v>0.0868321761764435</v>
      </c>
      <c r="V2445" s="84" t="n">
        <f aca="false">IF(ISNUMBER(T2445),T2445,-99)</f>
        <v>18.7131678238236</v>
      </c>
      <c r="W2445" s="84" t="n">
        <f aca="false">IF(ISNUMBER(U2445),ABS(U2445),"")</f>
        <v>0.0868321761764435</v>
      </c>
    </row>
    <row r="2446" customFormat="false" ht="15" hidden="false" customHeight="false" outlineLevel="0" collapsed="false">
      <c r="A2446" s="57" t="n">
        <v>34604</v>
      </c>
      <c r="B2446" s="56" t="n">
        <v>1994</v>
      </c>
      <c r="C2446" s="56" t="n">
        <v>9</v>
      </c>
      <c r="D2446" s="56" t="n">
        <v>150</v>
      </c>
      <c r="E2446" s="56" t="n">
        <v>18.3</v>
      </c>
      <c r="F2446" s="56" t="n">
        <v>0</v>
      </c>
      <c r="G2446" s="56" t="n">
        <v>9.8</v>
      </c>
      <c r="H2446" s="56" t="n">
        <v>0</v>
      </c>
      <c r="I2446" s="56" t="n">
        <v>14.3</v>
      </c>
      <c r="J2446" s="56" t="n">
        <v>0</v>
      </c>
      <c r="K2446" s="56" t="n">
        <v>1020.6</v>
      </c>
      <c r="L2446" s="56" t="n">
        <v>0</v>
      </c>
      <c r="M2446" s="56" t="n">
        <v>78</v>
      </c>
      <c r="N2446" s="56" t="n">
        <v>4.4</v>
      </c>
      <c r="O2446" s="56" t="n">
        <f aca="false">IF(D2446=1,"",E2445)</f>
        <v>18.8</v>
      </c>
      <c r="P2446" s="56" t="n">
        <f aca="false">IF(OR(D2446=1,K2445=""),"",K2445)</f>
        <v>1017.4</v>
      </c>
      <c r="Q2446" s="56" t="n">
        <f aca="false">IF(OR(F2446&lt;&gt;0,AND(I2446&lt;&gt;"",E2446&lt;I2446)),1,0)</f>
        <v>0</v>
      </c>
      <c r="R2446" s="56" t="n">
        <f aca="false">IF(AND(D2446&gt;1,Q2446=0,ISNUMBER(O2446),ISNUMBER(P2446)),IF(Q2445=0,1,0),0)</f>
        <v>1</v>
      </c>
      <c r="S2446" s="56" t="n">
        <f aca="false">R2446*(B2446&gt;=Train_Start)*(B2446&lt;=Train_End)</f>
        <v>1</v>
      </c>
      <c r="T2446" s="84" t="n">
        <f aca="false">IF(AND(ISNUMBER(O2446),ISNUMBER(P2446)),Coef_A+Coef_B1*O2446+Coef_B2*P2446,"")</f>
        <v>19.4062830518185</v>
      </c>
      <c r="U2446" s="84" t="n">
        <f aca="false">IF(AND(R2446=1,ISNUMBER(T2446)),E2446-T2446,"")</f>
        <v>-1.10628305181847</v>
      </c>
      <c r="V2446" s="84" t="n">
        <f aca="false">IF(ISNUMBER(T2446),T2446,-99)</f>
        <v>19.4062830518185</v>
      </c>
      <c r="W2446" s="84" t="n">
        <f aca="false">IF(ISNUMBER(U2446),ABS(U2446),"")</f>
        <v>1.10628305181847</v>
      </c>
    </row>
    <row r="2447" customFormat="false" ht="15" hidden="false" customHeight="false" outlineLevel="0" collapsed="false">
      <c r="A2447" s="57" t="n">
        <v>34605</v>
      </c>
      <c r="B2447" s="56" t="n">
        <v>1994</v>
      </c>
      <c r="C2447" s="56" t="n">
        <v>9</v>
      </c>
      <c r="D2447" s="56" t="n">
        <v>151</v>
      </c>
      <c r="E2447" s="56" t="n">
        <v>15.4</v>
      </c>
      <c r="F2447" s="56" t="n">
        <v>0</v>
      </c>
      <c r="G2447" s="56" t="n">
        <v>10.2</v>
      </c>
      <c r="H2447" s="56" t="n">
        <v>0</v>
      </c>
      <c r="I2447" s="56" t="n">
        <v>14.2</v>
      </c>
      <c r="J2447" s="56" t="n">
        <v>0</v>
      </c>
      <c r="K2447" s="56" t="n">
        <v>1022.8</v>
      </c>
      <c r="L2447" s="56" t="n">
        <v>0</v>
      </c>
      <c r="M2447" s="56" t="n">
        <v>78</v>
      </c>
      <c r="N2447" s="56" t="n">
        <v>5.1</v>
      </c>
      <c r="O2447" s="56" t="n">
        <f aca="false">IF(D2447=1,"",E2446)</f>
        <v>18.3</v>
      </c>
      <c r="P2447" s="56" t="n">
        <f aca="false">IF(OR(D2447=1,K2446=""),"",K2446)</f>
        <v>1020.6</v>
      </c>
      <c r="Q2447" s="56" t="n">
        <f aca="false">IF(OR(F2447&lt;&gt;0,AND(I2447&lt;&gt;"",E2447&lt;I2447)),1,0)</f>
        <v>0</v>
      </c>
      <c r="R2447" s="56" t="n">
        <f aca="false">IF(AND(D2447&gt;1,Q2447=0,ISNUMBER(O2447),ISNUMBER(P2447)),IF(Q2446=0,1,0),0)</f>
        <v>1</v>
      </c>
      <c r="S2447" s="56" t="n">
        <f aca="false">R2447*(B2447&gt;=Train_Start)*(B2447&lt;=Train_End)</f>
        <v>1</v>
      </c>
      <c r="T2447" s="84" t="n">
        <f aca="false">IF(AND(ISNUMBER(O2447),ISNUMBER(P2447)),Coef_A+Coef_B1*O2447+Coef_B2*P2447,"")</f>
        <v>19.0969971181259</v>
      </c>
      <c r="U2447" s="84" t="n">
        <f aca="false">IF(AND(R2447=1,ISNUMBER(T2447)),E2447-T2447,"")</f>
        <v>-3.69699711812591</v>
      </c>
      <c r="V2447" s="84" t="n">
        <f aca="false">IF(ISNUMBER(T2447),T2447,-99)</f>
        <v>19.0969971181259</v>
      </c>
      <c r="W2447" s="84" t="n">
        <f aca="false">IF(ISNUMBER(U2447),ABS(U2447),"")</f>
        <v>3.69699711812591</v>
      </c>
    </row>
    <row r="2448" customFormat="false" ht="15" hidden="false" customHeight="false" outlineLevel="0" collapsed="false">
      <c r="A2448" s="57" t="n">
        <v>34606</v>
      </c>
      <c r="B2448" s="56" t="n">
        <v>1994</v>
      </c>
      <c r="C2448" s="56" t="n">
        <v>9</v>
      </c>
      <c r="D2448" s="56" t="n">
        <v>152</v>
      </c>
      <c r="E2448" s="56" t="n">
        <v>14.7</v>
      </c>
      <c r="F2448" s="56" t="n">
        <v>0</v>
      </c>
      <c r="G2448" s="56" t="n">
        <v>9.1</v>
      </c>
      <c r="H2448" s="56" t="n">
        <v>0</v>
      </c>
      <c r="I2448" s="56" t="n">
        <v>12.2</v>
      </c>
      <c r="J2448" s="56" t="n">
        <v>0</v>
      </c>
      <c r="K2448" s="56" t="n">
        <v>1023</v>
      </c>
      <c r="L2448" s="56" t="n">
        <v>0</v>
      </c>
      <c r="M2448" s="56" t="n">
        <v>84</v>
      </c>
      <c r="N2448" s="56" t="n">
        <v>0</v>
      </c>
      <c r="O2448" s="56" t="n">
        <f aca="false">IF(D2448=1,"",E2447)</f>
        <v>15.4</v>
      </c>
      <c r="P2448" s="56" t="n">
        <f aca="false">IF(OR(D2448=1,K2447=""),"",K2447)</f>
        <v>1022.8</v>
      </c>
      <c r="Q2448" s="56" t="n">
        <f aca="false">IF(OR(F2448&lt;&gt;0,AND(I2448&lt;&gt;"",E2448&lt;I2448)),1,0)</f>
        <v>0</v>
      </c>
      <c r="R2448" s="56" t="n">
        <f aca="false">IF(AND(D2448&gt;1,Q2448=0,ISNUMBER(O2448),ISNUMBER(P2448)),IF(Q2447=0,1,0),0)</f>
        <v>1</v>
      </c>
      <c r="S2448" s="56" t="n">
        <f aca="false">R2448*(B2448&gt;=Train_Start)*(B2448&lt;=Train_End)</f>
        <v>1</v>
      </c>
      <c r="T2448" s="84" t="n">
        <f aca="false">IF(AND(ISNUMBER(O2448),ISNUMBER(P2448)),Coef_A+Coef_B1*O2448+Coef_B2*P2448,"")</f>
        <v>16.789927226497</v>
      </c>
      <c r="U2448" s="84" t="n">
        <f aca="false">IF(AND(R2448=1,ISNUMBER(T2448)),E2448-T2448,"")</f>
        <v>-2.08992722649698</v>
      </c>
      <c r="V2448" s="84" t="n">
        <f aca="false">IF(ISNUMBER(T2448),T2448,-99)</f>
        <v>16.789927226497</v>
      </c>
      <c r="W2448" s="84" t="n">
        <f aca="false">IF(ISNUMBER(U2448),ABS(U2448),"")</f>
        <v>2.08992722649698</v>
      </c>
    </row>
    <row r="2449" customFormat="false" ht="15" hidden="false" customHeight="false" outlineLevel="0" collapsed="false">
      <c r="A2449" s="57" t="n">
        <v>34607</v>
      </c>
      <c r="B2449" s="56" t="n">
        <v>1994</v>
      </c>
      <c r="C2449" s="56" t="n">
        <v>9</v>
      </c>
      <c r="D2449" s="56" t="n">
        <v>153</v>
      </c>
      <c r="E2449" s="56" t="n">
        <v>16.1</v>
      </c>
      <c r="F2449" s="56" t="n">
        <v>0</v>
      </c>
      <c r="G2449" s="56" t="n">
        <v>12</v>
      </c>
      <c r="H2449" s="56" t="n">
        <v>0</v>
      </c>
      <c r="I2449" s="56" t="n">
        <v>13.4</v>
      </c>
      <c r="J2449" s="56" t="n">
        <v>0</v>
      </c>
      <c r="K2449" s="56" t="n">
        <v>1021.1</v>
      </c>
      <c r="L2449" s="56" t="n">
        <v>0</v>
      </c>
      <c r="M2449" s="56" t="n">
        <v>80</v>
      </c>
      <c r="N2449" s="56" t="n">
        <v>0</v>
      </c>
      <c r="O2449" s="56" t="n">
        <f aca="false">IF(D2449=1,"",E2448)</f>
        <v>14.7</v>
      </c>
      <c r="P2449" s="56" t="n">
        <f aca="false">IF(OR(D2449=1,K2448=""),"",K2448)</f>
        <v>1023</v>
      </c>
      <c r="Q2449" s="56" t="n">
        <f aca="false">IF(OR(F2449&lt;&gt;0,AND(I2449&lt;&gt;"",E2449&lt;I2449)),1,0)</f>
        <v>0</v>
      </c>
      <c r="R2449" s="56" t="n">
        <f aca="false">IF(AND(D2449&gt;1,Q2449=0,ISNUMBER(O2449),ISNUMBER(P2449)),IF(Q2448=0,1,0),0)</f>
        <v>1</v>
      </c>
      <c r="S2449" s="56" t="n">
        <f aca="false">R2449*(B2449&gt;=Train_Start)*(B2449&lt;=Train_End)</f>
        <v>1</v>
      </c>
      <c r="T2449" s="84" t="n">
        <f aca="false">IF(AND(ISNUMBER(O2449),ISNUMBER(P2449)),Coef_A+Coef_B1*O2449+Coef_B2*P2449,"")</f>
        <v>16.2226637702939</v>
      </c>
      <c r="U2449" s="84" t="n">
        <f aca="false">IF(AND(R2449=1,ISNUMBER(T2449)),E2449-T2449,"")</f>
        <v>-0.122663770293912</v>
      </c>
      <c r="V2449" s="84" t="n">
        <f aca="false">IF(ISNUMBER(T2449),T2449,-99)</f>
        <v>16.2226637702939</v>
      </c>
      <c r="W2449" s="84" t="n">
        <f aca="false">IF(ISNUMBER(U2449),ABS(U2449),"")</f>
        <v>0.122663770293912</v>
      </c>
    </row>
    <row r="2450" customFormat="false" ht="15" hidden="false" customHeight="false" outlineLevel="0" collapsed="false">
      <c r="A2450" s="57" t="n">
        <v>34820</v>
      </c>
      <c r="B2450" s="56" t="n">
        <v>1995</v>
      </c>
      <c r="C2450" s="56" t="n">
        <v>5</v>
      </c>
      <c r="D2450" s="56" t="n">
        <v>1</v>
      </c>
      <c r="E2450" s="56" t="n">
        <v>24</v>
      </c>
      <c r="F2450" s="56" t="n">
        <v>0</v>
      </c>
      <c r="G2450" s="56" t="n">
        <v>7.5</v>
      </c>
      <c r="H2450" s="56" t="n">
        <v>0</v>
      </c>
      <c r="I2450" s="56" t="n">
        <v>13.7</v>
      </c>
      <c r="J2450" s="56" t="n">
        <v>0</v>
      </c>
      <c r="K2450" s="56" t="n">
        <v>1025.6</v>
      </c>
      <c r="L2450" s="56" t="n">
        <v>0</v>
      </c>
      <c r="M2450" s="56" t="n">
        <v>75</v>
      </c>
      <c r="N2450" s="56" t="n">
        <v>9.1</v>
      </c>
      <c r="O2450" s="56" t="str">
        <f aca="false">IF(D2450=1,"",E2449)</f>
        <v/>
      </c>
      <c r="P2450" s="56" t="str">
        <f aca="false">IF(OR(D2450=1,K2449=""),"",K2449)</f>
        <v/>
      </c>
      <c r="Q2450" s="56" t="n">
        <f aca="false">IF(OR(F2450&lt;&gt;0,AND(I2450&lt;&gt;"",E2450&lt;I2450)),1,0)</f>
        <v>0</v>
      </c>
      <c r="R2450" s="56" t="n">
        <f aca="false">IF(AND(D2450&gt;1,Q2450=0,ISNUMBER(O2450),ISNUMBER(P2450)),IF(Q2449=0,1,0),0)</f>
        <v>0</v>
      </c>
      <c r="S2450" s="56" t="n">
        <f aca="false">R2450*(B2450&gt;=Train_Start)*(B2450&lt;=Train_End)</f>
        <v>0</v>
      </c>
      <c r="T2450" s="84" t="str">
        <f aca="false">IF(AND(ISNUMBER(O2450),ISNUMBER(P2450)),Coef_A+Coef_B1*O2450+Coef_B2*P2450,"")</f>
        <v/>
      </c>
      <c r="U2450" s="84" t="str">
        <f aca="false">IF(AND(R2450=1,ISNUMBER(T2450)),E2450-T2450,"")</f>
        <v/>
      </c>
      <c r="V2450" s="84" t="n">
        <f aca="false">IF(ISNUMBER(T2450),T2450,-99)</f>
        <v>-99</v>
      </c>
      <c r="W2450" s="84" t="str">
        <f aca="false">IF(ISNUMBER(U2450),ABS(U2450),"")</f>
        <v/>
      </c>
    </row>
    <row r="2451" customFormat="false" ht="15" hidden="false" customHeight="false" outlineLevel="0" collapsed="false">
      <c r="A2451" s="57" t="n">
        <v>34821</v>
      </c>
      <c r="B2451" s="56" t="n">
        <v>1995</v>
      </c>
      <c r="C2451" s="56" t="n">
        <v>5</v>
      </c>
      <c r="D2451" s="56" t="n">
        <v>2</v>
      </c>
      <c r="E2451" s="56" t="n">
        <v>25.3</v>
      </c>
      <c r="F2451" s="56" t="n">
        <v>0</v>
      </c>
      <c r="G2451" s="56" t="n">
        <v>9.5</v>
      </c>
      <c r="H2451" s="56" t="n">
        <v>0</v>
      </c>
      <c r="I2451" s="56" t="n">
        <v>16.8</v>
      </c>
      <c r="J2451" s="56" t="n">
        <v>0</v>
      </c>
      <c r="K2451" s="56" t="n">
        <v>1025.6</v>
      </c>
      <c r="L2451" s="56" t="n">
        <v>0</v>
      </c>
      <c r="M2451" s="56" t="n">
        <v>65</v>
      </c>
      <c r="N2451" s="56" t="n">
        <v>10.3</v>
      </c>
      <c r="O2451" s="56" t="n">
        <f aca="false">IF(D2451=1,"",E2450)</f>
        <v>24</v>
      </c>
      <c r="P2451" s="56" t="n">
        <f aca="false">IF(OR(D2451=1,K2450=""),"",K2450)</f>
        <v>1025.6</v>
      </c>
      <c r="Q2451" s="56" t="n">
        <f aca="false">IF(OR(F2451&lt;&gt;0,AND(I2451&lt;&gt;"",E2451&lt;I2451)),1,0)</f>
        <v>0</v>
      </c>
      <c r="R2451" s="56" t="n">
        <f aca="false">IF(AND(D2451&gt;1,Q2451=0,ISNUMBER(O2451),ISNUMBER(P2451)),IF(Q2450=0,1,0),0)</f>
        <v>1</v>
      </c>
      <c r="S2451" s="56" t="n">
        <f aca="false">R2451*(B2451&gt;=Train_Start)*(B2451&lt;=Train_End)</f>
        <v>1</v>
      </c>
      <c r="T2451" s="84" t="n">
        <f aca="false">IF(AND(ISNUMBER(O2451),ISNUMBER(P2451)),Coef_A+Coef_B1*O2451+Coef_B2*P2451,"")</f>
        <v>23.924079991639</v>
      </c>
      <c r="U2451" s="84" t="n">
        <f aca="false">IF(AND(R2451=1,ISNUMBER(T2451)),E2451-T2451,"")</f>
        <v>1.375920008361</v>
      </c>
      <c r="V2451" s="84" t="n">
        <f aca="false">IF(ISNUMBER(T2451),T2451,-99)</f>
        <v>23.924079991639</v>
      </c>
      <c r="W2451" s="84" t="n">
        <f aca="false">IF(ISNUMBER(U2451),ABS(U2451),"")</f>
        <v>1.375920008361</v>
      </c>
    </row>
    <row r="2452" customFormat="false" ht="15" hidden="false" customHeight="false" outlineLevel="0" collapsed="false">
      <c r="A2452" s="57" t="n">
        <v>34822</v>
      </c>
      <c r="B2452" s="56" t="n">
        <v>1995</v>
      </c>
      <c r="C2452" s="56" t="n">
        <v>5</v>
      </c>
      <c r="D2452" s="56" t="n">
        <v>3</v>
      </c>
      <c r="E2452" s="56" t="n">
        <v>26.7</v>
      </c>
      <c r="F2452" s="56" t="n">
        <v>0</v>
      </c>
      <c r="G2452" s="56" t="n">
        <v>10.1</v>
      </c>
      <c r="H2452" s="56" t="n">
        <v>0</v>
      </c>
      <c r="I2452" s="56" t="n">
        <v>17.7</v>
      </c>
      <c r="J2452" s="56" t="n">
        <v>0</v>
      </c>
      <c r="K2452" s="56" t="n">
        <v>1026.1</v>
      </c>
      <c r="L2452" s="56" t="n">
        <v>0</v>
      </c>
      <c r="M2452" s="56" t="n">
        <v>59</v>
      </c>
      <c r="N2452" s="56" t="n">
        <v>12.7</v>
      </c>
      <c r="O2452" s="56" t="n">
        <f aca="false">IF(D2452=1,"",E2451)</f>
        <v>25.3</v>
      </c>
      <c r="P2452" s="56" t="n">
        <f aca="false">IF(OR(D2452=1,K2451=""),"",K2451)</f>
        <v>1025.6</v>
      </c>
      <c r="Q2452" s="56" t="n">
        <f aca="false">IF(OR(F2452&lt;&gt;0,AND(I2452&lt;&gt;"",E2452&lt;I2452)),1,0)</f>
        <v>0</v>
      </c>
      <c r="R2452" s="56" t="n">
        <f aca="false">IF(AND(D2452&gt;1,Q2452=0,ISNUMBER(O2452),ISNUMBER(P2452)),IF(Q2451=0,1,0),0)</f>
        <v>1</v>
      </c>
      <c r="S2452" s="56" t="n">
        <f aca="false">R2452*(B2452&gt;=Train_Start)*(B2452&lt;=Train_End)</f>
        <v>1</v>
      </c>
      <c r="T2452" s="84" t="n">
        <f aca="false">IF(AND(ISNUMBER(O2452),ISNUMBER(P2452)),Coef_A+Coef_B1*O2452+Coef_B2*P2452,"")</f>
        <v>24.9892209425945</v>
      </c>
      <c r="U2452" s="84" t="n">
        <f aca="false">IF(AND(R2452=1,ISNUMBER(T2452)),E2452-T2452,"")</f>
        <v>1.71077905740555</v>
      </c>
      <c r="V2452" s="84" t="n">
        <f aca="false">IF(ISNUMBER(T2452),T2452,-99)</f>
        <v>24.9892209425945</v>
      </c>
      <c r="W2452" s="84" t="n">
        <f aca="false">IF(ISNUMBER(U2452),ABS(U2452),"")</f>
        <v>1.71077905740555</v>
      </c>
    </row>
    <row r="2453" customFormat="false" ht="15" hidden="false" customHeight="false" outlineLevel="0" collapsed="false">
      <c r="A2453" s="57" t="n">
        <v>34823</v>
      </c>
      <c r="B2453" s="56" t="n">
        <v>1995</v>
      </c>
      <c r="C2453" s="56" t="n">
        <v>5</v>
      </c>
      <c r="D2453" s="56" t="n">
        <v>4</v>
      </c>
      <c r="E2453" s="56" t="n">
        <v>26.8</v>
      </c>
      <c r="F2453" s="56" t="n">
        <v>0</v>
      </c>
      <c r="G2453" s="56" t="n">
        <v>9.4</v>
      </c>
      <c r="H2453" s="56" t="n">
        <v>0</v>
      </c>
      <c r="I2453" s="56" t="n">
        <v>18</v>
      </c>
      <c r="J2453" s="56" t="n">
        <v>0</v>
      </c>
      <c r="K2453" s="56" t="n">
        <v>1025.2</v>
      </c>
      <c r="L2453" s="56" t="n">
        <v>0</v>
      </c>
      <c r="M2453" s="56" t="n">
        <v>53</v>
      </c>
      <c r="N2453" s="56" t="n">
        <v>13.5</v>
      </c>
      <c r="O2453" s="56" t="n">
        <f aca="false">IF(D2453=1,"",E2452)</f>
        <v>26.7</v>
      </c>
      <c r="P2453" s="56" t="n">
        <f aca="false">IF(OR(D2453=1,K2452=""),"",K2452)</f>
        <v>1026.1</v>
      </c>
      <c r="Q2453" s="56" t="n">
        <f aca="false">IF(OR(F2453&lt;&gt;0,AND(I2453&lt;&gt;"",E2453&lt;I2453)),1,0)</f>
        <v>0</v>
      </c>
      <c r="R2453" s="56" t="n">
        <f aca="false">IF(AND(D2453&gt;1,Q2453=0,ISNUMBER(O2453),ISNUMBER(P2453)),IF(Q2452=0,1,0),0)</f>
        <v>1</v>
      </c>
      <c r="S2453" s="56" t="n">
        <f aca="false">R2453*(B2453&gt;=Train_Start)*(B2453&lt;=Train_End)</f>
        <v>1</v>
      </c>
      <c r="T2453" s="84" t="n">
        <f aca="false">IF(AND(ISNUMBER(O2453),ISNUMBER(P2453)),Coef_A+Coef_B1*O2453+Coef_B2*P2453,"")</f>
        <v>26.1519807601712</v>
      </c>
      <c r="U2453" s="84" t="n">
        <f aca="false">IF(AND(R2453=1,ISNUMBER(T2453)),E2453-T2453,"")</f>
        <v>0.648019239828837</v>
      </c>
      <c r="V2453" s="84" t="n">
        <f aca="false">IF(ISNUMBER(T2453),T2453,-99)</f>
        <v>26.1519807601712</v>
      </c>
      <c r="W2453" s="84" t="n">
        <f aca="false">IF(ISNUMBER(U2453),ABS(U2453),"")</f>
        <v>0.648019239828837</v>
      </c>
    </row>
    <row r="2454" customFormat="false" ht="15" hidden="false" customHeight="false" outlineLevel="0" collapsed="false">
      <c r="A2454" s="57" t="n">
        <v>34824</v>
      </c>
      <c r="B2454" s="56" t="n">
        <v>1995</v>
      </c>
      <c r="C2454" s="56" t="n">
        <v>5</v>
      </c>
      <c r="D2454" s="56" t="n">
        <v>5</v>
      </c>
      <c r="E2454" s="56" t="n">
        <v>26.9</v>
      </c>
      <c r="F2454" s="56" t="n">
        <v>0</v>
      </c>
      <c r="G2454" s="56" t="n">
        <v>10.4</v>
      </c>
      <c r="H2454" s="56" t="n">
        <v>0</v>
      </c>
      <c r="I2454" s="56" t="n">
        <v>18.6</v>
      </c>
      <c r="J2454" s="56" t="n">
        <v>0</v>
      </c>
      <c r="K2454" s="56" t="n">
        <v>1022.4</v>
      </c>
      <c r="L2454" s="56" t="n">
        <v>0</v>
      </c>
      <c r="M2454" s="56" t="n">
        <v>56</v>
      </c>
      <c r="N2454" s="56" t="n">
        <v>13.9</v>
      </c>
      <c r="O2454" s="56" t="n">
        <f aca="false">IF(D2454=1,"",E2453)</f>
        <v>26.8</v>
      </c>
      <c r="P2454" s="56" t="n">
        <f aca="false">IF(OR(D2454=1,K2453=""),"",K2453)</f>
        <v>1025.2</v>
      </c>
      <c r="Q2454" s="56" t="n">
        <f aca="false">IF(OR(F2454&lt;&gt;0,AND(I2454&lt;&gt;"",E2454&lt;I2454)),1,0)</f>
        <v>0</v>
      </c>
      <c r="R2454" s="56" t="n">
        <f aca="false">IF(AND(D2454&gt;1,Q2454=0,ISNUMBER(O2454),ISNUMBER(P2454)),IF(Q2453=0,1,0),0)</f>
        <v>1</v>
      </c>
      <c r="S2454" s="56" t="n">
        <f aca="false">R2454*(B2454&gt;=Train_Start)*(B2454&lt;=Train_End)</f>
        <v>1</v>
      </c>
      <c r="T2454" s="84" t="n">
        <f aca="false">IF(AND(ISNUMBER(O2454),ISNUMBER(P2454)),Coef_A+Coef_B1*O2454+Coef_B2*P2454,"")</f>
        <v>26.2056817743049</v>
      </c>
      <c r="U2454" s="84" t="n">
        <f aca="false">IF(AND(R2454=1,ISNUMBER(T2454)),E2454-T2454,"")</f>
        <v>0.694318225695149</v>
      </c>
      <c r="V2454" s="84" t="n">
        <f aca="false">IF(ISNUMBER(T2454),T2454,-99)</f>
        <v>26.2056817743049</v>
      </c>
      <c r="W2454" s="84" t="n">
        <f aca="false">IF(ISNUMBER(U2454),ABS(U2454),"")</f>
        <v>0.694318225695149</v>
      </c>
    </row>
    <row r="2455" customFormat="false" ht="15" hidden="false" customHeight="false" outlineLevel="0" collapsed="false">
      <c r="A2455" s="57" t="n">
        <v>34825</v>
      </c>
      <c r="B2455" s="56" t="n">
        <v>1995</v>
      </c>
      <c r="C2455" s="56" t="n">
        <v>5</v>
      </c>
      <c r="D2455" s="56" t="n">
        <v>6</v>
      </c>
      <c r="E2455" s="56" t="n">
        <v>27.1</v>
      </c>
      <c r="F2455" s="56" t="n">
        <v>0</v>
      </c>
      <c r="G2455" s="56" t="n">
        <v>11</v>
      </c>
      <c r="H2455" s="56" t="n">
        <v>0</v>
      </c>
      <c r="I2455" s="56" t="n">
        <v>19</v>
      </c>
      <c r="J2455" s="56" t="n">
        <v>0</v>
      </c>
      <c r="K2455" s="56" t="n">
        <v>1019.1</v>
      </c>
      <c r="L2455" s="56" t="n">
        <v>0</v>
      </c>
      <c r="M2455" s="56" t="n">
        <v>56</v>
      </c>
      <c r="N2455" s="56" t="n">
        <v>12.8</v>
      </c>
      <c r="O2455" s="56" t="n">
        <f aca="false">IF(D2455=1,"",E2454)</f>
        <v>26.9</v>
      </c>
      <c r="P2455" s="56" t="n">
        <f aca="false">IF(OR(D2455=1,K2454=""),"",K2454)</f>
        <v>1022.4</v>
      </c>
      <c r="Q2455" s="56" t="n">
        <f aca="false">IF(OR(F2455&lt;&gt;0,AND(I2455&lt;&gt;"",E2455&lt;I2455)),1,0)</f>
        <v>0</v>
      </c>
      <c r="R2455" s="56" t="n">
        <f aca="false">IF(AND(D2455&gt;1,Q2455=0,ISNUMBER(O2455),ISNUMBER(P2455)),IF(Q2454=0,1,0),0)</f>
        <v>1</v>
      </c>
      <c r="S2455" s="56" t="n">
        <f aca="false">R2455*(B2455&gt;=Train_Start)*(B2455&lt;=Train_End)</f>
        <v>1</v>
      </c>
      <c r="T2455" s="84" t="n">
        <f aca="false">IF(AND(ISNUMBER(O2455),ISNUMBER(P2455)),Coef_A+Coef_B1*O2455+Coef_B2*P2455,"")</f>
        <v>26.1997799886339</v>
      </c>
      <c r="U2455" s="84" t="n">
        <f aca="false">IF(AND(R2455=1,ISNUMBER(T2455)),E2455-T2455,"")</f>
        <v>0.900220011366059</v>
      </c>
      <c r="V2455" s="84" t="n">
        <f aca="false">IF(ISNUMBER(T2455),T2455,-99)</f>
        <v>26.1997799886339</v>
      </c>
      <c r="W2455" s="84" t="n">
        <f aca="false">IF(ISNUMBER(U2455),ABS(U2455),"")</f>
        <v>0.900220011366059</v>
      </c>
    </row>
    <row r="2456" customFormat="false" ht="15" hidden="false" customHeight="false" outlineLevel="0" collapsed="false">
      <c r="A2456" s="57" t="n">
        <v>34826</v>
      </c>
      <c r="B2456" s="56" t="n">
        <v>1995</v>
      </c>
      <c r="C2456" s="56" t="n">
        <v>5</v>
      </c>
      <c r="D2456" s="56" t="n">
        <v>7</v>
      </c>
      <c r="E2456" s="56" t="n">
        <v>18.1</v>
      </c>
      <c r="F2456" s="56" t="n">
        <v>1</v>
      </c>
      <c r="G2456" s="56" t="n">
        <v>13</v>
      </c>
      <c r="H2456" s="56" t="n">
        <v>0</v>
      </c>
      <c r="I2456" s="56" t="n">
        <v>20</v>
      </c>
      <c r="J2456" s="56" t="n">
        <v>1</v>
      </c>
      <c r="K2456" s="56" t="n">
        <v>1015.8</v>
      </c>
      <c r="L2456" s="56" t="n">
        <v>0</v>
      </c>
      <c r="M2456" s="56" t="n">
        <v>57</v>
      </c>
      <c r="N2456" s="56" t="n">
        <v>12.6</v>
      </c>
      <c r="O2456" s="56" t="n">
        <f aca="false">IF(D2456=1,"",E2455)</f>
        <v>27.1</v>
      </c>
      <c r="P2456" s="56" t="n">
        <f aca="false">IF(OR(D2456=1,K2455=""),"",K2455)</f>
        <v>1019.1</v>
      </c>
      <c r="Q2456" s="56" t="n">
        <f aca="false">IF(OR(F2456&lt;&gt;0,AND(I2456&lt;&gt;"",E2456&lt;I2456)),1,0)</f>
        <v>1</v>
      </c>
      <c r="R2456" s="56" t="n">
        <f aca="false">IF(AND(D2456&gt;1,Q2456=0,ISNUMBER(O2456),ISNUMBER(P2456)),IF(Q2455=0,1,0),0)</f>
        <v>0</v>
      </c>
      <c r="S2456" s="56" t="n">
        <f aca="false">R2456*(B2456&gt;=Train_Start)*(B2456&lt;=Train_End)</f>
        <v>0</v>
      </c>
      <c r="T2456" s="84" t="n">
        <f aca="false">IF(AND(ISNUMBER(O2456),ISNUMBER(P2456)),Coef_A+Coef_B1*O2456+Coef_B2*P2456,"")</f>
        <v>26.2601271749503</v>
      </c>
      <c r="U2456" s="84" t="str">
        <f aca="false">IF(AND(R2456=1,ISNUMBER(T2456)),E2456-T2456,"")</f>
        <v/>
      </c>
      <c r="V2456" s="84" t="n">
        <f aca="false">IF(ISNUMBER(T2456),T2456,-99)</f>
        <v>26.2601271749503</v>
      </c>
      <c r="W2456" s="84" t="str">
        <f aca="false">IF(ISNUMBER(U2456),ABS(U2456),"")</f>
        <v/>
      </c>
    </row>
    <row r="2457" customFormat="false" ht="15" hidden="false" customHeight="false" outlineLevel="0" collapsed="false">
      <c r="A2457" s="57" t="n">
        <v>34827</v>
      </c>
      <c r="B2457" s="56" t="n">
        <v>1995</v>
      </c>
      <c r="C2457" s="56" t="n">
        <v>5</v>
      </c>
      <c r="D2457" s="56" t="n">
        <v>8</v>
      </c>
      <c r="E2457" s="56" t="n">
        <v>15.9</v>
      </c>
      <c r="F2457" s="56" t="n">
        <v>0</v>
      </c>
      <c r="G2457" s="56" t="n">
        <v>11.5</v>
      </c>
      <c r="H2457" s="56" t="n">
        <v>0</v>
      </c>
      <c r="I2457" s="56" t="n">
        <v>14.8</v>
      </c>
      <c r="J2457" s="56" t="n">
        <v>0</v>
      </c>
      <c r="K2457" s="56" t="n">
        <v>1016.4</v>
      </c>
      <c r="L2457" s="56" t="n">
        <v>0</v>
      </c>
      <c r="M2457" s="56" t="n">
        <v>62</v>
      </c>
      <c r="N2457" s="56" t="n">
        <v>11.8</v>
      </c>
      <c r="O2457" s="56" t="n">
        <f aca="false">IF(D2457=1,"",E2456)</f>
        <v>18.1</v>
      </c>
      <c r="P2457" s="56" t="n">
        <f aca="false">IF(OR(D2457=1,K2456=""),"",K2456)</f>
        <v>1015.8</v>
      </c>
      <c r="Q2457" s="56" t="n">
        <f aca="false">IF(OR(F2457&lt;&gt;0,AND(I2457&lt;&gt;"",E2457&lt;I2457)),1,0)</f>
        <v>0</v>
      </c>
      <c r="R2457" s="56" t="n">
        <f aca="false">IF(AND(D2457&gt;1,Q2457=0,ISNUMBER(O2457),ISNUMBER(P2457)),IF(Q2456=0,1,0),0)</f>
        <v>0</v>
      </c>
      <c r="S2457" s="56" t="n">
        <f aca="false">R2457*(B2457&gt;=Train_Start)*(B2457&lt;=Train_End)</f>
        <v>0</v>
      </c>
      <c r="T2457" s="84" t="n">
        <f aca="false">IF(AND(ISNUMBER(O2457),ISNUMBER(P2457)),Coef_A+Coef_B1*O2457+Coef_B2*P2457,"")</f>
        <v>18.7825537852742</v>
      </c>
      <c r="U2457" s="84" t="str">
        <f aca="false">IF(AND(R2457=1,ISNUMBER(T2457)),E2457-T2457,"")</f>
        <v/>
      </c>
      <c r="V2457" s="84" t="n">
        <f aca="false">IF(ISNUMBER(T2457),T2457,-99)</f>
        <v>18.7825537852742</v>
      </c>
      <c r="W2457" s="84" t="str">
        <f aca="false">IF(ISNUMBER(U2457),ABS(U2457),"")</f>
        <v/>
      </c>
    </row>
    <row r="2458" customFormat="false" ht="15" hidden="false" customHeight="false" outlineLevel="0" collapsed="false">
      <c r="A2458" s="57" t="n">
        <v>34828</v>
      </c>
      <c r="B2458" s="56" t="n">
        <v>1995</v>
      </c>
      <c r="C2458" s="56" t="n">
        <v>5</v>
      </c>
      <c r="D2458" s="56" t="n">
        <v>9</v>
      </c>
      <c r="E2458" s="56" t="n">
        <v>16.7</v>
      </c>
      <c r="F2458" s="56" t="n">
        <v>0</v>
      </c>
      <c r="G2458" s="56" t="n">
        <v>6.3</v>
      </c>
      <c r="H2458" s="56" t="n">
        <v>0</v>
      </c>
      <c r="I2458" s="56" t="n">
        <v>11.1</v>
      </c>
      <c r="J2458" s="56" t="n">
        <v>0</v>
      </c>
      <c r="K2458" s="56" t="n">
        <v>1019.2</v>
      </c>
      <c r="L2458" s="56" t="n">
        <v>0</v>
      </c>
      <c r="M2458" s="56" t="n">
        <v>60</v>
      </c>
      <c r="N2458" s="56" t="n">
        <v>7.9</v>
      </c>
      <c r="O2458" s="56" t="n">
        <f aca="false">IF(D2458=1,"",E2457)</f>
        <v>15.9</v>
      </c>
      <c r="P2458" s="56" t="n">
        <f aca="false">IF(OR(D2458=1,K2457=""),"",K2457)</f>
        <v>1016.4</v>
      </c>
      <c r="Q2458" s="56" t="n">
        <f aca="false">IF(OR(F2458&lt;&gt;0,AND(I2458&lt;&gt;"",E2458&lt;I2458)),1,0)</f>
        <v>0</v>
      </c>
      <c r="R2458" s="56" t="n">
        <f aca="false">IF(AND(D2458&gt;1,Q2458=0,ISNUMBER(O2458),ISNUMBER(P2458)),IF(Q2457=0,1,0),0)</f>
        <v>1</v>
      </c>
      <c r="S2458" s="56" t="n">
        <f aca="false">R2458*(B2458&gt;=Train_Start)*(B2458&lt;=Train_End)</f>
        <v>1</v>
      </c>
      <c r="T2458" s="84" t="n">
        <f aca="false">IF(AND(ISNUMBER(O2458),ISNUMBER(P2458)),Coef_A+Coef_B1*O2458+Coef_B2*P2458,"")</f>
        <v>16.9988294973608</v>
      </c>
      <c r="U2458" s="84" t="n">
        <f aca="false">IF(AND(R2458=1,ISNUMBER(T2458)),E2458-T2458,"")</f>
        <v>-0.298829497360774</v>
      </c>
      <c r="V2458" s="84" t="n">
        <f aca="false">IF(ISNUMBER(T2458),T2458,-99)</f>
        <v>16.9988294973608</v>
      </c>
      <c r="W2458" s="84" t="n">
        <f aca="false">IF(ISNUMBER(U2458),ABS(U2458),"")</f>
        <v>0.298829497360774</v>
      </c>
    </row>
    <row r="2459" customFormat="false" ht="15" hidden="false" customHeight="false" outlineLevel="0" collapsed="false">
      <c r="A2459" s="57" t="n">
        <v>34829</v>
      </c>
      <c r="B2459" s="56" t="n">
        <v>1995</v>
      </c>
      <c r="C2459" s="56" t="n">
        <v>5</v>
      </c>
      <c r="D2459" s="56" t="n">
        <v>10</v>
      </c>
      <c r="E2459" s="56" t="n">
        <v>11</v>
      </c>
      <c r="F2459" s="56" t="n">
        <v>0</v>
      </c>
      <c r="G2459" s="56" t="n">
        <v>4.3</v>
      </c>
      <c r="H2459" s="56" t="n">
        <v>0</v>
      </c>
      <c r="I2459" s="56" t="n">
        <v>10.5</v>
      </c>
      <c r="J2459" s="56" t="n">
        <v>0</v>
      </c>
      <c r="K2459" s="56" t="n">
        <v>1016.7</v>
      </c>
      <c r="L2459" s="56" t="n">
        <v>0</v>
      </c>
      <c r="M2459" s="56" t="n">
        <v>64</v>
      </c>
      <c r="N2459" s="56" t="n">
        <v>8.5</v>
      </c>
      <c r="O2459" s="56" t="n">
        <f aca="false">IF(D2459=1,"",E2458)</f>
        <v>16.7</v>
      </c>
      <c r="P2459" s="56" t="n">
        <f aca="false">IF(OR(D2459=1,K2458=""),"",K2458)</f>
        <v>1019.2</v>
      </c>
      <c r="Q2459" s="56" t="n">
        <f aca="false">IF(OR(F2459&lt;&gt;0,AND(I2459&lt;&gt;"",E2459&lt;I2459)),1,0)</f>
        <v>0</v>
      </c>
      <c r="R2459" s="56" t="n">
        <f aca="false">IF(AND(D2459&gt;1,Q2459=0,ISNUMBER(O2459),ISNUMBER(P2459)),IF(Q2458=0,1,0),0)</f>
        <v>1</v>
      </c>
      <c r="S2459" s="56" t="n">
        <f aca="false">R2459*(B2459&gt;=Train_Start)*(B2459&lt;=Train_End)</f>
        <v>1</v>
      </c>
      <c r="T2459" s="84" t="n">
        <f aca="false">IF(AND(ISNUMBER(O2459),ISNUMBER(P2459)),Coef_A+Coef_B1*O2459+Coef_B2*P2459,"")</f>
        <v>17.7421365567701</v>
      </c>
      <c r="U2459" s="84" t="n">
        <f aca="false">IF(AND(R2459=1,ISNUMBER(T2459)),E2459-T2459,"")</f>
        <v>-6.74213655677007</v>
      </c>
      <c r="V2459" s="84" t="n">
        <f aca="false">IF(ISNUMBER(T2459),T2459,-99)</f>
        <v>17.7421365567701</v>
      </c>
      <c r="W2459" s="84" t="n">
        <f aca="false">IF(ISNUMBER(U2459),ABS(U2459),"")</f>
        <v>6.74213655677007</v>
      </c>
    </row>
    <row r="2460" customFormat="false" ht="15" hidden="false" customHeight="false" outlineLevel="0" collapsed="false">
      <c r="A2460" s="57" t="n">
        <v>34830</v>
      </c>
      <c r="B2460" s="56" t="n">
        <v>1995</v>
      </c>
      <c r="C2460" s="56" t="n">
        <v>5</v>
      </c>
      <c r="D2460" s="56" t="n">
        <v>11</v>
      </c>
      <c r="E2460" s="56" t="n">
        <v>10.5</v>
      </c>
      <c r="F2460" s="56" t="n">
        <v>0</v>
      </c>
      <c r="G2460" s="56" t="n">
        <v>6.5</v>
      </c>
      <c r="H2460" s="56" t="n">
        <v>0</v>
      </c>
      <c r="I2460" s="56" t="n">
        <v>8.8</v>
      </c>
      <c r="J2460" s="56" t="n">
        <v>0</v>
      </c>
      <c r="K2460" s="56" t="n">
        <v>1011</v>
      </c>
      <c r="L2460" s="56" t="n">
        <v>0</v>
      </c>
      <c r="M2460" s="56" t="n">
        <v>63</v>
      </c>
      <c r="N2460" s="56" t="n">
        <v>0</v>
      </c>
      <c r="O2460" s="56" t="n">
        <f aca="false">IF(D2460=1,"",E2459)</f>
        <v>11</v>
      </c>
      <c r="P2460" s="56" t="n">
        <f aca="false">IF(OR(D2460=1,K2459=""),"",K2459)</f>
        <v>1016.7</v>
      </c>
      <c r="Q2460" s="56" t="n">
        <f aca="false">IF(OR(F2460&lt;&gt;0,AND(I2460&lt;&gt;"",E2460&lt;I2460)),1,0)</f>
        <v>0</v>
      </c>
      <c r="R2460" s="56" t="n">
        <f aca="false">IF(AND(D2460&gt;1,Q2460=0,ISNUMBER(O2460),ISNUMBER(P2460)),IF(Q2459=0,1,0),0)</f>
        <v>1</v>
      </c>
      <c r="S2460" s="56" t="n">
        <f aca="false">R2460*(B2460&gt;=Train_Start)*(B2460&lt;=Train_End)</f>
        <v>1</v>
      </c>
      <c r="T2460" s="84" t="n">
        <f aca="false">IF(AND(ISNUMBER(O2460),ISNUMBER(P2460)),Coef_A+Coef_B1*O2460+Coef_B2*P2460,"")</f>
        <v>12.993478419842</v>
      </c>
      <c r="U2460" s="84" t="n">
        <f aca="false">IF(AND(R2460=1,ISNUMBER(T2460)),E2460-T2460,"")</f>
        <v>-2.49347841984195</v>
      </c>
      <c r="V2460" s="84" t="n">
        <f aca="false">IF(ISNUMBER(T2460),T2460,-99)</f>
        <v>12.993478419842</v>
      </c>
      <c r="W2460" s="84" t="n">
        <f aca="false">IF(ISNUMBER(U2460),ABS(U2460),"")</f>
        <v>2.49347841984195</v>
      </c>
    </row>
    <row r="2461" customFormat="false" ht="15" hidden="false" customHeight="false" outlineLevel="0" collapsed="false">
      <c r="A2461" s="57" t="n">
        <v>34831</v>
      </c>
      <c r="B2461" s="56" t="n">
        <v>1995</v>
      </c>
      <c r="C2461" s="56" t="n">
        <v>5</v>
      </c>
      <c r="D2461" s="56" t="n">
        <v>12</v>
      </c>
      <c r="E2461" s="56" t="n">
        <v>12.6</v>
      </c>
      <c r="F2461" s="56" t="n">
        <v>0</v>
      </c>
      <c r="G2461" s="56" t="n">
        <v>4.7</v>
      </c>
      <c r="H2461" s="56" t="n">
        <v>0</v>
      </c>
      <c r="I2461" s="56" t="n">
        <v>7.6</v>
      </c>
      <c r="J2461" s="56" t="n">
        <v>0</v>
      </c>
      <c r="K2461" s="56" t="n">
        <v>1008.9</v>
      </c>
      <c r="L2461" s="56" t="n">
        <v>0</v>
      </c>
      <c r="M2461" s="56" t="n">
        <v>64</v>
      </c>
      <c r="N2461" s="56" t="n">
        <v>0.4</v>
      </c>
      <c r="O2461" s="56" t="n">
        <f aca="false">IF(D2461=1,"",E2460)</f>
        <v>10.5</v>
      </c>
      <c r="P2461" s="56" t="n">
        <f aca="false">IF(OR(D2461=1,K2460=""),"",K2460)</f>
        <v>1011</v>
      </c>
      <c r="Q2461" s="56" t="n">
        <f aca="false">IF(OR(F2461&lt;&gt;0,AND(I2461&lt;&gt;"",E2461&lt;I2461)),1,0)</f>
        <v>0</v>
      </c>
      <c r="R2461" s="56" t="n">
        <f aca="false">IF(AND(D2461&gt;1,Q2461=0,ISNUMBER(O2461),ISNUMBER(P2461)),IF(Q2460=0,1,0),0)</f>
        <v>1</v>
      </c>
      <c r="S2461" s="56" t="n">
        <f aca="false">R2461*(B2461&gt;=Train_Start)*(B2461&lt;=Train_End)</f>
        <v>1</v>
      </c>
      <c r="T2461" s="84" t="n">
        <f aca="false">IF(AND(ISNUMBER(O2461),ISNUMBER(P2461)),Coef_A+Coef_B1*O2461+Coef_B2*P2461,"")</f>
        <v>12.4050004239069</v>
      </c>
      <c r="U2461" s="84" t="n">
        <f aca="false">IF(AND(R2461=1,ISNUMBER(T2461)),E2461-T2461,"")</f>
        <v>0.194999576093123</v>
      </c>
      <c r="V2461" s="84" t="n">
        <f aca="false">IF(ISNUMBER(T2461),T2461,-99)</f>
        <v>12.4050004239069</v>
      </c>
      <c r="W2461" s="84" t="n">
        <f aca="false">IF(ISNUMBER(U2461),ABS(U2461),"")</f>
        <v>0.194999576093123</v>
      </c>
    </row>
    <row r="2462" customFormat="false" ht="15" hidden="false" customHeight="false" outlineLevel="0" collapsed="false">
      <c r="A2462" s="57" t="n">
        <v>34832</v>
      </c>
      <c r="B2462" s="56" t="n">
        <v>1995</v>
      </c>
      <c r="C2462" s="56" t="n">
        <v>5</v>
      </c>
      <c r="D2462" s="56" t="n">
        <v>13</v>
      </c>
      <c r="E2462" s="56" t="n">
        <v>14.6</v>
      </c>
      <c r="F2462" s="56" t="n">
        <v>0</v>
      </c>
      <c r="G2462" s="56" t="n">
        <v>4</v>
      </c>
      <c r="H2462" s="56" t="n">
        <v>0</v>
      </c>
      <c r="I2462" s="56" t="n">
        <v>8.3</v>
      </c>
      <c r="J2462" s="56" t="n">
        <v>0</v>
      </c>
      <c r="K2462" s="56" t="n">
        <v>1017.3</v>
      </c>
      <c r="L2462" s="56" t="n">
        <v>0</v>
      </c>
      <c r="M2462" s="56" t="n">
        <v>62</v>
      </c>
      <c r="N2462" s="56" t="n">
        <v>8.6</v>
      </c>
      <c r="O2462" s="56" t="n">
        <f aca="false">IF(D2462=1,"",E2461)</f>
        <v>12.6</v>
      </c>
      <c r="P2462" s="56" t="n">
        <f aca="false">IF(OR(D2462=1,K2461=""),"",K2461)</f>
        <v>1008.9</v>
      </c>
      <c r="Q2462" s="56" t="n">
        <f aca="false">IF(OR(F2462&lt;&gt;0,AND(I2462&lt;&gt;"",E2462&lt;I2462)),1,0)</f>
        <v>0</v>
      </c>
      <c r="R2462" s="56" t="n">
        <f aca="false">IF(AND(D2462&gt;1,Q2462=0,ISNUMBER(O2462),ISNUMBER(P2462)),IF(Q2461=0,1,0),0)</f>
        <v>1</v>
      </c>
      <c r="S2462" s="56" t="n">
        <f aca="false">R2462*(B2462&gt;=Train_Start)*(B2462&lt;=Train_End)</f>
        <v>1</v>
      </c>
      <c r="T2462" s="84" t="n">
        <f aca="false">IF(AND(ISNUMBER(O2462),ISNUMBER(P2462)),Coef_A+Coef_B1*O2462+Coef_B2*P2462,"")</f>
        <v>14.0597359505651</v>
      </c>
      <c r="U2462" s="84" t="n">
        <f aca="false">IF(AND(R2462=1,ISNUMBER(T2462)),E2462-T2462,"")</f>
        <v>0.540264049434915</v>
      </c>
      <c r="V2462" s="84" t="n">
        <f aca="false">IF(ISNUMBER(T2462),T2462,-99)</f>
        <v>14.0597359505651</v>
      </c>
      <c r="W2462" s="84" t="n">
        <f aca="false">IF(ISNUMBER(U2462),ABS(U2462),"")</f>
        <v>0.540264049434915</v>
      </c>
    </row>
    <row r="2463" customFormat="false" ht="15" hidden="false" customHeight="false" outlineLevel="0" collapsed="false">
      <c r="A2463" s="57" t="n">
        <v>34833</v>
      </c>
      <c r="B2463" s="56" t="n">
        <v>1995</v>
      </c>
      <c r="C2463" s="56" t="n">
        <v>5</v>
      </c>
      <c r="D2463" s="56" t="n">
        <v>14</v>
      </c>
      <c r="E2463" s="56" t="n">
        <v>16.4</v>
      </c>
      <c r="F2463" s="56" t="n">
        <v>0</v>
      </c>
      <c r="G2463" s="56" t="n">
        <v>3</v>
      </c>
      <c r="H2463" s="56" t="n">
        <v>0</v>
      </c>
      <c r="I2463" s="56" t="n">
        <v>8.8</v>
      </c>
      <c r="J2463" s="56" t="n">
        <v>0</v>
      </c>
      <c r="K2463" s="56" t="n">
        <v>1021</v>
      </c>
      <c r="L2463" s="56" t="n">
        <v>0</v>
      </c>
      <c r="M2463" s="56" t="n">
        <v>60</v>
      </c>
      <c r="N2463" s="56" t="n">
        <v>8.3</v>
      </c>
      <c r="O2463" s="56" t="n">
        <f aca="false">IF(D2463=1,"",E2462)</f>
        <v>14.6</v>
      </c>
      <c r="P2463" s="56" t="n">
        <f aca="false">IF(OR(D2463=1,K2462=""),"",K2462)</f>
        <v>1017.3</v>
      </c>
      <c r="Q2463" s="56" t="n">
        <f aca="false">IF(OR(F2463&lt;&gt;0,AND(I2463&lt;&gt;"",E2463&lt;I2463)),1,0)</f>
        <v>0</v>
      </c>
      <c r="R2463" s="56" t="n">
        <f aca="false">IF(AND(D2463&gt;1,Q2463=0,ISNUMBER(O2463),ISNUMBER(P2463)),IF(Q2462=0,1,0),0)</f>
        <v>1</v>
      </c>
      <c r="S2463" s="56" t="n">
        <f aca="false">R2463*(B2463&gt;=Train_Start)*(B2463&lt;=Train_End)</f>
        <v>1</v>
      </c>
      <c r="T2463" s="84" t="n">
        <f aca="false">IF(AND(ISNUMBER(O2463),ISNUMBER(P2463)),Coef_A+Coef_B1*O2463+Coef_B2*P2463,"")</f>
        <v>15.9619214515759</v>
      </c>
      <c r="U2463" s="84" t="n">
        <f aca="false">IF(AND(R2463=1,ISNUMBER(T2463)),E2463-T2463,"")</f>
        <v>0.438078548424091</v>
      </c>
      <c r="V2463" s="84" t="n">
        <f aca="false">IF(ISNUMBER(T2463),T2463,-99)</f>
        <v>15.9619214515759</v>
      </c>
      <c r="W2463" s="84" t="n">
        <f aca="false">IF(ISNUMBER(U2463),ABS(U2463),"")</f>
        <v>0.438078548424091</v>
      </c>
    </row>
    <row r="2464" customFormat="false" ht="15" hidden="false" customHeight="false" outlineLevel="0" collapsed="false">
      <c r="A2464" s="57" t="n">
        <v>34834</v>
      </c>
      <c r="B2464" s="56" t="n">
        <v>1995</v>
      </c>
      <c r="C2464" s="56" t="n">
        <v>5</v>
      </c>
      <c r="D2464" s="56" t="n">
        <v>15</v>
      </c>
      <c r="E2464" s="56" t="n">
        <v>15</v>
      </c>
      <c r="F2464" s="56" t="n">
        <v>0</v>
      </c>
      <c r="G2464" s="56" t="n">
        <v>2.8</v>
      </c>
      <c r="H2464" s="56" t="n">
        <v>0</v>
      </c>
      <c r="I2464" s="56" t="n">
        <v>9.6</v>
      </c>
      <c r="J2464" s="56" t="n">
        <v>0</v>
      </c>
      <c r="K2464" s="56" t="n">
        <v>1015.5</v>
      </c>
      <c r="L2464" s="56" t="n">
        <v>0</v>
      </c>
      <c r="M2464" s="56" t="n">
        <v>63</v>
      </c>
      <c r="N2464" s="56" t="n">
        <v>9.2</v>
      </c>
      <c r="O2464" s="56" t="n">
        <f aca="false">IF(D2464=1,"",E2463)</f>
        <v>16.4</v>
      </c>
      <c r="P2464" s="56" t="n">
        <f aca="false">IF(OR(D2464=1,K2463=""),"",K2463)</f>
        <v>1021</v>
      </c>
      <c r="Q2464" s="56" t="n">
        <f aca="false">IF(OR(F2464&lt;&gt;0,AND(I2464&lt;&gt;"",E2464&lt;I2464)),1,0)</f>
        <v>0</v>
      </c>
      <c r="R2464" s="56" t="n">
        <f aca="false">IF(AND(D2464&gt;1,Q2464=0,ISNUMBER(O2464),ISNUMBER(P2464)),IF(Q2463=0,1,0),0)</f>
        <v>1</v>
      </c>
      <c r="S2464" s="56" t="n">
        <f aca="false">R2464*(B2464&gt;=Train_Start)*(B2464&lt;=Train_End)</f>
        <v>1</v>
      </c>
      <c r="T2464" s="84" t="n">
        <f aca="false">IF(AND(ISNUMBER(O2464),ISNUMBER(P2464)),Coef_A+Coef_B1*O2464+Coef_B2*P2464,"")</f>
        <v>17.5528006091985</v>
      </c>
      <c r="U2464" s="84" t="n">
        <f aca="false">IF(AND(R2464=1,ISNUMBER(T2464)),E2464-T2464,"")</f>
        <v>-2.55280060919845</v>
      </c>
      <c r="V2464" s="84" t="n">
        <f aca="false">IF(ISNUMBER(T2464),T2464,-99)</f>
        <v>17.5528006091985</v>
      </c>
      <c r="W2464" s="84" t="n">
        <f aca="false">IF(ISNUMBER(U2464),ABS(U2464),"")</f>
        <v>2.55280060919845</v>
      </c>
    </row>
    <row r="2465" customFormat="false" ht="15" hidden="false" customHeight="false" outlineLevel="0" collapsed="false">
      <c r="A2465" s="57" t="n">
        <v>34835</v>
      </c>
      <c r="B2465" s="56" t="n">
        <v>1995</v>
      </c>
      <c r="C2465" s="56" t="n">
        <v>5</v>
      </c>
      <c r="D2465" s="56" t="n">
        <v>16</v>
      </c>
      <c r="E2465" s="56" t="n">
        <v>12</v>
      </c>
      <c r="F2465" s="56" t="n">
        <v>0</v>
      </c>
      <c r="G2465" s="56" t="n">
        <v>6.7</v>
      </c>
      <c r="H2465" s="56" t="n">
        <v>0</v>
      </c>
      <c r="I2465" s="56" t="n">
        <v>10.8</v>
      </c>
      <c r="J2465" s="56" t="n">
        <v>0</v>
      </c>
      <c r="K2465" s="56" t="n">
        <v>1006.4</v>
      </c>
      <c r="L2465" s="56" t="n">
        <v>0</v>
      </c>
      <c r="M2465" s="56" t="n">
        <v>72</v>
      </c>
      <c r="N2465" s="56" t="n">
        <v>0</v>
      </c>
      <c r="O2465" s="56" t="n">
        <f aca="false">IF(D2465=1,"",E2464)</f>
        <v>15</v>
      </c>
      <c r="P2465" s="56" t="n">
        <f aca="false">IF(OR(D2465=1,K2464=""),"",K2464)</f>
        <v>1015.5</v>
      </c>
      <c r="Q2465" s="56" t="n">
        <f aca="false">IF(OR(F2465&lt;&gt;0,AND(I2465&lt;&gt;"",E2465&lt;I2465)),1,0)</f>
        <v>0</v>
      </c>
      <c r="R2465" s="56" t="n">
        <f aca="false">IF(AND(D2465&gt;1,Q2465=0,ISNUMBER(O2465),ISNUMBER(P2465)),IF(Q2464=0,1,0),0)</f>
        <v>1</v>
      </c>
      <c r="S2465" s="56" t="n">
        <f aca="false">R2465*(B2465&gt;=Train_Start)*(B2465&lt;=Train_End)</f>
        <v>1</v>
      </c>
      <c r="T2465" s="84" t="n">
        <f aca="false">IF(AND(ISNUMBER(O2465),ISNUMBER(P2465)),Coef_A+Coef_B1*O2465+Coef_B2*P2465,"")</f>
        <v>16.2331913184518</v>
      </c>
      <c r="U2465" s="84" t="n">
        <f aca="false">IF(AND(R2465=1,ISNUMBER(T2465)),E2465-T2465,"")</f>
        <v>-4.23319131845179</v>
      </c>
      <c r="V2465" s="84" t="n">
        <f aca="false">IF(ISNUMBER(T2465),T2465,-99)</f>
        <v>16.2331913184518</v>
      </c>
      <c r="W2465" s="84" t="n">
        <f aca="false">IF(ISNUMBER(U2465),ABS(U2465),"")</f>
        <v>4.23319131845179</v>
      </c>
    </row>
    <row r="2466" customFormat="false" ht="15" hidden="false" customHeight="false" outlineLevel="0" collapsed="false">
      <c r="A2466" s="57" t="n">
        <v>34836</v>
      </c>
      <c r="B2466" s="56" t="n">
        <v>1995</v>
      </c>
      <c r="C2466" s="56" t="n">
        <v>5</v>
      </c>
      <c r="D2466" s="56" t="n">
        <v>17</v>
      </c>
      <c r="E2466" s="56" t="n">
        <v>14.6</v>
      </c>
      <c r="F2466" s="56" t="n">
        <v>0</v>
      </c>
      <c r="G2466" s="56" t="n">
        <v>8.5</v>
      </c>
      <c r="H2466" s="56" t="n">
        <v>0</v>
      </c>
      <c r="I2466" s="56" t="n">
        <v>10.2</v>
      </c>
      <c r="J2466" s="56" t="n">
        <v>0</v>
      </c>
      <c r="K2466" s="56" t="n">
        <v>1000.1</v>
      </c>
      <c r="L2466" s="56" t="n">
        <v>0</v>
      </c>
      <c r="M2466" s="56" t="n">
        <v>90</v>
      </c>
      <c r="N2466" s="56" t="n">
        <v>0.1</v>
      </c>
      <c r="O2466" s="56" t="n">
        <f aca="false">IF(D2466=1,"",E2465)</f>
        <v>12</v>
      </c>
      <c r="P2466" s="56" t="n">
        <f aca="false">IF(OR(D2466=1,K2465=""),"",K2465)</f>
        <v>1006.4</v>
      </c>
      <c r="Q2466" s="56" t="n">
        <f aca="false">IF(OR(F2466&lt;&gt;0,AND(I2466&lt;&gt;"",E2466&lt;I2466)),1,0)</f>
        <v>0</v>
      </c>
      <c r="R2466" s="56" t="n">
        <f aca="false">IF(AND(D2466&gt;1,Q2466=0,ISNUMBER(O2466),ISNUMBER(P2466)),IF(Q2465=0,1,0),0)</f>
        <v>1</v>
      </c>
      <c r="S2466" s="56" t="n">
        <f aca="false">R2466*(B2466&gt;=Train_Start)*(B2466&lt;=Train_End)</f>
        <v>1</v>
      </c>
      <c r="T2466" s="84" t="n">
        <f aca="false">IF(AND(ISNUMBER(O2466),ISNUMBER(P2466)),Coef_A+Coef_B1*O2466+Coef_B2*P2466,"")</f>
        <v>13.4897076981545</v>
      </c>
      <c r="U2466" s="84" t="n">
        <f aca="false">IF(AND(R2466=1,ISNUMBER(T2466)),E2466-T2466,"")</f>
        <v>1.11029230184548</v>
      </c>
      <c r="V2466" s="84" t="n">
        <f aca="false">IF(ISNUMBER(T2466),T2466,-99)</f>
        <v>13.4897076981545</v>
      </c>
      <c r="W2466" s="84" t="n">
        <f aca="false">IF(ISNUMBER(U2466),ABS(U2466),"")</f>
        <v>1.11029230184548</v>
      </c>
    </row>
    <row r="2467" customFormat="false" ht="15" hidden="false" customHeight="false" outlineLevel="0" collapsed="false">
      <c r="A2467" s="57" t="n">
        <v>34837</v>
      </c>
      <c r="B2467" s="56" t="n">
        <v>1995</v>
      </c>
      <c r="C2467" s="56" t="n">
        <v>5</v>
      </c>
      <c r="D2467" s="56" t="n">
        <v>18</v>
      </c>
      <c r="E2467" s="56" t="n">
        <v>16.5</v>
      </c>
      <c r="F2467" s="56" t="n">
        <v>0</v>
      </c>
      <c r="G2467" s="56" t="n">
        <v>3.9</v>
      </c>
      <c r="H2467" s="56" t="n">
        <v>0</v>
      </c>
      <c r="I2467" s="56" t="n">
        <v>9.2</v>
      </c>
      <c r="J2467" s="56" t="n">
        <v>0</v>
      </c>
      <c r="K2467" s="56" t="n">
        <v>1009.5</v>
      </c>
      <c r="L2467" s="56" t="n">
        <v>0</v>
      </c>
      <c r="M2467" s="56" t="n">
        <v>65</v>
      </c>
      <c r="N2467" s="56" t="n">
        <v>11.1</v>
      </c>
      <c r="O2467" s="56" t="n">
        <f aca="false">IF(D2467=1,"",E2466)</f>
        <v>14.6</v>
      </c>
      <c r="P2467" s="56" t="n">
        <f aca="false">IF(OR(D2467=1,K2466=""),"",K2466)</f>
        <v>1000.1</v>
      </c>
      <c r="Q2467" s="56" t="n">
        <f aca="false">IF(OR(F2467&lt;&gt;0,AND(I2467&lt;&gt;"",E2467&lt;I2467)),1,0)</f>
        <v>0</v>
      </c>
      <c r="R2467" s="56" t="n">
        <f aca="false">IF(AND(D2467&gt;1,Q2467=0,ISNUMBER(O2467),ISNUMBER(P2467)),IF(Q2466=0,1,0),0)</f>
        <v>1</v>
      </c>
      <c r="S2467" s="56" t="n">
        <f aca="false">R2467*(B2467&gt;=Train_Start)*(B2467&lt;=Train_End)</f>
        <v>1</v>
      </c>
      <c r="T2467" s="84" t="n">
        <f aca="false">IF(AND(ISNUMBER(O2467),ISNUMBER(P2467)),Coef_A+Coef_B1*O2467+Coef_B2*P2467,"")</f>
        <v>15.4223592638713</v>
      </c>
      <c r="U2467" s="84" t="n">
        <f aca="false">IF(AND(R2467=1,ISNUMBER(T2467)),E2467-T2467,"")</f>
        <v>1.07764073612871</v>
      </c>
      <c r="V2467" s="84" t="n">
        <f aca="false">IF(ISNUMBER(T2467),T2467,-99)</f>
        <v>15.4223592638713</v>
      </c>
      <c r="W2467" s="84" t="n">
        <f aca="false">IF(ISNUMBER(U2467),ABS(U2467),"")</f>
        <v>1.07764073612871</v>
      </c>
    </row>
    <row r="2468" customFormat="false" ht="15" hidden="false" customHeight="false" outlineLevel="0" collapsed="false">
      <c r="A2468" s="57" t="n">
        <v>34838</v>
      </c>
      <c r="B2468" s="56" t="n">
        <v>1995</v>
      </c>
      <c r="C2468" s="56" t="n">
        <v>5</v>
      </c>
      <c r="D2468" s="56" t="n">
        <v>19</v>
      </c>
      <c r="E2468" s="56" t="n">
        <v>15.4</v>
      </c>
      <c r="F2468" s="56" t="n">
        <v>0</v>
      </c>
      <c r="G2468" s="56" t="n">
        <v>5.2</v>
      </c>
      <c r="H2468" s="56" t="n">
        <v>0</v>
      </c>
      <c r="I2468" s="56" t="n">
        <v>10.8</v>
      </c>
      <c r="J2468" s="56" t="n">
        <v>0</v>
      </c>
      <c r="K2468" s="56" t="n">
        <v>1016.1</v>
      </c>
      <c r="L2468" s="56" t="n">
        <v>0</v>
      </c>
      <c r="M2468" s="56" t="n">
        <v>67</v>
      </c>
      <c r="N2468" s="56" t="n">
        <v>7.3</v>
      </c>
      <c r="O2468" s="56" t="n">
        <f aca="false">IF(D2468=1,"",E2467)</f>
        <v>16.5</v>
      </c>
      <c r="P2468" s="56" t="n">
        <f aca="false">IF(OR(D2468=1,K2467=""),"",K2467)</f>
        <v>1009.5</v>
      </c>
      <c r="Q2468" s="56" t="n">
        <f aca="false">IF(OR(F2468&lt;&gt;0,AND(I2468&lt;&gt;"",E2468&lt;I2468)),1,0)</f>
        <v>0</v>
      </c>
      <c r="R2468" s="56" t="n">
        <f aca="false">IF(AND(D2468&gt;1,Q2468=0,ISNUMBER(O2468),ISNUMBER(P2468)),IF(Q2467=0,1,0),0)</f>
        <v>1</v>
      </c>
      <c r="S2468" s="56" t="n">
        <f aca="false">R2468*(B2468&gt;=Train_Start)*(B2468&lt;=Train_End)</f>
        <v>1</v>
      </c>
      <c r="T2468" s="84" t="n">
        <f aca="false">IF(AND(ISNUMBER(O2468),ISNUMBER(P2468)),Coef_A+Coef_B1*O2468+Coef_B2*P2468,"")</f>
        <v>17.2739807402118</v>
      </c>
      <c r="U2468" s="84" t="n">
        <f aca="false">IF(AND(R2468=1,ISNUMBER(T2468)),E2468-T2468,"")</f>
        <v>-1.87398074021184</v>
      </c>
      <c r="V2468" s="84" t="n">
        <f aca="false">IF(ISNUMBER(T2468),T2468,-99)</f>
        <v>17.2739807402118</v>
      </c>
      <c r="W2468" s="84" t="n">
        <f aca="false">IF(ISNUMBER(U2468),ABS(U2468),"")</f>
        <v>1.87398074021184</v>
      </c>
    </row>
    <row r="2469" customFormat="false" ht="15" hidden="false" customHeight="false" outlineLevel="0" collapsed="false">
      <c r="A2469" s="57" t="n">
        <v>34839</v>
      </c>
      <c r="B2469" s="56" t="n">
        <v>1995</v>
      </c>
      <c r="C2469" s="56" t="n">
        <v>5</v>
      </c>
      <c r="D2469" s="56" t="n">
        <v>20</v>
      </c>
      <c r="E2469" s="56" t="n">
        <v>17.1</v>
      </c>
      <c r="F2469" s="56" t="n">
        <v>0</v>
      </c>
      <c r="G2469" s="56" t="n">
        <v>6</v>
      </c>
      <c r="H2469" s="56" t="n">
        <v>0</v>
      </c>
      <c r="I2469" s="56" t="n">
        <v>10.7</v>
      </c>
      <c r="J2469" s="56" t="n">
        <v>0</v>
      </c>
      <c r="K2469" s="56" t="n">
        <v>1025.1</v>
      </c>
      <c r="L2469" s="56" t="n">
        <v>0</v>
      </c>
      <c r="M2469" s="56" t="n">
        <v>71</v>
      </c>
      <c r="N2469" s="56" t="n">
        <v>0.6</v>
      </c>
      <c r="O2469" s="56" t="n">
        <f aca="false">IF(D2469=1,"",E2468)</f>
        <v>15.4</v>
      </c>
      <c r="P2469" s="56" t="n">
        <f aca="false">IF(OR(D2469=1,K2468=""),"",K2468)</f>
        <v>1016.1</v>
      </c>
      <c r="Q2469" s="56" t="n">
        <f aca="false">IF(OR(F2469&lt;&gt;0,AND(I2469&lt;&gt;"",E2469&lt;I2469)),1,0)</f>
        <v>0</v>
      </c>
      <c r="R2469" s="56" t="n">
        <f aca="false">IF(AND(D2469&gt;1,Q2469=0,ISNUMBER(O2469),ISNUMBER(P2469)),IF(Q2468=0,1,0),0)</f>
        <v>1</v>
      </c>
      <c r="S2469" s="56" t="n">
        <f aca="false">R2469*(B2469&gt;=Train_Start)*(B2469&lt;=Train_End)</f>
        <v>1</v>
      </c>
      <c r="T2469" s="84" t="n">
        <f aca="false">IF(AND(ISNUMBER(O2469),ISNUMBER(P2469)),Coef_A+Coef_B1*O2469+Coef_B2*P2469,"")</f>
        <v>16.5797489324493</v>
      </c>
      <c r="U2469" s="84" t="n">
        <f aca="false">IF(AND(R2469=1,ISNUMBER(T2469)),E2469-T2469,"")</f>
        <v>0.520251067550753</v>
      </c>
      <c r="V2469" s="84" t="n">
        <f aca="false">IF(ISNUMBER(T2469),T2469,-99)</f>
        <v>16.5797489324493</v>
      </c>
      <c r="W2469" s="84" t="n">
        <f aca="false">IF(ISNUMBER(U2469),ABS(U2469),"")</f>
        <v>0.520251067550753</v>
      </c>
    </row>
    <row r="2470" customFormat="false" ht="15" hidden="false" customHeight="false" outlineLevel="0" collapsed="false">
      <c r="A2470" s="57" t="n">
        <v>34840</v>
      </c>
      <c r="B2470" s="56" t="n">
        <v>1995</v>
      </c>
      <c r="C2470" s="56" t="n">
        <v>5</v>
      </c>
      <c r="D2470" s="56" t="n">
        <v>21</v>
      </c>
      <c r="E2470" s="56" t="n">
        <v>19.6</v>
      </c>
      <c r="F2470" s="56" t="n">
        <v>0</v>
      </c>
      <c r="G2470" s="56" t="n">
        <v>5.2</v>
      </c>
      <c r="H2470" s="56" t="n">
        <v>0</v>
      </c>
      <c r="I2470" s="56" t="n">
        <v>11.2</v>
      </c>
      <c r="J2470" s="56" t="n">
        <v>0</v>
      </c>
      <c r="K2470" s="56" t="n">
        <v>1029</v>
      </c>
      <c r="L2470" s="56" t="n">
        <v>0</v>
      </c>
      <c r="M2470" s="56" t="n">
        <v>67</v>
      </c>
      <c r="N2470" s="56" t="n">
        <v>5.1</v>
      </c>
      <c r="O2470" s="56" t="n">
        <f aca="false">IF(D2470=1,"",E2469)</f>
        <v>17.1</v>
      </c>
      <c r="P2470" s="56" t="n">
        <f aca="false">IF(OR(D2470=1,K2469=""),"",K2469)</f>
        <v>1025.1</v>
      </c>
      <c r="Q2470" s="56" t="n">
        <f aca="false">IF(OR(F2470&lt;&gt;0,AND(I2470&lt;&gt;"",E2470&lt;I2470)),1,0)</f>
        <v>0</v>
      </c>
      <c r="R2470" s="56" t="n">
        <f aca="false">IF(AND(D2470&gt;1,Q2470=0,ISNUMBER(O2470),ISNUMBER(P2470)),IF(Q2469=0,1,0),0)</f>
        <v>1</v>
      </c>
      <c r="S2470" s="56" t="n">
        <f aca="false">R2470*(B2470&gt;=Train_Start)*(B2470&lt;=Train_End)</f>
        <v>1</v>
      </c>
      <c r="T2470" s="84" t="n">
        <f aca="false">IF(AND(ISNUMBER(O2470),ISNUMBER(P2470)),Coef_A+Coef_B1*O2470+Coef_B2*P2470,"")</f>
        <v>18.2549546123277</v>
      </c>
      <c r="U2470" s="84" t="n">
        <f aca="false">IF(AND(R2470=1,ISNUMBER(T2470)),E2470-T2470,"")</f>
        <v>1.34504538767234</v>
      </c>
      <c r="V2470" s="84" t="n">
        <f aca="false">IF(ISNUMBER(T2470),T2470,-99)</f>
        <v>18.2549546123277</v>
      </c>
      <c r="W2470" s="84" t="n">
        <f aca="false">IF(ISNUMBER(U2470),ABS(U2470),"")</f>
        <v>1.34504538767234</v>
      </c>
    </row>
    <row r="2471" customFormat="false" ht="15" hidden="false" customHeight="false" outlineLevel="0" collapsed="false">
      <c r="A2471" s="57" t="n">
        <v>34841</v>
      </c>
      <c r="B2471" s="56" t="n">
        <v>1995</v>
      </c>
      <c r="C2471" s="56" t="n">
        <v>5</v>
      </c>
      <c r="D2471" s="56" t="n">
        <v>22</v>
      </c>
      <c r="E2471" s="56" t="n">
        <v>23</v>
      </c>
      <c r="F2471" s="56" t="n">
        <v>0</v>
      </c>
      <c r="G2471" s="56" t="n">
        <v>7.5</v>
      </c>
      <c r="H2471" s="56" t="n">
        <v>0</v>
      </c>
      <c r="I2471" s="56" t="n">
        <v>13.6</v>
      </c>
      <c r="J2471" s="56" t="n">
        <v>0</v>
      </c>
      <c r="K2471" s="56" t="n">
        <v>1021.3</v>
      </c>
      <c r="L2471" s="56" t="n">
        <v>0</v>
      </c>
      <c r="M2471" s="56" t="n">
        <v>59</v>
      </c>
      <c r="N2471" s="56" t="n">
        <v>9</v>
      </c>
      <c r="O2471" s="56" t="n">
        <f aca="false">IF(D2471=1,"",E2470)</f>
        <v>19.6</v>
      </c>
      <c r="P2471" s="56" t="n">
        <f aca="false">IF(OR(D2471=1,K2470=""),"",K2470)</f>
        <v>1029</v>
      </c>
      <c r="Q2471" s="56" t="n">
        <f aca="false">IF(OR(F2471&lt;&gt;0,AND(I2471&lt;&gt;"",E2471&lt;I2471)),1,0)</f>
        <v>0</v>
      </c>
      <c r="R2471" s="56" t="n">
        <f aca="false">IF(AND(D2471&gt;1,Q2471=0,ISNUMBER(O2471),ISNUMBER(P2471)),IF(Q2470=0,1,0),0)</f>
        <v>1</v>
      </c>
      <c r="S2471" s="56" t="n">
        <f aca="false">R2471*(B2471&gt;=Train_Start)*(B2471&lt;=Train_End)</f>
        <v>1</v>
      </c>
      <c r="T2471" s="84" t="n">
        <f aca="false">IF(AND(ISNUMBER(O2471),ISNUMBER(P2471)),Coef_A+Coef_B1*O2471+Coef_B2*P2471,"")</f>
        <v>20.4256451840069</v>
      </c>
      <c r="U2471" s="84" t="n">
        <f aca="false">IF(AND(R2471=1,ISNUMBER(T2471)),E2471-T2471,"")</f>
        <v>2.57435481599313</v>
      </c>
      <c r="V2471" s="84" t="n">
        <f aca="false">IF(ISNUMBER(T2471),T2471,-99)</f>
        <v>20.4256451840069</v>
      </c>
      <c r="W2471" s="84" t="n">
        <f aca="false">IF(ISNUMBER(U2471),ABS(U2471),"")</f>
        <v>2.57435481599313</v>
      </c>
    </row>
    <row r="2472" customFormat="false" ht="15" hidden="false" customHeight="false" outlineLevel="0" collapsed="false">
      <c r="A2472" s="57" t="n">
        <v>34842</v>
      </c>
      <c r="B2472" s="56" t="n">
        <v>1995</v>
      </c>
      <c r="C2472" s="56" t="n">
        <v>5</v>
      </c>
      <c r="D2472" s="56" t="n">
        <v>23</v>
      </c>
      <c r="E2472" s="56" t="n">
        <v>20.4</v>
      </c>
      <c r="F2472" s="56" t="n">
        <v>0</v>
      </c>
      <c r="G2472" s="56" t="n">
        <v>9.7</v>
      </c>
      <c r="H2472" s="56" t="n">
        <v>0</v>
      </c>
      <c r="I2472" s="56" t="n">
        <v>16.4</v>
      </c>
      <c r="J2472" s="56" t="n">
        <v>0</v>
      </c>
      <c r="K2472" s="56" t="n">
        <v>1010.4</v>
      </c>
      <c r="L2472" s="56" t="n">
        <v>0</v>
      </c>
      <c r="M2472" s="56" t="n">
        <v>63</v>
      </c>
      <c r="N2472" s="56" t="n">
        <v>6.7</v>
      </c>
      <c r="O2472" s="56" t="n">
        <f aca="false">IF(D2472=1,"",E2471)</f>
        <v>23</v>
      </c>
      <c r="P2472" s="56" t="n">
        <f aca="false">IF(OR(D2472=1,K2471=""),"",K2471)</f>
        <v>1021.3</v>
      </c>
      <c r="Q2472" s="56" t="n">
        <f aca="false">IF(OR(F2472&lt;&gt;0,AND(I2472&lt;&gt;"",E2472&lt;I2472)),1,0)</f>
        <v>0</v>
      </c>
      <c r="R2472" s="56" t="n">
        <f aca="false">IF(AND(D2472&gt;1,Q2472=0,ISNUMBER(O2472),ISNUMBER(P2472)),IF(Q2471=0,1,0),0)</f>
        <v>1</v>
      </c>
      <c r="S2472" s="56" t="n">
        <f aca="false">R2472*(B2472&gt;=Train_Start)*(B2472&lt;=Train_End)</f>
        <v>1</v>
      </c>
      <c r="T2472" s="84" t="n">
        <f aca="false">IF(AND(ISNUMBER(O2472),ISNUMBER(P2472)),Coef_A+Coef_B1*O2472+Coef_B2*P2472,"")</f>
        <v>22.9698502516702</v>
      </c>
      <c r="U2472" s="84" t="n">
        <f aca="false">IF(AND(R2472=1,ISNUMBER(T2472)),E2472-T2472,"")</f>
        <v>-2.56985025167019</v>
      </c>
      <c r="V2472" s="84" t="n">
        <f aca="false">IF(ISNUMBER(T2472),T2472,-99)</f>
        <v>22.9698502516702</v>
      </c>
      <c r="W2472" s="84" t="n">
        <f aca="false">IF(ISNUMBER(U2472),ABS(U2472),"")</f>
        <v>2.56985025167019</v>
      </c>
    </row>
    <row r="2473" customFormat="false" ht="15" hidden="false" customHeight="false" outlineLevel="0" collapsed="false">
      <c r="A2473" s="57" t="n">
        <v>34843</v>
      </c>
      <c r="B2473" s="56" t="n">
        <v>1995</v>
      </c>
      <c r="C2473" s="56" t="n">
        <v>5</v>
      </c>
      <c r="D2473" s="56" t="n">
        <v>24</v>
      </c>
      <c r="E2473" s="56" t="n">
        <v>20.5</v>
      </c>
      <c r="F2473" s="56" t="n">
        <v>0</v>
      </c>
      <c r="G2473" s="56" t="n">
        <v>10.9</v>
      </c>
      <c r="H2473" s="56" t="n">
        <v>0</v>
      </c>
      <c r="I2473" s="56" t="n">
        <v>15.6</v>
      </c>
      <c r="J2473" s="56" t="n">
        <v>0</v>
      </c>
      <c r="K2473" s="56" t="n">
        <v>1005.4</v>
      </c>
      <c r="L2473" s="56" t="n">
        <v>0</v>
      </c>
      <c r="M2473" s="56" t="n">
        <v>75</v>
      </c>
      <c r="N2473" s="56" t="n">
        <v>3.7</v>
      </c>
      <c r="O2473" s="56" t="n">
        <f aca="false">IF(D2473=1,"",E2472)</f>
        <v>20.4</v>
      </c>
      <c r="P2473" s="56" t="n">
        <f aca="false">IF(OR(D2473=1,K2472=""),"",K2472)</f>
        <v>1010.4</v>
      </c>
      <c r="Q2473" s="56" t="n">
        <f aca="false">IF(OR(F2473&lt;&gt;0,AND(I2473&lt;&gt;"",E2473&lt;I2473)),1,0)</f>
        <v>0</v>
      </c>
      <c r="R2473" s="56" t="n">
        <f aca="false">IF(AND(D2473&gt;1,Q2473=0,ISNUMBER(O2473),ISNUMBER(P2473)),IF(Q2472=0,1,0),0)</f>
        <v>1</v>
      </c>
      <c r="S2473" s="56" t="n">
        <f aca="false">R2473*(B2473&gt;=Train_Start)*(B2473&lt;=Train_End)</f>
        <v>1</v>
      </c>
      <c r="T2473" s="84" t="n">
        <f aca="false">IF(AND(ISNUMBER(O2473),ISNUMBER(P2473)),Coef_A+Coef_B1*O2473+Coef_B2*P2473,"")</f>
        <v>20.4976364982488</v>
      </c>
      <c r="U2473" s="84" t="n">
        <f aca="false">IF(AND(R2473=1,ISNUMBER(T2473)),E2473-T2473,"")</f>
        <v>0.00236350175120847</v>
      </c>
      <c r="V2473" s="84" t="n">
        <f aca="false">IF(ISNUMBER(T2473),T2473,-99)</f>
        <v>20.4976364982488</v>
      </c>
      <c r="W2473" s="84" t="n">
        <f aca="false">IF(ISNUMBER(U2473),ABS(U2473),"")</f>
        <v>0.00236350175120847</v>
      </c>
    </row>
    <row r="2474" customFormat="false" ht="15" hidden="false" customHeight="false" outlineLevel="0" collapsed="false">
      <c r="A2474" s="57" t="n">
        <v>34844</v>
      </c>
      <c r="B2474" s="56" t="n">
        <v>1995</v>
      </c>
      <c r="C2474" s="56" t="n">
        <v>5</v>
      </c>
      <c r="D2474" s="56" t="n">
        <v>25</v>
      </c>
      <c r="E2474" s="56" t="n">
        <v>20.6</v>
      </c>
      <c r="F2474" s="56" t="n">
        <v>0</v>
      </c>
      <c r="G2474" s="56" t="n">
        <v>9.6</v>
      </c>
      <c r="H2474" s="56" t="n">
        <v>0</v>
      </c>
      <c r="I2474" s="56" t="n">
        <v>15</v>
      </c>
      <c r="J2474" s="56" t="n">
        <v>0</v>
      </c>
      <c r="K2474" s="56" t="n">
        <v>1010.6</v>
      </c>
      <c r="L2474" s="56" t="n">
        <v>0</v>
      </c>
      <c r="M2474" s="56" t="n">
        <v>67</v>
      </c>
      <c r="N2474" s="56" t="n">
        <v>12.2</v>
      </c>
      <c r="O2474" s="56" t="n">
        <f aca="false">IF(D2474=1,"",E2473)</f>
        <v>20.5</v>
      </c>
      <c r="P2474" s="56" t="n">
        <f aca="false">IF(OR(D2474=1,K2473=""),"",K2473)</f>
        <v>1005.4</v>
      </c>
      <c r="Q2474" s="56" t="n">
        <f aca="false">IF(OR(F2474&lt;&gt;0,AND(I2474&lt;&gt;"",E2474&lt;I2474)),1,0)</f>
        <v>0</v>
      </c>
      <c r="R2474" s="56" t="n">
        <f aca="false">IF(AND(D2474&gt;1,Q2474=0,ISNUMBER(O2474),ISNUMBER(P2474)),IF(Q2473=0,1,0),0)</f>
        <v>1</v>
      </c>
      <c r="S2474" s="56" t="n">
        <f aca="false">R2474*(B2474&gt;=Train_Start)*(B2474&lt;=Train_End)</f>
        <v>1</v>
      </c>
      <c r="T2474" s="84" t="n">
        <f aca="false">IF(AND(ISNUMBER(O2474),ISNUMBER(P2474)),Coef_A+Coef_B1*O2474+Coef_B2*P2474,"")</f>
        <v>20.4227209443831</v>
      </c>
      <c r="U2474" s="84" t="n">
        <f aca="false">IF(AND(R2474=1,ISNUMBER(T2474)),E2474-T2474,"")</f>
        <v>0.177279055616889</v>
      </c>
      <c r="V2474" s="84" t="n">
        <f aca="false">IF(ISNUMBER(T2474),T2474,-99)</f>
        <v>20.4227209443831</v>
      </c>
      <c r="W2474" s="84" t="n">
        <f aca="false">IF(ISNUMBER(U2474),ABS(U2474),"")</f>
        <v>0.177279055616889</v>
      </c>
    </row>
    <row r="2475" customFormat="false" ht="15" hidden="false" customHeight="false" outlineLevel="0" collapsed="false">
      <c r="A2475" s="57" t="n">
        <v>34845</v>
      </c>
      <c r="B2475" s="56" t="n">
        <v>1995</v>
      </c>
      <c r="C2475" s="56" t="n">
        <v>5</v>
      </c>
      <c r="D2475" s="56" t="n">
        <v>26</v>
      </c>
      <c r="E2475" s="56" t="n">
        <v>21.2</v>
      </c>
      <c r="F2475" s="56" t="n">
        <v>0</v>
      </c>
      <c r="G2475" s="56" t="n">
        <v>9.9</v>
      </c>
      <c r="H2475" s="56" t="n">
        <v>0</v>
      </c>
      <c r="I2475" s="56" t="n">
        <v>15.2</v>
      </c>
      <c r="J2475" s="56" t="n">
        <v>0</v>
      </c>
      <c r="K2475" s="56" t="n">
        <v>1014.7</v>
      </c>
      <c r="L2475" s="56" t="n">
        <v>0</v>
      </c>
      <c r="M2475" s="56" t="n">
        <v>65</v>
      </c>
      <c r="N2475" s="56" t="n">
        <v>11</v>
      </c>
      <c r="O2475" s="56" t="n">
        <f aca="false">IF(D2475=1,"",E2474)</f>
        <v>20.6</v>
      </c>
      <c r="P2475" s="56" t="n">
        <f aca="false">IF(OR(D2475=1,K2474=""),"",K2474)</f>
        <v>1010.6</v>
      </c>
      <c r="Q2475" s="56" t="n">
        <f aca="false">IF(OR(F2475&lt;&gt;0,AND(I2475&lt;&gt;"",E2475&lt;I2475)),1,0)</f>
        <v>0</v>
      </c>
      <c r="R2475" s="56" t="n">
        <f aca="false">IF(AND(D2475&gt;1,Q2475=0,ISNUMBER(O2475),ISNUMBER(P2475)),IF(Q2474=0,1,0),0)</f>
        <v>1</v>
      </c>
      <c r="S2475" s="56" t="n">
        <f aca="false">R2475*(B2475&gt;=Train_Start)*(B2475&lt;=Train_End)</f>
        <v>1</v>
      </c>
      <c r="T2475" s="84" t="n">
        <f aca="false">IF(AND(ISNUMBER(O2475),ISNUMBER(P2475)),Coef_A+Coef_B1*O2475+Coef_B2*P2475,"")</f>
        <v>20.6677783157841</v>
      </c>
      <c r="U2475" s="84" t="n">
        <f aca="false">IF(AND(R2475=1,ISNUMBER(T2475)),E2475-T2475,"")</f>
        <v>0.532221684215873</v>
      </c>
      <c r="V2475" s="84" t="n">
        <f aca="false">IF(ISNUMBER(T2475),T2475,-99)</f>
        <v>20.6677783157841</v>
      </c>
      <c r="W2475" s="84" t="n">
        <f aca="false">IF(ISNUMBER(U2475),ABS(U2475),"")</f>
        <v>0.532221684215873</v>
      </c>
    </row>
    <row r="2476" customFormat="false" ht="15" hidden="false" customHeight="false" outlineLevel="0" collapsed="false">
      <c r="A2476" s="57" t="n">
        <v>34846</v>
      </c>
      <c r="B2476" s="56" t="n">
        <v>1995</v>
      </c>
      <c r="C2476" s="56" t="n">
        <v>5</v>
      </c>
      <c r="D2476" s="56" t="n">
        <v>27</v>
      </c>
      <c r="E2476" s="56" t="n">
        <v>21.1</v>
      </c>
      <c r="F2476" s="56" t="n">
        <v>0</v>
      </c>
      <c r="G2476" s="56" t="n">
        <v>12.2</v>
      </c>
      <c r="H2476" s="56" t="n">
        <v>0</v>
      </c>
      <c r="I2476" s="56" t="n">
        <v>16.7</v>
      </c>
      <c r="J2476" s="56" t="n">
        <v>0</v>
      </c>
      <c r="K2476" s="56" t="n">
        <v>1014.2</v>
      </c>
      <c r="L2476" s="56" t="n">
        <v>0</v>
      </c>
      <c r="M2476" s="56" t="n">
        <v>68</v>
      </c>
      <c r="N2476" s="56" t="n">
        <v>4.7</v>
      </c>
      <c r="O2476" s="56" t="n">
        <f aca="false">IF(D2476=1,"",E2475)</f>
        <v>21.2</v>
      </c>
      <c r="P2476" s="56" t="n">
        <f aca="false">IF(OR(D2476=1,K2475=""),"",K2475)</f>
        <v>1014.7</v>
      </c>
      <c r="Q2476" s="56" t="n">
        <f aca="false">IF(OR(F2476&lt;&gt;0,AND(I2476&lt;&gt;"",E2476&lt;I2476)),1,0)</f>
        <v>0</v>
      </c>
      <c r="R2476" s="56" t="n">
        <f aca="false">IF(AND(D2476&gt;1,Q2476=0,ISNUMBER(O2476),ISNUMBER(P2476)),IF(Q2475=0,1,0),0)</f>
        <v>1</v>
      </c>
      <c r="S2476" s="56" t="n">
        <f aca="false">R2476*(B2476&gt;=Train_Start)*(B2476&lt;=Train_End)</f>
        <v>1</v>
      </c>
      <c r="T2476" s="84" t="n">
        <f aca="false">IF(AND(ISNUMBER(O2476),ISNUMBER(P2476)),Coef_A+Coef_B1*O2476+Coef_B2*P2476,"")</f>
        <v>21.2879983996091</v>
      </c>
      <c r="U2476" s="84" t="n">
        <f aca="false">IF(AND(R2476=1,ISNUMBER(T2476)),E2476-T2476,"")</f>
        <v>-0.187998399609075</v>
      </c>
      <c r="V2476" s="84" t="n">
        <f aca="false">IF(ISNUMBER(T2476),T2476,-99)</f>
        <v>21.2879983996091</v>
      </c>
      <c r="W2476" s="84" t="n">
        <f aca="false">IF(ISNUMBER(U2476),ABS(U2476),"")</f>
        <v>0.187998399609075</v>
      </c>
    </row>
    <row r="2477" customFormat="false" ht="15" hidden="false" customHeight="false" outlineLevel="0" collapsed="false">
      <c r="A2477" s="57" t="n">
        <v>34847</v>
      </c>
      <c r="B2477" s="56" t="n">
        <v>1995</v>
      </c>
      <c r="C2477" s="56" t="n">
        <v>5</v>
      </c>
      <c r="D2477" s="56" t="n">
        <v>28</v>
      </c>
      <c r="E2477" s="56" t="n">
        <v>20.2</v>
      </c>
      <c r="F2477" s="56" t="n">
        <v>0</v>
      </c>
      <c r="G2477" s="56" t="n">
        <v>13</v>
      </c>
      <c r="H2477" s="56" t="n">
        <v>0</v>
      </c>
      <c r="I2477" s="56" t="n">
        <v>17</v>
      </c>
      <c r="J2477" s="56" t="n">
        <v>0</v>
      </c>
      <c r="K2477" s="56" t="n">
        <v>1012.2</v>
      </c>
      <c r="L2477" s="56" t="n">
        <v>0</v>
      </c>
      <c r="M2477" s="56" t="n">
        <v>71</v>
      </c>
      <c r="N2477" s="56" t="n">
        <v>7</v>
      </c>
      <c r="O2477" s="56" t="n">
        <f aca="false">IF(D2477=1,"",E2476)</f>
        <v>21.1</v>
      </c>
      <c r="P2477" s="56" t="n">
        <f aca="false">IF(OR(D2477=1,K2476=""),"",K2476)</f>
        <v>1014.2</v>
      </c>
      <c r="Q2477" s="56" t="n">
        <f aca="false">IF(OR(F2477&lt;&gt;0,AND(I2477&lt;&gt;"",E2477&lt;I2477)),1,0)</f>
        <v>0</v>
      </c>
      <c r="R2477" s="56" t="n">
        <f aca="false">IF(AND(D2477&gt;1,Q2477=0,ISNUMBER(O2477),ISNUMBER(P2477)),IF(Q2476=0,1,0),0)</f>
        <v>1</v>
      </c>
      <c r="S2477" s="56" t="n">
        <f aca="false">R2477*(B2477&gt;=Train_Start)*(B2477&lt;=Train_End)</f>
        <v>1</v>
      </c>
      <c r="T2477" s="84" t="n">
        <f aca="false">IF(AND(ISNUMBER(O2477),ISNUMBER(P2477)),Coef_A+Coef_B1*O2477+Coef_B2*P2477,"")</f>
        <v>21.1903795329878</v>
      </c>
      <c r="U2477" s="84" t="n">
        <f aca="false">IF(AND(R2477=1,ISNUMBER(T2477)),E2477-T2477,"")</f>
        <v>-0.990379532987816</v>
      </c>
      <c r="V2477" s="84" t="n">
        <f aca="false">IF(ISNUMBER(T2477),T2477,-99)</f>
        <v>21.1903795329878</v>
      </c>
      <c r="W2477" s="84" t="n">
        <f aca="false">IF(ISNUMBER(U2477),ABS(U2477),"")</f>
        <v>0.990379532987816</v>
      </c>
    </row>
    <row r="2478" customFormat="false" ht="15" hidden="false" customHeight="false" outlineLevel="0" collapsed="false">
      <c r="A2478" s="57" t="n">
        <v>34848</v>
      </c>
      <c r="B2478" s="56" t="n">
        <v>1995</v>
      </c>
      <c r="C2478" s="56" t="n">
        <v>5</v>
      </c>
      <c r="D2478" s="56" t="n">
        <v>29</v>
      </c>
      <c r="E2478" s="56" t="n">
        <v>18.9</v>
      </c>
      <c r="F2478" s="56" t="n">
        <v>0</v>
      </c>
      <c r="G2478" s="56" t="n">
        <v>10.5</v>
      </c>
      <c r="H2478" s="56" t="n">
        <v>0</v>
      </c>
      <c r="I2478" s="56" t="n">
        <v>15.4</v>
      </c>
      <c r="J2478" s="56" t="n">
        <v>0</v>
      </c>
      <c r="K2478" s="56" t="n">
        <v>1015.7</v>
      </c>
      <c r="L2478" s="56" t="n">
        <v>0</v>
      </c>
      <c r="M2478" s="56" t="n">
        <v>71</v>
      </c>
      <c r="N2478" s="56" t="n">
        <v>7</v>
      </c>
      <c r="O2478" s="56" t="n">
        <f aca="false">IF(D2478=1,"",E2477)</f>
        <v>20.2</v>
      </c>
      <c r="P2478" s="56" t="n">
        <f aca="false">IF(OR(D2478=1,K2477=""),"",K2477)</f>
        <v>1012.2</v>
      </c>
      <c r="Q2478" s="56" t="n">
        <f aca="false">IF(OR(F2478&lt;&gt;0,AND(I2478&lt;&gt;"",E2478&lt;I2478)),1,0)</f>
        <v>0</v>
      </c>
      <c r="R2478" s="56" t="n">
        <f aca="false">IF(AND(D2478&gt;1,Q2478=0,ISNUMBER(O2478),ISNUMBER(P2478)),IF(Q2477=0,1,0),0)</f>
        <v>1</v>
      </c>
      <c r="S2478" s="56" t="n">
        <f aca="false">R2478*(B2478&gt;=Train_Start)*(B2478&lt;=Train_End)</f>
        <v>1</v>
      </c>
      <c r="T2478" s="84" t="n">
        <f aca="false">IF(AND(ISNUMBER(O2478),ISNUMBER(P2478)),Coef_A+Coef_B1*O2478+Coef_B2*P2478,"")</f>
        <v>20.3902344699814</v>
      </c>
      <c r="U2478" s="84" t="n">
        <f aca="false">IF(AND(R2478=1,ISNUMBER(T2478)),E2478-T2478,"")</f>
        <v>-1.49023446998145</v>
      </c>
      <c r="V2478" s="84" t="n">
        <f aca="false">IF(ISNUMBER(T2478),T2478,-99)</f>
        <v>20.3902344699814</v>
      </c>
      <c r="W2478" s="84" t="n">
        <f aca="false">IF(ISNUMBER(U2478),ABS(U2478),"")</f>
        <v>1.49023446998145</v>
      </c>
    </row>
    <row r="2479" customFormat="false" ht="15" hidden="false" customHeight="false" outlineLevel="0" collapsed="false">
      <c r="A2479" s="57" t="n">
        <v>34849</v>
      </c>
      <c r="B2479" s="56" t="n">
        <v>1995</v>
      </c>
      <c r="C2479" s="56" t="n">
        <v>5</v>
      </c>
      <c r="D2479" s="56" t="n">
        <v>30</v>
      </c>
      <c r="E2479" s="56" t="n">
        <v>20.4</v>
      </c>
      <c r="F2479" s="56" t="n">
        <v>0</v>
      </c>
      <c r="G2479" s="56" t="n">
        <v>10</v>
      </c>
      <c r="H2479" s="56" t="n">
        <v>0</v>
      </c>
      <c r="I2479" s="56" t="n">
        <v>14.4</v>
      </c>
      <c r="J2479" s="56" t="n">
        <v>0</v>
      </c>
      <c r="K2479" s="56" t="n">
        <v>1018.9</v>
      </c>
      <c r="L2479" s="56" t="n">
        <v>0</v>
      </c>
      <c r="M2479" s="56" t="n">
        <v>86</v>
      </c>
      <c r="N2479" s="56" t="n">
        <v>1.7</v>
      </c>
      <c r="O2479" s="56" t="n">
        <f aca="false">IF(D2479=1,"",E2478)</f>
        <v>18.9</v>
      </c>
      <c r="P2479" s="56" t="n">
        <f aca="false">IF(OR(D2479=1,K2478=""),"",K2478)</f>
        <v>1015.7</v>
      </c>
      <c r="Q2479" s="56" t="n">
        <f aca="false">IF(OR(F2479&lt;&gt;0,AND(I2479&lt;&gt;"",E2479&lt;I2479)),1,0)</f>
        <v>0</v>
      </c>
      <c r="R2479" s="56" t="n">
        <f aca="false">IF(AND(D2479&gt;1,Q2479=0,ISNUMBER(O2479),ISNUMBER(P2479)),IF(Q2478=0,1,0),0)</f>
        <v>1</v>
      </c>
      <c r="S2479" s="56" t="n">
        <f aca="false">R2479*(B2479&gt;=Train_Start)*(B2479&lt;=Train_End)</f>
        <v>1</v>
      </c>
      <c r="T2479" s="84" t="n">
        <f aca="false">IF(AND(ISNUMBER(O2479),ISNUMBER(P2479)),Coef_A+Coef_B1*O2479+Coef_B2*P2479,"")</f>
        <v>19.434888150245</v>
      </c>
      <c r="U2479" s="84" t="n">
        <f aca="false">IF(AND(R2479=1,ISNUMBER(T2479)),E2479-T2479,"")</f>
        <v>0.965111849755047</v>
      </c>
      <c r="V2479" s="84" t="n">
        <f aca="false">IF(ISNUMBER(T2479),T2479,-99)</f>
        <v>19.434888150245</v>
      </c>
      <c r="W2479" s="84" t="n">
        <f aca="false">IF(ISNUMBER(U2479),ABS(U2479),"")</f>
        <v>0.965111849755047</v>
      </c>
    </row>
    <row r="2480" customFormat="false" ht="15" hidden="false" customHeight="false" outlineLevel="0" collapsed="false">
      <c r="A2480" s="57" t="n">
        <v>34850</v>
      </c>
      <c r="B2480" s="56" t="n">
        <v>1995</v>
      </c>
      <c r="C2480" s="56" t="n">
        <v>5</v>
      </c>
      <c r="D2480" s="56" t="n">
        <v>31</v>
      </c>
      <c r="E2480" s="56" t="n">
        <v>18.7</v>
      </c>
      <c r="F2480" s="56" t="n">
        <v>0</v>
      </c>
      <c r="G2480" s="56" t="n">
        <v>10.9</v>
      </c>
      <c r="H2480" s="56" t="n">
        <v>0</v>
      </c>
      <c r="I2480" s="56" t="n">
        <v>15.6</v>
      </c>
      <c r="J2480" s="56" t="n">
        <v>0</v>
      </c>
      <c r="K2480" s="56" t="n">
        <v>1021</v>
      </c>
      <c r="L2480" s="56" t="n">
        <v>0</v>
      </c>
      <c r="M2480" s="56" t="n">
        <v>70</v>
      </c>
      <c r="N2480" s="56" t="n">
        <v>7.6</v>
      </c>
      <c r="O2480" s="56" t="n">
        <f aca="false">IF(D2480=1,"",E2479)</f>
        <v>20.4</v>
      </c>
      <c r="P2480" s="56" t="n">
        <f aca="false">IF(OR(D2480=1,K2479=""),"",K2479)</f>
        <v>1018.9</v>
      </c>
      <c r="Q2480" s="56" t="n">
        <f aca="false">IF(OR(F2480&lt;&gt;0,AND(I2480&lt;&gt;"",E2480&lt;I2480)),1,0)</f>
        <v>0</v>
      </c>
      <c r="R2480" s="56" t="n">
        <f aca="false">IF(AND(D2480&gt;1,Q2480=0,ISNUMBER(O2480),ISNUMBER(P2480)),IF(Q2479=0,1,0),0)</f>
        <v>1</v>
      </c>
      <c r="S2480" s="56" t="n">
        <f aca="false">R2480*(B2480&gt;=Train_Start)*(B2480&lt;=Train_End)</f>
        <v>1</v>
      </c>
      <c r="T2480" s="84" t="n">
        <f aca="false">IF(AND(ISNUMBER(O2480),ISNUMBER(P2480)),Coef_A+Coef_B1*O2480+Coef_B2*P2480,"")</f>
        <v>20.7642806026377</v>
      </c>
      <c r="U2480" s="84" t="n">
        <f aca="false">IF(AND(R2480=1,ISNUMBER(T2480)),E2480-T2480,"")</f>
        <v>-2.06428060263771</v>
      </c>
      <c r="V2480" s="84" t="n">
        <f aca="false">IF(ISNUMBER(T2480),T2480,-99)</f>
        <v>20.7642806026377</v>
      </c>
      <c r="W2480" s="84" t="n">
        <f aca="false">IF(ISNUMBER(U2480),ABS(U2480),"")</f>
        <v>2.06428060263771</v>
      </c>
    </row>
    <row r="2481" customFormat="false" ht="15" hidden="false" customHeight="false" outlineLevel="0" collapsed="false">
      <c r="A2481" s="57" t="n">
        <v>34851</v>
      </c>
      <c r="B2481" s="56" t="n">
        <v>1995</v>
      </c>
      <c r="C2481" s="56" t="n">
        <v>6</v>
      </c>
      <c r="D2481" s="56" t="n">
        <v>32</v>
      </c>
      <c r="E2481" s="56" t="n">
        <v>18.8</v>
      </c>
      <c r="F2481" s="56" t="n">
        <v>0</v>
      </c>
      <c r="G2481" s="56" t="n">
        <v>7.9</v>
      </c>
      <c r="H2481" s="56" t="n">
        <v>0</v>
      </c>
      <c r="I2481" s="56" t="n">
        <v>13.3</v>
      </c>
      <c r="J2481" s="56" t="n">
        <v>0</v>
      </c>
      <c r="K2481" s="56" t="n">
        <v>1018.9</v>
      </c>
      <c r="L2481" s="56" t="n">
        <v>0</v>
      </c>
      <c r="M2481" s="56" t="n">
        <v>70</v>
      </c>
      <c r="N2481" s="56" t="n">
        <v>2</v>
      </c>
      <c r="O2481" s="56" t="n">
        <f aca="false">IF(D2481=1,"",E2480)</f>
        <v>18.7</v>
      </c>
      <c r="P2481" s="56" t="n">
        <f aca="false">IF(OR(D2481=1,K2480=""),"",K2480)</f>
        <v>1021</v>
      </c>
      <c r="Q2481" s="56" t="n">
        <f aca="false">IF(OR(F2481&lt;&gt;0,AND(I2481&lt;&gt;"",E2481&lt;I2481)),1,0)</f>
        <v>0</v>
      </c>
      <c r="R2481" s="56" t="n">
        <f aca="false">IF(AND(D2481&gt;1,Q2481=0,ISNUMBER(O2481),ISNUMBER(P2481)),IF(Q2480=0,1,0),0)</f>
        <v>1</v>
      </c>
      <c r="S2481" s="56" t="n">
        <f aca="false">R2481*(B2481&gt;=Train_Start)*(B2481&lt;=Train_End)</f>
        <v>1</v>
      </c>
      <c r="T2481" s="84" t="n">
        <f aca="false">IF(AND(ISNUMBER(O2481),ISNUMBER(P2481)),Coef_A+Coef_B1*O2481+Coef_B2*P2481,"")</f>
        <v>19.4372807531966</v>
      </c>
      <c r="U2481" s="84" t="n">
        <f aca="false">IF(AND(R2481=1,ISNUMBER(T2481)),E2481-T2481,"")</f>
        <v>-0.63728075319656</v>
      </c>
      <c r="V2481" s="84" t="n">
        <f aca="false">IF(ISNUMBER(T2481),T2481,-99)</f>
        <v>19.4372807531966</v>
      </c>
      <c r="W2481" s="84" t="n">
        <f aca="false">IF(ISNUMBER(U2481),ABS(U2481),"")</f>
        <v>0.63728075319656</v>
      </c>
    </row>
    <row r="2482" customFormat="false" ht="15" hidden="false" customHeight="false" outlineLevel="0" collapsed="false">
      <c r="A2482" s="57" t="n">
        <v>34852</v>
      </c>
      <c r="B2482" s="56" t="n">
        <v>1995</v>
      </c>
      <c r="C2482" s="56" t="n">
        <v>6</v>
      </c>
      <c r="D2482" s="56" t="n">
        <v>33</v>
      </c>
      <c r="E2482" s="56" t="n">
        <v>15.9</v>
      </c>
      <c r="F2482" s="56" t="n">
        <v>0</v>
      </c>
      <c r="G2482" s="56" t="n">
        <v>11</v>
      </c>
      <c r="H2482" s="56" t="n">
        <v>0</v>
      </c>
      <c r="I2482" s="56" t="n">
        <v>14.9</v>
      </c>
      <c r="J2482" s="56" t="n">
        <v>0</v>
      </c>
      <c r="K2482" s="56" t="n">
        <v>1016.5</v>
      </c>
      <c r="L2482" s="56" t="n">
        <v>0</v>
      </c>
      <c r="M2482" s="56" t="n">
        <v>62</v>
      </c>
      <c r="N2482" s="56" t="n">
        <v>5.8</v>
      </c>
      <c r="O2482" s="56" t="n">
        <f aca="false">IF(D2482=1,"",E2481)</f>
        <v>18.8</v>
      </c>
      <c r="P2482" s="56" t="n">
        <f aca="false">IF(OR(D2482=1,K2481=""),"",K2481)</f>
        <v>1018.9</v>
      </c>
      <c r="Q2482" s="56" t="n">
        <f aca="false">IF(OR(F2482&lt;&gt;0,AND(I2482&lt;&gt;"",E2482&lt;I2482)),1,0)</f>
        <v>0</v>
      </c>
      <c r="R2482" s="56" t="n">
        <f aca="false">IF(AND(D2482&gt;1,Q2482=0,ISNUMBER(O2482),ISNUMBER(P2482)),IF(Q2481=0,1,0),0)</f>
        <v>1</v>
      </c>
      <c r="S2482" s="56" t="n">
        <f aca="false">R2482*(B2482&gt;=Train_Start)*(B2482&lt;=Train_End)</f>
        <v>1</v>
      </c>
      <c r="T2482" s="84" t="n">
        <f aca="false">IF(AND(ISNUMBER(O2482),ISNUMBER(P2482)),Coef_A+Coef_B1*O2482+Coef_B2*P2482,"")</f>
        <v>19.4533378937695</v>
      </c>
      <c r="U2482" s="84" t="n">
        <f aca="false">IF(AND(R2482=1,ISNUMBER(T2482)),E2482-T2482,"")</f>
        <v>-3.55333789376945</v>
      </c>
      <c r="V2482" s="84" t="n">
        <f aca="false">IF(ISNUMBER(T2482),T2482,-99)</f>
        <v>19.4533378937695</v>
      </c>
      <c r="W2482" s="84" t="n">
        <f aca="false">IF(ISNUMBER(U2482),ABS(U2482),"")</f>
        <v>3.55333789376945</v>
      </c>
    </row>
    <row r="2483" customFormat="false" ht="15" hidden="false" customHeight="false" outlineLevel="0" collapsed="false">
      <c r="A2483" s="57" t="n">
        <v>34853</v>
      </c>
      <c r="B2483" s="56" t="n">
        <v>1995</v>
      </c>
      <c r="C2483" s="56" t="n">
        <v>6</v>
      </c>
      <c r="D2483" s="56" t="n">
        <v>34</v>
      </c>
      <c r="E2483" s="56" t="n">
        <v>16.2</v>
      </c>
      <c r="F2483" s="56" t="n">
        <v>0</v>
      </c>
      <c r="G2483" s="56" t="n">
        <v>12</v>
      </c>
      <c r="H2483" s="56" t="n">
        <v>0</v>
      </c>
      <c r="I2483" s="56" t="n">
        <v>14</v>
      </c>
      <c r="J2483" s="56" t="n">
        <v>0</v>
      </c>
      <c r="K2483" s="56" t="n">
        <v>1013.1</v>
      </c>
      <c r="L2483" s="56" t="n">
        <v>0</v>
      </c>
      <c r="M2483" s="56" t="n">
        <v>83</v>
      </c>
      <c r="N2483" s="56" t="n">
        <v>0</v>
      </c>
      <c r="O2483" s="56" t="n">
        <f aca="false">IF(D2483=1,"",E2482)</f>
        <v>15.9</v>
      </c>
      <c r="P2483" s="56" t="n">
        <f aca="false">IF(OR(D2483=1,K2482=""),"",K2482)</f>
        <v>1016.5</v>
      </c>
      <c r="Q2483" s="56" t="n">
        <f aca="false">IF(OR(F2483&lt;&gt;0,AND(I2483&lt;&gt;"",E2483&lt;I2483)),1,0)</f>
        <v>0</v>
      </c>
      <c r="R2483" s="56" t="n">
        <f aca="false">IF(AND(D2483&gt;1,Q2483=0,ISNUMBER(O2483),ISNUMBER(P2483)),IF(Q2482=0,1,0),0)</f>
        <v>1</v>
      </c>
      <c r="S2483" s="56" t="n">
        <f aca="false">R2483*(B2483&gt;=Train_Start)*(B2483&lt;=Train_End)</f>
        <v>1</v>
      </c>
      <c r="T2483" s="84" t="n">
        <f aca="false">IF(AND(ISNUMBER(O2483),ISNUMBER(P2483)),Coef_A+Coef_B1*O2483+Coef_B2*P2483,"")</f>
        <v>17.0019664868242</v>
      </c>
      <c r="U2483" s="84" t="n">
        <f aca="false">IF(AND(R2483=1,ISNUMBER(T2483)),E2483-T2483,"")</f>
        <v>-0.801966486824174</v>
      </c>
      <c r="V2483" s="84" t="n">
        <f aca="false">IF(ISNUMBER(T2483),T2483,-99)</f>
        <v>17.0019664868242</v>
      </c>
      <c r="W2483" s="84" t="n">
        <f aca="false">IF(ISNUMBER(U2483),ABS(U2483),"")</f>
        <v>0.801966486824174</v>
      </c>
    </row>
    <row r="2484" customFormat="false" ht="15" hidden="false" customHeight="false" outlineLevel="0" collapsed="false">
      <c r="A2484" s="57" t="n">
        <v>34854</v>
      </c>
      <c r="B2484" s="56" t="n">
        <v>1995</v>
      </c>
      <c r="C2484" s="56" t="n">
        <v>6</v>
      </c>
      <c r="D2484" s="56" t="n">
        <v>35</v>
      </c>
      <c r="E2484" s="56" t="n">
        <v>18.4</v>
      </c>
      <c r="F2484" s="56" t="n">
        <v>0</v>
      </c>
      <c r="G2484" s="56" t="n">
        <v>11.6</v>
      </c>
      <c r="H2484" s="56" t="n">
        <v>0</v>
      </c>
      <c r="I2484" s="56" t="n">
        <v>13.9</v>
      </c>
      <c r="J2484" s="56" t="n">
        <v>0</v>
      </c>
      <c r="K2484" s="56" t="n">
        <v>1014.4</v>
      </c>
      <c r="L2484" s="56" t="n">
        <v>0</v>
      </c>
      <c r="M2484" s="56" t="n">
        <v>78</v>
      </c>
      <c r="N2484" s="56" t="n">
        <v>0.7</v>
      </c>
      <c r="O2484" s="56" t="n">
        <f aca="false">IF(D2484=1,"",E2483)</f>
        <v>16.2</v>
      </c>
      <c r="P2484" s="56" t="n">
        <f aca="false">IF(OR(D2484=1,K2483=""),"",K2483)</f>
        <v>1013.1</v>
      </c>
      <c r="Q2484" s="56" t="n">
        <f aca="false">IF(OR(F2484&lt;&gt;0,AND(I2484&lt;&gt;"",E2484&lt;I2484)),1,0)</f>
        <v>0</v>
      </c>
      <c r="R2484" s="56" t="n">
        <f aca="false">IF(AND(D2484&gt;1,Q2484=0,ISNUMBER(O2484),ISNUMBER(P2484)),IF(Q2483=0,1,0),0)</f>
        <v>1</v>
      </c>
      <c r="S2484" s="56" t="n">
        <f aca="false">R2484*(B2484&gt;=Train_Start)*(B2484&lt;=Train_End)</f>
        <v>1</v>
      </c>
      <c r="T2484" s="84" t="n">
        <f aca="false">IF(AND(ISNUMBER(O2484),ISNUMBER(P2484)),Coef_A+Coef_B1*O2484+Coef_B2*P2484,"")</f>
        <v>17.1411106029814</v>
      </c>
      <c r="U2484" s="84" t="n">
        <f aca="false">IF(AND(R2484=1,ISNUMBER(T2484)),E2484-T2484,"")</f>
        <v>1.25888939701859</v>
      </c>
      <c r="V2484" s="84" t="n">
        <f aca="false">IF(ISNUMBER(T2484),T2484,-99)</f>
        <v>17.1411106029814</v>
      </c>
      <c r="W2484" s="84" t="n">
        <f aca="false">IF(ISNUMBER(U2484),ABS(U2484),"")</f>
        <v>1.25888939701859</v>
      </c>
    </row>
    <row r="2485" customFormat="false" ht="15" hidden="false" customHeight="false" outlineLevel="0" collapsed="false">
      <c r="A2485" s="57" t="n">
        <v>34855</v>
      </c>
      <c r="B2485" s="56" t="n">
        <v>1995</v>
      </c>
      <c r="C2485" s="56" t="n">
        <v>6</v>
      </c>
      <c r="D2485" s="56" t="n">
        <v>36</v>
      </c>
      <c r="E2485" s="56" t="n">
        <v>17.7</v>
      </c>
      <c r="F2485" s="56" t="n">
        <v>0</v>
      </c>
      <c r="G2485" s="56" t="n">
        <v>10.8</v>
      </c>
      <c r="H2485" s="56" t="n">
        <v>0</v>
      </c>
      <c r="I2485" s="56" t="n">
        <v>14.6</v>
      </c>
      <c r="J2485" s="56" t="n">
        <v>0</v>
      </c>
      <c r="K2485" s="56" t="n">
        <v>1022.5</v>
      </c>
      <c r="L2485" s="56" t="n">
        <v>0</v>
      </c>
      <c r="M2485" s="56" t="n">
        <v>66</v>
      </c>
      <c r="N2485" s="56" t="n">
        <v>4.8</v>
      </c>
      <c r="O2485" s="56" t="n">
        <f aca="false">IF(D2485=1,"",E2484)</f>
        <v>18.4</v>
      </c>
      <c r="P2485" s="56" t="n">
        <f aca="false">IF(OR(D2485=1,K2484=""),"",K2484)</f>
        <v>1014.4</v>
      </c>
      <c r="Q2485" s="56" t="n">
        <f aca="false">IF(OR(F2485&lt;&gt;0,AND(I2485&lt;&gt;"",E2485&lt;I2485)),1,0)</f>
        <v>0</v>
      </c>
      <c r="R2485" s="56" t="n">
        <f aca="false">IF(AND(D2485&gt;1,Q2485=0,ISNUMBER(O2485),ISNUMBER(P2485)),IF(Q2484=0,1,0),0)</f>
        <v>1</v>
      </c>
      <c r="S2485" s="56" t="n">
        <f aca="false">R2485*(B2485&gt;=Train_Start)*(B2485&lt;=Train_End)</f>
        <v>1</v>
      </c>
      <c r="T2485" s="84" t="n">
        <f aca="false">IF(AND(ISNUMBER(O2485),ISNUMBER(P2485)),Coef_A+Coef_B1*O2485+Coef_B2*P2485,"")</f>
        <v>18.9844376906994</v>
      </c>
      <c r="U2485" s="84" t="n">
        <f aca="false">IF(AND(R2485=1,ISNUMBER(T2485)),E2485-T2485,"")</f>
        <v>-1.28443769069944</v>
      </c>
      <c r="V2485" s="84" t="n">
        <f aca="false">IF(ISNUMBER(T2485),T2485,-99)</f>
        <v>18.9844376906994</v>
      </c>
      <c r="W2485" s="84" t="n">
        <f aca="false">IF(ISNUMBER(U2485),ABS(U2485),"")</f>
        <v>1.28443769069944</v>
      </c>
    </row>
    <row r="2486" customFormat="false" ht="15" hidden="false" customHeight="false" outlineLevel="0" collapsed="false">
      <c r="A2486" s="57" t="n">
        <v>34856</v>
      </c>
      <c r="B2486" s="56" t="n">
        <v>1995</v>
      </c>
      <c r="C2486" s="56" t="n">
        <v>6</v>
      </c>
      <c r="D2486" s="56" t="n">
        <v>37</v>
      </c>
      <c r="E2486" s="56" t="n">
        <v>20.1</v>
      </c>
      <c r="F2486" s="56" t="n">
        <v>0</v>
      </c>
      <c r="G2486" s="56" t="n">
        <v>11</v>
      </c>
      <c r="H2486" s="56" t="n">
        <v>0</v>
      </c>
      <c r="I2486" s="56" t="n">
        <v>14.4</v>
      </c>
      <c r="J2486" s="56" t="n">
        <v>0</v>
      </c>
      <c r="K2486" s="56" t="n">
        <v>1023.3</v>
      </c>
      <c r="L2486" s="56" t="n">
        <v>0</v>
      </c>
      <c r="M2486" s="56" t="n">
        <v>70</v>
      </c>
      <c r="N2486" s="56" t="n">
        <v>0.5</v>
      </c>
      <c r="O2486" s="56" t="n">
        <f aca="false">IF(D2486=1,"",E2485)</f>
        <v>17.7</v>
      </c>
      <c r="P2486" s="56" t="n">
        <f aca="false">IF(OR(D2486=1,K2485=""),"",K2485)</f>
        <v>1022.5</v>
      </c>
      <c r="Q2486" s="56" t="n">
        <f aca="false">IF(OR(F2486&lt;&gt;0,AND(I2486&lt;&gt;"",E2486&lt;I2486)),1,0)</f>
        <v>0</v>
      </c>
      <c r="R2486" s="56" t="n">
        <f aca="false">IF(AND(D2486&gt;1,Q2486=0,ISNUMBER(O2486),ISNUMBER(P2486)),IF(Q2485=0,1,0),0)</f>
        <v>1</v>
      </c>
      <c r="S2486" s="56" t="n">
        <f aca="false">R2486*(B2486&gt;=Train_Start)*(B2486&lt;=Train_End)</f>
        <v>1</v>
      </c>
      <c r="T2486" s="84" t="n">
        <f aca="false">IF(AND(ISNUMBER(O2486),ISNUMBER(P2486)),Coef_A+Coef_B1*O2486+Coef_B2*P2486,"")</f>
        <v>18.6649964021049</v>
      </c>
      <c r="U2486" s="84" t="n">
        <f aca="false">IF(AND(R2486=1,ISNUMBER(T2486)),E2486-T2486,"")</f>
        <v>1.43500359789511</v>
      </c>
      <c r="V2486" s="84" t="n">
        <f aca="false">IF(ISNUMBER(T2486),T2486,-99)</f>
        <v>18.6649964021049</v>
      </c>
      <c r="W2486" s="84" t="n">
        <f aca="false">IF(ISNUMBER(U2486),ABS(U2486),"")</f>
        <v>1.43500359789511</v>
      </c>
    </row>
    <row r="2487" customFormat="false" ht="15" hidden="false" customHeight="false" outlineLevel="0" collapsed="false">
      <c r="A2487" s="57" t="n">
        <v>34857</v>
      </c>
      <c r="B2487" s="56" t="n">
        <v>1995</v>
      </c>
      <c r="C2487" s="56" t="n">
        <v>6</v>
      </c>
      <c r="D2487" s="56" t="n">
        <v>38</v>
      </c>
      <c r="E2487" s="56" t="n">
        <v>16.9</v>
      </c>
      <c r="F2487" s="56" t="n">
        <v>1</v>
      </c>
      <c r="G2487" s="56" t="n">
        <v>13.8</v>
      </c>
      <c r="H2487" s="56" t="n">
        <v>0</v>
      </c>
      <c r="I2487" s="56" t="n">
        <v>17</v>
      </c>
      <c r="J2487" s="56" t="n">
        <v>1</v>
      </c>
      <c r="K2487" s="56" t="n">
        <v>1017.5</v>
      </c>
      <c r="L2487" s="56" t="n">
        <v>0</v>
      </c>
      <c r="M2487" s="56" t="n">
        <v>69</v>
      </c>
      <c r="N2487" s="56" t="n">
        <v>5.4</v>
      </c>
      <c r="O2487" s="56" t="n">
        <f aca="false">IF(D2487=1,"",E2486)</f>
        <v>20.1</v>
      </c>
      <c r="P2487" s="56" t="n">
        <f aca="false">IF(OR(D2487=1,K2486=""),"",K2486)</f>
        <v>1023.3</v>
      </c>
      <c r="Q2487" s="56" t="n">
        <f aca="false">IF(OR(F2487&lt;&gt;0,AND(I2487&lt;&gt;"",E2487&lt;I2487)),1,0)</f>
        <v>1</v>
      </c>
      <c r="R2487" s="56" t="n">
        <f aca="false">IF(AND(D2487&gt;1,Q2487=0,ISNUMBER(O2487),ISNUMBER(P2487)),IF(Q2486=0,1,0),0)</f>
        <v>0</v>
      </c>
      <c r="S2487" s="56" t="n">
        <f aca="false">R2487*(B2487&gt;=Train_Start)*(B2487&lt;=Train_End)</f>
        <v>0</v>
      </c>
      <c r="T2487" s="84" t="n">
        <f aca="false">IF(AND(ISNUMBER(O2487),ISNUMBER(P2487)),Coef_A+Coef_B1*O2487+Coef_B2*P2487,"")</f>
        <v>20.6565063811145</v>
      </c>
      <c r="U2487" s="84" t="str">
        <f aca="false">IF(AND(R2487=1,ISNUMBER(T2487)),E2487-T2487,"")</f>
        <v/>
      </c>
      <c r="V2487" s="84" t="n">
        <f aca="false">IF(ISNUMBER(T2487),T2487,-99)</f>
        <v>20.6565063811145</v>
      </c>
      <c r="W2487" s="84" t="str">
        <f aca="false">IF(ISNUMBER(U2487),ABS(U2487),"")</f>
        <v/>
      </c>
    </row>
    <row r="2488" customFormat="false" ht="15" hidden="false" customHeight="false" outlineLevel="0" collapsed="false">
      <c r="A2488" s="57" t="n">
        <v>34858</v>
      </c>
      <c r="B2488" s="56" t="n">
        <v>1995</v>
      </c>
      <c r="C2488" s="56" t="n">
        <v>6</v>
      </c>
      <c r="D2488" s="56" t="n">
        <v>39</v>
      </c>
      <c r="E2488" s="56" t="n">
        <v>18.5</v>
      </c>
      <c r="F2488" s="56" t="n">
        <v>0</v>
      </c>
      <c r="G2488" s="56" t="n">
        <v>7.7</v>
      </c>
      <c r="H2488" s="56" t="n">
        <v>0</v>
      </c>
      <c r="I2488" s="56" t="n">
        <v>12.3</v>
      </c>
      <c r="J2488" s="56" t="n">
        <v>0</v>
      </c>
      <c r="K2488" s="56" t="n">
        <v>1018.7</v>
      </c>
      <c r="L2488" s="56" t="n">
        <v>0</v>
      </c>
      <c r="M2488" s="56" t="n">
        <v>63</v>
      </c>
      <c r="N2488" s="56" t="n">
        <v>8.3</v>
      </c>
      <c r="O2488" s="56" t="n">
        <f aca="false">IF(D2488=1,"",E2487)</f>
        <v>16.9</v>
      </c>
      <c r="P2488" s="56" t="n">
        <f aca="false">IF(OR(D2488=1,K2487=""),"",K2487)</f>
        <v>1017.5</v>
      </c>
      <c r="Q2488" s="56" t="n">
        <f aca="false">IF(OR(F2488&lt;&gt;0,AND(I2488&lt;&gt;"",E2488&lt;I2488)),1,0)</f>
        <v>0</v>
      </c>
      <c r="R2488" s="56" t="n">
        <f aca="false">IF(AND(D2488&gt;1,Q2488=0,ISNUMBER(O2488),ISNUMBER(P2488)),IF(Q2487=0,1,0),0)</f>
        <v>0</v>
      </c>
      <c r="S2488" s="56" t="n">
        <f aca="false">R2488*(B2488&gt;=Train_Start)*(B2488&lt;=Train_End)</f>
        <v>0</v>
      </c>
      <c r="T2488" s="84" t="n">
        <f aca="false">IF(AND(ISNUMBER(O2488),ISNUMBER(P2488)),Coef_A+Coef_B1*O2488+Coef_B2*P2488,"")</f>
        <v>17.8526755745008</v>
      </c>
      <c r="U2488" s="84" t="str">
        <f aca="false">IF(AND(R2488=1,ISNUMBER(T2488)),E2488-T2488,"")</f>
        <v/>
      </c>
      <c r="V2488" s="84" t="n">
        <f aca="false">IF(ISNUMBER(T2488),T2488,-99)</f>
        <v>17.8526755745008</v>
      </c>
      <c r="W2488" s="84" t="str">
        <f aca="false">IF(ISNUMBER(U2488),ABS(U2488),"")</f>
        <v/>
      </c>
    </row>
    <row r="2489" customFormat="false" ht="15" hidden="false" customHeight="false" outlineLevel="0" collapsed="false">
      <c r="A2489" s="57" t="n">
        <v>34859</v>
      </c>
      <c r="B2489" s="56" t="n">
        <v>1995</v>
      </c>
      <c r="C2489" s="56" t="n">
        <v>6</v>
      </c>
      <c r="D2489" s="56" t="n">
        <v>40</v>
      </c>
      <c r="E2489" s="56" t="n">
        <v>15.2</v>
      </c>
      <c r="F2489" s="56" t="n">
        <v>0</v>
      </c>
      <c r="G2489" s="56" t="n">
        <v>6.9</v>
      </c>
      <c r="H2489" s="56" t="n">
        <v>0</v>
      </c>
      <c r="I2489" s="56" t="n">
        <v>12.7</v>
      </c>
      <c r="J2489" s="56" t="n">
        <v>0</v>
      </c>
      <c r="K2489" s="56" t="n">
        <v>1019.2</v>
      </c>
      <c r="L2489" s="56" t="n">
        <v>0</v>
      </c>
      <c r="M2489" s="56" t="n">
        <v>67</v>
      </c>
      <c r="N2489" s="56" t="n">
        <v>2.4</v>
      </c>
      <c r="O2489" s="56" t="n">
        <f aca="false">IF(D2489=1,"",E2488)</f>
        <v>18.5</v>
      </c>
      <c r="P2489" s="56" t="n">
        <f aca="false">IF(OR(D2489=1,K2488=""),"",K2488)</f>
        <v>1018.7</v>
      </c>
      <c r="Q2489" s="56" t="n">
        <f aca="false">IF(OR(F2489&lt;&gt;0,AND(I2489&lt;&gt;"",E2489&lt;I2489)),1,0)</f>
        <v>0</v>
      </c>
      <c r="R2489" s="56" t="n">
        <f aca="false">IF(AND(D2489&gt;1,Q2489=0,ISNUMBER(O2489),ISNUMBER(P2489)),IF(Q2488=0,1,0),0)</f>
        <v>1</v>
      </c>
      <c r="S2489" s="56" t="n">
        <f aca="false">R2489*(B2489&gt;=Train_Start)*(B2489&lt;=Train_End)</f>
        <v>1</v>
      </c>
      <c r="T2489" s="84" t="n">
        <f aca="false">IF(AND(ISNUMBER(O2489),ISNUMBER(P2489)),Coef_A+Coef_B1*O2489+Coef_B2*P2489,"")</f>
        <v>19.2012621569299</v>
      </c>
      <c r="U2489" s="84" t="n">
        <f aca="false">IF(AND(R2489=1,ISNUMBER(T2489)),E2489-T2489,"")</f>
        <v>-4.00126215692986</v>
      </c>
      <c r="V2489" s="84" t="n">
        <f aca="false">IF(ISNUMBER(T2489),T2489,-99)</f>
        <v>19.2012621569299</v>
      </c>
      <c r="W2489" s="84" t="n">
        <f aca="false">IF(ISNUMBER(U2489),ABS(U2489),"")</f>
        <v>4.00126215692986</v>
      </c>
    </row>
    <row r="2490" customFormat="false" ht="15" hidden="false" customHeight="false" outlineLevel="0" collapsed="false">
      <c r="A2490" s="57" t="n">
        <v>34860</v>
      </c>
      <c r="B2490" s="56" t="n">
        <v>1995</v>
      </c>
      <c r="C2490" s="56" t="n">
        <v>6</v>
      </c>
      <c r="D2490" s="56" t="n">
        <v>41</v>
      </c>
      <c r="E2490" s="56" t="n">
        <v>16</v>
      </c>
      <c r="F2490" s="56" t="n">
        <v>0</v>
      </c>
      <c r="G2490" s="56" t="n">
        <v>8.8</v>
      </c>
      <c r="H2490" s="56" t="n">
        <v>0</v>
      </c>
      <c r="I2490" s="56" t="n">
        <v>12</v>
      </c>
      <c r="J2490" s="56" t="n">
        <v>0</v>
      </c>
      <c r="K2490" s="56" t="n">
        <v>1016</v>
      </c>
      <c r="L2490" s="56" t="n">
        <v>0</v>
      </c>
      <c r="M2490" s="56" t="n">
        <v>65</v>
      </c>
      <c r="N2490" s="56" t="n">
        <v>2</v>
      </c>
      <c r="O2490" s="56" t="n">
        <f aca="false">IF(D2490=1,"",E2489)</f>
        <v>15.2</v>
      </c>
      <c r="P2490" s="56" t="n">
        <f aca="false">IF(OR(D2490=1,K2489=""),"",K2489)</f>
        <v>1019.2</v>
      </c>
      <c r="Q2490" s="56" t="n">
        <f aca="false">IF(OR(F2490&lt;&gt;0,AND(I2490&lt;&gt;"",E2490&lt;I2490)),1,0)</f>
        <v>0</v>
      </c>
      <c r="R2490" s="56" t="n">
        <f aca="false">IF(AND(D2490&gt;1,Q2490=0,ISNUMBER(O2490),ISNUMBER(P2490)),IF(Q2489=0,1,0),0)</f>
        <v>1</v>
      </c>
      <c r="S2490" s="56" t="n">
        <f aca="false">R2490*(B2490&gt;=Train_Start)*(B2490&lt;=Train_End)</f>
        <v>1</v>
      </c>
      <c r="T2490" s="84" t="n">
        <f aca="false">IF(AND(ISNUMBER(O2490),ISNUMBER(P2490)),Coef_A+Coef_B1*O2490+Coef_B2*P2490,"")</f>
        <v>16.5131277672061</v>
      </c>
      <c r="U2490" s="84" t="n">
        <f aca="false">IF(AND(R2490=1,ISNUMBER(T2490)),E2490-T2490,"")</f>
        <v>-0.513127767206079</v>
      </c>
      <c r="V2490" s="84" t="n">
        <f aca="false">IF(ISNUMBER(T2490),T2490,-99)</f>
        <v>16.5131277672061</v>
      </c>
      <c r="W2490" s="84" t="n">
        <f aca="false">IF(ISNUMBER(U2490),ABS(U2490),"")</f>
        <v>0.513127767206079</v>
      </c>
    </row>
    <row r="2491" customFormat="false" ht="15" hidden="false" customHeight="false" outlineLevel="0" collapsed="false">
      <c r="A2491" s="57" t="n">
        <v>34861</v>
      </c>
      <c r="B2491" s="56" t="n">
        <v>1995</v>
      </c>
      <c r="C2491" s="56" t="n">
        <v>6</v>
      </c>
      <c r="D2491" s="56" t="n">
        <v>42</v>
      </c>
      <c r="E2491" s="56" t="n">
        <v>14.6</v>
      </c>
      <c r="F2491" s="56" t="n">
        <v>0</v>
      </c>
      <c r="G2491" s="56" t="n">
        <v>10.4</v>
      </c>
      <c r="H2491" s="56" t="n">
        <v>0</v>
      </c>
      <c r="I2491" s="56" t="n">
        <v>13.2</v>
      </c>
      <c r="J2491" s="56" t="n">
        <v>0</v>
      </c>
      <c r="K2491" s="56" t="n">
        <v>1012.1</v>
      </c>
      <c r="L2491" s="56" t="n">
        <v>0</v>
      </c>
      <c r="M2491" s="56" t="n">
        <v>84</v>
      </c>
      <c r="N2491" s="56" t="n">
        <v>0</v>
      </c>
      <c r="O2491" s="56" t="n">
        <f aca="false">IF(D2491=1,"",E2490)</f>
        <v>16</v>
      </c>
      <c r="P2491" s="56" t="n">
        <f aca="false">IF(OR(D2491=1,K2490=""),"",K2490)</f>
        <v>1016</v>
      </c>
      <c r="Q2491" s="56" t="n">
        <f aca="false">IF(OR(F2491&lt;&gt;0,AND(I2491&lt;&gt;"",E2491&lt;I2491)),1,0)</f>
        <v>0</v>
      </c>
      <c r="R2491" s="56" t="n">
        <f aca="false">IF(AND(D2491&gt;1,Q2491=0,ISNUMBER(O2491),ISNUMBER(P2491)),IF(Q2490=0,1,0),0)</f>
        <v>1</v>
      </c>
      <c r="S2491" s="56" t="n">
        <f aca="false">R2491*(B2491&gt;=Train_Start)*(B2491&lt;=Train_End)</f>
        <v>1</v>
      </c>
      <c r="T2491" s="84" t="n">
        <f aca="false">IF(AND(ISNUMBER(O2491),ISNUMBER(P2491)),Coef_A+Coef_B1*O2491+Coef_B2*P2491,"")</f>
        <v>17.0682154588114</v>
      </c>
      <c r="U2491" s="84" t="n">
        <f aca="false">IF(AND(R2491=1,ISNUMBER(T2491)),E2491-T2491,"")</f>
        <v>-2.46821545881144</v>
      </c>
      <c r="V2491" s="84" t="n">
        <f aca="false">IF(ISNUMBER(T2491),T2491,-99)</f>
        <v>17.0682154588114</v>
      </c>
      <c r="W2491" s="84" t="n">
        <f aca="false">IF(ISNUMBER(U2491),ABS(U2491),"")</f>
        <v>2.46821545881144</v>
      </c>
    </row>
    <row r="2492" customFormat="false" ht="15" hidden="false" customHeight="false" outlineLevel="0" collapsed="false">
      <c r="A2492" s="57" t="n">
        <v>34862</v>
      </c>
      <c r="B2492" s="56" t="n">
        <v>1995</v>
      </c>
      <c r="C2492" s="56" t="n">
        <v>6</v>
      </c>
      <c r="D2492" s="56" t="n">
        <v>43</v>
      </c>
      <c r="E2492" s="56" t="n">
        <v>14.5</v>
      </c>
      <c r="F2492" s="56" t="n">
        <v>0</v>
      </c>
      <c r="G2492" s="56" t="n">
        <v>9.5</v>
      </c>
      <c r="H2492" s="56" t="n">
        <v>0</v>
      </c>
      <c r="I2492" s="56" t="n">
        <v>12</v>
      </c>
      <c r="J2492" s="56" t="n">
        <v>0</v>
      </c>
      <c r="K2492" s="56" t="n">
        <v>1016.9</v>
      </c>
      <c r="L2492" s="56" t="n">
        <v>0</v>
      </c>
      <c r="M2492" s="56" t="n">
        <v>73</v>
      </c>
      <c r="N2492" s="56" t="n">
        <v>0.1</v>
      </c>
      <c r="O2492" s="56" t="n">
        <f aca="false">IF(D2492=1,"",E2491)</f>
        <v>14.6</v>
      </c>
      <c r="P2492" s="56" t="n">
        <f aca="false">IF(OR(D2492=1,K2491=""),"",K2491)</f>
        <v>1012.1</v>
      </c>
      <c r="Q2492" s="56" t="n">
        <f aca="false">IF(OR(F2492&lt;&gt;0,AND(I2492&lt;&gt;"",E2492&lt;I2492)),1,0)</f>
        <v>0</v>
      </c>
      <c r="R2492" s="56" t="n">
        <f aca="false">IF(AND(D2492&gt;1,Q2492=0,ISNUMBER(O2492),ISNUMBER(P2492)),IF(Q2491=0,1,0),0)</f>
        <v>1</v>
      </c>
      <c r="S2492" s="56" t="n">
        <f aca="false">R2492*(B2492&gt;=Train_Start)*(B2492&lt;=Train_End)</f>
        <v>1</v>
      </c>
      <c r="T2492" s="84" t="n">
        <f aca="false">IF(AND(ISNUMBER(O2492),ISNUMBER(P2492)),Coef_A+Coef_B1*O2492+Coef_B2*P2492,"")</f>
        <v>15.7987979994792</v>
      </c>
      <c r="U2492" s="84" t="n">
        <f aca="false">IF(AND(R2492=1,ISNUMBER(T2492)),E2492-T2492,"")</f>
        <v>-1.29879799947916</v>
      </c>
      <c r="V2492" s="84" t="n">
        <f aca="false">IF(ISNUMBER(T2492),T2492,-99)</f>
        <v>15.7987979994792</v>
      </c>
      <c r="W2492" s="84" t="n">
        <f aca="false">IF(ISNUMBER(U2492),ABS(U2492),"")</f>
        <v>1.29879799947916</v>
      </c>
    </row>
    <row r="2493" customFormat="false" ht="15" hidden="false" customHeight="false" outlineLevel="0" collapsed="false">
      <c r="A2493" s="57" t="n">
        <v>34863</v>
      </c>
      <c r="B2493" s="56" t="n">
        <v>1995</v>
      </c>
      <c r="C2493" s="56" t="n">
        <v>6</v>
      </c>
      <c r="D2493" s="56" t="n">
        <v>44</v>
      </c>
      <c r="E2493" s="56" t="n">
        <v>16.7</v>
      </c>
      <c r="F2493" s="56" t="n">
        <v>0</v>
      </c>
      <c r="G2493" s="56" t="n">
        <v>8.1</v>
      </c>
      <c r="H2493" s="56" t="n">
        <v>0</v>
      </c>
      <c r="I2493" s="56" t="n">
        <v>11.3</v>
      </c>
      <c r="J2493" s="56" t="n">
        <v>0</v>
      </c>
      <c r="K2493" s="56" t="n">
        <v>1020.8</v>
      </c>
      <c r="L2493" s="56" t="n">
        <v>0</v>
      </c>
      <c r="M2493" s="56" t="n">
        <v>72</v>
      </c>
      <c r="N2493" s="56" t="n">
        <v>0.5</v>
      </c>
      <c r="O2493" s="56" t="n">
        <f aca="false">IF(D2493=1,"",E2492)</f>
        <v>14.5</v>
      </c>
      <c r="P2493" s="56" t="n">
        <f aca="false">IF(OR(D2493=1,K2492=""),"",K2492)</f>
        <v>1016.9</v>
      </c>
      <c r="Q2493" s="56" t="n">
        <f aca="false">IF(OR(F2493&lt;&gt;0,AND(I2493&lt;&gt;"",E2493&lt;I2493)),1,0)</f>
        <v>0</v>
      </c>
      <c r="R2493" s="56" t="n">
        <f aca="false">IF(AND(D2493&gt;1,Q2493=0,ISNUMBER(O2493),ISNUMBER(P2493)),IF(Q2492=0,1,0),0)</f>
        <v>1</v>
      </c>
      <c r="S2493" s="56" t="n">
        <f aca="false">R2493*(B2493&gt;=Train_Start)*(B2493&lt;=Train_End)</f>
        <v>1</v>
      </c>
      <c r="T2493" s="84" t="n">
        <f aca="false">IF(AND(ISNUMBER(O2493),ISNUMBER(P2493)),Coef_A+Coef_B1*O2493+Coef_B2*P2493,"")</f>
        <v>15.867439574418</v>
      </c>
      <c r="U2493" s="84" t="n">
        <f aca="false">IF(AND(R2493=1,ISNUMBER(T2493)),E2493-T2493,"")</f>
        <v>0.832560425581953</v>
      </c>
      <c r="V2493" s="84" t="n">
        <f aca="false">IF(ISNUMBER(T2493),T2493,-99)</f>
        <v>15.867439574418</v>
      </c>
      <c r="W2493" s="84" t="n">
        <f aca="false">IF(ISNUMBER(U2493),ABS(U2493),"")</f>
        <v>0.832560425581953</v>
      </c>
    </row>
    <row r="2494" customFormat="false" ht="15" hidden="false" customHeight="false" outlineLevel="0" collapsed="false">
      <c r="A2494" s="57" t="n">
        <v>34864</v>
      </c>
      <c r="B2494" s="56" t="n">
        <v>1995</v>
      </c>
      <c r="C2494" s="56" t="n">
        <v>6</v>
      </c>
      <c r="D2494" s="56" t="n">
        <v>45</v>
      </c>
      <c r="E2494" s="56" t="n">
        <v>17.8</v>
      </c>
      <c r="F2494" s="56" t="n">
        <v>0</v>
      </c>
      <c r="G2494" s="56" t="n">
        <v>9.6</v>
      </c>
      <c r="H2494" s="56" t="n">
        <v>0</v>
      </c>
      <c r="I2494" s="56" t="n">
        <v>13.2</v>
      </c>
      <c r="J2494" s="56" t="n">
        <v>0</v>
      </c>
      <c r="K2494" s="56" t="n">
        <v>1021</v>
      </c>
      <c r="L2494" s="56" t="n">
        <v>0</v>
      </c>
      <c r="M2494" s="56" t="n">
        <v>67</v>
      </c>
      <c r="N2494" s="56" t="n">
        <v>1.6</v>
      </c>
      <c r="O2494" s="56" t="n">
        <f aca="false">IF(D2494=1,"",E2493)</f>
        <v>16.7</v>
      </c>
      <c r="P2494" s="56" t="n">
        <f aca="false">IF(OR(D2494=1,K2493=""),"",K2493)</f>
        <v>1020.8</v>
      </c>
      <c r="Q2494" s="56" t="n">
        <f aca="false">IF(OR(F2494&lt;&gt;0,AND(I2494&lt;&gt;"",E2494&lt;I2494)),1,0)</f>
        <v>0</v>
      </c>
      <c r="R2494" s="56" t="n">
        <f aca="false">IF(AND(D2494&gt;1,Q2494=0,ISNUMBER(O2494),ISNUMBER(P2494)),IF(Q2493=0,1,0),0)</f>
        <v>1</v>
      </c>
      <c r="S2494" s="56" t="n">
        <f aca="false">R2494*(B2494&gt;=Train_Start)*(B2494&lt;=Train_End)</f>
        <v>1</v>
      </c>
      <c r="T2494" s="84" t="n">
        <f aca="false">IF(AND(ISNUMBER(O2494),ISNUMBER(P2494)),Coef_A+Coef_B1*O2494+Coef_B2*P2494,"")</f>
        <v>17.7923283881844</v>
      </c>
      <c r="U2494" s="84" t="n">
        <f aca="false">IF(AND(R2494=1,ISNUMBER(T2494)),E2494-T2494,"")</f>
        <v>0.00767161181555309</v>
      </c>
      <c r="V2494" s="84" t="n">
        <f aca="false">IF(ISNUMBER(T2494),T2494,-99)</f>
        <v>17.7923283881844</v>
      </c>
      <c r="W2494" s="84" t="n">
        <f aca="false">IF(ISNUMBER(U2494),ABS(U2494),"")</f>
        <v>0.00767161181555309</v>
      </c>
    </row>
    <row r="2495" customFormat="false" ht="15" hidden="false" customHeight="false" outlineLevel="0" collapsed="false">
      <c r="A2495" s="57" t="n">
        <v>34865</v>
      </c>
      <c r="B2495" s="56" t="n">
        <v>1995</v>
      </c>
      <c r="C2495" s="56" t="n">
        <v>6</v>
      </c>
      <c r="D2495" s="56" t="n">
        <v>46</v>
      </c>
      <c r="E2495" s="56" t="n">
        <v>22.5</v>
      </c>
      <c r="F2495" s="56" t="n">
        <v>0</v>
      </c>
      <c r="G2495" s="56" t="n">
        <v>9.1</v>
      </c>
      <c r="H2495" s="56" t="n">
        <v>0</v>
      </c>
      <c r="I2495" s="56" t="n">
        <v>13.4</v>
      </c>
      <c r="J2495" s="56" t="n">
        <v>0</v>
      </c>
      <c r="K2495" s="56" t="n">
        <v>1017.1</v>
      </c>
      <c r="L2495" s="56" t="n">
        <v>0</v>
      </c>
      <c r="M2495" s="56" t="n">
        <v>70</v>
      </c>
      <c r="N2495" s="56" t="n">
        <v>1.3</v>
      </c>
      <c r="O2495" s="56" t="n">
        <f aca="false">IF(D2495=1,"",E2494)</f>
        <v>17.8</v>
      </c>
      <c r="P2495" s="56" t="n">
        <f aca="false">IF(OR(D2495=1,K2494=""),"",K2494)</f>
        <v>1021</v>
      </c>
      <c r="Q2495" s="56" t="n">
        <f aca="false">IF(OR(F2495&lt;&gt;0,AND(I2495&lt;&gt;"",E2495&lt;I2495)),1,0)</f>
        <v>0</v>
      </c>
      <c r="R2495" s="56" t="n">
        <f aca="false">IF(AND(D2495&gt;1,Q2495=0,ISNUMBER(O2495),ISNUMBER(P2495)),IF(Q2494=0,1,0),0)</f>
        <v>1</v>
      </c>
      <c r="S2495" s="56" t="n">
        <f aca="false">R2495*(B2495&gt;=Train_Start)*(B2495&lt;=Train_End)</f>
        <v>1</v>
      </c>
      <c r="T2495" s="84" t="n">
        <f aca="false">IF(AND(ISNUMBER(O2495),ISNUMBER(P2495)),Coef_A+Coef_B1*O2495+Coef_B2*P2495,"")</f>
        <v>18.6998754794582</v>
      </c>
      <c r="U2495" s="84" t="n">
        <f aca="false">IF(AND(R2495=1,ISNUMBER(T2495)),E2495-T2495,"")</f>
        <v>3.80012452054183</v>
      </c>
      <c r="V2495" s="84" t="n">
        <f aca="false">IF(ISNUMBER(T2495),T2495,-99)</f>
        <v>18.6998754794582</v>
      </c>
      <c r="W2495" s="84" t="n">
        <f aca="false">IF(ISNUMBER(U2495),ABS(U2495),"")</f>
        <v>3.80012452054183</v>
      </c>
    </row>
    <row r="2496" customFormat="false" ht="15" hidden="false" customHeight="false" outlineLevel="0" collapsed="false">
      <c r="A2496" s="57" t="n">
        <v>34866</v>
      </c>
      <c r="B2496" s="56" t="n">
        <v>1995</v>
      </c>
      <c r="C2496" s="56" t="n">
        <v>6</v>
      </c>
      <c r="D2496" s="56" t="n">
        <v>47</v>
      </c>
      <c r="E2496" s="56" t="n">
        <v>17.2</v>
      </c>
      <c r="F2496" s="56" t="n">
        <v>0</v>
      </c>
      <c r="G2496" s="56" t="n">
        <v>9.6</v>
      </c>
      <c r="H2496" s="56" t="n">
        <v>0</v>
      </c>
      <c r="I2496" s="56" t="n">
        <v>16</v>
      </c>
      <c r="J2496" s="56" t="n">
        <v>0</v>
      </c>
      <c r="K2496" s="56" t="n">
        <v>1014.2</v>
      </c>
      <c r="L2496" s="56" t="n">
        <v>0</v>
      </c>
      <c r="M2496" s="56" t="n">
        <v>67</v>
      </c>
      <c r="N2496" s="56" t="n">
        <v>5</v>
      </c>
      <c r="O2496" s="56" t="n">
        <f aca="false">IF(D2496=1,"",E2495)</f>
        <v>22.5</v>
      </c>
      <c r="P2496" s="56" t="n">
        <f aca="false">IF(OR(D2496=1,K2495=""),"",K2495)</f>
        <v>1017.1</v>
      </c>
      <c r="Q2496" s="56" t="n">
        <f aca="false">IF(OR(F2496&lt;&gt;0,AND(I2496&lt;&gt;"",E2496&lt;I2496)),1,0)</f>
        <v>0</v>
      </c>
      <c r="R2496" s="56" t="n">
        <f aca="false">IF(AND(D2496&gt;1,Q2496=0,ISNUMBER(O2496),ISNUMBER(P2496)),IF(Q2495=0,1,0),0)</f>
        <v>1</v>
      </c>
      <c r="S2496" s="56" t="n">
        <f aca="false">R2496*(B2496&gt;=Train_Start)*(B2496&lt;=Train_End)</f>
        <v>1</v>
      </c>
      <c r="T2496" s="84" t="n">
        <f aca="false">IF(AND(ISNUMBER(O2496),ISNUMBER(P2496)),Coef_A+Coef_B1*O2496+Coef_B2*P2496,"")</f>
        <v>22.4284270976861</v>
      </c>
      <c r="U2496" s="84" t="n">
        <f aca="false">IF(AND(R2496=1,ISNUMBER(T2496)),E2496-T2496,"")</f>
        <v>-5.22842709768611</v>
      </c>
      <c r="V2496" s="84" t="n">
        <f aca="false">IF(ISNUMBER(T2496),T2496,-99)</f>
        <v>22.4284270976861</v>
      </c>
      <c r="W2496" s="84" t="n">
        <f aca="false">IF(ISNUMBER(U2496),ABS(U2496),"")</f>
        <v>5.22842709768611</v>
      </c>
    </row>
    <row r="2497" customFormat="false" ht="15" hidden="false" customHeight="false" outlineLevel="0" collapsed="false">
      <c r="A2497" s="57" t="n">
        <v>34867</v>
      </c>
      <c r="B2497" s="56" t="n">
        <v>1995</v>
      </c>
      <c r="C2497" s="56" t="n">
        <v>6</v>
      </c>
      <c r="D2497" s="56" t="n">
        <v>48</v>
      </c>
      <c r="E2497" s="56" t="n">
        <v>22.8</v>
      </c>
      <c r="F2497" s="56" t="n">
        <v>0</v>
      </c>
      <c r="G2497" s="56" t="n">
        <v>10.9</v>
      </c>
      <c r="H2497" s="56" t="n">
        <v>0</v>
      </c>
      <c r="I2497" s="56" t="n">
        <v>14</v>
      </c>
      <c r="J2497" s="56" t="n">
        <v>0</v>
      </c>
      <c r="K2497" s="56" t="n">
        <v>1007.8</v>
      </c>
      <c r="L2497" s="56" t="n">
        <v>0</v>
      </c>
      <c r="M2497" s="56" t="n">
        <v>88</v>
      </c>
      <c r="N2497" s="56" t="n">
        <v>0</v>
      </c>
      <c r="O2497" s="56" t="n">
        <f aca="false">IF(D2497=1,"",E2496)</f>
        <v>17.2</v>
      </c>
      <c r="P2497" s="56" t="n">
        <f aca="false">IF(OR(D2497=1,K2496=""),"",K2496)</f>
        <v>1014.2</v>
      </c>
      <c r="Q2497" s="56" t="n">
        <f aca="false">IF(OR(F2497&lt;&gt;0,AND(I2497&lt;&gt;"",E2497&lt;I2497)),1,0)</f>
        <v>0</v>
      </c>
      <c r="R2497" s="56" t="n">
        <f aca="false">IF(AND(D2497&gt;1,Q2497=0,ISNUMBER(O2497),ISNUMBER(P2497)),IF(Q2496=0,1,0),0)</f>
        <v>1</v>
      </c>
      <c r="S2497" s="56" t="n">
        <f aca="false">R2497*(B2497&gt;=Train_Start)*(B2497&lt;=Train_End)</f>
        <v>1</v>
      </c>
      <c r="T2497" s="84" t="n">
        <f aca="false">IF(AND(ISNUMBER(O2497),ISNUMBER(P2497)),Coef_A+Coef_B1*O2497+Coef_B2*P2497,"")</f>
        <v>17.9949566801215</v>
      </c>
      <c r="U2497" s="84" t="n">
        <f aca="false">IF(AND(R2497=1,ISNUMBER(T2497)),E2497-T2497,"")</f>
        <v>4.80504331987855</v>
      </c>
      <c r="V2497" s="84" t="n">
        <f aca="false">IF(ISNUMBER(T2497),T2497,-99)</f>
        <v>17.9949566801215</v>
      </c>
      <c r="W2497" s="84" t="n">
        <f aca="false">IF(ISNUMBER(U2497),ABS(U2497),"")</f>
        <v>4.80504331987855</v>
      </c>
    </row>
    <row r="2498" customFormat="false" ht="15" hidden="false" customHeight="false" outlineLevel="0" collapsed="false">
      <c r="A2498" s="57" t="n">
        <v>34868</v>
      </c>
      <c r="B2498" s="56" t="n">
        <v>1995</v>
      </c>
      <c r="C2498" s="56" t="n">
        <v>6</v>
      </c>
      <c r="D2498" s="56" t="n">
        <v>49</v>
      </c>
      <c r="E2498" s="56" t="n">
        <v>25.3</v>
      </c>
      <c r="F2498" s="56" t="n">
        <v>0</v>
      </c>
      <c r="G2498" s="56" t="n">
        <v>12</v>
      </c>
      <c r="H2498" s="56" t="n">
        <v>0</v>
      </c>
      <c r="I2498" s="56" t="n">
        <v>17.4</v>
      </c>
      <c r="J2498" s="56" t="n">
        <v>0</v>
      </c>
      <c r="K2498" s="56" t="n">
        <v>1012.4</v>
      </c>
      <c r="L2498" s="56" t="n">
        <v>0</v>
      </c>
      <c r="M2498" s="56" t="n">
        <v>68</v>
      </c>
      <c r="N2498" s="56" t="n">
        <v>11.6</v>
      </c>
      <c r="O2498" s="56" t="n">
        <f aca="false">IF(D2498=1,"",E2497)</f>
        <v>22.8</v>
      </c>
      <c r="P2498" s="56" t="n">
        <f aca="false">IF(OR(D2498=1,K2497=""),"",K2497)</f>
        <v>1007.8</v>
      </c>
      <c r="Q2498" s="56" t="n">
        <f aca="false">IF(OR(F2498&lt;&gt;0,AND(I2498&lt;&gt;"",E2498&lt;I2498)),1,0)</f>
        <v>0</v>
      </c>
      <c r="R2498" s="56" t="n">
        <f aca="false">IF(AND(D2498&gt;1,Q2498=0,ISNUMBER(O2498),ISNUMBER(P2498)),IF(Q2497=0,1,0),0)</f>
        <v>1</v>
      </c>
      <c r="S2498" s="56" t="n">
        <f aca="false">R2498*(B2498&gt;=Train_Start)*(B2498&lt;=Train_End)</f>
        <v>1</v>
      </c>
      <c r="T2498" s="84" t="n">
        <f aca="false">IF(AND(ISNUMBER(O2498),ISNUMBER(P2498)),Coef_A+Coef_B1*O2498+Coef_B2*P2498,"")</f>
        <v>22.3824888355028</v>
      </c>
      <c r="U2498" s="84" t="n">
        <f aca="false">IF(AND(R2498=1,ISNUMBER(T2498)),E2498-T2498,"")</f>
        <v>2.9175111644972</v>
      </c>
      <c r="V2498" s="84" t="n">
        <f aca="false">IF(ISNUMBER(T2498),T2498,-99)</f>
        <v>22.3824888355028</v>
      </c>
      <c r="W2498" s="84" t="n">
        <f aca="false">IF(ISNUMBER(U2498),ABS(U2498),"")</f>
        <v>2.9175111644972</v>
      </c>
    </row>
    <row r="2499" customFormat="false" ht="15" hidden="false" customHeight="false" outlineLevel="0" collapsed="false">
      <c r="A2499" s="57" t="n">
        <v>34869</v>
      </c>
      <c r="B2499" s="56" t="n">
        <v>1995</v>
      </c>
      <c r="C2499" s="56" t="n">
        <v>6</v>
      </c>
      <c r="D2499" s="56" t="n">
        <v>50</v>
      </c>
      <c r="E2499" s="56" t="n">
        <v>24.8</v>
      </c>
      <c r="F2499" s="56" t="n">
        <v>0</v>
      </c>
      <c r="G2499" s="56" t="n">
        <v>10.5</v>
      </c>
      <c r="H2499" s="56" t="n">
        <v>0</v>
      </c>
      <c r="I2499" s="56" t="n">
        <v>17.9</v>
      </c>
      <c r="J2499" s="56" t="n">
        <v>0</v>
      </c>
      <c r="K2499" s="56" t="n">
        <v>1017.7</v>
      </c>
      <c r="L2499" s="56" t="n">
        <v>0</v>
      </c>
      <c r="M2499" s="56" t="n">
        <v>60</v>
      </c>
      <c r="N2499" s="56" t="n">
        <v>11.1</v>
      </c>
      <c r="O2499" s="56" t="n">
        <f aca="false">IF(D2499=1,"",E2498)</f>
        <v>25.3</v>
      </c>
      <c r="P2499" s="56" t="n">
        <f aca="false">IF(OR(D2499=1,K2498=""),"",K2498)</f>
        <v>1012.4</v>
      </c>
      <c r="Q2499" s="56" t="n">
        <f aca="false">IF(OR(F2499&lt;&gt;0,AND(I2499&lt;&gt;"",E2499&lt;I2499)),1,0)</f>
        <v>0</v>
      </c>
      <c r="R2499" s="56" t="n">
        <f aca="false">IF(AND(D2499&gt;1,Q2499=0,ISNUMBER(O2499),ISNUMBER(P2499)),IF(Q2498=0,1,0),0)</f>
        <v>1</v>
      </c>
      <c r="S2499" s="56" t="n">
        <f aca="false">R2499*(B2499&gt;=Train_Start)*(B2499&lt;=Train_End)</f>
        <v>1</v>
      </c>
      <c r="T2499" s="84" t="n">
        <f aca="false">IF(AND(ISNUMBER(O2499),ISNUMBER(P2499)),Coef_A+Coef_B1*O2499+Coef_B2*P2499,"")</f>
        <v>24.5751383334258</v>
      </c>
      <c r="U2499" s="84" t="n">
        <f aca="false">IF(AND(R2499=1,ISNUMBER(T2499)),E2499-T2499,"")</f>
        <v>0.224861666574206</v>
      </c>
      <c r="V2499" s="84" t="n">
        <f aca="false">IF(ISNUMBER(T2499),T2499,-99)</f>
        <v>24.5751383334258</v>
      </c>
      <c r="W2499" s="84" t="n">
        <f aca="false">IF(ISNUMBER(U2499),ABS(U2499),"")</f>
        <v>0.224861666574206</v>
      </c>
    </row>
    <row r="2500" customFormat="false" ht="15" hidden="false" customHeight="false" outlineLevel="0" collapsed="false">
      <c r="A2500" s="57" t="n">
        <v>34870</v>
      </c>
      <c r="B2500" s="56" t="n">
        <v>1995</v>
      </c>
      <c r="C2500" s="56" t="n">
        <v>6</v>
      </c>
      <c r="D2500" s="56" t="n">
        <v>51</v>
      </c>
      <c r="E2500" s="56" t="n">
        <v>23.2</v>
      </c>
      <c r="F2500" s="56" t="n">
        <v>0</v>
      </c>
      <c r="G2500" s="56" t="n">
        <v>12.6</v>
      </c>
      <c r="H2500" s="56" t="n">
        <v>0</v>
      </c>
      <c r="I2500" s="56" t="n">
        <v>18.7</v>
      </c>
      <c r="J2500" s="56" t="n">
        <v>0</v>
      </c>
      <c r="K2500" s="56" t="n">
        <v>1019.3</v>
      </c>
      <c r="L2500" s="56" t="n">
        <v>0</v>
      </c>
      <c r="M2500" s="56" t="n">
        <v>70</v>
      </c>
      <c r="N2500" s="56" t="n">
        <v>7.8</v>
      </c>
      <c r="O2500" s="56" t="n">
        <f aca="false">IF(D2500=1,"",E2499)</f>
        <v>24.8</v>
      </c>
      <c r="P2500" s="56" t="n">
        <f aca="false">IF(OR(D2500=1,K2499=""),"",K2499)</f>
        <v>1017.7</v>
      </c>
      <c r="Q2500" s="56" t="n">
        <f aca="false">IF(OR(F2500&lt;&gt;0,AND(I2500&lt;&gt;"",E2500&lt;I2500)),1,0)</f>
        <v>0</v>
      </c>
      <c r="R2500" s="56" t="n">
        <f aca="false">IF(AND(D2500&gt;1,Q2500=0,ISNUMBER(O2500),ISNUMBER(P2500)),IF(Q2499=0,1,0),0)</f>
        <v>1</v>
      </c>
      <c r="S2500" s="56" t="n">
        <f aca="false">R2500*(B2500&gt;=Train_Start)*(B2500&lt;=Train_End)</f>
        <v>1</v>
      </c>
      <c r="T2500" s="84" t="n">
        <f aca="false">IF(AND(ISNUMBER(O2500),ISNUMBER(P2500)),Coef_A+Coef_B1*O2500+Coef_B2*P2500,"")</f>
        <v>24.3317291784646</v>
      </c>
      <c r="U2500" s="84" t="n">
        <f aca="false">IF(AND(R2500=1,ISNUMBER(T2500)),E2500-T2500,"")</f>
        <v>-1.13172917846461</v>
      </c>
      <c r="V2500" s="84" t="n">
        <f aca="false">IF(ISNUMBER(T2500),T2500,-99)</f>
        <v>24.3317291784646</v>
      </c>
      <c r="W2500" s="84" t="n">
        <f aca="false">IF(ISNUMBER(U2500),ABS(U2500),"")</f>
        <v>1.13172917846461</v>
      </c>
    </row>
    <row r="2501" customFormat="false" ht="15" hidden="false" customHeight="false" outlineLevel="0" collapsed="false">
      <c r="A2501" s="57" t="n">
        <v>34871</v>
      </c>
      <c r="B2501" s="56" t="n">
        <v>1995</v>
      </c>
      <c r="C2501" s="56" t="n">
        <v>6</v>
      </c>
      <c r="D2501" s="56" t="n">
        <v>52</v>
      </c>
      <c r="E2501" s="56" t="n">
        <v>22.9</v>
      </c>
      <c r="F2501" s="56" t="n">
        <v>0</v>
      </c>
      <c r="G2501" s="56" t="n">
        <v>12.3</v>
      </c>
      <c r="H2501" s="56" t="n">
        <v>0</v>
      </c>
      <c r="I2501" s="56" t="n">
        <v>17.8</v>
      </c>
      <c r="J2501" s="56" t="n">
        <v>0</v>
      </c>
      <c r="K2501" s="56" t="n">
        <v>1026.6</v>
      </c>
      <c r="L2501" s="56" t="n">
        <v>0</v>
      </c>
      <c r="M2501" s="56" t="n">
        <v>58</v>
      </c>
      <c r="N2501" s="56" t="n">
        <v>10.2</v>
      </c>
      <c r="O2501" s="56" t="n">
        <f aca="false">IF(D2501=1,"",E2500)</f>
        <v>23.2</v>
      </c>
      <c r="P2501" s="56" t="n">
        <f aca="false">IF(OR(D2501=1,K2500=""),"",K2500)</f>
        <v>1019.3</v>
      </c>
      <c r="Q2501" s="56" t="n">
        <f aca="false">IF(OR(F2501&lt;&gt;0,AND(I2501&lt;&gt;"",E2501&lt;I2501)),1,0)</f>
        <v>0</v>
      </c>
      <c r="R2501" s="56" t="n">
        <f aca="false">IF(AND(D2501&gt;1,Q2501=0,ISNUMBER(O2501),ISNUMBER(P2501)),IF(Q2500=0,1,0),0)</f>
        <v>1</v>
      </c>
      <c r="S2501" s="56" t="n">
        <f aca="false">R2501*(B2501&gt;=Train_Start)*(B2501&lt;=Train_End)</f>
        <v>1</v>
      </c>
      <c r="T2501" s="84" t="n">
        <f aca="false">IF(AND(ISNUMBER(O2501),ISNUMBER(P2501)),Coef_A+Coef_B1*O2501+Coef_B2*P2501,"")</f>
        <v>23.0709783010107</v>
      </c>
      <c r="U2501" s="84" t="n">
        <f aca="false">IF(AND(R2501=1,ISNUMBER(T2501)),E2501-T2501,"")</f>
        <v>-0.170978301010738</v>
      </c>
      <c r="V2501" s="84" t="n">
        <f aca="false">IF(ISNUMBER(T2501),T2501,-99)</f>
        <v>23.0709783010107</v>
      </c>
      <c r="W2501" s="84" t="n">
        <f aca="false">IF(ISNUMBER(U2501),ABS(U2501),"")</f>
        <v>0.170978301010738</v>
      </c>
    </row>
    <row r="2502" customFormat="false" ht="15" hidden="false" customHeight="false" outlineLevel="0" collapsed="false">
      <c r="A2502" s="57" t="n">
        <v>34872</v>
      </c>
      <c r="B2502" s="56" t="n">
        <v>1995</v>
      </c>
      <c r="C2502" s="56" t="n">
        <v>6</v>
      </c>
      <c r="D2502" s="56" t="n">
        <v>53</v>
      </c>
      <c r="E2502" s="56" t="n">
        <v>21.9</v>
      </c>
      <c r="F2502" s="56" t="n">
        <v>0</v>
      </c>
      <c r="G2502" s="56" t="n">
        <v>12.7</v>
      </c>
      <c r="H2502" s="56" t="n">
        <v>0</v>
      </c>
      <c r="I2502" s="56" t="n">
        <v>17.8</v>
      </c>
      <c r="J2502" s="56" t="n">
        <v>0</v>
      </c>
      <c r="K2502" s="56" t="n">
        <v>1031.5</v>
      </c>
      <c r="L2502" s="56" t="n">
        <v>0</v>
      </c>
      <c r="M2502" s="56" t="n">
        <v>49</v>
      </c>
      <c r="N2502" s="56" t="n">
        <v>14.3</v>
      </c>
      <c r="O2502" s="56" t="n">
        <f aca="false">IF(D2502=1,"",E2501)</f>
        <v>22.9</v>
      </c>
      <c r="P2502" s="56" t="n">
        <f aca="false">IF(OR(D2502=1,K2501=""),"",K2501)</f>
        <v>1026.6</v>
      </c>
      <c r="Q2502" s="56" t="n">
        <f aca="false">IF(OR(F2502&lt;&gt;0,AND(I2502&lt;&gt;"",E2502&lt;I2502)),1,0)</f>
        <v>0</v>
      </c>
      <c r="R2502" s="56" t="n">
        <f aca="false">IF(AND(D2502&gt;1,Q2502=0,ISNUMBER(O2502),ISNUMBER(P2502)),IF(Q2501=0,1,0),0)</f>
        <v>1</v>
      </c>
      <c r="S2502" s="56" t="n">
        <f aca="false">R2502*(B2502&gt;=Train_Start)*(B2502&lt;=Train_End)</f>
        <v>1</v>
      </c>
      <c r="T2502" s="84" t="n">
        <f aca="false">IF(AND(ISNUMBER(O2502),ISNUMBER(P2502)),Coef_A+Coef_B1*O2502+Coef_B2*P2502,"")</f>
        <v>23.0541767739261</v>
      </c>
      <c r="U2502" s="84" t="n">
        <f aca="false">IF(AND(R2502=1,ISNUMBER(T2502)),E2502-T2502,"")</f>
        <v>-1.15417677392606</v>
      </c>
      <c r="V2502" s="84" t="n">
        <f aca="false">IF(ISNUMBER(T2502),T2502,-99)</f>
        <v>23.0541767739261</v>
      </c>
      <c r="W2502" s="84" t="n">
        <f aca="false">IF(ISNUMBER(U2502),ABS(U2502),"")</f>
        <v>1.15417677392606</v>
      </c>
    </row>
    <row r="2503" customFormat="false" ht="15" hidden="false" customHeight="false" outlineLevel="0" collapsed="false">
      <c r="A2503" s="57" t="n">
        <v>34873</v>
      </c>
      <c r="B2503" s="56" t="n">
        <v>1995</v>
      </c>
      <c r="C2503" s="56" t="n">
        <v>6</v>
      </c>
      <c r="D2503" s="56" t="n">
        <v>54</v>
      </c>
      <c r="E2503" s="56" t="n">
        <v>16</v>
      </c>
      <c r="F2503" s="56" t="n">
        <v>0</v>
      </c>
      <c r="G2503" s="56" t="n">
        <v>9.6</v>
      </c>
      <c r="H2503" s="56" t="n">
        <v>0</v>
      </c>
      <c r="I2503" s="56" t="n">
        <v>15.8</v>
      </c>
      <c r="J2503" s="56" t="n">
        <v>0</v>
      </c>
      <c r="K2503" s="56" t="n">
        <v>1028.4</v>
      </c>
      <c r="L2503" s="56" t="n">
        <v>0</v>
      </c>
      <c r="M2503" s="56" t="n">
        <v>59</v>
      </c>
      <c r="N2503" s="56" t="n">
        <v>15.6</v>
      </c>
      <c r="O2503" s="56" t="n">
        <f aca="false">IF(D2503=1,"",E2502)</f>
        <v>21.9</v>
      </c>
      <c r="P2503" s="56" t="n">
        <f aca="false">IF(OR(D2503=1,K2502=""),"",K2502)</f>
        <v>1031.5</v>
      </c>
      <c r="Q2503" s="56" t="n">
        <f aca="false">IF(OR(F2503&lt;&gt;0,AND(I2503&lt;&gt;"",E2503&lt;I2503)),1,0)</f>
        <v>0</v>
      </c>
      <c r="R2503" s="56" t="n">
        <f aca="false">IF(AND(D2503&gt;1,Q2503=0,ISNUMBER(O2503),ISNUMBER(P2503)),IF(Q2502=0,1,0),0)</f>
        <v>1</v>
      </c>
      <c r="S2503" s="56" t="n">
        <f aca="false">R2503*(B2503&gt;=Train_Start)*(B2503&lt;=Train_End)</f>
        <v>1</v>
      </c>
      <c r="T2503" s="84" t="n">
        <f aca="false">IF(AND(ISNUMBER(O2503),ISNUMBER(P2503)),Coef_A+Coef_B1*O2503+Coef_B2*P2503,"")</f>
        <v>22.38855006459</v>
      </c>
      <c r="U2503" s="84" t="n">
        <f aca="false">IF(AND(R2503=1,ISNUMBER(T2503)),E2503-T2503,"")</f>
        <v>-6.38855006458996</v>
      </c>
      <c r="V2503" s="84" t="n">
        <f aca="false">IF(ISNUMBER(T2503),T2503,-99)</f>
        <v>22.38855006459</v>
      </c>
      <c r="W2503" s="84" t="n">
        <f aca="false">IF(ISNUMBER(U2503),ABS(U2503),"")</f>
        <v>6.38855006458996</v>
      </c>
    </row>
    <row r="2504" customFormat="false" ht="15" hidden="false" customHeight="false" outlineLevel="0" collapsed="false">
      <c r="A2504" s="57" t="n">
        <v>34874</v>
      </c>
      <c r="B2504" s="56" t="n">
        <v>1995</v>
      </c>
      <c r="C2504" s="56" t="n">
        <v>6</v>
      </c>
      <c r="D2504" s="56" t="n">
        <v>55</v>
      </c>
      <c r="E2504" s="56" t="n">
        <v>24.1</v>
      </c>
      <c r="F2504" s="56" t="n">
        <v>0</v>
      </c>
      <c r="G2504" s="56" t="n">
        <v>11.4</v>
      </c>
      <c r="H2504" s="56" t="n">
        <v>0</v>
      </c>
      <c r="I2504" s="56" t="n">
        <v>13.7</v>
      </c>
      <c r="J2504" s="56" t="n">
        <v>0</v>
      </c>
      <c r="K2504" s="56" t="n">
        <v>1026.5</v>
      </c>
      <c r="L2504" s="56" t="n">
        <v>0</v>
      </c>
      <c r="M2504" s="56" t="n">
        <v>77</v>
      </c>
      <c r="N2504" s="56" t="n">
        <v>0.4</v>
      </c>
      <c r="O2504" s="56" t="n">
        <f aca="false">IF(D2504=1,"",E2503)</f>
        <v>16</v>
      </c>
      <c r="P2504" s="56" t="n">
        <f aca="false">IF(OR(D2504=1,K2503=""),"",K2503)</f>
        <v>1028.4</v>
      </c>
      <c r="Q2504" s="56" t="n">
        <f aca="false">IF(OR(F2504&lt;&gt;0,AND(I2504&lt;&gt;"",E2504&lt;I2504)),1,0)</f>
        <v>0</v>
      </c>
      <c r="R2504" s="56" t="n">
        <f aca="false">IF(AND(D2504&gt;1,Q2504=0,ISNUMBER(O2504),ISNUMBER(P2504)),IF(Q2503=0,1,0),0)</f>
        <v>1</v>
      </c>
      <c r="S2504" s="56" t="n">
        <f aca="false">R2504*(B2504&gt;=Train_Start)*(B2504&lt;=Train_End)</f>
        <v>1</v>
      </c>
      <c r="T2504" s="84" t="n">
        <f aca="false">IF(AND(ISNUMBER(O2504),ISNUMBER(P2504)),Coef_A+Coef_B1*O2504+Coef_B2*P2504,"")</f>
        <v>17.4572021522729</v>
      </c>
      <c r="U2504" s="84" t="n">
        <f aca="false">IF(AND(R2504=1,ISNUMBER(T2504)),E2504-T2504,"")</f>
        <v>6.64279784772709</v>
      </c>
      <c r="V2504" s="84" t="n">
        <f aca="false">IF(ISNUMBER(T2504),T2504,-99)</f>
        <v>17.4572021522729</v>
      </c>
      <c r="W2504" s="84" t="n">
        <f aca="false">IF(ISNUMBER(U2504),ABS(U2504),"")</f>
        <v>6.64279784772709</v>
      </c>
    </row>
    <row r="2505" customFormat="false" ht="15" hidden="false" customHeight="false" outlineLevel="0" collapsed="false">
      <c r="A2505" s="57" t="n">
        <v>34875</v>
      </c>
      <c r="B2505" s="56" t="n">
        <v>1995</v>
      </c>
      <c r="C2505" s="56" t="n">
        <v>6</v>
      </c>
      <c r="D2505" s="56" t="n">
        <v>56</v>
      </c>
      <c r="E2505" s="56" t="n">
        <v>25.5</v>
      </c>
      <c r="F2505" s="56" t="n">
        <v>0</v>
      </c>
      <c r="G2505" s="56" t="n">
        <v>11.8</v>
      </c>
      <c r="H2505" s="56" t="n">
        <v>0</v>
      </c>
      <c r="I2505" s="56" t="n">
        <v>18</v>
      </c>
      <c r="J2505" s="56" t="n">
        <v>0</v>
      </c>
      <c r="K2505" s="56" t="n">
        <v>1027.4</v>
      </c>
      <c r="L2505" s="56" t="n">
        <v>0</v>
      </c>
      <c r="M2505" s="56" t="n">
        <v>69</v>
      </c>
      <c r="N2505" s="56" t="n">
        <v>10.9</v>
      </c>
      <c r="O2505" s="56" t="n">
        <f aca="false">IF(D2505=1,"",E2504)</f>
        <v>24.1</v>
      </c>
      <c r="P2505" s="56" t="n">
        <f aca="false">IF(OR(D2505=1,K2504=""),"",K2504)</f>
        <v>1026.5</v>
      </c>
      <c r="Q2505" s="56" t="n">
        <f aca="false">IF(OR(F2505&lt;&gt;0,AND(I2505&lt;&gt;"",E2505&lt;I2505)),1,0)</f>
        <v>0</v>
      </c>
      <c r="R2505" s="56" t="n">
        <f aca="false">IF(AND(D2505&gt;1,Q2505=0,ISNUMBER(O2505),ISNUMBER(P2505)),IF(Q2504=0,1,0),0)</f>
        <v>1</v>
      </c>
      <c r="S2505" s="56" t="n">
        <f aca="false">R2505*(B2505&gt;=Train_Start)*(B2505&lt;=Train_End)</f>
        <v>1</v>
      </c>
      <c r="T2505" s="84" t="n">
        <f aca="false">IF(AND(ISNUMBER(O2505),ISNUMBER(P2505)),Coef_A+Coef_B1*O2505+Coef_B2*P2505,"")</f>
        <v>24.0342468161139</v>
      </c>
      <c r="U2505" s="84" t="n">
        <f aca="false">IF(AND(R2505=1,ISNUMBER(T2505)),E2505-T2505,"")</f>
        <v>1.46575318388614</v>
      </c>
      <c r="V2505" s="84" t="n">
        <f aca="false">IF(ISNUMBER(T2505),T2505,-99)</f>
        <v>24.0342468161139</v>
      </c>
      <c r="W2505" s="84" t="n">
        <f aca="false">IF(ISNUMBER(U2505),ABS(U2505),"")</f>
        <v>1.46575318388614</v>
      </c>
    </row>
    <row r="2506" customFormat="false" ht="15" hidden="false" customHeight="false" outlineLevel="0" collapsed="false">
      <c r="A2506" s="57" t="n">
        <v>34876</v>
      </c>
      <c r="B2506" s="56" t="n">
        <v>1995</v>
      </c>
      <c r="C2506" s="56" t="n">
        <v>6</v>
      </c>
      <c r="D2506" s="56" t="n">
        <v>57</v>
      </c>
      <c r="E2506" s="56" t="n">
        <v>27.1</v>
      </c>
      <c r="F2506" s="56" t="n">
        <v>0</v>
      </c>
      <c r="G2506" s="56" t="n">
        <v>11.4</v>
      </c>
      <c r="H2506" s="56" t="n">
        <v>0</v>
      </c>
      <c r="I2506" s="56" t="n">
        <v>18.4</v>
      </c>
      <c r="J2506" s="56" t="n">
        <v>0</v>
      </c>
      <c r="K2506" s="56" t="n">
        <v>1027</v>
      </c>
      <c r="L2506" s="56" t="n">
        <v>0</v>
      </c>
      <c r="M2506" s="56" t="n">
        <v>71</v>
      </c>
      <c r="N2506" s="56" t="n">
        <v>11.1</v>
      </c>
      <c r="O2506" s="56" t="n">
        <f aca="false">IF(D2506=1,"",E2505)</f>
        <v>25.5</v>
      </c>
      <c r="P2506" s="56" t="n">
        <f aca="false">IF(OR(D2506=1,K2505=""),"",K2505)</f>
        <v>1027.4</v>
      </c>
      <c r="Q2506" s="56" t="n">
        <f aca="false">IF(OR(F2506&lt;&gt;0,AND(I2506&lt;&gt;"",E2506&lt;I2506)),1,0)</f>
        <v>0</v>
      </c>
      <c r="R2506" s="56" t="n">
        <f aca="false">IF(AND(D2506&gt;1,Q2506=0,ISNUMBER(O2506),ISNUMBER(P2506)),IF(Q2505=0,1,0),0)</f>
        <v>1</v>
      </c>
      <c r="S2506" s="56" t="n">
        <f aca="false">R2506*(B2506&gt;=Train_Start)*(B2506&lt;=Train_End)</f>
        <v>1</v>
      </c>
      <c r="T2506" s="84" t="n">
        <f aca="false">IF(AND(ISNUMBER(O2506),ISNUMBER(P2506)),Coef_A+Coef_B1*O2506+Coef_B2*P2506,"")</f>
        <v>25.2095545915442</v>
      </c>
      <c r="U2506" s="84" t="n">
        <f aca="false">IF(AND(R2506=1,ISNUMBER(T2506)),E2506-T2506,"")</f>
        <v>1.89044540845583</v>
      </c>
      <c r="V2506" s="84" t="n">
        <f aca="false">IF(ISNUMBER(T2506),T2506,-99)</f>
        <v>25.2095545915442</v>
      </c>
      <c r="W2506" s="84" t="n">
        <f aca="false">IF(ISNUMBER(U2506),ABS(U2506),"")</f>
        <v>1.89044540845583</v>
      </c>
    </row>
    <row r="2507" customFormat="false" ht="15" hidden="false" customHeight="false" outlineLevel="0" collapsed="false">
      <c r="A2507" s="57" t="n">
        <v>34877</v>
      </c>
      <c r="B2507" s="56" t="n">
        <v>1995</v>
      </c>
      <c r="C2507" s="56" t="n">
        <v>6</v>
      </c>
      <c r="D2507" s="56" t="n">
        <v>58</v>
      </c>
      <c r="E2507" s="56" t="n">
        <v>31</v>
      </c>
      <c r="F2507" s="56" t="n">
        <v>0</v>
      </c>
      <c r="G2507" s="56" t="n">
        <v>11.9</v>
      </c>
      <c r="H2507" s="56" t="n">
        <v>0</v>
      </c>
      <c r="I2507" s="56" t="n">
        <v>19.5</v>
      </c>
      <c r="J2507" s="56" t="n">
        <v>0</v>
      </c>
      <c r="K2507" s="56" t="n">
        <v>1023.6</v>
      </c>
      <c r="L2507" s="56" t="n">
        <v>0</v>
      </c>
      <c r="M2507" s="56" t="n">
        <v>65</v>
      </c>
      <c r="N2507" s="56" t="n">
        <v>11.1</v>
      </c>
      <c r="O2507" s="56" t="n">
        <f aca="false">IF(D2507=1,"",E2506)</f>
        <v>27.1</v>
      </c>
      <c r="P2507" s="56" t="n">
        <f aca="false">IF(OR(D2507=1,K2506=""),"",K2506)</f>
        <v>1027</v>
      </c>
      <c r="Q2507" s="56" t="n">
        <f aca="false">IF(OR(F2507&lt;&gt;0,AND(I2507&lt;&gt;"",E2507&lt;I2507)),1,0)</f>
        <v>0</v>
      </c>
      <c r="R2507" s="56" t="n">
        <f aca="false">IF(AND(D2507&gt;1,Q2507=0,ISNUMBER(O2507),ISNUMBER(P2507)),IF(Q2506=0,1,0),0)</f>
        <v>1</v>
      </c>
      <c r="S2507" s="56" t="n">
        <f aca="false">R2507*(B2507&gt;=Train_Start)*(B2507&lt;=Train_End)</f>
        <v>1</v>
      </c>
      <c r="T2507" s="84" t="n">
        <f aca="false">IF(AND(ISNUMBER(O2507),ISNUMBER(P2507)),Coef_A+Coef_B1*O2507+Coef_B2*P2507,"")</f>
        <v>26.5079493425588</v>
      </c>
      <c r="U2507" s="84" t="n">
        <f aca="false">IF(AND(R2507=1,ISNUMBER(T2507)),E2507-T2507,"")</f>
        <v>4.49205065744117</v>
      </c>
      <c r="V2507" s="84" t="n">
        <f aca="false">IF(ISNUMBER(T2507),T2507,-99)</f>
        <v>26.5079493425588</v>
      </c>
      <c r="W2507" s="84" t="n">
        <f aca="false">IF(ISNUMBER(U2507),ABS(U2507),"")</f>
        <v>4.49205065744117</v>
      </c>
    </row>
    <row r="2508" customFormat="false" ht="15" hidden="false" customHeight="false" outlineLevel="0" collapsed="false">
      <c r="A2508" s="57" t="n">
        <v>34878</v>
      </c>
      <c r="B2508" s="56" t="n">
        <v>1995</v>
      </c>
      <c r="C2508" s="56" t="n">
        <v>6</v>
      </c>
      <c r="D2508" s="56" t="n">
        <v>59</v>
      </c>
      <c r="E2508" s="56" t="n">
        <v>29.3</v>
      </c>
      <c r="F2508" s="56" t="n">
        <v>0</v>
      </c>
      <c r="G2508" s="56" t="n">
        <v>12.3</v>
      </c>
      <c r="H2508" s="56" t="n">
        <v>0</v>
      </c>
      <c r="I2508" s="56" t="n">
        <v>21.6</v>
      </c>
      <c r="J2508" s="56" t="n">
        <v>0</v>
      </c>
      <c r="K2508" s="56" t="n">
        <v>1020.9</v>
      </c>
      <c r="L2508" s="56" t="n">
        <v>0</v>
      </c>
      <c r="M2508" s="56" t="n">
        <v>63</v>
      </c>
      <c r="N2508" s="56" t="n">
        <v>12.6</v>
      </c>
      <c r="O2508" s="56" t="n">
        <f aca="false">IF(D2508=1,"",E2507)</f>
        <v>31</v>
      </c>
      <c r="P2508" s="56" t="n">
        <f aca="false">IF(OR(D2508=1,K2507=""),"",K2507)</f>
        <v>1023.6</v>
      </c>
      <c r="Q2508" s="56" t="n">
        <f aca="false">IF(OR(F2508&lt;&gt;0,AND(I2508&lt;&gt;"",E2508&lt;I2508)),1,0)</f>
        <v>0</v>
      </c>
      <c r="R2508" s="56" t="n">
        <f aca="false">IF(AND(D2508&gt;1,Q2508=0,ISNUMBER(O2508),ISNUMBER(P2508)),IF(Q2507=0,1,0),0)</f>
        <v>1</v>
      </c>
      <c r="S2508" s="56" t="n">
        <f aca="false">R2508*(B2508&gt;=Train_Start)*(B2508&lt;=Train_End)</f>
        <v>1</v>
      </c>
      <c r="T2508" s="84" t="n">
        <f aca="false">IF(AND(ISNUMBER(O2508),ISNUMBER(P2508)),Coef_A+Coef_B1*O2508+Coef_B2*P2508,"")</f>
        <v>29.5967145536696</v>
      </c>
      <c r="U2508" s="84" t="n">
        <f aca="false">IF(AND(R2508=1,ISNUMBER(T2508)),E2508-T2508,"")</f>
        <v>-0.296714553669627</v>
      </c>
      <c r="V2508" s="84" t="n">
        <f aca="false">IF(ISNUMBER(T2508),T2508,-99)</f>
        <v>29.5967145536696</v>
      </c>
      <c r="W2508" s="84" t="n">
        <f aca="false">IF(ISNUMBER(U2508),ABS(U2508),"")</f>
        <v>0.296714553669627</v>
      </c>
    </row>
    <row r="2509" customFormat="false" ht="15" hidden="false" customHeight="false" outlineLevel="0" collapsed="false">
      <c r="A2509" s="57" t="n">
        <v>34879</v>
      </c>
      <c r="B2509" s="56" t="n">
        <v>1995</v>
      </c>
      <c r="C2509" s="56" t="n">
        <v>6</v>
      </c>
      <c r="D2509" s="56" t="n">
        <v>60</v>
      </c>
      <c r="E2509" s="56" t="n">
        <v>32.3</v>
      </c>
      <c r="F2509" s="56" t="n">
        <v>0</v>
      </c>
      <c r="G2509" s="56" t="n">
        <v>14.2</v>
      </c>
      <c r="H2509" s="56" t="n">
        <v>0</v>
      </c>
      <c r="I2509" s="56" t="n">
        <v>21.8</v>
      </c>
      <c r="J2509" s="56" t="n">
        <v>0</v>
      </c>
      <c r="K2509" s="56" t="n">
        <v>1019.3</v>
      </c>
      <c r="L2509" s="56" t="n">
        <v>0</v>
      </c>
      <c r="M2509" s="56" t="n">
        <v>42</v>
      </c>
      <c r="N2509" s="56" t="n">
        <v>15.7</v>
      </c>
      <c r="O2509" s="56" t="n">
        <f aca="false">IF(D2509=1,"",E2508)</f>
        <v>29.3</v>
      </c>
      <c r="P2509" s="56" t="n">
        <f aca="false">IF(OR(D2509=1,K2508=""),"",K2508)</f>
        <v>1020.9</v>
      </c>
      <c r="Q2509" s="56" t="n">
        <f aca="false">IF(OR(F2509&lt;&gt;0,AND(I2509&lt;&gt;"",E2509&lt;I2509)),1,0)</f>
        <v>0</v>
      </c>
      <c r="R2509" s="56" t="n">
        <f aca="false">IF(AND(D2509&gt;1,Q2509=0,ISNUMBER(O2509),ISNUMBER(P2509)),IF(Q2508=0,1,0),0)</f>
        <v>1</v>
      </c>
      <c r="S2509" s="56" t="n">
        <f aca="false">R2509*(B2509&gt;=Train_Start)*(B2509&lt;=Train_End)</f>
        <v>1</v>
      </c>
      <c r="T2509" s="84" t="n">
        <f aca="false">IF(AND(ISNUMBER(O2509),ISNUMBER(P2509)),Coef_A+Coef_B1*O2509+Coef_B2*P2509,"")</f>
        <v>28.1191392099853</v>
      </c>
      <c r="U2509" s="84" t="n">
        <f aca="false">IF(AND(R2509=1,ISNUMBER(T2509)),E2509-T2509,"")</f>
        <v>4.18086079001466</v>
      </c>
      <c r="V2509" s="84" t="n">
        <f aca="false">IF(ISNUMBER(T2509),T2509,-99)</f>
        <v>28.1191392099853</v>
      </c>
      <c r="W2509" s="84" t="n">
        <f aca="false">IF(ISNUMBER(U2509),ABS(U2509),"")</f>
        <v>4.18086079001466</v>
      </c>
    </row>
    <row r="2510" customFormat="false" ht="15" hidden="false" customHeight="false" outlineLevel="0" collapsed="false">
      <c r="A2510" s="57" t="n">
        <v>34880</v>
      </c>
      <c r="B2510" s="56" t="n">
        <v>1995</v>
      </c>
      <c r="C2510" s="56" t="n">
        <v>6</v>
      </c>
      <c r="D2510" s="56" t="n">
        <v>61</v>
      </c>
      <c r="E2510" s="56" t="n">
        <v>22.9</v>
      </c>
      <c r="F2510" s="56" t="n">
        <v>1</v>
      </c>
      <c r="G2510" s="56" t="n">
        <v>13.7</v>
      </c>
      <c r="H2510" s="56" t="n">
        <v>0</v>
      </c>
      <c r="I2510" s="56" t="n">
        <v>23</v>
      </c>
      <c r="J2510" s="56" t="n">
        <v>1</v>
      </c>
      <c r="K2510" s="56" t="n">
        <v>1015.1</v>
      </c>
      <c r="L2510" s="56" t="n">
        <v>0</v>
      </c>
      <c r="M2510" s="56" t="n">
        <v>58</v>
      </c>
      <c r="N2510" s="56" t="n">
        <v>14.9</v>
      </c>
      <c r="O2510" s="56" t="n">
        <f aca="false">IF(D2510=1,"",E2509)</f>
        <v>32.3</v>
      </c>
      <c r="P2510" s="56" t="n">
        <f aca="false">IF(OR(D2510=1,K2509=""),"",K2509)</f>
        <v>1019.3</v>
      </c>
      <c r="Q2510" s="56" t="n">
        <f aca="false">IF(OR(F2510&lt;&gt;0,AND(I2510&lt;&gt;"",E2510&lt;I2510)),1,0)</f>
        <v>1</v>
      </c>
      <c r="R2510" s="56" t="n">
        <f aca="false">IF(AND(D2510&gt;1,Q2510=0,ISNUMBER(O2510),ISNUMBER(P2510)),IF(Q2509=0,1,0),0)</f>
        <v>0</v>
      </c>
      <c r="S2510" s="56" t="n">
        <f aca="false">R2510*(B2510&gt;=Train_Start)*(B2510&lt;=Train_End)</f>
        <v>0</v>
      </c>
      <c r="T2510" s="84" t="n">
        <f aca="false">IF(AND(ISNUMBER(O2510),ISNUMBER(P2510)),Coef_A+Coef_B1*O2510+Coef_B2*P2510,"")</f>
        <v>30.5269649576989</v>
      </c>
      <c r="U2510" s="84" t="str">
        <f aca="false">IF(AND(R2510=1,ISNUMBER(T2510)),E2510-T2510,"")</f>
        <v/>
      </c>
      <c r="V2510" s="84" t="n">
        <f aca="false">IF(ISNUMBER(T2510),T2510,-99)</f>
        <v>30.5269649576989</v>
      </c>
      <c r="W2510" s="84" t="str">
        <f aca="false">IF(ISNUMBER(U2510),ABS(U2510),"")</f>
        <v/>
      </c>
    </row>
    <row r="2511" customFormat="false" ht="15" hidden="false" customHeight="false" outlineLevel="0" collapsed="false">
      <c r="A2511" s="57" t="n">
        <v>34881</v>
      </c>
      <c r="B2511" s="56" t="n">
        <v>1995</v>
      </c>
      <c r="C2511" s="56" t="n">
        <v>7</v>
      </c>
      <c r="D2511" s="56" t="n">
        <v>62</v>
      </c>
      <c r="E2511" s="56" t="n">
        <v>20.4</v>
      </c>
      <c r="F2511" s="56" t="n">
        <v>0</v>
      </c>
      <c r="G2511" s="56" t="n">
        <v>13.6</v>
      </c>
      <c r="H2511" s="56" t="n">
        <v>0</v>
      </c>
      <c r="I2511" s="56" t="n">
        <v>18.2</v>
      </c>
      <c r="J2511" s="56" t="n">
        <v>0</v>
      </c>
      <c r="K2511" s="56" t="n">
        <v>1016.7</v>
      </c>
      <c r="L2511" s="56" t="n">
        <v>0</v>
      </c>
      <c r="M2511" s="56" t="n">
        <v>70</v>
      </c>
      <c r="N2511" s="56" t="n">
        <v>7.2</v>
      </c>
      <c r="O2511" s="56" t="n">
        <f aca="false">IF(D2511=1,"",E2510)</f>
        <v>22.9</v>
      </c>
      <c r="P2511" s="56" t="n">
        <f aca="false">IF(OR(D2511=1,K2510=""),"",K2510)</f>
        <v>1015.1</v>
      </c>
      <c r="Q2511" s="56" t="n">
        <f aca="false">IF(OR(F2511&lt;&gt;0,AND(I2511&lt;&gt;"",E2511&lt;I2511)),1,0)</f>
        <v>0</v>
      </c>
      <c r="R2511" s="56" t="n">
        <f aca="false">IF(AND(D2511&gt;1,Q2511=0,ISNUMBER(O2511),ISNUMBER(P2511)),IF(Q2510=0,1,0),0)</f>
        <v>0</v>
      </c>
      <c r="S2511" s="56" t="n">
        <f aca="false">R2511*(B2511&gt;=Train_Start)*(B2511&lt;=Train_End)</f>
        <v>0</v>
      </c>
      <c r="T2511" s="84" t="n">
        <f aca="false">IF(AND(ISNUMBER(O2511),ISNUMBER(P2511)),Coef_A+Coef_B1*O2511+Coef_B2*P2511,"")</f>
        <v>22.6934229856352</v>
      </c>
      <c r="U2511" s="84" t="str">
        <f aca="false">IF(AND(R2511=1,ISNUMBER(T2511)),E2511-T2511,"")</f>
        <v/>
      </c>
      <c r="V2511" s="84" t="n">
        <f aca="false">IF(ISNUMBER(T2511),T2511,-99)</f>
        <v>22.6934229856352</v>
      </c>
      <c r="W2511" s="84" t="str">
        <f aca="false">IF(ISNUMBER(U2511),ABS(U2511),"")</f>
        <v/>
      </c>
    </row>
    <row r="2512" customFormat="false" ht="15" hidden="false" customHeight="false" outlineLevel="0" collapsed="false">
      <c r="A2512" s="57" t="n">
        <v>34882</v>
      </c>
      <c r="B2512" s="56" t="n">
        <v>1995</v>
      </c>
      <c r="C2512" s="56" t="n">
        <v>7</v>
      </c>
      <c r="D2512" s="56" t="n">
        <v>63</v>
      </c>
      <c r="E2512" s="56" t="n">
        <v>20.1</v>
      </c>
      <c r="F2512" s="56" t="n">
        <v>0</v>
      </c>
      <c r="G2512" s="56" t="n">
        <v>11.4</v>
      </c>
      <c r="H2512" s="56" t="n">
        <v>0</v>
      </c>
      <c r="I2512" s="56" t="n">
        <v>15.9</v>
      </c>
      <c r="J2512" s="56" t="n">
        <v>0</v>
      </c>
      <c r="K2512" s="56" t="n">
        <v>1008</v>
      </c>
      <c r="L2512" s="56" t="n">
        <v>0</v>
      </c>
      <c r="M2512" s="56" t="n">
        <v>82</v>
      </c>
      <c r="N2512" s="56" t="n">
        <v>0.7</v>
      </c>
      <c r="O2512" s="56" t="n">
        <f aca="false">IF(D2512=1,"",E2511)</f>
        <v>20.4</v>
      </c>
      <c r="P2512" s="56" t="n">
        <f aca="false">IF(OR(D2512=1,K2511=""),"",K2511)</f>
        <v>1016.7</v>
      </c>
      <c r="Q2512" s="56" t="n">
        <f aca="false">IF(OR(F2512&lt;&gt;0,AND(I2512&lt;&gt;"",E2512&lt;I2512)),1,0)</f>
        <v>0</v>
      </c>
      <c r="R2512" s="56" t="n">
        <f aca="false">IF(AND(D2512&gt;1,Q2512=0,ISNUMBER(O2512),ISNUMBER(P2512)),IF(Q2511=0,1,0),0)</f>
        <v>1</v>
      </c>
      <c r="S2512" s="56" t="n">
        <f aca="false">R2512*(B2512&gt;=Train_Start)*(B2512&lt;=Train_End)</f>
        <v>1</v>
      </c>
      <c r="T2512" s="84" t="n">
        <f aca="false">IF(AND(ISNUMBER(O2512),ISNUMBER(P2512)),Coef_A+Coef_B1*O2512+Coef_B2*P2512,"")</f>
        <v>20.6952668344429</v>
      </c>
      <c r="U2512" s="84" t="n">
        <f aca="false">IF(AND(R2512=1,ISNUMBER(T2512)),E2512-T2512,"")</f>
        <v>-0.595266834442928</v>
      </c>
      <c r="V2512" s="84" t="n">
        <f aca="false">IF(ISNUMBER(T2512),T2512,-99)</f>
        <v>20.6952668344429</v>
      </c>
      <c r="W2512" s="84" t="n">
        <f aca="false">IF(ISNUMBER(U2512),ABS(U2512),"")</f>
        <v>0.595266834442928</v>
      </c>
    </row>
    <row r="2513" customFormat="false" ht="15" hidden="false" customHeight="false" outlineLevel="0" collapsed="false">
      <c r="A2513" s="57" t="n">
        <v>34883</v>
      </c>
      <c r="B2513" s="56" t="n">
        <v>1995</v>
      </c>
      <c r="C2513" s="56" t="n">
        <v>7</v>
      </c>
      <c r="D2513" s="56" t="n">
        <v>64</v>
      </c>
      <c r="E2513" s="56" t="n">
        <v>23.3</v>
      </c>
      <c r="F2513" s="56" t="n">
        <v>0</v>
      </c>
      <c r="G2513" s="56" t="n">
        <v>13</v>
      </c>
      <c r="H2513" s="56" t="n">
        <v>0</v>
      </c>
      <c r="I2513" s="56" t="n">
        <v>16.6</v>
      </c>
      <c r="J2513" s="56" t="n">
        <v>0</v>
      </c>
      <c r="K2513" s="56" t="n">
        <v>1005.7</v>
      </c>
      <c r="L2513" s="56" t="n">
        <v>0</v>
      </c>
      <c r="M2513" s="56" t="n">
        <v>76</v>
      </c>
      <c r="N2513" s="56" t="n">
        <v>2.3</v>
      </c>
      <c r="O2513" s="56" t="n">
        <f aca="false">IF(D2513=1,"",E2512)</f>
        <v>20.1</v>
      </c>
      <c r="P2513" s="56" t="n">
        <f aca="false">IF(OR(D2513=1,K2512=""),"",K2512)</f>
        <v>1008</v>
      </c>
      <c r="Q2513" s="56" t="n">
        <f aca="false">IF(OR(F2513&lt;&gt;0,AND(I2513&lt;&gt;"",E2513&lt;I2513)),1,0)</f>
        <v>0</v>
      </c>
      <c r="R2513" s="56" t="n">
        <f aca="false">IF(AND(D2513&gt;1,Q2513=0,ISNUMBER(O2513),ISNUMBER(P2513)),IF(Q2512=0,1,0),0)</f>
        <v>1</v>
      </c>
      <c r="S2513" s="56" t="n">
        <f aca="false">R2513*(B2513&gt;=Train_Start)*(B2513&lt;=Train_End)</f>
        <v>1</v>
      </c>
      <c r="T2513" s="84" t="n">
        <f aca="false">IF(AND(ISNUMBER(O2513),ISNUMBER(P2513)),Coef_A+Coef_B1*O2513+Coef_B2*P2513,"")</f>
        <v>20.1765469932144</v>
      </c>
      <c r="U2513" s="84" t="n">
        <f aca="false">IF(AND(R2513=1,ISNUMBER(T2513)),E2513-T2513,"")</f>
        <v>3.12345300678557</v>
      </c>
      <c r="V2513" s="84" t="n">
        <f aca="false">IF(ISNUMBER(T2513),T2513,-99)</f>
        <v>20.1765469932144</v>
      </c>
      <c r="W2513" s="84" t="n">
        <f aca="false">IF(ISNUMBER(U2513),ABS(U2513),"")</f>
        <v>3.12345300678557</v>
      </c>
    </row>
    <row r="2514" customFormat="false" ht="15" hidden="false" customHeight="false" outlineLevel="0" collapsed="false">
      <c r="A2514" s="57" t="n">
        <v>34884</v>
      </c>
      <c r="B2514" s="56" t="n">
        <v>1995</v>
      </c>
      <c r="C2514" s="56" t="n">
        <v>7</v>
      </c>
      <c r="D2514" s="56" t="n">
        <v>65</v>
      </c>
      <c r="E2514" s="56" t="n">
        <v>24.5</v>
      </c>
      <c r="F2514" s="56" t="n">
        <v>0</v>
      </c>
      <c r="G2514" s="56" t="n">
        <v>12.4</v>
      </c>
      <c r="H2514" s="56" t="n">
        <v>0</v>
      </c>
      <c r="I2514" s="56" t="n">
        <v>17.8</v>
      </c>
      <c r="J2514" s="56" t="n">
        <v>0</v>
      </c>
      <c r="K2514" s="56" t="n">
        <v>1014.7</v>
      </c>
      <c r="L2514" s="56" t="n">
        <v>0</v>
      </c>
      <c r="M2514" s="56" t="n">
        <v>62</v>
      </c>
      <c r="N2514" s="56" t="n">
        <v>9.8</v>
      </c>
      <c r="O2514" s="56" t="n">
        <f aca="false">IF(D2514=1,"",E2513)</f>
        <v>23.3</v>
      </c>
      <c r="P2514" s="56" t="n">
        <f aca="false">IF(OR(D2514=1,K2513=""),"",K2513)</f>
        <v>1005.7</v>
      </c>
      <c r="Q2514" s="56" t="n">
        <f aca="false">IF(OR(F2514&lt;&gt;0,AND(I2514&lt;&gt;"",E2514&lt;I2514)),1,0)</f>
        <v>0</v>
      </c>
      <c r="R2514" s="56" t="n">
        <f aca="false">IF(AND(D2514&gt;1,Q2514=0,ISNUMBER(O2514),ISNUMBER(P2514)),IF(Q2513=0,1,0),0)</f>
        <v>1</v>
      </c>
      <c r="S2514" s="56" t="n">
        <f aca="false">R2514*(B2514&gt;=Train_Start)*(B2514&lt;=Train_End)</f>
        <v>1</v>
      </c>
      <c r="T2514" s="84" t="n">
        <f aca="false">IF(AND(ISNUMBER(O2514),ISNUMBER(P2514)),Coef_A+Coef_B1*O2514+Coef_B2*P2514,"")</f>
        <v>22.7262816532928</v>
      </c>
      <c r="U2514" s="84" t="n">
        <f aca="false">IF(AND(R2514=1,ISNUMBER(T2514)),E2514-T2514,"")</f>
        <v>1.77371834670724</v>
      </c>
      <c r="V2514" s="84" t="n">
        <f aca="false">IF(ISNUMBER(T2514),T2514,-99)</f>
        <v>22.7262816532928</v>
      </c>
      <c r="W2514" s="84" t="n">
        <f aca="false">IF(ISNUMBER(U2514),ABS(U2514),"")</f>
        <v>1.77371834670724</v>
      </c>
    </row>
    <row r="2515" customFormat="false" ht="15" hidden="false" customHeight="false" outlineLevel="0" collapsed="false">
      <c r="A2515" s="57" t="n">
        <v>34885</v>
      </c>
      <c r="B2515" s="56" t="n">
        <v>1995</v>
      </c>
      <c r="C2515" s="56" t="n">
        <v>7</v>
      </c>
      <c r="D2515" s="56" t="n">
        <v>66</v>
      </c>
      <c r="E2515" s="56" t="n">
        <v>25.1</v>
      </c>
      <c r="F2515" s="56" t="n">
        <v>0</v>
      </c>
      <c r="G2515" s="56" t="n">
        <v>16.1</v>
      </c>
      <c r="H2515" s="56" t="n">
        <v>0</v>
      </c>
      <c r="I2515" s="56" t="n">
        <v>20.3</v>
      </c>
      <c r="J2515" s="56" t="n">
        <v>0</v>
      </c>
      <c r="K2515" s="56" t="n">
        <v>1020.1</v>
      </c>
      <c r="L2515" s="56" t="n">
        <v>0</v>
      </c>
      <c r="M2515" s="56" t="n">
        <v>62</v>
      </c>
      <c r="N2515" s="56" t="n">
        <v>5</v>
      </c>
      <c r="O2515" s="56" t="n">
        <f aca="false">IF(D2515=1,"",E2514)</f>
        <v>24.5</v>
      </c>
      <c r="P2515" s="56" t="n">
        <f aca="false">IF(OR(D2515=1,K2514=""),"",K2514)</f>
        <v>1014.7</v>
      </c>
      <c r="Q2515" s="56" t="n">
        <f aca="false">IF(OR(F2515&lt;&gt;0,AND(I2515&lt;&gt;"",E2515&lt;I2515)),1,0)</f>
        <v>0</v>
      </c>
      <c r="R2515" s="56" t="n">
        <f aca="false">IF(AND(D2515&gt;1,Q2515=0,ISNUMBER(O2515),ISNUMBER(P2515)),IF(Q2514=0,1,0),0)</f>
        <v>1</v>
      </c>
      <c r="S2515" s="56" t="n">
        <f aca="false">R2515*(B2515&gt;=Train_Start)*(B2515&lt;=Train_End)</f>
        <v>1</v>
      </c>
      <c r="T2515" s="84" t="n">
        <f aca="false">IF(AND(ISNUMBER(O2515),ISNUMBER(P2515)),Coef_A+Coef_B1*O2515+Coef_B2*P2515,"")</f>
        <v>23.9918177366498</v>
      </c>
      <c r="U2515" s="84" t="n">
        <f aca="false">IF(AND(R2515=1,ISNUMBER(T2515)),E2515-T2515,"")</f>
        <v>1.10818226335016</v>
      </c>
      <c r="V2515" s="84" t="n">
        <f aca="false">IF(ISNUMBER(T2515),T2515,-99)</f>
        <v>23.9918177366498</v>
      </c>
      <c r="W2515" s="84" t="n">
        <f aca="false">IF(ISNUMBER(U2515),ABS(U2515),"")</f>
        <v>1.10818226335016</v>
      </c>
    </row>
    <row r="2516" customFormat="false" ht="15" hidden="false" customHeight="false" outlineLevel="0" collapsed="false">
      <c r="A2516" s="57" t="n">
        <v>34886</v>
      </c>
      <c r="B2516" s="56" t="n">
        <v>1995</v>
      </c>
      <c r="C2516" s="56" t="n">
        <v>7</v>
      </c>
      <c r="D2516" s="56" t="n">
        <v>67</v>
      </c>
      <c r="E2516" s="56" t="n">
        <v>24</v>
      </c>
      <c r="F2516" s="56" t="n">
        <v>0</v>
      </c>
      <c r="G2516" s="56" t="n">
        <v>12.6</v>
      </c>
      <c r="H2516" s="56" t="n">
        <v>0</v>
      </c>
      <c r="I2516" s="56" t="n">
        <v>18.8</v>
      </c>
      <c r="J2516" s="56" t="n">
        <v>0</v>
      </c>
      <c r="K2516" s="56" t="n">
        <v>1019.5</v>
      </c>
      <c r="L2516" s="56" t="n">
        <v>0</v>
      </c>
      <c r="M2516" s="56" t="n">
        <v>66</v>
      </c>
      <c r="N2516" s="56" t="n">
        <v>10.1</v>
      </c>
      <c r="O2516" s="56" t="n">
        <f aca="false">IF(D2516=1,"",E2515)</f>
        <v>25.1</v>
      </c>
      <c r="P2516" s="56" t="n">
        <f aca="false">IF(OR(D2516=1,K2515=""),"",K2515)</f>
        <v>1020.1</v>
      </c>
      <c r="Q2516" s="56" t="n">
        <f aca="false">IF(OR(F2516&lt;&gt;0,AND(I2516&lt;&gt;"",E2516&lt;I2516)),1,0)</f>
        <v>0</v>
      </c>
      <c r="R2516" s="56" t="n">
        <f aca="false">IF(AND(D2516&gt;1,Q2516=0,ISNUMBER(O2516),ISNUMBER(P2516)),IF(Q2515=0,1,0),0)</f>
        <v>1</v>
      </c>
      <c r="S2516" s="56" t="n">
        <f aca="false">R2516*(B2516&gt;=Train_Start)*(B2516&lt;=Train_End)</f>
        <v>1</v>
      </c>
      <c r="T2516" s="84" t="n">
        <f aca="false">IF(AND(ISNUMBER(O2516),ISNUMBER(P2516)),Coef_A+Coef_B1*O2516+Coef_B2*P2516,"")</f>
        <v>24.652818683499</v>
      </c>
      <c r="U2516" s="84" t="n">
        <f aca="false">IF(AND(R2516=1,ISNUMBER(T2516)),E2516-T2516,"")</f>
        <v>-0.652818683498982</v>
      </c>
      <c r="V2516" s="84" t="n">
        <f aca="false">IF(ISNUMBER(T2516),T2516,-99)</f>
        <v>24.652818683499</v>
      </c>
      <c r="W2516" s="84" t="n">
        <f aca="false">IF(ISNUMBER(U2516),ABS(U2516),"")</f>
        <v>0.652818683498982</v>
      </c>
    </row>
    <row r="2517" customFormat="false" ht="15" hidden="false" customHeight="false" outlineLevel="0" collapsed="false">
      <c r="A2517" s="57" t="n">
        <v>34887</v>
      </c>
      <c r="B2517" s="56" t="n">
        <v>1995</v>
      </c>
      <c r="C2517" s="56" t="n">
        <v>7</v>
      </c>
      <c r="D2517" s="56" t="n">
        <v>68</v>
      </c>
      <c r="E2517" s="56" t="n">
        <v>28.8</v>
      </c>
      <c r="F2517" s="56" t="n">
        <v>0</v>
      </c>
      <c r="G2517" s="56" t="n">
        <v>17.7</v>
      </c>
      <c r="H2517" s="56" t="n">
        <v>0</v>
      </c>
      <c r="I2517" s="56" t="n">
        <v>20.8</v>
      </c>
      <c r="J2517" s="56" t="n">
        <v>0</v>
      </c>
      <c r="K2517" s="56" t="n">
        <v>1019.2</v>
      </c>
      <c r="L2517" s="56" t="n">
        <v>0</v>
      </c>
      <c r="M2517" s="56" t="n">
        <v>66</v>
      </c>
      <c r="N2517" s="56" t="n">
        <v>3.7</v>
      </c>
      <c r="O2517" s="56" t="n">
        <f aca="false">IF(D2517=1,"",E2516)</f>
        <v>24</v>
      </c>
      <c r="P2517" s="56" t="n">
        <f aca="false">IF(OR(D2517=1,K2516=""),"",K2516)</f>
        <v>1019.5</v>
      </c>
      <c r="Q2517" s="56" t="n">
        <f aca="false">IF(OR(F2517&lt;&gt;0,AND(I2517&lt;&gt;"",E2517&lt;I2517)),1,0)</f>
        <v>0</v>
      </c>
      <c r="R2517" s="56" t="n">
        <f aca="false">IF(AND(D2517&gt;1,Q2517=0,ISNUMBER(O2517),ISNUMBER(P2517)),IF(Q2516=0,1,0),0)</f>
        <v>1</v>
      </c>
      <c r="S2517" s="56" t="n">
        <f aca="false">R2517*(B2517&gt;=Train_Start)*(B2517&lt;=Train_End)</f>
        <v>1</v>
      </c>
      <c r="T2517" s="84" t="n">
        <f aca="false">IF(AND(ISNUMBER(O2517),ISNUMBER(P2517)),Coef_A+Coef_B1*O2517+Coef_B2*P2517,"")</f>
        <v>23.7327236343717</v>
      </c>
      <c r="U2517" s="84" t="n">
        <f aca="false">IF(AND(R2517=1,ISNUMBER(T2517)),E2517-T2517,"")</f>
        <v>5.06727636562834</v>
      </c>
      <c r="V2517" s="84" t="n">
        <f aca="false">IF(ISNUMBER(T2517),T2517,-99)</f>
        <v>23.7327236343717</v>
      </c>
      <c r="W2517" s="84" t="n">
        <f aca="false">IF(ISNUMBER(U2517),ABS(U2517),"")</f>
        <v>5.06727636562834</v>
      </c>
    </row>
    <row r="2518" customFormat="false" ht="15" hidden="false" customHeight="false" outlineLevel="0" collapsed="false">
      <c r="A2518" s="57" t="n">
        <v>34888</v>
      </c>
      <c r="B2518" s="56" t="n">
        <v>1995</v>
      </c>
      <c r="C2518" s="56" t="n">
        <v>7</v>
      </c>
      <c r="D2518" s="56" t="n">
        <v>69</v>
      </c>
      <c r="E2518" s="56" t="n">
        <v>29.1</v>
      </c>
      <c r="F2518" s="56" t="n">
        <v>0</v>
      </c>
      <c r="G2518" s="56" t="n">
        <v>13</v>
      </c>
      <c r="H2518" s="56" t="n">
        <v>0</v>
      </c>
      <c r="I2518" s="56" t="n">
        <v>20.9</v>
      </c>
      <c r="J2518" s="56" t="n">
        <v>0</v>
      </c>
      <c r="K2518" s="56" t="n">
        <v>1020.4</v>
      </c>
      <c r="L2518" s="56" t="n">
        <v>0</v>
      </c>
      <c r="M2518" s="56" t="n">
        <v>65</v>
      </c>
      <c r="N2518" s="56" t="n">
        <v>10.1</v>
      </c>
      <c r="O2518" s="56" t="n">
        <f aca="false">IF(D2518=1,"",E2517)</f>
        <v>28.8</v>
      </c>
      <c r="P2518" s="56" t="n">
        <f aca="false">IF(OR(D2518=1,K2517=""),"",K2517)</f>
        <v>1019.2</v>
      </c>
      <c r="Q2518" s="56" t="n">
        <f aca="false">IF(OR(F2518&lt;&gt;0,AND(I2518&lt;&gt;"",E2518&lt;I2518)),1,0)</f>
        <v>0</v>
      </c>
      <c r="R2518" s="56" t="n">
        <f aca="false">IF(AND(D2518&gt;1,Q2518=0,ISNUMBER(O2518),ISNUMBER(P2518)),IF(Q2517=0,1,0),0)</f>
        <v>1</v>
      </c>
      <c r="S2518" s="56" t="n">
        <f aca="false">R2518*(B2518&gt;=Train_Start)*(B2518&lt;=Train_End)</f>
        <v>1</v>
      </c>
      <c r="T2518" s="84" t="n">
        <f aca="false">IF(AND(ISNUMBER(O2518),ISNUMBER(P2518)),Coef_A+Coef_B1*O2518+Coef_B2*P2518,"")</f>
        <v>27.6561407925862</v>
      </c>
      <c r="U2518" s="84" t="n">
        <f aca="false">IF(AND(R2518=1,ISNUMBER(T2518)),E2518-T2518,"")</f>
        <v>1.44385920741378</v>
      </c>
      <c r="V2518" s="84" t="n">
        <f aca="false">IF(ISNUMBER(T2518),T2518,-99)</f>
        <v>27.6561407925862</v>
      </c>
      <c r="W2518" s="84" t="n">
        <f aca="false">IF(ISNUMBER(U2518),ABS(U2518),"")</f>
        <v>1.44385920741378</v>
      </c>
    </row>
    <row r="2519" customFormat="false" ht="15" hidden="false" customHeight="false" outlineLevel="0" collapsed="false">
      <c r="A2519" s="57" t="n">
        <v>34889</v>
      </c>
      <c r="B2519" s="56" t="n">
        <v>1995</v>
      </c>
      <c r="C2519" s="56" t="n">
        <v>7</v>
      </c>
      <c r="D2519" s="56" t="n">
        <v>70</v>
      </c>
      <c r="E2519" s="56" t="n">
        <v>32</v>
      </c>
      <c r="F2519" s="56" t="n">
        <v>0</v>
      </c>
      <c r="G2519" s="56" t="n">
        <v>14.9</v>
      </c>
      <c r="H2519" s="56" t="n">
        <v>0</v>
      </c>
      <c r="I2519" s="56" t="n">
        <v>22</v>
      </c>
      <c r="J2519" s="56" t="n">
        <v>0</v>
      </c>
      <c r="K2519" s="56" t="n">
        <v>1020.1</v>
      </c>
      <c r="L2519" s="56" t="n">
        <v>0</v>
      </c>
      <c r="M2519" s="56" t="n">
        <v>68</v>
      </c>
      <c r="N2519" s="56" t="n">
        <v>9.8</v>
      </c>
      <c r="O2519" s="56" t="n">
        <f aca="false">IF(D2519=1,"",E2518)</f>
        <v>29.1</v>
      </c>
      <c r="P2519" s="56" t="n">
        <f aca="false">IF(OR(D2519=1,K2518=""),"",K2518)</f>
        <v>1020.4</v>
      </c>
      <c r="Q2519" s="56" t="n">
        <f aca="false">IF(OR(F2519&lt;&gt;0,AND(I2519&lt;&gt;"",E2519&lt;I2519)),1,0)</f>
        <v>0</v>
      </c>
      <c r="R2519" s="56" t="n">
        <f aca="false">IF(AND(D2519&gt;1,Q2519=0,ISNUMBER(O2519),ISNUMBER(P2519)),IF(Q2518=0,1,0),0)</f>
        <v>1</v>
      </c>
      <c r="S2519" s="56" t="n">
        <f aca="false">R2519*(B2519&gt;=Train_Start)*(B2519&lt;=Train_End)</f>
        <v>1</v>
      </c>
      <c r="T2519" s="84" t="n">
        <f aca="false">IF(AND(ISNUMBER(O2519),ISNUMBER(P2519)),Coef_A+Coef_B1*O2519+Coef_B2*P2519,"")</f>
        <v>27.9395864240598</v>
      </c>
      <c r="U2519" s="84" t="n">
        <f aca="false">IF(AND(R2519=1,ISNUMBER(T2519)),E2519-T2519,"")</f>
        <v>4.06041357594019</v>
      </c>
      <c r="V2519" s="84" t="n">
        <f aca="false">IF(ISNUMBER(T2519),T2519,-99)</f>
        <v>27.9395864240598</v>
      </c>
      <c r="W2519" s="84" t="n">
        <f aca="false">IF(ISNUMBER(U2519),ABS(U2519),"")</f>
        <v>4.06041357594019</v>
      </c>
    </row>
    <row r="2520" customFormat="false" ht="15" hidden="false" customHeight="false" outlineLevel="0" collapsed="false">
      <c r="A2520" s="57" t="n">
        <v>34890</v>
      </c>
      <c r="B2520" s="56" t="n">
        <v>1995</v>
      </c>
      <c r="C2520" s="56" t="n">
        <v>7</v>
      </c>
      <c r="D2520" s="56" t="n">
        <v>71</v>
      </c>
      <c r="E2520" s="56" t="n">
        <v>27.8</v>
      </c>
      <c r="F2520" s="56" t="n">
        <v>0</v>
      </c>
      <c r="G2520" s="56" t="n">
        <v>16</v>
      </c>
      <c r="H2520" s="56" t="n">
        <v>0</v>
      </c>
      <c r="I2520" s="56" t="n">
        <v>24</v>
      </c>
      <c r="J2520" s="56" t="n">
        <v>0</v>
      </c>
      <c r="K2520" s="56" t="n">
        <v>1014.5</v>
      </c>
      <c r="L2520" s="56" t="n">
        <v>0</v>
      </c>
      <c r="M2520" s="56" t="n">
        <v>71</v>
      </c>
      <c r="N2520" s="56" t="n">
        <v>6.7</v>
      </c>
      <c r="O2520" s="56" t="n">
        <f aca="false">IF(D2520=1,"",E2519)</f>
        <v>32</v>
      </c>
      <c r="P2520" s="56" t="n">
        <f aca="false">IF(OR(D2520=1,K2519=""),"",K2519)</f>
        <v>1020.1</v>
      </c>
      <c r="Q2520" s="56" t="n">
        <f aca="false">IF(OR(F2520&lt;&gt;0,AND(I2520&lt;&gt;"",E2520&lt;I2520)),1,0)</f>
        <v>0</v>
      </c>
      <c r="R2520" s="56" t="n">
        <f aca="false">IF(AND(D2520&gt;1,Q2520=0,ISNUMBER(O2520),ISNUMBER(P2520)),IF(Q2519=0,1,0),0)</f>
        <v>1</v>
      </c>
      <c r="S2520" s="56" t="n">
        <f aca="false">R2520*(B2520&gt;=Train_Start)*(B2520&lt;=Train_End)</f>
        <v>1</v>
      </c>
      <c r="T2520" s="84" t="n">
        <f aca="false">IF(AND(ISNUMBER(O2520),ISNUMBER(P2520)),Coef_A+Coef_B1*O2520+Coef_B2*P2520,"")</f>
        <v>30.3062591154933</v>
      </c>
      <c r="U2520" s="84" t="n">
        <f aca="false">IF(AND(R2520=1,ISNUMBER(T2520)),E2520-T2520,"")</f>
        <v>-2.50625911549332</v>
      </c>
      <c r="V2520" s="84" t="n">
        <f aca="false">IF(ISNUMBER(T2520),T2520,-99)</f>
        <v>30.3062591154933</v>
      </c>
      <c r="W2520" s="84" t="n">
        <f aca="false">IF(ISNUMBER(U2520),ABS(U2520),"")</f>
        <v>2.50625911549332</v>
      </c>
    </row>
    <row r="2521" customFormat="false" ht="15" hidden="false" customHeight="false" outlineLevel="0" collapsed="false">
      <c r="A2521" s="57" t="n">
        <v>34891</v>
      </c>
      <c r="B2521" s="56" t="n">
        <v>1995</v>
      </c>
      <c r="C2521" s="56" t="n">
        <v>7</v>
      </c>
      <c r="D2521" s="56" t="n">
        <v>72</v>
      </c>
      <c r="E2521" s="56" t="n">
        <v>26.9</v>
      </c>
      <c r="F2521" s="56" t="n">
        <v>0</v>
      </c>
      <c r="G2521" s="56" t="n">
        <v>18.7</v>
      </c>
      <c r="H2521" s="56" t="n">
        <v>0</v>
      </c>
      <c r="I2521" s="56" t="n">
        <v>23.2</v>
      </c>
      <c r="J2521" s="56" t="n">
        <v>0</v>
      </c>
      <c r="K2521" s="56" t="n">
        <v>1009</v>
      </c>
      <c r="L2521" s="56" t="n">
        <v>0</v>
      </c>
      <c r="M2521" s="56" t="n">
        <v>70</v>
      </c>
      <c r="N2521" s="56" t="n">
        <v>7</v>
      </c>
      <c r="O2521" s="56" t="n">
        <f aca="false">IF(D2521=1,"",E2520)</f>
        <v>27.8</v>
      </c>
      <c r="P2521" s="56" t="n">
        <f aca="false">IF(OR(D2521=1,K2520=""),"",K2520)</f>
        <v>1014.5</v>
      </c>
      <c r="Q2521" s="56" t="n">
        <f aca="false">IF(OR(F2521&lt;&gt;0,AND(I2521&lt;&gt;"",E2521&lt;I2521)),1,0)</f>
        <v>0</v>
      </c>
      <c r="R2521" s="56" t="n">
        <f aca="false">IF(AND(D2521&gt;1,Q2521=0,ISNUMBER(O2521),ISNUMBER(P2521)),IF(Q2520=0,1,0),0)</f>
        <v>1</v>
      </c>
      <c r="S2521" s="56" t="n">
        <f aca="false">R2521*(B2521&gt;=Train_Start)*(B2521&lt;=Train_End)</f>
        <v>1</v>
      </c>
      <c r="T2521" s="84" t="n">
        <f aca="false">IF(AND(ISNUMBER(O2521),ISNUMBER(P2521)),Coef_A+Coef_B1*O2521+Coef_B2*P2521,"")</f>
        <v>26.6893630947638</v>
      </c>
      <c r="U2521" s="84" t="n">
        <f aca="false">IF(AND(R2521=1,ISNUMBER(T2521)),E2521-T2521,"")</f>
        <v>0.210636905236182</v>
      </c>
      <c r="V2521" s="84" t="n">
        <f aca="false">IF(ISNUMBER(T2521),T2521,-99)</f>
        <v>26.6893630947638</v>
      </c>
      <c r="W2521" s="84" t="n">
        <f aca="false">IF(ISNUMBER(U2521),ABS(U2521),"")</f>
        <v>0.210636905236182</v>
      </c>
    </row>
    <row r="2522" customFormat="false" ht="15" hidden="false" customHeight="false" outlineLevel="0" collapsed="false">
      <c r="A2522" s="57" t="n">
        <v>34892</v>
      </c>
      <c r="B2522" s="56" t="n">
        <v>1995</v>
      </c>
      <c r="C2522" s="56" t="n">
        <v>7</v>
      </c>
      <c r="D2522" s="56" t="n">
        <v>73</v>
      </c>
      <c r="E2522" s="56" t="n">
        <v>23.9</v>
      </c>
      <c r="F2522" s="56" t="n">
        <v>0</v>
      </c>
      <c r="G2522" s="56" t="n">
        <v>15.4</v>
      </c>
      <c r="H2522" s="56" t="n">
        <v>0</v>
      </c>
      <c r="I2522" s="56" t="n">
        <v>21.2</v>
      </c>
      <c r="J2522" s="56" t="n">
        <v>0</v>
      </c>
      <c r="K2522" s="56" t="n">
        <v>1012.1</v>
      </c>
      <c r="L2522" s="56" t="n">
        <v>0</v>
      </c>
      <c r="M2522" s="56" t="n">
        <v>63</v>
      </c>
      <c r="N2522" s="56" t="n">
        <v>12</v>
      </c>
      <c r="O2522" s="56" t="n">
        <f aca="false">IF(D2522=1,"",E2521)</f>
        <v>26.9</v>
      </c>
      <c r="P2522" s="56" t="n">
        <f aca="false">IF(OR(D2522=1,K2521=""),"",K2521)</f>
        <v>1009</v>
      </c>
      <c r="Q2522" s="56" t="n">
        <f aca="false">IF(OR(F2522&lt;&gt;0,AND(I2522&lt;&gt;"",E2522&lt;I2522)),1,0)</f>
        <v>0</v>
      </c>
      <c r="R2522" s="56" t="n">
        <f aca="false">IF(AND(D2522&gt;1,Q2522=0,ISNUMBER(O2522),ISNUMBER(P2522)),IF(Q2521=0,1,0),0)</f>
        <v>1</v>
      </c>
      <c r="S2522" s="56" t="n">
        <f aca="false">R2522*(B2522&gt;=Train_Start)*(B2522&lt;=Train_End)</f>
        <v>1</v>
      </c>
      <c r="T2522" s="84" t="n">
        <f aca="false">IF(AND(ISNUMBER(O2522),ISNUMBER(P2522)),Coef_A+Coef_B1*O2522+Coef_B2*P2522,"")</f>
        <v>25.7794234005385</v>
      </c>
      <c r="U2522" s="84" t="n">
        <f aca="false">IF(AND(R2522=1,ISNUMBER(T2522)),E2522-T2522,"")</f>
        <v>-1.87942340053849</v>
      </c>
      <c r="V2522" s="84" t="n">
        <f aca="false">IF(ISNUMBER(T2522),T2522,-99)</f>
        <v>25.7794234005385</v>
      </c>
      <c r="W2522" s="84" t="n">
        <f aca="false">IF(ISNUMBER(U2522),ABS(U2522),"")</f>
        <v>1.87942340053849</v>
      </c>
    </row>
    <row r="2523" customFormat="false" ht="15" hidden="false" customHeight="false" outlineLevel="0" collapsed="false">
      <c r="A2523" s="57" t="n">
        <v>34893</v>
      </c>
      <c r="B2523" s="56" t="n">
        <v>1995</v>
      </c>
      <c r="C2523" s="56" t="n">
        <v>7</v>
      </c>
      <c r="D2523" s="56" t="n">
        <v>74</v>
      </c>
      <c r="E2523" s="56" t="n">
        <v>24.4</v>
      </c>
      <c r="F2523" s="56" t="n">
        <v>0</v>
      </c>
      <c r="G2523" s="56" t="n">
        <v>15.4</v>
      </c>
      <c r="H2523" s="56" t="n">
        <v>0</v>
      </c>
      <c r="I2523" s="56" t="n">
        <v>19.6</v>
      </c>
      <c r="J2523" s="56" t="n">
        <v>0</v>
      </c>
      <c r="K2523" s="56" t="n">
        <v>1011.2</v>
      </c>
      <c r="L2523" s="56" t="n">
        <v>0</v>
      </c>
      <c r="M2523" s="56" t="n">
        <v>71</v>
      </c>
      <c r="N2523" s="56" t="n">
        <v>4.4</v>
      </c>
      <c r="O2523" s="56" t="n">
        <f aca="false">IF(D2523=1,"",E2522)</f>
        <v>23.9</v>
      </c>
      <c r="P2523" s="56" t="n">
        <f aca="false">IF(OR(D2523=1,K2522=""),"",K2522)</f>
        <v>1012.1</v>
      </c>
      <c r="Q2523" s="56" t="n">
        <f aca="false">IF(OR(F2523&lt;&gt;0,AND(I2523&lt;&gt;"",E2523&lt;I2523)),1,0)</f>
        <v>0</v>
      </c>
      <c r="R2523" s="56" t="n">
        <f aca="false">IF(AND(D2523&gt;1,Q2523=0,ISNUMBER(O2523),ISNUMBER(P2523)),IF(Q2522=0,1,0),0)</f>
        <v>1</v>
      </c>
      <c r="S2523" s="56" t="n">
        <f aca="false">R2523*(B2523&gt;=Train_Start)*(B2523&lt;=Train_End)</f>
        <v>1</v>
      </c>
      <c r="T2523" s="84" t="n">
        <f aca="false">IF(AND(ISNUMBER(O2523),ISNUMBER(P2523)),Coef_A+Coef_B1*O2523+Coef_B2*P2523,"")</f>
        <v>23.4186524947759</v>
      </c>
      <c r="U2523" s="84" t="n">
        <f aca="false">IF(AND(R2523=1,ISNUMBER(T2523)),E2523-T2523,"")</f>
        <v>0.981347505224122</v>
      </c>
      <c r="V2523" s="84" t="n">
        <f aca="false">IF(ISNUMBER(T2523),T2523,-99)</f>
        <v>23.4186524947759</v>
      </c>
      <c r="W2523" s="84" t="n">
        <f aca="false">IF(ISNUMBER(U2523),ABS(U2523),"")</f>
        <v>0.981347505224122</v>
      </c>
    </row>
    <row r="2524" customFormat="false" ht="15" hidden="false" customHeight="false" outlineLevel="0" collapsed="false">
      <c r="A2524" s="57" t="n">
        <v>34894</v>
      </c>
      <c r="B2524" s="56" t="n">
        <v>1995</v>
      </c>
      <c r="C2524" s="56" t="n">
        <v>7</v>
      </c>
      <c r="D2524" s="56" t="n">
        <v>75</v>
      </c>
      <c r="E2524" s="56" t="n">
        <v>23.2</v>
      </c>
      <c r="F2524" s="56" t="n">
        <v>0</v>
      </c>
      <c r="G2524" s="56" t="n">
        <v>15.9</v>
      </c>
      <c r="H2524" s="56" t="n">
        <v>0</v>
      </c>
      <c r="I2524" s="56" t="n">
        <v>20.2</v>
      </c>
      <c r="J2524" s="56" t="n">
        <v>0</v>
      </c>
      <c r="K2524" s="56" t="n">
        <v>1008.1</v>
      </c>
      <c r="L2524" s="56" t="n">
        <v>0</v>
      </c>
      <c r="M2524" s="56" t="n">
        <v>65</v>
      </c>
      <c r="N2524" s="56" t="n">
        <v>13</v>
      </c>
      <c r="O2524" s="56" t="n">
        <f aca="false">IF(D2524=1,"",E2523)</f>
        <v>24.4</v>
      </c>
      <c r="P2524" s="56" t="n">
        <f aca="false">IF(OR(D2524=1,K2523=""),"",K2523)</f>
        <v>1011.2</v>
      </c>
      <c r="Q2524" s="56" t="n">
        <f aca="false">IF(OR(F2524&lt;&gt;0,AND(I2524&lt;&gt;"",E2524&lt;I2524)),1,0)</f>
        <v>0</v>
      </c>
      <c r="R2524" s="56" t="n">
        <f aca="false">IF(AND(D2524&gt;1,Q2524=0,ISNUMBER(O2524),ISNUMBER(P2524)),IF(Q2523=0,1,0),0)</f>
        <v>1</v>
      </c>
      <c r="S2524" s="56" t="n">
        <f aca="false">R2524*(B2524&gt;=Train_Start)*(B2524&lt;=Train_End)</f>
        <v>1</v>
      </c>
      <c r="T2524" s="84" t="n">
        <f aca="false">IF(AND(ISNUMBER(O2524),ISNUMBER(P2524)),Coef_A+Coef_B1*O2524+Coef_B2*P2524,"")</f>
        <v>23.8000891861266</v>
      </c>
      <c r="U2524" s="84" t="n">
        <f aca="false">IF(AND(R2524=1,ISNUMBER(T2524)),E2524-T2524,"")</f>
        <v>-0.600089186126617</v>
      </c>
      <c r="V2524" s="84" t="n">
        <f aca="false">IF(ISNUMBER(T2524),T2524,-99)</f>
        <v>23.8000891861266</v>
      </c>
      <c r="W2524" s="84" t="n">
        <f aca="false">IF(ISNUMBER(U2524),ABS(U2524),"")</f>
        <v>0.600089186126617</v>
      </c>
    </row>
    <row r="2525" customFormat="false" ht="15" hidden="false" customHeight="false" outlineLevel="0" collapsed="false">
      <c r="A2525" s="57" t="n">
        <v>34895</v>
      </c>
      <c r="B2525" s="56" t="n">
        <v>1995</v>
      </c>
      <c r="C2525" s="56" t="n">
        <v>7</v>
      </c>
      <c r="D2525" s="56" t="n">
        <v>76</v>
      </c>
      <c r="E2525" s="56" t="n">
        <v>24</v>
      </c>
      <c r="F2525" s="56" t="n">
        <v>0</v>
      </c>
      <c r="G2525" s="56" t="n">
        <v>14.6</v>
      </c>
      <c r="H2525" s="56" t="n">
        <v>0</v>
      </c>
      <c r="I2525" s="56" t="n">
        <v>18.9</v>
      </c>
      <c r="J2525" s="56" t="n">
        <v>0</v>
      </c>
      <c r="K2525" s="56" t="n">
        <v>1006.6</v>
      </c>
      <c r="L2525" s="56" t="n">
        <v>0</v>
      </c>
      <c r="M2525" s="56" t="n">
        <v>76</v>
      </c>
      <c r="N2525" s="56" t="n">
        <v>6.3</v>
      </c>
      <c r="O2525" s="56" t="n">
        <f aca="false">IF(D2525=1,"",E2524)</f>
        <v>23.2</v>
      </c>
      <c r="P2525" s="56" t="n">
        <f aca="false">IF(OR(D2525=1,K2524=""),"",K2524)</f>
        <v>1008.1</v>
      </c>
      <c r="Q2525" s="56" t="n">
        <f aca="false">IF(OR(F2525&lt;&gt;0,AND(I2525&lt;&gt;"",E2525&lt;I2525)),1,0)</f>
        <v>0</v>
      </c>
      <c r="R2525" s="56" t="n">
        <f aca="false">IF(AND(D2525&gt;1,Q2525=0,ISNUMBER(O2525),ISNUMBER(P2525)),IF(Q2524=0,1,0),0)</f>
        <v>1</v>
      </c>
      <c r="S2525" s="56" t="n">
        <f aca="false">R2525*(B2525&gt;=Train_Start)*(B2525&lt;=Train_End)</f>
        <v>1</v>
      </c>
      <c r="T2525" s="84" t="n">
        <f aca="false">IF(AND(ISNUMBER(O2525),ISNUMBER(P2525)),Coef_A+Coef_B1*O2525+Coef_B2*P2525,"")</f>
        <v>22.7196354811101</v>
      </c>
      <c r="U2525" s="84" t="n">
        <f aca="false">IF(AND(R2525=1,ISNUMBER(T2525)),E2525-T2525,"")</f>
        <v>1.28036451888994</v>
      </c>
      <c r="V2525" s="84" t="n">
        <f aca="false">IF(ISNUMBER(T2525),T2525,-99)</f>
        <v>22.7196354811101</v>
      </c>
      <c r="W2525" s="84" t="n">
        <f aca="false">IF(ISNUMBER(U2525),ABS(U2525),"")</f>
        <v>1.28036451888994</v>
      </c>
    </row>
    <row r="2526" customFormat="false" ht="15" hidden="false" customHeight="false" outlineLevel="0" collapsed="false">
      <c r="A2526" s="57" t="n">
        <v>34896</v>
      </c>
      <c r="B2526" s="56" t="n">
        <v>1995</v>
      </c>
      <c r="C2526" s="56" t="n">
        <v>7</v>
      </c>
      <c r="D2526" s="56" t="n">
        <v>77</v>
      </c>
      <c r="E2526" s="56" t="n">
        <v>23</v>
      </c>
      <c r="F2526" s="56" t="n">
        <v>0</v>
      </c>
      <c r="G2526" s="56" t="n">
        <v>14.3</v>
      </c>
      <c r="H2526" s="56" t="n">
        <v>0</v>
      </c>
      <c r="I2526" s="56" t="n">
        <v>19.2</v>
      </c>
      <c r="J2526" s="56" t="n">
        <v>0</v>
      </c>
      <c r="K2526" s="56" t="n">
        <v>1011.1</v>
      </c>
      <c r="L2526" s="56" t="n">
        <v>0</v>
      </c>
      <c r="M2526" s="56" t="n">
        <v>73</v>
      </c>
      <c r="N2526" s="56" t="n">
        <v>2.8</v>
      </c>
      <c r="O2526" s="56" t="n">
        <f aca="false">IF(D2526=1,"",E2525)</f>
        <v>24</v>
      </c>
      <c r="P2526" s="56" t="n">
        <f aca="false">IF(OR(D2526=1,K2525=""),"",K2525)</f>
        <v>1006.6</v>
      </c>
      <c r="Q2526" s="56" t="n">
        <f aca="false">IF(OR(F2526&lt;&gt;0,AND(I2526&lt;&gt;"",E2526&lt;I2526)),1,0)</f>
        <v>0</v>
      </c>
      <c r="R2526" s="56" t="n">
        <f aca="false">IF(AND(D2526&gt;1,Q2526=0,ISNUMBER(O2526),ISNUMBER(P2526)),IF(Q2525=0,1,0),0)</f>
        <v>1</v>
      </c>
      <c r="S2526" s="56" t="n">
        <f aca="false">R2526*(B2526&gt;=Train_Start)*(B2526&lt;=Train_End)</f>
        <v>1</v>
      </c>
      <c r="T2526" s="84" t="n">
        <f aca="false">IF(AND(ISNUMBER(O2526),ISNUMBER(P2526)),Coef_A+Coef_B1*O2526+Coef_B2*P2526,"")</f>
        <v>23.3280519935932</v>
      </c>
      <c r="U2526" s="84" t="n">
        <f aca="false">IF(AND(R2526=1,ISNUMBER(T2526)),E2526-T2526,"")</f>
        <v>-0.328051993593203</v>
      </c>
      <c r="V2526" s="84" t="n">
        <f aca="false">IF(ISNUMBER(T2526),T2526,-99)</f>
        <v>23.3280519935932</v>
      </c>
      <c r="W2526" s="84" t="n">
        <f aca="false">IF(ISNUMBER(U2526),ABS(U2526),"")</f>
        <v>0.328051993593203</v>
      </c>
    </row>
    <row r="2527" customFormat="false" ht="15" hidden="false" customHeight="false" outlineLevel="0" collapsed="false">
      <c r="A2527" s="57" t="n">
        <v>34897</v>
      </c>
      <c r="B2527" s="56" t="n">
        <v>1995</v>
      </c>
      <c r="C2527" s="56" t="n">
        <v>7</v>
      </c>
      <c r="D2527" s="56" t="n">
        <v>78</v>
      </c>
      <c r="E2527" s="56" t="n">
        <v>26.5</v>
      </c>
      <c r="F2527" s="56" t="n">
        <v>0</v>
      </c>
      <c r="G2527" s="56" t="n">
        <v>13.4</v>
      </c>
      <c r="H2527" s="56" t="n">
        <v>0</v>
      </c>
      <c r="I2527" s="56" t="n">
        <v>18.2</v>
      </c>
      <c r="J2527" s="56" t="n">
        <v>0</v>
      </c>
      <c r="K2527" s="56" t="n">
        <v>1012.6</v>
      </c>
      <c r="L2527" s="56" t="n">
        <v>0</v>
      </c>
      <c r="M2527" s="56" t="n">
        <v>72</v>
      </c>
      <c r="N2527" s="56" t="n">
        <v>3.4</v>
      </c>
      <c r="O2527" s="56" t="n">
        <f aca="false">IF(D2527=1,"",E2526)</f>
        <v>23</v>
      </c>
      <c r="P2527" s="56" t="n">
        <f aca="false">IF(OR(D2527=1,K2526=""),"",K2526)</f>
        <v>1011.1</v>
      </c>
      <c r="Q2527" s="56" t="n">
        <f aca="false">IF(OR(F2527&lt;&gt;0,AND(I2527&lt;&gt;"",E2527&lt;I2527)),1,0)</f>
        <v>0</v>
      </c>
      <c r="R2527" s="56" t="n">
        <f aca="false">IF(AND(D2527&gt;1,Q2527=0,ISNUMBER(O2527),ISNUMBER(P2527)),IF(Q2526=0,1,0),0)</f>
        <v>1</v>
      </c>
      <c r="S2527" s="56" t="n">
        <f aca="false">R2527*(B2527&gt;=Train_Start)*(B2527&lt;=Train_End)</f>
        <v>1</v>
      </c>
      <c r="T2527" s="84" t="n">
        <f aca="false">IF(AND(ISNUMBER(O2527),ISNUMBER(P2527)),Coef_A+Coef_B1*O2527+Coef_B2*P2527,"")</f>
        <v>22.6498773264035</v>
      </c>
      <c r="U2527" s="84" t="n">
        <f aca="false">IF(AND(R2527=1,ISNUMBER(T2527)),E2527-T2527,"")</f>
        <v>3.8501226735965</v>
      </c>
      <c r="V2527" s="84" t="n">
        <f aca="false">IF(ISNUMBER(T2527),T2527,-99)</f>
        <v>22.6498773264035</v>
      </c>
      <c r="W2527" s="84" t="n">
        <f aca="false">IF(ISNUMBER(U2527),ABS(U2527),"")</f>
        <v>3.8501226735965</v>
      </c>
    </row>
    <row r="2528" customFormat="false" ht="15" hidden="false" customHeight="false" outlineLevel="0" collapsed="false">
      <c r="A2528" s="57" t="n">
        <v>34898</v>
      </c>
      <c r="B2528" s="56" t="n">
        <v>1995</v>
      </c>
      <c r="C2528" s="56" t="n">
        <v>7</v>
      </c>
      <c r="D2528" s="56" t="n">
        <v>79</v>
      </c>
      <c r="E2528" s="56" t="n">
        <v>26.7</v>
      </c>
      <c r="F2528" s="56" t="n">
        <v>0</v>
      </c>
      <c r="G2528" s="56" t="n">
        <v>16.1</v>
      </c>
      <c r="H2528" s="56" t="n">
        <v>0</v>
      </c>
      <c r="I2528" s="56" t="n">
        <v>21.3</v>
      </c>
      <c r="J2528" s="56" t="n">
        <v>0</v>
      </c>
      <c r="K2528" s="56" t="n">
        <v>1014.9</v>
      </c>
      <c r="L2528" s="56" t="n">
        <v>0</v>
      </c>
      <c r="M2528" s="56" t="n">
        <v>74</v>
      </c>
      <c r="N2528" s="56" t="n">
        <v>1.9</v>
      </c>
      <c r="O2528" s="56" t="n">
        <f aca="false">IF(D2528=1,"",E2527)</f>
        <v>26.5</v>
      </c>
      <c r="P2528" s="56" t="n">
        <f aca="false">IF(OR(D2528=1,K2527=""),"",K2527)</f>
        <v>1012.6</v>
      </c>
      <c r="Q2528" s="56" t="n">
        <f aca="false">IF(OR(F2528&lt;&gt;0,AND(I2528&lt;&gt;"",E2528&lt;I2528)),1,0)</f>
        <v>0</v>
      </c>
      <c r="R2528" s="56" t="n">
        <f aca="false">IF(AND(D2528&gt;1,Q2528=0,ISNUMBER(O2528),ISNUMBER(P2528)),IF(Q2527=0,1,0),0)</f>
        <v>1</v>
      </c>
      <c r="S2528" s="56" t="n">
        <f aca="false">R2528*(B2528&gt;=Train_Start)*(B2528&lt;=Train_End)</f>
        <v>1</v>
      </c>
      <c r="T2528" s="84" t="n">
        <f aca="false">IF(AND(ISNUMBER(O2528),ISNUMBER(P2528)),Coef_A+Coef_B1*O2528+Coef_B2*P2528,"")</f>
        <v>25.5646193440038</v>
      </c>
      <c r="U2528" s="84" t="n">
        <f aca="false">IF(AND(R2528=1,ISNUMBER(T2528)),E2528-T2528,"")</f>
        <v>1.13538065599622</v>
      </c>
      <c r="V2528" s="84" t="n">
        <f aca="false">IF(ISNUMBER(T2528),T2528,-99)</f>
        <v>25.5646193440038</v>
      </c>
      <c r="W2528" s="84" t="n">
        <f aca="false">IF(ISNUMBER(U2528),ABS(U2528),"")</f>
        <v>1.13538065599622</v>
      </c>
    </row>
    <row r="2529" customFormat="false" ht="15" hidden="false" customHeight="false" outlineLevel="0" collapsed="false">
      <c r="A2529" s="57" t="n">
        <v>34899</v>
      </c>
      <c r="B2529" s="56" t="n">
        <v>1995</v>
      </c>
      <c r="C2529" s="56" t="n">
        <v>7</v>
      </c>
      <c r="D2529" s="56" t="n">
        <v>80</v>
      </c>
      <c r="E2529" s="56" t="n">
        <v>31.8</v>
      </c>
      <c r="F2529" s="56" t="n">
        <v>0</v>
      </c>
      <c r="G2529" s="56" t="n">
        <v>19.2</v>
      </c>
      <c r="H2529" s="56" t="n">
        <v>0</v>
      </c>
      <c r="I2529" s="56" t="n">
        <v>23</v>
      </c>
      <c r="J2529" s="56" t="n">
        <v>0</v>
      </c>
      <c r="K2529" s="56" t="n">
        <v>1021.9</v>
      </c>
      <c r="L2529" s="56" t="n">
        <v>0</v>
      </c>
      <c r="M2529" s="56" t="n">
        <v>72</v>
      </c>
      <c r="N2529" s="56" t="n">
        <v>0.7</v>
      </c>
      <c r="O2529" s="56" t="n">
        <f aca="false">IF(D2529=1,"",E2528)</f>
        <v>26.7</v>
      </c>
      <c r="P2529" s="56" t="n">
        <f aca="false">IF(OR(D2529=1,K2528=""),"",K2528)</f>
        <v>1014.9</v>
      </c>
      <c r="Q2529" s="56" t="n">
        <f aca="false">IF(OR(F2529&lt;&gt;0,AND(I2529&lt;&gt;"",E2529&lt;I2529)),1,0)</f>
        <v>0</v>
      </c>
      <c r="R2529" s="56" t="n">
        <f aca="false">IF(AND(D2529&gt;1,Q2529=0,ISNUMBER(O2529),ISNUMBER(P2529)),IF(Q2528=0,1,0),0)</f>
        <v>1</v>
      </c>
      <c r="S2529" s="56" t="n">
        <f aca="false">R2529*(B2529&gt;=Train_Start)*(B2529&lt;=Train_End)</f>
        <v>1</v>
      </c>
      <c r="T2529" s="84" t="n">
        <f aca="false">IF(AND(ISNUMBER(O2529),ISNUMBER(P2529)),Coef_A+Coef_B1*O2529+Coef_B2*P2529,"")</f>
        <v>25.8006379402705</v>
      </c>
      <c r="U2529" s="84" t="n">
        <f aca="false">IF(AND(R2529=1,ISNUMBER(T2529)),E2529-T2529,"")</f>
        <v>5.99936205972951</v>
      </c>
      <c r="V2529" s="84" t="n">
        <f aca="false">IF(ISNUMBER(T2529),T2529,-99)</f>
        <v>25.8006379402705</v>
      </c>
      <c r="W2529" s="84" t="n">
        <f aca="false">IF(ISNUMBER(U2529),ABS(U2529),"")</f>
        <v>5.99936205972951</v>
      </c>
    </row>
    <row r="2530" customFormat="false" ht="15" hidden="false" customHeight="false" outlineLevel="0" collapsed="false">
      <c r="A2530" s="57" t="n">
        <v>34900</v>
      </c>
      <c r="B2530" s="56" t="n">
        <v>1995</v>
      </c>
      <c r="C2530" s="56" t="n">
        <v>7</v>
      </c>
      <c r="D2530" s="56" t="n">
        <v>81</v>
      </c>
      <c r="E2530" s="56" t="n">
        <v>29.8</v>
      </c>
      <c r="F2530" s="56" t="n">
        <v>0</v>
      </c>
      <c r="G2530" s="56" t="n">
        <v>15.6</v>
      </c>
      <c r="H2530" s="56" t="n">
        <v>0</v>
      </c>
      <c r="I2530" s="56" t="n">
        <v>23.7</v>
      </c>
      <c r="J2530" s="56" t="n">
        <v>0</v>
      </c>
      <c r="K2530" s="56" t="n">
        <v>1018.2</v>
      </c>
      <c r="L2530" s="56" t="n">
        <v>0</v>
      </c>
      <c r="M2530" s="56" t="n">
        <v>62</v>
      </c>
      <c r="N2530" s="56" t="n">
        <v>14.8</v>
      </c>
      <c r="O2530" s="56" t="n">
        <f aca="false">IF(D2530=1,"",E2529)</f>
        <v>31.8</v>
      </c>
      <c r="P2530" s="56" t="n">
        <f aca="false">IF(OR(D2530=1,K2529=""),"",K2529)</f>
        <v>1021.9</v>
      </c>
      <c r="Q2530" s="56" t="n">
        <f aca="false">IF(OR(F2530&lt;&gt;0,AND(I2530&lt;&gt;"",E2530&lt;I2530)),1,0)</f>
        <v>0</v>
      </c>
      <c r="R2530" s="56" t="n">
        <f aca="false">IF(AND(D2530&gt;1,Q2530=0,ISNUMBER(O2530),ISNUMBER(P2530)),IF(Q2529=0,1,0),0)</f>
        <v>1</v>
      </c>
      <c r="S2530" s="56" t="n">
        <f aca="false">R2530*(B2530&gt;=Train_Start)*(B2530&lt;=Train_End)</f>
        <v>1</v>
      </c>
      <c r="T2530" s="84" t="n">
        <f aca="false">IF(AND(ISNUMBER(O2530),ISNUMBER(P2530)),Coef_A+Coef_B1*O2530+Coef_B2*P2530,"")</f>
        <v>30.198857087226</v>
      </c>
      <c r="U2530" s="84" t="n">
        <f aca="false">IF(AND(R2530=1,ISNUMBER(T2530)),E2530-T2530,"")</f>
        <v>-0.398857087225966</v>
      </c>
      <c r="V2530" s="84" t="n">
        <f aca="false">IF(ISNUMBER(T2530),T2530,-99)</f>
        <v>30.198857087226</v>
      </c>
      <c r="W2530" s="84" t="n">
        <f aca="false">IF(ISNUMBER(U2530),ABS(U2530),"")</f>
        <v>0.398857087225966</v>
      </c>
    </row>
    <row r="2531" customFormat="false" ht="15" hidden="false" customHeight="false" outlineLevel="0" collapsed="false">
      <c r="A2531" s="57" t="n">
        <v>34901</v>
      </c>
      <c r="B2531" s="56" t="n">
        <v>1995</v>
      </c>
      <c r="C2531" s="56" t="n">
        <v>7</v>
      </c>
      <c r="D2531" s="56" t="n">
        <v>82</v>
      </c>
      <c r="E2531" s="56" t="n">
        <v>23.1</v>
      </c>
      <c r="F2531" s="56" t="n">
        <v>1</v>
      </c>
      <c r="G2531" s="56" t="n">
        <v>17.9</v>
      </c>
      <c r="H2531" s="56" t="n">
        <v>0</v>
      </c>
      <c r="I2531" s="56" t="n">
        <v>23.8</v>
      </c>
      <c r="J2531" s="56" t="n">
        <v>1</v>
      </c>
      <c r="K2531" s="56" t="n">
        <v>1014.6</v>
      </c>
      <c r="L2531" s="56" t="n">
        <v>0</v>
      </c>
      <c r="M2531" s="56" t="n">
        <v>62</v>
      </c>
      <c r="N2531" s="56" t="n">
        <v>10.3</v>
      </c>
      <c r="O2531" s="56" t="n">
        <f aca="false">IF(D2531=1,"",E2530)</f>
        <v>29.8</v>
      </c>
      <c r="P2531" s="56" t="n">
        <f aca="false">IF(OR(D2531=1,K2530=""),"",K2530)</f>
        <v>1018.2</v>
      </c>
      <c r="Q2531" s="56" t="n">
        <f aca="false">IF(OR(F2531&lt;&gt;0,AND(I2531&lt;&gt;"",E2531&lt;I2531)),1,0)</f>
        <v>1</v>
      </c>
      <c r="R2531" s="56" t="n">
        <f aca="false">IF(AND(D2531&gt;1,Q2531=0,ISNUMBER(O2531),ISNUMBER(P2531)),IF(Q2530=0,1,0),0)</f>
        <v>0</v>
      </c>
      <c r="S2531" s="56" t="n">
        <f aca="false">R2531*(B2531&gt;=Train_Start)*(B2531&lt;=Train_End)</f>
        <v>0</v>
      </c>
      <c r="T2531" s="84" t="n">
        <f aca="false">IF(AND(ISNUMBER(O2531),ISNUMBER(P2531)),Coef_A+Coef_B1*O2531+Coef_B2*P2531,"")</f>
        <v>28.4441100909949</v>
      </c>
      <c r="U2531" s="84" t="str">
        <f aca="false">IF(AND(R2531=1,ISNUMBER(T2531)),E2531-T2531,"")</f>
        <v/>
      </c>
      <c r="V2531" s="84" t="n">
        <f aca="false">IF(ISNUMBER(T2531),T2531,-99)</f>
        <v>28.4441100909949</v>
      </c>
      <c r="W2531" s="84" t="str">
        <f aca="false">IF(ISNUMBER(U2531),ABS(U2531),"")</f>
        <v/>
      </c>
    </row>
    <row r="2532" customFormat="false" ht="15" hidden="false" customHeight="false" outlineLevel="0" collapsed="false">
      <c r="A2532" s="57" t="n">
        <v>34902</v>
      </c>
      <c r="B2532" s="56" t="n">
        <v>1995</v>
      </c>
      <c r="C2532" s="56" t="n">
        <v>7</v>
      </c>
      <c r="D2532" s="56" t="n">
        <v>83</v>
      </c>
      <c r="E2532" s="56" t="n">
        <v>26</v>
      </c>
      <c r="F2532" s="56" t="n">
        <v>0</v>
      </c>
      <c r="G2532" s="56" t="n">
        <v>12.6</v>
      </c>
      <c r="H2532" s="56" t="n">
        <v>0</v>
      </c>
      <c r="I2532" s="56" t="n">
        <v>17.8</v>
      </c>
      <c r="J2532" s="56" t="n">
        <v>0</v>
      </c>
      <c r="K2532" s="56" t="n">
        <v>1021.6</v>
      </c>
      <c r="L2532" s="56" t="n">
        <v>0</v>
      </c>
      <c r="M2532" s="56" t="n">
        <v>49</v>
      </c>
      <c r="N2532" s="56" t="n">
        <v>15.1</v>
      </c>
      <c r="O2532" s="56" t="n">
        <f aca="false">IF(D2532=1,"",E2531)</f>
        <v>23.1</v>
      </c>
      <c r="P2532" s="56" t="n">
        <f aca="false">IF(OR(D2532=1,K2531=""),"",K2531)</f>
        <v>1014.6</v>
      </c>
      <c r="Q2532" s="56" t="n">
        <f aca="false">IF(OR(F2532&lt;&gt;0,AND(I2532&lt;&gt;"",E2532&lt;I2532)),1,0)</f>
        <v>0</v>
      </c>
      <c r="R2532" s="56" t="n">
        <f aca="false">IF(AND(D2532&gt;1,Q2532=0,ISNUMBER(O2532),ISNUMBER(P2532)),IF(Q2531=0,1,0),0)</f>
        <v>0</v>
      </c>
      <c r="S2532" s="56" t="n">
        <f aca="false">R2532*(B2532&gt;=Train_Start)*(B2532&lt;=Train_End)</f>
        <v>0</v>
      </c>
      <c r="T2532" s="84" t="n">
        <f aca="false">IF(AND(ISNUMBER(O2532),ISNUMBER(P2532)),Coef_A+Coef_B1*O2532+Coef_B2*P2532,"")</f>
        <v>22.8416058769267</v>
      </c>
      <c r="U2532" s="84" t="str">
        <f aca="false">IF(AND(R2532=1,ISNUMBER(T2532)),E2532-T2532,"")</f>
        <v/>
      </c>
      <c r="V2532" s="84" t="n">
        <f aca="false">IF(ISNUMBER(T2532),T2532,-99)</f>
        <v>22.8416058769267</v>
      </c>
      <c r="W2532" s="84" t="str">
        <f aca="false">IF(ISNUMBER(U2532),ABS(U2532),"")</f>
        <v/>
      </c>
    </row>
    <row r="2533" customFormat="false" ht="15" hidden="false" customHeight="false" outlineLevel="0" collapsed="false">
      <c r="A2533" s="57" t="n">
        <v>34903</v>
      </c>
      <c r="B2533" s="56" t="n">
        <v>1995</v>
      </c>
      <c r="C2533" s="56" t="n">
        <v>7</v>
      </c>
      <c r="D2533" s="56" t="n">
        <v>84</v>
      </c>
      <c r="E2533" s="56" t="n">
        <v>28.5</v>
      </c>
      <c r="F2533" s="56" t="n">
        <v>0</v>
      </c>
      <c r="G2533" s="56" t="n">
        <v>11.2</v>
      </c>
      <c r="H2533" s="56" t="n">
        <v>0</v>
      </c>
      <c r="I2533" s="56" t="n">
        <v>18.6</v>
      </c>
      <c r="J2533" s="56" t="n">
        <v>0</v>
      </c>
      <c r="K2533" s="56" t="n">
        <v>1024.1</v>
      </c>
      <c r="L2533" s="56" t="n">
        <v>0</v>
      </c>
      <c r="M2533" s="56" t="n">
        <v>51</v>
      </c>
      <c r="N2533" s="56" t="n">
        <v>13.5</v>
      </c>
      <c r="O2533" s="56" t="n">
        <f aca="false">IF(D2533=1,"",E2532)</f>
        <v>26</v>
      </c>
      <c r="P2533" s="56" t="n">
        <f aca="false">IF(OR(D2533=1,K2532=""),"",K2532)</f>
        <v>1021.6</v>
      </c>
      <c r="Q2533" s="56" t="n">
        <f aca="false">IF(OR(F2533&lt;&gt;0,AND(I2533&lt;&gt;"",E2533&lt;I2533)),1,0)</f>
        <v>0</v>
      </c>
      <c r="R2533" s="56" t="n">
        <f aca="false">IF(AND(D2533&gt;1,Q2533=0,ISNUMBER(O2533),ISNUMBER(P2533)),IF(Q2532=0,1,0),0)</f>
        <v>1</v>
      </c>
      <c r="S2533" s="56" t="n">
        <f aca="false">R2533*(B2533&gt;=Train_Start)*(B2533&lt;=Train_End)</f>
        <v>1</v>
      </c>
      <c r="T2533" s="84" t="n">
        <f aca="false">IF(AND(ISNUMBER(O2533),ISNUMBER(P2533)),Coef_A+Coef_B1*O2533+Coef_B2*P2533,"")</f>
        <v>25.4372787991884</v>
      </c>
      <c r="U2533" s="84" t="n">
        <f aca="false">IF(AND(R2533=1,ISNUMBER(T2533)),E2533-T2533,"")</f>
        <v>3.06272120081164</v>
      </c>
      <c r="V2533" s="84" t="n">
        <f aca="false">IF(ISNUMBER(T2533),T2533,-99)</f>
        <v>25.4372787991884</v>
      </c>
      <c r="W2533" s="84" t="n">
        <f aca="false">IF(ISNUMBER(U2533),ABS(U2533),"")</f>
        <v>3.06272120081164</v>
      </c>
    </row>
    <row r="2534" customFormat="false" ht="15" hidden="false" customHeight="false" outlineLevel="0" collapsed="false">
      <c r="A2534" s="57" t="n">
        <v>34904</v>
      </c>
      <c r="B2534" s="56" t="n">
        <v>1995</v>
      </c>
      <c r="C2534" s="56" t="n">
        <v>7</v>
      </c>
      <c r="D2534" s="56" t="n">
        <v>85</v>
      </c>
      <c r="E2534" s="56" t="n">
        <v>28.6</v>
      </c>
      <c r="F2534" s="56" t="n">
        <v>0</v>
      </c>
      <c r="G2534" s="56" t="n">
        <v>12.9</v>
      </c>
      <c r="H2534" s="56" t="n">
        <v>0</v>
      </c>
      <c r="I2534" s="56" t="n">
        <v>20.7</v>
      </c>
      <c r="J2534" s="56" t="n">
        <v>0</v>
      </c>
      <c r="K2534" s="56" t="n">
        <v>1022.9</v>
      </c>
      <c r="L2534" s="56" t="n">
        <v>0</v>
      </c>
      <c r="M2534" s="56" t="n">
        <v>53</v>
      </c>
      <c r="N2534" s="56" t="n">
        <v>14.5</v>
      </c>
      <c r="O2534" s="56" t="n">
        <f aca="false">IF(D2534=1,"",E2533)</f>
        <v>28.5</v>
      </c>
      <c r="P2534" s="56" t="n">
        <f aca="false">IF(OR(D2534=1,K2533=""),"",K2533)</f>
        <v>1024.1</v>
      </c>
      <c r="Q2534" s="56" t="n">
        <f aca="false">IF(OR(F2534&lt;&gt;0,AND(I2534&lt;&gt;"",E2534&lt;I2534)),1,0)</f>
        <v>0</v>
      </c>
      <c r="R2534" s="56" t="n">
        <f aca="false">IF(AND(D2534&gt;1,Q2534=0,ISNUMBER(O2534),ISNUMBER(P2534)),IF(Q2533=0,1,0),0)</f>
        <v>1</v>
      </c>
      <c r="S2534" s="56" t="n">
        <f aca="false">R2534*(B2534&gt;=Train_Start)*(B2534&lt;=Train_End)</f>
        <v>1</v>
      </c>
      <c r="T2534" s="84" t="n">
        <f aca="false">IF(AND(ISNUMBER(O2534),ISNUMBER(P2534)),Coef_A+Coef_B1*O2534+Coef_B2*P2534,"")</f>
        <v>27.56405151838</v>
      </c>
      <c r="U2534" s="84" t="n">
        <f aca="false">IF(AND(R2534=1,ISNUMBER(T2534)),E2534-T2534,"")</f>
        <v>1.03594848162003</v>
      </c>
      <c r="V2534" s="84" t="n">
        <f aca="false">IF(ISNUMBER(T2534),T2534,-99)</f>
        <v>27.56405151838</v>
      </c>
      <c r="W2534" s="84" t="n">
        <f aca="false">IF(ISNUMBER(U2534),ABS(U2534),"")</f>
        <v>1.03594848162003</v>
      </c>
    </row>
    <row r="2535" customFormat="false" ht="15" hidden="false" customHeight="false" outlineLevel="0" collapsed="false">
      <c r="A2535" s="57" t="n">
        <v>34905</v>
      </c>
      <c r="B2535" s="56" t="n">
        <v>1995</v>
      </c>
      <c r="C2535" s="56" t="n">
        <v>7</v>
      </c>
      <c r="D2535" s="56" t="n">
        <v>86</v>
      </c>
      <c r="E2535" s="56" t="n">
        <v>26.3</v>
      </c>
      <c r="F2535" s="56" t="n">
        <v>0</v>
      </c>
      <c r="G2535" s="56" t="n">
        <v>15.5</v>
      </c>
      <c r="H2535" s="56" t="n">
        <v>0</v>
      </c>
      <c r="I2535" s="56" t="n">
        <v>22</v>
      </c>
      <c r="J2535" s="56" t="n">
        <v>0</v>
      </c>
      <c r="K2535" s="56" t="n">
        <v>1018</v>
      </c>
      <c r="L2535" s="56" t="n">
        <v>0</v>
      </c>
      <c r="M2535" s="56" t="n">
        <v>56</v>
      </c>
      <c r="N2535" s="56" t="n">
        <v>13.9</v>
      </c>
      <c r="O2535" s="56" t="n">
        <f aca="false">IF(D2535=1,"",E2534)</f>
        <v>28.6</v>
      </c>
      <c r="P2535" s="56" t="n">
        <f aca="false">IF(OR(D2535=1,K2534=""),"",K2534)</f>
        <v>1022.9</v>
      </c>
      <c r="Q2535" s="56" t="n">
        <f aca="false">IF(OR(F2535&lt;&gt;0,AND(I2535&lt;&gt;"",E2535&lt;I2535)),1,0)</f>
        <v>0</v>
      </c>
      <c r="R2535" s="56" t="n">
        <f aca="false">IF(AND(D2535&gt;1,Q2535=0,ISNUMBER(O2535),ISNUMBER(P2535)),IF(Q2534=0,1,0),0)</f>
        <v>1</v>
      </c>
      <c r="S2535" s="56" t="n">
        <f aca="false">R2535*(B2535&gt;=Train_Start)*(B2535&lt;=Train_End)</f>
        <v>1</v>
      </c>
      <c r="T2535" s="84" t="n">
        <f aca="false">IF(AND(ISNUMBER(O2535),ISNUMBER(P2535)),Coef_A+Coef_B1*O2535+Coef_B2*P2535,"")</f>
        <v>27.6083415641235</v>
      </c>
      <c r="U2535" s="84" t="n">
        <f aca="false">IF(AND(R2535=1,ISNUMBER(T2535)),E2535-T2535,"")</f>
        <v>-1.30834156412345</v>
      </c>
      <c r="V2535" s="84" t="n">
        <f aca="false">IF(ISNUMBER(T2535),T2535,-99)</f>
        <v>27.6083415641235</v>
      </c>
      <c r="W2535" s="84" t="n">
        <f aca="false">IF(ISNUMBER(U2535),ABS(U2535),"")</f>
        <v>1.30834156412345</v>
      </c>
    </row>
    <row r="2536" customFormat="false" ht="15" hidden="false" customHeight="false" outlineLevel="0" collapsed="false">
      <c r="A2536" s="57" t="n">
        <v>34906</v>
      </c>
      <c r="B2536" s="56" t="n">
        <v>1995</v>
      </c>
      <c r="C2536" s="56" t="n">
        <v>7</v>
      </c>
      <c r="D2536" s="56" t="n">
        <v>87</v>
      </c>
      <c r="E2536" s="56" t="n">
        <v>24.9</v>
      </c>
      <c r="F2536" s="56" t="n">
        <v>0</v>
      </c>
      <c r="G2536" s="56" t="n">
        <v>18.3</v>
      </c>
      <c r="H2536" s="56" t="n">
        <v>0</v>
      </c>
      <c r="I2536" s="56" t="n">
        <v>22.3</v>
      </c>
      <c r="J2536" s="56" t="n">
        <v>0</v>
      </c>
      <c r="K2536" s="56" t="n">
        <v>1010.9</v>
      </c>
      <c r="L2536" s="56" t="n">
        <v>0</v>
      </c>
      <c r="M2536" s="56" t="n">
        <v>69</v>
      </c>
      <c r="N2536" s="56" t="n">
        <v>7.9</v>
      </c>
      <c r="O2536" s="56" t="n">
        <f aca="false">IF(D2536=1,"",E2535)</f>
        <v>26.3</v>
      </c>
      <c r="P2536" s="56" t="n">
        <f aca="false">IF(OR(D2536=1,K2535=""),"",K2535)</f>
        <v>1018</v>
      </c>
      <c r="Q2536" s="56" t="n">
        <f aca="false">IF(OR(F2536&lt;&gt;0,AND(I2536&lt;&gt;"",E2536&lt;I2536)),1,0)</f>
        <v>0</v>
      </c>
      <c r="R2536" s="56" t="n">
        <f aca="false">IF(AND(D2536&gt;1,Q2536=0,ISNUMBER(O2536),ISNUMBER(P2536)),IF(Q2535=0,1,0),0)</f>
        <v>1</v>
      </c>
      <c r="S2536" s="56" t="n">
        <f aca="false">R2536*(B2536&gt;=Train_Start)*(B2536&lt;=Train_End)</f>
        <v>1</v>
      </c>
      <c r="T2536" s="84" t="n">
        <f aca="false">IF(AND(ISNUMBER(O2536),ISNUMBER(P2536)),Coef_A+Coef_B1*O2536+Coef_B2*P2536,"")</f>
        <v>25.5701489364188</v>
      </c>
      <c r="U2536" s="84" t="n">
        <f aca="false">IF(AND(R2536=1,ISNUMBER(T2536)),E2536-T2536,"")</f>
        <v>-0.670148936418798</v>
      </c>
      <c r="V2536" s="84" t="n">
        <f aca="false">IF(ISNUMBER(T2536),T2536,-99)</f>
        <v>25.5701489364188</v>
      </c>
      <c r="W2536" s="84" t="n">
        <f aca="false">IF(ISNUMBER(U2536),ABS(U2536),"")</f>
        <v>0.670148936418798</v>
      </c>
    </row>
    <row r="2537" customFormat="false" ht="15" hidden="false" customHeight="false" outlineLevel="0" collapsed="false">
      <c r="A2537" s="57" t="n">
        <v>34907</v>
      </c>
      <c r="B2537" s="56" t="n">
        <v>1995</v>
      </c>
      <c r="C2537" s="56" t="n">
        <v>7</v>
      </c>
      <c r="D2537" s="56" t="n">
        <v>88</v>
      </c>
      <c r="E2537" s="56" t="n">
        <v>26.2</v>
      </c>
      <c r="F2537" s="56" t="n">
        <v>0</v>
      </c>
      <c r="G2537" s="56" t="n">
        <v>16.3</v>
      </c>
      <c r="H2537" s="56" t="n">
        <v>0</v>
      </c>
      <c r="I2537" s="56" t="n">
        <v>20.6</v>
      </c>
      <c r="J2537" s="56" t="n">
        <v>0</v>
      </c>
      <c r="K2537" s="56" t="n">
        <v>1012.4</v>
      </c>
      <c r="L2537" s="56" t="n">
        <v>0</v>
      </c>
      <c r="M2537" s="56" t="n">
        <v>76</v>
      </c>
      <c r="N2537" s="56" t="n">
        <v>6.3</v>
      </c>
      <c r="O2537" s="56" t="n">
        <f aca="false">IF(D2537=1,"",E2536)</f>
        <v>24.9</v>
      </c>
      <c r="P2537" s="56" t="n">
        <f aca="false">IF(OR(D2537=1,K2536=""),"",K2536)</f>
        <v>1010.9</v>
      </c>
      <c r="Q2537" s="56" t="n">
        <f aca="false">IF(OR(F2537&lt;&gt;0,AND(I2537&lt;&gt;"",E2537&lt;I2537)),1,0)</f>
        <v>0</v>
      </c>
      <c r="R2537" s="56" t="n">
        <f aca="false">IF(AND(D2537&gt;1,Q2537=0,ISNUMBER(O2537),ISNUMBER(P2537)),IF(Q2536=0,1,0),0)</f>
        <v>1</v>
      </c>
      <c r="S2537" s="56" t="n">
        <f aca="false">R2537*(B2537&gt;=Train_Start)*(B2537&lt;=Train_End)</f>
        <v>1</v>
      </c>
      <c r="T2537" s="84" t="n">
        <f aca="false">IF(AND(ISNUMBER(O2537),ISNUMBER(P2537)),Coef_A+Coef_B1*O2537+Coef_B2*P2537,"")</f>
        <v>24.2003478142577</v>
      </c>
      <c r="U2537" s="84" t="n">
        <f aca="false">IF(AND(R2537=1,ISNUMBER(T2537)),E2537-T2537,"")</f>
        <v>1.99965218574225</v>
      </c>
      <c r="V2537" s="84" t="n">
        <f aca="false">IF(ISNUMBER(T2537),T2537,-99)</f>
        <v>24.2003478142577</v>
      </c>
      <c r="W2537" s="84" t="n">
        <f aca="false">IF(ISNUMBER(U2537),ABS(U2537),"")</f>
        <v>1.99965218574225</v>
      </c>
    </row>
    <row r="2538" customFormat="false" ht="15" hidden="false" customHeight="false" outlineLevel="0" collapsed="false">
      <c r="A2538" s="57" t="n">
        <v>34908</v>
      </c>
      <c r="B2538" s="56" t="n">
        <v>1995</v>
      </c>
      <c r="C2538" s="56" t="n">
        <v>7</v>
      </c>
      <c r="D2538" s="56" t="n">
        <v>89</v>
      </c>
      <c r="E2538" s="56" t="n">
        <v>30.6</v>
      </c>
      <c r="F2538" s="56" t="n">
        <v>0</v>
      </c>
      <c r="G2538" s="56" t="n">
        <v>16.3</v>
      </c>
      <c r="H2538" s="56" t="n">
        <v>0</v>
      </c>
      <c r="I2538" s="56" t="n">
        <v>21.2</v>
      </c>
      <c r="J2538" s="56" t="n">
        <v>0</v>
      </c>
      <c r="K2538" s="56" t="n">
        <v>1018.2</v>
      </c>
      <c r="L2538" s="56" t="n">
        <v>0</v>
      </c>
      <c r="M2538" s="56" t="n">
        <v>76</v>
      </c>
      <c r="N2538" s="56" t="n">
        <v>2.3</v>
      </c>
      <c r="O2538" s="56" t="n">
        <f aca="false">IF(D2538=1,"",E2537)</f>
        <v>26.2</v>
      </c>
      <c r="P2538" s="56" t="n">
        <f aca="false">IF(OR(D2538=1,K2537=""),"",K2537)</f>
        <v>1012.4</v>
      </c>
      <c r="Q2538" s="56" t="n">
        <f aca="false">IF(OR(F2538&lt;&gt;0,AND(I2538&lt;&gt;"",E2538&lt;I2538)),1,0)</f>
        <v>0</v>
      </c>
      <c r="R2538" s="56" t="n">
        <f aca="false">IF(AND(D2538&gt;1,Q2538=0,ISNUMBER(O2538),ISNUMBER(P2538)),IF(Q2537=0,1,0),0)</f>
        <v>1</v>
      </c>
      <c r="S2538" s="56" t="n">
        <f aca="false">R2538*(B2538&gt;=Train_Start)*(B2538&lt;=Train_End)</f>
        <v>1</v>
      </c>
      <c r="T2538" s="84" t="n">
        <f aca="false">IF(AND(ISNUMBER(O2538),ISNUMBER(P2538)),Coef_A+Coef_B1*O2538+Coef_B2*P2538,"")</f>
        <v>25.3125436071642</v>
      </c>
      <c r="U2538" s="84" t="n">
        <f aca="false">IF(AND(R2538=1,ISNUMBER(T2538)),E2538-T2538,"")</f>
        <v>5.28745639283582</v>
      </c>
      <c r="V2538" s="84" t="n">
        <f aca="false">IF(ISNUMBER(T2538),T2538,-99)</f>
        <v>25.3125436071642</v>
      </c>
      <c r="W2538" s="84" t="n">
        <f aca="false">IF(ISNUMBER(U2538),ABS(U2538),"")</f>
        <v>5.28745639283582</v>
      </c>
    </row>
    <row r="2539" customFormat="false" ht="15" hidden="false" customHeight="false" outlineLevel="0" collapsed="false">
      <c r="A2539" s="57" t="n">
        <v>34909</v>
      </c>
      <c r="B2539" s="56" t="n">
        <v>1995</v>
      </c>
      <c r="C2539" s="56" t="n">
        <v>7</v>
      </c>
      <c r="D2539" s="56" t="n">
        <v>90</v>
      </c>
      <c r="E2539" s="56" t="n">
        <v>31.2</v>
      </c>
      <c r="F2539" s="56" t="n">
        <v>0</v>
      </c>
      <c r="G2539" s="56" t="n">
        <v>16.8</v>
      </c>
      <c r="H2539" s="56" t="n">
        <v>0</v>
      </c>
      <c r="I2539" s="56" t="n">
        <v>23.7</v>
      </c>
      <c r="J2539" s="56" t="n">
        <v>0</v>
      </c>
      <c r="K2539" s="56" t="n">
        <v>1018.6</v>
      </c>
      <c r="L2539" s="56" t="n">
        <v>0</v>
      </c>
      <c r="M2539" s="56" t="n">
        <v>59</v>
      </c>
      <c r="N2539" s="56" t="n">
        <v>14.3</v>
      </c>
      <c r="O2539" s="56" t="n">
        <f aca="false">IF(D2539=1,"",E2538)</f>
        <v>30.6</v>
      </c>
      <c r="P2539" s="56" t="n">
        <f aca="false">IF(OR(D2539=1,K2538=""),"",K2538)</f>
        <v>1018.2</v>
      </c>
      <c r="Q2539" s="56" t="n">
        <f aca="false">IF(OR(F2539&lt;&gt;0,AND(I2539&lt;&gt;"",E2539&lt;I2539)),1,0)</f>
        <v>0</v>
      </c>
      <c r="R2539" s="56" t="n">
        <f aca="false">IF(AND(D2539&gt;1,Q2539=0,ISNUMBER(O2539),ISNUMBER(P2539)),IF(Q2538=0,1,0),0)</f>
        <v>1</v>
      </c>
      <c r="S2539" s="56" t="n">
        <f aca="false">R2539*(B2539&gt;=Train_Start)*(B2539&lt;=Train_End)</f>
        <v>1</v>
      </c>
      <c r="T2539" s="84" t="n">
        <f aca="false">IF(AND(ISNUMBER(O2539),ISNUMBER(P2539)),Coef_A+Coef_B1*O2539+Coef_B2*P2539,"")</f>
        <v>29.099581445429</v>
      </c>
      <c r="U2539" s="84" t="n">
        <f aca="false">IF(AND(R2539=1,ISNUMBER(T2539)),E2539-T2539,"")</f>
        <v>2.10041855457098</v>
      </c>
      <c r="V2539" s="84" t="n">
        <f aca="false">IF(ISNUMBER(T2539),T2539,-99)</f>
        <v>29.099581445429</v>
      </c>
      <c r="W2539" s="84" t="n">
        <f aca="false">IF(ISNUMBER(U2539),ABS(U2539),"")</f>
        <v>2.10041855457098</v>
      </c>
    </row>
    <row r="2540" customFormat="false" ht="15" hidden="false" customHeight="false" outlineLevel="0" collapsed="false">
      <c r="A2540" s="57" t="n">
        <v>34910</v>
      </c>
      <c r="B2540" s="56" t="n">
        <v>1995</v>
      </c>
      <c r="C2540" s="56" t="n">
        <v>7</v>
      </c>
      <c r="D2540" s="56" t="n">
        <v>91</v>
      </c>
      <c r="E2540" s="56" t="n">
        <v>32.6</v>
      </c>
      <c r="F2540" s="56" t="n">
        <v>0</v>
      </c>
      <c r="G2540" s="56" t="n">
        <v>16.2</v>
      </c>
      <c r="H2540" s="56" t="n">
        <v>0</v>
      </c>
      <c r="I2540" s="56" t="n">
        <v>23.7</v>
      </c>
      <c r="J2540" s="56" t="n">
        <v>0</v>
      </c>
      <c r="K2540" s="56" t="n">
        <v>1017.4</v>
      </c>
      <c r="L2540" s="56" t="n">
        <v>0</v>
      </c>
      <c r="M2540" s="56" t="n">
        <v>54</v>
      </c>
      <c r="N2540" s="56" t="n">
        <v>7.3</v>
      </c>
      <c r="O2540" s="56" t="n">
        <f aca="false">IF(D2540=1,"",E2539)</f>
        <v>31.2</v>
      </c>
      <c r="P2540" s="56" t="n">
        <f aca="false">IF(OR(D2540=1,K2539=""),"",K2539)</f>
        <v>1018.6</v>
      </c>
      <c r="Q2540" s="56" t="n">
        <f aca="false">IF(OR(F2540&lt;&gt;0,AND(I2540&lt;&gt;"",E2540&lt;I2540)),1,0)</f>
        <v>0</v>
      </c>
      <c r="R2540" s="56" t="n">
        <f aca="false">IF(AND(D2540&gt;1,Q2540=0,ISNUMBER(O2540),ISNUMBER(P2540)),IF(Q2539=0,1,0),0)</f>
        <v>1</v>
      </c>
      <c r="S2540" s="56" t="n">
        <f aca="false">R2540*(B2540&gt;=Train_Start)*(B2540&lt;=Train_End)</f>
        <v>1</v>
      </c>
      <c r="T2540" s="84" t="n">
        <f aca="false">IF(AND(ISNUMBER(O2540),ISNUMBER(P2540)),Coef_A+Coef_B1*O2540+Coef_B2*P2540,"")</f>
        <v>29.6037329191082</v>
      </c>
      <c r="U2540" s="84" t="n">
        <f aca="false">IF(AND(R2540=1,ISNUMBER(T2540)),E2540-T2540,"")</f>
        <v>2.99626708089179</v>
      </c>
      <c r="V2540" s="84" t="n">
        <f aca="false">IF(ISNUMBER(T2540),T2540,-99)</f>
        <v>29.6037329191082</v>
      </c>
      <c r="W2540" s="84" t="n">
        <f aca="false">IF(ISNUMBER(U2540),ABS(U2540),"")</f>
        <v>2.99626708089179</v>
      </c>
    </row>
    <row r="2541" customFormat="false" ht="15" hidden="false" customHeight="false" outlineLevel="0" collapsed="false">
      <c r="A2541" s="57" t="n">
        <v>34911</v>
      </c>
      <c r="B2541" s="56" t="n">
        <v>1995</v>
      </c>
      <c r="C2541" s="56" t="n">
        <v>7</v>
      </c>
      <c r="D2541" s="56" t="n">
        <v>92</v>
      </c>
      <c r="E2541" s="56" t="n">
        <v>34.3</v>
      </c>
      <c r="F2541" s="56" t="n">
        <v>0</v>
      </c>
      <c r="G2541" s="56" t="n">
        <v>17.8</v>
      </c>
      <c r="H2541" s="56" t="n">
        <v>0</v>
      </c>
      <c r="I2541" s="56" t="n">
        <v>25.2</v>
      </c>
      <c r="J2541" s="56" t="n">
        <v>0</v>
      </c>
      <c r="K2541" s="56" t="n">
        <v>1015</v>
      </c>
      <c r="L2541" s="56" t="n">
        <v>0</v>
      </c>
      <c r="M2541" s="56" t="n">
        <v>58</v>
      </c>
      <c r="N2541" s="56" t="n">
        <v>10</v>
      </c>
      <c r="O2541" s="56" t="n">
        <f aca="false">IF(D2541=1,"",E2540)</f>
        <v>32.6</v>
      </c>
      <c r="P2541" s="56" t="n">
        <f aca="false">IF(OR(D2541=1,K2540=""),"",K2540)</f>
        <v>1017.4</v>
      </c>
      <c r="Q2541" s="56" t="n">
        <f aca="false">IF(OR(F2541&lt;&gt;0,AND(I2541&lt;&gt;"",E2541&lt;I2541)),1,0)</f>
        <v>0</v>
      </c>
      <c r="R2541" s="56" t="n">
        <f aca="false">IF(AND(D2541&gt;1,Q2541=0,ISNUMBER(O2541),ISNUMBER(P2541)),IF(Q2540=0,1,0),0)</f>
        <v>1</v>
      </c>
      <c r="S2541" s="56" t="n">
        <f aca="false">R2541*(B2541&gt;=Train_Start)*(B2541&lt;=Train_End)</f>
        <v>1</v>
      </c>
      <c r="T2541" s="84" t="n">
        <f aca="false">IF(AND(ISNUMBER(O2541),ISNUMBER(P2541)),Coef_A+Coef_B1*O2541+Coef_B2*P2541,"")</f>
        <v>30.7131639158071</v>
      </c>
      <c r="U2541" s="84" t="n">
        <f aca="false">IF(AND(R2541=1,ISNUMBER(T2541)),E2541-T2541,"")</f>
        <v>3.58683608419285</v>
      </c>
      <c r="V2541" s="84" t="n">
        <f aca="false">IF(ISNUMBER(T2541),T2541,-99)</f>
        <v>30.7131639158071</v>
      </c>
      <c r="W2541" s="84" t="n">
        <f aca="false">IF(ISNUMBER(U2541),ABS(U2541),"")</f>
        <v>3.58683608419285</v>
      </c>
    </row>
    <row r="2542" customFormat="false" ht="15" hidden="false" customHeight="false" outlineLevel="0" collapsed="false">
      <c r="A2542" s="57" t="n">
        <v>34912</v>
      </c>
      <c r="B2542" s="56" t="n">
        <v>1995</v>
      </c>
      <c r="C2542" s="56" t="n">
        <v>8</v>
      </c>
      <c r="D2542" s="56" t="n">
        <v>93</v>
      </c>
      <c r="E2542" s="56" t="n">
        <v>33</v>
      </c>
      <c r="F2542" s="56" t="n">
        <v>0</v>
      </c>
      <c r="G2542" s="56" t="n">
        <v>19</v>
      </c>
      <c r="H2542" s="56" t="n">
        <v>0</v>
      </c>
      <c r="I2542" s="56" t="n">
        <v>26.6</v>
      </c>
      <c r="J2542" s="56" t="n">
        <v>0</v>
      </c>
      <c r="K2542" s="56" t="n">
        <v>1014.4</v>
      </c>
      <c r="L2542" s="56" t="n">
        <v>0</v>
      </c>
      <c r="M2542" s="56" t="n">
        <v>50</v>
      </c>
      <c r="N2542" s="56" t="n">
        <v>12.3</v>
      </c>
      <c r="O2542" s="56" t="n">
        <f aca="false">IF(D2542=1,"",E2541)</f>
        <v>34.3</v>
      </c>
      <c r="P2542" s="56" t="n">
        <f aca="false">IF(OR(D2542=1,K2541=""),"",K2541)</f>
        <v>1015</v>
      </c>
      <c r="Q2542" s="56" t="n">
        <f aca="false">IF(OR(F2542&lt;&gt;0,AND(I2542&lt;&gt;"",E2542&lt;I2542)),1,0)</f>
        <v>0</v>
      </c>
      <c r="R2542" s="56" t="n">
        <f aca="false">IF(AND(D2542&gt;1,Q2542=0,ISNUMBER(O2542),ISNUMBER(P2542)),IF(Q2541=0,1,0),0)</f>
        <v>1</v>
      </c>
      <c r="S2542" s="56" t="n">
        <f aca="false">R2542*(B2542&gt;=Train_Start)*(B2542&lt;=Train_End)</f>
        <v>1</v>
      </c>
      <c r="T2542" s="84" t="n">
        <f aca="false">IF(AND(ISNUMBER(O2542),ISNUMBER(P2542)),Coef_A+Coef_B1*O2542+Coef_B2*P2542,"")</f>
        <v>32.0307527968581</v>
      </c>
      <c r="U2542" s="84" t="n">
        <f aca="false">IF(AND(R2542=1,ISNUMBER(T2542)),E2542-T2542,"")</f>
        <v>0.969247203141919</v>
      </c>
      <c r="V2542" s="84" t="n">
        <f aca="false">IF(ISNUMBER(T2542),T2542,-99)</f>
        <v>32.0307527968581</v>
      </c>
      <c r="W2542" s="84" t="n">
        <f aca="false">IF(ISNUMBER(U2542),ABS(U2542),"")</f>
        <v>0.969247203141919</v>
      </c>
    </row>
    <row r="2543" customFormat="false" ht="15" hidden="false" customHeight="false" outlineLevel="0" collapsed="false">
      <c r="A2543" s="57" t="n">
        <v>34913</v>
      </c>
      <c r="B2543" s="56" t="n">
        <v>1995</v>
      </c>
      <c r="C2543" s="56" t="n">
        <v>8</v>
      </c>
      <c r="D2543" s="56" t="n">
        <v>94</v>
      </c>
      <c r="E2543" s="56" t="n">
        <v>32.2</v>
      </c>
      <c r="F2543" s="56" t="n">
        <v>0</v>
      </c>
      <c r="G2543" s="56" t="n">
        <v>21.2</v>
      </c>
      <c r="H2543" s="56" t="n">
        <v>0</v>
      </c>
      <c r="I2543" s="56" t="n">
        <v>27.1</v>
      </c>
      <c r="J2543" s="56" t="n">
        <v>0</v>
      </c>
      <c r="K2543" s="56" t="n">
        <v>1017.2</v>
      </c>
      <c r="L2543" s="56" t="n">
        <v>0</v>
      </c>
      <c r="M2543" s="56" t="n">
        <v>49</v>
      </c>
      <c r="N2543" s="56" t="n">
        <v>12.5</v>
      </c>
      <c r="O2543" s="56" t="n">
        <f aca="false">IF(D2543=1,"",E2542)</f>
        <v>33</v>
      </c>
      <c r="P2543" s="56" t="n">
        <f aca="false">IF(OR(D2543=1,K2542=""),"",K2542)</f>
        <v>1014.4</v>
      </c>
      <c r="Q2543" s="56" t="n">
        <f aca="false">IF(OR(F2543&lt;&gt;0,AND(I2543&lt;&gt;"",E2543&lt;I2543)),1,0)</f>
        <v>0</v>
      </c>
      <c r="R2543" s="56" t="n">
        <f aca="false">IF(AND(D2543&gt;1,Q2543=0,ISNUMBER(O2543),ISNUMBER(P2543)),IF(Q2542=0,1,0),0)</f>
        <v>1</v>
      </c>
      <c r="S2543" s="56" t="n">
        <f aca="false">R2543*(B2543&gt;=Train_Start)*(B2543&lt;=Train_End)</f>
        <v>1</v>
      </c>
      <c r="T2543" s="84" t="n">
        <f aca="false">IF(AND(ISNUMBER(O2543),ISNUMBER(P2543)),Coef_A+Coef_B1*O2543+Coef_B2*P2543,"")</f>
        <v>30.9467899091222</v>
      </c>
      <c r="U2543" s="84" t="n">
        <f aca="false">IF(AND(R2543=1,ISNUMBER(T2543)),E2543-T2543,"")</f>
        <v>1.25321009087777</v>
      </c>
      <c r="V2543" s="84" t="n">
        <f aca="false">IF(ISNUMBER(T2543),T2543,-99)</f>
        <v>30.9467899091222</v>
      </c>
      <c r="W2543" s="84" t="n">
        <f aca="false">IF(ISNUMBER(U2543),ABS(U2543),"")</f>
        <v>1.25321009087777</v>
      </c>
    </row>
    <row r="2544" customFormat="false" ht="15" hidden="false" customHeight="false" outlineLevel="0" collapsed="false">
      <c r="A2544" s="57" t="n">
        <v>34914</v>
      </c>
      <c r="B2544" s="56" t="n">
        <v>1995</v>
      </c>
      <c r="C2544" s="56" t="n">
        <v>8</v>
      </c>
      <c r="D2544" s="56" t="n">
        <v>95</v>
      </c>
      <c r="E2544" s="56" t="n">
        <v>27.5</v>
      </c>
      <c r="F2544" s="56" t="n">
        <v>0</v>
      </c>
      <c r="G2544" s="56" t="n">
        <v>20</v>
      </c>
      <c r="H2544" s="56" t="n">
        <v>0</v>
      </c>
      <c r="I2544" s="56" t="n">
        <v>26.1</v>
      </c>
      <c r="J2544" s="56" t="n">
        <v>0</v>
      </c>
      <c r="K2544" s="56" t="n">
        <v>1016.8</v>
      </c>
      <c r="L2544" s="56" t="n">
        <v>0</v>
      </c>
      <c r="M2544" s="56" t="n">
        <v>47</v>
      </c>
      <c r="N2544" s="56" t="n">
        <v>13.9</v>
      </c>
      <c r="O2544" s="56" t="n">
        <f aca="false">IF(D2544=1,"",E2543)</f>
        <v>32.2</v>
      </c>
      <c r="P2544" s="56" t="n">
        <f aca="false">IF(OR(D2544=1,K2543=""),"",K2543)</f>
        <v>1017.2</v>
      </c>
      <c r="Q2544" s="56" t="n">
        <f aca="false">IF(OR(F2544&lt;&gt;0,AND(I2544&lt;&gt;"",E2544&lt;I2544)),1,0)</f>
        <v>0</v>
      </c>
      <c r="R2544" s="56" t="n">
        <f aca="false">IF(AND(D2544&gt;1,Q2544=0,ISNUMBER(O2544),ISNUMBER(P2544)),IF(Q2543=0,1,0),0)</f>
        <v>1</v>
      </c>
      <c r="S2544" s="56" t="n">
        <f aca="false">R2544*(B2544&gt;=Train_Start)*(B2544&lt;=Train_End)</f>
        <v>1</v>
      </c>
      <c r="T2544" s="84" t="n">
        <f aca="false">IF(AND(ISNUMBER(O2544),ISNUMBER(P2544)),Coef_A+Coef_B1*O2544+Coef_B2*P2544,"")</f>
        <v>30.3791542596633</v>
      </c>
      <c r="U2544" s="84" t="n">
        <f aca="false">IF(AND(R2544=1,ISNUMBER(T2544)),E2544-T2544,"")</f>
        <v>-2.87915425966329</v>
      </c>
      <c r="V2544" s="84" t="n">
        <f aca="false">IF(ISNUMBER(T2544),T2544,-99)</f>
        <v>30.3791542596633</v>
      </c>
      <c r="W2544" s="84" t="n">
        <f aca="false">IF(ISNUMBER(U2544),ABS(U2544),"")</f>
        <v>2.87915425966329</v>
      </c>
    </row>
    <row r="2545" customFormat="false" ht="15" hidden="false" customHeight="false" outlineLevel="0" collapsed="false">
      <c r="A2545" s="57" t="n">
        <v>34915</v>
      </c>
      <c r="B2545" s="56" t="n">
        <v>1995</v>
      </c>
      <c r="C2545" s="56" t="n">
        <v>8</v>
      </c>
      <c r="D2545" s="56" t="n">
        <v>96</v>
      </c>
      <c r="E2545" s="56" t="n">
        <v>27.9</v>
      </c>
      <c r="F2545" s="56" t="n">
        <v>0</v>
      </c>
      <c r="G2545" s="56" t="n">
        <v>15.5</v>
      </c>
      <c r="H2545" s="56" t="n">
        <v>0</v>
      </c>
      <c r="I2545" s="56" t="n">
        <v>21.5</v>
      </c>
      <c r="J2545" s="56" t="n">
        <v>0</v>
      </c>
      <c r="K2545" s="56" t="n">
        <v>1017.1</v>
      </c>
      <c r="L2545" s="56" t="n">
        <v>0</v>
      </c>
      <c r="M2545" s="56" t="n">
        <v>62</v>
      </c>
      <c r="N2545" s="56" t="n">
        <v>11.9</v>
      </c>
      <c r="O2545" s="56" t="n">
        <f aca="false">IF(D2545=1,"",E2544)</f>
        <v>27.5</v>
      </c>
      <c r="P2545" s="56" t="n">
        <f aca="false">IF(OR(D2545=1,K2544=""),"",K2544)</f>
        <v>1016.8</v>
      </c>
      <c r="Q2545" s="56" t="n">
        <f aca="false">IF(OR(F2545&lt;&gt;0,AND(I2545&lt;&gt;"",E2545&lt;I2545)),1,0)</f>
        <v>0</v>
      </c>
      <c r="R2545" s="56" t="n">
        <f aca="false">IF(AND(D2545&gt;1,Q2545=0,ISNUMBER(O2545),ISNUMBER(P2545)),IF(Q2544=0,1,0),0)</f>
        <v>1</v>
      </c>
      <c r="S2545" s="56" t="n">
        <f aca="false">R2545*(B2545&gt;=Train_Start)*(B2545&lt;=Train_End)</f>
        <v>1</v>
      </c>
      <c r="T2545" s="84" t="n">
        <f aca="false">IF(AND(ISNUMBER(O2545),ISNUMBER(P2545)),Coef_A+Coef_B1*O2545+Coef_B2*P2545,"")</f>
        <v>26.5157120945092</v>
      </c>
      <c r="U2545" s="84" t="n">
        <f aca="false">IF(AND(R2545=1,ISNUMBER(T2545)),E2545-T2545,"")</f>
        <v>1.3842879054908</v>
      </c>
      <c r="V2545" s="84" t="n">
        <f aca="false">IF(ISNUMBER(T2545),T2545,-99)</f>
        <v>26.5157120945092</v>
      </c>
      <c r="W2545" s="84" t="n">
        <f aca="false">IF(ISNUMBER(U2545),ABS(U2545),"")</f>
        <v>1.3842879054908</v>
      </c>
    </row>
    <row r="2546" customFormat="false" ht="15" hidden="false" customHeight="false" outlineLevel="0" collapsed="false">
      <c r="A2546" s="57" t="n">
        <v>34916</v>
      </c>
      <c r="B2546" s="56" t="n">
        <v>1995</v>
      </c>
      <c r="C2546" s="56" t="n">
        <v>8</v>
      </c>
      <c r="D2546" s="56" t="n">
        <v>97</v>
      </c>
      <c r="E2546" s="56" t="n">
        <v>26.6</v>
      </c>
      <c r="F2546" s="56" t="n">
        <v>0</v>
      </c>
      <c r="G2546" s="56" t="n">
        <v>13.3</v>
      </c>
      <c r="H2546" s="56" t="n">
        <v>0</v>
      </c>
      <c r="I2546" s="56" t="n">
        <v>20.6</v>
      </c>
      <c r="J2546" s="56" t="n">
        <v>0</v>
      </c>
      <c r="K2546" s="56" t="n">
        <v>1017.9</v>
      </c>
      <c r="L2546" s="56" t="n">
        <v>0</v>
      </c>
      <c r="M2546" s="56" t="n">
        <v>58</v>
      </c>
      <c r="N2546" s="56" t="n">
        <v>13.2</v>
      </c>
      <c r="O2546" s="56" t="n">
        <f aca="false">IF(D2546=1,"",E2545)</f>
        <v>27.9</v>
      </c>
      <c r="P2546" s="56" t="n">
        <f aca="false">IF(OR(D2546=1,K2545=""),"",K2545)</f>
        <v>1017.1</v>
      </c>
      <c r="Q2546" s="56" t="n">
        <f aca="false">IF(OR(F2546&lt;&gt;0,AND(I2546&lt;&gt;"",E2546&lt;I2546)),1,0)</f>
        <v>0</v>
      </c>
      <c r="R2546" s="56" t="n">
        <f aca="false">IF(AND(D2546&gt;1,Q2546=0,ISNUMBER(O2546),ISNUMBER(P2546)),IF(Q2545=0,1,0),0)</f>
        <v>1</v>
      </c>
      <c r="S2546" s="56" t="n">
        <f aca="false">R2546*(B2546&gt;=Train_Start)*(B2546&lt;=Train_End)</f>
        <v>1</v>
      </c>
      <c r="T2546" s="84" t="n">
        <f aca="false">IF(AND(ISNUMBER(O2546),ISNUMBER(P2546)),Coef_A+Coef_B1*O2546+Coef_B2*P2546,"")</f>
        <v>26.8528587401165</v>
      </c>
      <c r="U2546" s="84" t="n">
        <f aca="false">IF(AND(R2546=1,ISNUMBER(T2546)),E2546-T2546,"")</f>
        <v>-0.252858740116455</v>
      </c>
      <c r="V2546" s="84" t="n">
        <f aca="false">IF(ISNUMBER(T2546),T2546,-99)</f>
        <v>26.8528587401165</v>
      </c>
      <c r="W2546" s="84" t="n">
        <f aca="false">IF(ISNUMBER(U2546),ABS(U2546),"")</f>
        <v>0.252858740116455</v>
      </c>
    </row>
    <row r="2547" customFormat="false" ht="15" hidden="false" customHeight="false" outlineLevel="0" collapsed="false">
      <c r="A2547" s="57" t="n">
        <v>34917</v>
      </c>
      <c r="B2547" s="56" t="n">
        <v>1995</v>
      </c>
      <c r="C2547" s="56" t="n">
        <v>8</v>
      </c>
      <c r="D2547" s="56" t="n">
        <v>98</v>
      </c>
      <c r="E2547" s="56" t="n">
        <v>22.8</v>
      </c>
      <c r="F2547" s="56" t="n">
        <v>0</v>
      </c>
      <c r="G2547" s="56" t="n">
        <v>14.5</v>
      </c>
      <c r="H2547" s="56" t="n">
        <v>0</v>
      </c>
      <c r="I2547" s="56" t="n">
        <v>20.6</v>
      </c>
      <c r="J2547" s="56" t="n">
        <v>0</v>
      </c>
      <c r="K2547" s="56" t="n">
        <v>1019.2</v>
      </c>
      <c r="L2547" s="56" t="n">
        <v>0</v>
      </c>
      <c r="M2547" s="56" t="n">
        <v>59</v>
      </c>
      <c r="N2547" s="56" t="n">
        <v>12.8</v>
      </c>
      <c r="O2547" s="56" t="n">
        <f aca="false">IF(D2547=1,"",E2546)</f>
        <v>26.6</v>
      </c>
      <c r="P2547" s="56" t="n">
        <f aca="false">IF(OR(D2547=1,K2546=""),"",K2546)</f>
        <v>1017.9</v>
      </c>
      <c r="Q2547" s="56" t="n">
        <f aca="false">IF(OR(F2547&lt;&gt;0,AND(I2547&lt;&gt;"",E2547&lt;I2547)),1,0)</f>
        <v>0</v>
      </c>
      <c r="R2547" s="56" t="n">
        <f aca="false">IF(AND(D2547&gt;1,Q2547=0,ISNUMBER(O2547),ISNUMBER(P2547)),IF(Q2546=0,1,0),0)</f>
        <v>1</v>
      </c>
      <c r="S2547" s="56" t="n">
        <f aca="false">R2547*(B2547&gt;=Train_Start)*(B2547&lt;=Train_End)</f>
        <v>1</v>
      </c>
      <c r="T2547" s="84" t="n">
        <f aca="false">IF(AND(ISNUMBER(O2547),ISNUMBER(P2547)),Coef_A+Coef_B1*O2547+Coef_B2*P2547,"")</f>
        <v>25.8128137048682</v>
      </c>
      <c r="U2547" s="84" t="n">
        <f aca="false">IF(AND(R2547=1,ISNUMBER(T2547)),E2547-T2547,"")</f>
        <v>-3.01281370486819</v>
      </c>
      <c r="V2547" s="84" t="n">
        <f aca="false">IF(ISNUMBER(T2547),T2547,-99)</f>
        <v>25.8128137048682</v>
      </c>
      <c r="W2547" s="84" t="n">
        <f aca="false">IF(ISNUMBER(U2547),ABS(U2547),"")</f>
        <v>3.01281370486819</v>
      </c>
    </row>
    <row r="2548" customFormat="false" ht="15" hidden="false" customHeight="false" outlineLevel="0" collapsed="false">
      <c r="A2548" s="57" t="n">
        <v>34918</v>
      </c>
      <c r="B2548" s="56" t="n">
        <v>1995</v>
      </c>
      <c r="C2548" s="56" t="n">
        <v>8</v>
      </c>
      <c r="D2548" s="56" t="n">
        <v>99</v>
      </c>
      <c r="E2548" s="56" t="n">
        <v>22.2</v>
      </c>
      <c r="F2548" s="56" t="n">
        <v>0</v>
      </c>
      <c r="G2548" s="56" t="n">
        <v>15.4</v>
      </c>
      <c r="H2548" s="56" t="n">
        <v>0</v>
      </c>
      <c r="I2548" s="56" t="n">
        <v>19.1</v>
      </c>
      <c r="J2548" s="56" t="n">
        <v>0</v>
      </c>
      <c r="K2548" s="56" t="n">
        <v>1022.3</v>
      </c>
      <c r="L2548" s="56" t="n">
        <v>0</v>
      </c>
      <c r="M2548" s="56" t="n">
        <v>60</v>
      </c>
      <c r="N2548" s="56" t="n">
        <v>2</v>
      </c>
      <c r="O2548" s="56" t="n">
        <f aca="false">IF(D2548=1,"",E2547)</f>
        <v>22.8</v>
      </c>
      <c r="P2548" s="56" t="n">
        <f aca="false">IF(OR(D2548=1,K2547=""),"",K2547)</f>
        <v>1019.2</v>
      </c>
      <c r="Q2548" s="56" t="n">
        <f aca="false">IF(OR(F2548&lt;&gt;0,AND(I2548&lt;&gt;"",E2548&lt;I2548)),1,0)</f>
        <v>0</v>
      </c>
      <c r="R2548" s="56" t="n">
        <f aca="false">IF(AND(D2548&gt;1,Q2548=0,ISNUMBER(O2548),ISNUMBER(P2548)),IF(Q2547=0,1,0),0)</f>
        <v>1</v>
      </c>
      <c r="S2548" s="56" t="n">
        <f aca="false">R2548*(B2548&gt;=Train_Start)*(B2548&lt;=Train_End)</f>
        <v>1</v>
      </c>
      <c r="T2548" s="84" t="n">
        <f aca="false">IF(AND(ISNUMBER(O2548),ISNUMBER(P2548)),Coef_A+Coef_B1*O2548+Coef_B2*P2548,"")</f>
        <v>22.7401056343303</v>
      </c>
      <c r="U2548" s="84" t="n">
        <f aca="false">IF(AND(R2548=1,ISNUMBER(T2548)),E2548-T2548,"")</f>
        <v>-0.540105634330281</v>
      </c>
      <c r="V2548" s="84" t="n">
        <f aca="false">IF(ISNUMBER(T2548),T2548,-99)</f>
        <v>22.7401056343303</v>
      </c>
      <c r="W2548" s="84" t="n">
        <f aca="false">IF(ISNUMBER(U2548),ABS(U2548),"")</f>
        <v>0.540105634330281</v>
      </c>
    </row>
    <row r="2549" customFormat="false" ht="15" hidden="false" customHeight="false" outlineLevel="0" collapsed="false">
      <c r="A2549" s="57" t="n">
        <v>34919</v>
      </c>
      <c r="B2549" s="56" t="n">
        <v>1995</v>
      </c>
      <c r="C2549" s="56" t="n">
        <v>8</v>
      </c>
      <c r="D2549" s="56" t="n">
        <v>100</v>
      </c>
      <c r="E2549" s="56" t="n">
        <v>26.3</v>
      </c>
      <c r="F2549" s="56" t="n">
        <v>0</v>
      </c>
      <c r="G2549" s="56" t="n">
        <v>13.7</v>
      </c>
      <c r="H2549" s="56" t="n">
        <v>0</v>
      </c>
      <c r="I2549" s="56" t="n">
        <v>18</v>
      </c>
      <c r="J2549" s="56" t="n">
        <v>0</v>
      </c>
      <c r="K2549" s="56" t="n">
        <v>1024.1</v>
      </c>
      <c r="L2549" s="56" t="n">
        <v>0</v>
      </c>
      <c r="M2549" s="56" t="n">
        <v>54</v>
      </c>
      <c r="N2549" s="56" t="n">
        <v>4.8</v>
      </c>
      <c r="O2549" s="56" t="n">
        <f aca="false">IF(D2549=1,"",E2548)</f>
        <v>22.2</v>
      </c>
      <c r="P2549" s="56" t="n">
        <f aca="false">IF(OR(D2549=1,K2548=""),"",K2548)</f>
        <v>1022.3</v>
      </c>
      <c r="Q2549" s="56" t="n">
        <f aca="false">IF(OR(F2549&lt;&gt;0,AND(I2549&lt;&gt;"",E2549&lt;I2549)),1,0)</f>
        <v>0</v>
      </c>
      <c r="R2549" s="56" t="n">
        <f aca="false">IF(AND(D2549&gt;1,Q2549=0,ISNUMBER(O2549),ISNUMBER(P2549)),IF(Q2548=0,1,0),0)</f>
        <v>1</v>
      </c>
      <c r="S2549" s="56" t="n">
        <f aca="false">R2549*(B2549&gt;=Train_Start)*(B2549&lt;=Train_End)</f>
        <v>1</v>
      </c>
      <c r="T2549" s="84" t="n">
        <f aca="false">IF(AND(ISNUMBER(O2549),ISNUMBER(P2549)),Coef_A+Coef_B1*O2549+Coef_B2*P2549,"")</f>
        <v>22.3457487918701</v>
      </c>
      <c r="U2549" s="84" t="n">
        <f aca="false">IF(AND(R2549=1,ISNUMBER(T2549)),E2549-T2549,"")</f>
        <v>3.95425120812995</v>
      </c>
      <c r="V2549" s="84" t="n">
        <f aca="false">IF(ISNUMBER(T2549),T2549,-99)</f>
        <v>22.3457487918701</v>
      </c>
      <c r="W2549" s="84" t="n">
        <f aca="false">IF(ISNUMBER(U2549),ABS(U2549),"")</f>
        <v>3.95425120812995</v>
      </c>
    </row>
    <row r="2550" customFormat="false" ht="15" hidden="false" customHeight="false" outlineLevel="0" collapsed="false">
      <c r="A2550" s="57" t="n">
        <v>34920</v>
      </c>
      <c r="B2550" s="56" t="n">
        <v>1995</v>
      </c>
      <c r="C2550" s="56" t="n">
        <v>8</v>
      </c>
      <c r="D2550" s="56" t="n">
        <v>101</v>
      </c>
      <c r="E2550" s="56" t="n">
        <v>29.3</v>
      </c>
      <c r="F2550" s="56" t="n">
        <v>0</v>
      </c>
      <c r="G2550" s="56" t="n">
        <v>11.1</v>
      </c>
      <c r="H2550" s="56" t="n">
        <v>0</v>
      </c>
      <c r="I2550" s="56" t="n">
        <v>18.7</v>
      </c>
      <c r="J2550" s="56" t="n">
        <v>0</v>
      </c>
      <c r="K2550" s="56" t="n">
        <v>1023</v>
      </c>
      <c r="L2550" s="56" t="n">
        <v>0</v>
      </c>
      <c r="M2550" s="56" t="n">
        <v>60</v>
      </c>
      <c r="N2550" s="56" t="n">
        <v>11.3</v>
      </c>
      <c r="O2550" s="56" t="n">
        <f aca="false">IF(D2550=1,"",E2549)</f>
        <v>26.3</v>
      </c>
      <c r="P2550" s="56" t="n">
        <f aca="false">IF(OR(D2550=1,K2549=""),"",K2549)</f>
        <v>1024.1</v>
      </c>
      <c r="Q2550" s="56" t="n">
        <f aca="false">IF(OR(F2550&lt;&gt;0,AND(I2550&lt;&gt;"",E2550&lt;I2550)),1,0)</f>
        <v>0</v>
      </c>
      <c r="R2550" s="56" t="n">
        <f aca="false">IF(AND(D2550&gt;1,Q2550=0,ISNUMBER(O2550),ISNUMBER(P2550)),IF(Q2549=0,1,0),0)</f>
        <v>1</v>
      </c>
      <c r="S2550" s="56" t="n">
        <f aca="false">R2550*(B2550&gt;=Train_Start)*(B2550&lt;=Train_End)</f>
        <v>1</v>
      </c>
      <c r="T2550" s="84" t="n">
        <f aca="false">IF(AND(ISNUMBER(O2550),ISNUMBER(P2550)),Coef_A+Coef_B1*O2550+Coef_B2*P2550,"")</f>
        <v>25.7615052936861</v>
      </c>
      <c r="U2550" s="84" t="n">
        <f aca="false">IF(AND(R2550=1,ISNUMBER(T2550)),E2550-T2550,"")</f>
        <v>3.53849470631388</v>
      </c>
      <c r="V2550" s="84" t="n">
        <f aca="false">IF(ISNUMBER(T2550),T2550,-99)</f>
        <v>25.7615052936861</v>
      </c>
      <c r="W2550" s="84" t="n">
        <f aca="false">IF(ISNUMBER(U2550),ABS(U2550),"")</f>
        <v>3.53849470631388</v>
      </c>
    </row>
    <row r="2551" customFormat="false" ht="15" hidden="false" customHeight="false" outlineLevel="0" collapsed="false">
      <c r="A2551" s="57" t="n">
        <v>34921</v>
      </c>
      <c r="B2551" s="56" t="n">
        <v>1995</v>
      </c>
      <c r="C2551" s="56" t="n">
        <v>8</v>
      </c>
      <c r="D2551" s="56" t="n">
        <v>102</v>
      </c>
      <c r="E2551" s="56" t="n">
        <v>31.8</v>
      </c>
      <c r="F2551" s="56" t="n">
        <v>0</v>
      </c>
      <c r="G2551" s="56" t="n">
        <v>14.2</v>
      </c>
      <c r="H2551" s="56" t="n">
        <v>0</v>
      </c>
      <c r="I2551" s="56" t="n">
        <v>21.8</v>
      </c>
      <c r="J2551" s="56" t="n">
        <v>0</v>
      </c>
      <c r="K2551" s="56" t="n">
        <v>1022</v>
      </c>
      <c r="L2551" s="56" t="n">
        <v>0</v>
      </c>
      <c r="M2551" s="56" t="n">
        <v>57</v>
      </c>
      <c r="N2551" s="56" t="n">
        <v>13.5</v>
      </c>
      <c r="O2551" s="56" t="n">
        <f aca="false">IF(D2551=1,"",E2550)</f>
        <v>29.3</v>
      </c>
      <c r="P2551" s="56" t="n">
        <f aca="false">IF(OR(D2551=1,K2550=""),"",K2550)</f>
        <v>1023</v>
      </c>
      <c r="Q2551" s="56" t="n">
        <f aca="false">IF(OR(F2551&lt;&gt;0,AND(I2551&lt;&gt;"",E2551&lt;I2551)),1,0)</f>
        <v>0</v>
      </c>
      <c r="R2551" s="56" t="n">
        <f aca="false">IF(AND(D2551&gt;1,Q2551=0,ISNUMBER(O2551),ISNUMBER(P2551)),IF(Q2550=0,1,0),0)</f>
        <v>1</v>
      </c>
      <c r="S2551" s="56" t="n">
        <f aca="false">R2551*(B2551&gt;=Train_Start)*(B2551&lt;=Train_End)</f>
        <v>1</v>
      </c>
      <c r="T2551" s="84" t="n">
        <f aca="false">IF(AND(ISNUMBER(O2551),ISNUMBER(P2551)),Coef_A+Coef_B1*O2551+Coef_B2*P2551,"")</f>
        <v>28.1850159887167</v>
      </c>
      <c r="U2551" s="84" t="n">
        <f aca="false">IF(AND(R2551=1,ISNUMBER(T2551)),E2551-T2551,"")</f>
        <v>3.61498401128329</v>
      </c>
      <c r="V2551" s="84" t="n">
        <f aca="false">IF(ISNUMBER(T2551),T2551,-99)</f>
        <v>28.1850159887167</v>
      </c>
      <c r="W2551" s="84" t="n">
        <f aca="false">IF(ISNUMBER(U2551),ABS(U2551),"")</f>
        <v>3.61498401128329</v>
      </c>
    </row>
    <row r="2552" customFormat="false" ht="15" hidden="false" customHeight="false" outlineLevel="0" collapsed="false">
      <c r="A2552" s="57" t="n">
        <v>34922</v>
      </c>
      <c r="B2552" s="56" t="n">
        <v>1995</v>
      </c>
      <c r="C2552" s="56" t="n">
        <v>8</v>
      </c>
      <c r="D2552" s="56" t="n">
        <v>103</v>
      </c>
      <c r="E2552" s="56" t="n">
        <v>31.3</v>
      </c>
      <c r="F2552" s="56" t="n">
        <v>0</v>
      </c>
      <c r="G2552" s="56" t="n">
        <v>16.2</v>
      </c>
      <c r="H2552" s="56" t="n">
        <v>0</v>
      </c>
      <c r="I2552" s="56" t="n">
        <v>24</v>
      </c>
      <c r="J2552" s="56" t="n">
        <v>0</v>
      </c>
      <c r="K2552" s="56" t="n">
        <v>1020.5</v>
      </c>
      <c r="L2552" s="56" t="n">
        <v>0</v>
      </c>
      <c r="M2552" s="56" t="n">
        <v>55</v>
      </c>
      <c r="N2552" s="56" t="n">
        <v>12.9</v>
      </c>
      <c r="O2552" s="56" t="n">
        <f aca="false">IF(D2552=1,"",E2551)</f>
        <v>31.8</v>
      </c>
      <c r="P2552" s="56" t="n">
        <f aca="false">IF(OR(D2552=1,K2551=""),"",K2551)</f>
        <v>1022</v>
      </c>
      <c r="Q2552" s="56" t="n">
        <f aca="false">IF(OR(F2552&lt;&gt;0,AND(I2552&lt;&gt;"",E2552&lt;I2552)),1,0)</f>
        <v>0</v>
      </c>
      <c r="R2552" s="56" t="n">
        <f aca="false">IF(AND(D2552&gt;1,Q2552=0,ISNUMBER(O2552),ISNUMBER(P2552)),IF(Q2551=0,1,0),0)</f>
        <v>1</v>
      </c>
      <c r="S2552" s="56" t="n">
        <f aca="false">R2552*(B2552&gt;=Train_Start)*(B2552&lt;=Train_End)</f>
        <v>1</v>
      </c>
      <c r="T2552" s="84" t="n">
        <f aca="false">IF(AND(ISNUMBER(O2552),ISNUMBER(P2552)),Coef_A+Coef_B1*O2552+Coef_B2*P2552,"")</f>
        <v>30.2019940766894</v>
      </c>
      <c r="U2552" s="84" t="n">
        <f aca="false">IF(AND(R2552=1,ISNUMBER(T2552)),E2552-T2552,"")</f>
        <v>1.09800592331063</v>
      </c>
      <c r="V2552" s="84" t="n">
        <f aca="false">IF(ISNUMBER(T2552),T2552,-99)</f>
        <v>30.2019940766894</v>
      </c>
      <c r="W2552" s="84" t="n">
        <f aca="false">IF(ISNUMBER(U2552),ABS(U2552),"")</f>
        <v>1.09800592331063</v>
      </c>
    </row>
    <row r="2553" customFormat="false" ht="15" hidden="false" customHeight="false" outlineLevel="0" collapsed="false">
      <c r="A2553" s="57" t="n">
        <v>34923</v>
      </c>
      <c r="B2553" s="56" t="n">
        <v>1995</v>
      </c>
      <c r="C2553" s="56" t="n">
        <v>8</v>
      </c>
      <c r="D2553" s="56" t="n">
        <v>104</v>
      </c>
      <c r="E2553" s="56" t="n">
        <v>25.9</v>
      </c>
      <c r="F2553" s="56" t="n">
        <v>0</v>
      </c>
      <c r="G2553" s="56" t="n">
        <v>16.7</v>
      </c>
      <c r="H2553" s="56" t="n">
        <v>0</v>
      </c>
      <c r="I2553" s="56" t="n">
        <v>24</v>
      </c>
      <c r="J2553" s="56" t="n">
        <v>0</v>
      </c>
      <c r="K2553" s="56" t="n">
        <v>1019.7</v>
      </c>
      <c r="L2553" s="56" t="n">
        <v>0</v>
      </c>
      <c r="M2553" s="56" t="n">
        <v>54</v>
      </c>
      <c r="N2553" s="56" t="n">
        <v>11.7</v>
      </c>
      <c r="O2553" s="56" t="n">
        <f aca="false">IF(D2553=1,"",E2552)</f>
        <v>31.3</v>
      </c>
      <c r="P2553" s="56" t="n">
        <f aca="false">IF(OR(D2553=1,K2552=""),"",K2552)</f>
        <v>1020.5</v>
      </c>
      <c r="Q2553" s="56" t="n">
        <f aca="false">IF(OR(F2553&lt;&gt;0,AND(I2553&lt;&gt;"",E2553&lt;I2553)),1,0)</f>
        <v>0</v>
      </c>
      <c r="R2553" s="56" t="n">
        <f aca="false">IF(AND(D2553&gt;1,Q2553=0,ISNUMBER(O2553),ISNUMBER(P2553)),IF(Q2552=0,1,0),0)</f>
        <v>1</v>
      </c>
      <c r="S2553" s="56" t="n">
        <f aca="false">R2553*(B2553&gt;=Train_Start)*(B2553&lt;=Train_End)</f>
        <v>1</v>
      </c>
      <c r="T2553" s="84" t="n">
        <f aca="false">IF(AND(ISNUMBER(O2553),ISNUMBER(P2553)),Coef_A+Coef_B1*O2553+Coef_B2*P2553,"")</f>
        <v>29.7452696382171</v>
      </c>
      <c r="U2553" s="84" t="n">
        <f aca="false">IF(AND(R2553=1,ISNUMBER(T2553)),E2553-T2553,"")</f>
        <v>-3.84526963821706</v>
      </c>
      <c r="V2553" s="84" t="n">
        <f aca="false">IF(ISNUMBER(T2553),T2553,-99)</f>
        <v>29.7452696382171</v>
      </c>
      <c r="W2553" s="84" t="n">
        <f aca="false">IF(ISNUMBER(U2553),ABS(U2553),"")</f>
        <v>3.84526963821706</v>
      </c>
    </row>
    <row r="2554" customFormat="false" ht="15" hidden="false" customHeight="false" outlineLevel="0" collapsed="false">
      <c r="A2554" s="57" t="n">
        <v>34924</v>
      </c>
      <c r="B2554" s="56" t="n">
        <v>1995</v>
      </c>
      <c r="C2554" s="56" t="n">
        <v>8</v>
      </c>
      <c r="D2554" s="56" t="n">
        <v>105</v>
      </c>
      <c r="E2554" s="56" t="n">
        <v>25.4</v>
      </c>
      <c r="F2554" s="56" t="n">
        <v>0</v>
      </c>
      <c r="G2554" s="56" t="n">
        <v>18</v>
      </c>
      <c r="H2554" s="56" t="n">
        <v>0</v>
      </c>
      <c r="I2554" s="56" t="n">
        <v>22</v>
      </c>
      <c r="J2554" s="56" t="n">
        <v>0</v>
      </c>
      <c r="K2554" s="56" t="n">
        <v>1020.5</v>
      </c>
      <c r="L2554" s="56" t="n">
        <v>0</v>
      </c>
      <c r="M2554" s="56" t="n">
        <v>56</v>
      </c>
      <c r="N2554" s="56" t="n">
        <v>8.8</v>
      </c>
      <c r="O2554" s="56" t="n">
        <f aca="false">IF(D2554=1,"",E2553)</f>
        <v>25.9</v>
      </c>
      <c r="P2554" s="56" t="n">
        <f aca="false">IF(OR(D2554=1,K2553=""),"",K2553)</f>
        <v>1019.7</v>
      </c>
      <c r="Q2554" s="56" t="n">
        <f aca="false">IF(OR(F2554&lt;&gt;0,AND(I2554&lt;&gt;"",E2554&lt;I2554)),1,0)</f>
        <v>0</v>
      </c>
      <c r="R2554" s="56" t="n">
        <f aca="false">IF(AND(D2554&gt;1,Q2554=0,ISNUMBER(O2554),ISNUMBER(P2554)),IF(Q2553=0,1,0),0)</f>
        <v>1</v>
      </c>
      <c r="S2554" s="56" t="n">
        <f aca="false">R2554*(B2554&gt;=Train_Start)*(B2554&lt;=Train_End)</f>
        <v>1</v>
      </c>
      <c r="T2554" s="84" t="n">
        <f aca="false">IF(AND(ISNUMBER(O2554),ISNUMBER(P2554)),Coef_A+Coef_B1*O2554+Coef_B2*P2554,"")</f>
        <v>25.2957420800795</v>
      </c>
      <c r="U2554" s="84" t="n">
        <f aca="false">IF(AND(R2554=1,ISNUMBER(T2554)),E2554-T2554,"")</f>
        <v>0.104257919920489</v>
      </c>
      <c r="V2554" s="84" t="n">
        <f aca="false">IF(ISNUMBER(T2554),T2554,-99)</f>
        <v>25.2957420800795</v>
      </c>
      <c r="W2554" s="84" t="n">
        <f aca="false">IF(ISNUMBER(U2554),ABS(U2554),"")</f>
        <v>0.104257919920489</v>
      </c>
    </row>
    <row r="2555" customFormat="false" ht="15" hidden="false" customHeight="false" outlineLevel="0" collapsed="false">
      <c r="A2555" s="57" t="n">
        <v>34925</v>
      </c>
      <c r="B2555" s="56" t="n">
        <v>1995</v>
      </c>
      <c r="C2555" s="56" t="n">
        <v>8</v>
      </c>
      <c r="D2555" s="56" t="n">
        <v>106</v>
      </c>
      <c r="E2555" s="56" t="n">
        <v>29.9</v>
      </c>
      <c r="F2555" s="56" t="n">
        <v>0</v>
      </c>
      <c r="G2555" s="56" t="n">
        <v>14.5</v>
      </c>
      <c r="H2555" s="56" t="n">
        <v>0</v>
      </c>
      <c r="I2555" s="56" t="n">
        <v>20</v>
      </c>
      <c r="J2555" s="56" t="n">
        <v>0</v>
      </c>
      <c r="K2555" s="56" t="n">
        <v>1022.8</v>
      </c>
      <c r="L2555" s="56" t="n">
        <v>0</v>
      </c>
      <c r="M2555" s="56" t="n">
        <v>56</v>
      </c>
      <c r="N2555" s="56" t="n">
        <v>8.7</v>
      </c>
      <c r="O2555" s="56" t="n">
        <f aca="false">IF(D2555=1,"",E2554)</f>
        <v>25.4</v>
      </c>
      <c r="P2555" s="56" t="n">
        <f aca="false">IF(OR(D2555=1,K2554=""),"",K2554)</f>
        <v>1020.5</v>
      </c>
      <c r="Q2555" s="56" t="n">
        <f aca="false">IF(OR(F2555&lt;&gt;0,AND(I2555&lt;&gt;"",E2555&lt;I2555)),1,0)</f>
        <v>0</v>
      </c>
      <c r="R2555" s="56" t="n">
        <f aca="false">IF(AND(D2555&gt;1,Q2555=0,ISNUMBER(O2555),ISNUMBER(P2555)),IF(Q2554=0,1,0),0)</f>
        <v>1</v>
      </c>
      <c r="S2555" s="56" t="n">
        <f aca="false">R2555*(B2555&gt;=Train_Start)*(B2555&lt;=Train_End)</f>
        <v>1</v>
      </c>
      <c r="T2555" s="84" t="n">
        <f aca="false">IF(AND(ISNUMBER(O2555),ISNUMBER(P2555)),Coef_A+Coef_B1*O2555+Coef_B2*P2555,"")</f>
        <v>24.9111683992654</v>
      </c>
      <c r="U2555" s="84" t="n">
        <f aca="false">IF(AND(R2555=1,ISNUMBER(T2555)),E2555-T2555,"")</f>
        <v>4.98883160073462</v>
      </c>
      <c r="V2555" s="84" t="n">
        <f aca="false">IF(ISNUMBER(T2555),T2555,-99)</f>
        <v>24.9111683992654</v>
      </c>
      <c r="W2555" s="84" t="n">
        <f aca="false">IF(ISNUMBER(U2555),ABS(U2555),"")</f>
        <v>4.98883160073462</v>
      </c>
    </row>
    <row r="2556" customFormat="false" ht="15" hidden="false" customHeight="false" outlineLevel="0" collapsed="false">
      <c r="A2556" s="57" t="n">
        <v>34926</v>
      </c>
      <c r="B2556" s="56" t="n">
        <v>1995</v>
      </c>
      <c r="C2556" s="56" t="n">
        <v>8</v>
      </c>
      <c r="D2556" s="56" t="n">
        <v>107</v>
      </c>
      <c r="E2556" s="56" t="n">
        <v>30.6</v>
      </c>
      <c r="F2556" s="56" t="n">
        <v>0</v>
      </c>
      <c r="G2556" s="56" t="n">
        <v>14.2</v>
      </c>
      <c r="H2556" s="56" t="n">
        <v>0</v>
      </c>
      <c r="I2556" s="56" t="n">
        <v>22</v>
      </c>
      <c r="J2556" s="56" t="n">
        <v>0</v>
      </c>
      <c r="K2556" s="56" t="n">
        <v>1023.1</v>
      </c>
      <c r="L2556" s="56" t="n">
        <v>0</v>
      </c>
      <c r="M2556" s="56" t="n">
        <v>58</v>
      </c>
      <c r="N2556" s="56" t="n">
        <v>12.7</v>
      </c>
      <c r="O2556" s="56" t="n">
        <f aca="false">IF(D2556=1,"",E2555)</f>
        <v>29.9</v>
      </c>
      <c r="P2556" s="56" t="n">
        <f aca="false">IF(OR(D2556=1,K2555=""),"",K2555)</f>
        <v>1022.8</v>
      </c>
      <c r="Q2556" s="56" t="n">
        <f aca="false">IF(OR(F2556&lt;&gt;0,AND(I2556&lt;&gt;"",E2556&lt;I2556)),1,0)</f>
        <v>0</v>
      </c>
      <c r="R2556" s="56" t="n">
        <f aca="false">IF(AND(D2556&gt;1,Q2556=0,ISNUMBER(O2556),ISNUMBER(P2556)),IF(Q2555=0,1,0),0)</f>
        <v>1</v>
      </c>
      <c r="S2556" s="56" t="n">
        <f aca="false">R2556*(B2556&gt;=Train_Start)*(B2556&lt;=Train_End)</f>
        <v>1</v>
      </c>
      <c r="T2556" s="84" t="n">
        <f aca="false">IF(AND(ISNUMBER(O2556),ISNUMBER(P2556)),Coef_A+Coef_B1*O2556+Coef_B2*P2556,"")</f>
        <v>28.6703455256155</v>
      </c>
      <c r="U2556" s="84" t="n">
        <f aca="false">IF(AND(R2556=1,ISNUMBER(T2556)),E2556-T2556,"")</f>
        <v>1.9296544743845</v>
      </c>
      <c r="V2556" s="84" t="n">
        <f aca="false">IF(ISNUMBER(T2556),T2556,-99)</f>
        <v>28.6703455256155</v>
      </c>
      <c r="W2556" s="84" t="n">
        <f aca="false">IF(ISNUMBER(U2556),ABS(U2556),"")</f>
        <v>1.9296544743845</v>
      </c>
    </row>
    <row r="2557" customFormat="false" ht="15" hidden="false" customHeight="false" outlineLevel="0" collapsed="false">
      <c r="A2557" s="57" t="n">
        <v>34927</v>
      </c>
      <c r="B2557" s="56" t="n">
        <v>1995</v>
      </c>
      <c r="C2557" s="56" t="n">
        <v>8</v>
      </c>
      <c r="D2557" s="56" t="n">
        <v>108</v>
      </c>
      <c r="E2557" s="56" t="n">
        <v>27.9</v>
      </c>
      <c r="F2557" s="56" t="n">
        <v>0</v>
      </c>
      <c r="G2557" s="56" t="n">
        <v>17.6</v>
      </c>
      <c r="H2557" s="56" t="n">
        <v>0</v>
      </c>
      <c r="I2557" s="56" t="n">
        <v>24.1</v>
      </c>
      <c r="J2557" s="56" t="n">
        <v>0</v>
      </c>
      <c r="K2557" s="56" t="n">
        <v>1022.6</v>
      </c>
      <c r="L2557" s="56" t="n">
        <v>0</v>
      </c>
      <c r="M2557" s="56" t="n">
        <v>54</v>
      </c>
      <c r="N2557" s="56" t="n">
        <v>12.5</v>
      </c>
      <c r="O2557" s="56" t="n">
        <f aca="false">IF(D2557=1,"",E2556)</f>
        <v>30.6</v>
      </c>
      <c r="P2557" s="56" t="n">
        <f aca="false">IF(OR(D2557=1,K2556=""),"",K2556)</f>
        <v>1023.1</v>
      </c>
      <c r="Q2557" s="56" t="n">
        <f aca="false">IF(OR(F2557&lt;&gt;0,AND(I2557&lt;&gt;"",E2557&lt;I2557)),1,0)</f>
        <v>0</v>
      </c>
      <c r="R2557" s="56" t="n">
        <f aca="false">IF(AND(D2557&gt;1,Q2557=0,ISNUMBER(O2557),ISNUMBER(P2557)),IF(Q2556=0,1,0),0)</f>
        <v>1</v>
      </c>
      <c r="S2557" s="56" t="n">
        <f aca="false">R2557*(B2557&gt;=Train_Start)*(B2557&lt;=Train_End)</f>
        <v>1</v>
      </c>
      <c r="T2557" s="84" t="n">
        <f aca="false">IF(AND(ISNUMBER(O2557),ISNUMBER(P2557)),Coef_A+Coef_B1*O2557+Coef_B2*P2557,"")</f>
        <v>29.2532939291356</v>
      </c>
      <c r="U2557" s="84" t="n">
        <f aca="false">IF(AND(R2557=1,ISNUMBER(T2557)),E2557-T2557,"")</f>
        <v>-1.35329392913557</v>
      </c>
      <c r="V2557" s="84" t="n">
        <f aca="false">IF(ISNUMBER(T2557),T2557,-99)</f>
        <v>29.2532939291356</v>
      </c>
      <c r="W2557" s="84" t="n">
        <f aca="false">IF(ISNUMBER(U2557),ABS(U2557),"")</f>
        <v>1.35329392913557</v>
      </c>
    </row>
    <row r="2558" customFormat="false" ht="15" hidden="false" customHeight="false" outlineLevel="0" collapsed="false">
      <c r="A2558" s="57" t="n">
        <v>34928</v>
      </c>
      <c r="B2558" s="56" t="n">
        <v>1995</v>
      </c>
      <c r="C2558" s="56" t="n">
        <v>8</v>
      </c>
      <c r="D2558" s="56" t="n">
        <v>109</v>
      </c>
      <c r="E2558" s="56" t="n">
        <v>29.8</v>
      </c>
      <c r="F2558" s="56" t="n">
        <v>0</v>
      </c>
      <c r="G2558" s="56" t="n">
        <v>17.6</v>
      </c>
      <c r="H2558" s="56" t="n">
        <v>0</v>
      </c>
      <c r="I2558" s="56" t="n">
        <v>22.8</v>
      </c>
      <c r="J2558" s="56" t="n">
        <v>0</v>
      </c>
      <c r="K2558" s="56" t="n">
        <v>1020.8</v>
      </c>
      <c r="L2558" s="56" t="n">
        <v>0</v>
      </c>
      <c r="M2558" s="56" t="n">
        <v>64</v>
      </c>
      <c r="N2558" s="56" t="n">
        <v>13.1</v>
      </c>
      <c r="O2558" s="56" t="n">
        <f aca="false">IF(D2558=1,"",E2557)</f>
        <v>27.9</v>
      </c>
      <c r="P2558" s="56" t="n">
        <f aca="false">IF(OR(D2558=1,K2557=""),"",K2557)</f>
        <v>1022.6</v>
      </c>
      <c r="Q2558" s="56" t="n">
        <f aca="false">IF(OR(F2558&lt;&gt;0,AND(I2558&lt;&gt;"",E2558&lt;I2558)),1,0)</f>
        <v>0</v>
      </c>
      <c r="R2558" s="56" t="n">
        <f aca="false">IF(AND(D2558&gt;1,Q2558=0,ISNUMBER(O2558),ISNUMBER(P2558)),IF(Q2557=0,1,0),0)</f>
        <v>1</v>
      </c>
      <c r="S2558" s="56" t="n">
        <f aca="false">R2558*(B2558&gt;=Train_Start)*(B2558&lt;=Train_End)</f>
        <v>1</v>
      </c>
      <c r="T2558" s="84" t="n">
        <f aca="false">IF(AND(ISNUMBER(O2558),ISNUMBER(P2558)),Coef_A+Coef_B1*O2558+Coef_B2*P2558,"")</f>
        <v>27.0253931606034</v>
      </c>
      <c r="U2558" s="84" t="n">
        <f aca="false">IF(AND(R2558=1,ISNUMBER(T2558)),E2558-T2558,"")</f>
        <v>2.7746068393966</v>
      </c>
      <c r="V2558" s="84" t="n">
        <f aca="false">IF(ISNUMBER(T2558),T2558,-99)</f>
        <v>27.0253931606034</v>
      </c>
      <c r="W2558" s="84" t="n">
        <f aca="false">IF(ISNUMBER(U2558),ABS(U2558),"")</f>
        <v>2.7746068393966</v>
      </c>
    </row>
    <row r="2559" customFormat="false" ht="15" hidden="false" customHeight="false" outlineLevel="0" collapsed="false">
      <c r="A2559" s="57" t="n">
        <v>34929</v>
      </c>
      <c r="B2559" s="56" t="n">
        <v>1995</v>
      </c>
      <c r="C2559" s="56" t="n">
        <v>8</v>
      </c>
      <c r="D2559" s="56" t="n">
        <v>110</v>
      </c>
      <c r="E2559" s="56" t="n">
        <v>30.7</v>
      </c>
      <c r="F2559" s="56" t="n">
        <v>0</v>
      </c>
      <c r="G2559" s="56" t="n">
        <v>17.8</v>
      </c>
      <c r="H2559" s="56" t="n">
        <v>0</v>
      </c>
      <c r="I2559" s="56" t="n">
        <v>23.8</v>
      </c>
      <c r="J2559" s="56" t="n">
        <v>0</v>
      </c>
      <c r="K2559" s="56" t="n">
        <v>1019</v>
      </c>
      <c r="L2559" s="56" t="n">
        <v>0</v>
      </c>
      <c r="M2559" s="56" t="n">
        <v>63</v>
      </c>
      <c r="N2559" s="56" t="n">
        <v>9.1</v>
      </c>
      <c r="O2559" s="56" t="n">
        <f aca="false">IF(D2559=1,"",E2558)</f>
        <v>29.8</v>
      </c>
      <c r="P2559" s="56" t="n">
        <f aca="false">IF(OR(D2559=1,K2558=""),"",K2558)</f>
        <v>1020.8</v>
      </c>
      <c r="Q2559" s="56" t="n">
        <f aca="false">IF(OR(F2559&lt;&gt;0,AND(I2559&lt;&gt;"",E2559&lt;I2559)),1,0)</f>
        <v>0</v>
      </c>
      <c r="R2559" s="56" t="n">
        <f aca="false">IF(AND(D2559&gt;1,Q2559=0,ISNUMBER(O2559),ISNUMBER(P2559)),IF(Q2558=0,1,0),0)</f>
        <v>1</v>
      </c>
      <c r="S2559" s="56" t="n">
        <f aca="false">R2559*(B2559&gt;=Train_Start)*(B2559&lt;=Train_End)</f>
        <v>1</v>
      </c>
      <c r="T2559" s="84" t="n">
        <f aca="false">IF(AND(ISNUMBER(O2559),ISNUMBER(P2559)),Coef_A+Coef_B1*O2559+Coef_B2*P2559,"")</f>
        <v>28.5256718170433</v>
      </c>
      <c r="U2559" s="84" t="n">
        <f aca="false">IF(AND(R2559=1,ISNUMBER(T2559)),E2559-T2559,"")</f>
        <v>2.17432818295674</v>
      </c>
      <c r="V2559" s="84" t="n">
        <f aca="false">IF(ISNUMBER(T2559),T2559,-99)</f>
        <v>28.5256718170433</v>
      </c>
      <c r="W2559" s="84" t="n">
        <f aca="false">IF(ISNUMBER(U2559),ABS(U2559),"")</f>
        <v>2.17432818295674</v>
      </c>
    </row>
    <row r="2560" customFormat="false" ht="15" hidden="false" customHeight="false" outlineLevel="0" collapsed="false">
      <c r="A2560" s="57" t="n">
        <v>34930</v>
      </c>
      <c r="B2560" s="56" t="n">
        <v>1995</v>
      </c>
      <c r="C2560" s="56" t="n">
        <v>8</v>
      </c>
      <c r="D2560" s="56" t="n">
        <v>111</v>
      </c>
      <c r="E2560" s="56" t="n">
        <v>30.2</v>
      </c>
      <c r="F2560" s="56" t="n">
        <v>0</v>
      </c>
      <c r="G2560" s="56" t="n">
        <v>17</v>
      </c>
      <c r="H2560" s="56" t="n">
        <v>0</v>
      </c>
      <c r="I2560" s="56" t="n">
        <v>23.8</v>
      </c>
      <c r="J2560" s="56" t="n">
        <v>0</v>
      </c>
      <c r="K2560" s="56" t="n">
        <v>1018.8</v>
      </c>
      <c r="L2560" s="56" t="n">
        <v>0</v>
      </c>
      <c r="M2560" s="56" t="n">
        <v>62</v>
      </c>
      <c r="N2560" s="56" t="n">
        <v>10</v>
      </c>
      <c r="O2560" s="56" t="n">
        <f aca="false">IF(D2560=1,"",E2559)</f>
        <v>30.7</v>
      </c>
      <c r="P2560" s="56" t="n">
        <f aca="false">IF(OR(D2560=1,K2559=""),"",K2559)</f>
        <v>1019</v>
      </c>
      <c r="Q2560" s="56" t="n">
        <f aca="false">IF(OR(F2560&lt;&gt;0,AND(I2560&lt;&gt;"",E2560&lt;I2560)),1,0)</f>
        <v>0</v>
      </c>
      <c r="R2560" s="56" t="n">
        <f aca="false">IF(AND(D2560&gt;1,Q2560=0,ISNUMBER(O2560),ISNUMBER(P2560)),IF(Q2559=0,1,0),0)</f>
        <v>1</v>
      </c>
      <c r="S2560" s="56" t="n">
        <f aca="false">R2560*(B2560&gt;=Train_Start)*(B2560&lt;=Train_End)</f>
        <v>1</v>
      </c>
      <c r="T2560" s="84" t="n">
        <f aca="false">IF(AND(ISNUMBER(O2560),ISNUMBER(P2560)),Coef_A+Coef_B1*O2560+Coef_B2*P2560,"")</f>
        <v>29.2066112804405</v>
      </c>
      <c r="U2560" s="84" t="n">
        <f aca="false">IF(AND(R2560=1,ISNUMBER(T2560)),E2560-T2560,"")</f>
        <v>0.993388719559523</v>
      </c>
      <c r="V2560" s="84" t="n">
        <f aca="false">IF(ISNUMBER(T2560),T2560,-99)</f>
        <v>29.2066112804405</v>
      </c>
      <c r="W2560" s="84" t="n">
        <f aca="false">IF(ISNUMBER(U2560),ABS(U2560),"")</f>
        <v>0.993388719559523</v>
      </c>
    </row>
    <row r="2561" customFormat="false" ht="15" hidden="false" customHeight="false" outlineLevel="0" collapsed="false">
      <c r="A2561" s="57" t="n">
        <v>34931</v>
      </c>
      <c r="B2561" s="56" t="n">
        <v>1995</v>
      </c>
      <c r="C2561" s="56" t="n">
        <v>8</v>
      </c>
      <c r="D2561" s="56" t="n">
        <v>112</v>
      </c>
      <c r="E2561" s="56" t="n">
        <v>30.6</v>
      </c>
      <c r="F2561" s="56" t="n">
        <v>0</v>
      </c>
      <c r="G2561" s="56" t="n">
        <v>17.3</v>
      </c>
      <c r="H2561" s="56" t="n">
        <v>0</v>
      </c>
      <c r="I2561" s="56" t="n">
        <v>23.8</v>
      </c>
      <c r="J2561" s="56" t="n">
        <v>0</v>
      </c>
      <c r="K2561" s="56" t="n">
        <v>1021.4</v>
      </c>
      <c r="L2561" s="56" t="n">
        <v>0</v>
      </c>
      <c r="M2561" s="56" t="n">
        <v>54</v>
      </c>
      <c r="N2561" s="56" t="n">
        <v>12.4</v>
      </c>
      <c r="O2561" s="56" t="n">
        <f aca="false">IF(D2561=1,"",E2560)</f>
        <v>30.2</v>
      </c>
      <c r="P2561" s="56" t="n">
        <f aca="false">IF(OR(D2561=1,K2560=""),"",K2560)</f>
        <v>1018.8</v>
      </c>
      <c r="Q2561" s="56" t="n">
        <f aca="false">IF(OR(F2561&lt;&gt;0,AND(I2561&lt;&gt;"",E2561&lt;I2561)),1,0)</f>
        <v>0</v>
      </c>
      <c r="R2561" s="56" t="n">
        <f aca="false">IF(AND(D2561&gt;1,Q2561=0,ISNUMBER(O2561),ISNUMBER(P2561)),IF(Q2560=0,1,0),0)</f>
        <v>1</v>
      </c>
      <c r="S2561" s="56" t="n">
        <f aca="false">R2561*(B2561&gt;=Train_Start)*(B2561&lt;=Train_End)</f>
        <v>1</v>
      </c>
      <c r="T2561" s="84" t="n">
        <f aca="false">IF(AND(ISNUMBER(O2561),ISNUMBER(P2561)),Coef_A+Coef_B1*O2561+Coef_B2*P2561,"")</f>
        <v>28.7906677049923</v>
      </c>
      <c r="U2561" s="84" t="n">
        <f aca="false">IF(AND(R2561=1,ISNUMBER(T2561)),E2561-T2561,"")</f>
        <v>1.80933229500765</v>
      </c>
      <c r="V2561" s="84" t="n">
        <f aca="false">IF(ISNUMBER(T2561),T2561,-99)</f>
        <v>28.7906677049923</v>
      </c>
      <c r="W2561" s="84" t="n">
        <f aca="false">IF(ISNUMBER(U2561),ABS(U2561),"")</f>
        <v>1.80933229500765</v>
      </c>
    </row>
    <row r="2562" customFormat="false" ht="15" hidden="false" customHeight="false" outlineLevel="0" collapsed="false">
      <c r="A2562" s="57" t="n">
        <v>34932</v>
      </c>
      <c r="B2562" s="56" t="n">
        <v>1995</v>
      </c>
      <c r="C2562" s="56" t="n">
        <v>8</v>
      </c>
      <c r="D2562" s="56" t="n">
        <v>113</v>
      </c>
      <c r="E2562" s="56" t="n">
        <v>28.9</v>
      </c>
      <c r="F2562" s="56" t="n">
        <v>0</v>
      </c>
      <c r="G2562" s="56" t="n">
        <v>15.3</v>
      </c>
      <c r="H2562" s="56" t="n">
        <v>0</v>
      </c>
      <c r="I2562" s="56" t="n">
        <v>23</v>
      </c>
      <c r="J2562" s="56" t="n">
        <v>0</v>
      </c>
      <c r="K2562" s="56" t="n">
        <v>1022.6</v>
      </c>
      <c r="L2562" s="56" t="n">
        <v>0</v>
      </c>
      <c r="M2562" s="56" t="n">
        <v>52</v>
      </c>
      <c r="N2562" s="56" t="n">
        <v>13.4</v>
      </c>
      <c r="O2562" s="56" t="n">
        <f aca="false">IF(D2562=1,"",E2561)</f>
        <v>30.6</v>
      </c>
      <c r="P2562" s="56" t="n">
        <f aca="false">IF(OR(D2562=1,K2561=""),"",K2561)</f>
        <v>1021.4</v>
      </c>
      <c r="Q2562" s="56" t="n">
        <f aca="false">IF(OR(F2562&lt;&gt;0,AND(I2562&lt;&gt;"",E2562&lt;I2562)),1,0)</f>
        <v>0</v>
      </c>
      <c r="R2562" s="56" t="n">
        <f aca="false">IF(AND(D2562&gt;1,Q2562=0,ISNUMBER(O2562),ISNUMBER(P2562)),IF(Q2561=0,1,0),0)</f>
        <v>1</v>
      </c>
      <c r="S2562" s="56" t="n">
        <f aca="false">R2562*(B2562&gt;=Train_Start)*(B2562&lt;=Train_End)</f>
        <v>1</v>
      </c>
      <c r="T2562" s="84" t="n">
        <f aca="false">IF(AND(ISNUMBER(O2562),ISNUMBER(P2562)),Coef_A+Coef_B1*O2562+Coef_B2*P2562,"")</f>
        <v>29.1999651082578</v>
      </c>
      <c r="U2562" s="84" t="n">
        <f aca="false">IF(AND(R2562=1,ISNUMBER(T2562)),E2562-T2562,"")</f>
        <v>-0.299965108257791</v>
      </c>
      <c r="V2562" s="84" t="n">
        <f aca="false">IF(ISNUMBER(T2562),T2562,-99)</f>
        <v>29.1999651082578</v>
      </c>
      <c r="W2562" s="84" t="n">
        <f aca="false">IF(ISNUMBER(U2562),ABS(U2562),"")</f>
        <v>0.299965108257791</v>
      </c>
    </row>
    <row r="2563" customFormat="false" ht="15" hidden="false" customHeight="false" outlineLevel="0" collapsed="false">
      <c r="A2563" s="57" t="n">
        <v>34933</v>
      </c>
      <c r="B2563" s="56" t="n">
        <v>1995</v>
      </c>
      <c r="C2563" s="56" t="n">
        <v>8</v>
      </c>
      <c r="D2563" s="56" t="n">
        <v>114</v>
      </c>
      <c r="E2563" s="56" t="n">
        <v>23.3</v>
      </c>
      <c r="F2563" s="56" t="n">
        <v>0</v>
      </c>
      <c r="G2563" s="56" t="n">
        <v>15.8</v>
      </c>
      <c r="H2563" s="56" t="n">
        <v>0</v>
      </c>
      <c r="I2563" s="56" t="n">
        <v>22.4</v>
      </c>
      <c r="J2563" s="56" t="n">
        <v>0</v>
      </c>
      <c r="K2563" s="56" t="n">
        <v>1018.1</v>
      </c>
      <c r="L2563" s="56" t="n">
        <v>0</v>
      </c>
      <c r="M2563" s="56" t="n">
        <v>67</v>
      </c>
      <c r="N2563" s="56" t="n">
        <v>12.4</v>
      </c>
      <c r="O2563" s="56" t="n">
        <f aca="false">IF(D2563=1,"",E2562)</f>
        <v>28.9</v>
      </c>
      <c r="P2563" s="56" t="n">
        <f aca="false">IF(OR(D2563=1,K2562=""),"",K2562)</f>
        <v>1022.6</v>
      </c>
      <c r="Q2563" s="56" t="n">
        <f aca="false">IF(OR(F2563&lt;&gt;0,AND(I2563&lt;&gt;"",E2563&lt;I2563)),1,0)</f>
        <v>0</v>
      </c>
      <c r="R2563" s="56" t="n">
        <f aca="false">IF(AND(D2563&gt;1,Q2563=0,ISNUMBER(O2563),ISNUMBER(P2563)),IF(Q2562=0,1,0),0)</f>
        <v>1</v>
      </c>
      <c r="S2563" s="56" t="n">
        <f aca="false">R2563*(B2563&gt;=Train_Start)*(B2563&lt;=Train_End)</f>
        <v>1</v>
      </c>
      <c r="T2563" s="84" t="n">
        <f aca="false">IF(AND(ISNUMBER(O2563),ISNUMBER(P2563)),Coef_A+Coef_B1*O2563+Coef_B2*P2563,"")</f>
        <v>27.8447323536461</v>
      </c>
      <c r="U2563" s="84" t="n">
        <f aca="false">IF(AND(R2563=1,ISNUMBER(T2563)),E2563-T2563,"")</f>
        <v>-4.54473235364606</v>
      </c>
      <c r="V2563" s="84" t="n">
        <f aca="false">IF(ISNUMBER(T2563),T2563,-99)</f>
        <v>27.8447323536461</v>
      </c>
      <c r="W2563" s="84" t="n">
        <f aca="false">IF(ISNUMBER(U2563),ABS(U2563),"")</f>
        <v>4.54473235364606</v>
      </c>
    </row>
    <row r="2564" customFormat="false" ht="15" hidden="false" customHeight="false" outlineLevel="0" collapsed="false">
      <c r="A2564" s="57" t="n">
        <v>34934</v>
      </c>
      <c r="B2564" s="56" t="n">
        <v>1995</v>
      </c>
      <c r="C2564" s="56" t="n">
        <v>8</v>
      </c>
      <c r="D2564" s="56" t="n">
        <v>115</v>
      </c>
      <c r="E2564" s="56" t="n">
        <v>24.9</v>
      </c>
      <c r="F2564" s="56" t="n">
        <v>0</v>
      </c>
      <c r="G2564" s="56" t="n">
        <v>17</v>
      </c>
      <c r="H2564" s="56" t="n">
        <v>0</v>
      </c>
      <c r="I2564" s="56" t="n">
        <v>20.2</v>
      </c>
      <c r="J2564" s="56" t="n">
        <v>0</v>
      </c>
      <c r="K2564" s="56" t="n">
        <v>1013.5</v>
      </c>
      <c r="L2564" s="56" t="n">
        <v>0</v>
      </c>
      <c r="M2564" s="56" t="n">
        <v>75</v>
      </c>
      <c r="N2564" s="56" t="n">
        <v>0.2</v>
      </c>
      <c r="O2564" s="56" t="n">
        <f aca="false">IF(D2564=1,"",E2563)</f>
        <v>23.3</v>
      </c>
      <c r="P2564" s="56" t="n">
        <f aca="false">IF(OR(D2564=1,K2563=""),"",K2563)</f>
        <v>1018.1</v>
      </c>
      <c r="Q2564" s="56" t="n">
        <f aca="false">IF(OR(F2564&lt;&gt;0,AND(I2564&lt;&gt;"",E2564&lt;I2564)),1,0)</f>
        <v>0</v>
      </c>
      <c r="R2564" s="56" t="n">
        <f aca="false">IF(AND(D2564&gt;1,Q2564=0,ISNUMBER(O2564),ISNUMBER(P2564)),IF(Q2563=0,1,0),0)</f>
        <v>1</v>
      </c>
      <c r="S2564" s="56" t="n">
        <f aca="false">R2564*(B2564&gt;=Train_Start)*(B2564&lt;=Train_End)</f>
        <v>1</v>
      </c>
      <c r="T2564" s="84" t="n">
        <f aca="false">IF(AND(ISNUMBER(O2564),ISNUMBER(P2564)),Coef_A+Coef_B1*O2564+Coef_B2*P2564,"")</f>
        <v>23.1152683467542</v>
      </c>
      <c r="U2564" s="84" t="n">
        <f aca="false">IF(AND(R2564=1,ISNUMBER(T2564)),E2564-T2564,"")</f>
        <v>1.78473165324577</v>
      </c>
      <c r="V2564" s="84" t="n">
        <f aca="false">IF(ISNUMBER(T2564),T2564,-99)</f>
        <v>23.1152683467542</v>
      </c>
      <c r="W2564" s="84" t="n">
        <f aca="false">IF(ISNUMBER(U2564),ABS(U2564),"")</f>
        <v>1.78473165324577</v>
      </c>
    </row>
    <row r="2565" customFormat="false" ht="15" hidden="false" customHeight="false" outlineLevel="0" collapsed="false">
      <c r="A2565" s="57" t="n">
        <v>34935</v>
      </c>
      <c r="B2565" s="56" t="n">
        <v>1995</v>
      </c>
      <c r="C2565" s="56" t="n">
        <v>8</v>
      </c>
      <c r="D2565" s="56" t="n">
        <v>116</v>
      </c>
      <c r="E2565" s="56" t="n">
        <v>25.9</v>
      </c>
      <c r="F2565" s="56" t="n">
        <v>0</v>
      </c>
      <c r="G2565" s="56" t="n">
        <v>12.2</v>
      </c>
      <c r="H2565" s="56" t="n">
        <v>0</v>
      </c>
      <c r="I2565" s="56" t="n">
        <v>18.6</v>
      </c>
      <c r="J2565" s="56" t="n">
        <v>0</v>
      </c>
      <c r="K2565" s="56" t="n">
        <v>1015.2</v>
      </c>
      <c r="L2565" s="56" t="n">
        <v>0</v>
      </c>
      <c r="M2565" s="56" t="n">
        <v>68</v>
      </c>
      <c r="N2565" s="56" t="n">
        <v>6.3</v>
      </c>
      <c r="O2565" s="56" t="n">
        <f aca="false">IF(D2565=1,"",E2564)</f>
        <v>24.9</v>
      </c>
      <c r="P2565" s="56" t="n">
        <f aca="false">IF(OR(D2565=1,K2564=""),"",K2564)</f>
        <v>1013.5</v>
      </c>
      <c r="Q2565" s="56" t="n">
        <f aca="false">IF(OR(F2565&lt;&gt;0,AND(I2565&lt;&gt;"",E2565&lt;I2565)),1,0)</f>
        <v>0</v>
      </c>
      <c r="R2565" s="56" t="n">
        <f aca="false">IF(AND(D2565&gt;1,Q2565=0,ISNUMBER(O2565),ISNUMBER(P2565)),IF(Q2564=0,1,0),0)</f>
        <v>1</v>
      </c>
      <c r="S2565" s="56" t="n">
        <f aca="false">R2565*(B2565&gt;=Train_Start)*(B2565&lt;=Train_End)</f>
        <v>1</v>
      </c>
      <c r="T2565" s="84" t="n">
        <f aca="false">IF(AND(ISNUMBER(O2565),ISNUMBER(P2565)),Coef_A+Coef_B1*O2565+Coef_B2*P2565,"")</f>
        <v>24.2819095403061</v>
      </c>
      <c r="U2565" s="84" t="n">
        <f aca="false">IF(AND(R2565=1,ISNUMBER(T2565)),E2565-T2565,"")</f>
        <v>1.61809045969388</v>
      </c>
      <c r="V2565" s="84" t="n">
        <f aca="false">IF(ISNUMBER(T2565),T2565,-99)</f>
        <v>24.2819095403061</v>
      </c>
      <c r="W2565" s="84" t="n">
        <f aca="false">IF(ISNUMBER(U2565),ABS(U2565),"")</f>
        <v>1.61809045969388</v>
      </c>
    </row>
    <row r="2566" customFormat="false" ht="15" hidden="false" customHeight="false" outlineLevel="0" collapsed="false">
      <c r="A2566" s="57" t="n">
        <v>34936</v>
      </c>
      <c r="B2566" s="56" t="n">
        <v>1995</v>
      </c>
      <c r="C2566" s="56" t="n">
        <v>8</v>
      </c>
      <c r="D2566" s="56" t="n">
        <v>117</v>
      </c>
      <c r="E2566" s="56" t="n">
        <v>24.9</v>
      </c>
      <c r="F2566" s="56" t="n">
        <v>0</v>
      </c>
      <c r="G2566" s="56" t="n">
        <v>17.3</v>
      </c>
      <c r="H2566" s="56" t="n">
        <v>0</v>
      </c>
      <c r="I2566" s="56" t="n">
        <v>21.6</v>
      </c>
      <c r="J2566" s="56" t="n">
        <v>0</v>
      </c>
      <c r="K2566" s="56" t="n">
        <v>1011.8</v>
      </c>
      <c r="L2566" s="56" t="n">
        <v>0</v>
      </c>
      <c r="M2566" s="56" t="n">
        <v>66</v>
      </c>
      <c r="N2566" s="56" t="n">
        <v>6.5</v>
      </c>
      <c r="O2566" s="56" t="n">
        <f aca="false">IF(D2566=1,"",E2565)</f>
        <v>25.9</v>
      </c>
      <c r="P2566" s="56" t="n">
        <f aca="false">IF(OR(D2566=1,K2565=""),"",K2565)</f>
        <v>1015.2</v>
      </c>
      <c r="Q2566" s="56" t="n">
        <f aca="false">IF(OR(F2566&lt;&gt;0,AND(I2566&lt;&gt;"",E2566&lt;I2566)),1,0)</f>
        <v>0</v>
      </c>
      <c r="R2566" s="56" t="n">
        <f aca="false">IF(AND(D2566&gt;1,Q2566=0,ISNUMBER(O2566),ISNUMBER(P2566)),IF(Q2565=0,1,0),0)</f>
        <v>1</v>
      </c>
      <c r="S2566" s="56" t="n">
        <f aca="false">R2566*(B2566&gt;=Train_Start)*(B2566&lt;=Train_End)</f>
        <v>1</v>
      </c>
      <c r="T2566" s="84" t="n">
        <f aca="false">IF(AND(ISNUMBER(O2566),ISNUMBER(P2566)),Coef_A+Coef_B1*O2566+Coef_B2*P2566,"")</f>
        <v>25.1545775542266</v>
      </c>
      <c r="U2566" s="84" t="n">
        <f aca="false">IF(AND(R2566=1,ISNUMBER(T2566)),E2566-T2566,"")</f>
        <v>-0.254577554226561</v>
      </c>
      <c r="V2566" s="84" t="n">
        <f aca="false">IF(ISNUMBER(T2566),T2566,-99)</f>
        <v>25.1545775542266</v>
      </c>
      <c r="W2566" s="84" t="n">
        <f aca="false">IF(ISNUMBER(U2566),ABS(U2566),"")</f>
        <v>0.254577554226561</v>
      </c>
    </row>
    <row r="2567" customFormat="false" ht="15" hidden="false" customHeight="false" outlineLevel="0" collapsed="false">
      <c r="A2567" s="57" t="n">
        <v>34937</v>
      </c>
      <c r="B2567" s="56" t="n">
        <v>1995</v>
      </c>
      <c r="C2567" s="56" t="n">
        <v>8</v>
      </c>
      <c r="D2567" s="56" t="n">
        <v>118</v>
      </c>
      <c r="E2567" s="56" t="n">
        <v>20.9</v>
      </c>
      <c r="F2567" s="56" t="n">
        <v>0</v>
      </c>
      <c r="G2567" s="56" t="n">
        <v>16.8</v>
      </c>
      <c r="H2567" s="56" t="n">
        <v>0</v>
      </c>
      <c r="I2567" s="56" t="n">
        <v>20.8</v>
      </c>
      <c r="J2567" s="56" t="n">
        <v>0</v>
      </c>
      <c r="K2567" s="56" t="n">
        <v>1017.2</v>
      </c>
      <c r="L2567" s="56" t="n">
        <v>0</v>
      </c>
      <c r="M2567" s="56" t="n">
        <v>59</v>
      </c>
      <c r="N2567" s="56" t="n">
        <v>6.6</v>
      </c>
      <c r="O2567" s="56" t="n">
        <f aca="false">IF(D2567=1,"",E2566)</f>
        <v>24.9</v>
      </c>
      <c r="P2567" s="56" t="n">
        <f aca="false">IF(OR(D2567=1,K2566=""),"",K2566)</f>
        <v>1011.8</v>
      </c>
      <c r="Q2567" s="56" t="n">
        <f aca="false">IF(OR(F2567&lt;&gt;0,AND(I2567&lt;&gt;"",E2567&lt;I2567)),1,0)</f>
        <v>0</v>
      </c>
      <c r="R2567" s="56" t="n">
        <f aca="false">IF(AND(D2567&gt;1,Q2567=0,ISNUMBER(O2567),ISNUMBER(P2567)),IF(Q2566=0,1,0),0)</f>
        <v>1</v>
      </c>
      <c r="S2567" s="56" t="n">
        <f aca="false">R2567*(B2567&gt;=Train_Start)*(B2567&lt;=Train_End)</f>
        <v>1</v>
      </c>
      <c r="T2567" s="84" t="n">
        <f aca="false">IF(AND(ISNUMBER(O2567),ISNUMBER(P2567)),Coef_A+Coef_B1*O2567+Coef_B2*P2567,"")</f>
        <v>24.2285807194283</v>
      </c>
      <c r="U2567" s="84" t="n">
        <f aca="false">IF(AND(R2567=1,ISNUMBER(T2567)),E2567-T2567,"")</f>
        <v>-3.32858071942834</v>
      </c>
      <c r="V2567" s="84" t="n">
        <f aca="false">IF(ISNUMBER(T2567),T2567,-99)</f>
        <v>24.2285807194283</v>
      </c>
      <c r="W2567" s="84" t="n">
        <f aca="false">IF(ISNUMBER(U2567),ABS(U2567),"")</f>
        <v>3.32858071942834</v>
      </c>
    </row>
    <row r="2568" customFormat="false" ht="15" hidden="false" customHeight="false" outlineLevel="0" collapsed="false">
      <c r="A2568" s="57" t="n">
        <v>34938</v>
      </c>
      <c r="B2568" s="56" t="n">
        <v>1995</v>
      </c>
      <c r="C2568" s="56" t="n">
        <v>8</v>
      </c>
      <c r="D2568" s="56" t="n">
        <v>119</v>
      </c>
      <c r="E2568" s="56" t="n">
        <v>20.3</v>
      </c>
      <c r="F2568" s="56" t="n">
        <v>0</v>
      </c>
      <c r="G2568" s="56" t="n">
        <v>15.8</v>
      </c>
      <c r="H2568" s="56" t="n">
        <v>0</v>
      </c>
      <c r="I2568" s="56" t="n">
        <v>18.4</v>
      </c>
      <c r="J2568" s="56" t="n">
        <v>0</v>
      </c>
      <c r="K2568" s="56" t="n">
        <v>1016.8</v>
      </c>
      <c r="L2568" s="56" t="n">
        <v>0</v>
      </c>
      <c r="M2568" s="56" t="n">
        <v>64</v>
      </c>
      <c r="N2568" s="56" t="n">
        <v>8.9</v>
      </c>
      <c r="O2568" s="56" t="n">
        <f aca="false">IF(D2568=1,"",E2567)</f>
        <v>20.9</v>
      </c>
      <c r="P2568" s="56" t="n">
        <f aca="false">IF(OR(D2568=1,K2567=""),"",K2567)</f>
        <v>1017.2</v>
      </c>
      <c r="Q2568" s="56" t="n">
        <f aca="false">IF(OR(F2568&lt;&gt;0,AND(I2568&lt;&gt;"",E2568&lt;I2568)),1,0)</f>
        <v>0</v>
      </c>
      <c r="R2568" s="56" t="n">
        <f aca="false">IF(AND(D2568&gt;1,Q2568=0,ISNUMBER(O2568),ISNUMBER(P2568)),IF(Q2567=0,1,0),0)</f>
        <v>1</v>
      </c>
      <c r="S2568" s="56" t="n">
        <f aca="false">R2568*(B2568&gt;=Train_Start)*(B2568&lt;=Train_End)</f>
        <v>1</v>
      </c>
      <c r="T2568" s="84" t="n">
        <f aca="false">IF(AND(ISNUMBER(O2568),ISNUMBER(P2568)),Coef_A+Coef_B1*O2568+Coef_B2*P2568,"")</f>
        <v>21.1206213782813</v>
      </c>
      <c r="U2568" s="84" t="n">
        <f aca="false">IF(AND(R2568=1,ISNUMBER(T2568)),E2568-T2568,"")</f>
        <v>-0.820621378281253</v>
      </c>
      <c r="V2568" s="84" t="n">
        <f aca="false">IF(ISNUMBER(T2568),T2568,-99)</f>
        <v>21.1206213782813</v>
      </c>
      <c r="W2568" s="84" t="n">
        <f aca="false">IF(ISNUMBER(U2568),ABS(U2568),"")</f>
        <v>0.820621378281253</v>
      </c>
    </row>
    <row r="2569" customFormat="false" ht="15" hidden="false" customHeight="false" outlineLevel="0" collapsed="false">
      <c r="A2569" s="57" t="n">
        <v>34939</v>
      </c>
      <c r="B2569" s="56" t="n">
        <v>1995</v>
      </c>
      <c r="C2569" s="56" t="n">
        <v>8</v>
      </c>
      <c r="D2569" s="56" t="n">
        <v>120</v>
      </c>
      <c r="E2569" s="56" t="n">
        <v>18.9</v>
      </c>
      <c r="F2569" s="56" t="n">
        <v>0</v>
      </c>
      <c r="G2569" s="56" t="n">
        <v>11</v>
      </c>
      <c r="H2569" s="56" t="n">
        <v>0</v>
      </c>
      <c r="I2569" s="56" t="n">
        <v>15.6</v>
      </c>
      <c r="J2569" s="56" t="n">
        <v>0</v>
      </c>
      <c r="K2569" s="56" t="n">
        <v>1023</v>
      </c>
      <c r="L2569" s="56" t="n">
        <v>0</v>
      </c>
      <c r="M2569" s="56" t="n">
        <v>56</v>
      </c>
      <c r="N2569" s="56" t="n">
        <v>12</v>
      </c>
      <c r="O2569" s="56" t="n">
        <f aca="false">IF(D2569=1,"",E2568)</f>
        <v>20.3</v>
      </c>
      <c r="P2569" s="56" t="n">
        <f aca="false">IF(OR(D2569=1,K2568=""),"",K2568)</f>
        <v>1016.8</v>
      </c>
      <c r="Q2569" s="56" t="n">
        <f aca="false">IF(OR(F2569&lt;&gt;0,AND(I2569&lt;&gt;"",E2569&lt;I2569)),1,0)</f>
        <v>0</v>
      </c>
      <c r="R2569" s="56" t="n">
        <f aca="false">IF(AND(D2569&gt;1,Q2569=0,ISNUMBER(O2569),ISNUMBER(P2569)),IF(Q2568=0,1,0),0)</f>
        <v>1</v>
      </c>
      <c r="S2569" s="56" t="n">
        <f aca="false">R2569*(B2569&gt;=Train_Start)*(B2569&lt;=Train_End)</f>
        <v>1</v>
      </c>
      <c r="T2569" s="84" t="n">
        <f aca="false">IF(AND(ISNUMBER(O2569),ISNUMBER(P2569)),Coef_A+Coef_B1*O2569+Coef_B2*P2569,"")</f>
        <v>20.6164699046021</v>
      </c>
      <c r="U2569" s="84" t="n">
        <f aca="false">IF(AND(R2569=1,ISNUMBER(T2569)),E2569-T2569,"")</f>
        <v>-1.71646990460206</v>
      </c>
      <c r="V2569" s="84" t="n">
        <f aca="false">IF(ISNUMBER(T2569),T2569,-99)</f>
        <v>20.6164699046021</v>
      </c>
      <c r="W2569" s="84" t="n">
        <f aca="false">IF(ISNUMBER(U2569),ABS(U2569),"")</f>
        <v>1.71646990460206</v>
      </c>
    </row>
    <row r="2570" customFormat="false" ht="15" hidden="false" customHeight="false" outlineLevel="0" collapsed="false">
      <c r="A2570" s="57" t="n">
        <v>34940</v>
      </c>
      <c r="B2570" s="56" t="n">
        <v>1995</v>
      </c>
      <c r="C2570" s="56" t="n">
        <v>8</v>
      </c>
      <c r="D2570" s="56" t="n">
        <v>121</v>
      </c>
      <c r="E2570" s="56" t="n">
        <v>22.1</v>
      </c>
      <c r="F2570" s="56" t="n">
        <v>0</v>
      </c>
      <c r="G2570" s="56" t="n">
        <v>12.3</v>
      </c>
      <c r="H2570" s="56" t="n">
        <v>0</v>
      </c>
      <c r="I2570" s="56" t="n">
        <v>15.6</v>
      </c>
      <c r="J2570" s="56" t="n">
        <v>0</v>
      </c>
      <c r="K2570" s="56" t="n">
        <v>1024.2</v>
      </c>
      <c r="L2570" s="56" t="n">
        <v>0</v>
      </c>
      <c r="M2570" s="56" t="n">
        <v>72</v>
      </c>
      <c r="N2570" s="56" t="n">
        <v>0.1</v>
      </c>
      <c r="O2570" s="56" t="n">
        <f aca="false">IF(D2570=1,"",E2569)</f>
        <v>18.9</v>
      </c>
      <c r="P2570" s="56" t="n">
        <f aca="false">IF(OR(D2570=1,K2569=""),"",K2569)</f>
        <v>1023</v>
      </c>
      <c r="Q2570" s="56" t="n">
        <f aca="false">IF(OR(F2570&lt;&gt;0,AND(I2570&lt;&gt;"",E2570&lt;I2570)),1,0)</f>
        <v>0</v>
      </c>
      <c r="R2570" s="56" t="n">
        <f aca="false">IF(AND(D2570&gt;1,Q2570=0,ISNUMBER(O2570),ISNUMBER(P2570)),IF(Q2569=0,1,0),0)</f>
        <v>1</v>
      </c>
      <c r="S2570" s="56" t="n">
        <f aca="false">R2570*(B2570&gt;=Train_Start)*(B2570&lt;=Train_End)</f>
        <v>1</v>
      </c>
      <c r="T2570" s="84" t="n">
        <f aca="false">IF(AND(ISNUMBER(O2570),ISNUMBER(P2570)),Coef_A+Coef_B1*O2570+Coef_B2*P2570,"")</f>
        <v>19.6638883810731</v>
      </c>
      <c r="U2570" s="84" t="n">
        <f aca="false">IF(AND(R2570=1,ISNUMBER(T2570)),E2570-T2570,"")</f>
        <v>2.43611161892693</v>
      </c>
      <c r="V2570" s="84" t="n">
        <f aca="false">IF(ISNUMBER(T2570),T2570,-99)</f>
        <v>19.6638883810731</v>
      </c>
      <c r="W2570" s="84" t="n">
        <f aca="false">IF(ISNUMBER(U2570),ABS(U2570),"")</f>
        <v>2.43611161892693</v>
      </c>
    </row>
    <row r="2571" customFormat="false" ht="15" hidden="false" customHeight="false" outlineLevel="0" collapsed="false">
      <c r="A2571" s="57" t="n">
        <v>34941</v>
      </c>
      <c r="B2571" s="56" t="n">
        <v>1995</v>
      </c>
      <c r="C2571" s="56" t="n">
        <v>8</v>
      </c>
      <c r="D2571" s="56" t="n">
        <v>122</v>
      </c>
      <c r="E2571" s="56" t="n">
        <v>20.8</v>
      </c>
      <c r="F2571" s="56" t="n">
        <v>0</v>
      </c>
      <c r="G2571" s="56" t="n">
        <v>10.6</v>
      </c>
      <c r="H2571" s="56" t="n">
        <v>0</v>
      </c>
      <c r="I2571" s="56" t="n">
        <v>16.4</v>
      </c>
      <c r="J2571" s="56" t="n">
        <v>0</v>
      </c>
      <c r="K2571" s="56" t="n">
        <v>1027</v>
      </c>
      <c r="L2571" s="56" t="n">
        <v>0</v>
      </c>
      <c r="M2571" s="56" t="n">
        <v>59</v>
      </c>
      <c r="N2571" s="56" t="n">
        <v>8.7</v>
      </c>
      <c r="O2571" s="56" t="n">
        <f aca="false">IF(D2571=1,"",E2570)</f>
        <v>22.1</v>
      </c>
      <c r="P2571" s="56" t="n">
        <f aca="false">IF(OR(D2571=1,K2570=""),"",K2570)</f>
        <v>1024.2</v>
      </c>
      <c r="Q2571" s="56" t="n">
        <f aca="false">IF(OR(F2571&lt;&gt;0,AND(I2571&lt;&gt;"",E2571&lt;I2571)),1,0)</f>
        <v>0</v>
      </c>
      <c r="R2571" s="56" t="n">
        <f aca="false">IF(AND(D2571&gt;1,Q2571=0,ISNUMBER(O2571),ISNUMBER(P2571)),IF(Q2570=0,1,0),0)</f>
        <v>1</v>
      </c>
      <c r="S2571" s="56" t="n">
        <f aca="false">R2571*(B2571&gt;=Train_Start)*(B2571&lt;=Train_End)</f>
        <v>1</v>
      </c>
      <c r="T2571" s="84" t="n">
        <f aca="false">IF(AND(ISNUMBER(O2571),ISNUMBER(P2571)),Coef_A+Coef_B1*O2571+Coef_B2*P2571,"")</f>
        <v>22.3234176723704</v>
      </c>
      <c r="U2571" s="84" t="n">
        <f aca="false">IF(AND(R2571=1,ISNUMBER(T2571)),E2571-T2571,"")</f>
        <v>-1.52341767237037</v>
      </c>
      <c r="V2571" s="84" t="n">
        <f aca="false">IF(ISNUMBER(T2571),T2571,-99)</f>
        <v>22.3234176723704</v>
      </c>
      <c r="W2571" s="84" t="n">
        <f aca="false">IF(ISNUMBER(U2571),ABS(U2571),"")</f>
        <v>1.52341767237037</v>
      </c>
    </row>
    <row r="2572" customFormat="false" ht="15" hidden="false" customHeight="false" outlineLevel="0" collapsed="false">
      <c r="A2572" s="57" t="n">
        <v>34942</v>
      </c>
      <c r="B2572" s="56" t="n">
        <v>1995</v>
      </c>
      <c r="C2572" s="56" t="n">
        <v>8</v>
      </c>
      <c r="D2572" s="56" t="n">
        <v>123</v>
      </c>
      <c r="E2572" s="56" t="n">
        <v>19.9</v>
      </c>
      <c r="F2572" s="56" t="n">
        <v>0</v>
      </c>
      <c r="G2572" s="56" t="n">
        <v>15.3</v>
      </c>
      <c r="H2572" s="56" t="n">
        <v>0</v>
      </c>
      <c r="I2572" s="56" t="n">
        <v>18</v>
      </c>
      <c r="J2572" s="56" t="n">
        <v>0</v>
      </c>
      <c r="K2572" s="56" t="n">
        <v>1026.2</v>
      </c>
      <c r="L2572" s="56" t="n">
        <v>0</v>
      </c>
      <c r="M2572" s="56" t="n">
        <v>69</v>
      </c>
      <c r="N2572" s="56" t="n">
        <v>0.1</v>
      </c>
      <c r="O2572" s="56" t="n">
        <f aca="false">IF(D2572=1,"",E2571)</f>
        <v>20.8</v>
      </c>
      <c r="P2572" s="56" t="n">
        <f aca="false">IF(OR(D2572=1,K2571=""),"",K2571)</f>
        <v>1027</v>
      </c>
      <c r="Q2572" s="56" t="n">
        <f aca="false">IF(OR(F2572&lt;&gt;0,AND(I2572&lt;&gt;"",E2572&lt;I2572)),1,0)</f>
        <v>0</v>
      </c>
      <c r="R2572" s="56" t="n">
        <f aca="false">IF(AND(D2572&gt;1,Q2572=0,ISNUMBER(O2572),ISNUMBER(P2572)),IF(Q2571=0,1,0),0)</f>
        <v>1</v>
      </c>
      <c r="S2572" s="56" t="n">
        <f aca="false">R2572*(B2572&gt;=Train_Start)*(B2572&lt;=Train_End)</f>
        <v>1</v>
      </c>
      <c r="T2572" s="84" t="n">
        <f aca="false">IF(AND(ISNUMBER(O2572),ISNUMBER(P2572)),Coef_A+Coef_B1*O2572+Coef_B2*P2572,"")</f>
        <v>21.3461124263901</v>
      </c>
      <c r="U2572" s="84" t="n">
        <f aca="false">IF(AND(R2572=1,ISNUMBER(T2572)),E2572-T2572,"")</f>
        <v>-1.44611242639008</v>
      </c>
      <c r="V2572" s="84" t="n">
        <f aca="false">IF(ISNUMBER(T2572),T2572,-99)</f>
        <v>21.3461124263901</v>
      </c>
      <c r="W2572" s="84" t="n">
        <f aca="false">IF(ISNUMBER(U2572),ABS(U2572),"")</f>
        <v>1.44611242639008</v>
      </c>
    </row>
    <row r="2573" customFormat="false" ht="15" hidden="false" customHeight="false" outlineLevel="0" collapsed="false">
      <c r="A2573" s="57" t="n">
        <v>34943</v>
      </c>
      <c r="B2573" s="56" t="n">
        <v>1995</v>
      </c>
      <c r="C2573" s="56" t="n">
        <v>9</v>
      </c>
      <c r="D2573" s="56" t="n">
        <v>124</v>
      </c>
      <c r="E2573" s="56" t="n">
        <v>19.1</v>
      </c>
      <c r="F2573" s="56" t="n">
        <v>0</v>
      </c>
      <c r="G2573" s="56" t="n">
        <v>14.4</v>
      </c>
      <c r="H2573" s="56" t="n">
        <v>0</v>
      </c>
      <c r="I2573" s="56" t="n">
        <v>17.2</v>
      </c>
      <c r="J2573" s="56" t="n">
        <v>0</v>
      </c>
      <c r="K2573" s="56" t="n">
        <v>1023</v>
      </c>
      <c r="L2573" s="56" t="n">
        <v>0</v>
      </c>
      <c r="M2573" s="56" t="n">
        <v>67</v>
      </c>
      <c r="N2573" s="56" t="n">
        <v>0.2</v>
      </c>
      <c r="O2573" s="56" t="n">
        <f aca="false">IF(D2573=1,"",E2572)</f>
        <v>19.9</v>
      </c>
      <c r="P2573" s="56" t="n">
        <f aca="false">IF(OR(D2573=1,K2572=""),"",K2572)</f>
        <v>1026.2</v>
      </c>
      <c r="Q2573" s="56" t="n">
        <f aca="false">IF(OR(F2573&lt;&gt;0,AND(I2573&lt;&gt;"",E2573&lt;I2573)),1,0)</f>
        <v>0</v>
      </c>
      <c r="R2573" s="56" t="n">
        <f aca="false">IF(AND(D2573&gt;1,Q2573=0,ISNUMBER(O2573),ISNUMBER(P2573)),IF(Q2572=0,1,0),0)</f>
        <v>1</v>
      </c>
      <c r="S2573" s="56" t="n">
        <f aca="false">R2573*(B2573&gt;=Train_Start)*(B2573&lt;=Train_End)</f>
        <v>1</v>
      </c>
      <c r="T2573" s="84" t="n">
        <f aca="false">IF(AND(ISNUMBER(O2573),ISNUMBER(P2573)),Coef_A+Coef_B1*O2573+Coef_B2*P2573,"")</f>
        <v>20.5836112369445</v>
      </c>
      <c r="U2573" s="84" t="n">
        <f aca="false">IF(AND(R2573=1,ISNUMBER(T2573)),E2573-T2573,"")</f>
        <v>-1.4836112369445</v>
      </c>
      <c r="V2573" s="84" t="n">
        <f aca="false">IF(ISNUMBER(T2573),T2573,-99)</f>
        <v>20.5836112369445</v>
      </c>
      <c r="W2573" s="84" t="n">
        <f aca="false">IF(ISNUMBER(U2573),ABS(U2573),"")</f>
        <v>1.4836112369445</v>
      </c>
    </row>
    <row r="2574" customFormat="false" ht="15" hidden="false" customHeight="false" outlineLevel="0" collapsed="false">
      <c r="A2574" s="57" t="n">
        <v>34944</v>
      </c>
      <c r="B2574" s="56" t="n">
        <v>1995</v>
      </c>
      <c r="C2574" s="56" t="n">
        <v>9</v>
      </c>
      <c r="D2574" s="56" t="n">
        <v>125</v>
      </c>
      <c r="E2574" s="56" t="n">
        <v>20.9</v>
      </c>
      <c r="F2574" s="56" t="n">
        <v>0</v>
      </c>
      <c r="G2574" s="56" t="n">
        <v>15.1</v>
      </c>
      <c r="H2574" s="56" t="n">
        <v>0</v>
      </c>
      <c r="I2574" s="56" t="n">
        <v>17.1</v>
      </c>
      <c r="J2574" s="56" t="n">
        <v>0</v>
      </c>
      <c r="K2574" s="56" t="n">
        <v>1013.9</v>
      </c>
      <c r="L2574" s="56" t="n">
        <v>0</v>
      </c>
      <c r="M2574" s="56" t="n">
        <v>69</v>
      </c>
      <c r="N2574" s="56" t="n">
        <v>3.3</v>
      </c>
      <c r="O2574" s="56" t="n">
        <f aca="false">IF(D2574=1,"",E2573)</f>
        <v>19.1</v>
      </c>
      <c r="P2574" s="56" t="n">
        <f aca="false">IF(OR(D2574=1,K2573=""),"",K2573)</f>
        <v>1023</v>
      </c>
      <c r="Q2574" s="56" t="n">
        <f aca="false">IF(OR(F2574&lt;&gt;0,AND(I2574&lt;&gt;"",E2574&lt;I2574)),1,0)</f>
        <v>0</v>
      </c>
      <c r="R2574" s="56" t="n">
        <f aca="false">IF(AND(D2574&gt;1,Q2574=0,ISNUMBER(O2574),ISNUMBER(P2574)),IF(Q2573=0,1,0),0)</f>
        <v>1</v>
      </c>
      <c r="S2574" s="56" t="n">
        <f aca="false">R2574*(B2574&gt;=Train_Start)*(B2574&lt;=Train_End)</f>
        <v>1</v>
      </c>
      <c r="T2574" s="84" t="n">
        <f aca="false">IF(AND(ISNUMBER(O2574),ISNUMBER(P2574)),Coef_A+Coef_B1*O2574+Coef_B2*P2574,"")</f>
        <v>19.8277562196816</v>
      </c>
      <c r="U2574" s="84" t="n">
        <f aca="false">IF(AND(R2574=1,ISNUMBER(T2574)),E2574-T2574,"")</f>
        <v>1.07224378031839</v>
      </c>
      <c r="V2574" s="84" t="n">
        <f aca="false">IF(ISNUMBER(T2574),T2574,-99)</f>
        <v>19.8277562196816</v>
      </c>
      <c r="W2574" s="84" t="n">
        <f aca="false">IF(ISNUMBER(U2574),ABS(U2574),"")</f>
        <v>1.07224378031839</v>
      </c>
    </row>
    <row r="2575" customFormat="false" ht="15" hidden="false" customHeight="false" outlineLevel="0" collapsed="false">
      <c r="A2575" s="57" t="n">
        <v>34945</v>
      </c>
      <c r="B2575" s="56" t="n">
        <v>1995</v>
      </c>
      <c r="C2575" s="56" t="n">
        <v>9</v>
      </c>
      <c r="D2575" s="56" t="n">
        <v>126</v>
      </c>
      <c r="E2575" s="56" t="n">
        <v>22</v>
      </c>
      <c r="F2575" s="56" t="n">
        <v>0</v>
      </c>
      <c r="G2575" s="56" t="n">
        <v>7.2</v>
      </c>
      <c r="H2575" s="56" t="n">
        <v>0</v>
      </c>
      <c r="I2575" s="56" t="n">
        <v>14</v>
      </c>
      <c r="J2575" s="56" t="n">
        <v>0</v>
      </c>
      <c r="K2575" s="56" t="n">
        <v>1008.4</v>
      </c>
      <c r="L2575" s="56" t="n">
        <v>0</v>
      </c>
      <c r="M2575" s="56" t="n">
        <v>62</v>
      </c>
      <c r="N2575" s="56" t="n">
        <v>9</v>
      </c>
      <c r="O2575" s="56" t="n">
        <f aca="false">IF(D2575=1,"",E2574)</f>
        <v>20.9</v>
      </c>
      <c r="P2575" s="56" t="n">
        <f aca="false">IF(OR(D2575=1,K2574=""),"",K2574)</f>
        <v>1013.9</v>
      </c>
      <c r="Q2575" s="56" t="n">
        <f aca="false">IF(OR(F2575&lt;&gt;0,AND(I2575&lt;&gt;"",E2575&lt;I2575)),1,0)</f>
        <v>0</v>
      </c>
      <c r="R2575" s="56" t="n">
        <f aca="false">IF(AND(D2575&gt;1,Q2575=0,ISNUMBER(O2575),ISNUMBER(P2575)),IF(Q2574=0,1,0),0)</f>
        <v>1</v>
      </c>
      <c r="S2575" s="56" t="n">
        <f aca="false">R2575*(B2575&gt;=Train_Start)*(B2575&lt;=Train_End)</f>
        <v>1</v>
      </c>
      <c r="T2575" s="84" t="n">
        <f aca="false">IF(AND(ISNUMBER(O2575),ISNUMBER(P2575)),Coef_A+Coef_B1*O2575+Coef_B2*P2575,"")</f>
        <v>21.0171007259891</v>
      </c>
      <c r="U2575" s="84" t="n">
        <f aca="false">IF(AND(R2575=1,ISNUMBER(T2575)),E2575-T2575,"")</f>
        <v>0.982899274010915</v>
      </c>
      <c r="V2575" s="84" t="n">
        <f aca="false">IF(ISNUMBER(T2575),T2575,-99)</f>
        <v>21.0171007259891</v>
      </c>
      <c r="W2575" s="84" t="n">
        <f aca="false">IF(ISNUMBER(U2575),ABS(U2575),"")</f>
        <v>0.982899274010915</v>
      </c>
    </row>
    <row r="2576" customFormat="false" ht="15" hidden="false" customHeight="false" outlineLevel="0" collapsed="false">
      <c r="A2576" s="57" t="n">
        <v>34946</v>
      </c>
      <c r="B2576" s="56" t="n">
        <v>1995</v>
      </c>
      <c r="C2576" s="56" t="n">
        <v>9</v>
      </c>
      <c r="D2576" s="56" t="n">
        <v>127</v>
      </c>
      <c r="E2576" s="56" t="n">
        <v>20.8</v>
      </c>
      <c r="F2576" s="56" t="n">
        <v>0</v>
      </c>
      <c r="G2576" s="56" t="n">
        <v>8.8</v>
      </c>
      <c r="H2576" s="56" t="n">
        <v>0</v>
      </c>
      <c r="I2576" s="56" t="n">
        <v>15.4</v>
      </c>
      <c r="J2576" s="56" t="n">
        <v>0</v>
      </c>
      <c r="K2576" s="56" t="n">
        <v>1005.8</v>
      </c>
      <c r="L2576" s="56" t="n">
        <v>0</v>
      </c>
      <c r="M2576" s="56" t="n">
        <v>71</v>
      </c>
      <c r="N2576" s="56" t="n">
        <v>8.9</v>
      </c>
      <c r="O2576" s="56" t="n">
        <f aca="false">IF(D2576=1,"",E2575)</f>
        <v>22</v>
      </c>
      <c r="P2576" s="56" t="n">
        <f aca="false">IF(OR(D2576=1,K2575=""),"",K2575)</f>
        <v>1008.4</v>
      </c>
      <c r="Q2576" s="56" t="n">
        <f aca="false">IF(OR(F2576&lt;&gt;0,AND(I2576&lt;&gt;"",E2576&lt;I2576)),1,0)</f>
        <v>0</v>
      </c>
      <c r="R2576" s="56" t="n">
        <f aca="false">IF(AND(D2576&gt;1,Q2576=0,ISNUMBER(O2576),ISNUMBER(P2576)),IF(Q2575=0,1,0),0)</f>
        <v>1</v>
      </c>
      <c r="S2576" s="56" t="n">
        <f aca="false">R2576*(B2576&gt;=Train_Start)*(B2576&lt;=Train_End)</f>
        <v>1</v>
      </c>
      <c r="T2576" s="84" t="n">
        <f aca="false">IF(AND(ISNUMBER(O2576),ISNUMBER(P2576)),Coef_A+Coef_B1*O2576+Coef_B2*P2576,"")</f>
        <v>21.7458394178491</v>
      </c>
      <c r="U2576" s="84" t="n">
        <f aca="false">IF(AND(R2576=1,ISNUMBER(T2576)),E2576-T2576,"")</f>
        <v>-0.945839417849069</v>
      </c>
      <c r="V2576" s="84" t="n">
        <f aca="false">IF(ISNUMBER(T2576),T2576,-99)</f>
        <v>21.7458394178491</v>
      </c>
      <c r="W2576" s="84" t="n">
        <f aca="false">IF(ISNUMBER(U2576),ABS(U2576),"")</f>
        <v>0.945839417849069</v>
      </c>
    </row>
    <row r="2577" customFormat="false" ht="15" hidden="false" customHeight="false" outlineLevel="0" collapsed="false">
      <c r="A2577" s="57" t="n">
        <v>34947</v>
      </c>
      <c r="B2577" s="56" t="n">
        <v>1995</v>
      </c>
      <c r="C2577" s="56" t="n">
        <v>9</v>
      </c>
      <c r="D2577" s="56" t="n">
        <v>128</v>
      </c>
      <c r="E2577" s="56" t="n">
        <v>21</v>
      </c>
      <c r="F2577" s="56" t="n">
        <v>0</v>
      </c>
      <c r="G2577" s="56" t="n">
        <v>10.8</v>
      </c>
      <c r="H2577" s="56" t="n">
        <v>0</v>
      </c>
      <c r="I2577" s="56" t="n">
        <v>15.8</v>
      </c>
      <c r="J2577" s="56" t="n">
        <v>0</v>
      </c>
      <c r="K2577" s="56" t="n">
        <v>1001.4</v>
      </c>
      <c r="L2577" s="56" t="n">
        <v>0</v>
      </c>
      <c r="M2577" s="56" t="n">
        <v>76</v>
      </c>
      <c r="N2577" s="56" t="n">
        <v>6.4</v>
      </c>
      <c r="O2577" s="56" t="n">
        <f aca="false">IF(D2577=1,"",E2576)</f>
        <v>20.8</v>
      </c>
      <c r="P2577" s="56" t="n">
        <f aca="false">IF(OR(D2577=1,K2576=""),"",K2576)</f>
        <v>1005.8</v>
      </c>
      <c r="Q2577" s="56" t="n">
        <f aca="false">IF(OR(F2577&lt;&gt;0,AND(I2577&lt;&gt;"",E2577&lt;I2577)),1,0)</f>
        <v>0</v>
      </c>
      <c r="R2577" s="56" t="n">
        <f aca="false">IF(AND(D2577&gt;1,Q2577=0,ISNUMBER(O2577),ISNUMBER(P2577)),IF(Q2576=0,1,0),0)</f>
        <v>1</v>
      </c>
      <c r="S2577" s="56" t="n">
        <f aca="false">R2577*(B2577&gt;=Train_Start)*(B2577&lt;=Train_End)</f>
        <v>1</v>
      </c>
      <c r="T2577" s="84" t="n">
        <f aca="false">IF(AND(ISNUMBER(O2577),ISNUMBER(P2577)),Coef_A+Coef_B1*O2577+Coef_B2*P2577,"")</f>
        <v>20.6810706601495</v>
      </c>
      <c r="U2577" s="84" t="n">
        <f aca="false">IF(AND(R2577=1,ISNUMBER(T2577)),E2577-T2577,"")</f>
        <v>0.318929339850495</v>
      </c>
      <c r="V2577" s="84" t="n">
        <f aca="false">IF(ISNUMBER(T2577),T2577,-99)</f>
        <v>20.6810706601495</v>
      </c>
      <c r="W2577" s="84" t="n">
        <f aca="false">IF(ISNUMBER(U2577),ABS(U2577),"")</f>
        <v>0.318929339850495</v>
      </c>
    </row>
    <row r="2578" customFormat="false" ht="15" hidden="false" customHeight="false" outlineLevel="0" collapsed="false">
      <c r="A2578" s="57" t="n">
        <v>34948</v>
      </c>
      <c r="B2578" s="56" t="n">
        <v>1995</v>
      </c>
      <c r="C2578" s="56" t="n">
        <v>9</v>
      </c>
      <c r="D2578" s="56" t="n">
        <v>129</v>
      </c>
      <c r="E2578" s="56" t="n">
        <v>19.6</v>
      </c>
      <c r="F2578" s="56" t="n">
        <v>0</v>
      </c>
      <c r="G2578" s="56" t="n">
        <v>11.8</v>
      </c>
      <c r="H2578" s="56" t="n">
        <v>0</v>
      </c>
      <c r="I2578" s="56" t="n">
        <v>16.4</v>
      </c>
      <c r="J2578" s="56" t="n">
        <v>0</v>
      </c>
      <c r="K2578" s="56" t="n">
        <v>998.3</v>
      </c>
      <c r="L2578" s="56" t="n">
        <v>0</v>
      </c>
      <c r="M2578" s="56" t="n">
        <v>74</v>
      </c>
      <c r="N2578" s="56" t="n">
        <v>2.9</v>
      </c>
      <c r="O2578" s="56" t="n">
        <f aca="false">IF(D2578=1,"",E2577)</f>
        <v>21</v>
      </c>
      <c r="P2578" s="56" t="n">
        <f aca="false">IF(OR(D2578=1,K2577=""),"",K2577)</f>
        <v>1001.4</v>
      </c>
      <c r="Q2578" s="56" t="n">
        <f aca="false">IF(OR(F2578&lt;&gt;0,AND(I2578&lt;&gt;"",E2578&lt;I2578)),1,0)</f>
        <v>0</v>
      </c>
      <c r="R2578" s="56" t="n">
        <f aca="false">IF(AND(D2578&gt;1,Q2578=0,ISNUMBER(O2578),ISNUMBER(P2578)),IF(Q2577=0,1,0),0)</f>
        <v>1</v>
      </c>
      <c r="S2578" s="56" t="n">
        <f aca="false">R2578*(B2578&gt;=Train_Start)*(B2578&lt;=Train_End)</f>
        <v>1</v>
      </c>
      <c r="T2578" s="84" t="n">
        <f aca="false">IF(AND(ISNUMBER(O2578),ISNUMBER(P2578)),Coef_A+Coef_B1*O2578+Coef_B2*P2578,"")</f>
        <v>20.7069109623685</v>
      </c>
      <c r="U2578" s="84" t="n">
        <f aca="false">IF(AND(R2578=1,ISNUMBER(T2578)),E2578-T2578,"")</f>
        <v>-1.10691096236848</v>
      </c>
      <c r="V2578" s="84" t="n">
        <f aca="false">IF(ISNUMBER(T2578),T2578,-99)</f>
        <v>20.7069109623685</v>
      </c>
      <c r="W2578" s="84" t="n">
        <f aca="false">IF(ISNUMBER(U2578),ABS(U2578),"")</f>
        <v>1.10691096236848</v>
      </c>
    </row>
    <row r="2579" customFormat="false" ht="15" hidden="false" customHeight="false" outlineLevel="0" collapsed="false">
      <c r="A2579" s="57" t="n">
        <v>34949</v>
      </c>
      <c r="B2579" s="56" t="n">
        <v>1995</v>
      </c>
      <c r="C2579" s="56" t="n">
        <v>9</v>
      </c>
      <c r="D2579" s="56" t="n">
        <v>130</v>
      </c>
      <c r="E2579" s="56" t="n">
        <v>20.3</v>
      </c>
      <c r="F2579" s="56" t="n">
        <v>0</v>
      </c>
      <c r="G2579" s="56" t="n">
        <v>13.9</v>
      </c>
      <c r="H2579" s="56" t="n">
        <v>0</v>
      </c>
      <c r="I2579" s="56" t="n">
        <v>16.8</v>
      </c>
      <c r="J2579" s="56" t="n">
        <v>0</v>
      </c>
      <c r="K2579" s="56" t="n">
        <v>984.8</v>
      </c>
      <c r="L2579" s="56" t="n">
        <v>0</v>
      </c>
      <c r="M2579" s="56" t="n">
        <v>88</v>
      </c>
      <c r="N2579" s="56" t="n">
        <v>1.1</v>
      </c>
      <c r="O2579" s="56" t="n">
        <f aca="false">IF(D2579=1,"",E2578)</f>
        <v>19.6</v>
      </c>
      <c r="P2579" s="56" t="n">
        <f aca="false">IF(OR(D2579=1,K2578=""),"",K2578)</f>
        <v>998.3</v>
      </c>
      <c r="Q2579" s="56" t="n">
        <f aca="false">IF(OR(F2579&lt;&gt;0,AND(I2579&lt;&gt;"",E2579&lt;I2579)),1,0)</f>
        <v>0</v>
      </c>
      <c r="R2579" s="56" t="n">
        <f aca="false">IF(AND(D2579&gt;1,Q2579=0,ISNUMBER(O2579),ISNUMBER(P2579)),IF(Q2578=0,1,0),0)</f>
        <v>1</v>
      </c>
      <c r="S2579" s="56" t="n">
        <f aca="false">R2579*(B2579&gt;=Train_Start)*(B2579&lt;=Train_End)</f>
        <v>1</v>
      </c>
      <c r="T2579" s="84" t="n">
        <f aca="false">IF(AND(ISNUMBER(O2579),ISNUMBER(P2579)),Coef_A+Coef_B1*O2579+Coef_B2*P2579,"")</f>
        <v>19.4625894187434</v>
      </c>
      <c r="U2579" s="84" t="n">
        <f aca="false">IF(AND(R2579=1,ISNUMBER(T2579)),E2579-T2579,"")</f>
        <v>0.837410581256602</v>
      </c>
      <c r="V2579" s="84" t="n">
        <f aca="false">IF(ISNUMBER(T2579),T2579,-99)</f>
        <v>19.4625894187434</v>
      </c>
      <c r="W2579" s="84" t="n">
        <f aca="false">IF(ISNUMBER(U2579),ABS(U2579),"")</f>
        <v>0.837410581256602</v>
      </c>
    </row>
    <row r="2580" customFormat="false" ht="15" hidden="false" customHeight="false" outlineLevel="0" collapsed="false">
      <c r="A2580" s="57" t="n">
        <v>34950</v>
      </c>
      <c r="B2580" s="56" t="n">
        <v>1995</v>
      </c>
      <c r="C2580" s="56" t="n">
        <v>9</v>
      </c>
      <c r="D2580" s="56" t="n">
        <v>131</v>
      </c>
      <c r="E2580" s="56" t="n">
        <v>22.4</v>
      </c>
      <c r="F2580" s="56" t="n">
        <v>0</v>
      </c>
      <c r="G2580" s="56" t="n">
        <v>15</v>
      </c>
      <c r="H2580" s="56" t="n">
        <v>0</v>
      </c>
      <c r="I2580" s="56" t="n">
        <v>17.6</v>
      </c>
      <c r="J2580" s="56" t="n">
        <v>0</v>
      </c>
      <c r="K2580" s="56" t="n">
        <v>994.8</v>
      </c>
      <c r="L2580" s="56" t="n">
        <v>0</v>
      </c>
      <c r="M2580" s="56" t="n">
        <v>76</v>
      </c>
      <c r="N2580" s="56" t="n">
        <v>1.6</v>
      </c>
      <c r="O2580" s="56" t="n">
        <f aca="false">IF(D2580=1,"",E2579)</f>
        <v>20.3</v>
      </c>
      <c r="P2580" s="56" t="n">
        <f aca="false">IF(OR(D2580=1,K2579=""),"",K2579)</f>
        <v>984.8</v>
      </c>
      <c r="Q2580" s="56" t="n">
        <f aca="false">IF(OR(F2580&lt;&gt;0,AND(I2580&lt;&gt;"",E2580&lt;I2580)),1,0)</f>
        <v>0</v>
      </c>
      <c r="R2580" s="56" t="n">
        <f aca="false">IF(AND(D2580&gt;1,Q2580=0,ISNUMBER(O2580),ISNUMBER(P2580)),IF(Q2579=0,1,0),0)</f>
        <v>1</v>
      </c>
      <c r="S2580" s="56" t="n">
        <f aca="false">R2580*(B2580&gt;=Train_Start)*(B2580&lt;=Train_End)</f>
        <v>1</v>
      </c>
      <c r="T2580" s="84" t="n">
        <f aca="false">IF(AND(ISNUMBER(O2580),ISNUMBER(P2580)),Coef_A+Coef_B1*O2580+Coef_B2*P2580,"")</f>
        <v>19.6126332763144</v>
      </c>
      <c r="U2580" s="84" t="n">
        <f aca="false">IF(AND(R2580=1,ISNUMBER(T2580)),E2580-T2580,"")</f>
        <v>2.7873667236856</v>
      </c>
      <c r="V2580" s="84" t="n">
        <f aca="false">IF(ISNUMBER(T2580),T2580,-99)</f>
        <v>19.6126332763144</v>
      </c>
      <c r="W2580" s="84" t="n">
        <f aca="false">IF(ISNUMBER(U2580),ABS(U2580),"")</f>
        <v>2.7873667236856</v>
      </c>
    </row>
    <row r="2581" customFormat="false" ht="15" hidden="false" customHeight="false" outlineLevel="0" collapsed="false">
      <c r="A2581" s="57" t="n">
        <v>34951</v>
      </c>
      <c r="B2581" s="56" t="n">
        <v>1995</v>
      </c>
      <c r="C2581" s="56" t="n">
        <v>9</v>
      </c>
      <c r="D2581" s="56" t="n">
        <v>132</v>
      </c>
      <c r="E2581" s="56" t="n">
        <v>18.4</v>
      </c>
      <c r="F2581" s="56" t="n">
        <v>0</v>
      </c>
      <c r="G2581" s="56" t="n">
        <v>12.5</v>
      </c>
      <c r="H2581" s="56" t="n">
        <v>0</v>
      </c>
      <c r="I2581" s="56" t="n">
        <v>17.4</v>
      </c>
      <c r="J2581" s="56" t="n">
        <v>0</v>
      </c>
      <c r="K2581" s="56" t="n">
        <v>1008.3</v>
      </c>
      <c r="L2581" s="56" t="n">
        <v>0</v>
      </c>
      <c r="M2581" s="56" t="n">
        <v>71</v>
      </c>
      <c r="N2581" s="56" t="n">
        <v>7.7</v>
      </c>
      <c r="O2581" s="56" t="n">
        <f aca="false">IF(D2581=1,"",E2580)</f>
        <v>22.4</v>
      </c>
      <c r="P2581" s="56" t="n">
        <f aca="false">IF(OR(D2581=1,K2580=""),"",K2580)</f>
        <v>994.8</v>
      </c>
      <c r="Q2581" s="56" t="n">
        <f aca="false">IF(OR(F2581&lt;&gt;0,AND(I2581&lt;&gt;"",E2581&lt;I2581)),1,0)</f>
        <v>0</v>
      </c>
      <c r="R2581" s="56" t="n">
        <f aca="false">IF(AND(D2581&gt;1,Q2581=0,ISNUMBER(O2581),ISNUMBER(P2581)),IF(Q2580=0,1,0),0)</f>
        <v>1</v>
      </c>
      <c r="S2581" s="56" t="n">
        <f aca="false">R2581*(B2581&gt;=Train_Start)*(B2581&lt;=Train_End)</f>
        <v>1</v>
      </c>
      <c r="T2581" s="84" t="n">
        <f aca="false">IF(AND(ISNUMBER(O2581),ISNUMBER(P2581)),Coef_A+Coef_B1*O2581+Coef_B2*P2581,"")</f>
        <v>21.6469445280439</v>
      </c>
      <c r="U2581" s="84" t="n">
        <f aca="false">IF(AND(R2581=1,ISNUMBER(T2581)),E2581-T2581,"")</f>
        <v>-3.24694452804387</v>
      </c>
      <c r="V2581" s="84" t="n">
        <f aca="false">IF(ISNUMBER(T2581),T2581,-99)</f>
        <v>21.6469445280439</v>
      </c>
      <c r="W2581" s="84" t="n">
        <f aca="false">IF(ISNUMBER(U2581),ABS(U2581),"")</f>
        <v>3.24694452804387</v>
      </c>
    </row>
    <row r="2582" customFormat="false" ht="15" hidden="false" customHeight="false" outlineLevel="0" collapsed="false">
      <c r="A2582" s="57" t="n">
        <v>34952</v>
      </c>
      <c r="B2582" s="56" t="n">
        <v>1995</v>
      </c>
      <c r="C2582" s="56" t="n">
        <v>9</v>
      </c>
      <c r="D2582" s="56" t="n">
        <v>133</v>
      </c>
      <c r="E2582" s="56" t="n">
        <v>21.9</v>
      </c>
      <c r="F2582" s="56" t="n">
        <v>0</v>
      </c>
      <c r="G2582" s="56" t="n">
        <v>11.7</v>
      </c>
      <c r="H2582" s="56" t="n">
        <v>0</v>
      </c>
      <c r="I2582" s="56" t="n">
        <v>15</v>
      </c>
      <c r="J2582" s="56" t="n">
        <v>0</v>
      </c>
      <c r="K2582" s="56" t="n">
        <v>1005.7</v>
      </c>
      <c r="L2582" s="56" t="n">
        <v>0</v>
      </c>
      <c r="M2582" s="56" t="n">
        <v>91</v>
      </c>
      <c r="N2582" s="56" t="n">
        <v>0.6</v>
      </c>
      <c r="O2582" s="56" t="n">
        <f aca="false">IF(D2582=1,"",E2581)</f>
        <v>18.4</v>
      </c>
      <c r="P2582" s="56" t="n">
        <f aca="false">IF(OR(D2582=1,K2581=""),"",K2581)</f>
        <v>1008.3</v>
      </c>
      <c r="Q2582" s="56" t="n">
        <f aca="false">IF(OR(F2582&lt;&gt;0,AND(I2582&lt;&gt;"",E2582&lt;I2582)),1,0)</f>
        <v>0</v>
      </c>
      <c r="R2582" s="56" t="n">
        <f aca="false">IF(AND(D2582&gt;1,Q2582=0,ISNUMBER(O2582),ISNUMBER(P2582)),IF(Q2581=0,1,0),0)</f>
        <v>1</v>
      </c>
      <c r="S2582" s="56" t="n">
        <f aca="false">R2582*(B2582&gt;=Train_Start)*(B2582&lt;=Train_End)</f>
        <v>1</v>
      </c>
      <c r="T2582" s="84" t="n">
        <f aca="false">IF(AND(ISNUMBER(O2582),ISNUMBER(P2582)),Coef_A+Coef_B1*O2582+Coef_B2*P2582,"")</f>
        <v>18.7930813334321</v>
      </c>
      <c r="U2582" s="84" t="n">
        <f aca="false">IF(AND(R2582=1,ISNUMBER(T2582)),E2582-T2582,"")</f>
        <v>3.1069186665679</v>
      </c>
      <c r="V2582" s="84" t="n">
        <f aca="false">IF(ISNUMBER(T2582),T2582,-99)</f>
        <v>18.7930813334321</v>
      </c>
      <c r="W2582" s="84" t="n">
        <f aca="false">IF(ISNUMBER(U2582),ABS(U2582),"")</f>
        <v>3.1069186665679</v>
      </c>
    </row>
    <row r="2583" customFormat="false" ht="15" hidden="false" customHeight="false" outlineLevel="0" collapsed="false">
      <c r="A2583" s="57" t="n">
        <v>34953</v>
      </c>
      <c r="B2583" s="56" t="n">
        <v>1995</v>
      </c>
      <c r="C2583" s="56" t="n">
        <v>9</v>
      </c>
      <c r="D2583" s="56" t="n">
        <v>134</v>
      </c>
      <c r="E2583" s="56" t="n">
        <v>19.2</v>
      </c>
      <c r="F2583" s="56" t="n">
        <v>0</v>
      </c>
      <c r="G2583" s="56" t="n">
        <v>13</v>
      </c>
      <c r="H2583" s="56" t="n">
        <v>0</v>
      </c>
      <c r="I2583" s="56" t="n">
        <v>17.4</v>
      </c>
      <c r="J2583" s="56" t="n">
        <v>0</v>
      </c>
      <c r="K2583" s="56" t="n">
        <v>1005.3</v>
      </c>
      <c r="L2583" s="56" t="n">
        <v>0</v>
      </c>
      <c r="M2583" s="56" t="n">
        <v>74</v>
      </c>
      <c r="N2583" s="56" t="n">
        <v>7.4</v>
      </c>
      <c r="O2583" s="56" t="n">
        <f aca="false">IF(D2583=1,"",E2582)</f>
        <v>21.9</v>
      </c>
      <c r="P2583" s="56" t="n">
        <f aca="false">IF(OR(D2583=1,K2582=""),"",K2582)</f>
        <v>1005.7</v>
      </c>
      <c r="Q2583" s="56" t="n">
        <f aca="false">IF(OR(F2583&lt;&gt;0,AND(I2583&lt;&gt;"",E2583&lt;I2583)),1,0)</f>
        <v>0</v>
      </c>
      <c r="R2583" s="56" t="n">
        <f aca="false">IF(AND(D2583&gt;1,Q2583=0,ISNUMBER(O2583),ISNUMBER(P2583)),IF(Q2582=0,1,0),0)</f>
        <v>1</v>
      </c>
      <c r="S2583" s="56" t="n">
        <f aca="false">R2583*(B2583&gt;=Train_Start)*(B2583&lt;=Train_End)</f>
        <v>1</v>
      </c>
      <c r="T2583" s="84" t="n">
        <f aca="false">IF(AND(ISNUMBER(O2583),ISNUMBER(P2583)),Coef_A+Coef_B1*O2583+Coef_B2*P2583,"")</f>
        <v>21.579206783033</v>
      </c>
      <c r="U2583" s="84" t="n">
        <f aca="false">IF(AND(R2583=1,ISNUMBER(T2583)),E2583-T2583,"")</f>
        <v>-2.37920678303303</v>
      </c>
      <c r="V2583" s="84" t="n">
        <f aca="false">IF(ISNUMBER(T2583),T2583,-99)</f>
        <v>21.579206783033</v>
      </c>
      <c r="W2583" s="84" t="n">
        <f aca="false">IF(ISNUMBER(U2583),ABS(U2583),"")</f>
        <v>2.37920678303303</v>
      </c>
    </row>
    <row r="2584" customFormat="false" ht="15" hidden="false" customHeight="false" outlineLevel="0" collapsed="false">
      <c r="A2584" s="57" t="n">
        <v>34954</v>
      </c>
      <c r="B2584" s="56" t="n">
        <v>1995</v>
      </c>
      <c r="C2584" s="56" t="n">
        <v>9</v>
      </c>
      <c r="D2584" s="56" t="n">
        <v>135</v>
      </c>
      <c r="E2584" s="56" t="n">
        <v>19.8</v>
      </c>
      <c r="F2584" s="56" t="n">
        <v>0</v>
      </c>
      <c r="G2584" s="56" t="n">
        <v>12.2</v>
      </c>
      <c r="H2584" s="56" t="n">
        <v>0</v>
      </c>
      <c r="I2584" s="56" t="n">
        <v>15.7</v>
      </c>
      <c r="J2584" s="56" t="n">
        <v>0</v>
      </c>
      <c r="K2584" s="56" t="n">
        <v>1011.1</v>
      </c>
      <c r="L2584" s="56" t="n">
        <v>0</v>
      </c>
      <c r="M2584" s="56" t="n">
        <v>80</v>
      </c>
      <c r="N2584" s="56" t="n">
        <v>5.9</v>
      </c>
      <c r="O2584" s="56" t="n">
        <f aca="false">IF(D2584=1,"",E2583)</f>
        <v>19.2</v>
      </c>
      <c r="P2584" s="56" t="n">
        <f aca="false">IF(OR(D2584=1,K2583=""),"",K2583)</f>
        <v>1005.3</v>
      </c>
      <c r="Q2584" s="56" t="n">
        <f aca="false">IF(OR(F2584&lt;&gt;0,AND(I2584&lt;&gt;"",E2584&lt;I2584)),1,0)</f>
        <v>0</v>
      </c>
      <c r="R2584" s="56" t="n">
        <f aca="false">IF(AND(D2584&gt;1,Q2584=0,ISNUMBER(O2584),ISNUMBER(P2584)),IF(Q2583=0,1,0),0)</f>
        <v>1</v>
      </c>
      <c r="S2584" s="56" t="n">
        <f aca="false">R2584*(B2584&gt;=Train_Start)*(B2584&lt;=Train_End)</f>
        <v>1</v>
      </c>
      <c r="T2584" s="84" t="n">
        <f aca="false">IF(AND(ISNUMBER(O2584),ISNUMBER(P2584)),Coef_A+Coef_B1*O2584+Coef_B2*P2584,"")</f>
        <v>19.3544430039643</v>
      </c>
      <c r="U2584" s="84" t="n">
        <f aca="false">IF(AND(R2584=1,ISNUMBER(T2584)),E2584-T2584,"")</f>
        <v>0.445556996035744</v>
      </c>
      <c r="V2584" s="84" t="n">
        <f aca="false">IF(ISNUMBER(T2584),T2584,-99)</f>
        <v>19.3544430039643</v>
      </c>
      <c r="W2584" s="84" t="n">
        <f aca="false">IF(ISNUMBER(U2584),ABS(U2584),"")</f>
        <v>0.445556996035744</v>
      </c>
    </row>
    <row r="2585" customFormat="false" ht="15" hidden="false" customHeight="false" outlineLevel="0" collapsed="false">
      <c r="A2585" s="57" t="n">
        <v>34955</v>
      </c>
      <c r="B2585" s="56" t="n">
        <v>1995</v>
      </c>
      <c r="C2585" s="56" t="n">
        <v>9</v>
      </c>
      <c r="D2585" s="56" t="n">
        <v>136</v>
      </c>
      <c r="E2585" s="56" t="n">
        <v>19.7</v>
      </c>
      <c r="F2585" s="56" t="n">
        <v>0</v>
      </c>
      <c r="G2585" s="56" t="n">
        <v>9.5</v>
      </c>
      <c r="H2585" s="56" t="n">
        <v>0</v>
      </c>
      <c r="I2585" s="56" t="n">
        <v>14.6</v>
      </c>
      <c r="J2585" s="56" t="n">
        <v>0</v>
      </c>
      <c r="K2585" s="56" t="n">
        <v>1013.9</v>
      </c>
      <c r="L2585" s="56" t="n">
        <v>0</v>
      </c>
      <c r="M2585" s="56" t="n">
        <v>79</v>
      </c>
      <c r="N2585" s="56" t="n">
        <v>7.1</v>
      </c>
      <c r="O2585" s="56" t="n">
        <f aca="false">IF(D2585=1,"",E2584)</f>
        <v>19.8</v>
      </c>
      <c r="P2585" s="56" t="n">
        <f aca="false">IF(OR(D2585=1,K2584=""),"",K2584)</f>
        <v>1011.1</v>
      </c>
      <c r="Q2585" s="56" t="n">
        <f aca="false">IF(OR(F2585&lt;&gt;0,AND(I2585&lt;&gt;"",E2585&lt;I2585)),1,0)</f>
        <v>0</v>
      </c>
      <c r="R2585" s="56" t="n">
        <f aca="false">IF(AND(D2585&gt;1,Q2585=0,ISNUMBER(O2585),ISNUMBER(P2585)),IF(Q2584=0,1,0),0)</f>
        <v>1</v>
      </c>
      <c r="S2585" s="56" t="n">
        <f aca="false">R2585*(B2585&gt;=Train_Start)*(B2585&lt;=Train_End)</f>
        <v>1</v>
      </c>
      <c r="T2585" s="84" t="n">
        <f aca="false">IF(AND(ISNUMBER(O2585),ISNUMBER(P2585)),Coef_A+Coef_B1*O2585+Coef_B2*P2585,"")</f>
        <v>20.027991908667</v>
      </c>
      <c r="U2585" s="84" t="n">
        <f aca="false">IF(AND(R2585=1,ISNUMBER(T2585)),E2585-T2585,"")</f>
        <v>-0.327991908666995</v>
      </c>
      <c r="V2585" s="84" t="n">
        <f aca="false">IF(ISNUMBER(T2585),T2585,-99)</f>
        <v>20.027991908667</v>
      </c>
      <c r="W2585" s="84" t="n">
        <f aca="false">IF(ISNUMBER(U2585),ABS(U2585),"")</f>
        <v>0.327991908666995</v>
      </c>
    </row>
    <row r="2586" customFormat="false" ht="15" hidden="false" customHeight="false" outlineLevel="0" collapsed="false">
      <c r="A2586" s="57" t="n">
        <v>34956</v>
      </c>
      <c r="B2586" s="56" t="n">
        <v>1995</v>
      </c>
      <c r="C2586" s="56" t="n">
        <v>9</v>
      </c>
      <c r="D2586" s="56" t="n">
        <v>137</v>
      </c>
      <c r="E2586" s="56" t="n">
        <v>18.4</v>
      </c>
      <c r="F2586" s="56" t="n">
        <v>0</v>
      </c>
      <c r="G2586" s="56" t="n">
        <v>9.5</v>
      </c>
      <c r="H2586" s="56" t="n">
        <v>0</v>
      </c>
      <c r="I2586" s="56" t="n">
        <v>14.6</v>
      </c>
      <c r="J2586" s="56" t="n">
        <v>0</v>
      </c>
      <c r="K2586" s="56" t="n">
        <v>1009.5</v>
      </c>
      <c r="L2586" s="56" t="n">
        <v>0</v>
      </c>
      <c r="M2586" s="56" t="n">
        <v>85</v>
      </c>
      <c r="N2586" s="56" t="n">
        <v>4.2</v>
      </c>
      <c r="O2586" s="56" t="n">
        <f aca="false">IF(D2586=1,"",E2585)</f>
        <v>19.7</v>
      </c>
      <c r="P2586" s="56" t="n">
        <f aca="false">IF(OR(D2586=1,K2585=""),"",K2585)</f>
        <v>1013.9</v>
      </c>
      <c r="Q2586" s="56" t="n">
        <f aca="false">IF(OR(F2586&lt;&gt;0,AND(I2586&lt;&gt;"",E2586&lt;I2586)),1,0)</f>
        <v>0</v>
      </c>
      <c r="R2586" s="56" t="n">
        <f aca="false">IF(AND(D2586&gt;1,Q2586=0,ISNUMBER(O2586),ISNUMBER(P2586)),IF(Q2585=0,1,0),0)</f>
        <v>1</v>
      </c>
      <c r="S2586" s="56" t="n">
        <f aca="false">R2586*(B2586&gt;=Train_Start)*(B2586&lt;=Train_End)</f>
        <v>1</v>
      </c>
      <c r="T2586" s="84" t="n">
        <f aca="false">IF(AND(ISNUMBER(O2586),ISNUMBER(P2586)),Coef_A+Coef_B1*O2586+Coef_B2*P2586,"")</f>
        <v>20.0338936943379</v>
      </c>
      <c r="U2586" s="84" t="n">
        <f aca="false">IF(AND(R2586=1,ISNUMBER(T2586)),E2586-T2586,"")</f>
        <v>-1.6338936943379</v>
      </c>
      <c r="V2586" s="84" t="n">
        <f aca="false">IF(ISNUMBER(T2586),T2586,-99)</f>
        <v>20.0338936943379</v>
      </c>
      <c r="W2586" s="84" t="n">
        <f aca="false">IF(ISNUMBER(U2586),ABS(U2586),"")</f>
        <v>1.6338936943379</v>
      </c>
    </row>
    <row r="2587" customFormat="false" ht="15" hidden="false" customHeight="false" outlineLevel="0" collapsed="false">
      <c r="A2587" s="57" t="n">
        <v>34957</v>
      </c>
      <c r="B2587" s="56" t="n">
        <v>1995</v>
      </c>
      <c r="C2587" s="56" t="n">
        <v>9</v>
      </c>
      <c r="D2587" s="56" t="n">
        <v>138</v>
      </c>
      <c r="E2587" s="56" t="n">
        <v>18.4</v>
      </c>
      <c r="F2587" s="56" t="n">
        <v>0</v>
      </c>
      <c r="G2587" s="56" t="n">
        <v>10.6</v>
      </c>
      <c r="H2587" s="56" t="n">
        <v>0</v>
      </c>
      <c r="I2587" s="56" t="n">
        <v>14.5</v>
      </c>
      <c r="J2587" s="56" t="n">
        <v>0</v>
      </c>
      <c r="K2587" s="56" t="n">
        <v>1005.8</v>
      </c>
      <c r="L2587" s="56" t="n">
        <v>0</v>
      </c>
      <c r="M2587" s="56" t="n">
        <v>85</v>
      </c>
      <c r="N2587" s="56" t="n">
        <v>2</v>
      </c>
      <c r="O2587" s="56" t="n">
        <f aca="false">IF(D2587=1,"",E2586)</f>
        <v>18.4</v>
      </c>
      <c r="P2587" s="56" t="n">
        <f aca="false">IF(OR(D2587=1,K2586=""),"",K2586)</f>
        <v>1009.5</v>
      </c>
      <c r="Q2587" s="56" t="n">
        <f aca="false">IF(OR(F2587&lt;&gt;0,AND(I2587&lt;&gt;"",E2587&lt;I2587)),1,0)</f>
        <v>0</v>
      </c>
      <c r="R2587" s="56" t="n">
        <f aca="false">IF(AND(D2587&gt;1,Q2587=0,ISNUMBER(O2587),ISNUMBER(P2587)),IF(Q2586=0,1,0),0)</f>
        <v>1</v>
      </c>
      <c r="S2587" s="56" t="n">
        <f aca="false">R2587*(B2587&gt;=Train_Start)*(B2587&lt;=Train_End)</f>
        <v>1</v>
      </c>
      <c r="T2587" s="84" t="n">
        <f aca="false">IF(AND(ISNUMBER(O2587),ISNUMBER(P2587)),Coef_A+Coef_B1*O2587+Coef_B2*P2587,"")</f>
        <v>18.8307252069929</v>
      </c>
      <c r="U2587" s="84" t="n">
        <f aca="false">IF(AND(R2587=1,ISNUMBER(T2587)),E2587-T2587,"")</f>
        <v>-0.430725206992889</v>
      </c>
      <c r="V2587" s="84" t="n">
        <f aca="false">IF(ISNUMBER(T2587),T2587,-99)</f>
        <v>18.8307252069929</v>
      </c>
      <c r="W2587" s="84" t="n">
        <f aca="false">IF(ISNUMBER(U2587),ABS(U2587),"")</f>
        <v>0.430725206992889</v>
      </c>
    </row>
    <row r="2588" customFormat="false" ht="15" hidden="false" customHeight="false" outlineLevel="0" collapsed="false">
      <c r="A2588" s="57" t="n">
        <v>34958</v>
      </c>
      <c r="B2588" s="56" t="n">
        <v>1995</v>
      </c>
      <c r="C2588" s="56" t="n">
        <v>9</v>
      </c>
      <c r="D2588" s="56" t="n">
        <v>139</v>
      </c>
      <c r="E2588" s="56" t="n">
        <v>20</v>
      </c>
      <c r="F2588" s="56" t="n">
        <v>0</v>
      </c>
      <c r="G2588" s="56" t="n">
        <v>12.6</v>
      </c>
      <c r="H2588" s="56" t="n">
        <v>0</v>
      </c>
      <c r="I2588" s="56" t="n">
        <v>15.5</v>
      </c>
      <c r="J2588" s="56" t="n">
        <v>0</v>
      </c>
      <c r="K2588" s="56" t="n">
        <v>1008.4</v>
      </c>
      <c r="L2588" s="56" t="n">
        <v>0</v>
      </c>
      <c r="M2588" s="56" t="n">
        <v>88</v>
      </c>
      <c r="N2588" s="56" t="n">
        <v>0.6</v>
      </c>
      <c r="O2588" s="56" t="n">
        <f aca="false">IF(D2588=1,"",E2587)</f>
        <v>18.4</v>
      </c>
      <c r="P2588" s="56" t="n">
        <f aca="false">IF(OR(D2588=1,K2587=""),"",K2587)</f>
        <v>1005.8</v>
      </c>
      <c r="Q2588" s="56" t="n">
        <f aca="false">IF(OR(F2588&lt;&gt;0,AND(I2588&lt;&gt;"",E2588&lt;I2588)),1,0)</f>
        <v>0</v>
      </c>
      <c r="R2588" s="56" t="n">
        <f aca="false">IF(AND(D2588&gt;1,Q2588=0,ISNUMBER(O2588),ISNUMBER(P2588)),IF(Q2587=0,1,0),0)</f>
        <v>1</v>
      </c>
      <c r="S2588" s="56" t="n">
        <f aca="false">R2588*(B2588&gt;=Train_Start)*(B2588&lt;=Train_End)</f>
        <v>1</v>
      </c>
      <c r="T2588" s="84" t="n">
        <f aca="false">IF(AND(ISNUMBER(O2588),ISNUMBER(P2588)),Coef_A+Coef_B1*O2588+Coef_B2*P2588,"")</f>
        <v>18.7146565968471</v>
      </c>
      <c r="U2588" s="84" t="n">
        <f aca="false">IF(AND(R2588=1,ISNUMBER(T2588)),E2588-T2588,"")</f>
        <v>1.28534340315287</v>
      </c>
      <c r="V2588" s="84" t="n">
        <f aca="false">IF(ISNUMBER(T2588),T2588,-99)</f>
        <v>18.7146565968471</v>
      </c>
      <c r="W2588" s="84" t="n">
        <f aca="false">IF(ISNUMBER(U2588),ABS(U2588),"")</f>
        <v>1.28534340315287</v>
      </c>
    </row>
    <row r="2589" customFormat="false" ht="15" hidden="false" customHeight="false" outlineLevel="0" collapsed="false">
      <c r="A2589" s="57" t="n">
        <v>34959</v>
      </c>
      <c r="B2589" s="56" t="n">
        <v>1995</v>
      </c>
      <c r="C2589" s="56" t="n">
        <v>9</v>
      </c>
      <c r="D2589" s="56" t="n">
        <v>140</v>
      </c>
      <c r="E2589" s="56" t="n">
        <v>19.9</v>
      </c>
      <c r="F2589" s="56" t="n">
        <v>0</v>
      </c>
      <c r="G2589" s="56" t="n">
        <v>12.9</v>
      </c>
      <c r="H2589" s="56" t="n">
        <v>0</v>
      </c>
      <c r="I2589" s="56" t="n">
        <v>16.4</v>
      </c>
      <c r="J2589" s="56" t="n">
        <v>0</v>
      </c>
      <c r="K2589" s="56" t="n">
        <v>1013.8</v>
      </c>
      <c r="L2589" s="56" t="n">
        <v>0</v>
      </c>
      <c r="M2589" s="56" t="n">
        <v>88</v>
      </c>
      <c r="N2589" s="56" t="n">
        <v>2.2</v>
      </c>
      <c r="O2589" s="56" t="n">
        <f aca="false">IF(D2589=1,"",E2588)</f>
        <v>20</v>
      </c>
      <c r="P2589" s="56" t="n">
        <f aca="false">IF(OR(D2589=1,K2588=""),"",K2588)</f>
        <v>1008.4</v>
      </c>
      <c r="Q2589" s="56" t="n">
        <f aca="false">IF(OR(F2589&lt;&gt;0,AND(I2589&lt;&gt;"",E2589&lt;I2589)),1,0)</f>
        <v>0</v>
      </c>
      <c r="R2589" s="56" t="n">
        <f aca="false">IF(AND(D2589&gt;1,Q2589=0,ISNUMBER(O2589),ISNUMBER(P2589)),IF(Q2588=0,1,0),0)</f>
        <v>1</v>
      </c>
      <c r="S2589" s="56" t="n">
        <f aca="false">R2589*(B2589&gt;=Train_Start)*(B2589&lt;=Train_End)</f>
        <v>1</v>
      </c>
      <c r="T2589" s="84" t="n">
        <f aca="false">IF(AND(ISNUMBER(O2589),ISNUMBER(P2589)),Coef_A+Coef_B1*O2589+Coef_B2*P2589,"")</f>
        <v>20.1071610317638</v>
      </c>
      <c r="U2589" s="84" t="n">
        <f aca="false">IF(AND(R2589=1,ISNUMBER(T2589)),E2589-T2589,"")</f>
        <v>-0.207161031763754</v>
      </c>
      <c r="V2589" s="84" t="n">
        <f aca="false">IF(ISNUMBER(T2589),T2589,-99)</f>
        <v>20.1071610317638</v>
      </c>
      <c r="W2589" s="84" t="n">
        <f aca="false">IF(ISNUMBER(U2589),ABS(U2589),"")</f>
        <v>0.207161031763754</v>
      </c>
    </row>
    <row r="2590" customFormat="false" ht="15" hidden="false" customHeight="false" outlineLevel="0" collapsed="false">
      <c r="A2590" s="57" t="n">
        <v>34960</v>
      </c>
      <c r="B2590" s="56" t="n">
        <v>1995</v>
      </c>
      <c r="C2590" s="56" t="n">
        <v>9</v>
      </c>
      <c r="D2590" s="56" t="n">
        <v>141</v>
      </c>
      <c r="E2590" s="56" t="n">
        <v>18.7</v>
      </c>
      <c r="F2590" s="56" t="n">
        <v>0</v>
      </c>
      <c r="G2590" s="56" t="n">
        <v>12.4</v>
      </c>
      <c r="H2590" s="56" t="n">
        <v>0</v>
      </c>
      <c r="I2590" s="56" t="n">
        <v>16.2</v>
      </c>
      <c r="J2590" s="56" t="n">
        <v>0</v>
      </c>
      <c r="K2590" s="56" t="n">
        <v>1017.1</v>
      </c>
      <c r="L2590" s="56" t="n">
        <v>0</v>
      </c>
      <c r="M2590" s="56" t="n">
        <v>86</v>
      </c>
      <c r="N2590" s="56" t="n">
        <v>1.4</v>
      </c>
      <c r="O2590" s="56" t="n">
        <f aca="false">IF(D2590=1,"",E2589)</f>
        <v>19.9</v>
      </c>
      <c r="P2590" s="56" t="n">
        <f aca="false">IF(OR(D2590=1,K2589=""),"",K2589)</f>
        <v>1013.8</v>
      </c>
      <c r="Q2590" s="56" t="n">
        <f aca="false">IF(OR(F2590&lt;&gt;0,AND(I2590&lt;&gt;"",E2590&lt;I2590)),1,0)</f>
        <v>0</v>
      </c>
      <c r="R2590" s="56" t="n">
        <f aca="false">IF(AND(D2590&gt;1,Q2590=0,ISNUMBER(O2590),ISNUMBER(P2590)),IF(Q2589=0,1,0),0)</f>
        <v>1</v>
      </c>
      <c r="S2590" s="56" t="n">
        <f aca="false">R2590*(B2590&gt;=Train_Start)*(B2590&lt;=Train_End)</f>
        <v>1</v>
      </c>
      <c r="T2590" s="84" t="n">
        <f aca="false">IF(AND(ISNUMBER(O2590),ISNUMBER(P2590)),Coef_A+Coef_B1*O2590+Coef_B2*P2590,"")</f>
        <v>20.194624543483</v>
      </c>
      <c r="U2590" s="84" t="n">
        <f aca="false">IF(AND(R2590=1,ISNUMBER(T2590)),E2590-T2590,"")</f>
        <v>-1.49462454348303</v>
      </c>
      <c r="V2590" s="84" t="n">
        <f aca="false">IF(ISNUMBER(T2590),T2590,-99)</f>
        <v>20.194624543483</v>
      </c>
      <c r="W2590" s="84" t="n">
        <f aca="false">IF(ISNUMBER(U2590),ABS(U2590),"")</f>
        <v>1.49462454348303</v>
      </c>
    </row>
    <row r="2591" customFormat="false" ht="15" hidden="false" customHeight="false" outlineLevel="0" collapsed="false">
      <c r="A2591" s="57" t="n">
        <v>34961</v>
      </c>
      <c r="B2591" s="56" t="n">
        <v>1995</v>
      </c>
      <c r="C2591" s="56" t="n">
        <v>9</v>
      </c>
      <c r="D2591" s="56" t="n">
        <v>142</v>
      </c>
      <c r="E2591" s="56" t="n">
        <v>18.4</v>
      </c>
      <c r="F2591" s="56" t="n">
        <v>0</v>
      </c>
      <c r="G2591" s="56" t="n">
        <v>14.9</v>
      </c>
      <c r="H2591" s="56" t="n">
        <v>0</v>
      </c>
      <c r="I2591" s="56" t="n">
        <v>16.8</v>
      </c>
      <c r="J2591" s="56" t="n">
        <v>0</v>
      </c>
      <c r="K2591" s="56" t="n">
        <v>1017.8</v>
      </c>
      <c r="L2591" s="56" t="n">
        <v>0</v>
      </c>
      <c r="M2591" s="56" t="n">
        <v>83</v>
      </c>
      <c r="N2591" s="56" t="n">
        <v>0.7</v>
      </c>
      <c r="O2591" s="56" t="n">
        <f aca="false">IF(D2591=1,"",E2590)</f>
        <v>18.7</v>
      </c>
      <c r="P2591" s="56" t="n">
        <f aca="false">IF(OR(D2591=1,K2590=""),"",K2590)</f>
        <v>1017.1</v>
      </c>
      <c r="Q2591" s="56" t="n">
        <f aca="false">IF(OR(F2591&lt;&gt;0,AND(I2591&lt;&gt;"",E2591&lt;I2591)),1,0)</f>
        <v>0</v>
      </c>
      <c r="R2591" s="56" t="n">
        <f aca="false">IF(AND(D2591&gt;1,Q2591=0,ISNUMBER(O2591),ISNUMBER(P2591)),IF(Q2590=0,1,0),0)</f>
        <v>1</v>
      </c>
      <c r="S2591" s="56" t="n">
        <f aca="false">R2591*(B2591&gt;=Train_Start)*(B2591&lt;=Train_End)</f>
        <v>1</v>
      </c>
      <c r="T2591" s="84" t="n">
        <f aca="false">IF(AND(ISNUMBER(O2591),ISNUMBER(P2591)),Coef_A+Coef_B1*O2591+Coef_B2*P2591,"")</f>
        <v>19.314938164124</v>
      </c>
      <c r="U2591" s="84" t="n">
        <f aca="false">IF(AND(R2591=1,ISNUMBER(T2591)),E2591-T2591,"")</f>
        <v>-0.91493816412401</v>
      </c>
      <c r="V2591" s="84" t="n">
        <f aca="false">IF(ISNUMBER(T2591),T2591,-99)</f>
        <v>19.314938164124</v>
      </c>
      <c r="W2591" s="84" t="n">
        <f aca="false">IF(ISNUMBER(U2591),ABS(U2591),"")</f>
        <v>0.91493816412401</v>
      </c>
    </row>
    <row r="2592" customFormat="false" ht="15" hidden="false" customHeight="false" outlineLevel="0" collapsed="false">
      <c r="A2592" s="57" t="n">
        <v>34962</v>
      </c>
      <c r="B2592" s="56" t="n">
        <v>1995</v>
      </c>
      <c r="C2592" s="56" t="n">
        <v>9</v>
      </c>
      <c r="D2592" s="56" t="n">
        <v>143</v>
      </c>
      <c r="E2592" s="56" t="n">
        <v>19.6</v>
      </c>
      <c r="F2592" s="56" t="n">
        <v>0</v>
      </c>
      <c r="G2592" s="56" t="n">
        <v>11.5</v>
      </c>
      <c r="H2592" s="56" t="n">
        <v>0</v>
      </c>
      <c r="I2592" s="56" t="n">
        <v>15</v>
      </c>
      <c r="J2592" s="56" t="n">
        <v>0</v>
      </c>
      <c r="K2592" s="56" t="n">
        <v>1020</v>
      </c>
      <c r="L2592" s="56" t="n">
        <v>0</v>
      </c>
      <c r="M2592" s="56" t="n">
        <v>79</v>
      </c>
      <c r="N2592" s="56" t="n">
        <v>6.1</v>
      </c>
      <c r="O2592" s="56" t="n">
        <f aca="false">IF(D2592=1,"",E2591)</f>
        <v>18.4</v>
      </c>
      <c r="P2592" s="56" t="n">
        <f aca="false">IF(OR(D2592=1,K2591=""),"",K2591)</f>
        <v>1017.8</v>
      </c>
      <c r="Q2592" s="56" t="n">
        <f aca="false">IF(OR(F2592&lt;&gt;0,AND(I2592&lt;&gt;"",E2592&lt;I2592)),1,0)</f>
        <v>0</v>
      </c>
      <c r="R2592" s="56" t="n">
        <f aca="false">IF(AND(D2592&gt;1,Q2592=0,ISNUMBER(O2592),ISNUMBER(P2592)),IF(Q2591=0,1,0),0)</f>
        <v>1</v>
      </c>
      <c r="S2592" s="56" t="n">
        <f aca="false">R2592*(B2592&gt;=Train_Start)*(B2592&lt;=Train_End)</f>
        <v>1</v>
      </c>
      <c r="T2592" s="84" t="n">
        <f aca="false">IF(AND(ISNUMBER(O2592),ISNUMBER(P2592)),Coef_A+Coef_B1*O2592+Coef_B2*P2592,"")</f>
        <v>19.091095332455</v>
      </c>
      <c r="U2592" s="84" t="n">
        <f aca="false">IF(AND(R2592=1,ISNUMBER(T2592)),E2592-T2592,"")</f>
        <v>0.508904667545004</v>
      </c>
      <c r="V2592" s="84" t="n">
        <f aca="false">IF(ISNUMBER(T2592),T2592,-99)</f>
        <v>19.091095332455</v>
      </c>
      <c r="W2592" s="84" t="n">
        <f aca="false">IF(ISNUMBER(U2592),ABS(U2592),"")</f>
        <v>0.508904667545004</v>
      </c>
    </row>
    <row r="2593" customFormat="false" ht="15" hidden="false" customHeight="false" outlineLevel="0" collapsed="false">
      <c r="A2593" s="57" t="n">
        <v>34963</v>
      </c>
      <c r="B2593" s="56" t="n">
        <v>1995</v>
      </c>
      <c r="C2593" s="56" t="n">
        <v>9</v>
      </c>
      <c r="D2593" s="56" t="n">
        <v>144</v>
      </c>
      <c r="E2593" s="56" t="n">
        <v>20.2</v>
      </c>
      <c r="F2593" s="56" t="n">
        <v>0</v>
      </c>
      <c r="G2593" s="56" t="n">
        <v>6.9</v>
      </c>
      <c r="H2593" s="56" t="n">
        <v>0</v>
      </c>
      <c r="I2593" s="56" t="n">
        <v>13.2</v>
      </c>
      <c r="J2593" s="56" t="n">
        <v>0</v>
      </c>
      <c r="K2593" s="56" t="n">
        <v>1022.9</v>
      </c>
      <c r="L2593" s="56" t="n">
        <v>0</v>
      </c>
      <c r="M2593" s="56" t="n">
        <v>76</v>
      </c>
      <c r="N2593" s="56" t="n">
        <v>10.6</v>
      </c>
      <c r="O2593" s="56" t="n">
        <f aca="false">IF(D2593=1,"",E2592)</f>
        <v>19.6</v>
      </c>
      <c r="P2593" s="56" t="n">
        <f aca="false">IF(OR(D2593=1,K2592=""),"",K2592)</f>
        <v>1020</v>
      </c>
      <c r="Q2593" s="56" t="n">
        <f aca="false">IF(OR(F2593&lt;&gt;0,AND(I2593&lt;&gt;"",E2593&lt;I2593)),1,0)</f>
        <v>0</v>
      </c>
      <c r="R2593" s="56" t="n">
        <f aca="false">IF(AND(D2593&gt;1,Q2593=0,ISNUMBER(O2593),ISNUMBER(P2593)),IF(Q2592=0,1,0),0)</f>
        <v>1</v>
      </c>
      <c r="S2593" s="56" t="n">
        <f aca="false">R2593*(B2593&gt;=Train_Start)*(B2593&lt;=Train_End)</f>
        <v>1</v>
      </c>
      <c r="T2593" s="84" t="n">
        <f aca="false">IF(AND(ISNUMBER(O2593),ISNUMBER(P2593)),Coef_A+Coef_B1*O2593+Coef_B2*P2593,"")</f>
        <v>20.143316132301</v>
      </c>
      <c r="U2593" s="84" t="n">
        <f aca="false">IF(AND(R2593=1,ISNUMBER(T2593)),E2593-T2593,"")</f>
        <v>0.0566838676990322</v>
      </c>
      <c r="V2593" s="84" t="n">
        <f aca="false">IF(ISNUMBER(T2593),T2593,-99)</f>
        <v>20.143316132301</v>
      </c>
      <c r="W2593" s="84" t="n">
        <f aca="false">IF(ISNUMBER(U2593),ABS(U2593),"")</f>
        <v>0.0566838676990322</v>
      </c>
    </row>
    <row r="2594" customFormat="false" ht="15" hidden="false" customHeight="false" outlineLevel="0" collapsed="false">
      <c r="A2594" s="57" t="n">
        <v>34964</v>
      </c>
      <c r="B2594" s="56" t="n">
        <v>1995</v>
      </c>
      <c r="C2594" s="56" t="n">
        <v>9</v>
      </c>
      <c r="D2594" s="56" t="n">
        <v>145</v>
      </c>
      <c r="E2594" s="56" t="n">
        <v>18.9</v>
      </c>
      <c r="F2594" s="56" t="n">
        <v>0</v>
      </c>
      <c r="G2594" s="56" t="n">
        <v>10</v>
      </c>
      <c r="H2594" s="56" t="n">
        <v>0</v>
      </c>
      <c r="I2594" s="56" t="n">
        <v>15.1</v>
      </c>
      <c r="J2594" s="56" t="n">
        <v>0</v>
      </c>
      <c r="K2594" s="56" t="n">
        <v>1023.4</v>
      </c>
      <c r="L2594" s="56" t="n">
        <v>0</v>
      </c>
      <c r="M2594" s="56" t="n">
        <v>76</v>
      </c>
      <c r="N2594" s="56" t="n">
        <v>6.6</v>
      </c>
      <c r="O2594" s="56" t="n">
        <f aca="false">IF(D2594=1,"",E2593)</f>
        <v>20.2</v>
      </c>
      <c r="P2594" s="56" t="n">
        <f aca="false">IF(OR(D2594=1,K2593=""),"",K2593)</f>
        <v>1022.9</v>
      </c>
      <c r="Q2594" s="56" t="n">
        <f aca="false">IF(OR(F2594&lt;&gt;0,AND(I2594&lt;&gt;"",E2594&lt;I2594)),1,0)</f>
        <v>0</v>
      </c>
      <c r="R2594" s="56" t="n">
        <f aca="false">IF(AND(D2594&gt;1,Q2594=0,ISNUMBER(O2594),ISNUMBER(P2594)),IF(Q2593=0,1,0),0)</f>
        <v>1</v>
      </c>
      <c r="S2594" s="56" t="n">
        <f aca="false">R2594*(B2594&gt;=Train_Start)*(B2594&lt;=Train_End)</f>
        <v>1</v>
      </c>
      <c r="T2594" s="84" t="n">
        <f aca="false">IF(AND(ISNUMBER(O2594),ISNUMBER(P2594)),Coef_A+Coef_B1*O2594+Coef_B2*P2594,"")</f>
        <v>20.7258923425651</v>
      </c>
      <c r="U2594" s="84" t="n">
        <f aca="false">IF(AND(R2594=1,ISNUMBER(T2594)),E2594-T2594,"")</f>
        <v>-1.82589234256513</v>
      </c>
      <c r="V2594" s="84" t="n">
        <f aca="false">IF(ISNUMBER(T2594),T2594,-99)</f>
        <v>20.7258923425651</v>
      </c>
      <c r="W2594" s="84" t="n">
        <f aca="false">IF(ISNUMBER(U2594),ABS(U2594),"")</f>
        <v>1.82589234256513</v>
      </c>
    </row>
    <row r="2595" customFormat="false" ht="15" hidden="false" customHeight="false" outlineLevel="0" collapsed="false">
      <c r="A2595" s="57" t="n">
        <v>34965</v>
      </c>
      <c r="B2595" s="56" t="n">
        <v>1995</v>
      </c>
      <c r="C2595" s="56" t="n">
        <v>9</v>
      </c>
      <c r="D2595" s="56" t="n">
        <v>146</v>
      </c>
      <c r="E2595" s="56" t="n">
        <v>16.5</v>
      </c>
      <c r="F2595" s="56" t="n">
        <v>0</v>
      </c>
      <c r="G2595" s="56" t="n">
        <v>11.3</v>
      </c>
      <c r="H2595" s="56" t="n">
        <v>0</v>
      </c>
      <c r="I2595" s="56" t="n">
        <v>15.1</v>
      </c>
      <c r="J2595" s="56" t="n">
        <v>0</v>
      </c>
      <c r="K2595" s="56" t="n">
        <v>1024.1</v>
      </c>
      <c r="L2595" s="56" t="n">
        <v>0</v>
      </c>
      <c r="M2595" s="56" t="n">
        <v>67</v>
      </c>
      <c r="N2595" s="56" t="n">
        <v>9.7</v>
      </c>
      <c r="O2595" s="56" t="n">
        <f aca="false">IF(D2595=1,"",E2594)</f>
        <v>18.9</v>
      </c>
      <c r="P2595" s="56" t="n">
        <f aca="false">IF(OR(D2595=1,K2594=""),"",K2594)</f>
        <v>1023.4</v>
      </c>
      <c r="Q2595" s="56" t="n">
        <f aca="false">IF(OR(F2595&lt;&gt;0,AND(I2595&lt;&gt;"",E2595&lt;I2595)),1,0)</f>
        <v>0</v>
      </c>
      <c r="R2595" s="56" t="n">
        <f aca="false">IF(AND(D2595&gt;1,Q2595=0,ISNUMBER(O2595),ISNUMBER(P2595)),IF(Q2594=0,1,0),0)</f>
        <v>1</v>
      </c>
      <c r="S2595" s="56" t="n">
        <f aca="false">R2595*(B2595&gt;=Train_Start)*(B2595&lt;=Train_End)</f>
        <v>1</v>
      </c>
      <c r="T2595" s="84" t="n">
        <f aca="false">IF(AND(ISNUMBER(O2595),ISNUMBER(P2595)),Coef_A+Coef_B1*O2595+Coef_B2*P2595,"")</f>
        <v>19.6764363389267</v>
      </c>
      <c r="U2595" s="84" t="n">
        <f aca="false">IF(AND(R2595=1,ISNUMBER(T2595)),E2595-T2595,"")</f>
        <v>-3.17643633892667</v>
      </c>
      <c r="V2595" s="84" t="n">
        <f aca="false">IF(ISNUMBER(T2595),T2595,-99)</f>
        <v>19.6764363389267</v>
      </c>
      <c r="W2595" s="84" t="n">
        <f aca="false">IF(ISNUMBER(U2595),ABS(U2595),"")</f>
        <v>3.17643633892667</v>
      </c>
    </row>
    <row r="2596" customFormat="false" ht="15" hidden="false" customHeight="false" outlineLevel="0" collapsed="false">
      <c r="A2596" s="57" t="n">
        <v>34966</v>
      </c>
      <c r="B2596" s="56" t="n">
        <v>1995</v>
      </c>
      <c r="C2596" s="56" t="n">
        <v>9</v>
      </c>
      <c r="D2596" s="56" t="n">
        <v>147</v>
      </c>
      <c r="E2596" s="56" t="n">
        <v>17.2</v>
      </c>
      <c r="F2596" s="56" t="n">
        <v>0</v>
      </c>
      <c r="G2596" s="56" t="n">
        <v>10.9</v>
      </c>
      <c r="H2596" s="56" t="n">
        <v>0</v>
      </c>
      <c r="I2596" s="56" t="n">
        <v>13.7</v>
      </c>
      <c r="J2596" s="56" t="n">
        <v>0</v>
      </c>
      <c r="K2596" s="56" t="n">
        <v>1012</v>
      </c>
      <c r="L2596" s="56" t="n">
        <v>0</v>
      </c>
      <c r="M2596" s="56" t="n">
        <v>77</v>
      </c>
      <c r="N2596" s="56" t="n">
        <v>4</v>
      </c>
      <c r="O2596" s="56" t="n">
        <f aca="false">IF(D2596=1,"",E2595)</f>
        <v>16.5</v>
      </c>
      <c r="P2596" s="56" t="n">
        <f aca="false">IF(OR(D2596=1,K2595=""),"",K2595)</f>
        <v>1024.1</v>
      </c>
      <c r="Q2596" s="56" t="n">
        <f aca="false">IF(OR(F2596&lt;&gt;0,AND(I2596&lt;&gt;"",E2596&lt;I2596)),1,0)</f>
        <v>0</v>
      </c>
      <c r="R2596" s="56" t="n">
        <f aca="false">IF(AND(D2596&gt;1,Q2596=0,ISNUMBER(O2596),ISNUMBER(P2596)),IF(Q2595=0,1,0),0)</f>
        <v>1</v>
      </c>
      <c r="S2596" s="56" t="n">
        <f aca="false">R2596*(B2596&gt;=Train_Start)*(B2596&lt;=Train_End)</f>
        <v>1</v>
      </c>
      <c r="T2596" s="84" t="n">
        <f aca="false">IF(AND(ISNUMBER(O2596),ISNUMBER(P2596)),Coef_A+Coef_B1*O2596+Coef_B2*P2596,"")</f>
        <v>17.7319812018681</v>
      </c>
      <c r="U2596" s="84" t="n">
        <f aca="false">IF(AND(R2596=1,ISNUMBER(T2596)),E2596-T2596,"")</f>
        <v>-0.531981201868081</v>
      </c>
      <c r="V2596" s="84" t="n">
        <f aca="false">IF(ISNUMBER(T2596),T2596,-99)</f>
        <v>17.7319812018681</v>
      </c>
      <c r="W2596" s="84" t="n">
        <f aca="false">IF(ISNUMBER(U2596),ABS(U2596),"")</f>
        <v>0.531981201868081</v>
      </c>
    </row>
    <row r="2597" customFormat="false" ht="15" hidden="false" customHeight="false" outlineLevel="0" collapsed="false">
      <c r="A2597" s="57" t="n">
        <v>34967</v>
      </c>
      <c r="B2597" s="56" t="n">
        <v>1995</v>
      </c>
      <c r="C2597" s="56" t="n">
        <v>9</v>
      </c>
      <c r="D2597" s="56" t="n">
        <v>148</v>
      </c>
      <c r="E2597" s="56" t="n">
        <v>18.4</v>
      </c>
      <c r="F2597" s="56" t="n">
        <v>0</v>
      </c>
      <c r="G2597" s="56" t="n">
        <v>5.4</v>
      </c>
      <c r="H2597" s="56" t="n">
        <v>0</v>
      </c>
      <c r="I2597" s="56" t="n">
        <v>11.3</v>
      </c>
      <c r="J2597" s="56" t="n">
        <v>0</v>
      </c>
      <c r="K2597" s="56" t="n">
        <v>1020.9</v>
      </c>
      <c r="L2597" s="56" t="n">
        <v>0</v>
      </c>
      <c r="M2597" s="56" t="n">
        <v>73</v>
      </c>
      <c r="N2597" s="56" t="n">
        <v>5.1</v>
      </c>
      <c r="O2597" s="56" t="n">
        <f aca="false">IF(D2597=1,"",E2596)</f>
        <v>17.2</v>
      </c>
      <c r="P2597" s="56" t="n">
        <f aca="false">IF(OR(D2597=1,K2596=""),"",K2596)</f>
        <v>1012</v>
      </c>
      <c r="Q2597" s="56" t="n">
        <f aca="false">IF(OR(F2597&lt;&gt;0,AND(I2597&lt;&gt;"",E2597&lt;I2597)),1,0)</f>
        <v>0</v>
      </c>
      <c r="R2597" s="56" t="n">
        <f aca="false">IF(AND(D2597&gt;1,Q2597=0,ISNUMBER(O2597),ISNUMBER(P2597)),IF(Q2596=0,1,0),0)</f>
        <v>1</v>
      </c>
      <c r="S2597" s="56" t="n">
        <f aca="false">R2597*(B2597&gt;=Train_Start)*(B2597&lt;=Train_End)</f>
        <v>1</v>
      </c>
      <c r="T2597" s="84" t="n">
        <f aca="false">IF(AND(ISNUMBER(O2597),ISNUMBER(P2597)),Coef_A+Coef_B1*O2597+Coef_B2*P2597,"")</f>
        <v>17.9259429119267</v>
      </c>
      <c r="U2597" s="84" t="n">
        <f aca="false">IF(AND(R2597=1,ISNUMBER(T2597)),E2597-T2597,"")</f>
        <v>0.474057088073327</v>
      </c>
      <c r="V2597" s="84" t="n">
        <f aca="false">IF(ISNUMBER(T2597),T2597,-99)</f>
        <v>17.9259429119267</v>
      </c>
      <c r="W2597" s="84" t="n">
        <f aca="false">IF(ISNUMBER(U2597),ABS(U2597),"")</f>
        <v>0.474057088073327</v>
      </c>
    </row>
    <row r="2598" customFormat="false" ht="15" hidden="false" customHeight="false" outlineLevel="0" collapsed="false">
      <c r="A2598" s="57" t="n">
        <v>34968</v>
      </c>
      <c r="B2598" s="56" t="n">
        <v>1995</v>
      </c>
      <c r="C2598" s="56" t="n">
        <v>9</v>
      </c>
      <c r="D2598" s="56" t="n">
        <v>149</v>
      </c>
      <c r="E2598" s="56" t="n">
        <v>16.3</v>
      </c>
      <c r="F2598" s="56" t="n">
        <v>0</v>
      </c>
      <c r="G2598" s="56" t="n">
        <v>10.3</v>
      </c>
      <c r="H2598" s="56" t="n">
        <v>0</v>
      </c>
      <c r="I2598" s="56" t="n">
        <v>14.4</v>
      </c>
      <c r="J2598" s="56" t="n">
        <v>0</v>
      </c>
      <c r="K2598" s="56" t="n">
        <v>1016</v>
      </c>
      <c r="L2598" s="56" t="n">
        <v>0</v>
      </c>
      <c r="M2598" s="56" t="n">
        <v>90</v>
      </c>
      <c r="N2598" s="56" t="n">
        <v>0</v>
      </c>
      <c r="O2598" s="56" t="n">
        <f aca="false">IF(D2598=1,"",E2597)</f>
        <v>18.4</v>
      </c>
      <c r="P2598" s="56" t="n">
        <f aca="false">IF(OR(D2598=1,K2597=""),"",K2597)</f>
        <v>1020.9</v>
      </c>
      <c r="Q2598" s="56" t="n">
        <f aca="false">IF(OR(F2598&lt;&gt;0,AND(I2598&lt;&gt;"",E2598&lt;I2598)),1,0)</f>
        <v>0</v>
      </c>
      <c r="R2598" s="56" t="n">
        <f aca="false">IF(AND(D2598&gt;1,Q2598=0,ISNUMBER(O2598),ISNUMBER(P2598)),IF(Q2597=0,1,0),0)</f>
        <v>1</v>
      </c>
      <c r="S2598" s="56" t="n">
        <f aca="false">R2598*(B2598&gt;=Train_Start)*(B2598&lt;=Train_End)</f>
        <v>1</v>
      </c>
      <c r="T2598" s="84" t="n">
        <f aca="false">IF(AND(ISNUMBER(O2598),ISNUMBER(P2598)),Coef_A+Coef_B1*O2598+Coef_B2*P2598,"")</f>
        <v>19.1883420058204</v>
      </c>
      <c r="U2598" s="84" t="n">
        <f aca="false">IF(AND(R2598=1,ISNUMBER(T2598)),E2598-T2598,"")</f>
        <v>-2.88834200582037</v>
      </c>
      <c r="V2598" s="84" t="n">
        <f aca="false">IF(ISNUMBER(T2598),T2598,-99)</f>
        <v>19.1883420058204</v>
      </c>
      <c r="W2598" s="84" t="n">
        <f aca="false">IF(ISNUMBER(U2598),ABS(U2598),"")</f>
        <v>2.88834200582037</v>
      </c>
    </row>
    <row r="2599" customFormat="false" ht="15" hidden="false" customHeight="false" outlineLevel="0" collapsed="false">
      <c r="A2599" s="57" t="n">
        <v>34969</v>
      </c>
      <c r="B2599" s="56" t="n">
        <v>1995</v>
      </c>
      <c r="C2599" s="56" t="n">
        <v>9</v>
      </c>
      <c r="D2599" s="56" t="n">
        <v>150</v>
      </c>
      <c r="E2599" s="56" t="n">
        <v>15.6</v>
      </c>
      <c r="F2599" s="56" t="n">
        <v>0</v>
      </c>
      <c r="G2599" s="56" t="n">
        <v>11.1</v>
      </c>
      <c r="H2599" s="56" t="n">
        <v>0</v>
      </c>
      <c r="I2599" s="56" t="n">
        <v>13.7</v>
      </c>
      <c r="J2599" s="56" t="n">
        <v>0</v>
      </c>
      <c r="K2599" s="56" t="n">
        <v>1013.9</v>
      </c>
      <c r="L2599" s="56" t="n">
        <v>0</v>
      </c>
      <c r="M2599" s="56" t="n">
        <v>72</v>
      </c>
      <c r="N2599" s="56" t="n">
        <v>8</v>
      </c>
      <c r="O2599" s="56" t="n">
        <f aca="false">IF(D2599=1,"",E2598)</f>
        <v>16.3</v>
      </c>
      <c r="P2599" s="56" t="n">
        <f aca="false">IF(OR(D2599=1,K2598=""),"",K2598)</f>
        <v>1016</v>
      </c>
      <c r="Q2599" s="56" t="n">
        <f aca="false">IF(OR(F2599&lt;&gt;0,AND(I2599&lt;&gt;"",E2599&lt;I2599)),1,0)</f>
        <v>0</v>
      </c>
      <c r="R2599" s="56" t="n">
        <f aca="false">IF(AND(D2599&gt;1,Q2599=0,ISNUMBER(O2599),ISNUMBER(P2599)),IF(Q2598=0,1,0),0)</f>
        <v>1</v>
      </c>
      <c r="S2599" s="56" t="n">
        <f aca="false">R2599*(B2599&gt;=Train_Start)*(B2599&lt;=Train_End)</f>
        <v>1</v>
      </c>
      <c r="T2599" s="84" t="n">
        <f aca="false">IF(AND(ISNUMBER(O2599),ISNUMBER(P2599)),Coef_A+Coef_B1*O2599+Coef_B2*P2599,"")</f>
        <v>17.3140172167242</v>
      </c>
      <c r="U2599" s="84" t="n">
        <f aca="false">IF(AND(R2599=1,ISNUMBER(T2599)),E2599-T2599,"")</f>
        <v>-1.71401721672424</v>
      </c>
      <c r="V2599" s="84" t="n">
        <f aca="false">IF(ISNUMBER(T2599),T2599,-99)</f>
        <v>17.3140172167242</v>
      </c>
      <c r="W2599" s="84" t="n">
        <f aca="false">IF(ISNUMBER(U2599),ABS(U2599),"")</f>
        <v>1.71401721672424</v>
      </c>
    </row>
    <row r="2600" customFormat="false" ht="15" hidden="false" customHeight="false" outlineLevel="0" collapsed="false">
      <c r="A2600" s="57" t="n">
        <v>34970</v>
      </c>
      <c r="B2600" s="56" t="n">
        <v>1995</v>
      </c>
      <c r="C2600" s="56" t="n">
        <v>9</v>
      </c>
      <c r="D2600" s="56" t="n">
        <v>151</v>
      </c>
      <c r="E2600" s="56" t="n">
        <v>17.2</v>
      </c>
      <c r="F2600" s="56" t="n">
        <v>0</v>
      </c>
      <c r="G2600" s="56" t="n">
        <v>5</v>
      </c>
      <c r="H2600" s="56" t="n">
        <v>0</v>
      </c>
      <c r="I2600" s="56" t="n">
        <v>10.3</v>
      </c>
      <c r="J2600" s="56" t="n">
        <v>0</v>
      </c>
      <c r="K2600" s="56" t="n">
        <v>1021.9</v>
      </c>
      <c r="L2600" s="56" t="n">
        <v>0</v>
      </c>
      <c r="M2600" s="56" t="n">
        <v>75</v>
      </c>
      <c r="N2600" s="56" t="n">
        <v>6.9</v>
      </c>
      <c r="O2600" s="56" t="n">
        <f aca="false">IF(D2600=1,"",E2599)</f>
        <v>15.6</v>
      </c>
      <c r="P2600" s="56" t="n">
        <f aca="false">IF(OR(D2600=1,K2599=""),"",K2599)</f>
        <v>1013.9</v>
      </c>
      <c r="Q2600" s="56" t="n">
        <f aca="false">IF(OR(F2600&lt;&gt;0,AND(I2600&lt;&gt;"",E2600&lt;I2600)),1,0)</f>
        <v>0</v>
      </c>
      <c r="R2600" s="56" t="n">
        <f aca="false">IF(AND(D2600&gt;1,Q2600=0,ISNUMBER(O2600),ISNUMBER(P2600)),IF(Q2599=0,1,0),0)</f>
        <v>1</v>
      </c>
      <c r="S2600" s="56" t="n">
        <f aca="false">R2600*(B2600&gt;=Train_Start)*(B2600&lt;=Train_End)</f>
        <v>1</v>
      </c>
      <c r="T2600" s="84" t="n">
        <f aca="false">IF(AND(ISNUMBER(O2600),ISNUMBER(P2600)),Coef_A+Coef_B1*O2600+Coef_B2*P2600,"")</f>
        <v>16.674603002863</v>
      </c>
      <c r="U2600" s="84" t="n">
        <f aca="false">IF(AND(R2600=1,ISNUMBER(T2600)),E2600-T2600,"")</f>
        <v>0.525396997136998</v>
      </c>
      <c r="V2600" s="84" t="n">
        <f aca="false">IF(ISNUMBER(T2600),T2600,-99)</f>
        <v>16.674603002863</v>
      </c>
      <c r="W2600" s="84" t="n">
        <f aca="false">IF(ISNUMBER(U2600),ABS(U2600),"")</f>
        <v>0.525396997136998</v>
      </c>
    </row>
    <row r="2601" customFormat="false" ht="15" hidden="false" customHeight="false" outlineLevel="0" collapsed="false">
      <c r="A2601" s="57" t="n">
        <v>34971</v>
      </c>
      <c r="B2601" s="56" t="n">
        <v>1995</v>
      </c>
      <c r="C2601" s="56" t="n">
        <v>9</v>
      </c>
      <c r="D2601" s="56" t="n">
        <v>152</v>
      </c>
      <c r="E2601" s="56" t="n">
        <v>18.1</v>
      </c>
      <c r="F2601" s="56" t="n">
        <v>0</v>
      </c>
      <c r="G2601" s="56" t="n">
        <v>4.5</v>
      </c>
      <c r="H2601" s="56" t="n">
        <v>0</v>
      </c>
      <c r="I2601" s="56" t="n">
        <v>10.8</v>
      </c>
      <c r="J2601" s="56" t="n">
        <v>0</v>
      </c>
      <c r="K2601" s="56" t="n">
        <v>1021.4</v>
      </c>
      <c r="L2601" s="56" t="n">
        <v>0</v>
      </c>
      <c r="M2601" s="56" t="n">
        <v>73</v>
      </c>
      <c r="N2601" s="56" t="n">
        <v>9.2</v>
      </c>
      <c r="O2601" s="56" t="n">
        <f aca="false">IF(D2601=1,"",E2600)</f>
        <v>17.2</v>
      </c>
      <c r="P2601" s="56" t="n">
        <f aca="false">IF(OR(D2601=1,K2600=""),"",K2600)</f>
        <v>1021.9</v>
      </c>
      <c r="Q2601" s="56" t="n">
        <f aca="false">IF(OR(F2601&lt;&gt;0,AND(I2601&lt;&gt;"",E2601&lt;I2601)),1,0)</f>
        <v>0</v>
      </c>
      <c r="R2601" s="56" t="n">
        <f aca="false">IF(AND(D2601&gt;1,Q2601=0,ISNUMBER(O2601),ISNUMBER(P2601)),IF(Q2600=0,1,0),0)</f>
        <v>1</v>
      </c>
      <c r="S2601" s="56" t="n">
        <f aca="false">R2601*(B2601&gt;=Train_Start)*(B2601&lt;=Train_End)</f>
        <v>1</v>
      </c>
      <c r="T2601" s="84" t="n">
        <f aca="false">IF(AND(ISNUMBER(O2601),ISNUMBER(P2601)),Coef_A+Coef_B1*O2601+Coef_B2*P2601,"")</f>
        <v>18.2365048688032</v>
      </c>
      <c r="U2601" s="84" t="n">
        <f aca="false">IF(AND(R2601=1,ISNUMBER(T2601)),E2601-T2601,"")</f>
        <v>-0.136504868803165</v>
      </c>
      <c r="V2601" s="84" t="n">
        <f aca="false">IF(ISNUMBER(T2601),T2601,-99)</f>
        <v>18.2365048688032</v>
      </c>
      <c r="W2601" s="84" t="n">
        <f aca="false">IF(ISNUMBER(U2601),ABS(U2601),"")</f>
        <v>0.136504868803165</v>
      </c>
    </row>
    <row r="2602" customFormat="false" ht="15" hidden="false" customHeight="false" outlineLevel="0" collapsed="false">
      <c r="A2602" s="57" t="n">
        <v>34972</v>
      </c>
      <c r="B2602" s="56" t="n">
        <v>1995</v>
      </c>
      <c r="C2602" s="56" t="n">
        <v>9</v>
      </c>
      <c r="D2602" s="56" t="n">
        <v>153</v>
      </c>
      <c r="E2602" s="56" t="n">
        <v>20.9</v>
      </c>
      <c r="F2602" s="56" t="n">
        <v>0</v>
      </c>
      <c r="G2602" s="56" t="n">
        <v>6.2</v>
      </c>
      <c r="H2602" s="56" t="n">
        <v>0</v>
      </c>
      <c r="I2602" s="56" t="n">
        <v>12.2</v>
      </c>
      <c r="J2602" s="56" t="n">
        <v>0</v>
      </c>
      <c r="K2602" s="56" t="n">
        <v>1015.2</v>
      </c>
      <c r="L2602" s="56" t="n">
        <v>0</v>
      </c>
      <c r="M2602" s="56" t="n">
        <v>84</v>
      </c>
      <c r="N2602" s="56" t="n">
        <v>3</v>
      </c>
      <c r="O2602" s="56" t="n">
        <f aca="false">IF(D2602=1,"",E2601)</f>
        <v>18.1</v>
      </c>
      <c r="P2602" s="56" t="n">
        <f aca="false">IF(OR(D2602=1,K2601=""),"",K2601)</f>
        <v>1021.4</v>
      </c>
      <c r="Q2602" s="56" t="n">
        <f aca="false">IF(OR(F2602&lt;&gt;0,AND(I2602&lt;&gt;"",E2602&lt;I2602)),1,0)</f>
        <v>0</v>
      </c>
      <c r="R2602" s="56" t="n">
        <f aca="false">IF(AND(D2602&gt;1,Q2602=0,ISNUMBER(O2602),ISNUMBER(P2602)),IF(Q2601=0,1,0),0)</f>
        <v>1</v>
      </c>
      <c r="S2602" s="56" t="n">
        <f aca="false">R2602*(B2602&gt;=Train_Start)*(B2602&lt;=Train_End)</f>
        <v>1</v>
      </c>
      <c r="T2602" s="84" t="n">
        <f aca="false">IF(AND(ISNUMBER(O2602),ISNUMBER(P2602)),Coef_A+Coef_B1*O2602+Coef_B2*P2602,"")</f>
        <v>18.9582251952246</v>
      </c>
      <c r="U2602" s="84" t="n">
        <f aca="false">IF(AND(R2602=1,ISNUMBER(T2602)),E2602-T2602,"")</f>
        <v>1.94177480477543</v>
      </c>
      <c r="V2602" s="84" t="n">
        <f aca="false">IF(ISNUMBER(T2602),T2602,-99)</f>
        <v>18.9582251952246</v>
      </c>
      <c r="W2602" s="84" t="n">
        <f aca="false">IF(ISNUMBER(U2602),ABS(U2602),"")</f>
        <v>1.94177480477543</v>
      </c>
    </row>
    <row r="2603" customFormat="false" ht="15" hidden="false" customHeight="false" outlineLevel="0" collapsed="false">
      <c r="A2603" s="57" t="n">
        <v>35186</v>
      </c>
      <c r="B2603" s="56" t="n">
        <v>1996</v>
      </c>
      <c r="C2603" s="56" t="n">
        <v>5</v>
      </c>
      <c r="D2603" s="56" t="n">
        <v>1</v>
      </c>
      <c r="E2603" s="56" t="n">
        <v>11.5</v>
      </c>
      <c r="F2603" s="56" t="n">
        <v>0</v>
      </c>
      <c r="G2603" s="56" t="n">
        <v>7.2</v>
      </c>
      <c r="H2603" s="56" t="n">
        <v>0</v>
      </c>
      <c r="I2603" s="56" t="n">
        <v>10.6</v>
      </c>
      <c r="J2603" s="56" t="n">
        <v>0</v>
      </c>
      <c r="K2603" s="56" t="n">
        <v>998.5</v>
      </c>
      <c r="L2603" s="56" t="n">
        <v>0</v>
      </c>
      <c r="M2603" s="56" t="n">
        <v>78</v>
      </c>
      <c r="N2603" s="56" t="n">
        <v>2.9</v>
      </c>
      <c r="O2603" s="56" t="str">
        <f aca="false">IF(D2603=1,"",E2602)</f>
        <v/>
      </c>
      <c r="P2603" s="56" t="str">
        <f aca="false">IF(OR(D2603=1,K2602=""),"",K2602)</f>
        <v/>
      </c>
      <c r="Q2603" s="56" t="n">
        <f aca="false">IF(OR(F2603&lt;&gt;0,AND(I2603&lt;&gt;"",E2603&lt;I2603)),1,0)</f>
        <v>0</v>
      </c>
      <c r="R2603" s="56" t="n">
        <f aca="false">IF(AND(D2603&gt;1,Q2603=0,ISNUMBER(O2603),ISNUMBER(P2603)),IF(Q2602=0,1,0),0)</f>
        <v>0</v>
      </c>
      <c r="S2603" s="56" t="n">
        <f aca="false">R2603*(B2603&gt;=Train_Start)*(B2603&lt;=Train_End)</f>
        <v>0</v>
      </c>
      <c r="T2603" s="84" t="str">
        <f aca="false">IF(AND(ISNUMBER(O2603),ISNUMBER(P2603)),Coef_A+Coef_B1*O2603+Coef_B2*P2603,"")</f>
        <v/>
      </c>
      <c r="U2603" s="84" t="str">
        <f aca="false">IF(AND(R2603=1,ISNUMBER(T2603)),E2603-T2603,"")</f>
        <v/>
      </c>
      <c r="V2603" s="84" t="n">
        <f aca="false">IF(ISNUMBER(T2603),T2603,-99)</f>
        <v>-99</v>
      </c>
      <c r="W2603" s="84" t="str">
        <f aca="false">IF(ISNUMBER(U2603),ABS(U2603),"")</f>
        <v/>
      </c>
    </row>
    <row r="2604" customFormat="false" ht="15" hidden="false" customHeight="false" outlineLevel="0" collapsed="false">
      <c r="A2604" s="57" t="n">
        <v>35187</v>
      </c>
      <c r="B2604" s="56" t="n">
        <v>1996</v>
      </c>
      <c r="C2604" s="56" t="n">
        <v>5</v>
      </c>
      <c r="D2604" s="56" t="n">
        <v>2</v>
      </c>
      <c r="E2604" s="56" t="n">
        <v>12.4</v>
      </c>
      <c r="F2604" s="56" t="n">
        <v>0</v>
      </c>
      <c r="G2604" s="56" t="n">
        <v>6.5</v>
      </c>
      <c r="H2604" s="56" t="n">
        <v>0</v>
      </c>
      <c r="I2604" s="56" t="n">
        <v>9</v>
      </c>
      <c r="J2604" s="56" t="n">
        <v>0</v>
      </c>
      <c r="K2604" s="56" t="n">
        <v>1000.1</v>
      </c>
      <c r="L2604" s="56" t="n">
        <v>0</v>
      </c>
      <c r="M2604" s="56" t="n">
        <v>84</v>
      </c>
      <c r="N2604" s="56" t="n">
        <v>0.7</v>
      </c>
      <c r="O2604" s="56" t="n">
        <f aca="false">IF(D2604=1,"",E2603)</f>
        <v>11.5</v>
      </c>
      <c r="P2604" s="56" t="n">
        <f aca="false">IF(OR(D2604=1,K2603=""),"",K2603)</f>
        <v>998.5</v>
      </c>
      <c r="Q2604" s="56" t="n">
        <f aca="false">IF(OR(F2604&lt;&gt;0,AND(I2604&lt;&gt;"",E2604&lt;I2604)),1,0)</f>
        <v>0</v>
      </c>
      <c r="R2604" s="56" t="n">
        <f aca="false">IF(AND(D2604&gt;1,Q2604=0,ISNUMBER(O2604),ISNUMBER(P2604)),IF(Q2603=0,1,0),0)</f>
        <v>1</v>
      </c>
      <c r="S2604" s="56" t="n">
        <f aca="false">R2604*(B2604&gt;=Train_Start)*(B2604&lt;=Train_End)</f>
        <v>1</v>
      </c>
      <c r="T2604" s="84" t="n">
        <f aca="false">IF(AND(ISNUMBER(O2604),ISNUMBER(P2604)),Coef_A+Coef_B1*O2604+Coef_B2*P2604,"")</f>
        <v>12.8322159340247</v>
      </c>
      <c r="U2604" s="84" t="n">
        <f aca="false">IF(AND(R2604=1,ISNUMBER(T2604)),E2604-T2604,"")</f>
        <v>-0.43221593402467</v>
      </c>
      <c r="V2604" s="84" t="n">
        <f aca="false">IF(ISNUMBER(T2604),T2604,-99)</f>
        <v>12.8322159340247</v>
      </c>
      <c r="W2604" s="84" t="n">
        <f aca="false">IF(ISNUMBER(U2604),ABS(U2604),"")</f>
        <v>0.43221593402467</v>
      </c>
    </row>
    <row r="2605" customFormat="false" ht="15" hidden="false" customHeight="false" outlineLevel="0" collapsed="false">
      <c r="A2605" s="57" t="n">
        <v>35188</v>
      </c>
      <c r="B2605" s="56" t="n">
        <v>1996</v>
      </c>
      <c r="C2605" s="56" t="n">
        <v>5</v>
      </c>
      <c r="D2605" s="56" t="n">
        <v>3</v>
      </c>
      <c r="E2605" s="56" t="n">
        <v>12</v>
      </c>
      <c r="F2605" s="56" t="n">
        <v>0</v>
      </c>
      <c r="G2605" s="56" t="n">
        <v>5</v>
      </c>
      <c r="H2605" s="56" t="n">
        <v>0</v>
      </c>
      <c r="I2605" s="56" t="n">
        <v>8.7</v>
      </c>
      <c r="J2605" s="56" t="n">
        <v>0</v>
      </c>
      <c r="K2605" s="56" t="n">
        <v>1006.7</v>
      </c>
      <c r="L2605" s="56" t="n">
        <v>0</v>
      </c>
      <c r="M2605" s="56" t="n">
        <v>64</v>
      </c>
      <c r="N2605" s="56" t="n">
        <v>6.4</v>
      </c>
      <c r="O2605" s="56" t="n">
        <f aca="false">IF(D2605=1,"",E2604)</f>
        <v>12.4</v>
      </c>
      <c r="P2605" s="56" t="n">
        <f aca="false">IF(OR(D2605=1,K2604=""),"",K2604)</f>
        <v>1000.1</v>
      </c>
      <c r="Q2605" s="56" t="n">
        <f aca="false">IF(OR(F2605&lt;&gt;0,AND(I2605&lt;&gt;"",E2605&lt;I2605)),1,0)</f>
        <v>0</v>
      </c>
      <c r="R2605" s="56" t="n">
        <f aca="false">IF(AND(D2605&gt;1,Q2605=0,ISNUMBER(O2605),ISNUMBER(P2605)),IF(Q2604=0,1,0),0)</f>
        <v>1</v>
      </c>
      <c r="S2605" s="56" t="n">
        <f aca="false">R2605*(B2605&gt;=Train_Start)*(B2605&lt;=Train_End)</f>
        <v>1</v>
      </c>
      <c r="T2605" s="84" t="n">
        <f aca="false">IF(AND(ISNUMBER(O2605),ISNUMBER(P2605)),Coef_A+Coef_B1*O2605+Coef_B2*P2605,"")</f>
        <v>13.6198130391774</v>
      </c>
      <c r="U2605" s="84" t="n">
        <f aca="false">IF(AND(R2605=1,ISNUMBER(T2605)),E2605-T2605,"")</f>
        <v>-1.61981303917744</v>
      </c>
      <c r="V2605" s="84" t="n">
        <f aca="false">IF(ISNUMBER(T2605),T2605,-99)</f>
        <v>13.6198130391774</v>
      </c>
      <c r="W2605" s="84" t="n">
        <f aca="false">IF(ISNUMBER(U2605),ABS(U2605),"")</f>
        <v>1.61981303917744</v>
      </c>
    </row>
    <row r="2606" customFormat="false" ht="15" hidden="false" customHeight="false" outlineLevel="0" collapsed="false">
      <c r="A2606" s="57" t="n">
        <v>35189</v>
      </c>
      <c r="B2606" s="56" t="n">
        <v>1996</v>
      </c>
      <c r="C2606" s="56" t="n">
        <v>5</v>
      </c>
      <c r="D2606" s="56" t="n">
        <v>4</v>
      </c>
      <c r="E2606" s="56" t="n">
        <v>12.4</v>
      </c>
      <c r="F2606" s="56" t="n">
        <v>0</v>
      </c>
      <c r="G2606" s="56" t="n">
        <v>1.2</v>
      </c>
      <c r="H2606" s="56" t="n">
        <v>0</v>
      </c>
      <c r="I2606" s="56" t="n">
        <v>6.6</v>
      </c>
      <c r="J2606" s="56" t="n">
        <v>0</v>
      </c>
      <c r="K2606" s="56" t="n">
        <v>1016.9</v>
      </c>
      <c r="L2606" s="56" t="n">
        <v>0</v>
      </c>
      <c r="M2606" s="56" t="n">
        <v>57</v>
      </c>
      <c r="N2606" s="56" t="n">
        <v>10</v>
      </c>
      <c r="O2606" s="56" t="n">
        <f aca="false">IF(D2606=1,"",E2605)</f>
        <v>12</v>
      </c>
      <c r="P2606" s="56" t="n">
        <f aca="false">IF(OR(D2606=1,K2605=""),"",K2605)</f>
        <v>1006.7</v>
      </c>
      <c r="Q2606" s="56" t="n">
        <f aca="false">IF(OR(F2606&lt;&gt;0,AND(I2606&lt;&gt;"",E2606&lt;I2606)),1,0)</f>
        <v>0</v>
      </c>
      <c r="R2606" s="56" t="n">
        <f aca="false">IF(AND(D2606&gt;1,Q2606=0,ISNUMBER(O2606),ISNUMBER(P2606)),IF(Q2605=0,1,0),0)</f>
        <v>1</v>
      </c>
      <c r="S2606" s="56" t="n">
        <f aca="false">R2606*(B2606&gt;=Train_Start)*(B2606&lt;=Train_End)</f>
        <v>1</v>
      </c>
      <c r="T2606" s="84" t="n">
        <f aca="false">IF(AND(ISNUMBER(O2606),ISNUMBER(P2606)),Coef_A+Coef_B1*O2606+Coef_B2*P2606,"")</f>
        <v>13.4991186665447</v>
      </c>
      <c r="U2606" s="84" t="n">
        <f aca="false">IF(AND(R2606=1,ISNUMBER(T2606)),E2606-T2606,"")</f>
        <v>-1.09911866654471</v>
      </c>
      <c r="V2606" s="84" t="n">
        <f aca="false">IF(ISNUMBER(T2606),T2606,-99)</f>
        <v>13.4991186665447</v>
      </c>
      <c r="W2606" s="84" t="n">
        <f aca="false">IF(ISNUMBER(U2606),ABS(U2606),"")</f>
        <v>1.09911866654471</v>
      </c>
    </row>
    <row r="2607" customFormat="false" ht="15" hidden="false" customHeight="false" outlineLevel="0" collapsed="false">
      <c r="A2607" s="57" t="n">
        <v>35190</v>
      </c>
      <c r="B2607" s="56" t="n">
        <v>1996</v>
      </c>
      <c r="C2607" s="56" t="n">
        <v>5</v>
      </c>
      <c r="D2607" s="56" t="n">
        <v>5</v>
      </c>
      <c r="E2607" s="56" t="n">
        <v>15.6</v>
      </c>
      <c r="F2607" s="56" t="n">
        <v>0</v>
      </c>
      <c r="G2607" s="56" t="n">
        <v>1.5</v>
      </c>
      <c r="H2607" s="56" t="n">
        <v>0</v>
      </c>
      <c r="I2607" s="56" t="n">
        <v>7</v>
      </c>
      <c r="J2607" s="56" t="n">
        <v>0</v>
      </c>
      <c r="K2607" s="56" t="n">
        <v>1019.1</v>
      </c>
      <c r="L2607" s="56" t="n">
        <v>0</v>
      </c>
      <c r="M2607" s="56" t="n">
        <v>58</v>
      </c>
      <c r="N2607" s="56" t="n">
        <v>3</v>
      </c>
      <c r="O2607" s="56" t="n">
        <f aca="false">IF(D2607=1,"",E2606)</f>
        <v>12.4</v>
      </c>
      <c r="P2607" s="56" t="n">
        <f aca="false">IF(OR(D2607=1,K2606=""),"",K2606)</f>
        <v>1016.9</v>
      </c>
      <c r="Q2607" s="56" t="n">
        <f aca="false">IF(OR(F2607&lt;&gt;0,AND(I2607&lt;&gt;"",E2607&lt;I2607)),1,0)</f>
        <v>0</v>
      </c>
      <c r="R2607" s="56" t="n">
        <f aca="false">IF(AND(D2607&gt;1,Q2607=0,ISNUMBER(O2607),ISNUMBER(P2607)),IF(Q2606=0,1,0),0)</f>
        <v>1</v>
      </c>
      <c r="S2607" s="56" t="n">
        <f aca="false">R2607*(B2607&gt;=Train_Start)*(B2607&lt;=Train_End)</f>
        <v>1</v>
      </c>
      <c r="T2607" s="84" t="n">
        <f aca="false">IF(AND(ISNUMBER(O2607),ISNUMBER(P2607)),Coef_A+Coef_B1*O2607+Coef_B2*P2607,"")</f>
        <v>14.1468272690285</v>
      </c>
      <c r="U2607" s="84" t="n">
        <f aca="false">IF(AND(R2607=1,ISNUMBER(T2607)),E2607-T2607,"")</f>
        <v>1.45317273097153</v>
      </c>
      <c r="V2607" s="84" t="n">
        <f aca="false">IF(ISNUMBER(T2607),T2607,-99)</f>
        <v>14.1468272690285</v>
      </c>
      <c r="W2607" s="84" t="n">
        <f aca="false">IF(ISNUMBER(U2607),ABS(U2607),"")</f>
        <v>1.45317273097153</v>
      </c>
    </row>
    <row r="2608" customFormat="false" ht="15" hidden="false" customHeight="false" outlineLevel="0" collapsed="false">
      <c r="A2608" s="57" t="n">
        <v>35191</v>
      </c>
      <c r="B2608" s="56" t="n">
        <v>1996</v>
      </c>
      <c r="C2608" s="56" t="n">
        <v>5</v>
      </c>
      <c r="D2608" s="56" t="n">
        <v>6</v>
      </c>
      <c r="E2608" s="56" t="n">
        <v>15.2</v>
      </c>
      <c r="F2608" s="56" t="n">
        <v>0</v>
      </c>
      <c r="G2608" s="56" t="n">
        <v>2.6</v>
      </c>
      <c r="H2608" s="56" t="n">
        <v>0</v>
      </c>
      <c r="I2608" s="56" t="n">
        <v>9.1</v>
      </c>
      <c r="J2608" s="56" t="n">
        <v>0</v>
      </c>
      <c r="K2608" s="56" t="n">
        <v>1017.1</v>
      </c>
      <c r="L2608" s="56" t="n">
        <v>0</v>
      </c>
      <c r="M2608" s="56" t="n">
        <v>54</v>
      </c>
      <c r="N2608" s="56" t="n">
        <v>13.1</v>
      </c>
      <c r="O2608" s="56" t="n">
        <f aca="false">IF(D2608=1,"",E2607)</f>
        <v>15.6</v>
      </c>
      <c r="P2608" s="56" t="n">
        <f aca="false">IF(OR(D2608=1,K2607=""),"",K2607)</f>
        <v>1019.1</v>
      </c>
      <c r="Q2608" s="56" t="n">
        <f aca="false">IF(OR(F2608&lt;&gt;0,AND(I2608&lt;&gt;"",E2608&lt;I2608)),1,0)</f>
        <v>0</v>
      </c>
      <c r="R2608" s="56" t="n">
        <f aca="false">IF(AND(D2608&gt;1,Q2608=0,ISNUMBER(O2608),ISNUMBER(P2608)),IF(Q2607=0,1,0),0)</f>
        <v>1</v>
      </c>
      <c r="S2608" s="56" t="n">
        <f aca="false">R2608*(B2608&gt;=Train_Start)*(B2608&lt;=Train_End)</f>
        <v>1</v>
      </c>
      <c r="T2608" s="84" t="n">
        <f aca="false">IF(AND(ISNUMBER(O2608),ISNUMBER(P2608)),Coef_A+Coef_B1*O2608+Coef_B2*P2608,"")</f>
        <v>16.8377264549597</v>
      </c>
      <c r="U2608" s="84" t="n">
        <f aca="false">IF(AND(R2608=1,ISNUMBER(T2608)),E2608-T2608,"")</f>
        <v>-1.63772645495974</v>
      </c>
      <c r="V2608" s="84" t="n">
        <f aca="false">IF(ISNUMBER(T2608),T2608,-99)</f>
        <v>16.8377264549597</v>
      </c>
      <c r="W2608" s="84" t="n">
        <f aca="false">IF(ISNUMBER(U2608),ABS(U2608),"")</f>
        <v>1.63772645495974</v>
      </c>
    </row>
    <row r="2609" customFormat="false" ht="15" hidden="false" customHeight="false" outlineLevel="0" collapsed="false">
      <c r="A2609" s="57" t="n">
        <v>35192</v>
      </c>
      <c r="B2609" s="56" t="n">
        <v>1996</v>
      </c>
      <c r="C2609" s="56" t="n">
        <v>5</v>
      </c>
      <c r="D2609" s="56" t="n">
        <v>7</v>
      </c>
      <c r="E2609" s="56" t="n">
        <v>14.1</v>
      </c>
      <c r="F2609" s="56" t="n">
        <v>0</v>
      </c>
      <c r="G2609" s="56" t="n">
        <v>3.3</v>
      </c>
      <c r="H2609" s="56" t="n">
        <v>0</v>
      </c>
      <c r="I2609" s="56" t="n">
        <v>9.2</v>
      </c>
      <c r="J2609" s="56" t="n">
        <v>0</v>
      </c>
      <c r="K2609" s="56" t="n">
        <v>1018.7</v>
      </c>
      <c r="L2609" s="56" t="n">
        <v>0</v>
      </c>
      <c r="M2609" s="56" t="n">
        <v>53</v>
      </c>
      <c r="N2609" s="56" t="n">
        <v>12.3</v>
      </c>
      <c r="O2609" s="56" t="n">
        <f aca="false">IF(D2609=1,"",E2608)</f>
        <v>15.2</v>
      </c>
      <c r="P2609" s="56" t="n">
        <f aca="false">IF(OR(D2609=1,K2608=""),"",K2608)</f>
        <v>1017.1</v>
      </c>
      <c r="Q2609" s="56" t="n">
        <f aca="false">IF(OR(F2609&lt;&gt;0,AND(I2609&lt;&gt;"",E2609&lt;I2609)),1,0)</f>
        <v>0</v>
      </c>
      <c r="R2609" s="56" t="n">
        <f aca="false">IF(AND(D2609&gt;1,Q2609=0,ISNUMBER(O2609),ISNUMBER(P2609)),IF(Q2608=0,1,0),0)</f>
        <v>1</v>
      </c>
      <c r="S2609" s="56" t="n">
        <f aca="false">R2609*(B2609&gt;=Train_Start)*(B2609&lt;=Train_End)</f>
        <v>1</v>
      </c>
      <c r="T2609" s="84" t="n">
        <f aca="false">IF(AND(ISNUMBER(O2609),ISNUMBER(P2609)),Coef_A+Coef_B1*O2609+Coef_B2*P2609,"")</f>
        <v>16.4472509884747</v>
      </c>
      <c r="U2609" s="84" t="n">
        <f aca="false">IF(AND(R2609=1,ISNUMBER(T2609)),E2609-T2609,"")</f>
        <v>-2.34725098847471</v>
      </c>
      <c r="V2609" s="84" t="n">
        <f aca="false">IF(ISNUMBER(T2609),T2609,-99)</f>
        <v>16.4472509884747</v>
      </c>
      <c r="W2609" s="84" t="n">
        <f aca="false">IF(ISNUMBER(U2609),ABS(U2609),"")</f>
        <v>2.34725098847471</v>
      </c>
    </row>
    <row r="2610" customFormat="false" ht="15" hidden="false" customHeight="false" outlineLevel="0" collapsed="false">
      <c r="A2610" s="57" t="n">
        <v>35193</v>
      </c>
      <c r="B2610" s="56" t="n">
        <v>1996</v>
      </c>
      <c r="C2610" s="56" t="n">
        <v>5</v>
      </c>
      <c r="D2610" s="56" t="n">
        <v>8</v>
      </c>
      <c r="E2610" s="56" t="n">
        <v>13.5</v>
      </c>
      <c r="F2610" s="56" t="n">
        <v>0</v>
      </c>
      <c r="G2610" s="56" t="n">
        <v>2.4</v>
      </c>
      <c r="H2610" s="56" t="n">
        <v>0</v>
      </c>
      <c r="I2610" s="56" t="n">
        <v>8.2</v>
      </c>
      <c r="J2610" s="56" t="n">
        <v>0</v>
      </c>
      <c r="K2610" s="56" t="n">
        <v>1024.1</v>
      </c>
      <c r="L2610" s="56" t="n">
        <v>0</v>
      </c>
      <c r="M2610" s="56" t="n">
        <v>58</v>
      </c>
      <c r="N2610" s="56" t="n">
        <v>14.1</v>
      </c>
      <c r="O2610" s="56" t="n">
        <f aca="false">IF(D2610=1,"",E2609)</f>
        <v>14.1</v>
      </c>
      <c r="P2610" s="56" t="n">
        <f aca="false">IF(OR(D2610=1,K2609=""),"",K2609)</f>
        <v>1018.7</v>
      </c>
      <c r="Q2610" s="56" t="n">
        <f aca="false">IF(OR(F2610&lt;&gt;0,AND(I2610&lt;&gt;"",E2610&lt;I2610)),1,0)</f>
        <v>0</v>
      </c>
      <c r="R2610" s="56" t="n">
        <f aca="false">IF(AND(D2610&gt;1,Q2610=0,ISNUMBER(O2610),ISNUMBER(P2610)),IF(Q2609=0,1,0),0)</f>
        <v>1</v>
      </c>
      <c r="S2610" s="56" t="n">
        <f aca="false">R2610*(B2610&gt;=Train_Start)*(B2610&lt;=Train_End)</f>
        <v>1</v>
      </c>
      <c r="T2610" s="84" t="n">
        <f aca="false">IF(AND(ISNUMBER(O2610),ISNUMBER(P2610)),Coef_A+Coef_B1*O2610+Coef_B2*P2610,"")</f>
        <v>15.5961697075422</v>
      </c>
      <c r="U2610" s="84" t="n">
        <f aca="false">IF(AND(R2610=1,ISNUMBER(T2610)),E2610-T2610,"")</f>
        <v>-2.09616970754217</v>
      </c>
      <c r="V2610" s="84" t="n">
        <f aca="false">IF(ISNUMBER(T2610),T2610,-99)</f>
        <v>15.5961697075422</v>
      </c>
      <c r="W2610" s="84" t="n">
        <f aca="false">IF(ISNUMBER(U2610),ABS(U2610),"")</f>
        <v>2.09616970754217</v>
      </c>
    </row>
    <row r="2611" customFormat="false" ht="15" hidden="false" customHeight="false" outlineLevel="0" collapsed="false">
      <c r="A2611" s="57" t="n">
        <v>35194</v>
      </c>
      <c r="B2611" s="56" t="n">
        <v>1996</v>
      </c>
      <c r="C2611" s="56" t="n">
        <v>5</v>
      </c>
      <c r="D2611" s="56" t="n">
        <v>9</v>
      </c>
      <c r="E2611" s="56" t="n">
        <v>11.8</v>
      </c>
      <c r="F2611" s="56" t="n">
        <v>0</v>
      </c>
      <c r="G2611" s="56" t="n">
        <v>3.1</v>
      </c>
      <c r="H2611" s="56" t="n">
        <v>0</v>
      </c>
      <c r="I2611" s="56" t="n">
        <v>8.3</v>
      </c>
      <c r="J2611" s="56" t="n">
        <v>0</v>
      </c>
      <c r="K2611" s="56" t="n">
        <v>1025</v>
      </c>
      <c r="L2611" s="56" t="n">
        <v>0</v>
      </c>
      <c r="M2611" s="56" t="n">
        <v>62</v>
      </c>
      <c r="N2611" s="56" t="n">
        <v>9.7</v>
      </c>
      <c r="O2611" s="56" t="n">
        <f aca="false">IF(D2611=1,"",E2610)</f>
        <v>13.5</v>
      </c>
      <c r="P2611" s="56" t="n">
        <f aca="false">IF(OR(D2611=1,K2610=""),"",K2610)</f>
        <v>1024.1</v>
      </c>
      <c r="Q2611" s="56" t="n">
        <f aca="false">IF(OR(F2611&lt;&gt;0,AND(I2611&lt;&gt;"",E2611&lt;I2611)),1,0)</f>
        <v>0</v>
      </c>
      <c r="R2611" s="56" t="n">
        <f aca="false">IF(AND(D2611&gt;1,Q2611=0,ISNUMBER(O2611),ISNUMBER(P2611)),IF(Q2610=0,1,0),0)</f>
        <v>1</v>
      </c>
      <c r="S2611" s="56" t="n">
        <f aca="false">R2611*(B2611&gt;=Train_Start)*(B2611&lt;=Train_End)</f>
        <v>1</v>
      </c>
      <c r="T2611" s="84" t="n">
        <f aca="false">IF(AND(ISNUMBER(O2611),ISNUMBER(P2611)),Coef_A+Coef_B1*O2611+Coef_B2*P2611,"")</f>
        <v>15.2739636227401</v>
      </c>
      <c r="U2611" s="84" t="n">
        <f aca="false">IF(AND(R2611=1,ISNUMBER(T2611)),E2611-T2611,"")</f>
        <v>-3.4739636227401</v>
      </c>
      <c r="V2611" s="84" t="n">
        <f aca="false">IF(ISNUMBER(T2611),T2611,-99)</f>
        <v>15.2739636227401</v>
      </c>
      <c r="W2611" s="84" t="n">
        <f aca="false">IF(ISNUMBER(U2611),ABS(U2611),"")</f>
        <v>3.4739636227401</v>
      </c>
    </row>
    <row r="2612" customFormat="false" ht="15" hidden="false" customHeight="false" outlineLevel="0" collapsed="false">
      <c r="A2612" s="57" t="n">
        <v>35195</v>
      </c>
      <c r="B2612" s="56" t="n">
        <v>1996</v>
      </c>
      <c r="C2612" s="56" t="n">
        <v>5</v>
      </c>
      <c r="D2612" s="56" t="n">
        <v>10</v>
      </c>
      <c r="E2612" s="56" t="n">
        <v>12.6</v>
      </c>
      <c r="F2612" s="56" t="n">
        <v>0</v>
      </c>
      <c r="G2612" s="56" t="n">
        <v>4.3</v>
      </c>
      <c r="H2612" s="56" t="n">
        <v>0</v>
      </c>
      <c r="I2612" s="56" t="n">
        <v>8</v>
      </c>
      <c r="J2612" s="56" t="n">
        <v>0</v>
      </c>
      <c r="K2612" s="56" t="n">
        <v>1018.4</v>
      </c>
      <c r="L2612" s="56" t="n">
        <v>0</v>
      </c>
      <c r="M2612" s="56" t="n">
        <v>73</v>
      </c>
      <c r="N2612" s="56" t="n">
        <v>6.6</v>
      </c>
      <c r="O2612" s="56" t="n">
        <f aca="false">IF(D2612=1,"",E2611)</f>
        <v>11.8</v>
      </c>
      <c r="P2612" s="56" t="n">
        <f aca="false">IF(OR(D2612=1,K2611=""),"",K2611)</f>
        <v>1025</v>
      </c>
      <c r="Q2612" s="56" t="n">
        <f aca="false">IF(OR(F2612&lt;&gt;0,AND(I2612&lt;&gt;"",E2612&lt;I2612)),1,0)</f>
        <v>0</v>
      </c>
      <c r="R2612" s="56" t="n">
        <f aca="false">IF(AND(D2612&gt;1,Q2612=0,ISNUMBER(O2612),ISNUMBER(P2612)),IF(Q2611=0,1,0),0)</f>
        <v>1</v>
      </c>
      <c r="S2612" s="56" t="n">
        <f aca="false">R2612*(B2612&gt;=Train_Start)*(B2612&lt;=Train_End)</f>
        <v>1</v>
      </c>
      <c r="T2612" s="84" t="n">
        <f aca="false">IF(AND(ISNUMBER(O2612),ISNUMBER(P2612)),Coef_A+Coef_B1*O2612+Coef_B2*P2612,"")</f>
        <v>13.9093198997382</v>
      </c>
      <c r="U2612" s="84" t="n">
        <f aca="false">IF(AND(R2612=1,ISNUMBER(T2612)),E2612-T2612,"")</f>
        <v>-1.30931989973819</v>
      </c>
      <c r="V2612" s="84" t="n">
        <f aca="false">IF(ISNUMBER(T2612),T2612,-99)</f>
        <v>13.9093198997382</v>
      </c>
      <c r="W2612" s="84" t="n">
        <f aca="false">IF(ISNUMBER(U2612),ABS(U2612),"")</f>
        <v>1.30931989973819</v>
      </c>
    </row>
    <row r="2613" customFormat="false" ht="15" hidden="false" customHeight="false" outlineLevel="0" collapsed="false">
      <c r="A2613" s="57" t="n">
        <v>35196</v>
      </c>
      <c r="B2613" s="56" t="n">
        <v>1996</v>
      </c>
      <c r="C2613" s="56" t="n">
        <v>5</v>
      </c>
      <c r="D2613" s="56" t="n">
        <v>11</v>
      </c>
      <c r="E2613" s="56" t="n">
        <v>15</v>
      </c>
      <c r="F2613" s="56" t="n">
        <v>0</v>
      </c>
      <c r="G2613" s="56" t="n">
        <v>2.1</v>
      </c>
      <c r="H2613" s="56" t="n">
        <v>0</v>
      </c>
      <c r="I2613" s="56" t="n">
        <v>7.4</v>
      </c>
      <c r="J2613" s="56" t="n">
        <v>0</v>
      </c>
      <c r="K2613" s="56" t="n">
        <v>1017.2</v>
      </c>
      <c r="L2613" s="56" t="n">
        <v>0</v>
      </c>
      <c r="M2613" s="56" t="n">
        <v>72</v>
      </c>
      <c r="N2613" s="56" t="n">
        <v>1.8</v>
      </c>
      <c r="O2613" s="56" t="n">
        <f aca="false">IF(D2613=1,"",E2612)</f>
        <v>12.6</v>
      </c>
      <c r="P2613" s="56" t="n">
        <f aca="false">IF(OR(D2613=1,K2612=""),"",K2612)</f>
        <v>1018.4</v>
      </c>
      <c r="Q2613" s="56" t="n">
        <f aca="false">IF(OR(F2613&lt;&gt;0,AND(I2613&lt;&gt;"",E2613&lt;I2613)),1,0)</f>
        <v>0</v>
      </c>
      <c r="R2613" s="56" t="n">
        <f aca="false">IF(AND(D2613&gt;1,Q2613=0,ISNUMBER(O2613),ISNUMBER(P2613)),IF(Q2612=0,1,0),0)</f>
        <v>1</v>
      </c>
      <c r="S2613" s="56" t="n">
        <f aca="false">R2613*(B2613&gt;=Train_Start)*(B2613&lt;=Train_End)</f>
        <v>1</v>
      </c>
      <c r="T2613" s="84" t="n">
        <f aca="false">IF(AND(ISNUMBER(O2613),ISNUMBER(P2613)),Coef_A+Coef_B1*O2613+Coef_B2*P2613,"")</f>
        <v>14.357749949588</v>
      </c>
      <c r="U2613" s="84" t="n">
        <f aca="false">IF(AND(R2613=1,ISNUMBER(T2613)),E2613-T2613,"")</f>
        <v>0.642250050412017</v>
      </c>
      <c r="V2613" s="84" t="n">
        <f aca="false">IF(ISNUMBER(T2613),T2613,-99)</f>
        <v>14.357749949588</v>
      </c>
      <c r="W2613" s="84" t="n">
        <f aca="false">IF(ISNUMBER(U2613),ABS(U2613),"")</f>
        <v>0.642250050412017</v>
      </c>
    </row>
    <row r="2614" customFormat="false" ht="15" hidden="false" customHeight="false" outlineLevel="0" collapsed="false">
      <c r="A2614" s="57" t="n">
        <v>35197</v>
      </c>
      <c r="B2614" s="56" t="n">
        <v>1996</v>
      </c>
      <c r="C2614" s="56" t="n">
        <v>5</v>
      </c>
      <c r="D2614" s="56" t="n">
        <v>12</v>
      </c>
      <c r="E2614" s="56" t="n">
        <v>17.9</v>
      </c>
      <c r="F2614" s="56" t="n">
        <v>0</v>
      </c>
      <c r="G2614" s="56" t="n">
        <v>6.4</v>
      </c>
      <c r="H2614" s="56" t="n">
        <v>0</v>
      </c>
      <c r="I2614" s="56" t="n">
        <v>10.7</v>
      </c>
      <c r="J2614" s="56" t="n">
        <v>0</v>
      </c>
      <c r="K2614" s="56" t="n">
        <v>1021.9</v>
      </c>
      <c r="L2614" s="56" t="n">
        <v>0</v>
      </c>
      <c r="M2614" s="56" t="n">
        <v>62</v>
      </c>
      <c r="N2614" s="56" t="n">
        <v>8.5</v>
      </c>
      <c r="O2614" s="56" t="n">
        <f aca="false">IF(D2614=1,"",E2613)</f>
        <v>15</v>
      </c>
      <c r="P2614" s="56" t="n">
        <f aca="false">IF(OR(D2614=1,K2613=""),"",K2613)</f>
        <v>1017.2</v>
      </c>
      <c r="Q2614" s="56" t="n">
        <f aca="false">IF(OR(F2614&lt;&gt;0,AND(I2614&lt;&gt;"",E2614&lt;I2614)),1,0)</f>
        <v>0</v>
      </c>
      <c r="R2614" s="56" t="n">
        <f aca="false">IF(AND(D2614&gt;1,Q2614=0,ISNUMBER(O2614),ISNUMBER(P2614)),IF(Q2613=0,1,0),0)</f>
        <v>1</v>
      </c>
      <c r="S2614" s="56" t="n">
        <f aca="false">R2614*(B2614&gt;=Train_Start)*(B2614&lt;=Train_End)</f>
        <v>1</v>
      </c>
      <c r="T2614" s="84" t="n">
        <f aca="false">IF(AND(ISNUMBER(O2614),ISNUMBER(P2614)),Coef_A+Coef_B1*O2614+Coef_B2*P2614,"")</f>
        <v>16.2865201393296</v>
      </c>
      <c r="U2614" s="84" t="n">
        <f aca="false">IF(AND(R2614=1,ISNUMBER(T2614)),E2614-T2614,"")</f>
        <v>1.61347986067042</v>
      </c>
      <c r="V2614" s="84" t="n">
        <f aca="false">IF(ISNUMBER(T2614),T2614,-99)</f>
        <v>16.2865201393296</v>
      </c>
      <c r="W2614" s="84" t="n">
        <f aca="false">IF(ISNUMBER(U2614),ABS(U2614),"")</f>
        <v>1.61347986067042</v>
      </c>
    </row>
    <row r="2615" customFormat="false" ht="15" hidden="false" customHeight="false" outlineLevel="0" collapsed="false">
      <c r="A2615" s="57" t="n">
        <v>35198</v>
      </c>
      <c r="B2615" s="56" t="n">
        <v>1996</v>
      </c>
      <c r="C2615" s="56" t="n">
        <v>5</v>
      </c>
      <c r="D2615" s="56" t="n">
        <v>13</v>
      </c>
      <c r="E2615" s="56" t="n">
        <v>15.9</v>
      </c>
      <c r="F2615" s="56" t="n">
        <v>0</v>
      </c>
      <c r="G2615" s="56" t="n">
        <v>3.5</v>
      </c>
      <c r="H2615" s="56" t="n">
        <v>0</v>
      </c>
      <c r="I2615" s="56" t="n">
        <v>10.7</v>
      </c>
      <c r="J2615" s="56" t="n">
        <v>0</v>
      </c>
      <c r="K2615" s="56" t="n">
        <v>1025.6</v>
      </c>
      <c r="L2615" s="56" t="n">
        <v>0</v>
      </c>
      <c r="M2615" s="56" t="n">
        <v>59</v>
      </c>
      <c r="N2615" s="56" t="n">
        <v>13.3</v>
      </c>
      <c r="O2615" s="56" t="n">
        <f aca="false">IF(D2615=1,"",E2614)</f>
        <v>17.9</v>
      </c>
      <c r="P2615" s="56" t="n">
        <f aca="false">IF(OR(D2615=1,K2614=""),"",K2614)</f>
        <v>1021.9</v>
      </c>
      <c r="Q2615" s="56" t="n">
        <f aca="false">IF(OR(F2615&lt;&gt;0,AND(I2615&lt;&gt;"",E2615&lt;I2615)),1,0)</f>
        <v>0</v>
      </c>
      <c r="R2615" s="56" t="n">
        <f aca="false">IF(AND(D2615&gt;1,Q2615=0,ISNUMBER(O2615),ISNUMBER(P2615)),IF(Q2614=0,1,0),0)</f>
        <v>1</v>
      </c>
      <c r="S2615" s="56" t="n">
        <f aca="false">R2615*(B2615&gt;=Train_Start)*(B2615&lt;=Train_End)</f>
        <v>1</v>
      </c>
      <c r="T2615" s="84" t="n">
        <f aca="false">IF(AND(ISNUMBER(O2615),ISNUMBER(P2615)),Coef_A+Coef_B1*O2615+Coef_B2*P2615,"")</f>
        <v>18.810042303933</v>
      </c>
      <c r="U2615" s="84" t="n">
        <f aca="false">IF(AND(R2615=1,ISNUMBER(T2615)),E2615-T2615,"")</f>
        <v>-2.91004230393302</v>
      </c>
      <c r="V2615" s="84" t="n">
        <f aca="false">IF(ISNUMBER(T2615),T2615,-99)</f>
        <v>18.810042303933</v>
      </c>
      <c r="W2615" s="84" t="n">
        <f aca="false">IF(ISNUMBER(U2615),ABS(U2615),"")</f>
        <v>2.91004230393302</v>
      </c>
    </row>
    <row r="2616" customFormat="false" ht="15" hidden="false" customHeight="false" outlineLevel="0" collapsed="false">
      <c r="A2616" s="57" t="n">
        <v>35199</v>
      </c>
      <c r="B2616" s="56" t="n">
        <v>1996</v>
      </c>
      <c r="C2616" s="56" t="n">
        <v>5</v>
      </c>
      <c r="D2616" s="56" t="n">
        <v>14</v>
      </c>
      <c r="E2616" s="56" t="n">
        <v>16.9</v>
      </c>
      <c r="F2616" s="56" t="n">
        <v>0</v>
      </c>
      <c r="G2616" s="56" t="n">
        <v>5.2</v>
      </c>
      <c r="H2616" s="56" t="n">
        <v>0</v>
      </c>
      <c r="I2616" s="56" t="n">
        <v>10.6</v>
      </c>
      <c r="J2616" s="56" t="n">
        <v>0</v>
      </c>
      <c r="K2616" s="56" t="n">
        <v>1023.2</v>
      </c>
      <c r="L2616" s="56" t="n">
        <v>0</v>
      </c>
      <c r="M2616" s="56" t="n">
        <v>60</v>
      </c>
      <c r="N2616" s="56" t="n">
        <v>7.6</v>
      </c>
      <c r="O2616" s="56" t="n">
        <f aca="false">IF(D2616=1,"",E2615)</f>
        <v>15.9</v>
      </c>
      <c r="P2616" s="56" t="n">
        <f aca="false">IF(OR(D2616=1,K2615=""),"",K2615)</f>
        <v>1025.6</v>
      </c>
      <c r="Q2616" s="56" t="n">
        <f aca="false">IF(OR(F2616&lt;&gt;0,AND(I2616&lt;&gt;"",E2616&lt;I2616)),1,0)</f>
        <v>0</v>
      </c>
      <c r="R2616" s="56" t="n">
        <f aca="false">IF(AND(D2616&gt;1,Q2616=0,ISNUMBER(O2616),ISNUMBER(P2616)),IF(Q2615=0,1,0),0)</f>
        <v>1</v>
      </c>
      <c r="S2616" s="56" t="n">
        <f aca="false">R2616*(B2616&gt;=Train_Start)*(B2616&lt;=Train_End)</f>
        <v>1</v>
      </c>
      <c r="T2616" s="84" t="n">
        <f aca="false">IF(AND(ISNUMBER(O2616),ISNUMBER(P2616)),Coef_A+Coef_B1*O2616+Coef_B2*P2616,"")</f>
        <v>17.2874325279935</v>
      </c>
      <c r="U2616" s="84" t="n">
        <f aca="false">IF(AND(R2616=1,ISNUMBER(T2616)),E2616-T2616,"")</f>
        <v>-0.387432527993475</v>
      </c>
      <c r="V2616" s="84" t="n">
        <f aca="false">IF(ISNUMBER(T2616),T2616,-99)</f>
        <v>17.2874325279935</v>
      </c>
      <c r="W2616" s="84" t="n">
        <f aca="false">IF(ISNUMBER(U2616),ABS(U2616),"")</f>
        <v>0.387432527993475</v>
      </c>
    </row>
    <row r="2617" customFormat="false" ht="15" hidden="false" customHeight="false" outlineLevel="0" collapsed="false">
      <c r="A2617" s="57" t="n">
        <v>35200</v>
      </c>
      <c r="B2617" s="56" t="n">
        <v>1996</v>
      </c>
      <c r="C2617" s="56" t="n">
        <v>5</v>
      </c>
      <c r="D2617" s="56" t="n">
        <v>15</v>
      </c>
      <c r="E2617" s="56" t="n">
        <v>10.4</v>
      </c>
      <c r="F2617" s="56" t="n">
        <v>1</v>
      </c>
      <c r="G2617" s="56" t="n">
        <v>4.1</v>
      </c>
      <c r="H2617" s="56" t="n">
        <v>0</v>
      </c>
      <c r="I2617" s="56" t="n">
        <v>10.5</v>
      </c>
      <c r="J2617" s="56" t="n">
        <v>1</v>
      </c>
      <c r="K2617" s="56" t="n">
        <v>1020.8</v>
      </c>
      <c r="L2617" s="56" t="n">
        <v>0</v>
      </c>
      <c r="M2617" s="56" t="n">
        <v>58</v>
      </c>
      <c r="N2617" s="56" t="n">
        <v>8.4</v>
      </c>
      <c r="O2617" s="56" t="n">
        <f aca="false">IF(D2617=1,"",E2616)</f>
        <v>16.9</v>
      </c>
      <c r="P2617" s="56" t="n">
        <f aca="false">IF(OR(D2617=1,K2616=""),"",K2616)</f>
        <v>1023.2</v>
      </c>
      <c r="Q2617" s="56" t="n">
        <f aca="false">IF(OR(F2617&lt;&gt;0,AND(I2617&lt;&gt;"",E2617&lt;I2617)),1,0)</f>
        <v>1</v>
      </c>
      <c r="R2617" s="56" t="n">
        <f aca="false">IF(AND(D2617&gt;1,Q2617=0,ISNUMBER(O2617),ISNUMBER(P2617)),IF(Q2616=0,1,0),0)</f>
        <v>0</v>
      </c>
      <c r="S2617" s="56" t="n">
        <f aca="false">R2617*(B2617&gt;=Train_Start)*(B2617&lt;=Train_End)</f>
        <v>0</v>
      </c>
      <c r="T2617" s="84" t="n">
        <f aca="false">IF(AND(ISNUMBER(O2617),ISNUMBER(P2617)),Coef_A+Coef_B1*O2617+Coef_B2*P2617,"")</f>
        <v>18.0314839739146</v>
      </c>
      <c r="U2617" s="84" t="str">
        <f aca="false">IF(AND(R2617=1,ISNUMBER(T2617)),E2617-T2617,"")</f>
        <v/>
      </c>
      <c r="V2617" s="84" t="n">
        <f aca="false">IF(ISNUMBER(T2617),T2617,-99)</f>
        <v>18.0314839739146</v>
      </c>
      <c r="W2617" s="84" t="str">
        <f aca="false">IF(ISNUMBER(U2617),ABS(U2617),"")</f>
        <v/>
      </c>
    </row>
    <row r="2618" customFormat="false" ht="15" hidden="false" customHeight="false" outlineLevel="0" collapsed="false">
      <c r="A2618" s="57" t="n">
        <v>35201</v>
      </c>
      <c r="B2618" s="56" t="n">
        <v>1996</v>
      </c>
      <c r="C2618" s="56" t="n">
        <v>5</v>
      </c>
      <c r="D2618" s="56" t="n">
        <v>16</v>
      </c>
      <c r="E2618" s="56" t="n">
        <v>9.6</v>
      </c>
      <c r="F2618" s="56" t="n">
        <v>0</v>
      </c>
      <c r="G2618" s="56" t="n">
        <v>3</v>
      </c>
      <c r="H2618" s="56" t="n">
        <v>0</v>
      </c>
      <c r="I2618" s="56" t="n">
        <v>6.7</v>
      </c>
      <c r="J2618" s="56" t="n">
        <v>0</v>
      </c>
      <c r="K2618" s="56" t="n">
        <v>1015.5</v>
      </c>
      <c r="L2618" s="56" t="n">
        <v>0</v>
      </c>
      <c r="M2618" s="56" t="n">
        <v>69</v>
      </c>
      <c r="N2618" s="56" t="n">
        <v>1.2</v>
      </c>
      <c r="O2618" s="56" t="n">
        <f aca="false">IF(D2618=1,"",E2617)</f>
        <v>10.4</v>
      </c>
      <c r="P2618" s="56" t="n">
        <f aca="false">IF(OR(D2618=1,K2617=""),"",K2617)</f>
        <v>1020.8</v>
      </c>
      <c r="Q2618" s="56" t="n">
        <f aca="false">IF(OR(F2618&lt;&gt;0,AND(I2618&lt;&gt;"",E2618&lt;I2618)),1,0)</f>
        <v>0</v>
      </c>
      <c r="R2618" s="56" t="n">
        <f aca="false">IF(AND(D2618&gt;1,Q2618=0,ISNUMBER(O2618),ISNUMBER(P2618)),IF(Q2617=0,1,0),0)</f>
        <v>0</v>
      </c>
      <c r="S2618" s="56" t="n">
        <f aca="false">R2618*(B2618&gt;=Train_Start)*(B2618&lt;=Train_End)</f>
        <v>0</v>
      </c>
      <c r="T2618" s="84" t="n">
        <f aca="false">IF(AND(ISNUMBER(O2618),ISNUMBER(P2618)),Coef_A+Coef_B1*O2618+Coef_B2*P2618,"")</f>
        <v>12.6304914720157</v>
      </c>
      <c r="U2618" s="84" t="str">
        <f aca="false">IF(AND(R2618=1,ISNUMBER(T2618)),E2618-T2618,"")</f>
        <v/>
      </c>
      <c r="V2618" s="84" t="n">
        <f aca="false">IF(ISNUMBER(T2618),T2618,-99)</f>
        <v>12.6304914720157</v>
      </c>
      <c r="W2618" s="84" t="str">
        <f aca="false">IF(ISNUMBER(U2618),ABS(U2618),"")</f>
        <v/>
      </c>
    </row>
    <row r="2619" customFormat="false" ht="15" hidden="false" customHeight="false" outlineLevel="0" collapsed="false">
      <c r="A2619" s="57" t="n">
        <v>35202</v>
      </c>
      <c r="B2619" s="56" t="n">
        <v>1996</v>
      </c>
      <c r="C2619" s="56" t="n">
        <v>5</v>
      </c>
      <c r="D2619" s="56" t="n">
        <v>17</v>
      </c>
      <c r="E2619" s="56" t="n">
        <v>9.8</v>
      </c>
      <c r="F2619" s="56" t="n">
        <v>0</v>
      </c>
      <c r="G2619" s="56" t="n">
        <v>3.4</v>
      </c>
      <c r="H2619" s="56" t="n">
        <v>0</v>
      </c>
      <c r="I2619" s="56" t="n">
        <v>6.5</v>
      </c>
      <c r="J2619" s="56" t="n">
        <v>0</v>
      </c>
      <c r="K2619" s="56" t="n">
        <v>1008.5</v>
      </c>
      <c r="L2619" s="56" t="n">
        <v>0</v>
      </c>
      <c r="M2619" s="56" t="n">
        <v>78</v>
      </c>
      <c r="N2619" s="56" t="n">
        <v>0.1</v>
      </c>
      <c r="O2619" s="56" t="n">
        <f aca="false">IF(D2619=1,"",E2618)</f>
        <v>9.6</v>
      </c>
      <c r="P2619" s="56" t="n">
        <f aca="false">IF(OR(D2619=1,K2618=""),"",K2618)</f>
        <v>1015.5</v>
      </c>
      <c r="Q2619" s="56" t="n">
        <f aca="false">IF(OR(F2619&lt;&gt;0,AND(I2619&lt;&gt;"",E2619&lt;I2619)),1,0)</f>
        <v>0</v>
      </c>
      <c r="R2619" s="56" t="n">
        <f aca="false">IF(AND(D2619&gt;1,Q2619=0,ISNUMBER(O2619),ISNUMBER(P2619)),IF(Q2618=0,1,0),0)</f>
        <v>1</v>
      </c>
      <c r="S2619" s="56" t="n">
        <f aca="false">R2619*(B2619&gt;=Train_Start)*(B2619&lt;=Train_End)</f>
        <v>1</v>
      </c>
      <c r="T2619" s="84" t="n">
        <f aca="false">IF(AND(ISNUMBER(O2619),ISNUMBER(P2619)),Coef_A+Coef_B1*O2619+Coef_B2*P2619,"")</f>
        <v>11.8087596760214</v>
      </c>
      <c r="U2619" s="84" t="n">
        <f aca="false">IF(AND(R2619=1,ISNUMBER(T2619)),E2619-T2619,"")</f>
        <v>-2.00875967602144</v>
      </c>
      <c r="V2619" s="84" t="n">
        <f aca="false">IF(ISNUMBER(T2619),T2619,-99)</f>
        <v>11.8087596760214</v>
      </c>
      <c r="W2619" s="84" t="n">
        <f aca="false">IF(ISNUMBER(U2619),ABS(U2619),"")</f>
        <v>2.00875967602144</v>
      </c>
    </row>
    <row r="2620" customFormat="false" ht="15" hidden="false" customHeight="false" outlineLevel="0" collapsed="false">
      <c r="A2620" s="57" t="n">
        <v>35203</v>
      </c>
      <c r="B2620" s="56" t="n">
        <v>1996</v>
      </c>
      <c r="C2620" s="56" t="n">
        <v>5</v>
      </c>
      <c r="D2620" s="56" t="n">
        <v>18</v>
      </c>
      <c r="E2620" s="56" t="n">
        <v>13.4</v>
      </c>
      <c r="F2620" s="56" t="n">
        <v>0</v>
      </c>
      <c r="G2620" s="56" t="n">
        <v>4.4</v>
      </c>
      <c r="H2620" s="56" t="n">
        <v>0</v>
      </c>
      <c r="I2620" s="56" t="n">
        <v>7.1</v>
      </c>
      <c r="J2620" s="56" t="n">
        <v>0</v>
      </c>
      <c r="K2620" s="56" t="n">
        <v>1003.4</v>
      </c>
      <c r="L2620" s="56" t="n">
        <v>0</v>
      </c>
      <c r="M2620" s="56" t="n">
        <v>88</v>
      </c>
      <c r="N2620" s="56" t="n">
        <v>0</v>
      </c>
      <c r="O2620" s="56" t="n">
        <f aca="false">IF(D2620=1,"",E2619)</f>
        <v>9.8</v>
      </c>
      <c r="P2620" s="56" t="n">
        <f aca="false">IF(OR(D2620=1,K2619=""),"",K2619)</f>
        <v>1008.5</v>
      </c>
      <c r="Q2620" s="56" t="n">
        <f aca="false">IF(OR(F2620&lt;&gt;0,AND(I2620&lt;&gt;"",E2620&lt;I2620)),1,0)</f>
        <v>0</v>
      </c>
      <c r="R2620" s="56" t="n">
        <f aca="false">IF(AND(D2620&gt;1,Q2620=0,ISNUMBER(O2620),ISNUMBER(P2620)),IF(Q2619=0,1,0),0)</f>
        <v>1</v>
      </c>
      <c r="S2620" s="56" t="n">
        <f aca="false">R2620*(B2620&gt;=Train_Start)*(B2620&lt;=Train_End)</f>
        <v>1</v>
      </c>
      <c r="T2620" s="84" t="n">
        <f aca="false">IF(AND(ISNUMBER(O2620),ISNUMBER(P2620)),Coef_A+Coef_B1*O2620+Coef_B2*P2620,"")</f>
        <v>11.753038252192</v>
      </c>
      <c r="U2620" s="84" t="n">
        <f aca="false">IF(AND(R2620=1,ISNUMBER(T2620)),E2620-T2620,"")</f>
        <v>1.64696174780796</v>
      </c>
      <c r="V2620" s="84" t="n">
        <f aca="false">IF(ISNUMBER(T2620),T2620,-99)</f>
        <v>11.753038252192</v>
      </c>
      <c r="W2620" s="84" t="n">
        <f aca="false">IF(ISNUMBER(U2620),ABS(U2620),"")</f>
        <v>1.64696174780796</v>
      </c>
    </row>
    <row r="2621" customFormat="false" ht="15" hidden="false" customHeight="false" outlineLevel="0" collapsed="false">
      <c r="A2621" s="57" t="n">
        <v>35204</v>
      </c>
      <c r="B2621" s="56" t="n">
        <v>1996</v>
      </c>
      <c r="C2621" s="56" t="n">
        <v>5</v>
      </c>
      <c r="D2621" s="56" t="n">
        <v>19</v>
      </c>
      <c r="E2621" s="56" t="n">
        <v>15.6</v>
      </c>
      <c r="F2621" s="56" t="n">
        <v>0</v>
      </c>
      <c r="G2621" s="56" t="n">
        <v>5.4</v>
      </c>
      <c r="H2621" s="56" t="n">
        <v>0</v>
      </c>
      <c r="I2621" s="56" t="n">
        <v>9.4</v>
      </c>
      <c r="J2621" s="56" t="n">
        <v>0</v>
      </c>
      <c r="K2621" s="56" t="n">
        <v>999.4</v>
      </c>
      <c r="L2621" s="56" t="n">
        <v>0</v>
      </c>
      <c r="M2621" s="56" t="n">
        <v>74</v>
      </c>
      <c r="N2621" s="56" t="n">
        <v>3</v>
      </c>
      <c r="O2621" s="56" t="n">
        <f aca="false">IF(D2621=1,"",E2620)</f>
        <v>13.4</v>
      </c>
      <c r="P2621" s="56" t="n">
        <f aca="false">IF(OR(D2621=1,K2620=""),"",K2620)</f>
        <v>1003.4</v>
      </c>
      <c r="Q2621" s="56" t="n">
        <f aca="false">IF(OR(F2621&lt;&gt;0,AND(I2621&lt;&gt;"",E2621&lt;I2621)),1,0)</f>
        <v>0</v>
      </c>
      <c r="R2621" s="56" t="n">
        <f aca="false">IF(AND(D2621&gt;1,Q2621=0,ISNUMBER(O2621),ISNUMBER(P2621)),IF(Q2620=0,1,0),0)</f>
        <v>1</v>
      </c>
      <c r="S2621" s="56" t="n">
        <f aca="false">R2621*(B2621&gt;=Train_Start)*(B2621&lt;=Train_End)</f>
        <v>1</v>
      </c>
      <c r="T2621" s="84" t="n">
        <f aca="false">IF(AND(ISNUMBER(O2621),ISNUMBER(P2621)),Coef_A+Coef_B1*O2621+Coef_B2*P2621,"")</f>
        <v>14.5426728845123</v>
      </c>
      <c r="U2621" s="84" t="n">
        <f aca="false">IF(AND(R2621=1,ISNUMBER(T2621)),E2621-T2621,"")</f>
        <v>1.05732711548773</v>
      </c>
      <c r="V2621" s="84" t="n">
        <f aca="false">IF(ISNUMBER(T2621),T2621,-99)</f>
        <v>14.5426728845123</v>
      </c>
      <c r="W2621" s="84" t="n">
        <f aca="false">IF(ISNUMBER(U2621),ABS(U2621),"")</f>
        <v>1.05732711548773</v>
      </c>
    </row>
    <row r="2622" customFormat="false" ht="15" hidden="false" customHeight="false" outlineLevel="0" collapsed="false">
      <c r="A2622" s="57" t="n">
        <v>35205</v>
      </c>
      <c r="B2622" s="56" t="n">
        <v>1996</v>
      </c>
      <c r="C2622" s="56" t="n">
        <v>5</v>
      </c>
      <c r="D2622" s="56" t="n">
        <v>20</v>
      </c>
      <c r="E2622" s="56" t="n">
        <v>17</v>
      </c>
      <c r="F2622" s="56" t="n">
        <v>0</v>
      </c>
      <c r="G2622" s="56" t="n">
        <v>5.3</v>
      </c>
      <c r="H2622" s="56" t="n">
        <v>0</v>
      </c>
      <c r="I2622" s="56" t="n">
        <v>10.4</v>
      </c>
      <c r="J2622" s="56" t="n">
        <v>0</v>
      </c>
      <c r="K2622" s="56" t="n">
        <v>1012.1</v>
      </c>
      <c r="L2622" s="56" t="n">
        <v>0</v>
      </c>
      <c r="M2622" s="56" t="n">
        <v>66</v>
      </c>
      <c r="N2622" s="56" t="n">
        <v>9.8</v>
      </c>
      <c r="O2622" s="56" t="n">
        <f aca="false">IF(D2622=1,"",E2621)</f>
        <v>15.6</v>
      </c>
      <c r="P2622" s="56" t="n">
        <f aca="false">IF(OR(D2622=1,K2621=""),"",K2621)</f>
        <v>999.4</v>
      </c>
      <c r="Q2622" s="56" t="n">
        <f aca="false">IF(OR(F2622&lt;&gt;0,AND(I2622&lt;&gt;"",E2622&lt;I2622)),1,0)</f>
        <v>0</v>
      </c>
      <c r="R2622" s="56" t="n">
        <f aca="false">IF(AND(D2622&gt;1,Q2622=0,ISNUMBER(O2622),ISNUMBER(P2622)),IF(Q2621=0,1,0),0)</f>
        <v>1</v>
      </c>
      <c r="S2622" s="56" t="n">
        <f aca="false">R2622*(B2622&gt;=Train_Start)*(B2622&lt;=Train_End)</f>
        <v>1</v>
      </c>
      <c r="T2622" s="84" t="n">
        <f aca="false">IF(AND(ISNUMBER(O2622),ISNUMBER(P2622)),Coef_A+Coef_B1*O2622+Coef_B2*P2622,"")</f>
        <v>16.2197395306702</v>
      </c>
      <c r="U2622" s="84" t="n">
        <f aca="false">IF(AND(R2622=1,ISNUMBER(T2622)),E2622-T2622,"")</f>
        <v>0.780260469329846</v>
      </c>
      <c r="V2622" s="84" t="n">
        <f aca="false">IF(ISNUMBER(T2622),T2622,-99)</f>
        <v>16.2197395306702</v>
      </c>
      <c r="W2622" s="84" t="n">
        <f aca="false">IF(ISNUMBER(U2622),ABS(U2622),"")</f>
        <v>0.780260469329846</v>
      </c>
    </row>
    <row r="2623" customFormat="false" ht="15" hidden="false" customHeight="false" outlineLevel="0" collapsed="false">
      <c r="A2623" s="57" t="n">
        <v>35206</v>
      </c>
      <c r="B2623" s="56" t="n">
        <v>1996</v>
      </c>
      <c r="C2623" s="56" t="n">
        <v>5</v>
      </c>
      <c r="D2623" s="56" t="n">
        <v>21</v>
      </c>
      <c r="E2623" s="56" t="n">
        <v>14.5</v>
      </c>
      <c r="F2623" s="56" t="n">
        <v>0</v>
      </c>
      <c r="G2623" s="56" t="n">
        <v>6.8</v>
      </c>
      <c r="H2623" s="56" t="n">
        <v>0</v>
      </c>
      <c r="I2623" s="56" t="n">
        <v>11.9</v>
      </c>
      <c r="J2623" s="56" t="n">
        <v>0</v>
      </c>
      <c r="K2623" s="56" t="n">
        <v>1017.5</v>
      </c>
      <c r="L2623" s="56" t="n">
        <v>0</v>
      </c>
      <c r="M2623" s="56" t="n">
        <v>65</v>
      </c>
      <c r="N2623" s="56" t="n">
        <v>9.3</v>
      </c>
      <c r="O2623" s="56" t="n">
        <f aca="false">IF(D2623=1,"",E2622)</f>
        <v>17</v>
      </c>
      <c r="P2623" s="56" t="n">
        <f aca="false">IF(OR(D2623=1,K2622=""),"",K2622)</f>
        <v>1012.1</v>
      </c>
      <c r="Q2623" s="56" t="n">
        <f aca="false">IF(OR(F2623&lt;&gt;0,AND(I2623&lt;&gt;"",E2623&lt;I2623)),1,0)</f>
        <v>0</v>
      </c>
      <c r="R2623" s="56" t="n">
        <f aca="false">IF(AND(D2623&gt;1,Q2623=0,ISNUMBER(O2623),ISNUMBER(P2623)),IF(Q2622=0,1,0),0)</f>
        <v>1</v>
      </c>
      <c r="S2623" s="56" t="n">
        <f aca="false">R2623*(B2623&gt;=Train_Start)*(B2623&lt;=Train_End)</f>
        <v>1</v>
      </c>
      <c r="T2623" s="84" t="n">
        <f aca="false">IF(AND(ISNUMBER(O2623),ISNUMBER(P2623)),Coef_A+Coef_B1*O2623+Coef_B2*P2623,"")</f>
        <v>17.7652120627815</v>
      </c>
      <c r="U2623" s="84" t="n">
        <f aca="false">IF(AND(R2623=1,ISNUMBER(T2623)),E2623-T2623,"")</f>
        <v>-3.26521206278154</v>
      </c>
      <c r="V2623" s="84" t="n">
        <f aca="false">IF(ISNUMBER(T2623),T2623,-99)</f>
        <v>17.7652120627815</v>
      </c>
      <c r="W2623" s="84" t="n">
        <f aca="false">IF(ISNUMBER(U2623),ABS(U2623),"")</f>
        <v>3.26521206278154</v>
      </c>
    </row>
    <row r="2624" customFormat="false" ht="15" hidden="false" customHeight="false" outlineLevel="0" collapsed="false">
      <c r="A2624" s="57" t="n">
        <v>35207</v>
      </c>
      <c r="B2624" s="56" t="n">
        <v>1996</v>
      </c>
      <c r="C2624" s="56" t="n">
        <v>5</v>
      </c>
      <c r="D2624" s="56" t="n">
        <v>22</v>
      </c>
      <c r="E2624" s="56" t="n">
        <v>17.2</v>
      </c>
      <c r="F2624" s="56" t="n">
        <v>0</v>
      </c>
      <c r="G2624" s="56" t="n">
        <v>9.2</v>
      </c>
      <c r="H2624" s="56" t="n">
        <v>0</v>
      </c>
      <c r="I2624" s="56" t="n">
        <v>11.8</v>
      </c>
      <c r="J2624" s="56" t="n">
        <v>0</v>
      </c>
      <c r="K2624" s="56" t="n">
        <v>1015.7</v>
      </c>
      <c r="L2624" s="56" t="n">
        <v>0</v>
      </c>
      <c r="M2624" s="56" t="n">
        <v>86</v>
      </c>
      <c r="N2624" s="56" t="n">
        <v>0</v>
      </c>
      <c r="O2624" s="56" t="n">
        <f aca="false">IF(D2624=1,"",E2623)</f>
        <v>14.5</v>
      </c>
      <c r="P2624" s="56" t="n">
        <f aca="false">IF(OR(D2624=1,K2623=""),"",K2623)</f>
        <v>1017.5</v>
      </c>
      <c r="Q2624" s="56" t="n">
        <f aca="false">IF(OR(F2624&lt;&gt;0,AND(I2624&lt;&gt;"",E2624&lt;I2624)),1,0)</f>
        <v>0</v>
      </c>
      <c r="R2624" s="56" t="n">
        <f aca="false">IF(AND(D2624&gt;1,Q2624=0,ISNUMBER(O2624),ISNUMBER(P2624)),IF(Q2623=0,1,0),0)</f>
        <v>1</v>
      </c>
      <c r="S2624" s="56" t="n">
        <f aca="false">R2624*(B2624&gt;=Train_Start)*(B2624&lt;=Train_End)</f>
        <v>1</v>
      </c>
      <c r="T2624" s="84" t="n">
        <f aca="false">IF(AND(ISNUMBER(O2624),ISNUMBER(P2624)),Coef_A+Coef_B1*O2624+Coef_B2*P2624,"")</f>
        <v>15.8862615111984</v>
      </c>
      <c r="U2624" s="84" t="n">
        <f aca="false">IF(AND(R2624=1,ISNUMBER(T2624)),E2624-T2624,"")</f>
        <v>1.31373848880156</v>
      </c>
      <c r="V2624" s="84" t="n">
        <f aca="false">IF(ISNUMBER(T2624),T2624,-99)</f>
        <v>15.8862615111984</v>
      </c>
      <c r="W2624" s="84" t="n">
        <f aca="false">IF(ISNUMBER(U2624),ABS(U2624),"")</f>
        <v>1.31373848880156</v>
      </c>
    </row>
    <row r="2625" customFormat="false" ht="15" hidden="false" customHeight="false" outlineLevel="0" collapsed="false">
      <c r="A2625" s="57" t="n">
        <v>35208</v>
      </c>
      <c r="B2625" s="56" t="n">
        <v>1996</v>
      </c>
      <c r="C2625" s="56" t="n">
        <v>5</v>
      </c>
      <c r="D2625" s="56" t="n">
        <v>23</v>
      </c>
      <c r="E2625" s="56" t="n">
        <v>14.4</v>
      </c>
      <c r="F2625" s="56" t="n">
        <v>0</v>
      </c>
      <c r="G2625" s="56" t="n">
        <v>10</v>
      </c>
      <c r="H2625" s="56" t="n">
        <v>0</v>
      </c>
      <c r="I2625" s="56" t="n">
        <v>13.6</v>
      </c>
      <c r="J2625" s="56" t="n">
        <v>0</v>
      </c>
      <c r="K2625" s="56" t="n">
        <v>1013.1</v>
      </c>
      <c r="L2625" s="56" t="n">
        <v>0</v>
      </c>
      <c r="M2625" s="56" t="n">
        <v>80</v>
      </c>
      <c r="N2625" s="56" t="n">
        <v>3.5</v>
      </c>
      <c r="O2625" s="56" t="n">
        <f aca="false">IF(D2625=1,"",E2624)</f>
        <v>17.2</v>
      </c>
      <c r="P2625" s="56" t="n">
        <f aca="false">IF(OR(D2625=1,K2624=""),"",K2624)</f>
        <v>1015.7</v>
      </c>
      <c r="Q2625" s="56" t="n">
        <f aca="false">IF(OR(F2625&lt;&gt;0,AND(I2625&lt;&gt;"",E2625&lt;I2625)),1,0)</f>
        <v>0</v>
      </c>
      <c r="R2625" s="56" t="n">
        <f aca="false">IF(AND(D2625&gt;1,Q2625=0,ISNUMBER(O2625),ISNUMBER(P2625)),IF(Q2624=0,1,0),0)</f>
        <v>1</v>
      </c>
      <c r="S2625" s="56" t="n">
        <f aca="false">R2625*(B2625&gt;=Train_Start)*(B2625&lt;=Train_End)</f>
        <v>1</v>
      </c>
      <c r="T2625" s="84" t="n">
        <f aca="false">IF(AND(ISNUMBER(O2625),ISNUMBER(P2625)),Coef_A+Coef_B1*O2625+Coef_B2*P2625,"")</f>
        <v>18.0420115220724</v>
      </c>
      <c r="U2625" s="84" t="n">
        <f aca="false">IF(AND(R2625=1,ISNUMBER(T2625)),E2625-T2625,"")</f>
        <v>-3.64201152207244</v>
      </c>
      <c r="V2625" s="84" t="n">
        <f aca="false">IF(ISNUMBER(T2625),T2625,-99)</f>
        <v>18.0420115220724</v>
      </c>
      <c r="W2625" s="84" t="n">
        <f aca="false">IF(ISNUMBER(U2625),ABS(U2625),"")</f>
        <v>3.64201152207244</v>
      </c>
    </row>
    <row r="2626" customFormat="false" ht="15" hidden="false" customHeight="false" outlineLevel="0" collapsed="false">
      <c r="A2626" s="57" t="n">
        <v>35209</v>
      </c>
      <c r="B2626" s="56" t="n">
        <v>1996</v>
      </c>
      <c r="C2626" s="56" t="n">
        <v>5</v>
      </c>
      <c r="D2626" s="56" t="n">
        <v>24</v>
      </c>
      <c r="E2626" s="56" t="n">
        <v>18.5</v>
      </c>
      <c r="F2626" s="56" t="n">
        <v>0</v>
      </c>
      <c r="G2626" s="56" t="n">
        <v>11.3</v>
      </c>
      <c r="H2626" s="56" t="n">
        <v>0</v>
      </c>
      <c r="I2626" s="56" t="n">
        <v>12.8</v>
      </c>
      <c r="J2626" s="56" t="n">
        <v>0</v>
      </c>
      <c r="K2626" s="56" t="n">
        <v>1007</v>
      </c>
      <c r="L2626" s="56" t="n">
        <v>0</v>
      </c>
      <c r="M2626" s="56" t="n">
        <v>90</v>
      </c>
      <c r="N2626" s="56" t="n">
        <v>0</v>
      </c>
      <c r="O2626" s="56" t="n">
        <f aca="false">IF(D2626=1,"",E2625)</f>
        <v>14.4</v>
      </c>
      <c r="P2626" s="56" t="n">
        <f aca="false">IF(OR(D2626=1,K2625=""),"",K2625)</f>
        <v>1013.1</v>
      </c>
      <c r="Q2626" s="56" t="n">
        <f aca="false">IF(OR(F2626&lt;&gt;0,AND(I2626&lt;&gt;"",E2626&lt;I2626)),1,0)</f>
        <v>0</v>
      </c>
      <c r="R2626" s="56" t="n">
        <f aca="false">IF(AND(D2626&gt;1,Q2626=0,ISNUMBER(O2626),ISNUMBER(P2626)),IF(Q2625=0,1,0),0)</f>
        <v>1</v>
      </c>
      <c r="S2626" s="56" t="n">
        <f aca="false">R2626*(B2626&gt;=Train_Start)*(B2626&lt;=Train_End)</f>
        <v>1</v>
      </c>
      <c r="T2626" s="84" t="n">
        <f aca="false">IF(AND(ISNUMBER(O2626),ISNUMBER(P2626)),Coef_A+Coef_B1*O2626+Coef_B2*P2626,"")</f>
        <v>15.6663000555046</v>
      </c>
      <c r="U2626" s="84" t="n">
        <f aca="false">IF(AND(R2626=1,ISNUMBER(T2626)),E2626-T2626,"")</f>
        <v>2.83369994449538</v>
      </c>
      <c r="V2626" s="84" t="n">
        <f aca="false">IF(ISNUMBER(T2626),T2626,-99)</f>
        <v>15.6663000555046</v>
      </c>
      <c r="W2626" s="84" t="n">
        <f aca="false">IF(ISNUMBER(U2626),ABS(U2626),"")</f>
        <v>2.83369994449538</v>
      </c>
    </row>
    <row r="2627" customFormat="false" ht="15" hidden="false" customHeight="false" outlineLevel="0" collapsed="false">
      <c r="A2627" s="57" t="n">
        <v>35210</v>
      </c>
      <c r="B2627" s="56" t="n">
        <v>1996</v>
      </c>
      <c r="C2627" s="56" t="n">
        <v>5</v>
      </c>
      <c r="D2627" s="56" t="n">
        <v>25</v>
      </c>
      <c r="E2627" s="56" t="n">
        <v>15.8</v>
      </c>
      <c r="F2627" s="56" t="n">
        <v>0</v>
      </c>
      <c r="G2627" s="56" t="n">
        <v>6.6</v>
      </c>
      <c r="H2627" s="56" t="n">
        <v>0</v>
      </c>
      <c r="I2627" s="56" t="n">
        <v>12.6</v>
      </c>
      <c r="J2627" s="56" t="n">
        <v>0</v>
      </c>
      <c r="K2627" s="56" t="n">
        <v>1008.6</v>
      </c>
      <c r="L2627" s="56" t="n">
        <v>0</v>
      </c>
      <c r="M2627" s="56" t="n">
        <v>71</v>
      </c>
      <c r="N2627" s="56" t="n">
        <v>8.2</v>
      </c>
      <c r="O2627" s="56" t="n">
        <f aca="false">IF(D2627=1,"",E2626)</f>
        <v>18.5</v>
      </c>
      <c r="P2627" s="56" t="n">
        <f aca="false">IF(OR(D2627=1,K2626=""),"",K2626)</f>
        <v>1007</v>
      </c>
      <c r="Q2627" s="56" t="n">
        <f aca="false">IF(OR(F2627&lt;&gt;0,AND(I2627&lt;&gt;"",E2627&lt;I2627)),1,0)</f>
        <v>0</v>
      </c>
      <c r="R2627" s="56" t="n">
        <f aca="false">IF(AND(D2627&gt;1,Q2627=0,ISNUMBER(O2627),ISNUMBER(P2627)),IF(Q2626=0,1,0),0)</f>
        <v>1</v>
      </c>
      <c r="S2627" s="56" t="n">
        <f aca="false">R2627*(B2627&gt;=Train_Start)*(B2627&lt;=Train_End)</f>
        <v>1</v>
      </c>
      <c r="T2627" s="84" t="n">
        <f aca="false">IF(AND(ISNUMBER(O2627),ISNUMBER(P2627)),Coef_A+Coef_B1*O2627+Coef_B2*P2627,"")</f>
        <v>18.8342343897122</v>
      </c>
      <c r="U2627" s="84" t="n">
        <f aca="false">IF(AND(R2627=1,ISNUMBER(T2627)),E2627-T2627,"")</f>
        <v>-3.03423438971218</v>
      </c>
      <c r="V2627" s="84" t="n">
        <f aca="false">IF(ISNUMBER(T2627),T2627,-99)</f>
        <v>18.8342343897122</v>
      </c>
      <c r="W2627" s="84" t="n">
        <f aca="false">IF(ISNUMBER(U2627),ABS(U2627),"")</f>
        <v>3.03423438971218</v>
      </c>
    </row>
    <row r="2628" customFormat="false" ht="15" hidden="false" customHeight="false" outlineLevel="0" collapsed="false">
      <c r="A2628" s="57" t="n">
        <v>35211</v>
      </c>
      <c r="B2628" s="56" t="n">
        <v>1996</v>
      </c>
      <c r="C2628" s="56" t="n">
        <v>5</v>
      </c>
      <c r="D2628" s="56" t="n">
        <v>26</v>
      </c>
      <c r="E2628" s="56" t="n">
        <v>16.5</v>
      </c>
      <c r="F2628" s="56" t="n">
        <v>0</v>
      </c>
      <c r="G2628" s="56" t="n">
        <v>7</v>
      </c>
      <c r="H2628" s="56" t="n">
        <v>0</v>
      </c>
      <c r="I2628" s="56" t="n">
        <v>11.4</v>
      </c>
      <c r="J2628" s="56" t="n">
        <v>0</v>
      </c>
      <c r="K2628" s="56" t="n">
        <v>1010.1</v>
      </c>
      <c r="L2628" s="56" t="n">
        <v>0</v>
      </c>
      <c r="M2628" s="56" t="n">
        <v>85</v>
      </c>
      <c r="N2628" s="56" t="n">
        <v>0.2</v>
      </c>
      <c r="O2628" s="56" t="n">
        <f aca="false">IF(D2628=1,"",E2627)</f>
        <v>15.8</v>
      </c>
      <c r="P2628" s="56" t="n">
        <f aca="false">IF(OR(D2628=1,K2627=""),"",K2627)</f>
        <v>1008.6</v>
      </c>
      <c r="Q2628" s="56" t="n">
        <f aca="false">IF(OR(F2628&lt;&gt;0,AND(I2628&lt;&gt;"",E2628&lt;I2628)),1,0)</f>
        <v>0</v>
      </c>
      <c r="R2628" s="56" t="n">
        <f aca="false">IF(AND(D2628&gt;1,Q2628=0,ISNUMBER(O2628),ISNUMBER(P2628)),IF(Q2627=0,1,0),0)</f>
        <v>1</v>
      </c>
      <c r="S2628" s="56" t="n">
        <f aca="false">R2628*(B2628&gt;=Train_Start)*(B2628&lt;=Train_End)</f>
        <v>1</v>
      </c>
      <c r="T2628" s="84" t="n">
        <f aca="false">IF(AND(ISNUMBER(O2628),ISNUMBER(P2628)),Coef_A+Coef_B1*O2628+Coef_B2*P2628,"")</f>
        <v>16.6722103999114</v>
      </c>
      <c r="U2628" s="84" t="n">
        <f aca="false">IF(AND(R2628=1,ISNUMBER(T2628)),E2628-T2628,"")</f>
        <v>-0.172210399911393</v>
      </c>
      <c r="V2628" s="84" t="n">
        <f aca="false">IF(ISNUMBER(T2628),T2628,-99)</f>
        <v>16.6722103999114</v>
      </c>
      <c r="W2628" s="84" t="n">
        <f aca="false">IF(ISNUMBER(U2628),ABS(U2628),"")</f>
        <v>0.172210399911393</v>
      </c>
    </row>
    <row r="2629" customFormat="false" ht="15" hidden="false" customHeight="false" outlineLevel="0" collapsed="false">
      <c r="A2629" s="57" t="n">
        <v>35212</v>
      </c>
      <c r="B2629" s="56" t="n">
        <v>1996</v>
      </c>
      <c r="C2629" s="56" t="n">
        <v>5</v>
      </c>
      <c r="D2629" s="56" t="n">
        <v>27</v>
      </c>
      <c r="E2629" s="56" t="n">
        <v>17.3</v>
      </c>
      <c r="F2629" s="56" t="n">
        <v>0</v>
      </c>
      <c r="G2629" s="56" t="n">
        <v>10.6</v>
      </c>
      <c r="H2629" s="56" t="n">
        <v>0</v>
      </c>
      <c r="I2629" s="56" t="n">
        <v>13.6</v>
      </c>
      <c r="J2629" s="56" t="n">
        <v>0</v>
      </c>
      <c r="K2629" s="56" t="n">
        <v>1012.9</v>
      </c>
      <c r="L2629" s="56" t="n">
        <v>0</v>
      </c>
      <c r="M2629" s="56" t="n">
        <v>82</v>
      </c>
      <c r="N2629" s="56" t="n">
        <v>2.3</v>
      </c>
      <c r="O2629" s="56" t="n">
        <f aca="false">IF(D2629=1,"",E2628)</f>
        <v>16.5</v>
      </c>
      <c r="P2629" s="56" t="n">
        <f aca="false">IF(OR(D2629=1,K2628=""),"",K2628)</f>
        <v>1010.1</v>
      </c>
      <c r="Q2629" s="56" t="n">
        <f aca="false">IF(OR(F2629&lt;&gt;0,AND(I2629&lt;&gt;"",E2629&lt;I2629)),1,0)</f>
        <v>0</v>
      </c>
      <c r="R2629" s="56" t="n">
        <f aca="false">IF(AND(D2629&gt;1,Q2629=0,ISNUMBER(O2629),ISNUMBER(P2629)),IF(Q2628=0,1,0),0)</f>
        <v>1</v>
      </c>
      <c r="S2629" s="56" t="n">
        <f aca="false">R2629*(B2629&gt;=Train_Start)*(B2629&lt;=Train_End)</f>
        <v>1</v>
      </c>
      <c r="T2629" s="84" t="n">
        <f aca="false">IF(AND(ISNUMBER(O2629),ISNUMBER(P2629)),Coef_A+Coef_B1*O2629+Coef_B2*P2629,"")</f>
        <v>17.2928026769922</v>
      </c>
      <c r="U2629" s="84" t="n">
        <f aca="false">IF(AND(R2629=1,ISNUMBER(T2629)),E2629-T2629,"")</f>
        <v>0.00719732300776954</v>
      </c>
      <c r="V2629" s="84" t="n">
        <f aca="false">IF(ISNUMBER(T2629),T2629,-99)</f>
        <v>17.2928026769922</v>
      </c>
      <c r="W2629" s="84" t="n">
        <f aca="false">IF(ISNUMBER(U2629),ABS(U2629),"")</f>
        <v>0.00719732300776954</v>
      </c>
    </row>
    <row r="2630" customFormat="false" ht="15" hidden="false" customHeight="false" outlineLevel="0" collapsed="false">
      <c r="A2630" s="57" t="n">
        <v>35213</v>
      </c>
      <c r="B2630" s="56" t="n">
        <v>1996</v>
      </c>
      <c r="C2630" s="56" t="n">
        <v>5</v>
      </c>
      <c r="D2630" s="56" t="n">
        <v>28</v>
      </c>
      <c r="E2630" s="56" t="n">
        <v>21.1</v>
      </c>
      <c r="F2630" s="56" t="n">
        <v>0</v>
      </c>
      <c r="G2630" s="56" t="n">
        <v>4.5</v>
      </c>
      <c r="H2630" s="56" t="n">
        <v>0</v>
      </c>
      <c r="I2630" s="56" t="n">
        <v>10.9</v>
      </c>
      <c r="J2630" s="56" t="n">
        <v>0</v>
      </c>
      <c r="K2630" s="56" t="n">
        <v>1024.1</v>
      </c>
      <c r="L2630" s="56" t="n">
        <v>0</v>
      </c>
      <c r="M2630" s="56" t="n">
        <v>78</v>
      </c>
      <c r="N2630" s="56" t="n">
        <v>2</v>
      </c>
      <c r="O2630" s="56" t="n">
        <f aca="false">IF(D2630=1,"",E2629)</f>
        <v>17.3</v>
      </c>
      <c r="P2630" s="56" t="n">
        <f aca="false">IF(OR(D2630=1,K2629=""),"",K2629)</f>
        <v>1012.9</v>
      </c>
      <c r="Q2630" s="56" t="n">
        <f aca="false">IF(OR(F2630&lt;&gt;0,AND(I2630&lt;&gt;"",E2630&lt;I2630)),1,0)</f>
        <v>0</v>
      </c>
      <c r="R2630" s="56" t="n">
        <f aca="false">IF(AND(D2630&gt;1,Q2630=0,ISNUMBER(O2630),ISNUMBER(P2630)),IF(Q2629=0,1,0),0)</f>
        <v>1</v>
      </c>
      <c r="S2630" s="56" t="n">
        <f aca="false">R2630*(B2630&gt;=Train_Start)*(B2630&lt;=Train_End)</f>
        <v>1</v>
      </c>
      <c r="T2630" s="84" t="n">
        <f aca="false">IF(AND(ISNUMBER(O2630),ISNUMBER(P2630)),Coef_A+Coef_B1*O2630+Coef_B2*P2630,"")</f>
        <v>18.0361097364015</v>
      </c>
      <c r="U2630" s="84" t="n">
        <f aca="false">IF(AND(R2630=1,ISNUMBER(T2630)),E2630-T2630,"")</f>
        <v>3.06389026359847</v>
      </c>
      <c r="V2630" s="84" t="n">
        <f aca="false">IF(ISNUMBER(T2630),T2630,-99)</f>
        <v>18.0361097364015</v>
      </c>
      <c r="W2630" s="84" t="n">
        <f aca="false">IF(ISNUMBER(U2630),ABS(U2630),"")</f>
        <v>3.06389026359847</v>
      </c>
    </row>
    <row r="2631" customFormat="false" ht="15" hidden="false" customHeight="false" outlineLevel="0" collapsed="false">
      <c r="A2631" s="57" t="n">
        <v>35214</v>
      </c>
      <c r="B2631" s="56" t="n">
        <v>1996</v>
      </c>
      <c r="C2631" s="56" t="n">
        <v>5</v>
      </c>
      <c r="D2631" s="56" t="n">
        <v>29</v>
      </c>
      <c r="E2631" s="56" t="n">
        <v>26.1</v>
      </c>
      <c r="F2631" s="56" t="n">
        <v>0</v>
      </c>
      <c r="G2631" s="56" t="n">
        <v>12.3</v>
      </c>
      <c r="H2631" s="56" t="n">
        <v>0</v>
      </c>
      <c r="I2631" s="56" t="n">
        <v>16.7</v>
      </c>
      <c r="J2631" s="56" t="n">
        <v>0</v>
      </c>
      <c r="K2631" s="56" t="n">
        <v>1019.8</v>
      </c>
      <c r="L2631" s="56" t="n">
        <v>0</v>
      </c>
      <c r="M2631" s="56" t="n">
        <v>81</v>
      </c>
      <c r="N2631" s="56" t="n">
        <v>0.4</v>
      </c>
      <c r="O2631" s="56" t="n">
        <f aca="false">IF(D2631=1,"",E2630)</f>
        <v>21.1</v>
      </c>
      <c r="P2631" s="56" t="n">
        <f aca="false">IF(OR(D2631=1,K2630=""),"",K2630)</f>
        <v>1024.1</v>
      </c>
      <c r="Q2631" s="56" t="n">
        <f aca="false">IF(OR(F2631&lt;&gt;0,AND(I2631&lt;&gt;"",E2631&lt;I2631)),1,0)</f>
        <v>0</v>
      </c>
      <c r="R2631" s="56" t="n">
        <f aca="false">IF(AND(D2631&gt;1,Q2631=0,ISNUMBER(O2631),ISNUMBER(P2631)),IF(Q2630=0,1,0),0)</f>
        <v>1</v>
      </c>
      <c r="S2631" s="56" t="n">
        <f aca="false">R2631*(B2631&gt;=Train_Start)*(B2631&lt;=Train_End)</f>
        <v>1</v>
      </c>
      <c r="T2631" s="84" t="n">
        <f aca="false">IF(AND(ISNUMBER(O2631),ISNUMBER(P2631)),Coef_A+Coef_B1*O2631+Coef_B2*P2631,"")</f>
        <v>21.5009414898643</v>
      </c>
      <c r="U2631" s="84" t="n">
        <f aca="false">IF(AND(R2631=1,ISNUMBER(T2631)),E2631-T2631,"")</f>
        <v>4.5990585101357</v>
      </c>
      <c r="V2631" s="84" t="n">
        <f aca="false">IF(ISNUMBER(T2631),T2631,-99)</f>
        <v>21.5009414898643</v>
      </c>
      <c r="W2631" s="84" t="n">
        <f aca="false">IF(ISNUMBER(U2631),ABS(U2631),"")</f>
        <v>4.5990585101357</v>
      </c>
    </row>
    <row r="2632" customFormat="false" ht="15" hidden="false" customHeight="false" outlineLevel="0" collapsed="false">
      <c r="A2632" s="57" t="n">
        <v>35215</v>
      </c>
      <c r="B2632" s="56" t="n">
        <v>1996</v>
      </c>
      <c r="C2632" s="56" t="n">
        <v>5</v>
      </c>
      <c r="D2632" s="56" t="n">
        <v>30</v>
      </c>
      <c r="E2632" s="56" t="n">
        <v>20.5</v>
      </c>
      <c r="F2632" s="56" t="n">
        <v>0</v>
      </c>
      <c r="G2632" s="56" t="n">
        <v>12.8</v>
      </c>
      <c r="H2632" s="56" t="n">
        <v>0</v>
      </c>
      <c r="I2632" s="56" t="n">
        <v>19.4</v>
      </c>
      <c r="J2632" s="56" t="n">
        <v>0</v>
      </c>
      <c r="K2632" s="56" t="n">
        <v>1013.8</v>
      </c>
      <c r="L2632" s="56" t="n">
        <v>0</v>
      </c>
      <c r="M2632" s="56" t="n">
        <v>69</v>
      </c>
      <c r="N2632" s="56" t="n">
        <v>11.6</v>
      </c>
      <c r="O2632" s="56" t="n">
        <f aca="false">IF(D2632=1,"",E2631)</f>
        <v>26.1</v>
      </c>
      <c r="P2632" s="56" t="n">
        <f aca="false">IF(OR(D2632=1,K2631=""),"",K2631)</f>
        <v>1019.8</v>
      </c>
      <c r="Q2632" s="56" t="n">
        <f aca="false">IF(OR(F2632&lt;&gt;0,AND(I2632&lt;&gt;"",E2632&lt;I2632)),1,0)</f>
        <v>0</v>
      </c>
      <c r="R2632" s="56" t="n">
        <f aca="false">IF(AND(D2632&gt;1,Q2632=0,ISNUMBER(O2632),ISNUMBER(P2632)),IF(Q2631=0,1,0),0)</f>
        <v>1</v>
      </c>
      <c r="S2632" s="56" t="n">
        <f aca="false">R2632*(B2632&gt;=Train_Start)*(B2632&lt;=Train_End)</f>
        <v>1</v>
      </c>
      <c r="T2632" s="84" t="n">
        <f aca="false">IF(AND(ISNUMBER(O2632),ISNUMBER(P2632)),Coef_A+Coef_B1*O2632+Coef_B2*P2632,"")</f>
        <v>25.4627469081514</v>
      </c>
      <c r="U2632" s="84" t="n">
        <f aca="false">IF(AND(R2632=1,ISNUMBER(T2632)),E2632-T2632,"")</f>
        <v>-4.96274690815144</v>
      </c>
      <c r="V2632" s="84" t="n">
        <f aca="false">IF(ISNUMBER(T2632),T2632,-99)</f>
        <v>25.4627469081514</v>
      </c>
      <c r="W2632" s="84" t="n">
        <f aca="false">IF(ISNUMBER(U2632),ABS(U2632),"")</f>
        <v>4.96274690815144</v>
      </c>
    </row>
    <row r="2633" customFormat="false" ht="15" hidden="false" customHeight="false" outlineLevel="0" collapsed="false">
      <c r="A2633" s="57" t="n">
        <v>35216</v>
      </c>
      <c r="B2633" s="56" t="n">
        <v>1996</v>
      </c>
      <c r="C2633" s="56" t="n">
        <v>5</v>
      </c>
      <c r="D2633" s="56" t="n">
        <v>31</v>
      </c>
      <c r="E2633" s="56" t="n">
        <v>18.7</v>
      </c>
      <c r="F2633" s="56" t="n">
        <v>0</v>
      </c>
      <c r="G2633" s="56" t="n">
        <v>12.9</v>
      </c>
      <c r="H2633" s="56" t="n">
        <v>0</v>
      </c>
      <c r="I2633" s="56" t="n">
        <v>16.7</v>
      </c>
      <c r="J2633" s="56" t="n">
        <v>0</v>
      </c>
      <c r="K2633" s="56" t="n">
        <v>1016.4</v>
      </c>
      <c r="L2633" s="56" t="n">
        <v>0</v>
      </c>
      <c r="M2633" s="56" t="n">
        <v>61</v>
      </c>
      <c r="N2633" s="56" t="n">
        <v>12.6</v>
      </c>
      <c r="O2633" s="56" t="n">
        <f aca="false">IF(D2633=1,"",E2632)</f>
        <v>20.5</v>
      </c>
      <c r="P2633" s="56" t="n">
        <f aca="false">IF(OR(D2633=1,K2632=""),"",K2632)</f>
        <v>1013.8</v>
      </c>
      <c r="Q2633" s="56" t="n">
        <f aca="false">IF(OR(F2633&lt;&gt;0,AND(I2633&lt;&gt;"",E2633&lt;I2633)),1,0)</f>
        <v>0</v>
      </c>
      <c r="R2633" s="56" t="n">
        <f aca="false">IF(AND(D2633&gt;1,Q2633=0,ISNUMBER(O2633),ISNUMBER(P2633)),IF(Q2632=0,1,0),0)</f>
        <v>1</v>
      </c>
      <c r="S2633" s="56" t="n">
        <f aca="false">R2633*(B2633&gt;=Train_Start)*(B2633&lt;=Train_End)</f>
        <v>1</v>
      </c>
      <c r="T2633" s="84" t="n">
        <f aca="false">IF(AND(ISNUMBER(O2633),ISNUMBER(P2633)),Coef_A+Coef_B1*O2633+Coef_B2*P2633,"")</f>
        <v>20.6862280593086</v>
      </c>
      <c r="U2633" s="84" t="n">
        <f aca="false">IF(AND(R2633=1,ISNUMBER(T2633)),E2633-T2633,"")</f>
        <v>-1.98622805930862</v>
      </c>
      <c r="V2633" s="84" t="n">
        <f aca="false">IF(ISNUMBER(T2633),T2633,-99)</f>
        <v>20.6862280593086</v>
      </c>
      <c r="W2633" s="84" t="n">
        <f aca="false">IF(ISNUMBER(U2633),ABS(U2633),"")</f>
        <v>1.98622805930862</v>
      </c>
    </row>
    <row r="2634" customFormat="false" ht="15" hidden="false" customHeight="false" outlineLevel="0" collapsed="false">
      <c r="A2634" s="57" t="n">
        <v>35217</v>
      </c>
      <c r="B2634" s="56" t="n">
        <v>1996</v>
      </c>
      <c r="C2634" s="56" t="n">
        <v>6</v>
      </c>
      <c r="D2634" s="56" t="n">
        <v>32</v>
      </c>
      <c r="E2634" s="56" t="n">
        <v>19.4</v>
      </c>
      <c r="F2634" s="56" t="n">
        <v>0</v>
      </c>
      <c r="G2634" s="56" t="n">
        <v>9.4</v>
      </c>
      <c r="H2634" s="56" t="n">
        <v>0</v>
      </c>
      <c r="I2634" s="56" t="n">
        <v>14</v>
      </c>
      <c r="J2634" s="56" t="n">
        <v>0</v>
      </c>
      <c r="K2634" s="56" t="n">
        <v>1018.9</v>
      </c>
      <c r="L2634" s="56" t="n">
        <v>0</v>
      </c>
      <c r="M2634" s="56" t="n">
        <v>65</v>
      </c>
      <c r="N2634" s="56" t="n">
        <v>10.2</v>
      </c>
      <c r="O2634" s="56" t="n">
        <f aca="false">IF(D2634=1,"",E2633)</f>
        <v>18.7</v>
      </c>
      <c r="P2634" s="56" t="n">
        <f aca="false">IF(OR(D2634=1,K2633=""),"",K2633)</f>
        <v>1016.4</v>
      </c>
      <c r="Q2634" s="56" t="n">
        <f aca="false">IF(OR(F2634&lt;&gt;0,AND(I2634&lt;&gt;"",E2634&lt;I2634)),1,0)</f>
        <v>0</v>
      </c>
      <c r="R2634" s="56" t="n">
        <f aca="false">IF(AND(D2634&gt;1,Q2634=0,ISNUMBER(O2634),ISNUMBER(P2634)),IF(Q2633=0,1,0),0)</f>
        <v>1</v>
      </c>
      <c r="S2634" s="56" t="n">
        <f aca="false">R2634*(B2634&gt;=Train_Start)*(B2634&lt;=Train_End)</f>
        <v>1</v>
      </c>
      <c r="T2634" s="84" t="n">
        <f aca="false">IF(AND(ISNUMBER(O2634),ISNUMBER(P2634)),Coef_A+Coef_B1*O2634+Coef_B2*P2634,"")</f>
        <v>19.2929792378802</v>
      </c>
      <c r="U2634" s="84" t="n">
        <f aca="false">IF(AND(R2634=1,ISNUMBER(T2634)),E2634-T2634,"")</f>
        <v>0.107020762119788</v>
      </c>
      <c r="V2634" s="84" t="n">
        <f aca="false">IF(ISNUMBER(T2634),T2634,-99)</f>
        <v>19.2929792378802</v>
      </c>
      <c r="W2634" s="84" t="n">
        <f aca="false">IF(ISNUMBER(U2634),ABS(U2634),"")</f>
        <v>0.107020762119788</v>
      </c>
    </row>
    <row r="2635" customFormat="false" ht="15" hidden="false" customHeight="false" outlineLevel="0" collapsed="false">
      <c r="A2635" s="57" t="n">
        <v>35218</v>
      </c>
      <c r="B2635" s="56" t="n">
        <v>1996</v>
      </c>
      <c r="C2635" s="56" t="n">
        <v>6</v>
      </c>
      <c r="D2635" s="56" t="n">
        <v>33</v>
      </c>
      <c r="E2635" s="56" t="n">
        <v>20.5</v>
      </c>
      <c r="F2635" s="56" t="n">
        <v>0</v>
      </c>
      <c r="G2635" s="56" t="n">
        <v>7.3</v>
      </c>
      <c r="H2635" s="56" t="n">
        <v>0</v>
      </c>
      <c r="I2635" s="56" t="n">
        <v>13.4</v>
      </c>
      <c r="J2635" s="56" t="n">
        <v>0</v>
      </c>
      <c r="K2635" s="56" t="n">
        <v>1019.1</v>
      </c>
      <c r="L2635" s="56" t="n">
        <v>0</v>
      </c>
      <c r="M2635" s="56" t="n">
        <v>66</v>
      </c>
      <c r="N2635" s="56" t="n">
        <v>7.4</v>
      </c>
      <c r="O2635" s="56" t="n">
        <f aca="false">IF(D2635=1,"",E2634)</f>
        <v>19.4</v>
      </c>
      <c r="P2635" s="56" t="n">
        <f aca="false">IF(OR(D2635=1,K2634=""),"",K2634)</f>
        <v>1018.9</v>
      </c>
      <c r="Q2635" s="56" t="n">
        <f aca="false">IF(OR(F2635&lt;&gt;0,AND(I2635&lt;&gt;"",E2635&lt;I2635)),1,0)</f>
        <v>0</v>
      </c>
      <c r="R2635" s="56" t="n">
        <f aca="false">IF(AND(D2635&gt;1,Q2635=0,ISNUMBER(O2635),ISNUMBER(P2635)),IF(Q2634=0,1,0),0)</f>
        <v>1</v>
      </c>
      <c r="S2635" s="56" t="n">
        <f aca="false">R2635*(B2635&gt;=Train_Start)*(B2635&lt;=Train_End)</f>
        <v>1</v>
      </c>
      <c r="T2635" s="84" t="n">
        <f aca="false">IF(AND(ISNUMBER(O2635),ISNUMBER(P2635)),Coef_A+Coef_B1*O2635+Coef_B2*P2635,"")</f>
        <v>19.944941409595</v>
      </c>
      <c r="U2635" s="84" t="n">
        <f aca="false">IF(AND(R2635=1,ISNUMBER(T2635)),E2635-T2635,"")</f>
        <v>0.555058590404954</v>
      </c>
      <c r="V2635" s="84" t="n">
        <f aca="false">IF(ISNUMBER(T2635),T2635,-99)</f>
        <v>19.944941409595</v>
      </c>
      <c r="W2635" s="84" t="n">
        <f aca="false">IF(ISNUMBER(U2635),ABS(U2635),"")</f>
        <v>0.555058590404954</v>
      </c>
    </row>
    <row r="2636" customFormat="false" ht="15" hidden="false" customHeight="false" outlineLevel="0" collapsed="false">
      <c r="A2636" s="57" t="n">
        <v>35219</v>
      </c>
      <c r="B2636" s="56" t="n">
        <v>1996</v>
      </c>
      <c r="C2636" s="56" t="n">
        <v>6</v>
      </c>
      <c r="D2636" s="56" t="n">
        <v>34</v>
      </c>
      <c r="E2636" s="56" t="n">
        <v>23.1</v>
      </c>
      <c r="F2636" s="56" t="n">
        <v>0</v>
      </c>
      <c r="G2636" s="56" t="n">
        <v>7.6</v>
      </c>
      <c r="H2636" s="56" t="n">
        <v>0</v>
      </c>
      <c r="I2636" s="56" t="n">
        <v>14</v>
      </c>
      <c r="J2636" s="56" t="n">
        <v>0</v>
      </c>
      <c r="K2636" s="56" t="n">
        <v>1020.8</v>
      </c>
      <c r="L2636" s="56" t="n">
        <v>0</v>
      </c>
      <c r="M2636" s="56" t="n">
        <v>65</v>
      </c>
      <c r="N2636" s="56" t="n">
        <v>9</v>
      </c>
      <c r="O2636" s="56" t="n">
        <f aca="false">IF(D2636=1,"",E2635)</f>
        <v>20.5</v>
      </c>
      <c r="P2636" s="56" t="n">
        <f aca="false">IF(OR(D2636=1,K2635=""),"",K2635)</f>
        <v>1019.1</v>
      </c>
      <c r="Q2636" s="56" t="n">
        <f aca="false">IF(OR(F2636&lt;&gt;0,AND(I2636&lt;&gt;"",E2636&lt;I2636)),1,0)</f>
        <v>0</v>
      </c>
      <c r="R2636" s="56" t="n">
        <f aca="false">IF(AND(D2636&gt;1,Q2636=0,ISNUMBER(O2636),ISNUMBER(P2636)),IF(Q2635=0,1,0),0)</f>
        <v>1</v>
      </c>
      <c r="S2636" s="56" t="n">
        <f aca="false">R2636*(B2636&gt;=Train_Start)*(B2636&lt;=Train_End)</f>
        <v>1</v>
      </c>
      <c r="T2636" s="84" t="n">
        <f aca="false">IF(AND(ISNUMBER(O2636),ISNUMBER(P2636)),Coef_A+Coef_B1*O2636+Coef_B2*P2636,"")</f>
        <v>20.8524885008688</v>
      </c>
      <c r="U2636" s="84" t="n">
        <f aca="false">IF(AND(R2636=1,ISNUMBER(T2636)),E2636-T2636,"")</f>
        <v>2.24751149913124</v>
      </c>
      <c r="V2636" s="84" t="n">
        <f aca="false">IF(ISNUMBER(T2636),T2636,-99)</f>
        <v>20.8524885008688</v>
      </c>
      <c r="W2636" s="84" t="n">
        <f aca="false">IF(ISNUMBER(U2636),ABS(U2636),"")</f>
        <v>2.24751149913124</v>
      </c>
    </row>
    <row r="2637" customFormat="false" ht="15" hidden="false" customHeight="false" outlineLevel="0" collapsed="false">
      <c r="A2637" s="57" t="n">
        <v>35220</v>
      </c>
      <c r="B2637" s="56" t="n">
        <v>1996</v>
      </c>
      <c r="C2637" s="56" t="n">
        <v>6</v>
      </c>
      <c r="D2637" s="56" t="n">
        <v>35</v>
      </c>
      <c r="E2637" s="56" t="n">
        <v>27.7</v>
      </c>
      <c r="F2637" s="56" t="n">
        <v>0</v>
      </c>
      <c r="G2637" s="56" t="n">
        <v>12.5</v>
      </c>
      <c r="H2637" s="56" t="n">
        <v>0</v>
      </c>
      <c r="I2637" s="56" t="n">
        <v>17.8</v>
      </c>
      <c r="J2637" s="56" t="n">
        <v>0</v>
      </c>
      <c r="K2637" s="56" t="n">
        <v>1025.6</v>
      </c>
      <c r="L2637" s="56" t="n">
        <v>0</v>
      </c>
      <c r="M2637" s="56" t="n">
        <v>69</v>
      </c>
      <c r="N2637" s="56" t="n">
        <v>13.7</v>
      </c>
      <c r="O2637" s="56" t="n">
        <f aca="false">IF(D2637=1,"",E2636)</f>
        <v>23.1</v>
      </c>
      <c r="P2637" s="56" t="n">
        <f aca="false">IF(OR(D2637=1,K2636=""),"",K2636)</f>
        <v>1020.8</v>
      </c>
      <c r="Q2637" s="56" t="n">
        <f aca="false">IF(OR(F2637&lt;&gt;0,AND(I2637&lt;&gt;"",E2637&lt;I2637)),1,0)</f>
        <v>0</v>
      </c>
      <c r="R2637" s="56" t="n">
        <f aca="false">IF(AND(D2637&gt;1,Q2637=0,ISNUMBER(O2637),ISNUMBER(P2637)),IF(Q2636=0,1,0),0)</f>
        <v>1</v>
      </c>
      <c r="S2637" s="56" t="n">
        <f aca="false">R2637*(B2637&gt;=Train_Start)*(B2637&lt;=Train_End)</f>
        <v>1</v>
      </c>
      <c r="T2637" s="84" t="n">
        <f aca="false">IF(AND(ISNUMBER(O2637),ISNUMBER(P2637)),Coef_A+Coef_B1*O2637+Coef_B2*P2637,"")</f>
        <v>23.0360992236575</v>
      </c>
      <c r="U2637" s="84" t="n">
        <f aca="false">IF(AND(R2637=1,ISNUMBER(T2637)),E2637-T2637,"")</f>
        <v>4.66390077634254</v>
      </c>
      <c r="V2637" s="84" t="n">
        <f aca="false">IF(ISNUMBER(T2637),T2637,-99)</f>
        <v>23.0360992236575</v>
      </c>
      <c r="W2637" s="84" t="n">
        <f aca="false">IF(ISNUMBER(U2637),ABS(U2637),"")</f>
        <v>4.66390077634254</v>
      </c>
    </row>
    <row r="2638" customFormat="false" ht="15" hidden="false" customHeight="false" outlineLevel="0" collapsed="false">
      <c r="A2638" s="57" t="n">
        <v>35221</v>
      </c>
      <c r="B2638" s="56" t="n">
        <v>1996</v>
      </c>
      <c r="C2638" s="56" t="n">
        <v>6</v>
      </c>
      <c r="D2638" s="56" t="n">
        <v>36</v>
      </c>
      <c r="E2638" s="56" t="n">
        <v>30.6</v>
      </c>
      <c r="F2638" s="56" t="n">
        <v>0</v>
      </c>
      <c r="G2638" s="56" t="n">
        <v>11</v>
      </c>
      <c r="H2638" s="56" t="n">
        <v>0</v>
      </c>
      <c r="I2638" s="56" t="n">
        <v>19.4</v>
      </c>
      <c r="J2638" s="56" t="n">
        <v>0</v>
      </c>
      <c r="K2638" s="56" t="n">
        <v>1023.7</v>
      </c>
      <c r="L2638" s="56" t="n">
        <v>0</v>
      </c>
      <c r="M2638" s="56" t="n">
        <v>60</v>
      </c>
      <c r="N2638" s="56" t="n">
        <v>14.5</v>
      </c>
      <c r="O2638" s="56" t="n">
        <f aca="false">IF(D2638=1,"",E2637)</f>
        <v>27.7</v>
      </c>
      <c r="P2638" s="56" t="n">
        <f aca="false">IF(OR(D2638=1,K2637=""),"",K2637)</f>
        <v>1025.6</v>
      </c>
      <c r="Q2638" s="56" t="n">
        <f aca="false">IF(OR(F2638&lt;&gt;0,AND(I2638&lt;&gt;"",E2638&lt;I2638)),1,0)</f>
        <v>0</v>
      </c>
      <c r="R2638" s="56" t="n">
        <f aca="false">IF(AND(D2638&gt;1,Q2638=0,ISNUMBER(O2638),ISNUMBER(P2638)),IF(Q2637=0,1,0),0)</f>
        <v>1</v>
      </c>
      <c r="S2638" s="56" t="n">
        <f aca="false">R2638*(B2638&gt;=Train_Start)*(B2638&lt;=Train_End)</f>
        <v>1</v>
      </c>
      <c r="T2638" s="84" t="n">
        <f aca="false">IF(AND(ISNUMBER(O2638),ISNUMBER(P2638)),Coef_A+Coef_B1*O2638+Coef_B2*P2638,"")</f>
        <v>26.9556350058968</v>
      </c>
      <c r="U2638" s="84" t="n">
        <f aca="false">IF(AND(R2638=1,ISNUMBER(T2638)),E2638-T2638,"")</f>
        <v>3.64436499410317</v>
      </c>
      <c r="V2638" s="84" t="n">
        <f aca="false">IF(ISNUMBER(T2638),T2638,-99)</f>
        <v>26.9556350058968</v>
      </c>
      <c r="W2638" s="84" t="n">
        <f aca="false">IF(ISNUMBER(U2638),ABS(U2638),"")</f>
        <v>3.64436499410317</v>
      </c>
    </row>
    <row r="2639" customFormat="false" ht="15" hidden="false" customHeight="false" outlineLevel="0" collapsed="false">
      <c r="A2639" s="57" t="n">
        <v>35222</v>
      </c>
      <c r="B2639" s="56" t="n">
        <v>1996</v>
      </c>
      <c r="C2639" s="56" t="n">
        <v>6</v>
      </c>
      <c r="D2639" s="56" t="n">
        <v>37</v>
      </c>
      <c r="E2639" s="56" t="n">
        <v>31.8</v>
      </c>
      <c r="F2639" s="56" t="n">
        <v>0</v>
      </c>
      <c r="G2639" s="56" t="n">
        <v>14.4</v>
      </c>
      <c r="H2639" s="56" t="n">
        <v>0</v>
      </c>
      <c r="I2639" s="56" t="n">
        <v>22.5</v>
      </c>
      <c r="J2639" s="56" t="n">
        <v>0</v>
      </c>
      <c r="K2639" s="56" t="n">
        <v>1017.9</v>
      </c>
      <c r="L2639" s="56" t="n">
        <v>0</v>
      </c>
      <c r="M2639" s="56" t="n">
        <v>56</v>
      </c>
      <c r="N2639" s="56" t="n">
        <v>14.5</v>
      </c>
      <c r="O2639" s="56" t="n">
        <f aca="false">IF(D2639=1,"",E2638)</f>
        <v>30.6</v>
      </c>
      <c r="P2639" s="56" t="n">
        <f aca="false">IF(OR(D2639=1,K2638=""),"",K2638)</f>
        <v>1023.7</v>
      </c>
      <c r="Q2639" s="56" t="n">
        <f aca="false">IF(OR(F2639&lt;&gt;0,AND(I2639&lt;&gt;"",E2639&lt;I2639)),1,0)</f>
        <v>0</v>
      </c>
      <c r="R2639" s="56" t="n">
        <f aca="false">IF(AND(D2639&gt;1,Q2639=0,ISNUMBER(O2639),ISNUMBER(P2639)),IF(Q2638=0,1,0),0)</f>
        <v>1</v>
      </c>
      <c r="S2639" s="56" t="n">
        <f aca="false">R2639*(B2639&gt;=Train_Start)*(B2639&lt;=Train_End)</f>
        <v>1</v>
      </c>
      <c r="T2639" s="84" t="n">
        <f aca="false">IF(AND(ISNUMBER(O2639),ISNUMBER(P2639)),Coef_A+Coef_B1*O2639+Coef_B2*P2639,"")</f>
        <v>29.272115865916</v>
      </c>
      <c r="U2639" s="84" t="n">
        <f aca="false">IF(AND(R2639=1,ISNUMBER(T2639)),E2639-T2639,"")</f>
        <v>2.52788413408403</v>
      </c>
      <c r="V2639" s="84" t="n">
        <f aca="false">IF(ISNUMBER(T2639),T2639,-99)</f>
        <v>29.272115865916</v>
      </c>
      <c r="W2639" s="84" t="n">
        <f aca="false">IF(ISNUMBER(U2639),ABS(U2639),"")</f>
        <v>2.52788413408403</v>
      </c>
    </row>
    <row r="2640" customFormat="false" ht="15" hidden="false" customHeight="false" outlineLevel="0" collapsed="false">
      <c r="A2640" s="57" t="n">
        <v>35223</v>
      </c>
      <c r="B2640" s="56" t="n">
        <v>1996</v>
      </c>
      <c r="C2640" s="56" t="n">
        <v>6</v>
      </c>
      <c r="D2640" s="56" t="n">
        <v>38</v>
      </c>
      <c r="E2640" s="56" t="n">
        <v>21.1</v>
      </c>
      <c r="F2640" s="56" t="n">
        <v>1</v>
      </c>
      <c r="G2640" s="56" t="n">
        <v>19.2</v>
      </c>
      <c r="H2640" s="56" t="n">
        <v>0</v>
      </c>
      <c r="I2640" s="56" t="n">
        <v>25.5</v>
      </c>
      <c r="J2640" s="56" t="n">
        <v>1</v>
      </c>
      <c r="K2640" s="56" t="n">
        <v>1014.1</v>
      </c>
      <c r="L2640" s="56" t="n">
        <v>0</v>
      </c>
      <c r="M2640" s="56" t="n">
        <v>58</v>
      </c>
      <c r="N2640" s="56" t="n">
        <v>14.2</v>
      </c>
      <c r="O2640" s="56" t="n">
        <f aca="false">IF(D2640=1,"",E2639)</f>
        <v>31.8</v>
      </c>
      <c r="P2640" s="56" t="n">
        <f aca="false">IF(OR(D2640=1,K2639=""),"",K2639)</f>
        <v>1017.9</v>
      </c>
      <c r="Q2640" s="56" t="n">
        <f aca="false">IF(OR(F2640&lt;&gt;0,AND(I2640&lt;&gt;"",E2640&lt;I2640)),1,0)</f>
        <v>1</v>
      </c>
      <c r="R2640" s="56" t="n">
        <f aca="false">IF(AND(D2640&gt;1,Q2640=0,ISNUMBER(O2640),ISNUMBER(P2640)),IF(Q2639=0,1,0),0)</f>
        <v>0</v>
      </c>
      <c r="S2640" s="56" t="n">
        <f aca="false">R2640*(B2640&gt;=Train_Start)*(B2640&lt;=Train_End)</f>
        <v>0</v>
      </c>
      <c r="T2640" s="84" t="n">
        <f aca="false">IF(AND(ISNUMBER(O2640),ISNUMBER(P2640)),Coef_A+Coef_B1*O2640+Coef_B2*P2640,"")</f>
        <v>30.07337750869</v>
      </c>
      <c r="U2640" s="84" t="str">
        <f aca="false">IF(AND(R2640=1,ISNUMBER(T2640)),E2640-T2640,"")</f>
        <v/>
      </c>
      <c r="V2640" s="84" t="n">
        <f aca="false">IF(ISNUMBER(T2640),T2640,-99)</f>
        <v>30.07337750869</v>
      </c>
      <c r="W2640" s="84" t="str">
        <f aca="false">IF(ISNUMBER(U2640),ABS(U2640),"")</f>
        <v/>
      </c>
    </row>
    <row r="2641" customFormat="false" ht="15" hidden="false" customHeight="false" outlineLevel="0" collapsed="false">
      <c r="A2641" s="57" t="n">
        <v>35224</v>
      </c>
      <c r="B2641" s="56" t="n">
        <v>1996</v>
      </c>
      <c r="C2641" s="56" t="n">
        <v>6</v>
      </c>
      <c r="D2641" s="56" t="n">
        <v>39</v>
      </c>
      <c r="E2641" s="56" t="n">
        <v>23</v>
      </c>
      <c r="F2641" s="56" t="n">
        <v>0</v>
      </c>
      <c r="G2641" s="56" t="n">
        <v>14.4</v>
      </c>
      <c r="H2641" s="56" t="n">
        <v>0</v>
      </c>
      <c r="I2641" s="56" t="n">
        <v>17.8</v>
      </c>
      <c r="J2641" s="56" t="n">
        <v>0</v>
      </c>
      <c r="K2641" s="56" t="n">
        <v>1018</v>
      </c>
      <c r="L2641" s="56" t="n">
        <v>0</v>
      </c>
      <c r="M2641" s="56" t="n">
        <v>68</v>
      </c>
      <c r="N2641" s="56" t="n">
        <v>4.2</v>
      </c>
      <c r="O2641" s="56" t="n">
        <f aca="false">IF(D2641=1,"",E2640)</f>
        <v>21.1</v>
      </c>
      <c r="P2641" s="56" t="n">
        <f aca="false">IF(OR(D2641=1,K2640=""),"",K2640)</f>
        <v>1014.1</v>
      </c>
      <c r="Q2641" s="56" t="n">
        <f aca="false">IF(OR(F2641&lt;&gt;0,AND(I2641&lt;&gt;"",E2641&lt;I2641)),1,0)</f>
        <v>0</v>
      </c>
      <c r="R2641" s="56" t="n">
        <f aca="false">IF(AND(D2641&gt;1,Q2641=0,ISNUMBER(O2641),ISNUMBER(P2641)),IF(Q2640=0,1,0),0)</f>
        <v>0</v>
      </c>
      <c r="S2641" s="56" t="n">
        <f aca="false">R2641*(B2641&gt;=Train_Start)*(B2641&lt;=Train_End)</f>
        <v>0</v>
      </c>
      <c r="T2641" s="84" t="n">
        <f aca="false">IF(AND(ISNUMBER(O2641),ISNUMBER(P2641)),Coef_A+Coef_B1*O2641+Coef_B2*P2641,"")</f>
        <v>21.1872425435244</v>
      </c>
      <c r="U2641" s="84" t="str">
        <f aca="false">IF(AND(R2641=1,ISNUMBER(T2641)),E2641-T2641,"")</f>
        <v/>
      </c>
      <c r="V2641" s="84" t="n">
        <f aca="false">IF(ISNUMBER(T2641),T2641,-99)</f>
        <v>21.1872425435244</v>
      </c>
      <c r="W2641" s="84" t="str">
        <f aca="false">IF(ISNUMBER(U2641),ABS(U2641),"")</f>
        <v/>
      </c>
    </row>
    <row r="2642" customFormat="false" ht="15" hidden="false" customHeight="false" outlineLevel="0" collapsed="false">
      <c r="A2642" s="57" t="n">
        <v>35225</v>
      </c>
      <c r="B2642" s="56" t="n">
        <v>1996</v>
      </c>
      <c r="C2642" s="56" t="n">
        <v>6</v>
      </c>
      <c r="D2642" s="56" t="n">
        <v>40</v>
      </c>
      <c r="E2642" s="56" t="n">
        <v>24.1</v>
      </c>
      <c r="F2642" s="56" t="n">
        <v>0</v>
      </c>
      <c r="G2642" s="56" t="n">
        <v>10.7</v>
      </c>
      <c r="H2642" s="56" t="n">
        <v>0</v>
      </c>
      <c r="I2642" s="56" t="n">
        <v>16.8</v>
      </c>
      <c r="J2642" s="56" t="n">
        <v>0</v>
      </c>
      <c r="K2642" s="56" t="n">
        <v>1020.6</v>
      </c>
      <c r="L2642" s="56" t="n">
        <v>0</v>
      </c>
      <c r="M2642" s="56" t="n">
        <v>52</v>
      </c>
      <c r="N2642" s="56" t="n">
        <v>14.9</v>
      </c>
      <c r="O2642" s="56" t="n">
        <f aca="false">IF(D2642=1,"",E2641)</f>
        <v>23</v>
      </c>
      <c r="P2642" s="56" t="n">
        <f aca="false">IF(OR(D2642=1,K2641=""),"",K2641)</f>
        <v>1018</v>
      </c>
      <c r="Q2642" s="56" t="n">
        <f aca="false">IF(OR(F2642&lt;&gt;0,AND(I2642&lt;&gt;"",E2642&lt;I2642)),1,0)</f>
        <v>0</v>
      </c>
      <c r="R2642" s="56" t="n">
        <f aca="false">IF(AND(D2642&gt;1,Q2642=0,ISNUMBER(O2642),ISNUMBER(P2642)),IF(Q2641=0,1,0),0)</f>
        <v>1</v>
      </c>
      <c r="S2642" s="56" t="n">
        <f aca="false">R2642*(B2642&gt;=Train_Start)*(B2642&lt;=Train_End)</f>
        <v>1</v>
      </c>
      <c r="T2642" s="84" t="n">
        <f aca="false">IF(AND(ISNUMBER(O2642),ISNUMBER(P2642)),Coef_A+Coef_B1*O2642+Coef_B2*P2642,"")</f>
        <v>22.866329599378</v>
      </c>
      <c r="U2642" s="84" t="n">
        <f aca="false">IF(AND(R2642=1,ISNUMBER(T2642)),E2642-T2642,"")</f>
        <v>1.23367040062197</v>
      </c>
      <c r="V2642" s="84" t="n">
        <f aca="false">IF(ISNUMBER(T2642),T2642,-99)</f>
        <v>22.866329599378</v>
      </c>
      <c r="W2642" s="84" t="n">
        <f aca="false">IF(ISNUMBER(U2642),ABS(U2642),"")</f>
        <v>1.23367040062197</v>
      </c>
    </row>
    <row r="2643" customFormat="false" ht="15" hidden="false" customHeight="false" outlineLevel="0" collapsed="false">
      <c r="A2643" s="57" t="n">
        <v>35226</v>
      </c>
      <c r="B2643" s="56" t="n">
        <v>1996</v>
      </c>
      <c r="C2643" s="56" t="n">
        <v>6</v>
      </c>
      <c r="D2643" s="56" t="n">
        <v>41</v>
      </c>
      <c r="E2643" s="56" t="n">
        <v>22.8</v>
      </c>
      <c r="F2643" s="56" t="n">
        <v>0</v>
      </c>
      <c r="G2643" s="56" t="n">
        <v>11.2</v>
      </c>
      <c r="H2643" s="56" t="n">
        <v>0</v>
      </c>
      <c r="I2643" s="56" t="n">
        <v>17.6</v>
      </c>
      <c r="J2643" s="56" t="n">
        <v>0</v>
      </c>
      <c r="K2643" s="56" t="n">
        <v>1020.1</v>
      </c>
      <c r="L2643" s="56" t="n">
        <v>0</v>
      </c>
      <c r="M2643" s="56" t="n">
        <v>67</v>
      </c>
      <c r="N2643" s="56" t="n">
        <v>6.7</v>
      </c>
      <c r="O2643" s="56" t="n">
        <f aca="false">IF(D2643=1,"",E2642)</f>
        <v>24.1</v>
      </c>
      <c r="P2643" s="56" t="n">
        <f aca="false">IF(OR(D2643=1,K2642=""),"",K2642)</f>
        <v>1020.6</v>
      </c>
      <c r="Q2643" s="56" t="n">
        <f aca="false">IF(OR(F2643&lt;&gt;0,AND(I2643&lt;&gt;"",E2643&lt;I2643)),1,0)</f>
        <v>0</v>
      </c>
      <c r="R2643" s="56" t="n">
        <f aca="false">IF(AND(D2643&gt;1,Q2643=0,ISNUMBER(O2643),ISNUMBER(P2643)),IF(Q2642=0,1,0),0)</f>
        <v>1</v>
      </c>
      <c r="S2643" s="56" t="n">
        <f aca="false">R2643*(B2643&gt;=Train_Start)*(B2643&lt;=Train_End)</f>
        <v>1</v>
      </c>
      <c r="T2643" s="84" t="n">
        <f aca="false">IF(AND(ISNUMBER(O2643),ISNUMBER(P2643)),Coef_A+Coef_B1*O2643+Coef_B2*P2643,"")</f>
        <v>23.8491644377733</v>
      </c>
      <c r="U2643" s="84" t="n">
        <f aca="false">IF(AND(R2643=1,ISNUMBER(T2643)),E2643-T2643,"")</f>
        <v>-1.04916443777332</v>
      </c>
      <c r="V2643" s="84" t="n">
        <f aca="false">IF(ISNUMBER(T2643),T2643,-99)</f>
        <v>23.8491644377733</v>
      </c>
      <c r="W2643" s="84" t="n">
        <f aca="false">IF(ISNUMBER(U2643),ABS(U2643),"")</f>
        <v>1.04916443777332</v>
      </c>
    </row>
    <row r="2644" customFormat="false" ht="15" hidden="false" customHeight="false" outlineLevel="0" collapsed="false">
      <c r="A2644" s="57" t="n">
        <v>35227</v>
      </c>
      <c r="B2644" s="56" t="n">
        <v>1996</v>
      </c>
      <c r="C2644" s="56" t="n">
        <v>6</v>
      </c>
      <c r="D2644" s="56" t="n">
        <v>42</v>
      </c>
      <c r="E2644" s="56" t="n">
        <v>21.2</v>
      </c>
      <c r="F2644" s="56" t="n">
        <v>0</v>
      </c>
      <c r="G2644" s="56" t="n">
        <v>12.6</v>
      </c>
      <c r="H2644" s="56" t="n">
        <v>0</v>
      </c>
      <c r="I2644" s="56" t="n">
        <v>17.7</v>
      </c>
      <c r="J2644" s="56" t="n">
        <v>0</v>
      </c>
      <c r="K2644" s="56" t="n">
        <v>1021.2</v>
      </c>
      <c r="L2644" s="56" t="n">
        <v>0</v>
      </c>
      <c r="M2644" s="56" t="n">
        <v>77</v>
      </c>
      <c r="N2644" s="56" t="n">
        <v>1.4</v>
      </c>
      <c r="O2644" s="56" t="n">
        <f aca="false">IF(D2644=1,"",E2643)</f>
        <v>22.8</v>
      </c>
      <c r="P2644" s="56" t="n">
        <f aca="false">IF(OR(D2644=1,K2643=""),"",K2643)</f>
        <v>1020.1</v>
      </c>
      <c r="Q2644" s="56" t="n">
        <f aca="false">IF(OR(F2644&lt;&gt;0,AND(I2644&lt;&gt;"",E2644&lt;I2644)),1,0)</f>
        <v>0</v>
      </c>
      <c r="R2644" s="56" t="n">
        <f aca="false">IF(AND(D2644&gt;1,Q2644=0,ISNUMBER(O2644),ISNUMBER(P2644)),IF(Q2643=0,1,0),0)</f>
        <v>1</v>
      </c>
      <c r="S2644" s="56" t="n">
        <f aca="false">R2644*(B2644&gt;=Train_Start)*(B2644&lt;=Train_End)</f>
        <v>1</v>
      </c>
      <c r="T2644" s="84" t="n">
        <f aca="false">IF(AND(ISNUMBER(O2644),ISNUMBER(P2644)),Coef_A+Coef_B1*O2644+Coef_B2*P2644,"")</f>
        <v>22.7683385395009</v>
      </c>
      <c r="U2644" s="84" t="n">
        <f aca="false">IF(AND(R2644=1,ISNUMBER(T2644)),E2644-T2644,"")</f>
        <v>-1.56833853950087</v>
      </c>
      <c r="V2644" s="84" t="n">
        <f aca="false">IF(ISNUMBER(T2644),T2644,-99)</f>
        <v>22.7683385395009</v>
      </c>
      <c r="W2644" s="84" t="n">
        <f aca="false">IF(ISNUMBER(U2644),ABS(U2644),"")</f>
        <v>1.56833853950087</v>
      </c>
    </row>
    <row r="2645" customFormat="false" ht="15" hidden="false" customHeight="false" outlineLevel="0" collapsed="false">
      <c r="A2645" s="57" t="n">
        <v>35228</v>
      </c>
      <c r="B2645" s="56" t="n">
        <v>1996</v>
      </c>
      <c r="C2645" s="56" t="n">
        <v>6</v>
      </c>
      <c r="D2645" s="56" t="n">
        <v>43</v>
      </c>
      <c r="E2645" s="56" t="n">
        <v>22.1</v>
      </c>
      <c r="F2645" s="56" t="n">
        <v>0</v>
      </c>
      <c r="G2645" s="56" t="n">
        <v>12.3</v>
      </c>
      <c r="H2645" s="56" t="n">
        <v>0</v>
      </c>
      <c r="I2645" s="56" t="n">
        <v>16.8</v>
      </c>
      <c r="J2645" s="56" t="n">
        <v>0</v>
      </c>
      <c r="K2645" s="56" t="n">
        <v>1029.1</v>
      </c>
      <c r="L2645" s="56" t="n">
        <v>0</v>
      </c>
      <c r="M2645" s="56" t="n">
        <v>57</v>
      </c>
      <c r="N2645" s="56" t="n">
        <v>13.7</v>
      </c>
      <c r="O2645" s="56" t="n">
        <f aca="false">IF(D2645=1,"",E2644)</f>
        <v>21.2</v>
      </c>
      <c r="P2645" s="56" t="n">
        <f aca="false">IF(OR(D2645=1,K2644=""),"",K2644)</f>
        <v>1021.2</v>
      </c>
      <c r="Q2645" s="56" t="n">
        <f aca="false">IF(OR(F2645&lt;&gt;0,AND(I2645&lt;&gt;"",E2645&lt;I2645)),1,0)</f>
        <v>0</v>
      </c>
      <c r="R2645" s="56" t="n">
        <f aca="false">IF(AND(D2645&gt;1,Q2645=0,ISNUMBER(O2645),ISNUMBER(P2645)),IF(Q2644=0,1,0),0)</f>
        <v>1</v>
      </c>
      <c r="S2645" s="56" t="n">
        <f aca="false">R2645*(B2645&gt;=Train_Start)*(B2645&lt;=Train_End)</f>
        <v>1</v>
      </c>
      <c r="T2645" s="84" t="n">
        <f aca="false">IF(AND(ISNUMBER(O2645),ISNUMBER(P2645)),Coef_A+Coef_B1*O2645+Coef_B2*P2645,"")</f>
        <v>21.49190271473</v>
      </c>
      <c r="U2645" s="84" t="n">
        <f aca="false">IF(AND(R2645=1,ISNUMBER(T2645)),E2645-T2645,"")</f>
        <v>0.608097285269995</v>
      </c>
      <c r="V2645" s="84" t="n">
        <f aca="false">IF(ISNUMBER(T2645),T2645,-99)</f>
        <v>21.49190271473</v>
      </c>
      <c r="W2645" s="84" t="n">
        <f aca="false">IF(ISNUMBER(U2645),ABS(U2645),"")</f>
        <v>0.608097285269995</v>
      </c>
    </row>
    <row r="2646" customFormat="false" ht="15" hidden="false" customHeight="false" outlineLevel="0" collapsed="false">
      <c r="A2646" s="57" t="n">
        <v>35229</v>
      </c>
      <c r="B2646" s="56" t="n">
        <v>1996</v>
      </c>
      <c r="C2646" s="56" t="n">
        <v>6</v>
      </c>
      <c r="D2646" s="56" t="n">
        <v>44</v>
      </c>
      <c r="E2646" s="56" t="n">
        <v>22.5</v>
      </c>
      <c r="F2646" s="56" t="n">
        <v>0</v>
      </c>
      <c r="G2646" s="56" t="n">
        <v>8.9</v>
      </c>
      <c r="H2646" s="56" t="n">
        <v>0</v>
      </c>
      <c r="I2646" s="56" t="n">
        <v>15.5</v>
      </c>
      <c r="J2646" s="56" t="n">
        <v>0</v>
      </c>
      <c r="K2646" s="56" t="n">
        <v>1035.3</v>
      </c>
      <c r="L2646" s="56" t="n">
        <v>0</v>
      </c>
      <c r="M2646" s="56" t="n">
        <v>53</v>
      </c>
      <c r="N2646" s="56" t="n">
        <v>15.5</v>
      </c>
      <c r="O2646" s="56" t="n">
        <f aca="false">IF(D2646=1,"",E2645)</f>
        <v>22.1</v>
      </c>
      <c r="P2646" s="56" t="n">
        <f aca="false">IF(OR(D2646=1,K2645=""),"",K2645)</f>
        <v>1029.1</v>
      </c>
      <c r="Q2646" s="56" t="n">
        <f aca="false">IF(OR(F2646&lt;&gt;0,AND(I2646&lt;&gt;"",E2646&lt;I2646)),1,0)</f>
        <v>0</v>
      </c>
      <c r="R2646" s="56" t="n">
        <f aca="false">IF(AND(D2646&gt;1,Q2646=0,ISNUMBER(O2646),ISNUMBER(P2646)),IF(Q2645=0,1,0),0)</f>
        <v>1</v>
      </c>
      <c r="S2646" s="56" t="n">
        <f aca="false">R2646*(B2646&gt;=Train_Start)*(B2646&lt;=Train_End)</f>
        <v>1</v>
      </c>
      <c r="T2646" s="84" t="n">
        <f aca="false">IF(AND(ISNUMBER(O2646),ISNUMBER(P2646)),Coef_A+Coef_B1*O2646+Coef_B2*P2646,"")</f>
        <v>22.4771301560769</v>
      </c>
      <c r="U2646" s="84" t="n">
        <f aca="false">IF(AND(R2646=1,ISNUMBER(T2646)),E2646-T2646,"")</f>
        <v>0.0228698439230897</v>
      </c>
      <c r="V2646" s="84" t="n">
        <f aca="false">IF(ISNUMBER(T2646),T2646,-99)</f>
        <v>22.4771301560769</v>
      </c>
      <c r="W2646" s="84" t="n">
        <f aca="false">IF(ISNUMBER(U2646),ABS(U2646),"")</f>
        <v>0.0228698439230897</v>
      </c>
    </row>
    <row r="2647" customFormat="false" ht="15" hidden="false" customHeight="false" outlineLevel="0" collapsed="false">
      <c r="A2647" s="57" t="n">
        <v>35230</v>
      </c>
      <c r="B2647" s="56" t="n">
        <v>1996</v>
      </c>
      <c r="C2647" s="56" t="n">
        <v>6</v>
      </c>
      <c r="D2647" s="56" t="n">
        <v>45</v>
      </c>
      <c r="E2647" s="56" t="n">
        <v>23.9</v>
      </c>
      <c r="F2647" s="56" t="n">
        <v>0</v>
      </c>
      <c r="G2647" s="56" t="n">
        <v>10.3</v>
      </c>
      <c r="H2647" s="56" t="n">
        <v>0</v>
      </c>
      <c r="I2647" s="56" t="n">
        <v>16.4</v>
      </c>
      <c r="J2647" s="56" t="n">
        <v>0</v>
      </c>
      <c r="K2647" s="56" t="n">
        <v>1034</v>
      </c>
      <c r="L2647" s="56" t="n">
        <v>0</v>
      </c>
      <c r="M2647" s="56" t="n">
        <v>56</v>
      </c>
      <c r="N2647" s="56" t="n">
        <v>15.4</v>
      </c>
      <c r="O2647" s="56" t="n">
        <f aca="false">IF(D2647=1,"",E2646)</f>
        <v>22.5</v>
      </c>
      <c r="P2647" s="56" t="n">
        <f aca="false">IF(OR(D2647=1,K2646=""),"",K2646)</f>
        <v>1035.3</v>
      </c>
      <c r="Q2647" s="56" t="n">
        <f aca="false">IF(OR(F2647&lt;&gt;0,AND(I2647&lt;&gt;"",E2647&lt;I2647)),1,0)</f>
        <v>0</v>
      </c>
      <c r="R2647" s="56" t="n">
        <f aca="false">IF(AND(D2647&gt;1,Q2647=0,ISNUMBER(O2647),ISNUMBER(P2647)),IF(Q2646=0,1,0),0)</f>
        <v>1</v>
      </c>
      <c r="S2647" s="56" t="n">
        <f aca="false">R2647*(B2647&gt;=Train_Start)*(B2647&lt;=Train_End)</f>
        <v>1</v>
      </c>
      <c r="T2647" s="84" t="n">
        <f aca="false">IF(AND(ISNUMBER(O2647),ISNUMBER(P2647)),Coef_A+Coef_B1*O2647+Coef_B2*P2647,"")</f>
        <v>22.9993591800247</v>
      </c>
      <c r="U2647" s="84" t="n">
        <f aca="false">IF(AND(R2647=1,ISNUMBER(T2647)),E2647-T2647,"")</f>
        <v>0.900640819975287</v>
      </c>
      <c r="V2647" s="84" t="n">
        <f aca="false">IF(ISNUMBER(T2647),T2647,-99)</f>
        <v>22.9993591800247</v>
      </c>
      <c r="W2647" s="84" t="n">
        <f aca="false">IF(ISNUMBER(U2647),ABS(U2647),"")</f>
        <v>0.900640819975287</v>
      </c>
    </row>
    <row r="2648" customFormat="false" ht="15" hidden="false" customHeight="false" outlineLevel="0" collapsed="false">
      <c r="A2648" s="57" t="n">
        <v>35231</v>
      </c>
      <c r="B2648" s="56" t="n">
        <v>1996</v>
      </c>
      <c r="C2648" s="56" t="n">
        <v>6</v>
      </c>
      <c r="D2648" s="56" t="n">
        <v>46</v>
      </c>
      <c r="E2648" s="56" t="n">
        <v>26.4</v>
      </c>
      <c r="F2648" s="56" t="n">
        <v>0</v>
      </c>
      <c r="G2648" s="56" t="n">
        <v>9</v>
      </c>
      <c r="H2648" s="56" t="n">
        <v>0</v>
      </c>
      <c r="I2648" s="56" t="n">
        <v>16.4</v>
      </c>
      <c r="J2648" s="56" t="n">
        <v>0</v>
      </c>
      <c r="K2648" s="56" t="n">
        <v>1030.3</v>
      </c>
      <c r="L2648" s="56" t="n">
        <v>0</v>
      </c>
      <c r="M2648" s="56" t="n">
        <v>55</v>
      </c>
      <c r="N2648" s="56" t="n">
        <v>15.7</v>
      </c>
      <c r="O2648" s="56" t="n">
        <f aca="false">IF(D2648=1,"",E2647)</f>
        <v>23.9</v>
      </c>
      <c r="P2648" s="56" t="n">
        <f aca="false">IF(OR(D2648=1,K2647=""),"",K2647)</f>
        <v>1034</v>
      </c>
      <c r="Q2648" s="56" t="n">
        <f aca="false">IF(OR(F2648&lt;&gt;0,AND(I2648&lt;&gt;"",E2648&lt;I2648)),1,0)</f>
        <v>0</v>
      </c>
      <c r="R2648" s="56" t="n">
        <f aca="false">IF(AND(D2648&gt;1,Q2648=0,ISNUMBER(O2648),ISNUMBER(P2648)),IF(Q2647=0,1,0),0)</f>
        <v>1</v>
      </c>
      <c r="S2648" s="56" t="n">
        <f aca="false">R2648*(B2648&gt;=Train_Start)*(B2648&lt;=Train_End)</f>
        <v>1</v>
      </c>
      <c r="T2648" s="84" t="n">
        <f aca="false">IF(AND(ISNUMBER(O2648),ISNUMBER(P2648)),Coef_A+Coef_B1*O2648+Coef_B2*P2648,"")</f>
        <v>24.1056531872602</v>
      </c>
      <c r="U2648" s="84" t="n">
        <f aca="false">IF(AND(R2648=1,ISNUMBER(T2648)),E2648-T2648,"")</f>
        <v>2.29434681273976</v>
      </c>
      <c r="V2648" s="84" t="n">
        <f aca="false">IF(ISNUMBER(T2648),T2648,-99)</f>
        <v>24.1056531872602</v>
      </c>
      <c r="W2648" s="84" t="n">
        <f aca="false">IF(ISNUMBER(U2648),ABS(U2648),"")</f>
        <v>2.29434681273976</v>
      </c>
    </row>
    <row r="2649" customFormat="false" ht="15" hidden="false" customHeight="false" outlineLevel="0" collapsed="false">
      <c r="A2649" s="57" t="n">
        <v>35232</v>
      </c>
      <c r="B2649" s="56" t="n">
        <v>1996</v>
      </c>
      <c r="C2649" s="56" t="n">
        <v>6</v>
      </c>
      <c r="D2649" s="56" t="n">
        <v>47</v>
      </c>
      <c r="E2649" s="56" t="n">
        <v>28.5</v>
      </c>
      <c r="F2649" s="56" t="n">
        <v>0</v>
      </c>
      <c r="G2649" s="56" t="n">
        <v>9.4</v>
      </c>
      <c r="H2649" s="56" t="n">
        <v>0</v>
      </c>
      <c r="I2649" s="56" t="n">
        <v>17.9</v>
      </c>
      <c r="J2649" s="56" t="n">
        <v>0</v>
      </c>
      <c r="K2649" s="56" t="n">
        <v>1026.2</v>
      </c>
      <c r="L2649" s="56" t="n">
        <v>0</v>
      </c>
      <c r="M2649" s="56" t="n">
        <v>53</v>
      </c>
      <c r="N2649" s="56" t="n">
        <v>15.3</v>
      </c>
      <c r="O2649" s="56" t="n">
        <f aca="false">IF(D2649=1,"",E2648)</f>
        <v>26.4</v>
      </c>
      <c r="P2649" s="56" t="n">
        <f aca="false">IF(OR(D2649=1,K2648=""),"",K2648)</f>
        <v>1030.3</v>
      </c>
      <c r="Q2649" s="56" t="n">
        <f aca="false">IF(OR(F2649&lt;&gt;0,AND(I2649&lt;&gt;"",E2649&lt;I2649)),1,0)</f>
        <v>0</v>
      </c>
      <c r="R2649" s="56" t="n">
        <f aca="false">IF(AND(D2649&gt;1,Q2649=0,ISNUMBER(O2649),ISNUMBER(P2649)),IF(Q2648=0,1,0),0)</f>
        <v>1</v>
      </c>
      <c r="S2649" s="56" t="n">
        <f aca="false">R2649*(B2649&gt;=Train_Start)*(B2649&lt;=Train_End)</f>
        <v>1</v>
      </c>
      <c r="T2649" s="84" t="n">
        <f aca="false">IF(AND(ISNUMBER(O2649),ISNUMBER(P2649)),Coef_A+Coef_B1*O2649+Coef_B2*P2649,"")</f>
        <v>26.0379325597211</v>
      </c>
      <c r="U2649" s="84" t="n">
        <f aca="false">IF(AND(R2649=1,ISNUMBER(T2649)),E2649-T2649,"")</f>
        <v>2.46206744027888</v>
      </c>
      <c r="V2649" s="84" t="n">
        <f aca="false">IF(ISNUMBER(T2649),T2649,-99)</f>
        <v>26.0379325597211</v>
      </c>
      <c r="W2649" s="84" t="n">
        <f aca="false">IF(ISNUMBER(U2649),ABS(U2649),"")</f>
        <v>2.46206744027888</v>
      </c>
    </row>
    <row r="2650" customFormat="false" ht="15" hidden="false" customHeight="false" outlineLevel="0" collapsed="false">
      <c r="A2650" s="57" t="n">
        <v>35233</v>
      </c>
      <c r="B2650" s="56" t="n">
        <v>1996</v>
      </c>
      <c r="C2650" s="56" t="n">
        <v>6</v>
      </c>
      <c r="D2650" s="56" t="n">
        <v>48</v>
      </c>
      <c r="E2650" s="56" t="n">
        <v>22.4</v>
      </c>
      <c r="F2650" s="56" t="n">
        <v>0</v>
      </c>
      <c r="G2650" s="56" t="n">
        <v>13</v>
      </c>
      <c r="H2650" s="56" t="n">
        <v>0</v>
      </c>
      <c r="I2650" s="56" t="n">
        <v>20.8</v>
      </c>
      <c r="J2650" s="56" t="n">
        <v>0</v>
      </c>
      <c r="K2650" s="56" t="n">
        <v>1019.2</v>
      </c>
      <c r="L2650" s="56" t="n">
        <v>0</v>
      </c>
      <c r="M2650" s="56" t="n">
        <v>56</v>
      </c>
      <c r="N2650" s="56" t="n">
        <v>14.6</v>
      </c>
      <c r="O2650" s="56" t="n">
        <f aca="false">IF(D2650=1,"",E2649)</f>
        <v>28.5</v>
      </c>
      <c r="P2650" s="56" t="n">
        <f aca="false">IF(OR(D2650=1,K2649=""),"",K2649)</f>
        <v>1026.2</v>
      </c>
      <c r="Q2650" s="56" t="n">
        <f aca="false">IF(OR(F2650&lt;&gt;0,AND(I2650&lt;&gt;"",E2650&lt;I2650)),1,0)</f>
        <v>0</v>
      </c>
      <c r="R2650" s="56" t="n">
        <f aca="false">IF(AND(D2650&gt;1,Q2650=0,ISNUMBER(O2650),ISNUMBER(P2650)),IF(Q2649=0,1,0),0)</f>
        <v>1</v>
      </c>
      <c r="S2650" s="56" t="n">
        <f aca="false">R2650*(B2650&gt;=Train_Start)*(B2650&lt;=Train_End)</f>
        <v>1</v>
      </c>
      <c r="T2650" s="84" t="n">
        <f aca="false">IF(AND(ISNUMBER(O2650),ISNUMBER(P2650)),Coef_A+Coef_B1*O2650+Coef_B2*P2650,"")</f>
        <v>27.6299282971114</v>
      </c>
      <c r="U2650" s="84" t="n">
        <f aca="false">IF(AND(R2650=1,ISNUMBER(T2650)),E2650-T2650,"")</f>
        <v>-5.22992829711136</v>
      </c>
      <c r="V2650" s="84" t="n">
        <f aca="false">IF(ISNUMBER(T2650),T2650,-99)</f>
        <v>27.6299282971114</v>
      </c>
      <c r="W2650" s="84" t="n">
        <f aca="false">IF(ISNUMBER(U2650),ABS(U2650),"")</f>
        <v>5.22992829711136</v>
      </c>
    </row>
    <row r="2651" customFormat="false" ht="15" hidden="false" customHeight="false" outlineLevel="0" collapsed="false">
      <c r="A2651" s="57" t="n">
        <v>35234</v>
      </c>
      <c r="B2651" s="56" t="n">
        <v>1996</v>
      </c>
      <c r="C2651" s="56" t="n">
        <v>6</v>
      </c>
      <c r="D2651" s="56" t="n">
        <v>49</v>
      </c>
      <c r="E2651" s="56" t="n">
        <v>22.7</v>
      </c>
      <c r="F2651" s="56" t="n">
        <v>0</v>
      </c>
      <c r="G2651" s="56" t="n">
        <v>12</v>
      </c>
      <c r="H2651" s="56" t="n">
        <v>0</v>
      </c>
      <c r="I2651" s="56" t="n">
        <v>17.2</v>
      </c>
      <c r="J2651" s="56" t="n">
        <v>0</v>
      </c>
      <c r="K2651" s="56" t="n">
        <v>1016.4</v>
      </c>
      <c r="L2651" s="56" t="n">
        <v>0</v>
      </c>
      <c r="M2651" s="56" t="n">
        <v>61</v>
      </c>
      <c r="N2651" s="56" t="n">
        <v>12.1</v>
      </c>
      <c r="O2651" s="56" t="n">
        <f aca="false">IF(D2651=1,"",E2650)</f>
        <v>22.4</v>
      </c>
      <c r="P2651" s="56" t="n">
        <f aca="false">IF(OR(D2651=1,K2650=""),"",K2650)</f>
        <v>1019.2</v>
      </c>
      <c r="Q2651" s="56" t="n">
        <f aca="false">IF(OR(F2651&lt;&gt;0,AND(I2651&lt;&gt;"",E2651&lt;I2651)),1,0)</f>
        <v>0</v>
      </c>
      <c r="R2651" s="56" t="n">
        <f aca="false">IF(AND(D2651&gt;1,Q2651=0,ISNUMBER(O2651),ISNUMBER(P2651)),IF(Q2650=0,1,0),0)</f>
        <v>1</v>
      </c>
      <c r="S2651" s="56" t="n">
        <f aca="false">R2651*(B2651&gt;=Train_Start)*(B2651&lt;=Train_End)</f>
        <v>1</v>
      </c>
      <c r="T2651" s="84" t="n">
        <f aca="false">IF(AND(ISNUMBER(O2651),ISNUMBER(P2651)),Coef_A+Coef_B1*O2651+Coef_B2*P2651,"")</f>
        <v>22.4123699571132</v>
      </c>
      <c r="U2651" s="84" t="n">
        <f aca="false">IF(AND(R2651=1,ISNUMBER(T2651)),E2651-T2651,"")</f>
        <v>0.287630042886786</v>
      </c>
      <c r="V2651" s="84" t="n">
        <f aca="false">IF(ISNUMBER(T2651),T2651,-99)</f>
        <v>22.4123699571132</v>
      </c>
      <c r="W2651" s="84" t="n">
        <f aca="false">IF(ISNUMBER(U2651),ABS(U2651),"")</f>
        <v>0.287630042886786</v>
      </c>
    </row>
    <row r="2652" customFormat="false" ht="15" hidden="false" customHeight="false" outlineLevel="0" collapsed="false">
      <c r="A2652" s="57" t="n">
        <v>35235</v>
      </c>
      <c r="B2652" s="56" t="n">
        <v>1996</v>
      </c>
      <c r="C2652" s="56" t="n">
        <v>6</v>
      </c>
      <c r="D2652" s="56" t="n">
        <v>50</v>
      </c>
      <c r="E2652" s="56" t="n">
        <v>15.5</v>
      </c>
      <c r="F2652" s="56" t="n">
        <v>1</v>
      </c>
      <c r="G2652" s="56" t="n">
        <v>11</v>
      </c>
      <c r="H2652" s="56" t="n">
        <v>0</v>
      </c>
      <c r="I2652" s="56" t="n">
        <v>16.8</v>
      </c>
      <c r="J2652" s="56" t="n">
        <v>1</v>
      </c>
      <c r="K2652" s="56" t="n">
        <v>1013.8</v>
      </c>
      <c r="L2652" s="56" t="n">
        <v>0</v>
      </c>
      <c r="M2652" s="56" t="n">
        <v>61</v>
      </c>
      <c r="N2652" s="56" t="n">
        <v>11.4</v>
      </c>
      <c r="O2652" s="56" t="n">
        <f aca="false">IF(D2652=1,"",E2651)</f>
        <v>22.7</v>
      </c>
      <c r="P2652" s="56" t="n">
        <f aca="false">IF(OR(D2652=1,K2651=""),"",K2651)</f>
        <v>1016.4</v>
      </c>
      <c r="Q2652" s="56" t="n">
        <f aca="false">IF(OR(F2652&lt;&gt;0,AND(I2652&lt;&gt;"",E2652&lt;I2652)),1,0)</f>
        <v>1</v>
      </c>
      <c r="R2652" s="56" t="n">
        <f aca="false">IF(AND(D2652&gt;1,Q2652=0,ISNUMBER(O2652),ISNUMBER(P2652)),IF(Q2651=0,1,0),0)</f>
        <v>0</v>
      </c>
      <c r="S2652" s="56" t="n">
        <f aca="false">R2652*(B2652&gt;=Train_Start)*(B2652&lt;=Train_End)</f>
        <v>0</v>
      </c>
      <c r="T2652" s="84" t="n">
        <f aca="false">IF(AND(ISNUMBER(O2652),ISNUMBER(P2652)),Coef_A+Coef_B1*O2652+Coef_B2*P2652,"")</f>
        <v>22.5703360100508</v>
      </c>
      <c r="U2652" s="84" t="str">
        <f aca="false">IF(AND(R2652=1,ISNUMBER(T2652)),E2652-T2652,"")</f>
        <v/>
      </c>
      <c r="V2652" s="84" t="n">
        <f aca="false">IF(ISNUMBER(T2652),T2652,-99)</f>
        <v>22.5703360100508</v>
      </c>
      <c r="W2652" s="84" t="str">
        <f aca="false">IF(ISNUMBER(U2652),ABS(U2652),"")</f>
        <v/>
      </c>
    </row>
    <row r="2653" customFormat="false" ht="15" hidden="false" customHeight="false" outlineLevel="0" collapsed="false">
      <c r="A2653" s="57" t="n">
        <v>35236</v>
      </c>
      <c r="B2653" s="56" t="n">
        <v>1996</v>
      </c>
      <c r="C2653" s="56" t="n">
        <v>6</v>
      </c>
      <c r="D2653" s="56" t="n">
        <v>51</v>
      </c>
      <c r="E2653" s="56" t="n">
        <v>17.4</v>
      </c>
      <c r="F2653" s="56" t="n">
        <v>0</v>
      </c>
      <c r="G2653" s="56" t="n">
        <v>10.2</v>
      </c>
      <c r="H2653" s="56" t="n">
        <v>0</v>
      </c>
      <c r="I2653" s="56" t="n">
        <v>12.8</v>
      </c>
      <c r="J2653" s="56" t="n">
        <v>0</v>
      </c>
      <c r="K2653" s="56" t="n">
        <v>1009.9</v>
      </c>
      <c r="L2653" s="56" t="n">
        <v>0</v>
      </c>
      <c r="M2653" s="56" t="n">
        <v>64</v>
      </c>
      <c r="N2653" s="56" t="n">
        <v>0</v>
      </c>
      <c r="O2653" s="56" t="n">
        <f aca="false">IF(D2653=1,"",E2652)</f>
        <v>15.5</v>
      </c>
      <c r="P2653" s="56" t="n">
        <f aca="false">IF(OR(D2653=1,K2652=""),"",K2652)</f>
        <v>1013.8</v>
      </c>
      <c r="Q2653" s="56" t="n">
        <f aca="false">IF(OR(F2653&lt;&gt;0,AND(I2653&lt;&gt;"",E2653&lt;I2653)),1,0)</f>
        <v>0</v>
      </c>
      <c r="R2653" s="56" t="n">
        <f aca="false">IF(AND(D2653&gt;1,Q2653=0,ISNUMBER(O2653),ISNUMBER(P2653)),IF(Q2652=0,1,0),0)</f>
        <v>0</v>
      </c>
      <c r="S2653" s="56" t="n">
        <f aca="false">R2653*(B2653&gt;=Train_Start)*(B2653&lt;=Train_End)</f>
        <v>0</v>
      </c>
      <c r="T2653" s="84" t="n">
        <f aca="false">IF(AND(ISNUMBER(O2653),ISNUMBER(P2653)),Coef_A+Coef_B1*O2653+Coef_B2*P2653,"")</f>
        <v>16.5895320940953</v>
      </c>
      <c r="U2653" s="84" t="str">
        <f aca="false">IF(AND(R2653=1,ISNUMBER(T2653)),E2653-T2653,"")</f>
        <v/>
      </c>
      <c r="V2653" s="84" t="n">
        <f aca="false">IF(ISNUMBER(T2653),T2653,-99)</f>
        <v>16.5895320940953</v>
      </c>
      <c r="W2653" s="84" t="str">
        <f aca="false">IF(ISNUMBER(U2653),ABS(U2653),"")</f>
        <v/>
      </c>
    </row>
    <row r="2654" customFormat="false" ht="15" hidden="false" customHeight="false" outlineLevel="0" collapsed="false">
      <c r="A2654" s="57" t="n">
        <v>35237</v>
      </c>
      <c r="B2654" s="56" t="n">
        <v>1996</v>
      </c>
      <c r="C2654" s="56" t="n">
        <v>6</v>
      </c>
      <c r="D2654" s="56" t="n">
        <v>52</v>
      </c>
      <c r="E2654" s="56" t="n">
        <v>17</v>
      </c>
      <c r="F2654" s="56" t="n">
        <v>0</v>
      </c>
      <c r="G2654" s="56" t="n">
        <v>9.8</v>
      </c>
      <c r="H2654" s="56" t="n">
        <v>0</v>
      </c>
      <c r="I2654" s="56" t="n">
        <v>13.6</v>
      </c>
      <c r="J2654" s="56" t="n">
        <v>0</v>
      </c>
      <c r="K2654" s="56" t="n">
        <v>1011.9</v>
      </c>
      <c r="L2654" s="56" t="n">
        <v>0</v>
      </c>
      <c r="M2654" s="56" t="n">
        <v>52</v>
      </c>
      <c r="N2654" s="56" t="n">
        <v>6.9</v>
      </c>
      <c r="O2654" s="56" t="n">
        <f aca="false">IF(D2654=1,"",E2653)</f>
        <v>17.4</v>
      </c>
      <c r="P2654" s="56" t="n">
        <f aca="false">IF(OR(D2654=1,K2653=""),"",K2653)</f>
        <v>1009.9</v>
      </c>
      <c r="Q2654" s="56" t="n">
        <f aca="false">IF(OR(F2654&lt;&gt;0,AND(I2654&lt;&gt;"",E2654&lt;I2654)),1,0)</f>
        <v>0</v>
      </c>
      <c r="R2654" s="56" t="n">
        <f aca="false">IF(AND(D2654&gt;1,Q2654=0,ISNUMBER(O2654),ISNUMBER(P2654)),IF(Q2653=0,1,0),0)</f>
        <v>1</v>
      </c>
      <c r="S2654" s="56" t="n">
        <f aca="false">R2654*(B2654&gt;=Train_Start)*(B2654&lt;=Train_End)</f>
        <v>1</v>
      </c>
      <c r="T2654" s="84" t="n">
        <f aca="false">IF(AND(ISNUMBER(O2654),ISNUMBER(P2654)),Coef_A+Coef_B1*O2654+Coef_B2*P2654,"")</f>
        <v>18.0239339718038</v>
      </c>
      <c r="U2654" s="84" t="n">
        <f aca="false">IF(AND(R2654=1,ISNUMBER(T2654)),E2654-T2654,"")</f>
        <v>-1.02393397180382</v>
      </c>
      <c r="V2654" s="84" t="n">
        <f aca="false">IF(ISNUMBER(T2654),T2654,-99)</f>
        <v>18.0239339718038</v>
      </c>
      <c r="W2654" s="84" t="n">
        <f aca="false">IF(ISNUMBER(U2654),ABS(U2654),"")</f>
        <v>1.02393397180382</v>
      </c>
    </row>
    <row r="2655" customFormat="false" ht="15" hidden="false" customHeight="false" outlineLevel="0" collapsed="false">
      <c r="A2655" s="57" t="n">
        <v>35238</v>
      </c>
      <c r="B2655" s="56" t="n">
        <v>1996</v>
      </c>
      <c r="C2655" s="56" t="n">
        <v>6</v>
      </c>
      <c r="D2655" s="56" t="n">
        <v>53</v>
      </c>
      <c r="E2655" s="56" t="n">
        <v>21.7</v>
      </c>
      <c r="F2655" s="56" t="n">
        <v>0</v>
      </c>
      <c r="G2655" s="56" t="n">
        <v>8.5</v>
      </c>
      <c r="H2655" s="56" t="n">
        <v>0</v>
      </c>
      <c r="I2655" s="56" t="n">
        <v>12.8</v>
      </c>
      <c r="J2655" s="56" t="n">
        <v>0</v>
      </c>
      <c r="K2655" s="56" t="n">
        <v>1019.3</v>
      </c>
      <c r="L2655" s="56" t="n">
        <v>0</v>
      </c>
      <c r="M2655" s="56" t="n">
        <v>57</v>
      </c>
      <c r="N2655" s="56" t="n">
        <v>4.9</v>
      </c>
      <c r="O2655" s="56" t="n">
        <f aca="false">IF(D2655=1,"",E2654)</f>
        <v>17</v>
      </c>
      <c r="P2655" s="56" t="n">
        <f aca="false">IF(OR(D2655=1,K2654=""),"",K2654)</f>
        <v>1011.9</v>
      </c>
      <c r="Q2655" s="56" t="n">
        <f aca="false">IF(OR(F2655&lt;&gt;0,AND(I2655&lt;&gt;"",E2655&lt;I2655)),1,0)</f>
        <v>0</v>
      </c>
      <c r="R2655" s="56" t="n">
        <f aca="false">IF(AND(D2655&gt;1,Q2655=0,ISNUMBER(O2655),ISNUMBER(P2655)),IF(Q2654=0,1,0),0)</f>
        <v>1</v>
      </c>
      <c r="S2655" s="56" t="n">
        <f aca="false">R2655*(B2655&gt;=Train_Start)*(B2655&lt;=Train_End)</f>
        <v>1</v>
      </c>
      <c r="T2655" s="84" t="n">
        <f aca="false">IF(AND(ISNUMBER(O2655),ISNUMBER(P2655)),Coef_A+Coef_B1*O2655+Coef_B2*P2655,"")</f>
        <v>17.7589380838547</v>
      </c>
      <c r="U2655" s="84" t="n">
        <f aca="false">IF(AND(R2655=1,ISNUMBER(T2655)),E2655-T2655,"")</f>
        <v>3.94106191614526</v>
      </c>
      <c r="V2655" s="84" t="n">
        <f aca="false">IF(ISNUMBER(T2655),T2655,-99)</f>
        <v>17.7589380838547</v>
      </c>
      <c r="W2655" s="84" t="n">
        <f aca="false">IF(ISNUMBER(U2655),ABS(U2655),"")</f>
        <v>3.94106191614526</v>
      </c>
    </row>
    <row r="2656" customFormat="false" ht="15" hidden="false" customHeight="false" outlineLevel="0" collapsed="false">
      <c r="A2656" s="57" t="n">
        <v>35239</v>
      </c>
      <c r="B2656" s="56" t="n">
        <v>1996</v>
      </c>
      <c r="C2656" s="56" t="n">
        <v>6</v>
      </c>
      <c r="D2656" s="56" t="n">
        <v>54</v>
      </c>
      <c r="E2656" s="56" t="n">
        <v>22.1</v>
      </c>
      <c r="F2656" s="56" t="n">
        <v>0</v>
      </c>
      <c r="G2656" s="56" t="n">
        <v>7.7</v>
      </c>
      <c r="H2656" s="56" t="n">
        <v>0</v>
      </c>
      <c r="I2656" s="56" t="n">
        <v>14.7</v>
      </c>
      <c r="J2656" s="56" t="n">
        <v>0</v>
      </c>
      <c r="K2656" s="56" t="n">
        <v>1026</v>
      </c>
      <c r="L2656" s="56" t="n">
        <v>0</v>
      </c>
      <c r="M2656" s="56" t="n">
        <v>58</v>
      </c>
      <c r="N2656" s="56" t="n">
        <v>11.6</v>
      </c>
      <c r="O2656" s="56" t="n">
        <f aca="false">IF(D2656=1,"",E2655)</f>
        <v>21.7</v>
      </c>
      <c r="P2656" s="56" t="n">
        <f aca="false">IF(OR(D2656=1,K2655=""),"",K2655)</f>
        <v>1019.3</v>
      </c>
      <c r="Q2656" s="56" t="n">
        <f aca="false">IF(OR(F2656&lt;&gt;0,AND(I2656&lt;&gt;"",E2656&lt;I2656)),1,0)</f>
        <v>0</v>
      </c>
      <c r="R2656" s="56" t="n">
        <f aca="false">IF(AND(D2656&gt;1,Q2656=0,ISNUMBER(O2656),ISNUMBER(P2656)),IF(Q2655=0,1,0),0)</f>
        <v>1</v>
      </c>
      <c r="S2656" s="56" t="n">
        <f aca="false">R2656*(B2656&gt;=Train_Start)*(B2656&lt;=Train_End)</f>
        <v>1</v>
      </c>
      <c r="T2656" s="84" t="n">
        <f aca="false">IF(AND(ISNUMBER(O2656),ISNUMBER(P2656)),Coef_A+Coef_B1*O2656+Coef_B2*P2656,"")</f>
        <v>21.8419695114468</v>
      </c>
      <c r="U2656" s="84" t="n">
        <f aca="false">IF(AND(R2656=1,ISNUMBER(T2656)),E2656-T2656,"")</f>
        <v>0.258030488553249</v>
      </c>
      <c r="V2656" s="84" t="n">
        <f aca="false">IF(ISNUMBER(T2656),T2656,-99)</f>
        <v>21.8419695114468</v>
      </c>
      <c r="W2656" s="84" t="n">
        <f aca="false">IF(ISNUMBER(U2656),ABS(U2656),"")</f>
        <v>0.258030488553249</v>
      </c>
    </row>
    <row r="2657" customFormat="false" ht="15" hidden="false" customHeight="false" outlineLevel="0" collapsed="false">
      <c r="A2657" s="57" t="n">
        <v>35240</v>
      </c>
      <c r="B2657" s="56" t="n">
        <v>1996</v>
      </c>
      <c r="C2657" s="56" t="n">
        <v>6</v>
      </c>
      <c r="D2657" s="56" t="n">
        <v>55</v>
      </c>
      <c r="E2657" s="56" t="n">
        <v>25.7</v>
      </c>
      <c r="F2657" s="56" t="n">
        <v>0</v>
      </c>
      <c r="G2657" s="56" t="n">
        <v>10.2</v>
      </c>
      <c r="H2657" s="56" t="n">
        <v>0</v>
      </c>
      <c r="I2657" s="56" t="n">
        <v>16.2</v>
      </c>
      <c r="J2657" s="56" t="n">
        <v>0</v>
      </c>
      <c r="K2657" s="56" t="n">
        <v>1028.4</v>
      </c>
      <c r="L2657" s="56" t="n">
        <v>0</v>
      </c>
      <c r="M2657" s="56" t="n">
        <v>60</v>
      </c>
      <c r="N2657" s="56" t="n">
        <v>7.4</v>
      </c>
      <c r="O2657" s="56" t="n">
        <f aca="false">IF(D2657=1,"",E2656)</f>
        <v>22.1</v>
      </c>
      <c r="P2657" s="56" t="n">
        <f aca="false">IF(OR(D2657=1,K2656=""),"",K2656)</f>
        <v>1026</v>
      </c>
      <c r="Q2657" s="56" t="n">
        <f aca="false">IF(OR(F2657&lt;&gt;0,AND(I2657&lt;&gt;"",E2657&lt;I2657)),1,0)</f>
        <v>0</v>
      </c>
      <c r="R2657" s="56" t="n">
        <f aca="false">IF(AND(D2657&gt;1,Q2657=0,ISNUMBER(O2657),ISNUMBER(P2657)),IF(Q2656=0,1,0),0)</f>
        <v>1</v>
      </c>
      <c r="S2657" s="56" t="n">
        <f aca="false">R2657*(B2657&gt;=Train_Start)*(B2657&lt;=Train_End)</f>
        <v>1</v>
      </c>
      <c r="T2657" s="84" t="n">
        <f aca="false">IF(AND(ISNUMBER(O2657),ISNUMBER(P2657)),Coef_A+Coef_B1*O2657+Coef_B2*P2657,"")</f>
        <v>22.3798834827116</v>
      </c>
      <c r="U2657" s="84" t="n">
        <f aca="false">IF(AND(R2657=1,ISNUMBER(T2657)),E2657-T2657,"")</f>
        <v>3.32011651728845</v>
      </c>
      <c r="V2657" s="84" t="n">
        <f aca="false">IF(ISNUMBER(T2657),T2657,-99)</f>
        <v>22.3798834827116</v>
      </c>
      <c r="W2657" s="84" t="n">
        <f aca="false">IF(ISNUMBER(U2657),ABS(U2657),"")</f>
        <v>3.32011651728845</v>
      </c>
    </row>
    <row r="2658" customFormat="false" ht="15" hidden="false" customHeight="false" outlineLevel="0" collapsed="false">
      <c r="A2658" s="57" t="n">
        <v>35241</v>
      </c>
      <c r="B2658" s="56" t="n">
        <v>1996</v>
      </c>
      <c r="C2658" s="56" t="n">
        <v>6</v>
      </c>
      <c r="D2658" s="56" t="n">
        <v>56</v>
      </c>
      <c r="E2658" s="56" t="n">
        <v>26</v>
      </c>
      <c r="F2658" s="56" t="n">
        <v>0</v>
      </c>
      <c r="G2658" s="56" t="n">
        <v>11.8</v>
      </c>
      <c r="H2658" s="56" t="n">
        <v>0</v>
      </c>
      <c r="I2658" s="56" t="n">
        <v>18.8</v>
      </c>
      <c r="J2658" s="56" t="n">
        <v>0</v>
      </c>
      <c r="K2658" s="56" t="n">
        <v>1025</v>
      </c>
      <c r="L2658" s="56" t="n">
        <v>0</v>
      </c>
      <c r="M2658" s="56" t="n">
        <v>59</v>
      </c>
      <c r="N2658" s="56" t="n">
        <v>10</v>
      </c>
      <c r="O2658" s="56" t="n">
        <f aca="false">IF(D2658=1,"",E2657)</f>
        <v>25.7</v>
      </c>
      <c r="P2658" s="56" t="n">
        <f aca="false">IF(OR(D2658=1,K2657=""),"",K2657)</f>
        <v>1028.4</v>
      </c>
      <c r="Q2658" s="56" t="n">
        <f aca="false">IF(OR(F2658&lt;&gt;0,AND(I2658&lt;&gt;"",E2658&lt;I2658)),1,0)</f>
        <v>0</v>
      </c>
      <c r="R2658" s="56" t="n">
        <f aca="false">IF(AND(D2658&gt;1,Q2658=0,ISNUMBER(O2658),ISNUMBER(P2658)),IF(Q2657=0,1,0),0)</f>
        <v>1</v>
      </c>
      <c r="S2658" s="56" t="n">
        <f aca="false">R2658*(B2658&gt;=Train_Start)*(B2658&lt;=Train_End)</f>
        <v>1</v>
      </c>
      <c r="T2658" s="84" t="n">
        <f aca="false">IF(AND(ISNUMBER(O2658),ISNUMBER(P2658)),Coef_A+Coef_B1*O2658+Coef_B2*P2658,"")</f>
        <v>25.4047923247867</v>
      </c>
      <c r="U2658" s="84" t="n">
        <f aca="false">IF(AND(R2658=1,ISNUMBER(T2658)),E2658-T2658,"")</f>
        <v>0.595207675213306</v>
      </c>
      <c r="V2658" s="84" t="n">
        <f aca="false">IF(ISNUMBER(T2658),T2658,-99)</f>
        <v>25.4047923247867</v>
      </c>
      <c r="W2658" s="84" t="n">
        <f aca="false">IF(ISNUMBER(U2658),ABS(U2658),"")</f>
        <v>0.595207675213306</v>
      </c>
    </row>
    <row r="2659" customFormat="false" ht="15" hidden="false" customHeight="false" outlineLevel="0" collapsed="false">
      <c r="A2659" s="57" t="n">
        <v>35242</v>
      </c>
      <c r="B2659" s="56" t="n">
        <v>1996</v>
      </c>
      <c r="C2659" s="56" t="n">
        <v>6</v>
      </c>
      <c r="D2659" s="56" t="n">
        <v>57</v>
      </c>
      <c r="E2659" s="56" t="n">
        <v>24.1</v>
      </c>
      <c r="F2659" s="56" t="n">
        <v>0</v>
      </c>
      <c r="G2659" s="56" t="n">
        <v>11.8</v>
      </c>
      <c r="H2659" s="56" t="n">
        <v>0</v>
      </c>
      <c r="I2659" s="56" t="n">
        <v>18.9</v>
      </c>
      <c r="J2659" s="56" t="n">
        <v>0</v>
      </c>
      <c r="K2659" s="56" t="n">
        <v>1021.7</v>
      </c>
      <c r="L2659" s="56" t="n">
        <v>0</v>
      </c>
      <c r="M2659" s="56" t="n">
        <v>67</v>
      </c>
      <c r="N2659" s="56" t="n">
        <v>9.2</v>
      </c>
      <c r="O2659" s="56" t="n">
        <f aca="false">IF(D2659=1,"",E2658)</f>
        <v>26</v>
      </c>
      <c r="P2659" s="56" t="n">
        <f aca="false">IF(OR(D2659=1,K2658=""),"",K2658)</f>
        <v>1025</v>
      </c>
      <c r="Q2659" s="56" t="n">
        <f aca="false">IF(OR(F2659&lt;&gt;0,AND(I2659&lt;&gt;"",E2659&lt;I2659)),1,0)</f>
        <v>0</v>
      </c>
      <c r="R2659" s="56" t="n">
        <f aca="false">IF(AND(D2659&gt;1,Q2659=0,ISNUMBER(O2659),ISNUMBER(P2659)),IF(Q2658=0,1,0),0)</f>
        <v>1</v>
      </c>
      <c r="S2659" s="56" t="n">
        <f aca="false">R2659*(B2659&gt;=Train_Start)*(B2659&lt;=Train_End)</f>
        <v>1</v>
      </c>
      <c r="T2659" s="84" t="n">
        <f aca="false">IF(AND(ISNUMBER(O2659),ISNUMBER(P2659)),Coef_A+Coef_B1*O2659+Coef_B2*P2659,"")</f>
        <v>25.5439364409439</v>
      </c>
      <c r="U2659" s="84" t="n">
        <f aca="false">IF(AND(R2659=1,ISNUMBER(T2659)),E2659-T2659,"")</f>
        <v>-1.44393644094392</v>
      </c>
      <c r="V2659" s="84" t="n">
        <f aca="false">IF(ISNUMBER(T2659),T2659,-99)</f>
        <v>25.5439364409439</v>
      </c>
      <c r="W2659" s="84" t="n">
        <f aca="false">IF(ISNUMBER(U2659),ABS(U2659),"")</f>
        <v>1.44393644094392</v>
      </c>
    </row>
    <row r="2660" customFormat="false" ht="15" hidden="false" customHeight="false" outlineLevel="0" collapsed="false">
      <c r="A2660" s="57" t="n">
        <v>35243</v>
      </c>
      <c r="B2660" s="56" t="n">
        <v>1996</v>
      </c>
      <c r="C2660" s="56" t="n">
        <v>6</v>
      </c>
      <c r="D2660" s="56" t="n">
        <v>58</v>
      </c>
      <c r="E2660" s="56" t="n">
        <v>19.7</v>
      </c>
      <c r="F2660" s="56" t="n">
        <v>1</v>
      </c>
      <c r="G2660" s="56" t="n">
        <v>16.1</v>
      </c>
      <c r="H2660" s="56" t="n">
        <v>0</v>
      </c>
      <c r="I2660" s="56" t="n">
        <v>20.1</v>
      </c>
      <c r="J2660" s="56" t="n">
        <v>1</v>
      </c>
      <c r="K2660" s="56" t="n">
        <v>1022.5</v>
      </c>
      <c r="L2660" s="56" t="n">
        <v>0</v>
      </c>
      <c r="M2660" s="56" t="n">
        <v>71</v>
      </c>
      <c r="N2660" s="56" t="n">
        <v>1.8</v>
      </c>
      <c r="O2660" s="56" t="n">
        <f aca="false">IF(D2660=1,"",E2659)</f>
        <v>24.1</v>
      </c>
      <c r="P2660" s="56" t="n">
        <f aca="false">IF(OR(D2660=1,K2659=""),"",K2659)</f>
        <v>1021.7</v>
      </c>
      <c r="Q2660" s="56" t="n">
        <f aca="false">IF(OR(F2660&lt;&gt;0,AND(I2660&lt;&gt;"",E2660&lt;I2660)),1,0)</f>
        <v>1</v>
      </c>
      <c r="R2660" s="56" t="n">
        <f aca="false">IF(AND(D2660&gt;1,Q2660=0,ISNUMBER(O2660),ISNUMBER(P2660)),IF(Q2659=0,1,0),0)</f>
        <v>0</v>
      </c>
      <c r="S2660" s="56" t="n">
        <f aca="false">R2660*(B2660&gt;=Train_Start)*(B2660&lt;=Train_End)</f>
        <v>0</v>
      </c>
      <c r="T2660" s="84" t="n">
        <f aca="false">IF(AND(ISNUMBER(O2660),ISNUMBER(P2660)),Coef_A+Coef_B1*O2660+Coef_B2*P2660,"")</f>
        <v>23.8836713218707</v>
      </c>
      <c r="U2660" s="84" t="str">
        <f aca="false">IF(AND(R2660=1,ISNUMBER(T2660)),E2660-T2660,"")</f>
        <v/>
      </c>
      <c r="V2660" s="84" t="n">
        <f aca="false">IF(ISNUMBER(T2660),T2660,-99)</f>
        <v>23.8836713218707</v>
      </c>
      <c r="W2660" s="84" t="str">
        <f aca="false">IF(ISNUMBER(U2660),ABS(U2660),"")</f>
        <v/>
      </c>
    </row>
    <row r="2661" customFormat="false" ht="15" hidden="false" customHeight="false" outlineLevel="0" collapsed="false">
      <c r="A2661" s="57" t="n">
        <v>35244</v>
      </c>
      <c r="B2661" s="56" t="n">
        <v>1996</v>
      </c>
      <c r="C2661" s="56" t="n">
        <v>6</v>
      </c>
      <c r="D2661" s="56" t="n">
        <v>59</v>
      </c>
      <c r="E2661" s="56" t="n">
        <v>18.2</v>
      </c>
      <c r="F2661" s="56" t="n">
        <v>0</v>
      </c>
      <c r="G2661" s="56" t="n">
        <v>13.5</v>
      </c>
      <c r="H2661" s="56" t="n">
        <v>0</v>
      </c>
      <c r="I2661" s="56" t="n">
        <v>16.6</v>
      </c>
      <c r="J2661" s="56" t="n">
        <v>0</v>
      </c>
      <c r="K2661" s="56" t="n">
        <v>1016.2</v>
      </c>
      <c r="L2661" s="56" t="n">
        <v>0</v>
      </c>
      <c r="M2661" s="56" t="n">
        <v>76</v>
      </c>
      <c r="N2661" s="56" t="n">
        <v>1.5</v>
      </c>
      <c r="O2661" s="56" t="n">
        <f aca="false">IF(D2661=1,"",E2660)</f>
        <v>19.7</v>
      </c>
      <c r="P2661" s="56" t="n">
        <f aca="false">IF(OR(D2661=1,K2660=""),"",K2660)</f>
        <v>1022.5</v>
      </c>
      <c r="Q2661" s="56" t="n">
        <f aca="false">IF(OR(F2661&lt;&gt;0,AND(I2661&lt;&gt;"",E2661&lt;I2661)),1,0)</f>
        <v>0</v>
      </c>
      <c r="R2661" s="56" t="n">
        <f aca="false">IF(AND(D2661&gt;1,Q2661=0,ISNUMBER(O2661),ISNUMBER(P2661)),IF(Q2660=0,1,0),0)</f>
        <v>0</v>
      </c>
      <c r="S2661" s="56" t="n">
        <f aca="false">R2661*(B2661&gt;=Train_Start)*(B2661&lt;=Train_End)</f>
        <v>0</v>
      </c>
      <c r="T2661" s="84" t="n">
        <f aca="false">IF(AND(ISNUMBER(O2661),ISNUMBER(P2661)),Coef_A+Coef_B1*O2661+Coef_B2*P2661,"")</f>
        <v>20.3036747881902</v>
      </c>
      <c r="U2661" s="84" t="str">
        <f aca="false">IF(AND(R2661=1,ISNUMBER(T2661)),E2661-T2661,"")</f>
        <v/>
      </c>
      <c r="V2661" s="84" t="n">
        <f aca="false">IF(ISNUMBER(T2661),T2661,-99)</f>
        <v>20.3036747881902</v>
      </c>
      <c r="W2661" s="84" t="str">
        <f aca="false">IF(ISNUMBER(U2661),ABS(U2661),"")</f>
        <v/>
      </c>
    </row>
    <row r="2662" customFormat="false" ht="15" hidden="false" customHeight="false" outlineLevel="0" collapsed="false">
      <c r="A2662" s="57" t="n">
        <v>35245</v>
      </c>
      <c r="B2662" s="56" t="n">
        <v>1996</v>
      </c>
      <c r="C2662" s="56" t="n">
        <v>6</v>
      </c>
      <c r="D2662" s="56" t="n">
        <v>60</v>
      </c>
      <c r="E2662" s="56" t="n">
        <v>22.6</v>
      </c>
      <c r="F2662" s="56" t="n">
        <v>0</v>
      </c>
      <c r="G2662" s="56" t="n">
        <v>10.9</v>
      </c>
      <c r="H2662" s="56" t="n">
        <v>0</v>
      </c>
      <c r="I2662" s="56" t="n">
        <v>14.6</v>
      </c>
      <c r="J2662" s="56" t="n">
        <v>0</v>
      </c>
      <c r="K2662" s="56" t="n">
        <v>1015.1</v>
      </c>
      <c r="L2662" s="56" t="n">
        <v>0</v>
      </c>
      <c r="M2662" s="56" t="n">
        <v>65</v>
      </c>
      <c r="N2662" s="56" t="n">
        <v>1.4</v>
      </c>
      <c r="O2662" s="56" t="n">
        <f aca="false">IF(D2662=1,"",E2661)</f>
        <v>18.2</v>
      </c>
      <c r="P2662" s="56" t="n">
        <f aca="false">IF(OR(D2662=1,K2661=""),"",K2661)</f>
        <v>1016.2</v>
      </c>
      <c r="Q2662" s="56" t="n">
        <f aca="false">IF(OR(F2662&lt;&gt;0,AND(I2662&lt;&gt;"",E2662&lt;I2662)),1,0)</f>
        <v>0</v>
      </c>
      <c r="R2662" s="56" t="n">
        <f aca="false">IF(AND(D2662&gt;1,Q2662=0,ISNUMBER(O2662),ISNUMBER(P2662)),IF(Q2661=0,1,0),0)</f>
        <v>1</v>
      </c>
      <c r="S2662" s="56" t="n">
        <f aca="false">R2662*(B2662&gt;=Train_Start)*(B2662&lt;=Train_End)</f>
        <v>1</v>
      </c>
      <c r="T2662" s="84" t="n">
        <f aca="false">IF(AND(ISNUMBER(O2662),ISNUMBER(P2662)),Coef_A+Coef_B1*O2662+Coef_B2*P2662,"")</f>
        <v>18.8770356624321</v>
      </c>
      <c r="U2662" s="84" t="n">
        <f aca="false">IF(AND(R2662=1,ISNUMBER(T2662)),E2662-T2662,"")</f>
        <v>3.72296433756792</v>
      </c>
      <c r="V2662" s="84" t="n">
        <f aca="false">IF(ISNUMBER(T2662),T2662,-99)</f>
        <v>18.8770356624321</v>
      </c>
      <c r="W2662" s="84" t="n">
        <f aca="false">IF(ISNUMBER(U2662),ABS(U2662),"")</f>
        <v>3.72296433756792</v>
      </c>
    </row>
    <row r="2663" customFormat="false" ht="15" hidden="false" customHeight="false" outlineLevel="0" collapsed="false">
      <c r="A2663" s="57" t="n">
        <v>35246</v>
      </c>
      <c r="B2663" s="56" t="n">
        <v>1996</v>
      </c>
      <c r="C2663" s="56" t="n">
        <v>6</v>
      </c>
      <c r="D2663" s="56" t="n">
        <v>61</v>
      </c>
      <c r="E2663" s="56" t="n">
        <v>16.8</v>
      </c>
      <c r="F2663" s="56" t="n">
        <v>0</v>
      </c>
      <c r="G2663" s="56" t="n">
        <v>10.7</v>
      </c>
      <c r="H2663" s="56" t="n">
        <v>0</v>
      </c>
      <c r="I2663" s="56" t="n">
        <v>16.6</v>
      </c>
      <c r="J2663" s="56" t="n">
        <v>0</v>
      </c>
      <c r="K2663" s="56" t="n">
        <v>1012.4</v>
      </c>
      <c r="L2663" s="56" t="n">
        <v>0</v>
      </c>
      <c r="M2663" s="56" t="n">
        <v>68</v>
      </c>
      <c r="N2663" s="56" t="n">
        <v>3.6</v>
      </c>
      <c r="O2663" s="56" t="n">
        <f aca="false">IF(D2663=1,"",E2662)</f>
        <v>22.6</v>
      </c>
      <c r="P2663" s="56" t="n">
        <f aca="false">IF(OR(D2663=1,K2662=""),"",K2662)</f>
        <v>1015.1</v>
      </c>
      <c r="Q2663" s="56" t="n">
        <f aca="false">IF(OR(F2663&lt;&gt;0,AND(I2663&lt;&gt;"",E2663&lt;I2663)),1,0)</f>
        <v>0</v>
      </c>
      <c r="R2663" s="56" t="n">
        <f aca="false">IF(AND(D2663&gt;1,Q2663=0,ISNUMBER(O2663),ISNUMBER(P2663)),IF(Q2662=0,1,0),0)</f>
        <v>1</v>
      </c>
      <c r="S2663" s="56" t="n">
        <f aca="false">R2663*(B2663&gt;=Train_Start)*(B2663&lt;=Train_End)</f>
        <v>1</v>
      </c>
      <c r="T2663" s="84" t="n">
        <f aca="false">IF(AND(ISNUMBER(O2663),ISNUMBER(P2663)),Coef_A+Coef_B1*O2663+Coef_B2*P2663,"")</f>
        <v>22.4476212277224</v>
      </c>
      <c r="U2663" s="84" t="n">
        <f aca="false">IF(AND(R2663=1,ISNUMBER(T2663)),E2663-T2663,"")</f>
        <v>-5.64762122772239</v>
      </c>
      <c r="V2663" s="84" t="n">
        <f aca="false">IF(ISNUMBER(T2663),T2663,-99)</f>
        <v>22.4476212277224</v>
      </c>
      <c r="W2663" s="84" t="n">
        <f aca="false">IF(ISNUMBER(U2663),ABS(U2663),"")</f>
        <v>5.64762122772239</v>
      </c>
    </row>
    <row r="2664" customFormat="false" ht="15" hidden="false" customHeight="false" outlineLevel="0" collapsed="false">
      <c r="A2664" s="57" t="n">
        <v>35247</v>
      </c>
      <c r="B2664" s="56" t="n">
        <v>1996</v>
      </c>
      <c r="C2664" s="56" t="n">
        <v>7</v>
      </c>
      <c r="D2664" s="56" t="n">
        <v>62</v>
      </c>
      <c r="E2664" s="56" t="n">
        <v>20.9</v>
      </c>
      <c r="F2664" s="56" t="n">
        <v>0</v>
      </c>
      <c r="G2664" s="56" t="n">
        <v>12.1</v>
      </c>
      <c r="H2664" s="56" t="n">
        <v>0</v>
      </c>
      <c r="I2664" s="56" t="n">
        <v>14.4</v>
      </c>
      <c r="J2664" s="56" t="n">
        <v>0</v>
      </c>
      <c r="K2664" s="56" t="n">
        <v>1005.5</v>
      </c>
      <c r="L2664" s="56" t="n">
        <v>0</v>
      </c>
      <c r="M2664" s="56" t="n">
        <v>73</v>
      </c>
      <c r="N2664" s="56" t="n">
        <v>5.2</v>
      </c>
      <c r="O2664" s="56" t="n">
        <f aca="false">IF(D2664=1,"",E2663)</f>
        <v>16.8</v>
      </c>
      <c r="P2664" s="56" t="n">
        <f aca="false">IF(OR(D2664=1,K2663=""),"",K2663)</f>
        <v>1012.4</v>
      </c>
      <c r="Q2664" s="56" t="n">
        <f aca="false">IF(OR(F2664&lt;&gt;0,AND(I2664&lt;&gt;"",E2664&lt;I2664)),1,0)</f>
        <v>0</v>
      </c>
      <c r="R2664" s="56" t="n">
        <f aca="false">IF(AND(D2664&gt;1,Q2664=0,ISNUMBER(O2664),ISNUMBER(P2664)),IF(Q2663=0,1,0),0)</f>
        <v>1</v>
      </c>
      <c r="S2664" s="56" t="n">
        <f aca="false">R2664*(B2664&gt;=Train_Start)*(B2664&lt;=Train_End)</f>
        <v>1</v>
      </c>
      <c r="T2664" s="84" t="n">
        <f aca="false">IF(AND(ISNUMBER(O2664),ISNUMBER(P2664)),Coef_A+Coef_B1*O2664+Coef_B2*P2664,"")</f>
        <v>17.6107551925632</v>
      </c>
      <c r="U2664" s="84" t="n">
        <f aca="false">IF(AND(R2664=1,ISNUMBER(T2664)),E2664-T2664,"")</f>
        <v>3.2892448074368</v>
      </c>
      <c r="V2664" s="84" t="n">
        <f aca="false">IF(ISNUMBER(T2664),T2664,-99)</f>
        <v>17.6107551925632</v>
      </c>
      <c r="W2664" s="84" t="n">
        <f aca="false">IF(ISNUMBER(U2664),ABS(U2664),"")</f>
        <v>3.2892448074368</v>
      </c>
    </row>
    <row r="2665" customFormat="false" ht="15" hidden="false" customHeight="false" outlineLevel="0" collapsed="false">
      <c r="A2665" s="57" t="n">
        <v>35248</v>
      </c>
      <c r="B2665" s="56" t="n">
        <v>1996</v>
      </c>
      <c r="C2665" s="56" t="n">
        <v>7</v>
      </c>
      <c r="D2665" s="56" t="n">
        <v>63</v>
      </c>
      <c r="E2665" s="56" t="n">
        <v>19</v>
      </c>
      <c r="F2665" s="56" t="n">
        <v>0</v>
      </c>
      <c r="G2665" s="56" t="n">
        <v>9.9</v>
      </c>
      <c r="H2665" s="56" t="n">
        <v>0</v>
      </c>
      <c r="I2665" s="56" t="n">
        <v>15.4</v>
      </c>
      <c r="J2665" s="56" t="n">
        <v>0</v>
      </c>
      <c r="K2665" s="56" t="n">
        <v>1008.1</v>
      </c>
      <c r="L2665" s="56" t="n">
        <v>0</v>
      </c>
      <c r="M2665" s="56" t="n">
        <v>65</v>
      </c>
      <c r="N2665" s="56" t="n">
        <v>4</v>
      </c>
      <c r="O2665" s="56" t="n">
        <f aca="false">IF(D2665=1,"",E2664)</f>
        <v>20.9</v>
      </c>
      <c r="P2665" s="56" t="n">
        <f aca="false">IF(OR(D2665=1,K2664=""),"",K2664)</f>
        <v>1005.5</v>
      </c>
      <c r="Q2665" s="56" t="n">
        <f aca="false">IF(OR(F2665&lt;&gt;0,AND(I2665&lt;&gt;"",E2665&lt;I2665)),1,0)</f>
        <v>0</v>
      </c>
      <c r="R2665" s="56" t="n">
        <f aca="false">IF(AND(D2665&gt;1,Q2665=0,ISNUMBER(O2665),ISNUMBER(P2665)),IF(Q2664=0,1,0),0)</f>
        <v>1</v>
      </c>
      <c r="S2665" s="56" t="n">
        <f aca="false">R2665*(B2665&gt;=Train_Start)*(B2665&lt;=Train_End)</f>
        <v>1</v>
      </c>
      <c r="T2665" s="84" t="n">
        <f aca="false">IF(AND(ISNUMBER(O2665),ISNUMBER(P2665)),Coef_A+Coef_B1*O2665+Coef_B2*P2665,"")</f>
        <v>20.7535936110636</v>
      </c>
      <c r="U2665" s="84" t="n">
        <f aca="false">IF(AND(R2665=1,ISNUMBER(T2665)),E2665-T2665,"")</f>
        <v>-1.75359361106358</v>
      </c>
      <c r="V2665" s="84" t="n">
        <f aca="false">IF(ISNUMBER(T2665),T2665,-99)</f>
        <v>20.7535936110636</v>
      </c>
      <c r="W2665" s="84" t="n">
        <f aca="false">IF(ISNUMBER(U2665),ABS(U2665),"")</f>
        <v>1.75359361106358</v>
      </c>
    </row>
    <row r="2666" customFormat="false" ht="15" hidden="false" customHeight="false" outlineLevel="0" collapsed="false">
      <c r="A2666" s="57" t="n">
        <v>35249</v>
      </c>
      <c r="B2666" s="56" t="n">
        <v>1996</v>
      </c>
      <c r="C2666" s="56" t="n">
        <v>7</v>
      </c>
      <c r="D2666" s="56" t="n">
        <v>64</v>
      </c>
      <c r="E2666" s="56" t="n">
        <v>20.4</v>
      </c>
      <c r="F2666" s="56" t="n">
        <v>0</v>
      </c>
      <c r="G2666" s="56" t="n">
        <v>11.8</v>
      </c>
      <c r="H2666" s="56" t="n">
        <v>0</v>
      </c>
      <c r="I2666" s="56" t="n">
        <v>15.4</v>
      </c>
      <c r="J2666" s="56" t="n">
        <v>0</v>
      </c>
      <c r="K2666" s="56" t="n">
        <v>1003.1</v>
      </c>
      <c r="L2666" s="56" t="n">
        <v>0</v>
      </c>
      <c r="M2666" s="56" t="n">
        <v>83</v>
      </c>
      <c r="N2666" s="56" t="n">
        <v>1.3</v>
      </c>
      <c r="O2666" s="56" t="n">
        <f aca="false">IF(D2666=1,"",E2665)</f>
        <v>19</v>
      </c>
      <c r="P2666" s="56" t="n">
        <f aca="false">IF(OR(D2666=1,K2665=""),"",K2665)</f>
        <v>1008.1</v>
      </c>
      <c r="Q2666" s="56" t="n">
        <f aca="false">IF(OR(F2666&lt;&gt;0,AND(I2666&lt;&gt;"",E2666&lt;I2666)),1,0)</f>
        <v>0</v>
      </c>
      <c r="R2666" s="56" t="n">
        <f aca="false">IF(AND(D2666&gt;1,Q2666=0,ISNUMBER(O2666),ISNUMBER(P2666)),IF(Q2665=0,1,0),0)</f>
        <v>1</v>
      </c>
      <c r="S2666" s="56" t="n">
        <f aca="false">R2666*(B2666&gt;=Train_Start)*(B2666&lt;=Train_End)</f>
        <v>1</v>
      </c>
      <c r="T2666" s="84" t="n">
        <f aca="false">IF(AND(ISNUMBER(O2666),ISNUMBER(P2666)),Coef_A+Coef_B1*O2666+Coef_B2*P2666,"")</f>
        <v>19.2784108703309</v>
      </c>
      <c r="U2666" s="84" t="n">
        <f aca="false">IF(AND(R2666=1,ISNUMBER(T2666)),E2666-T2666,"")</f>
        <v>1.1215891296691</v>
      </c>
      <c r="V2666" s="84" t="n">
        <f aca="false">IF(ISNUMBER(T2666),T2666,-99)</f>
        <v>19.2784108703309</v>
      </c>
      <c r="W2666" s="84" t="n">
        <f aca="false">IF(ISNUMBER(U2666),ABS(U2666),"")</f>
        <v>1.1215891296691</v>
      </c>
    </row>
    <row r="2667" customFormat="false" ht="15" hidden="false" customHeight="false" outlineLevel="0" collapsed="false">
      <c r="A2667" s="57" t="n">
        <v>35250</v>
      </c>
      <c r="B2667" s="56" t="n">
        <v>1996</v>
      </c>
      <c r="C2667" s="56" t="n">
        <v>7</v>
      </c>
      <c r="D2667" s="56" t="n">
        <v>65</v>
      </c>
      <c r="E2667" s="56" t="n">
        <v>20.8</v>
      </c>
      <c r="F2667" s="56" t="n">
        <v>0</v>
      </c>
      <c r="G2667" s="56" t="n">
        <v>11.2</v>
      </c>
      <c r="H2667" s="56" t="n">
        <v>0</v>
      </c>
      <c r="I2667" s="56" t="n">
        <v>15.8</v>
      </c>
      <c r="J2667" s="56" t="n">
        <v>0</v>
      </c>
      <c r="K2667" s="56" t="n">
        <v>1003.9</v>
      </c>
      <c r="L2667" s="56" t="n">
        <v>0</v>
      </c>
      <c r="M2667" s="56" t="n">
        <v>70</v>
      </c>
      <c r="N2667" s="56" t="n">
        <v>7.4</v>
      </c>
      <c r="O2667" s="56" t="n">
        <f aca="false">IF(D2667=1,"",E2666)</f>
        <v>20.4</v>
      </c>
      <c r="P2667" s="56" t="n">
        <f aca="false">IF(OR(D2667=1,K2666=""),"",K2666)</f>
        <v>1003.1</v>
      </c>
      <c r="Q2667" s="56" t="n">
        <f aca="false">IF(OR(F2667&lt;&gt;0,AND(I2667&lt;&gt;"",E2667&lt;I2667)),1,0)</f>
        <v>0</v>
      </c>
      <c r="R2667" s="56" t="n">
        <f aca="false">IF(AND(D2667&gt;1,Q2667=0,ISNUMBER(O2667),ISNUMBER(P2667)),IF(Q2666=0,1,0),0)</f>
        <v>1</v>
      </c>
      <c r="S2667" s="56" t="n">
        <f aca="false">R2667*(B2667&gt;=Train_Start)*(B2667&lt;=Train_End)</f>
        <v>1</v>
      </c>
      <c r="T2667" s="84" t="n">
        <f aca="false">IF(AND(ISNUMBER(O2667),ISNUMBER(P2667)),Coef_A+Coef_B1*O2667+Coef_B2*P2667,"")</f>
        <v>20.2686362674207</v>
      </c>
      <c r="U2667" s="84" t="n">
        <f aca="false">IF(AND(R2667=1,ISNUMBER(T2667)),E2667-T2667,"")</f>
        <v>0.53136373257933</v>
      </c>
      <c r="V2667" s="84" t="n">
        <f aca="false">IF(ISNUMBER(T2667),T2667,-99)</f>
        <v>20.2686362674207</v>
      </c>
      <c r="W2667" s="84" t="n">
        <f aca="false">IF(ISNUMBER(U2667),ABS(U2667),"")</f>
        <v>0.53136373257933</v>
      </c>
    </row>
    <row r="2668" customFormat="false" ht="15" hidden="false" customHeight="false" outlineLevel="0" collapsed="false">
      <c r="A2668" s="57" t="n">
        <v>35251</v>
      </c>
      <c r="B2668" s="56" t="n">
        <v>1996</v>
      </c>
      <c r="C2668" s="56" t="n">
        <v>7</v>
      </c>
      <c r="D2668" s="56" t="n">
        <v>66</v>
      </c>
      <c r="E2668" s="56" t="n">
        <v>18.8</v>
      </c>
      <c r="F2668" s="56" t="n">
        <v>0</v>
      </c>
      <c r="G2668" s="56" t="n">
        <v>10.3</v>
      </c>
      <c r="H2668" s="56" t="n">
        <v>0</v>
      </c>
      <c r="I2668" s="56" t="n">
        <v>15.6</v>
      </c>
      <c r="J2668" s="56" t="n">
        <v>0</v>
      </c>
      <c r="K2668" s="56" t="n">
        <v>1006.9</v>
      </c>
      <c r="L2668" s="56" t="n">
        <v>0</v>
      </c>
      <c r="M2668" s="56" t="n">
        <v>81</v>
      </c>
      <c r="N2668" s="56" t="n">
        <v>2.5</v>
      </c>
      <c r="O2668" s="56" t="n">
        <f aca="false">IF(D2668=1,"",E2667)</f>
        <v>20.8</v>
      </c>
      <c r="P2668" s="56" t="n">
        <f aca="false">IF(OR(D2668=1,K2667=""),"",K2667)</f>
        <v>1003.9</v>
      </c>
      <c r="Q2668" s="56" t="n">
        <f aca="false">IF(OR(F2668&lt;&gt;0,AND(I2668&lt;&gt;"",E2668&lt;I2668)),1,0)</f>
        <v>0</v>
      </c>
      <c r="R2668" s="56" t="n">
        <f aca="false">IF(AND(D2668&gt;1,Q2668=0,ISNUMBER(O2668),ISNUMBER(P2668)),IF(Q2667=0,1,0),0)</f>
        <v>1</v>
      </c>
      <c r="S2668" s="56" t="n">
        <f aca="false">R2668*(B2668&gt;=Train_Start)*(B2668&lt;=Train_End)</f>
        <v>1</v>
      </c>
      <c r="T2668" s="84" t="n">
        <f aca="false">IF(AND(ISNUMBER(O2668),ISNUMBER(P2668)),Coef_A+Coef_B1*O2668+Coef_B2*P2668,"")</f>
        <v>20.6214678603449</v>
      </c>
      <c r="U2668" s="84" t="n">
        <f aca="false">IF(AND(R2668=1,ISNUMBER(T2668)),E2668-T2668,"")</f>
        <v>-1.82146786034492</v>
      </c>
      <c r="V2668" s="84" t="n">
        <f aca="false">IF(ISNUMBER(T2668),T2668,-99)</f>
        <v>20.6214678603449</v>
      </c>
      <c r="W2668" s="84" t="n">
        <f aca="false">IF(ISNUMBER(U2668),ABS(U2668),"")</f>
        <v>1.82146786034492</v>
      </c>
    </row>
    <row r="2669" customFormat="false" ht="15" hidden="false" customHeight="false" outlineLevel="0" collapsed="false">
      <c r="A2669" s="57" t="n">
        <v>35252</v>
      </c>
      <c r="B2669" s="56" t="n">
        <v>1996</v>
      </c>
      <c r="C2669" s="56" t="n">
        <v>7</v>
      </c>
      <c r="D2669" s="56" t="n">
        <v>67</v>
      </c>
      <c r="E2669" s="56" t="n">
        <v>20.3</v>
      </c>
      <c r="F2669" s="56" t="n">
        <v>0</v>
      </c>
      <c r="G2669" s="56" t="n">
        <v>11</v>
      </c>
      <c r="H2669" s="56" t="n">
        <v>0</v>
      </c>
      <c r="I2669" s="56" t="n">
        <v>14.9</v>
      </c>
      <c r="J2669" s="56" t="n">
        <v>0</v>
      </c>
      <c r="K2669" s="56" t="n">
        <v>1008.4</v>
      </c>
      <c r="L2669" s="56" t="n">
        <v>0</v>
      </c>
      <c r="M2669" s="56" t="n">
        <v>79</v>
      </c>
      <c r="N2669" s="56" t="n">
        <v>5.4</v>
      </c>
      <c r="O2669" s="56" t="n">
        <f aca="false">IF(D2669=1,"",E2668)</f>
        <v>18.8</v>
      </c>
      <c r="P2669" s="56" t="n">
        <f aca="false">IF(OR(D2669=1,K2668=""),"",K2668)</f>
        <v>1006.9</v>
      </c>
      <c r="Q2669" s="56" t="n">
        <f aca="false">IF(OR(F2669&lt;&gt;0,AND(I2669&lt;&gt;"",E2669&lt;I2669)),1,0)</f>
        <v>0</v>
      </c>
      <c r="R2669" s="56" t="n">
        <f aca="false">IF(AND(D2669&gt;1,Q2669=0,ISNUMBER(O2669),ISNUMBER(P2669)),IF(Q2668=0,1,0),0)</f>
        <v>1</v>
      </c>
      <c r="S2669" s="56" t="n">
        <f aca="false">R2669*(B2669&gt;=Train_Start)*(B2669&lt;=Train_End)</f>
        <v>1</v>
      </c>
      <c r="T2669" s="84" t="n">
        <f aca="false">IF(AND(ISNUMBER(O2669),ISNUMBER(P2669)),Coef_A+Coef_B1*O2669+Coef_B2*P2669,"")</f>
        <v>19.0768991581616</v>
      </c>
      <c r="U2669" s="84" t="n">
        <f aca="false">IF(AND(R2669=1,ISNUMBER(T2669)),E2669-T2669,"")</f>
        <v>1.22310084183842</v>
      </c>
      <c r="V2669" s="84" t="n">
        <f aca="false">IF(ISNUMBER(T2669),T2669,-99)</f>
        <v>19.0768991581616</v>
      </c>
      <c r="W2669" s="84" t="n">
        <f aca="false">IF(ISNUMBER(U2669),ABS(U2669),"")</f>
        <v>1.22310084183842</v>
      </c>
    </row>
    <row r="2670" customFormat="false" ht="15" hidden="false" customHeight="false" outlineLevel="0" collapsed="false">
      <c r="A2670" s="57" t="n">
        <v>35253</v>
      </c>
      <c r="B2670" s="56" t="n">
        <v>1996</v>
      </c>
      <c r="C2670" s="56" t="n">
        <v>7</v>
      </c>
      <c r="D2670" s="56" t="n">
        <v>68</v>
      </c>
      <c r="E2670" s="56" t="n">
        <v>19.9</v>
      </c>
      <c r="F2670" s="56" t="n">
        <v>0</v>
      </c>
      <c r="G2670" s="56" t="n">
        <v>10.7</v>
      </c>
      <c r="H2670" s="56" t="n">
        <v>0</v>
      </c>
      <c r="I2670" s="56" t="n">
        <v>15.5</v>
      </c>
      <c r="J2670" s="56" t="n">
        <v>0</v>
      </c>
      <c r="K2670" s="56" t="n">
        <v>1010.1</v>
      </c>
      <c r="L2670" s="56" t="n">
        <v>0</v>
      </c>
      <c r="M2670" s="56" t="n">
        <v>68</v>
      </c>
      <c r="N2670" s="56" t="n">
        <v>7.8</v>
      </c>
      <c r="O2670" s="56" t="n">
        <f aca="false">IF(D2670=1,"",E2669)</f>
        <v>20.3</v>
      </c>
      <c r="P2670" s="56" t="n">
        <f aca="false">IF(OR(D2670=1,K2669=""),"",K2669)</f>
        <v>1008.4</v>
      </c>
      <c r="Q2670" s="56" t="n">
        <f aca="false">IF(OR(F2670&lt;&gt;0,AND(I2670&lt;&gt;"",E2670&lt;I2670)),1,0)</f>
        <v>0</v>
      </c>
      <c r="R2670" s="56" t="n">
        <f aca="false">IF(AND(D2670&gt;1,Q2670=0,ISNUMBER(O2670),ISNUMBER(P2670)),IF(Q2669=0,1,0),0)</f>
        <v>1</v>
      </c>
      <c r="S2670" s="56" t="n">
        <f aca="false">R2670*(B2670&gt;=Train_Start)*(B2670&lt;=Train_End)</f>
        <v>1</v>
      </c>
      <c r="T2670" s="84" t="n">
        <f aca="false">IF(AND(ISNUMBER(O2670),ISNUMBER(P2670)),Coef_A+Coef_B1*O2670+Coef_B2*P2670,"")</f>
        <v>20.3529627896766</v>
      </c>
      <c r="U2670" s="84" t="n">
        <f aca="false">IF(AND(R2670=1,ISNUMBER(T2670)),E2670-T2670,"")</f>
        <v>-0.452962789676551</v>
      </c>
      <c r="V2670" s="84" t="n">
        <f aca="false">IF(ISNUMBER(T2670),T2670,-99)</f>
        <v>20.3529627896766</v>
      </c>
      <c r="W2670" s="84" t="n">
        <f aca="false">IF(ISNUMBER(U2670),ABS(U2670),"")</f>
        <v>0.452962789676551</v>
      </c>
    </row>
    <row r="2671" customFormat="false" ht="15" hidden="false" customHeight="false" outlineLevel="0" collapsed="false">
      <c r="A2671" s="57" t="n">
        <v>35254</v>
      </c>
      <c r="B2671" s="56" t="n">
        <v>1996</v>
      </c>
      <c r="C2671" s="56" t="n">
        <v>7</v>
      </c>
      <c r="D2671" s="56" t="n">
        <v>69</v>
      </c>
      <c r="E2671" s="56" t="n">
        <v>20.8</v>
      </c>
      <c r="F2671" s="56" t="n">
        <v>0</v>
      </c>
      <c r="G2671" s="56" t="n">
        <v>10.1</v>
      </c>
      <c r="H2671" s="56" t="n">
        <v>0</v>
      </c>
      <c r="I2671" s="56" t="n">
        <v>15</v>
      </c>
      <c r="J2671" s="56" t="n">
        <v>0</v>
      </c>
      <c r="K2671" s="56" t="n">
        <v>1019.7</v>
      </c>
      <c r="L2671" s="56" t="n">
        <v>0</v>
      </c>
      <c r="M2671" s="56" t="n">
        <v>66</v>
      </c>
      <c r="N2671" s="56" t="n">
        <v>7.7</v>
      </c>
      <c r="O2671" s="56" t="n">
        <f aca="false">IF(D2671=1,"",E2670)</f>
        <v>19.9</v>
      </c>
      <c r="P2671" s="56" t="n">
        <f aca="false">IF(OR(D2671=1,K2670=""),"",K2670)</f>
        <v>1010.1</v>
      </c>
      <c r="Q2671" s="56" t="n">
        <f aca="false">IF(OR(F2671&lt;&gt;0,AND(I2671&lt;&gt;"",E2671&lt;I2671)),1,0)</f>
        <v>0</v>
      </c>
      <c r="R2671" s="56" t="n">
        <f aca="false">IF(AND(D2671&gt;1,Q2671=0,ISNUMBER(O2671),ISNUMBER(P2671)),IF(Q2670=0,1,0),0)</f>
        <v>1</v>
      </c>
      <c r="S2671" s="56" t="n">
        <f aca="false">R2671*(B2671&gt;=Train_Start)*(B2671&lt;=Train_End)</f>
        <v>1</v>
      </c>
      <c r="T2671" s="84" t="n">
        <f aca="false">IF(AND(ISNUMBER(O2671),ISNUMBER(P2671)),Coef_A+Coef_B1*O2671+Coef_B2*P2671,"")</f>
        <v>20.0785559333373</v>
      </c>
      <c r="U2671" s="84" t="n">
        <f aca="false">IF(AND(R2671=1,ISNUMBER(T2671)),E2671-T2671,"")</f>
        <v>0.721444066662734</v>
      </c>
      <c r="V2671" s="84" t="n">
        <f aca="false">IF(ISNUMBER(T2671),T2671,-99)</f>
        <v>20.0785559333373</v>
      </c>
      <c r="W2671" s="84" t="n">
        <f aca="false">IF(ISNUMBER(U2671),ABS(U2671),"")</f>
        <v>0.721444066662734</v>
      </c>
    </row>
    <row r="2672" customFormat="false" ht="15" hidden="false" customHeight="false" outlineLevel="0" collapsed="false">
      <c r="A2672" s="57" t="n">
        <v>35255</v>
      </c>
      <c r="B2672" s="56" t="n">
        <v>1996</v>
      </c>
      <c r="C2672" s="56" t="n">
        <v>7</v>
      </c>
      <c r="D2672" s="56" t="n">
        <v>70</v>
      </c>
      <c r="E2672" s="56" t="n">
        <v>26.6</v>
      </c>
      <c r="F2672" s="56" t="n">
        <v>0</v>
      </c>
      <c r="G2672" s="56" t="n">
        <v>11.8</v>
      </c>
      <c r="H2672" s="56" t="n">
        <v>0</v>
      </c>
      <c r="I2672" s="56" t="n">
        <v>16.3</v>
      </c>
      <c r="J2672" s="56" t="n">
        <v>0</v>
      </c>
      <c r="K2672" s="56" t="n">
        <v>1023.1</v>
      </c>
      <c r="L2672" s="56" t="n">
        <v>0</v>
      </c>
      <c r="M2672" s="56" t="n">
        <v>77</v>
      </c>
      <c r="N2672" s="56" t="n">
        <v>0.8</v>
      </c>
      <c r="O2672" s="56" t="n">
        <f aca="false">IF(D2672=1,"",E2671)</f>
        <v>20.8</v>
      </c>
      <c r="P2672" s="56" t="n">
        <f aca="false">IF(OR(D2672=1,K2671=""),"",K2671)</f>
        <v>1019.7</v>
      </c>
      <c r="Q2672" s="56" t="n">
        <f aca="false">IF(OR(F2672&lt;&gt;0,AND(I2672&lt;&gt;"",E2672&lt;I2672)),1,0)</f>
        <v>0</v>
      </c>
      <c r="R2672" s="56" t="n">
        <f aca="false">IF(AND(D2672&gt;1,Q2672=0,ISNUMBER(O2672),ISNUMBER(P2672)),IF(Q2671=0,1,0),0)</f>
        <v>1</v>
      </c>
      <c r="S2672" s="56" t="n">
        <f aca="false">R2672*(B2672&gt;=Train_Start)*(B2672&lt;=Train_End)</f>
        <v>1</v>
      </c>
      <c r="T2672" s="84" t="n">
        <f aca="false">IF(AND(ISNUMBER(O2672),ISNUMBER(P2672)),Coef_A+Coef_B1*O2672+Coef_B2*P2672,"")</f>
        <v>21.117112195562</v>
      </c>
      <c r="U2672" s="84" t="n">
        <f aca="false">IF(AND(R2672=1,ISNUMBER(T2672)),E2672-T2672,"")</f>
        <v>5.48288780443804</v>
      </c>
      <c r="V2672" s="84" t="n">
        <f aca="false">IF(ISNUMBER(T2672),T2672,-99)</f>
        <v>21.117112195562</v>
      </c>
      <c r="W2672" s="84" t="n">
        <f aca="false">IF(ISNUMBER(U2672),ABS(U2672),"")</f>
        <v>5.48288780443804</v>
      </c>
    </row>
    <row r="2673" customFormat="false" ht="15" hidden="false" customHeight="false" outlineLevel="0" collapsed="false">
      <c r="A2673" s="57" t="n">
        <v>35256</v>
      </c>
      <c r="B2673" s="56" t="n">
        <v>1996</v>
      </c>
      <c r="C2673" s="56" t="n">
        <v>7</v>
      </c>
      <c r="D2673" s="56" t="n">
        <v>71</v>
      </c>
      <c r="E2673" s="56" t="n">
        <v>25.2</v>
      </c>
      <c r="F2673" s="56" t="n">
        <v>0</v>
      </c>
      <c r="G2673" s="56" t="n">
        <v>12.7</v>
      </c>
      <c r="H2673" s="56" t="n">
        <v>0</v>
      </c>
      <c r="I2673" s="56" t="n">
        <v>19.6</v>
      </c>
      <c r="J2673" s="56" t="n">
        <v>0</v>
      </c>
      <c r="K2673" s="56" t="n">
        <v>1024.3</v>
      </c>
      <c r="L2673" s="56" t="n">
        <v>0</v>
      </c>
      <c r="M2673" s="56" t="n">
        <v>66</v>
      </c>
      <c r="N2673" s="56" t="n">
        <v>10.5</v>
      </c>
      <c r="O2673" s="56" t="n">
        <f aca="false">IF(D2673=1,"",E2672)</f>
        <v>26.6</v>
      </c>
      <c r="P2673" s="56" t="n">
        <f aca="false">IF(OR(D2673=1,K2672=""),"",K2672)</f>
        <v>1023.1</v>
      </c>
      <c r="Q2673" s="56" t="n">
        <f aca="false">IF(OR(F2673&lt;&gt;0,AND(I2673&lt;&gt;"",E2673&lt;I2673)),1,0)</f>
        <v>0</v>
      </c>
      <c r="R2673" s="56" t="n">
        <f aca="false">IF(AND(D2673&gt;1,Q2673=0,ISNUMBER(O2673),ISNUMBER(P2673)),IF(Q2672=0,1,0),0)</f>
        <v>1</v>
      </c>
      <c r="S2673" s="56" t="n">
        <f aca="false">R2673*(B2673&gt;=Train_Start)*(B2673&lt;=Train_End)</f>
        <v>1</v>
      </c>
      <c r="T2673" s="84" t="n">
        <f aca="false">IF(AND(ISNUMBER(O2673),ISNUMBER(P2673)),Coef_A+Coef_B1*O2673+Coef_B2*P2673,"")</f>
        <v>25.9759371569649</v>
      </c>
      <c r="U2673" s="84" t="n">
        <f aca="false">IF(AND(R2673=1,ISNUMBER(T2673)),E2673-T2673,"")</f>
        <v>-0.77593715696494</v>
      </c>
      <c r="V2673" s="84" t="n">
        <f aca="false">IF(ISNUMBER(T2673),T2673,-99)</f>
        <v>25.9759371569649</v>
      </c>
      <c r="W2673" s="84" t="n">
        <f aca="false">IF(ISNUMBER(U2673),ABS(U2673),"")</f>
        <v>0.77593715696494</v>
      </c>
    </row>
    <row r="2674" customFormat="false" ht="15" hidden="false" customHeight="false" outlineLevel="0" collapsed="false">
      <c r="A2674" s="57" t="n">
        <v>35257</v>
      </c>
      <c r="B2674" s="56" t="n">
        <v>1996</v>
      </c>
      <c r="C2674" s="56" t="n">
        <v>7</v>
      </c>
      <c r="D2674" s="56" t="n">
        <v>72</v>
      </c>
      <c r="E2674" s="56" t="n">
        <v>24.1</v>
      </c>
      <c r="F2674" s="56" t="n">
        <v>0</v>
      </c>
      <c r="G2674" s="56" t="n">
        <v>14.7</v>
      </c>
      <c r="H2674" s="56" t="n">
        <v>0</v>
      </c>
      <c r="I2674" s="56" t="n">
        <v>20</v>
      </c>
      <c r="J2674" s="56" t="n">
        <v>0</v>
      </c>
      <c r="K2674" s="56" t="n">
        <v>1021.6</v>
      </c>
      <c r="L2674" s="56" t="n">
        <v>0</v>
      </c>
      <c r="M2674" s="56" t="n">
        <v>73</v>
      </c>
      <c r="N2674" s="56" t="n">
        <v>4.9</v>
      </c>
      <c r="O2674" s="56" t="n">
        <f aca="false">IF(D2674=1,"",E2673)</f>
        <v>25.2</v>
      </c>
      <c r="P2674" s="56" t="n">
        <f aca="false">IF(OR(D2674=1,K2673=""),"",K2673)</f>
        <v>1024.3</v>
      </c>
      <c r="Q2674" s="56" t="n">
        <f aca="false">IF(OR(F2674&lt;&gt;0,AND(I2674&lt;&gt;"",E2674&lt;I2674)),1,0)</f>
        <v>0</v>
      </c>
      <c r="R2674" s="56" t="n">
        <f aca="false">IF(AND(D2674&gt;1,Q2674=0,ISNUMBER(O2674),ISNUMBER(P2674)),IF(Q2673=0,1,0),0)</f>
        <v>1</v>
      </c>
      <c r="S2674" s="56" t="n">
        <f aca="false">R2674*(B2674&gt;=Train_Start)*(B2674&lt;=Train_End)</f>
        <v>1</v>
      </c>
      <c r="T2674" s="84" t="n">
        <f aca="false">IF(AND(ISNUMBER(O2674),ISNUMBER(P2674)),Coef_A+Coef_B1*O2674+Coef_B2*P2674,"")</f>
        <v>24.866506160266</v>
      </c>
      <c r="U2674" s="84" t="n">
        <f aca="false">IF(AND(R2674=1,ISNUMBER(T2674)),E2674-T2674,"")</f>
        <v>-0.766506160265998</v>
      </c>
      <c r="V2674" s="84" t="n">
        <f aca="false">IF(ISNUMBER(T2674),T2674,-99)</f>
        <v>24.866506160266</v>
      </c>
      <c r="W2674" s="84" t="n">
        <f aca="false">IF(ISNUMBER(U2674),ABS(U2674),"")</f>
        <v>0.766506160265998</v>
      </c>
    </row>
    <row r="2675" customFormat="false" ht="15" hidden="false" customHeight="false" outlineLevel="0" collapsed="false">
      <c r="A2675" s="57" t="n">
        <v>35258</v>
      </c>
      <c r="B2675" s="56" t="n">
        <v>1996</v>
      </c>
      <c r="C2675" s="56" t="n">
        <v>7</v>
      </c>
      <c r="D2675" s="56" t="n">
        <v>73</v>
      </c>
      <c r="E2675" s="56" t="n">
        <v>25.6</v>
      </c>
      <c r="F2675" s="56" t="n">
        <v>0</v>
      </c>
      <c r="G2675" s="56" t="n">
        <v>14.8</v>
      </c>
      <c r="H2675" s="56" t="n">
        <v>0</v>
      </c>
      <c r="I2675" s="56" t="n">
        <v>19.4</v>
      </c>
      <c r="J2675" s="56" t="n">
        <v>0</v>
      </c>
      <c r="K2675" s="56" t="n">
        <v>1018.6</v>
      </c>
      <c r="L2675" s="56" t="n">
        <v>0</v>
      </c>
      <c r="M2675" s="56" t="n">
        <v>78</v>
      </c>
      <c r="N2675" s="56" t="n">
        <v>2.3</v>
      </c>
      <c r="O2675" s="56" t="n">
        <f aca="false">IF(D2675=1,"",E2674)</f>
        <v>24.1</v>
      </c>
      <c r="P2675" s="56" t="n">
        <f aca="false">IF(OR(D2675=1,K2674=""),"",K2674)</f>
        <v>1021.6</v>
      </c>
      <c r="Q2675" s="56" t="n">
        <f aca="false">IF(OR(F2675&lt;&gt;0,AND(I2675&lt;&gt;"",E2675&lt;I2675)),1,0)</f>
        <v>0</v>
      </c>
      <c r="R2675" s="56" t="n">
        <f aca="false">IF(AND(D2675&gt;1,Q2675=0,ISNUMBER(O2675),ISNUMBER(P2675)),IF(Q2674=0,1,0),0)</f>
        <v>1</v>
      </c>
      <c r="S2675" s="56" t="n">
        <f aca="false">R2675*(B2675&gt;=Train_Start)*(B2675&lt;=Train_End)</f>
        <v>1</v>
      </c>
      <c r="T2675" s="84" t="n">
        <f aca="false">IF(AND(ISNUMBER(O2675),ISNUMBER(P2675)),Coef_A+Coef_B1*O2675+Coef_B2*P2675,"")</f>
        <v>23.8805343324073</v>
      </c>
      <c r="U2675" s="84" t="n">
        <f aca="false">IF(AND(R2675=1,ISNUMBER(T2675)),E2675-T2675,"")</f>
        <v>1.71946566759269</v>
      </c>
      <c r="V2675" s="84" t="n">
        <f aca="false">IF(ISNUMBER(T2675),T2675,-99)</f>
        <v>23.8805343324073</v>
      </c>
      <c r="W2675" s="84" t="n">
        <f aca="false">IF(ISNUMBER(U2675),ABS(U2675),"")</f>
        <v>1.71946566759269</v>
      </c>
    </row>
    <row r="2676" customFormat="false" ht="15" hidden="false" customHeight="false" outlineLevel="0" collapsed="false">
      <c r="A2676" s="57" t="n">
        <v>35259</v>
      </c>
      <c r="B2676" s="56" t="n">
        <v>1996</v>
      </c>
      <c r="C2676" s="56" t="n">
        <v>7</v>
      </c>
      <c r="D2676" s="56" t="n">
        <v>74</v>
      </c>
      <c r="E2676" s="56" t="n">
        <v>25.2</v>
      </c>
      <c r="F2676" s="56" t="n">
        <v>0</v>
      </c>
      <c r="G2676" s="56" t="n">
        <v>15.3</v>
      </c>
      <c r="H2676" s="56" t="n">
        <v>0</v>
      </c>
      <c r="I2676" s="56" t="n">
        <v>20.4</v>
      </c>
      <c r="J2676" s="56" t="n">
        <v>0</v>
      </c>
      <c r="K2676" s="56" t="n">
        <v>1019.2</v>
      </c>
      <c r="L2676" s="56" t="n">
        <v>0</v>
      </c>
      <c r="M2676" s="56" t="n">
        <v>69</v>
      </c>
      <c r="N2676" s="56" t="n">
        <v>10.7</v>
      </c>
      <c r="O2676" s="56" t="n">
        <f aca="false">IF(D2676=1,"",E2675)</f>
        <v>25.6</v>
      </c>
      <c r="P2676" s="56" t="n">
        <f aca="false">IF(OR(D2676=1,K2675=""),"",K2675)</f>
        <v>1018.6</v>
      </c>
      <c r="Q2676" s="56" t="n">
        <f aca="false">IF(OR(F2676&lt;&gt;0,AND(I2676&lt;&gt;"",E2676&lt;I2676)),1,0)</f>
        <v>0</v>
      </c>
      <c r="R2676" s="56" t="n">
        <f aca="false">IF(AND(D2676&gt;1,Q2676=0,ISNUMBER(O2676),ISNUMBER(P2676)),IF(Q2675=0,1,0),0)</f>
        <v>1</v>
      </c>
      <c r="S2676" s="56" t="n">
        <f aca="false">R2676*(B2676&gt;=Train_Start)*(B2676&lt;=Train_End)</f>
        <v>1</v>
      </c>
      <c r="T2676" s="84" t="n">
        <f aca="false">IF(AND(ISNUMBER(O2676),ISNUMBER(P2676)),Coef_A+Coef_B1*O2676+Coef_B2*P2676,"")</f>
        <v>25.0154334380693</v>
      </c>
      <c r="U2676" s="84" t="n">
        <f aca="false">IF(AND(R2676=1,ISNUMBER(T2676)),E2676-T2676,"")</f>
        <v>0.184566561930669</v>
      </c>
      <c r="V2676" s="84" t="n">
        <f aca="false">IF(ISNUMBER(T2676),T2676,-99)</f>
        <v>25.0154334380693</v>
      </c>
      <c r="W2676" s="84" t="n">
        <f aca="false">IF(ISNUMBER(U2676),ABS(U2676),"")</f>
        <v>0.184566561930669</v>
      </c>
    </row>
    <row r="2677" customFormat="false" ht="15" hidden="false" customHeight="false" outlineLevel="0" collapsed="false">
      <c r="A2677" s="57" t="n">
        <v>35260</v>
      </c>
      <c r="B2677" s="56" t="n">
        <v>1996</v>
      </c>
      <c r="C2677" s="56" t="n">
        <v>7</v>
      </c>
      <c r="D2677" s="56" t="n">
        <v>75</v>
      </c>
      <c r="E2677" s="56" t="n">
        <v>25.4</v>
      </c>
      <c r="F2677" s="56" t="n">
        <v>0</v>
      </c>
      <c r="G2677" s="56" t="n">
        <v>16.6</v>
      </c>
      <c r="H2677" s="56" t="n">
        <v>0</v>
      </c>
      <c r="I2677" s="56" t="n">
        <v>20.9</v>
      </c>
      <c r="J2677" s="56" t="n">
        <v>0</v>
      </c>
      <c r="K2677" s="56" t="n">
        <v>1025.2</v>
      </c>
      <c r="L2677" s="56" t="n">
        <v>0</v>
      </c>
      <c r="M2677" s="56" t="n">
        <v>78</v>
      </c>
      <c r="N2677" s="56" t="n">
        <v>2.2</v>
      </c>
      <c r="O2677" s="56" t="n">
        <f aca="false">IF(D2677=1,"",E2676)</f>
        <v>25.2</v>
      </c>
      <c r="P2677" s="56" t="n">
        <f aca="false">IF(OR(D2677=1,K2676=""),"",K2676)</f>
        <v>1019.2</v>
      </c>
      <c r="Q2677" s="56" t="n">
        <f aca="false">IF(OR(F2677&lt;&gt;0,AND(I2677&lt;&gt;"",E2677&lt;I2677)),1,0)</f>
        <v>0</v>
      </c>
      <c r="R2677" s="56" t="n">
        <f aca="false">IF(AND(D2677&gt;1,Q2677=0,ISNUMBER(O2677),ISNUMBER(P2677)),IF(Q2676=0,1,0),0)</f>
        <v>1</v>
      </c>
      <c r="S2677" s="56" t="n">
        <f aca="false">R2677*(B2677&gt;=Train_Start)*(B2677&lt;=Train_End)</f>
        <v>1</v>
      </c>
      <c r="T2677" s="84" t="n">
        <f aca="false">IF(AND(ISNUMBER(O2677),ISNUMBER(P2677)),Coef_A+Coef_B1*O2677+Coef_B2*P2677,"")</f>
        <v>24.7065196976327</v>
      </c>
      <c r="U2677" s="84" t="n">
        <f aca="false">IF(AND(R2677=1,ISNUMBER(T2677)),E2677-T2677,"")</f>
        <v>0.693480302367341</v>
      </c>
      <c r="V2677" s="84" t="n">
        <f aca="false">IF(ISNUMBER(T2677),T2677,-99)</f>
        <v>24.7065196976327</v>
      </c>
      <c r="W2677" s="84" t="n">
        <f aca="false">IF(ISNUMBER(U2677),ABS(U2677),"")</f>
        <v>0.693480302367341</v>
      </c>
    </row>
    <row r="2678" customFormat="false" ht="15" hidden="false" customHeight="false" outlineLevel="0" collapsed="false">
      <c r="A2678" s="57" t="n">
        <v>35261</v>
      </c>
      <c r="B2678" s="56" t="n">
        <v>1996</v>
      </c>
      <c r="C2678" s="56" t="n">
        <v>7</v>
      </c>
      <c r="D2678" s="56" t="n">
        <v>76</v>
      </c>
      <c r="E2678" s="56" t="n">
        <v>22.6</v>
      </c>
      <c r="F2678" s="56" t="n">
        <v>0</v>
      </c>
      <c r="G2678" s="56" t="n">
        <v>12.5</v>
      </c>
      <c r="H2678" s="56" t="n">
        <v>0</v>
      </c>
      <c r="I2678" s="56" t="n">
        <v>19</v>
      </c>
      <c r="J2678" s="56" t="n">
        <v>0</v>
      </c>
      <c r="K2678" s="56" t="n">
        <v>1030</v>
      </c>
      <c r="L2678" s="56" t="n">
        <v>0</v>
      </c>
      <c r="M2678" s="56" t="n">
        <v>58</v>
      </c>
      <c r="N2678" s="56" t="n">
        <v>13.1</v>
      </c>
      <c r="O2678" s="56" t="n">
        <f aca="false">IF(D2678=1,"",E2677)</f>
        <v>25.4</v>
      </c>
      <c r="P2678" s="56" t="n">
        <f aca="false">IF(OR(D2678=1,K2677=""),"",K2677)</f>
        <v>1025.2</v>
      </c>
      <c r="Q2678" s="56" t="n">
        <f aca="false">IF(OR(F2678&lt;&gt;0,AND(I2678&lt;&gt;"",E2678&lt;I2678)),1,0)</f>
        <v>0</v>
      </c>
      <c r="R2678" s="56" t="n">
        <f aca="false">IF(AND(D2678&gt;1,Q2678=0,ISNUMBER(O2678),ISNUMBER(P2678)),IF(Q2677=0,1,0),0)</f>
        <v>1</v>
      </c>
      <c r="S2678" s="56" t="n">
        <f aca="false">R2678*(B2678&gt;=Train_Start)*(B2678&lt;=Train_End)</f>
        <v>1</v>
      </c>
      <c r="T2678" s="84" t="n">
        <f aca="false">IF(AND(ISNUMBER(O2678),ISNUMBER(P2678)),Coef_A+Coef_B1*O2678+Coef_B2*P2678,"")</f>
        <v>25.0586069040451</v>
      </c>
      <c r="U2678" s="84" t="n">
        <f aca="false">IF(AND(R2678=1,ISNUMBER(T2678)),E2678-T2678,"")</f>
        <v>-2.45860690404513</v>
      </c>
      <c r="V2678" s="84" t="n">
        <f aca="false">IF(ISNUMBER(T2678),T2678,-99)</f>
        <v>25.0586069040451</v>
      </c>
      <c r="W2678" s="84" t="n">
        <f aca="false">IF(ISNUMBER(U2678),ABS(U2678),"")</f>
        <v>2.45860690404513</v>
      </c>
    </row>
    <row r="2679" customFormat="false" ht="15" hidden="false" customHeight="false" outlineLevel="0" collapsed="false">
      <c r="A2679" s="57" t="n">
        <v>35262</v>
      </c>
      <c r="B2679" s="56" t="n">
        <v>1996</v>
      </c>
      <c r="C2679" s="56" t="n">
        <v>7</v>
      </c>
      <c r="D2679" s="56" t="n">
        <v>77</v>
      </c>
      <c r="E2679" s="56" t="n">
        <v>24.8</v>
      </c>
      <c r="F2679" s="56" t="n">
        <v>0</v>
      </c>
      <c r="G2679" s="56" t="n">
        <v>10.8</v>
      </c>
      <c r="H2679" s="56" t="n">
        <v>0</v>
      </c>
      <c r="I2679" s="56" t="n">
        <v>16.7</v>
      </c>
      <c r="J2679" s="56" t="n">
        <v>0</v>
      </c>
      <c r="K2679" s="56" t="n">
        <v>1032.7</v>
      </c>
      <c r="L2679" s="56" t="n">
        <v>0</v>
      </c>
      <c r="M2679" s="56" t="n">
        <v>62</v>
      </c>
      <c r="N2679" s="56" t="n">
        <v>12.7</v>
      </c>
      <c r="O2679" s="56" t="n">
        <f aca="false">IF(D2679=1,"",E2678)</f>
        <v>22.6</v>
      </c>
      <c r="P2679" s="56" t="n">
        <f aca="false">IF(OR(D2679=1,K2678=""),"",K2678)</f>
        <v>1030</v>
      </c>
      <c r="Q2679" s="56" t="n">
        <f aca="false">IF(OR(F2679&lt;&gt;0,AND(I2679&lt;&gt;"",E2679&lt;I2679)),1,0)</f>
        <v>0</v>
      </c>
      <c r="R2679" s="56" t="n">
        <f aca="false">IF(AND(D2679&gt;1,Q2679=0,ISNUMBER(O2679),ISNUMBER(P2679)),IF(Q2678=0,1,0),0)</f>
        <v>1</v>
      </c>
      <c r="S2679" s="56" t="n">
        <f aca="false">R2679*(B2679&gt;=Train_Start)*(B2679&lt;=Train_End)</f>
        <v>1</v>
      </c>
      <c r="T2679" s="84" t="n">
        <f aca="false">IF(AND(ISNUMBER(O2679),ISNUMBER(P2679)),Coef_A+Coef_B1*O2679+Coef_B2*P2679,"")</f>
        <v>22.9150326577688</v>
      </c>
      <c r="U2679" s="84" t="n">
        <f aca="false">IF(AND(R2679=1,ISNUMBER(T2679)),E2679-T2679,"")</f>
        <v>1.88496734223116</v>
      </c>
      <c r="V2679" s="84" t="n">
        <f aca="false">IF(ISNUMBER(T2679),T2679,-99)</f>
        <v>22.9150326577688</v>
      </c>
      <c r="W2679" s="84" t="n">
        <f aca="false">IF(ISNUMBER(U2679),ABS(U2679),"")</f>
        <v>1.88496734223116</v>
      </c>
    </row>
    <row r="2680" customFormat="false" ht="15" hidden="false" customHeight="false" outlineLevel="0" collapsed="false">
      <c r="A2680" s="57" t="n">
        <v>35263</v>
      </c>
      <c r="B2680" s="56" t="n">
        <v>1996</v>
      </c>
      <c r="C2680" s="56" t="n">
        <v>7</v>
      </c>
      <c r="D2680" s="56" t="n">
        <v>78</v>
      </c>
      <c r="E2680" s="56" t="n">
        <v>27.4</v>
      </c>
      <c r="F2680" s="56" t="n">
        <v>0</v>
      </c>
      <c r="G2680" s="56" t="n">
        <v>9.8</v>
      </c>
      <c r="H2680" s="56" t="n">
        <v>0</v>
      </c>
      <c r="I2680" s="56" t="n">
        <v>17.3</v>
      </c>
      <c r="J2680" s="56" t="n">
        <v>0</v>
      </c>
      <c r="K2680" s="56" t="n">
        <v>1029.6</v>
      </c>
      <c r="L2680" s="56" t="n">
        <v>0</v>
      </c>
      <c r="M2680" s="56" t="n">
        <v>64</v>
      </c>
      <c r="N2680" s="56" t="n">
        <v>13.9</v>
      </c>
      <c r="O2680" s="56" t="n">
        <f aca="false">IF(D2680=1,"",E2679)</f>
        <v>24.8</v>
      </c>
      <c r="P2680" s="56" t="n">
        <f aca="false">IF(OR(D2680=1,K2679=""),"",K2679)</f>
        <v>1032.7</v>
      </c>
      <c r="Q2680" s="56" t="n">
        <f aca="false">IF(OR(F2680&lt;&gt;0,AND(I2680&lt;&gt;"",E2680&lt;I2680)),1,0)</f>
        <v>0</v>
      </c>
      <c r="R2680" s="56" t="n">
        <f aca="false">IF(AND(D2680&gt;1,Q2680=0,ISNUMBER(O2680),ISNUMBER(P2680)),IF(Q2679=0,1,0),0)</f>
        <v>1</v>
      </c>
      <c r="S2680" s="56" t="n">
        <f aca="false">R2680*(B2680&gt;=Train_Start)*(B2680&lt;=Train_End)</f>
        <v>1</v>
      </c>
      <c r="T2680" s="84" t="n">
        <f aca="false">IF(AND(ISNUMBER(O2680),ISNUMBER(P2680)),Coef_A+Coef_B1*O2680+Coef_B2*P2680,"")</f>
        <v>24.8022775979745</v>
      </c>
      <c r="U2680" s="84" t="n">
        <f aca="false">IF(AND(R2680=1,ISNUMBER(T2680)),E2680-T2680,"")</f>
        <v>2.59772240202555</v>
      </c>
      <c r="V2680" s="84" t="n">
        <f aca="false">IF(ISNUMBER(T2680),T2680,-99)</f>
        <v>24.8022775979745</v>
      </c>
      <c r="W2680" s="84" t="n">
        <f aca="false">IF(ISNUMBER(U2680),ABS(U2680),"")</f>
        <v>2.59772240202555</v>
      </c>
    </row>
    <row r="2681" customFormat="false" ht="15" hidden="false" customHeight="false" outlineLevel="0" collapsed="false">
      <c r="A2681" s="57" t="n">
        <v>35264</v>
      </c>
      <c r="B2681" s="56" t="n">
        <v>1996</v>
      </c>
      <c r="C2681" s="56" t="n">
        <v>7</v>
      </c>
      <c r="D2681" s="56" t="n">
        <v>79</v>
      </c>
      <c r="E2681" s="56" t="n">
        <v>26.5</v>
      </c>
      <c r="F2681" s="56" t="n">
        <v>0</v>
      </c>
      <c r="G2681" s="56" t="n">
        <v>10.4</v>
      </c>
      <c r="H2681" s="56" t="n">
        <v>0</v>
      </c>
      <c r="I2681" s="56" t="n">
        <v>18.9</v>
      </c>
      <c r="J2681" s="56" t="n">
        <v>0</v>
      </c>
      <c r="K2681" s="56" t="n">
        <v>1026.9</v>
      </c>
      <c r="L2681" s="56" t="n">
        <v>0</v>
      </c>
      <c r="M2681" s="56" t="n">
        <v>55</v>
      </c>
      <c r="N2681" s="56" t="n">
        <v>15.1</v>
      </c>
      <c r="O2681" s="56" t="n">
        <f aca="false">IF(D2681=1,"",E2680)</f>
        <v>27.4</v>
      </c>
      <c r="P2681" s="56" t="n">
        <f aca="false">IF(OR(D2681=1,K2680=""),"",K2680)</f>
        <v>1029.6</v>
      </c>
      <c r="Q2681" s="56" t="n">
        <f aca="false">IF(OR(F2681&lt;&gt;0,AND(I2681&lt;&gt;"",E2681&lt;I2681)),1,0)</f>
        <v>0</v>
      </c>
      <c r="R2681" s="56" t="n">
        <f aca="false">IF(AND(D2681&gt;1,Q2681=0,ISNUMBER(O2681),ISNUMBER(P2681)),IF(Q2680=0,1,0),0)</f>
        <v>1</v>
      </c>
      <c r="S2681" s="56" t="n">
        <f aca="false">R2681*(B2681&gt;=Train_Start)*(B2681&lt;=Train_End)</f>
        <v>1</v>
      </c>
      <c r="T2681" s="84" t="n">
        <f aca="false">IF(AND(ISNUMBER(O2681),ISNUMBER(P2681)),Coef_A+Coef_B1*O2681+Coef_B2*P2681,"")</f>
        <v>26.83531282652</v>
      </c>
      <c r="U2681" s="84" t="n">
        <f aca="false">IF(AND(R2681=1,ISNUMBER(T2681)),E2681-T2681,"")</f>
        <v>-0.335312826519992</v>
      </c>
      <c r="V2681" s="84" t="n">
        <f aca="false">IF(ISNUMBER(T2681),T2681,-99)</f>
        <v>26.83531282652</v>
      </c>
      <c r="W2681" s="84" t="n">
        <f aca="false">IF(ISNUMBER(U2681),ABS(U2681),"")</f>
        <v>0.335312826519992</v>
      </c>
    </row>
    <row r="2682" customFormat="false" ht="15" hidden="false" customHeight="false" outlineLevel="0" collapsed="false">
      <c r="A2682" s="57" t="n">
        <v>35265</v>
      </c>
      <c r="B2682" s="56" t="n">
        <v>1996</v>
      </c>
      <c r="C2682" s="56" t="n">
        <v>7</v>
      </c>
      <c r="D2682" s="56" t="n">
        <v>80</v>
      </c>
      <c r="E2682" s="56" t="n">
        <v>28.6</v>
      </c>
      <c r="F2682" s="56" t="n">
        <v>0</v>
      </c>
      <c r="G2682" s="56" t="n">
        <v>12.7</v>
      </c>
      <c r="H2682" s="56" t="n">
        <v>0</v>
      </c>
      <c r="I2682" s="56" t="n">
        <v>19.6</v>
      </c>
      <c r="J2682" s="56" t="n">
        <v>0</v>
      </c>
      <c r="K2682" s="56" t="n">
        <v>1026.4</v>
      </c>
      <c r="L2682" s="56" t="n">
        <v>0</v>
      </c>
      <c r="M2682" s="56" t="n">
        <v>63</v>
      </c>
      <c r="N2682" s="56" t="n">
        <v>12.1</v>
      </c>
      <c r="O2682" s="56" t="n">
        <f aca="false">IF(D2682=1,"",E2681)</f>
        <v>26.5</v>
      </c>
      <c r="P2682" s="56" t="n">
        <f aca="false">IF(OR(D2682=1,K2681=""),"",K2681)</f>
        <v>1026.9</v>
      </c>
      <c r="Q2682" s="56" t="n">
        <f aca="false">IF(OR(F2682&lt;&gt;0,AND(I2682&lt;&gt;"",E2682&lt;I2682)),1,0)</f>
        <v>0</v>
      </c>
      <c r="R2682" s="56" t="n">
        <f aca="false">IF(AND(D2682&gt;1,Q2682=0,ISNUMBER(O2682),ISNUMBER(P2682)),IF(Q2681=0,1,0),0)</f>
        <v>1</v>
      </c>
      <c r="S2682" s="56" t="n">
        <f aca="false">R2682*(B2682&gt;=Train_Start)*(B2682&lt;=Train_End)</f>
        <v>1</v>
      </c>
      <c r="T2682" s="84" t="n">
        <f aca="false">IF(AND(ISNUMBER(O2682),ISNUMBER(P2682)),Coef_A+Coef_B1*O2682+Coef_B2*P2682,"")</f>
        <v>26.0132088372698</v>
      </c>
      <c r="U2682" s="84" t="n">
        <f aca="false">IF(AND(R2682=1,ISNUMBER(T2682)),E2682-T2682,"")</f>
        <v>2.58679116273017</v>
      </c>
      <c r="V2682" s="84" t="n">
        <f aca="false">IF(ISNUMBER(T2682),T2682,-99)</f>
        <v>26.0132088372698</v>
      </c>
      <c r="W2682" s="84" t="n">
        <f aca="false">IF(ISNUMBER(U2682),ABS(U2682),"")</f>
        <v>2.58679116273017</v>
      </c>
    </row>
    <row r="2683" customFormat="false" ht="15" hidden="false" customHeight="false" outlineLevel="0" collapsed="false">
      <c r="A2683" s="57" t="n">
        <v>35266</v>
      </c>
      <c r="B2683" s="56" t="n">
        <v>1996</v>
      </c>
      <c r="C2683" s="56" t="n">
        <v>7</v>
      </c>
      <c r="D2683" s="56" t="n">
        <v>81</v>
      </c>
      <c r="E2683" s="56" t="n">
        <v>30.7</v>
      </c>
      <c r="F2683" s="56" t="n">
        <v>0</v>
      </c>
      <c r="G2683" s="56" t="n">
        <v>12.7</v>
      </c>
      <c r="H2683" s="56" t="n">
        <v>0</v>
      </c>
      <c r="I2683" s="56" t="n">
        <v>20.6</v>
      </c>
      <c r="J2683" s="56" t="n">
        <v>0</v>
      </c>
      <c r="K2683" s="56" t="n">
        <v>1024.3</v>
      </c>
      <c r="L2683" s="56" t="n">
        <v>0</v>
      </c>
      <c r="M2683" s="56" t="n">
        <v>55</v>
      </c>
      <c r="N2683" s="56" t="n">
        <v>13.8</v>
      </c>
      <c r="O2683" s="56" t="n">
        <f aca="false">IF(D2683=1,"",E2682)</f>
        <v>28.6</v>
      </c>
      <c r="P2683" s="56" t="n">
        <f aca="false">IF(OR(D2683=1,K2682=""),"",K2682)</f>
        <v>1026.4</v>
      </c>
      <c r="Q2683" s="56" t="n">
        <f aca="false">IF(OR(F2683&lt;&gt;0,AND(I2683&lt;&gt;"",E2683&lt;I2683)),1,0)</f>
        <v>0</v>
      </c>
      <c r="R2683" s="56" t="n">
        <f aca="false">IF(AND(D2683&gt;1,Q2683=0,ISNUMBER(O2683),ISNUMBER(P2683)),IF(Q2682=0,1,0),0)</f>
        <v>1</v>
      </c>
      <c r="S2683" s="56" t="n">
        <f aca="false">R2683*(B2683&gt;=Train_Start)*(B2683&lt;=Train_End)</f>
        <v>1</v>
      </c>
      <c r="T2683" s="84" t="n">
        <f aca="false">IF(AND(ISNUMBER(O2683),ISNUMBER(P2683)),Coef_A+Coef_B1*O2683+Coef_B2*P2683,"")</f>
        <v>27.7181361953424</v>
      </c>
      <c r="U2683" s="84" t="n">
        <f aca="false">IF(AND(R2683=1,ISNUMBER(T2683)),E2683-T2683,"")</f>
        <v>2.98186380465758</v>
      </c>
      <c r="V2683" s="84" t="n">
        <f aca="false">IF(ISNUMBER(T2683),T2683,-99)</f>
        <v>27.7181361953424</v>
      </c>
      <c r="W2683" s="84" t="n">
        <f aca="false">IF(ISNUMBER(U2683),ABS(U2683),"")</f>
        <v>2.98186380465758</v>
      </c>
    </row>
    <row r="2684" customFormat="false" ht="15" hidden="false" customHeight="false" outlineLevel="0" collapsed="false">
      <c r="A2684" s="57" t="n">
        <v>35267</v>
      </c>
      <c r="B2684" s="56" t="n">
        <v>1996</v>
      </c>
      <c r="C2684" s="56" t="n">
        <v>7</v>
      </c>
      <c r="D2684" s="56" t="n">
        <v>82</v>
      </c>
      <c r="E2684" s="56" t="n">
        <v>31.6</v>
      </c>
      <c r="F2684" s="56" t="n">
        <v>0</v>
      </c>
      <c r="G2684" s="56" t="n">
        <v>14.7</v>
      </c>
      <c r="H2684" s="56" t="n">
        <v>0</v>
      </c>
      <c r="I2684" s="56" t="n">
        <v>22.7</v>
      </c>
      <c r="J2684" s="56" t="n">
        <v>0</v>
      </c>
      <c r="K2684" s="56" t="n">
        <v>1021.1</v>
      </c>
      <c r="L2684" s="56" t="n">
        <v>0</v>
      </c>
      <c r="M2684" s="56" t="n">
        <v>47</v>
      </c>
      <c r="N2684" s="56" t="n">
        <v>14.5</v>
      </c>
      <c r="O2684" s="56" t="n">
        <f aca="false">IF(D2684=1,"",E2683)</f>
        <v>30.7</v>
      </c>
      <c r="P2684" s="56" t="n">
        <f aca="false">IF(OR(D2684=1,K2683=""),"",K2683)</f>
        <v>1024.3</v>
      </c>
      <c r="Q2684" s="56" t="n">
        <f aca="false">IF(OR(F2684&lt;&gt;0,AND(I2684&lt;&gt;"",E2684&lt;I2684)),1,0)</f>
        <v>0</v>
      </c>
      <c r="R2684" s="56" t="n">
        <f aca="false">IF(AND(D2684&gt;1,Q2684=0,ISNUMBER(O2684),ISNUMBER(P2684)),IF(Q2683=0,1,0),0)</f>
        <v>1</v>
      </c>
      <c r="S2684" s="56" t="n">
        <f aca="false">R2684*(B2684&gt;=Train_Start)*(B2684&lt;=Train_End)</f>
        <v>1</v>
      </c>
      <c r="T2684" s="84" t="n">
        <f aca="false">IF(AND(ISNUMBER(O2684),ISNUMBER(P2684)),Coef_A+Coef_B1*O2684+Coef_B2*P2684,"")</f>
        <v>29.3728717220006</v>
      </c>
      <c r="U2684" s="84" t="n">
        <f aca="false">IF(AND(R2684=1,ISNUMBER(T2684)),E2684-T2684,"")</f>
        <v>2.22712827799939</v>
      </c>
      <c r="V2684" s="84" t="n">
        <f aca="false">IF(ISNUMBER(T2684),T2684,-99)</f>
        <v>29.3728717220006</v>
      </c>
      <c r="W2684" s="84" t="n">
        <f aca="false">IF(ISNUMBER(U2684),ABS(U2684),"")</f>
        <v>2.22712827799939</v>
      </c>
    </row>
    <row r="2685" customFormat="false" ht="15" hidden="false" customHeight="false" outlineLevel="0" collapsed="false">
      <c r="A2685" s="57" t="n">
        <v>35268</v>
      </c>
      <c r="B2685" s="56" t="n">
        <v>1996</v>
      </c>
      <c r="C2685" s="56" t="n">
        <v>7</v>
      </c>
      <c r="D2685" s="56" t="n">
        <v>83</v>
      </c>
      <c r="E2685" s="56" t="n">
        <v>28</v>
      </c>
      <c r="F2685" s="56" t="n">
        <v>0</v>
      </c>
      <c r="G2685" s="56" t="n">
        <v>16</v>
      </c>
      <c r="H2685" s="56" t="n">
        <v>0</v>
      </c>
      <c r="I2685" s="56" t="n">
        <v>23.8</v>
      </c>
      <c r="J2685" s="56" t="n">
        <v>0</v>
      </c>
      <c r="K2685" s="56" t="n">
        <v>1016</v>
      </c>
      <c r="L2685" s="56" t="n">
        <v>0</v>
      </c>
      <c r="M2685" s="56" t="n">
        <v>42</v>
      </c>
      <c r="N2685" s="56" t="n">
        <v>14.4</v>
      </c>
      <c r="O2685" s="56" t="n">
        <f aca="false">IF(D2685=1,"",E2684)</f>
        <v>31.6</v>
      </c>
      <c r="P2685" s="56" t="n">
        <f aca="false">IF(OR(D2685=1,K2684=""),"",K2684)</f>
        <v>1021.1</v>
      </c>
      <c r="Q2685" s="56" t="n">
        <f aca="false">IF(OR(F2685&lt;&gt;0,AND(I2685&lt;&gt;"",E2685&lt;I2685)),1,0)</f>
        <v>0</v>
      </c>
      <c r="R2685" s="56" t="n">
        <f aca="false">IF(AND(D2685&gt;1,Q2685=0,ISNUMBER(O2685),ISNUMBER(P2685)),IF(Q2684=0,1,0),0)</f>
        <v>1</v>
      </c>
      <c r="S2685" s="56" t="n">
        <f aca="false">R2685*(B2685&gt;=Train_Start)*(B2685&lt;=Train_End)</f>
        <v>1</v>
      </c>
      <c r="T2685" s="84" t="n">
        <f aca="false">IF(AND(ISNUMBER(O2685),ISNUMBER(P2685)),Coef_A+Coef_B1*O2685+Coef_B2*P2685,"")</f>
        <v>30.0098933329102</v>
      </c>
      <c r="U2685" s="84" t="n">
        <f aca="false">IF(AND(R2685=1,ISNUMBER(T2685)),E2685-T2685,"")</f>
        <v>-2.00989333291025</v>
      </c>
      <c r="V2685" s="84" t="n">
        <f aca="false">IF(ISNUMBER(T2685),T2685,-99)</f>
        <v>30.0098933329102</v>
      </c>
      <c r="W2685" s="84" t="n">
        <f aca="false">IF(ISNUMBER(U2685),ABS(U2685),"")</f>
        <v>2.00989333291025</v>
      </c>
    </row>
    <row r="2686" customFormat="false" ht="15" hidden="false" customHeight="false" outlineLevel="0" collapsed="false">
      <c r="A2686" s="57" t="n">
        <v>35269</v>
      </c>
      <c r="B2686" s="56" t="n">
        <v>1996</v>
      </c>
      <c r="C2686" s="56" t="n">
        <v>7</v>
      </c>
      <c r="D2686" s="56" t="n">
        <v>84</v>
      </c>
      <c r="E2686" s="56" t="n">
        <v>21.7</v>
      </c>
      <c r="F2686" s="56" t="n">
        <v>1</v>
      </c>
      <c r="G2686" s="56" t="n">
        <v>17.7</v>
      </c>
      <c r="H2686" s="56" t="n">
        <v>0</v>
      </c>
      <c r="I2686" s="56" t="n">
        <v>22.8</v>
      </c>
      <c r="J2686" s="56" t="n">
        <v>1</v>
      </c>
      <c r="K2686" s="56" t="n">
        <v>1009.1</v>
      </c>
      <c r="L2686" s="56" t="n">
        <v>0</v>
      </c>
      <c r="M2686" s="56" t="n">
        <v>59</v>
      </c>
      <c r="N2686" s="56" t="n">
        <v>5.5</v>
      </c>
      <c r="O2686" s="56" t="n">
        <f aca="false">IF(D2686=1,"",E2685)</f>
        <v>28</v>
      </c>
      <c r="P2686" s="56" t="n">
        <f aca="false">IF(OR(D2686=1,K2685=""),"",K2685)</f>
        <v>1016</v>
      </c>
      <c r="Q2686" s="56" t="n">
        <f aca="false">IF(OR(F2686&lt;&gt;0,AND(I2686&lt;&gt;"",E2686&lt;I2686)),1,0)</f>
        <v>1</v>
      </c>
      <c r="R2686" s="56" t="n">
        <f aca="false">IF(AND(D2686&gt;1,Q2686=0,ISNUMBER(O2686),ISNUMBER(P2686)),IF(Q2685=0,1,0),0)</f>
        <v>0</v>
      </c>
      <c r="S2686" s="56" t="n">
        <f aca="false">R2686*(B2686&gt;=Train_Start)*(B2686&lt;=Train_End)</f>
        <v>0</v>
      </c>
      <c r="T2686" s="84" t="n">
        <f aca="false">IF(AND(ISNUMBER(O2686),ISNUMBER(P2686)),Coef_A+Coef_B1*O2686+Coef_B2*P2686,"")</f>
        <v>26.9002857753233</v>
      </c>
      <c r="U2686" s="84" t="str">
        <f aca="false">IF(AND(R2686=1,ISNUMBER(T2686)),E2686-T2686,"")</f>
        <v/>
      </c>
      <c r="V2686" s="84" t="n">
        <f aca="false">IF(ISNUMBER(T2686),T2686,-99)</f>
        <v>26.9002857753233</v>
      </c>
      <c r="W2686" s="84" t="str">
        <f aca="false">IF(ISNUMBER(U2686),ABS(U2686),"")</f>
        <v/>
      </c>
    </row>
    <row r="2687" customFormat="false" ht="15" hidden="false" customHeight="false" outlineLevel="0" collapsed="false">
      <c r="A2687" s="57" t="n">
        <v>35270</v>
      </c>
      <c r="B2687" s="56" t="n">
        <v>1996</v>
      </c>
      <c r="C2687" s="56" t="n">
        <v>7</v>
      </c>
      <c r="D2687" s="56" t="n">
        <v>85</v>
      </c>
      <c r="E2687" s="56" t="n">
        <v>25.4</v>
      </c>
      <c r="F2687" s="56" t="n">
        <v>0</v>
      </c>
      <c r="G2687" s="56" t="n">
        <v>15.6</v>
      </c>
      <c r="H2687" s="56" t="n">
        <v>0</v>
      </c>
      <c r="I2687" s="56" t="n">
        <v>18.6</v>
      </c>
      <c r="J2687" s="56" t="n">
        <v>0</v>
      </c>
      <c r="K2687" s="56" t="n">
        <v>1015.9</v>
      </c>
      <c r="L2687" s="56" t="n">
        <v>0</v>
      </c>
      <c r="M2687" s="56" t="n">
        <v>69</v>
      </c>
      <c r="N2687" s="56" t="n">
        <v>4.2</v>
      </c>
      <c r="O2687" s="56" t="n">
        <f aca="false">IF(D2687=1,"",E2686)</f>
        <v>21.7</v>
      </c>
      <c r="P2687" s="56" t="n">
        <f aca="false">IF(OR(D2687=1,K2686=""),"",K2686)</f>
        <v>1009.1</v>
      </c>
      <c r="Q2687" s="56" t="n">
        <f aca="false">IF(OR(F2687&lt;&gt;0,AND(I2687&lt;&gt;"",E2687&lt;I2687)),1,0)</f>
        <v>0</v>
      </c>
      <c r="R2687" s="56" t="n">
        <f aca="false">IF(AND(D2687&gt;1,Q2687=0,ISNUMBER(O2687),ISNUMBER(P2687)),IF(Q2686=0,1,0),0)</f>
        <v>0</v>
      </c>
      <c r="S2687" s="56" t="n">
        <f aca="false">R2687*(B2687&gt;=Train_Start)*(B2687&lt;=Train_End)</f>
        <v>0</v>
      </c>
      <c r="T2687" s="84" t="n">
        <f aca="false">IF(AND(ISNUMBER(O2687),ISNUMBER(P2687)),Coef_A+Coef_B1*O2687+Coef_B2*P2687,"")</f>
        <v>21.5219965861801</v>
      </c>
      <c r="U2687" s="84" t="str">
        <f aca="false">IF(AND(R2687=1,ISNUMBER(T2687)),E2687-T2687,"")</f>
        <v/>
      </c>
      <c r="V2687" s="84" t="n">
        <f aca="false">IF(ISNUMBER(T2687),T2687,-99)</f>
        <v>21.5219965861801</v>
      </c>
      <c r="W2687" s="84" t="str">
        <f aca="false">IF(ISNUMBER(U2687),ABS(U2687),"")</f>
        <v/>
      </c>
    </row>
    <row r="2688" customFormat="false" ht="15" hidden="false" customHeight="false" outlineLevel="0" collapsed="false">
      <c r="A2688" s="57" t="n">
        <v>35271</v>
      </c>
      <c r="B2688" s="56" t="n">
        <v>1996</v>
      </c>
      <c r="C2688" s="56" t="n">
        <v>7</v>
      </c>
      <c r="D2688" s="56" t="n">
        <v>86</v>
      </c>
      <c r="E2688" s="56" t="n">
        <v>28.9</v>
      </c>
      <c r="F2688" s="56" t="n">
        <v>0</v>
      </c>
      <c r="G2688" s="56" t="n">
        <v>11.7</v>
      </c>
      <c r="H2688" s="56" t="n">
        <v>0</v>
      </c>
      <c r="I2688" s="56" t="n">
        <v>18.6</v>
      </c>
      <c r="J2688" s="56" t="n">
        <v>0</v>
      </c>
      <c r="K2688" s="56" t="n">
        <v>1023</v>
      </c>
      <c r="L2688" s="56" t="n">
        <v>0</v>
      </c>
      <c r="M2688" s="56" t="n">
        <v>60</v>
      </c>
      <c r="N2688" s="56" t="n">
        <v>14.4</v>
      </c>
      <c r="O2688" s="56" t="n">
        <f aca="false">IF(D2688=1,"",E2687)</f>
        <v>25.4</v>
      </c>
      <c r="P2688" s="56" t="n">
        <f aca="false">IF(OR(D2688=1,K2687=""),"",K2687)</f>
        <v>1015.9</v>
      </c>
      <c r="Q2688" s="56" t="n">
        <f aca="false">IF(OR(F2688&lt;&gt;0,AND(I2688&lt;&gt;"",E2688&lt;I2688)),1,0)</f>
        <v>0</v>
      </c>
      <c r="R2688" s="56" t="n">
        <f aca="false">IF(AND(D2688&gt;1,Q2688=0,ISNUMBER(O2688),ISNUMBER(P2688)),IF(Q2687=0,1,0),0)</f>
        <v>1</v>
      </c>
      <c r="S2688" s="56" t="n">
        <f aca="false">R2688*(B2688&gt;=Train_Start)*(B2688&lt;=Train_End)</f>
        <v>1</v>
      </c>
      <c r="T2688" s="84" t="n">
        <f aca="false">IF(AND(ISNUMBER(O2688),ISNUMBER(P2688)),Coef_A+Coef_B1*O2688+Coef_B2*P2688,"")</f>
        <v>24.766866883949</v>
      </c>
      <c r="U2688" s="84" t="n">
        <f aca="false">IF(AND(R2688=1,ISNUMBER(T2688)),E2688-T2688,"")</f>
        <v>4.13313311605097</v>
      </c>
      <c r="V2688" s="84" t="n">
        <f aca="false">IF(ISNUMBER(T2688),T2688,-99)</f>
        <v>24.766866883949</v>
      </c>
      <c r="W2688" s="84" t="n">
        <f aca="false">IF(ISNUMBER(U2688),ABS(U2688),"")</f>
        <v>4.13313311605097</v>
      </c>
    </row>
    <row r="2689" customFormat="false" ht="15" hidden="false" customHeight="false" outlineLevel="0" collapsed="false">
      <c r="A2689" s="57" t="n">
        <v>35272</v>
      </c>
      <c r="B2689" s="56" t="n">
        <v>1996</v>
      </c>
      <c r="C2689" s="56" t="n">
        <v>7</v>
      </c>
      <c r="D2689" s="56" t="n">
        <v>87</v>
      </c>
      <c r="E2689" s="56" t="n">
        <v>23.7</v>
      </c>
      <c r="F2689" s="56" t="n">
        <v>0</v>
      </c>
      <c r="G2689" s="56" t="n">
        <v>14.4</v>
      </c>
      <c r="H2689" s="56" t="n">
        <v>0</v>
      </c>
      <c r="I2689" s="56" t="n">
        <v>21.6</v>
      </c>
      <c r="J2689" s="56" t="n">
        <v>0</v>
      </c>
      <c r="K2689" s="56" t="n">
        <v>1021.4</v>
      </c>
      <c r="L2689" s="56" t="n">
        <v>0</v>
      </c>
      <c r="M2689" s="56" t="n">
        <v>58</v>
      </c>
      <c r="N2689" s="56" t="n">
        <v>8.2</v>
      </c>
      <c r="O2689" s="56" t="n">
        <f aca="false">IF(D2689=1,"",E2688)</f>
        <v>28.9</v>
      </c>
      <c r="P2689" s="56" t="n">
        <f aca="false">IF(OR(D2689=1,K2688=""),"",K2688)</f>
        <v>1023</v>
      </c>
      <c r="Q2689" s="56" t="n">
        <f aca="false">IF(OR(F2689&lt;&gt;0,AND(I2689&lt;&gt;"",E2689&lt;I2689)),1,0)</f>
        <v>0</v>
      </c>
      <c r="R2689" s="56" t="n">
        <f aca="false">IF(AND(D2689&gt;1,Q2689=0,ISNUMBER(O2689),ISNUMBER(P2689)),IF(Q2688=0,1,0),0)</f>
        <v>1</v>
      </c>
      <c r="S2689" s="56" t="n">
        <f aca="false">R2689*(B2689&gt;=Train_Start)*(B2689&lt;=Train_End)</f>
        <v>1</v>
      </c>
      <c r="T2689" s="84" t="n">
        <f aca="false">IF(AND(ISNUMBER(O2689),ISNUMBER(P2689)),Coef_A+Coef_B1*O2689+Coef_B2*P2689,"")</f>
        <v>27.8572803114997</v>
      </c>
      <c r="U2689" s="84" t="n">
        <f aca="false">IF(AND(R2689=1,ISNUMBER(T2689)),E2689-T2689,"")</f>
        <v>-4.15728031149965</v>
      </c>
      <c r="V2689" s="84" t="n">
        <f aca="false">IF(ISNUMBER(T2689),T2689,-99)</f>
        <v>27.8572803114997</v>
      </c>
      <c r="W2689" s="84" t="n">
        <f aca="false">IF(ISNUMBER(U2689),ABS(U2689),"")</f>
        <v>4.15728031149965</v>
      </c>
    </row>
    <row r="2690" customFormat="false" ht="15" hidden="false" customHeight="false" outlineLevel="0" collapsed="false">
      <c r="A2690" s="57" t="n">
        <v>35273</v>
      </c>
      <c r="B2690" s="56" t="n">
        <v>1996</v>
      </c>
      <c r="C2690" s="56" t="n">
        <v>7</v>
      </c>
      <c r="D2690" s="56" t="n">
        <v>88</v>
      </c>
      <c r="E2690" s="56" t="n">
        <v>23.7</v>
      </c>
      <c r="F2690" s="56" t="n">
        <v>0</v>
      </c>
      <c r="G2690" s="56" t="n">
        <v>15</v>
      </c>
      <c r="H2690" s="56" t="n">
        <v>0</v>
      </c>
      <c r="I2690" s="56" t="n">
        <v>19.4</v>
      </c>
      <c r="J2690" s="56" t="n">
        <v>0</v>
      </c>
      <c r="K2690" s="56" t="n">
        <v>1019.6</v>
      </c>
      <c r="L2690" s="56" t="n">
        <v>0</v>
      </c>
      <c r="M2690" s="56" t="n">
        <v>72</v>
      </c>
      <c r="N2690" s="56" t="n">
        <v>2.4</v>
      </c>
      <c r="O2690" s="56" t="n">
        <f aca="false">IF(D2690=1,"",E2689)</f>
        <v>23.7</v>
      </c>
      <c r="P2690" s="56" t="n">
        <f aca="false">IF(OR(D2690=1,K2689=""),"",K2689)</f>
        <v>1021.4</v>
      </c>
      <c r="Q2690" s="56" t="n">
        <f aca="false">IF(OR(F2690&lt;&gt;0,AND(I2690&lt;&gt;"",E2690&lt;I2690)),1,0)</f>
        <v>0</v>
      </c>
      <c r="R2690" s="56" t="n">
        <f aca="false">IF(AND(D2690&gt;1,Q2690=0,ISNUMBER(O2690),ISNUMBER(P2690)),IF(Q2689=0,1,0),0)</f>
        <v>1</v>
      </c>
      <c r="S2690" s="56" t="n">
        <f aca="false">R2690*(B2690&gt;=Train_Start)*(B2690&lt;=Train_End)</f>
        <v>1</v>
      </c>
      <c r="T2690" s="84" t="n">
        <f aca="false">IF(AND(ISNUMBER(O2690),ISNUMBER(P2690)),Coef_A+Coef_B1*O2690+Coef_B2*P2690,"")</f>
        <v>23.5465246762635</v>
      </c>
      <c r="U2690" s="84" t="n">
        <f aca="false">IF(AND(R2690=1,ISNUMBER(T2690)),E2690-T2690,"")</f>
        <v>0.153475323736551</v>
      </c>
      <c r="V2690" s="84" t="n">
        <f aca="false">IF(ISNUMBER(T2690),T2690,-99)</f>
        <v>23.5465246762635</v>
      </c>
      <c r="W2690" s="84" t="n">
        <f aca="false">IF(ISNUMBER(U2690),ABS(U2690),"")</f>
        <v>0.153475323736551</v>
      </c>
    </row>
    <row r="2691" customFormat="false" ht="15" hidden="false" customHeight="false" outlineLevel="0" collapsed="false">
      <c r="A2691" s="57" t="n">
        <v>35274</v>
      </c>
      <c r="B2691" s="56" t="n">
        <v>1996</v>
      </c>
      <c r="C2691" s="56" t="n">
        <v>7</v>
      </c>
      <c r="D2691" s="56" t="n">
        <v>89</v>
      </c>
      <c r="E2691" s="56" t="n">
        <v>25.3</v>
      </c>
      <c r="F2691" s="56" t="n">
        <v>0</v>
      </c>
      <c r="G2691" s="56" t="n">
        <v>15.7</v>
      </c>
      <c r="H2691" s="56" t="n">
        <v>0</v>
      </c>
      <c r="I2691" s="56" t="n">
        <v>19.7</v>
      </c>
      <c r="J2691" s="56" t="n">
        <v>0</v>
      </c>
      <c r="K2691" s="56" t="n">
        <v>1017.1</v>
      </c>
      <c r="L2691" s="56" t="n">
        <v>0</v>
      </c>
      <c r="M2691" s="56" t="n">
        <v>74</v>
      </c>
      <c r="N2691" s="56" t="n">
        <v>0.6</v>
      </c>
      <c r="O2691" s="56" t="n">
        <f aca="false">IF(D2691=1,"",E2690)</f>
        <v>23.7</v>
      </c>
      <c r="P2691" s="56" t="n">
        <f aca="false">IF(OR(D2691=1,K2690=""),"",K2690)</f>
        <v>1019.6</v>
      </c>
      <c r="Q2691" s="56" t="n">
        <f aca="false">IF(OR(F2691&lt;&gt;0,AND(I2691&lt;&gt;"",E2691&lt;I2691)),1,0)</f>
        <v>0</v>
      </c>
      <c r="R2691" s="56" t="n">
        <f aca="false">IF(AND(D2691&gt;1,Q2691=0,ISNUMBER(O2691),ISNUMBER(P2691)),IF(Q2690=0,1,0),0)</f>
        <v>1</v>
      </c>
      <c r="S2691" s="56" t="n">
        <f aca="false">R2691*(B2691&gt;=Train_Start)*(B2691&lt;=Train_End)</f>
        <v>1</v>
      </c>
      <c r="T2691" s="84" t="n">
        <f aca="false">IF(AND(ISNUMBER(O2691),ISNUMBER(P2691)),Coef_A+Coef_B1*O2691+Coef_B2*P2691,"")</f>
        <v>23.4900588659223</v>
      </c>
      <c r="U2691" s="84" t="n">
        <f aca="false">IF(AND(R2691=1,ISNUMBER(T2691)),E2691-T2691,"")</f>
        <v>1.80994113407774</v>
      </c>
      <c r="V2691" s="84" t="n">
        <f aca="false">IF(ISNUMBER(T2691),T2691,-99)</f>
        <v>23.4900588659223</v>
      </c>
      <c r="W2691" s="84" t="n">
        <f aca="false">IF(ISNUMBER(U2691),ABS(U2691),"")</f>
        <v>1.80994113407774</v>
      </c>
    </row>
    <row r="2692" customFormat="false" ht="15" hidden="false" customHeight="false" outlineLevel="0" collapsed="false">
      <c r="A2692" s="57" t="n">
        <v>35275</v>
      </c>
      <c r="B2692" s="56" t="n">
        <v>1996</v>
      </c>
      <c r="C2692" s="56" t="n">
        <v>7</v>
      </c>
      <c r="D2692" s="56" t="n">
        <v>90</v>
      </c>
      <c r="E2692" s="56" t="n">
        <v>24.6</v>
      </c>
      <c r="F2692" s="56" t="n">
        <v>0</v>
      </c>
      <c r="G2692" s="56" t="n">
        <v>16.4</v>
      </c>
      <c r="H2692" s="56" t="n">
        <v>0</v>
      </c>
      <c r="I2692" s="56" t="n">
        <v>20.8</v>
      </c>
      <c r="J2692" s="56" t="n">
        <v>0</v>
      </c>
      <c r="K2692" s="56" t="n">
        <v>1013.7</v>
      </c>
      <c r="L2692" s="56" t="n">
        <v>0</v>
      </c>
      <c r="M2692" s="56" t="n">
        <v>78</v>
      </c>
      <c r="N2692" s="56" t="n">
        <v>7.2</v>
      </c>
      <c r="O2692" s="56" t="n">
        <f aca="false">IF(D2692=1,"",E2691)</f>
        <v>25.3</v>
      </c>
      <c r="P2692" s="56" t="n">
        <f aca="false">IF(OR(D2692=1,K2691=""),"",K2691)</f>
        <v>1017.1</v>
      </c>
      <c r="Q2692" s="56" t="n">
        <f aca="false">IF(OR(F2692&lt;&gt;0,AND(I2692&lt;&gt;"",E2692&lt;I2692)),1,0)</f>
        <v>0</v>
      </c>
      <c r="R2692" s="56" t="n">
        <f aca="false">IF(AND(D2692&gt;1,Q2692=0,ISNUMBER(O2692),ISNUMBER(P2692)),IF(Q2691=0,1,0),0)</f>
        <v>1</v>
      </c>
      <c r="S2692" s="56" t="n">
        <f aca="false">R2692*(B2692&gt;=Train_Start)*(B2692&lt;=Train_End)</f>
        <v>1</v>
      </c>
      <c r="T2692" s="84" t="n">
        <f aca="false">IF(AND(ISNUMBER(O2692),ISNUMBER(P2692)),Coef_A+Coef_B1*O2692+Coef_B2*P2692,"")</f>
        <v>24.7225768382055</v>
      </c>
      <c r="U2692" s="84" t="n">
        <f aca="false">IF(AND(R2692=1,ISNUMBER(T2692)),E2692-T2692,"")</f>
        <v>-0.122576838205546</v>
      </c>
      <c r="V2692" s="84" t="n">
        <f aca="false">IF(ISNUMBER(T2692),T2692,-99)</f>
        <v>24.7225768382055</v>
      </c>
      <c r="W2692" s="84" t="n">
        <f aca="false">IF(ISNUMBER(U2692),ABS(U2692),"")</f>
        <v>0.122576838205546</v>
      </c>
    </row>
    <row r="2693" customFormat="false" ht="15" hidden="false" customHeight="false" outlineLevel="0" collapsed="false">
      <c r="A2693" s="57" t="n">
        <v>35276</v>
      </c>
      <c r="B2693" s="56" t="n">
        <v>1996</v>
      </c>
      <c r="C2693" s="56" t="n">
        <v>7</v>
      </c>
      <c r="D2693" s="56" t="n">
        <v>91</v>
      </c>
      <c r="E2693" s="56" t="n">
        <v>25.8</v>
      </c>
      <c r="F2693" s="56" t="n">
        <v>0</v>
      </c>
      <c r="G2693" s="56" t="n">
        <v>15.5</v>
      </c>
      <c r="H2693" s="56" t="n">
        <v>0</v>
      </c>
      <c r="I2693" s="56" t="n">
        <v>20</v>
      </c>
      <c r="J2693" s="56" t="n">
        <v>0</v>
      </c>
      <c r="K2693" s="56" t="n">
        <v>1015.2</v>
      </c>
      <c r="L2693" s="56" t="n">
        <v>0</v>
      </c>
      <c r="M2693" s="56" t="n">
        <v>79</v>
      </c>
      <c r="N2693" s="56" t="n">
        <v>0.7</v>
      </c>
      <c r="O2693" s="56" t="n">
        <f aca="false">IF(D2693=1,"",E2692)</f>
        <v>24.6</v>
      </c>
      <c r="P2693" s="56" t="n">
        <f aca="false">IF(OR(D2693=1,K2692=""),"",K2692)</f>
        <v>1013.7</v>
      </c>
      <c r="Q2693" s="56" t="n">
        <f aca="false">IF(OR(F2693&lt;&gt;0,AND(I2693&lt;&gt;"",E2693&lt;I2693)),1,0)</f>
        <v>0</v>
      </c>
      <c r="R2693" s="56" t="n">
        <f aca="false">IF(AND(D2693&gt;1,Q2693=0,ISNUMBER(O2693),ISNUMBER(P2693)),IF(Q2692=0,1,0),0)</f>
        <v>1</v>
      </c>
      <c r="S2693" s="56" t="n">
        <f aca="false">R2693*(B2693&gt;=Train_Start)*(B2693&lt;=Train_End)</f>
        <v>1</v>
      </c>
      <c r="T2693" s="84" t="n">
        <f aca="false">IF(AND(ISNUMBER(O2693),ISNUMBER(P2693)),Coef_A+Coef_B1*O2693+Coef_B2*P2693,"")</f>
        <v>24.0423817613201</v>
      </c>
      <c r="U2693" s="84" t="n">
        <f aca="false">IF(AND(R2693=1,ISNUMBER(T2693)),E2693-T2693,"")</f>
        <v>1.75761823867988</v>
      </c>
      <c r="V2693" s="84" t="n">
        <f aca="false">IF(ISNUMBER(T2693),T2693,-99)</f>
        <v>24.0423817613201</v>
      </c>
      <c r="W2693" s="84" t="n">
        <f aca="false">IF(ISNUMBER(U2693),ABS(U2693),"")</f>
        <v>1.75761823867988</v>
      </c>
    </row>
    <row r="2694" customFormat="false" ht="15" hidden="false" customHeight="false" outlineLevel="0" collapsed="false">
      <c r="A2694" s="57" t="n">
        <v>35277</v>
      </c>
      <c r="B2694" s="56" t="n">
        <v>1996</v>
      </c>
      <c r="C2694" s="56" t="n">
        <v>7</v>
      </c>
      <c r="D2694" s="56" t="n">
        <v>92</v>
      </c>
      <c r="E2694" s="56" t="n">
        <v>23.5</v>
      </c>
      <c r="F2694" s="56" t="n">
        <v>0</v>
      </c>
      <c r="G2694" s="56" t="n">
        <v>15.2</v>
      </c>
      <c r="H2694" s="56" t="n">
        <v>0</v>
      </c>
      <c r="I2694" s="56" t="n">
        <v>20.5</v>
      </c>
      <c r="J2694" s="56" t="n">
        <v>0</v>
      </c>
      <c r="K2694" s="56" t="n">
        <v>1014.5</v>
      </c>
      <c r="L2694" s="56" t="n">
        <v>0</v>
      </c>
      <c r="M2694" s="56" t="n">
        <v>70</v>
      </c>
      <c r="N2694" s="56" t="n">
        <v>8.2</v>
      </c>
      <c r="O2694" s="56" t="n">
        <f aca="false">IF(D2694=1,"",E2693)</f>
        <v>25.8</v>
      </c>
      <c r="P2694" s="56" t="n">
        <f aca="false">IF(OR(D2694=1,K2693=""),"",K2693)</f>
        <v>1015.2</v>
      </c>
      <c r="Q2694" s="56" t="n">
        <f aca="false">IF(OR(F2694&lt;&gt;0,AND(I2694&lt;&gt;"",E2694&lt;I2694)),1,0)</f>
        <v>0</v>
      </c>
      <c r="R2694" s="56" t="n">
        <f aca="false">IF(AND(D2694&gt;1,Q2694=0,ISNUMBER(O2694),ISNUMBER(P2694)),IF(Q2693=0,1,0),0)</f>
        <v>1</v>
      </c>
      <c r="S2694" s="56" t="n">
        <f aca="false">R2694*(B2694&gt;=Train_Start)*(B2694&lt;=Train_End)</f>
        <v>1</v>
      </c>
      <c r="T2694" s="84" t="n">
        <f aca="false">IF(AND(ISNUMBER(O2694),ISNUMBER(P2694)),Coef_A+Coef_B1*O2694+Coef_B2*P2694,"")</f>
        <v>25.0726436349223</v>
      </c>
      <c r="U2694" s="84" t="n">
        <f aca="false">IF(AND(R2694=1,ISNUMBER(T2694)),E2694-T2694,"")</f>
        <v>-1.5726436349223</v>
      </c>
      <c r="V2694" s="84" t="n">
        <f aca="false">IF(ISNUMBER(T2694),T2694,-99)</f>
        <v>25.0726436349223</v>
      </c>
      <c r="W2694" s="84" t="n">
        <f aca="false">IF(ISNUMBER(U2694),ABS(U2694),"")</f>
        <v>1.5726436349223</v>
      </c>
    </row>
    <row r="2695" customFormat="false" ht="15" hidden="false" customHeight="false" outlineLevel="0" collapsed="false">
      <c r="A2695" s="57" t="n">
        <v>35278</v>
      </c>
      <c r="B2695" s="56" t="n">
        <v>1996</v>
      </c>
      <c r="C2695" s="56" t="n">
        <v>8</v>
      </c>
      <c r="D2695" s="56" t="n">
        <v>93</v>
      </c>
      <c r="E2695" s="56" t="n">
        <v>20.8</v>
      </c>
      <c r="F2695" s="56" t="n">
        <v>0</v>
      </c>
      <c r="G2695" s="56" t="n">
        <v>12.2</v>
      </c>
      <c r="H2695" s="56" t="n">
        <v>0</v>
      </c>
      <c r="I2695" s="56" t="n">
        <v>17.8</v>
      </c>
      <c r="J2695" s="56" t="n">
        <v>0</v>
      </c>
      <c r="K2695" s="56" t="n">
        <v>1015.6</v>
      </c>
      <c r="L2695" s="56" t="n">
        <v>0</v>
      </c>
      <c r="M2695" s="56" t="n">
        <v>65</v>
      </c>
      <c r="N2695" s="56" t="n">
        <v>4.9</v>
      </c>
      <c r="O2695" s="56" t="n">
        <f aca="false">IF(D2695=1,"",E2694)</f>
        <v>23.5</v>
      </c>
      <c r="P2695" s="56" t="n">
        <f aca="false">IF(OR(D2695=1,K2694=""),"",K2694)</f>
        <v>1014.5</v>
      </c>
      <c r="Q2695" s="56" t="n">
        <f aca="false">IF(OR(F2695&lt;&gt;0,AND(I2695&lt;&gt;"",E2695&lt;I2695)),1,0)</f>
        <v>0</v>
      </c>
      <c r="R2695" s="56" t="n">
        <f aca="false">IF(AND(D2695&gt;1,Q2695=0,ISNUMBER(O2695),ISNUMBER(P2695)),IF(Q2694=0,1,0),0)</f>
        <v>1</v>
      </c>
      <c r="S2695" s="56" t="n">
        <f aca="false">R2695*(B2695&gt;=Train_Start)*(B2695&lt;=Train_End)</f>
        <v>1</v>
      </c>
      <c r="T2695" s="84" t="n">
        <f aca="false">IF(AND(ISNUMBER(O2695),ISNUMBER(P2695)),Coef_A+Coef_B1*O2695+Coef_B2*P2695,"")</f>
        <v>23.1662045646804</v>
      </c>
      <c r="U2695" s="84" t="n">
        <f aca="false">IF(AND(R2695=1,ISNUMBER(T2695)),E2695-T2695,"")</f>
        <v>-2.36620456468039</v>
      </c>
      <c r="V2695" s="84" t="n">
        <f aca="false">IF(ISNUMBER(T2695),T2695,-99)</f>
        <v>23.1662045646804</v>
      </c>
      <c r="W2695" s="84" t="n">
        <f aca="false">IF(ISNUMBER(U2695),ABS(U2695),"")</f>
        <v>2.36620456468039</v>
      </c>
    </row>
    <row r="2696" customFormat="false" ht="15" hidden="false" customHeight="false" outlineLevel="0" collapsed="false">
      <c r="A2696" s="57" t="n">
        <v>35279</v>
      </c>
      <c r="B2696" s="56" t="n">
        <v>1996</v>
      </c>
      <c r="C2696" s="56" t="n">
        <v>8</v>
      </c>
      <c r="D2696" s="56" t="n">
        <v>94</v>
      </c>
      <c r="E2696" s="56" t="n">
        <v>24</v>
      </c>
      <c r="F2696" s="56" t="n">
        <v>0</v>
      </c>
      <c r="G2696" s="56" t="n">
        <v>10.6</v>
      </c>
      <c r="H2696" s="56" t="n">
        <v>0</v>
      </c>
      <c r="I2696" s="56" t="n">
        <v>15.7</v>
      </c>
      <c r="J2696" s="56" t="n">
        <v>0</v>
      </c>
      <c r="K2696" s="56" t="n">
        <v>1022.8</v>
      </c>
      <c r="L2696" s="56" t="n">
        <v>0</v>
      </c>
      <c r="M2696" s="56" t="n">
        <v>70</v>
      </c>
      <c r="N2696" s="56" t="n">
        <v>2.4</v>
      </c>
      <c r="O2696" s="56" t="n">
        <f aca="false">IF(D2696=1,"",E2695)</f>
        <v>20.8</v>
      </c>
      <c r="P2696" s="56" t="n">
        <f aca="false">IF(OR(D2696=1,K2695=""),"",K2695)</f>
        <v>1015.6</v>
      </c>
      <c r="Q2696" s="56" t="n">
        <f aca="false">IF(OR(F2696&lt;&gt;0,AND(I2696&lt;&gt;"",E2696&lt;I2696)),1,0)</f>
        <v>0</v>
      </c>
      <c r="R2696" s="56" t="n">
        <f aca="false">IF(AND(D2696&gt;1,Q2696=0,ISNUMBER(O2696),ISNUMBER(P2696)),IF(Q2695=0,1,0),0)</f>
        <v>1</v>
      </c>
      <c r="S2696" s="56" t="n">
        <f aca="false">R2696*(B2696&gt;=Train_Start)*(B2696&lt;=Train_End)</f>
        <v>1</v>
      </c>
      <c r="T2696" s="84" t="n">
        <f aca="false">IF(AND(ISNUMBER(O2696),ISNUMBER(P2696)),Coef_A+Coef_B1*O2696+Coef_B2*P2696,"")</f>
        <v>20.9884956275626</v>
      </c>
      <c r="U2696" s="84" t="n">
        <f aca="false">IF(AND(R2696=1,ISNUMBER(T2696)),E2696-T2696,"")</f>
        <v>3.0115043724374</v>
      </c>
      <c r="V2696" s="84" t="n">
        <f aca="false">IF(ISNUMBER(T2696),T2696,-99)</f>
        <v>20.9884956275626</v>
      </c>
      <c r="W2696" s="84" t="n">
        <f aca="false">IF(ISNUMBER(U2696),ABS(U2696),"")</f>
        <v>3.0115043724374</v>
      </c>
    </row>
    <row r="2697" customFormat="false" ht="15" hidden="false" customHeight="false" outlineLevel="0" collapsed="false">
      <c r="A2697" s="57" t="n">
        <v>35280</v>
      </c>
      <c r="B2697" s="56" t="n">
        <v>1996</v>
      </c>
      <c r="C2697" s="56" t="n">
        <v>8</v>
      </c>
      <c r="D2697" s="56" t="n">
        <v>95</v>
      </c>
      <c r="E2697" s="56" t="n">
        <v>25.5</v>
      </c>
      <c r="F2697" s="56" t="n">
        <v>0</v>
      </c>
      <c r="G2697" s="56" t="n">
        <v>12.5</v>
      </c>
      <c r="H2697" s="56" t="n">
        <v>0</v>
      </c>
      <c r="I2697" s="56" t="n">
        <v>18.2</v>
      </c>
      <c r="J2697" s="56" t="n">
        <v>0</v>
      </c>
      <c r="K2697" s="56" t="n">
        <v>1028</v>
      </c>
      <c r="L2697" s="56" t="n">
        <v>0</v>
      </c>
      <c r="M2697" s="56" t="n">
        <v>57</v>
      </c>
      <c r="N2697" s="56" t="n">
        <v>12.8</v>
      </c>
      <c r="O2697" s="56" t="n">
        <f aca="false">IF(D2697=1,"",E2696)</f>
        <v>24</v>
      </c>
      <c r="P2697" s="56" t="n">
        <f aca="false">IF(OR(D2697=1,K2696=""),"",K2696)</f>
        <v>1022.8</v>
      </c>
      <c r="Q2697" s="56" t="n">
        <f aca="false">IF(OR(F2697&lt;&gt;0,AND(I2697&lt;&gt;"",E2697&lt;I2697)),1,0)</f>
        <v>0</v>
      </c>
      <c r="R2697" s="56" t="n">
        <f aca="false">IF(AND(D2697&gt;1,Q2697=0,ISNUMBER(O2697),ISNUMBER(P2697)),IF(Q2696=0,1,0),0)</f>
        <v>1</v>
      </c>
      <c r="S2697" s="56" t="n">
        <f aca="false">R2697*(B2697&gt;=Train_Start)*(B2697&lt;=Train_End)</f>
        <v>1</v>
      </c>
      <c r="T2697" s="84" t="n">
        <f aca="false">IF(AND(ISNUMBER(O2697),ISNUMBER(P2697)),Coef_A+Coef_B1*O2697+Coef_B2*P2697,"")</f>
        <v>23.8362442866638</v>
      </c>
      <c r="U2697" s="84" t="n">
        <f aca="false">IF(AND(R2697=1,ISNUMBER(T2697)),E2697-T2697,"")</f>
        <v>1.66375571333617</v>
      </c>
      <c r="V2697" s="84" t="n">
        <f aca="false">IF(ISNUMBER(T2697),T2697,-99)</f>
        <v>23.8362442866638</v>
      </c>
      <c r="W2697" s="84" t="n">
        <f aca="false">IF(ISNUMBER(U2697),ABS(U2697),"")</f>
        <v>1.66375571333617</v>
      </c>
    </row>
    <row r="2698" customFormat="false" ht="15" hidden="false" customHeight="false" outlineLevel="0" collapsed="false">
      <c r="A2698" s="57" t="n">
        <v>35281</v>
      </c>
      <c r="B2698" s="56" t="n">
        <v>1996</v>
      </c>
      <c r="C2698" s="56" t="n">
        <v>8</v>
      </c>
      <c r="D2698" s="56" t="n">
        <v>96</v>
      </c>
      <c r="E2698" s="56" t="n">
        <v>27.6</v>
      </c>
      <c r="F2698" s="56" t="n">
        <v>0</v>
      </c>
      <c r="G2698" s="56" t="n">
        <v>12.6</v>
      </c>
      <c r="H2698" s="56" t="n">
        <v>0</v>
      </c>
      <c r="I2698" s="56" t="n">
        <v>19</v>
      </c>
      <c r="J2698" s="56" t="n">
        <v>0</v>
      </c>
      <c r="K2698" s="56" t="n">
        <v>1023.1</v>
      </c>
      <c r="L2698" s="56" t="n">
        <v>0</v>
      </c>
      <c r="M2698" s="56" t="n">
        <v>62</v>
      </c>
      <c r="N2698" s="56" t="n">
        <v>13.6</v>
      </c>
      <c r="O2698" s="56" t="n">
        <f aca="false">IF(D2698=1,"",E2697)</f>
        <v>25.5</v>
      </c>
      <c r="P2698" s="56" t="n">
        <f aca="false">IF(OR(D2698=1,K2697=""),"",K2697)</f>
        <v>1028</v>
      </c>
      <c r="Q2698" s="56" t="n">
        <f aca="false">IF(OR(F2698&lt;&gt;0,AND(I2698&lt;&gt;"",E2698&lt;I2698)),1,0)</f>
        <v>0</v>
      </c>
      <c r="R2698" s="56" t="n">
        <f aca="false">IF(AND(D2698&gt;1,Q2698=0,ISNUMBER(O2698),ISNUMBER(P2698)),IF(Q2697=0,1,0),0)</f>
        <v>1</v>
      </c>
      <c r="S2698" s="56" t="n">
        <f aca="false">R2698*(B2698&gt;=Train_Start)*(B2698&lt;=Train_End)</f>
        <v>1</v>
      </c>
      <c r="T2698" s="84" t="n">
        <f aca="false">IF(AND(ISNUMBER(O2698),ISNUMBER(P2698)),Coef_A+Coef_B1*O2698+Coef_B2*P2698,"")</f>
        <v>25.2283765283246</v>
      </c>
      <c r="U2698" s="84" t="n">
        <f aca="false">IF(AND(R2698=1,ISNUMBER(T2698)),E2698-T2698,"")</f>
        <v>2.37162347167544</v>
      </c>
      <c r="V2698" s="84" t="n">
        <f aca="false">IF(ISNUMBER(T2698),T2698,-99)</f>
        <v>25.2283765283246</v>
      </c>
      <c r="W2698" s="84" t="n">
        <f aca="false">IF(ISNUMBER(U2698),ABS(U2698),"")</f>
        <v>2.37162347167544</v>
      </c>
    </row>
    <row r="2699" customFormat="false" ht="15" hidden="false" customHeight="false" outlineLevel="0" collapsed="false">
      <c r="A2699" s="57" t="n">
        <v>35282</v>
      </c>
      <c r="B2699" s="56" t="n">
        <v>1996</v>
      </c>
      <c r="C2699" s="56" t="n">
        <v>8</v>
      </c>
      <c r="D2699" s="56" t="n">
        <v>97</v>
      </c>
      <c r="E2699" s="56" t="n">
        <v>22.3</v>
      </c>
      <c r="F2699" s="56" t="n">
        <v>0</v>
      </c>
      <c r="G2699" s="56" t="n">
        <v>14.2</v>
      </c>
      <c r="H2699" s="56" t="n">
        <v>0</v>
      </c>
      <c r="I2699" s="56" t="n">
        <v>20.9</v>
      </c>
      <c r="J2699" s="56" t="n">
        <v>0</v>
      </c>
      <c r="K2699" s="56" t="n">
        <v>1013</v>
      </c>
      <c r="L2699" s="56" t="n">
        <v>0</v>
      </c>
      <c r="M2699" s="56" t="n">
        <v>52</v>
      </c>
      <c r="N2699" s="56" t="n">
        <v>12.7</v>
      </c>
      <c r="O2699" s="56" t="n">
        <f aca="false">IF(D2699=1,"",E2698)</f>
        <v>27.6</v>
      </c>
      <c r="P2699" s="56" t="n">
        <f aca="false">IF(OR(D2699=1,K2698=""),"",K2698)</f>
        <v>1023.1</v>
      </c>
      <c r="Q2699" s="56" t="n">
        <f aca="false">IF(OR(F2699&lt;&gt;0,AND(I2699&lt;&gt;"",E2699&lt;I2699)),1,0)</f>
        <v>0</v>
      </c>
      <c r="R2699" s="56" t="n">
        <f aca="false">IF(AND(D2699&gt;1,Q2699=0,ISNUMBER(O2699),ISNUMBER(P2699)),IF(Q2698=0,1,0),0)</f>
        <v>1</v>
      </c>
      <c r="S2699" s="56" t="n">
        <f aca="false">R2699*(B2699&gt;=Train_Start)*(B2699&lt;=Train_End)</f>
        <v>1</v>
      </c>
      <c r="T2699" s="84" t="n">
        <f aca="false">IF(AND(ISNUMBER(O2699),ISNUMBER(P2699)),Coef_A+Coef_B1*O2699+Coef_B2*P2699,"")</f>
        <v>26.7952763500076</v>
      </c>
      <c r="U2699" s="84" t="n">
        <f aca="false">IF(AND(R2699=1,ISNUMBER(T2699)),E2699-T2699,"")</f>
        <v>-4.4952763500076</v>
      </c>
      <c r="V2699" s="84" t="n">
        <f aca="false">IF(ISNUMBER(T2699),T2699,-99)</f>
        <v>26.7952763500076</v>
      </c>
      <c r="W2699" s="84" t="n">
        <f aca="false">IF(ISNUMBER(U2699),ABS(U2699),"")</f>
        <v>4.4952763500076</v>
      </c>
    </row>
    <row r="2700" customFormat="false" ht="15" hidden="false" customHeight="false" outlineLevel="0" collapsed="false">
      <c r="A2700" s="57" t="n">
        <v>35283</v>
      </c>
      <c r="B2700" s="56" t="n">
        <v>1996</v>
      </c>
      <c r="C2700" s="56" t="n">
        <v>8</v>
      </c>
      <c r="D2700" s="56" t="n">
        <v>98</v>
      </c>
      <c r="E2700" s="56" t="n">
        <v>22.7</v>
      </c>
      <c r="F2700" s="56" t="n">
        <v>0</v>
      </c>
      <c r="G2700" s="56" t="n">
        <v>17.4</v>
      </c>
      <c r="H2700" s="56" t="n">
        <v>0</v>
      </c>
      <c r="I2700" s="56" t="n">
        <v>19.8</v>
      </c>
      <c r="J2700" s="56" t="n">
        <v>0</v>
      </c>
      <c r="K2700" s="56" t="n">
        <v>1007.4</v>
      </c>
      <c r="L2700" s="56" t="n">
        <v>0</v>
      </c>
      <c r="M2700" s="56" t="n">
        <v>67</v>
      </c>
      <c r="N2700" s="56" t="n">
        <v>5.9</v>
      </c>
      <c r="O2700" s="56" t="n">
        <f aca="false">IF(D2700=1,"",E2699)</f>
        <v>22.3</v>
      </c>
      <c r="P2700" s="56" t="n">
        <f aca="false">IF(OR(D2700=1,K2699=""),"",K2699)</f>
        <v>1013</v>
      </c>
      <c r="Q2700" s="56" t="n">
        <f aca="false">IF(OR(F2700&lt;&gt;0,AND(I2700&lt;&gt;"",E2700&lt;I2700)),1,0)</f>
        <v>0</v>
      </c>
      <c r="R2700" s="56" t="n">
        <f aca="false">IF(AND(D2700&gt;1,Q2700=0,ISNUMBER(O2700),ISNUMBER(P2700)),IF(Q2699=0,1,0),0)</f>
        <v>1</v>
      </c>
      <c r="S2700" s="56" t="n">
        <f aca="false">R2700*(B2700&gt;=Train_Start)*(B2700&lt;=Train_End)</f>
        <v>1</v>
      </c>
      <c r="T2700" s="84" t="n">
        <f aca="false">IF(AND(ISNUMBER(O2700),ISNUMBER(P2700)),Coef_A+Coef_B1*O2700+Coef_B2*P2700,"")</f>
        <v>22.1359426910782</v>
      </c>
      <c r="U2700" s="84" t="n">
        <f aca="false">IF(AND(R2700=1,ISNUMBER(T2700)),E2700-T2700,"")</f>
        <v>0.564057308921782</v>
      </c>
      <c r="V2700" s="84" t="n">
        <f aca="false">IF(ISNUMBER(T2700),T2700,-99)</f>
        <v>22.1359426910782</v>
      </c>
      <c r="W2700" s="84" t="n">
        <f aca="false">IF(ISNUMBER(U2700),ABS(U2700),"")</f>
        <v>0.564057308921782</v>
      </c>
    </row>
    <row r="2701" customFormat="false" ht="15" hidden="false" customHeight="false" outlineLevel="0" collapsed="false">
      <c r="A2701" s="57" t="n">
        <v>35284</v>
      </c>
      <c r="B2701" s="56" t="n">
        <v>1996</v>
      </c>
      <c r="C2701" s="56" t="n">
        <v>8</v>
      </c>
      <c r="D2701" s="56" t="n">
        <v>99</v>
      </c>
      <c r="E2701" s="56" t="n">
        <v>23.5</v>
      </c>
      <c r="F2701" s="56" t="n">
        <v>0</v>
      </c>
      <c r="G2701" s="56" t="n">
        <v>13.7</v>
      </c>
      <c r="H2701" s="56" t="n">
        <v>0</v>
      </c>
      <c r="I2701" s="56" t="n">
        <v>18.2</v>
      </c>
      <c r="J2701" s="56" t="n">
        <v>0</v>
      </c>
      <c r="K2701" s="56" t="n">
        <v>1014.6</v>
      </c>
      <c r="L2701" s="56" t="n">
        <v>0</v>
      </c>
      <c r="M2701" s="56" t="n">
        <v>64</v>
      </c>
      <c r="N2701" s="56" t="n">
        <v>4</v>
      </c>
      <c r="O2701" s="56" t="n">
        <f aca="false">IF(D2701=1,"",E2700)</f>
        <v>22.7</v>
      </c>
      <c r="P2701" s="56" t="n">
        <f aca="false">IF(OR(D2701=1,K2700=""),"",K2700)</f>
        <v>1007.4</v>
      </c>
      <c r="Q2701" s="56" t="n">
        <f aca="false">IF(OR(F2701&lt;&gt;0,AND(I2701&lt;&gt;"",E2701&lt;I2701)),1,0)</f>
        <v>0</v>
      </c>
      <c r="R2701" s="56" t="n">
        <f aca="false">IF(AND(D2701&gt;1,Q2701=0,ISNUMBER(O2701),ISNUMBER(P2701)),IF(Q2700=0,1,0),0)</f>
        <v>1</v>
      </c>
      <c r="S2701" s="56" t="n">
        <f aca="false">R2701*(B2701&gt;=Train_Start)*(B2701&lt;=Train_End)</f>
        <v>1</v>
      </c>
      <c r="T2701" s="84" t="n">
        <f aca="false">IF(AND(ISNUMBER(O2701),ISNUMBER(P2701)),Coef_A+Coef_B1*O2701+Coef_B2*P2701,"")</f>
        <v>22.2880069583449</v>
      </c>
      <c r="U2701" s="84" t="n">
        <f aca="false">IF(AND(R2701=1,ISNUMBER(T2701)),E2701-T2701,"")</f>
        <v>1.21199304165506</v>
      </c>
      <c r="V2701" s="84" t="n">
        <f aca="false">IF(ISNUMBER(T2701),T2701,-99)</f>
        <v>22.2880069583449</v>
      </c>
      <c r="W2701" s="84" t="n">
        <f aca="false">IF(ISNUMBER(U2701),ABS(U2701),"")</f>
        <v>1.21199304165506</v>
      </c>
    </row>
    <row r="2702" customFormat="false" ht="15" hidden="false" customHeight="false" outlineLevel="0" collapsed="false">
      <c r="A2702" s="57" t="n">
        <v>35285</v>
      </c>
      <c r="B2702" s="56" t="n">
        <v>1996</v>
      </c>
      <c r="C2702" s="56" t="n">
        <v>8</v>
      </c>
      <c r="D2702" s="56" t="n">
        <v>100</v>
      </c>
      <c r="E2702" s="56" t="n">
        <v>21.7</v>
      </c>
      <c r="F2702" s="56" t="n">
        <v>0</v>
      </c>
      <c r="G2702" s="56" t="n">
        <v>12</v>
      </c>
      <c r="H2702" s="56" t="n">
        <v>0</v>
      </c>
      <c r="I2702" s="56" t="n">
        <v>17.8</v>
      </c>
      <c r="J2702" s="56" t="n">
        <v>0</v>
      </c>
      <c r="K2702" s="56" t="n">
        <v>1014.8</v>
      </c>
      <c r="L2702" s="56" t="n">
        <v>0</v>
      </c>
      <c r="M2702" s="56" t="n">
        <v>67</v>
      </c>
      <c r="N2702" s="56" t="n">
        <v>7.8</v>
      </c>
      <c r="O2702" s="56" t="n">
        <f aca="false">IF(D2702=1,"",E2701)</f>
        <v>23.5</v>
      </c>
      <c r="P2702" s="56" t="n">
        <f aca="false">IF(OR(D2702=1,K2701=""),"",K2701)</f>
        <v>1014.6</v>
      </c>
      <c r="Q2702" s="56" t="n">
        <f aca="false">IF(OR(F2702&lt;&gt;0,AND(I2702&lt;&gt;"",E2702&lt;I2702)),1,0)</f>
        <v>0</v>
      </c>
      <c r="R2702" s="56" t="n">
        <f aca="false">IF(AND(D2702&gt;1,Q2702=0,ISNUMBER(O2702),ISNUMBER(P2702)),IF(Q2701=0,1,0),0)</f>
        <v>1</v>
      </c>
      <c r="S2702" s="56" t="n">
        <f aca="false">R2702*(B2702&gt;=Train_Start)*(B2702&lt;=Train_End)</f>
        <v>1</v>
      </c>
      <c r="T2702" s="84" t="n">
        <f aca="false">IF(AND(ISNUMBER(O2702),ISNUMBER(P2702)),Coef_A+Coef_B1*O2702+Coef_B2*P2702,"")</f>
        <v>23.1693415541438</v>
      </c>
      <c r="U2702" s="84" t="n">
        <f aca="false">IF(AND(R2702=1,ISNUMBER(T2702)),E2702-T2702,"")</f>
        <v>-1.46934155414379</v>
      </c>
      <c r="V2702" s="84" t="n">
        <f aca="false">IF(ISNUMBER(T2702),T2702,-99)</f>
        <v>23.1693415541438</v>
      </c>
      <c r="W2702" s="84" t="n">
        <f aca="false">IF(ISNUMBER(U2702),ABS(U2702),"")</f>
        <v>1.46934155414379</v>
      </c>
    </row>
    <row r="2703" customFormat="false" ht="15" hidden="false" customHeight="false" outlineLevel="0" collapsed="false">
      <c r="A2703" s="57" t="n">
        <v>35286</v>
      </c>
      <c r="B2703" s="56" t="n">
        <v>1996</v>
      </c>
      <c r="C2703" s="56" t="n">
        <v>8</v>
      </c>
      <c r="D2703" s="56" t="n">
        <v>101</v>
      </c>
      <c r="E2703" s="56" t="n">
        <v>23.1</v>
      </c>
      <c r="F2703" s="56" t="n">
        <v>0</v>
      </c>
      <c r="G2703" s="56" t="n">
        <v>14.7</v>
      </c>
      <c r="H2703" s="56" t="n">
        <v>0</v>
      </c>
      <c r="I2703" s="56" t="n">
        <v>18.2</v>
      </c>
      <c r="J2703" s="56" t="n">
        <v>0</v>
      </c>
      <c r="K2703" s="56" t="n">
        <v>1010.7</v>
      </c>
      <c r="L2703" s="56" t="n">
        <v>0</v>
      </c>
      <c r="M2703" s="56" t="n">
        <v>79</v>
      </c>
      <c r="N2703" s="56" t="n">
        <v>0.6</v>
      </c>
      <c r="O2703" s="56" t="n">
        <f aca="false">IF(D2703=1,"",E2702)</f>
        <v>21.7</v>
      </c>
      <c r="P2703" s="56" t="n">
        <f aca="false">IF(OR(D2703=1,K2702=""),"",K2702)</f>
        <v>1014.8</v>
      </c>
      <c r="Q2703" s="56" t="n">
        <f aca="false">IF(OR(F2703&lt;&gt;0,AND(I2703&lt;&gt;"",E2703&lt;I2703)),1,0)</f>
        <v>0</v>
      </c>
      <c r="R2703" s="56" t="n">
        <f aca="false">IF(AND(D2703&gt;1,Q2703=0,ISNUMBER(O2703),ISNUMBER(P2703)),IF(Q2702=0,1,0),0)</f>
        <v>1</v>
      </c>
      <c r="S2703" s="56" t="n">
        <f aca="false">R2703*(B2703&gt;=Train_Start)*(B2703&lt;=Train_End)</f>
        <v>1</v>
      </c>
      <c r="T2703" s="84" t="n">
        <f aca="false">IF(AND(ISNUMBER(O2703),ISNUMBER(P2703)),Coef_A+Coef_B1*O2703+Coef_B2*P2703,"")</f>
        <v>21.7008049855938</v>
      </c>
      <c r="U2703" s="84" t="n">
        <f aca="false">IF(AND(R2703=1,ISNUMBER(T2703)),E2703-T2703,"")</f>
        <v>1.3991950144062</v>
      </c>
      <c r="V2703" s="84" t="n">
        <f aca="false">IF(ISNUMBER(T2703),T2703,-99)</f>
        <v>21.7008049855938</v>
      </c>
      <c r="W2703" s="84" t="n">
        <f aca="false">IF(ISNUMBER(U2703),ABS(U2703),"")</f>
        <v>1.3991950144062</v>
      </c>
    </row>
    <row r="2704" customFormat="false" ht="15" hidden="false" customHeight="false" outlineLevel="0" collapsed="false">
      <c r="A2704" s="57" t="n">
        <v>35287</v>
      </c>
      <c r="B2704" s="56" t="n">
        <v>1996</v>
      </c>
      <c r="C2704" s="56" t="n">
        <v>8</v>
      </c>
      <c r="D2704" s="56" t="n">
        <v>102</v>
      </c>
      <c r="E2704" s="56" t="n">
        <v>22.6</v>
      </c>
      <c r="F2704" s="56" t="n">
        <v>0</v>
      </c>
      <c r="G2704" s="56" t="n">
        <v>15.7</v>
      </c>
      <c r="H2704" s="56" t="n">
        <v>0</v>
      </c>
      <c r="I2704" s="56" t="n">
        <v>19.4</v>
      </c>
      <c r="J2704" s="56" t="n">
        <v>0</v>
      </c>
      <c r="K2704" s="56" t="n">
        <v>1004.4</v>
      </c>
      <c r="L2704" s="56" t="n">
        <v>0</v>
      </c>
      <c r="M2704" s="56" t="n">
        <v>72</v>
      </c>
      <c r="N2704" s="56" t="n">
        <v>8.7</v>
      </c>
      <c r="O2704" s="56" t="n">
        <f aca="false">IF(D2704=1,"",E2703)</f>
        <v>23.1</v>
      </c>
      <c r="P2704" s="56" t="n">
        <f aca="false">IF(OR(D2704=1,K2703=""),"",K2703)</f>
        <v>1010.7</v>
      </c>
      <c r="Q2704" s="56" t="n">
        <f aca="false">IF(OR(F2704&lt;&gt;0,AND(I2704&lt;&gt;"",E2704&lt;I2704)),1,0)</f>
        <v>0</v>
      </c>
      <c r="R2704" s="56" t="n">
        <f aca="false">IF(AND(D2704&gt;1,Q2704=0,ISNUMBER(O2704),ISNUMBER(P2704)),IF(Q2703=0,1,0),0)</f>
        <v>1</v>
      </c>
      <c r="S2704" s="56" t="n">
        <f aca="false">R2704*(B2704&gt;=Train_Start)*(B2704&lt;=Train_End)</f>
        <v>1</v>
      </c>
      <c r="T2704" s="84" t="n">
        <f aca="false">IF(AND(ISNUMBER(O2704),ISNUMBER(P2704)),Coef_A+Coef_B1*O2704+Coef_B2*P2704,"")</f>
        <v>22.7192632878542</v>
      </c>
      <c r="U2704" s="84" t="n">
        <f aca="false">IF(AND(R2704=1,ISNUMBER(T2704)),E2704-T2704,"")</f>
        <v>-0.119263287854167</v>
      </c>
      <c r="V2704" s="84" t="n">
        <f aca="false">IF(ISNUMBER(T2704),T2704,-99)</f>
        <v>22.7192632878542</v>
      </c>
      <c r="W2704" s="84" t="n">
        <f aca="false">IF(ISNUMBER(U2704),ABS(U2704),"")</f>
        <v>0.119263287854167</v>
      </c>
    </row>
    <row r="2705" customFormat="false" ht="15" hidden="false" customHeight="false" outlineLevel="0" collapsed="false">
      <c r="A2705" s="57" t="n">
        <v>35288</v>
      </c>
      <c r="B2705" s="56" t="n">
        <v>1996</v>
      </c>
      <c r="C2705" s="56" t="n">
        <v>8</v>
      </c>
      <c r="D2705" s="56" t="n">
        <v>103</v>
      </c>
      <c r="E2705" s="56" t="n">
        <v>20.7</v>
      </c>
      <c r="F2705" s="56" t="n">
        <v>0</v>
      </c>
      <c r="G2705" s="56" t="n">
        <v>14.1</v>
      </c>
      <c r="H2705" s="56" t="n">
        <v>0</v>
      </c>
      <c r="I2705" s="56" t="n">
        <v>18.4</v>
      </c>
      <c r="J2705" s="56" t="n">
        <v>0</v>
      </c>
      <c r="K2705" s="56" t="n">
        <v>1003.6</v>
      </c>
      <c r="L2705" s="56" t="n">
        <v>0</v>
      </c>
      <c r="M2705" s="56" t="n">
        <v>83</v>
      </c>
      <c r="N2705" s="56" t="n">
        <v>5.8</v>
      </c>
      <c r="O2705" s="56" t="n">
        <f aca="false">IF(D2705=1,"",E2704)</f>
        <v>22.6</v>
      </c>
      <c r="P2705" s="56" t="n">
        <f aca="false">IF(OR(D2705=1,K2704=""),"",K2704)</f>
        <v>1004.4</v>
      </c>
      <c r="Q2705" s="56" t="n">
        <f aca="false">IF(OR(F2705&lt;&gt;0,AND(I2705&lt;&gt;"",E2705&lt;I2705)),1,0)</f>
        <v>0</v>
      </c>
      <c r="R2705" s="56" t="n">
        <f aca="false">IF(AND(D2705&gt;1,Q2705=0,ISNUMBER(O2705),ISNUMBER(P2705)),IF(Q2704=0,1,0),0)</f>
        <v>1</v>
      </c>
      <c r="S2705" s="56" t="n">
        <f aca="false">R2705*(B2705&gt;=Train_Start)*(B2705&lt;=Train_End)</f>
        <v>1</v>
      </c>
      <c r="T2705" s="84" t="n">
        <f aca="false">IF(AND(ISNUMBER(O2705),ISNUMBER(P2705)),Coef_A+Coef_B1*O2705+Coef_B2*P2705,"")</f>
        <v>22.1119633551387</v>
      </c>
      <c r="U2705" s="84" t="n">
        <f aca="false">IF(AND(R2705=1,ISNUMBER(T2705)),E2705-T2705,"")</f>
        <v>-1.41196335513871</v>
      </c>
      <c r="V2705" s="84" t="n">
        <f aca="false">IF(ISNUMBER(T2705),T2705,-99)</f>
        <v>22.1119633551387</v>
      </c>
      <c r="W2705" s="84" t="n">
        <f aca="false">IF(ISNUMBER(U2705),ABS(U2705),"")</f>
        <v>1.41196335513871</v>
      </c>
    </row>
    <row r="2706" customFormat="false" ht="15" hidden="false" customHeight="false" outlineLevel="0" collapsed="false">
      <c r="A2706" s="57" t="n">
        <v>35289</v>
      </c>
      <c r="B2706" s="56" t="n">
        <v>1996</v>
      </c>
      <c r="C2706" s="56" t="n">
        <v>8</v>
      </c>
      <c r="D2706" s="56" t="n">
        <v>104</v>
      </c>
      <c r="E2706" s="56" t="n">
        <v>23.4</v>
      </c>
      <c r="F2706" s="56" t="n">
        <v>0</v>
      </c>
      <c r="G2706" s="56" t="n">
        <v>13.6</v>
      </c>
      <c r="H2706" s="56" t="n">
        <v>0</v>
      </c>
      <c r="I2706" s="56" t="n">
        <v>17.2</v>
      </c>
      <c r="J2706" s="56" t="n">
        <v>0</v>
      </c>
      <c r="K2706" s="56" t="n">
        <v>1011.6</v>
      </c>
      <c r="L2706" s="56" t="n">
        <v>0</v>
      </c>
      <c r="M2706" s="56" t="n">
        <v>82</v>
      </c>
      <c r="N2706" s="56" t="n">
        <v>1.9</v>
      </c>
      <c r="O2706" s="56" t="n">
        <f aca="false">IF(D2706=1,"",E2705)</f>
        <v>20.7</v>
      </c>
      <c r="P2706" s="56" t="n">
        <f aca="false">IF(OR(D2706=1,K2705=""),"",K2705)</f>
        <v>1003.6</v>
      </c>
      <c r="Q2706" s="56" t="n">
        <f aca="false">IF(OR(F2706&lt;&gt;0,AND(I2706&lt;&gt;"",E2706&lt;I2706)),1,0)</f>
        <v>0</v>
      </c>
      <c r="R2706" s="56" t="n">
        <f aca="false">IF(AND(D2706&gt;1,Q2706=0,ISNUMBER(O2706),ISNUMBER(P2706)),IF(Q2705=0,1,0),0)</f>
        <v>1</v>
      </c>
      <c r="S2706" s="56" t="n">
        <f aca="false">R2706*(B2706&gt;=Train_Start)*(B2706&lt;=Train_End)</f>
        <v>1</v>
      </c>
      <c r="T2706" s="84" t="n">
        <f aca="false">IF(AND(ISNUMBER(O2706),ISNUMBER(P2706)),Coef_A+Coef_B1*O2706+Coef_B2*P2706,"")</f>
        <v>20.5301229726505</v>
      </c>
      <c r="U2706" s="84" t="n">
        <f aca="false">IF(AND(R2706=1,ISNUMBER(T2706)),E2706-T2706,"")</f>
        <v>2.86987702734954</v>
      </c>
      <c r="V2706" s="84" t="n">
        <f aca="false">IF(ISNUMBER(T2706),T2706,-99)</f>
        <v>20.5301229726505</v>
      </c>
      <c r="W2706" s="84" t="n">
        <f aca="false">IF(ISNUMBER(U2706),ABS(U2706),"")</f>
        <v>2.86987702734954</v>
      </c>
    </row>
    <row r="2707" customFormat="false" ht="15" hidden="false" customHeight="false" outlineLevel="0" collapsed="false">
      <c r="A2707" s="57" t="n">
        <v>35290</v>
      </c>
      <c r="B2707" s="56" t="n">
        <v>1996</v>
      </c>
      <c r="C2707" s="56" t="n">
        <v>8</v>
      </c>
      <c r="D2707" s="56" t="n">
        <v>105</v>
      </c>
      <c r="E2707" s="56" t="n">
        <v>21.6</v>
      </c>
      <c r="F2707" s="56" t="n">
        <v>0</v>
      </c>
      <c r="G2707" s="56" t="n">
        <v>14</v>
      </c>
      <c r="H2707" s="56" t="n">
        <v>0</v>
      </c>
      <c r="I2707" s="56" t="n">
        <v>18.7</v>
      </c>
      <c r="J2707" s="56" t="n">
        <v>0</v>
      </c>
      <c r="K2707" s="56" t="n">
        <v>1015.7</v>
      </c>
      <c r="L2707" s="56" t="n">
        <v>0</v>
      </c>
      <c r="M2707" s="56" t="n">
        <v>71</v>
      </c>
      <c r="N2707" s="56" t="n">
        <v>9</v>
      </c>
      <c r="O2707" s="56" t="n">
        <f aca="false">IF(D2707=1,"",E2706)</f>
        <v>23.4</v>
      </c>
      <c r="P2707" s="56" t="n">
        <f aca="false">IF(OR(D2707=1,K2706=""),"",K2706)</f>
        <v>1011.6</v>
      </c>
      <c r="Q2707" s="56" t="n">
        <f aca="false">IF(OR(F2707&lt;&gt;0,AND(I2707&lt;&gt;"",E2707&lt;I2707)),1,0)</f>
        <v>0</v>
      </c>
      <c r="R2707" s="56" t="n">
        <f aca="false">IF(AND(D2707&gt;1,Q2707=0,ISNUMBER(O2707),ISNUMBER(P2707)),IF(Q2706=0,1,0),0)</f>
        <v>1</v>
      </c>
      <c r="S2707" s="56" t="n">
        <f aca="false">R2707*(B2707&gt;=Train_Start)*(B2707&lt;=Train_End)</f>
        <v>1</v>
      </c>
      <c r="T2707" s="84" t="n">
        <f aca="false">IF(AND(ISNUMBER(O2707),ISNUMBER(P2707)),Coef_A+Coef_B1*O2707+Coef_B2*P2707,"")</f>
        <v>22.9932979509376</v>
      </c>
      <c r="U2707" s="84" t="n">
        <f aca="false">IF(AND(R2707=1,ISNUMBER(T2707)),E2707-T2707,"")</f>
        <v>-1.39329795093755</v>
      </c>
      <c r="V2707" s="84" t="n">
        <f aca="false">IF(ISNUMBER(T2707),T2707,-99)</f>
        <v>22.9932979509376</v>
      </c>
      <c r="W2707" s="84" t="n">
        <f aca="false">IF(ISNUMBER(U2707),ABS(U2707),"")</f>
        <v>1.39329795093755</v>
      </c>
    </row>
    <row r="2708" customFormat="false" ht="15" hidden="false" customHeight="false" outlineLevel="0" collapsed="false">
      <c r="A2708" s="57" t="n">
        <v>35291</v>
      </c>
      <c r="B2708" s="56" t="n">
        <v>1996</v>
      </c>
      <c r="C2708" s="56" t="n">
        <v>8</v>
      </c>
      <c r="D2708" s="56" t="n">
        <v>106</v>
      </c>
      <c r="E2708" s="56" t="n">
        <v>21.1</v>
      </c>
      <c r="F2708" s="56" t="n">
        <v>0</v>
      </c>
      <c r="G2708" s="56" t="n">
        <v>16</v>
      </c>
      <c r="H2708" s="56" t="n">
        <v>0</v>
      </c>
      <c r="I2708" s="56" t="n">
        <v>18.8</v>
      </c>
      <c r="J2708" s="56" t="n">
        <v>0</v>
      </c>
      <c r="K2708" s="56" t="n">
        <v>1019.5</v>
      </c>
      <c r="L2708" s="56" t="n">
        <v>0</v>
      </c>
      <c r="M2708" s="56" t="n">
        <v>75</v>
      </c>
      <c r="N2708" s="56" t="n">
        <v>0.8</v>
      </c>
      <c r="O2708" s="56" t="n">
        <f aca="false">IF(D2708=1,"",E2707)</f>
        <v>21.6</v>
      </c>
      <c r="P2708" s="56" t="n">
        <f aca="false">IF(OR(D2708=1,K2707=""),"",K2707)</f>
        <v>1015.7</v>
      </c>
      <c r="Q2708" s="56" t="n">
        <f aca="false">IF(OR(F2708&lt;&gt;0,AND(I2708&lt;&gt;"",E2708&lt;I2708)),1,0)</f>
        <v>0</v>
      </c>
      <c r="R2708" s="56" t="n">
        <f aca="false">IF(AND(D2708&gt;1,Q2708=0,ISNUMBER(O2708),ISNUMBER(P2708)),IF(Q2707=0,1,0),0)</f>
        <v>1</v>
      </c>
      <c r="S2708" s="56" t="n">
        <f aca="false">R2708*(B2708&gt;=Train_Start)*(B2708&lt;=Train_End)</f>
        <v>1</v>
      </c>
      <c r="T2708" s="84" t="n">
        <f aca="false">IF(AND(ISNUMBER(O2708),ISNUMBER(P2708)),Coef_A+Coef_B1*O2708+Coef_B2*P2708,"")</f>
        <v>21.6471039714601</v>
      </c>
      <c r="U2708" s="84" t="n">
        <f aca="false">IF(AND(R2708=1,ISNUMBER(T2708)),E2708-T2708,"")</f>
        <v>-0.547103971460128</v>
      </c>
      <c r="V2708" s="84" t="n">
        <f aca="false">IF(ISNUMBER(T2708),T2708,-99)</f>
        <v>21.6471039714601</v>
      </c>
      <c r="W2708" s="84" t="n">
        <f aca="false">IF(ISNUMBER(U2708),ABS(U2708),"")</f>
        <v>0.547103971460128</v>
      </c>
    </row>
    <row r="2709" customFormat="false" ht="15" hidden="false" customHeight="false" outlineLevel="0" collapsed="false">
      <c r="A2709" s="57" t="n">
        <v>35292</v>
      </c>
      <c r="B2709" s="56" t="n">
        <v>1996</v>
      </c>
      <c r="C2709" s="56" t="n">
        <v>8</v>
      </c>
      <c r="D2709" s="56" t="n">
        <v>107</v>
      </c>
      <c r="E2709" s="56" t="n">
        <v>26.6</v>
      </c>
      <c r="F2709" s="56" t="n">
        <v>0</v>
      </c>
      <c r="G2709" s="56" t="n">
        <v>15</v>
      </c>
      <c r="H2709" s="56" t="n">
        <v>0</v>
      </c>
      <c r="I2709" s="56" t="n">
        <v>18</v>
      </c>
      <c r="J2709" s="56" t="n">
        <v>0</v>
      </c>
      <c r="K2709" s="56" t="n">
        <v>1021.9</v>
      </c>
      <c r="L2709" s="56" t="n">
        <v>0</v>
      </c>
      <c r="M2709" s="56" t="n">
        <v>78</v>
      </c>
      <c r="N2709" s="56" t="n">
        <v>5</v>
      </c>
      <c r="O2709" s="56" t="n">
        <f aca="false">IF(D2709=1,"",E2708)</f>
        <v>21.1</v>
      </c>
      <c r="P2709" s="56" t="n">
        <f aca="false">IF(OR(D2709=1,K2708=""),"",K2708)</f>
        <v>1019.5</v>
      </c>
      <c r="Q2709" s="56" t="n">
        <f aca="false">IF(OR(F2709&lt;&gt;0,AND(I2709&lt;&gt;"",E2709&lt;I2709)),1,0)</f>
        <v>0</v>
      </c>
      <c r="R2709" s="56" t="n">
        <f aca="false">IF(AND(D2709&gt;1,Q2709=0,ISNUMBER(O2709),ISNUMBER(P2709)),IF(Q2708=0,1,0),0)</f>
        <v>1</v>
      </c>
      <c r="S2709" s="56" t="n">
        <f aca="false">R2709*(B2709&gt;=Train_Start)*(B2709&lt;=Train_End)</f>
        <v>1</v>
      </c>
      <c r="T2709" s="84" t="n">
        <f aca="false">IF(AND(ISNUMBER(O2709),ISNUMBER(P2709)),Coef_A+Coef_B1*O2709+Coef_B2*P2709,"")</f>
        <v>21.356639974548</v>
      </c>
      <c r="U2709" s="84" t="n">
        <f aca="false">IF(AND(R2709=1,ISNUMBER(T2709)),E2709-T2709,"")</f>
        <v>5.24336002545205</v>
      </c>
      <c r="V2709" s="84" t="n">
        <f aca="false">IF(ISNUMBER(T2709),T2709,-99)</f>
        <v>21.356639974548</v>
      </c>
      <c r="W2709" s="84" t="n">
        <f aca="false">IF(ISNUMBER(U2709),ABS(U2709),"")</f>
        <v>5.24336002545205</v>
      </c>
    </row>
    <row r="2710" customFormat="false" ht="15" hidden="false" customHeight="false" outlineLevel="0" collapsed="false">
      <c r="A2710" s="57" t="n">
        <v>35293</v>
      </c>
      <c r="B2710" s="56" t="n">
        <v>1996</v>
      </c>
      <c r="C2710" s="56" t="n">
        <v>8</v>
      </c>
      <c r="D2710" s="56" t="n">
        <v>108</v>
      </c>
      <c r="E2710" s="56" t="n">
        <v>28</v>
      </c>
      <c r="F2710" s="56" t="n">
        <v>0</v>
      </c>
      <c r="G2710" s="56" t="n">
        <v>14.8</v>
      </c>
      <c r="H2710" s="56" t="n">
        <v>0</v>
      </c>
      <c r="I2710" s="56" t="n">
        <v>20.7</v>
      </c>
      <c r="J2710" s="56" t="n">
        <v>0</v>
      </c>
      <c r="K2710" s="56" t="n">
        <v>1021.4</v>
      </c>
      <c r="L2710" s="56" t="n">
        <v>0</v>
      </c>
      <c r="M2710" s="56" t="n">
        <v>69</v>
      </c>
      <c r="N2710" s="56" t="n">
        <v>11</v>
      </c>
      <c r="O2710" s="56" t="n">
        <f aca="false">IF(D2710=1,"",E2709)</f>
        <v>26.6</v>
      </c>
      <c r="P2710" s="56" t="n">
        <f aca="false">IF(OR(D2710=1,K2709=""),"",K2709)</f>
        <v>1021.9</v>
      </c>
      <c r="Q2710" s="56" t="n">
        <f aca="false">IF(OR(F2710&lt;&gt;0,AND(I2710&lt;&gt;"",E2710&lt;I2710)),1,0)</f>
        <v>0</v>
      </c>
      <c r="R2710" s="56" t="n">
        <f aca="false">IF(AND(D2710&gt;1,Q2710=0,ISNUMBER(O2710),ISNUMBER(P2710)),IF(Q2709=0,1,0),0)</f>
        <v>1</v>
      </c>
      <c r="S2710" s="56" t="n">
        <f aca="false">R2710*(B2710&gt;=Train_Start)*(B2710&lt;=Train_End)</f>
        <v>1</v>
      </c>
      <c r="T2710" s="84" t="n">
        <f aca="false">IF(AND(ISNUMBER(O2710),ISNUMBER(P2710)),Coef_A+Coef_B1*O2710+Coef_B2*P2710,"")</f>
        <v>25.9382932834042</v>
      </c>
      <c r="U2710" s="84" t="n">
        <f aca="false">IF(AND(R2710=1,ISNUMBER(T2710)),E2710-T2710,"")</f>
        <v>2.06170671659585</v>
      </c>
      <c r="V2710" s="84" t="n">
        <f aca="false">IF(ISNUMBER(T2710),T2710,-99)</f>
        <v>25.9382932834042</v>
      </c>
      <c r="W2710" s="84" t="n">
        <f aca="false">IF(ISNUMBER(U2710),ABS(U2710),"")</f>
        <v>2.06170671659585</v>
      </c>
    </row>
    <row r="2711" customFormat="false" ht="15" hidden="false" customHeight="false" outlineLevel="0" collapsed="false">
      <c r="A2711" s="57" t="n">
        <v>35294</v>
      </c>
      <c r="B2711" s="56" t="n">
        <v>1996</v>
      </c>
      <c r="C2711" s="56" t="n">
        <v>8</v>
      </c>
      <c r="D2711" s="56" t="n">
        <v>109</v>
      </c>
      <c r="E2711" s="56" t="n">
        <v>30.6</v>
      </c>
      <c r="F2711" s="56" t="n">
        <v>0</v>
      </c>
      <c r="G2711" s="56" t="n">
        <v>13.8</v>
      </c>
      <c r="H2711" s="56" t="n">
        <v>0</v>
      </c>
      <c r="I2711" s="56" t="n">
        <v>20.9</v>
      </c>
      <c r="J2711" s="56" t="n">
        <v>0</v>
      </c>
      <c r="K2711" s="56" t="n">
        <v>1021.3</v>
      </c>
      <c r="L2711" s="56" t="n">
        <v>0</v>
      </c>
      <c r="M2711" s="56" t="n">
        <v>68</v>
      </c>
      <c r="N2711" s="56" t="n">
        <v>10.1</v>
      </c>
      <c r="O2711" s="56" t="n">
        <f aca="false">IF(D2711=1,"",E2710)</f>
        <v>28</v>
      </c>
      <c r="P2711" s="56" t="n">
        <f aca="false">IF(OR(D2711=1,K2710=""),"",K2710)</f>
        <v>1021.4</v>
      </c>
      <c r="Q2711" s="56" t="n">
        <f aca="false">IF(OR(F2711&lt;&gt;0,AND(I2711&lt;&gt;"",E2711&lt;I2711)),1,0)</f>
        <v>0</v>
      </c>
      <c r="R2711" s="56" t="n">
        <f aca="false">IF(AND(D2711&gt;1,Q2711=0,ISNUMBER(O2711),ISNUMBER(P2711)),IF(Q2710=0,1,0),0)</f>
        <v>1</v>
      </c>
      <c r="S2711" s="56" t="n">
        <f aca="false">R2711*(B2711&gt;=Train_Start)*(B2711&lt;=Train_End)</f>
        <v>1</v>
      </c>
      <c r="T2711" s="84" t="n">
        <f aca="false">IF(AND(ISNUMBER(O2711),ISNUMBER(P2711)),Coef_A+Coef_B1*O2711+Coef_B2*P2711,"")</f>
        <v>27.0696832063469</v>
      </c>
      <c r="U2711" s="84" t="n">
        <f aca="false">IF(AND(R2711=1,ISNUMBER(T2711)),E2711-T2711,"")</f>
        <v>3.53031679365312</v>
      </c>
      <c r="V2711" s="84" t="n">
        <f aca="false">IF(ISNUMBER(T2711),T2711,-99)</f>
        <v>27.0696832063469</v>
      </c>
      <c r="W2711" s="84" t="n">
        <f aca="false">IF(ISNUMBER(U2711),ABS(U2711),"")</f>
        <v>3.53031679365312</v>
      </c>
    </row>
    <row r="2712" customFormat="false" ht="15" hidden="false" customHeight="false" outlineLevel="0" collapsed="false">
      <c r="A2712" s="57" t="n">
        <v>35295</v>
      </c>
      <c r="B2712" s="56" t="n">
        <v>1996</v>
      </c>
      <c r="C2712" s="56" t="n">
        <v>8</v>
      </c>
      <c r="D2712" s="56" t="n">
        <v>110</v>
      </c>
      <c r="E2712" s="56" t="n">
        <v>31.4</v>
      </c>
      <c r="F2712" s="56" t="n">
        <v>0</v>
      </c>
      <c r="G2712" s="56" t="n">
        <v>15.4</v>
      </c>
      <c r="H2712" s="56" t="n">
        <v>0</v>
      </c>
      <c r="I2712" s="56" t="n">
        <v>23</v>
      </c>
      <c r="J2712" s="56" t="n">
        <v>0</v>
      </c>
      <c r="K2712" s="56" t="n">
        <v>1019</v>
      </c>
      <c r="L2712" s="56" t="n">
        <v>0</v>
      </c>
      <c r="M2712" s="56" t="n">
        <v>54</v>
      </c>
      <c r="N2712" s="56" t="n">
        <v>13</v>
      </c>
      <c r="O2712" s="56" t="n">
        <f aca="false">IF(D2712=1,"",E2711)</f>
        <v>30.6</v>
      </c>
      <c r="P2712" s="56" t="n">
        <f aca="false">IF(OR(D2712=1,K2711=""),"",K2711)</f>
        <v>1021.3</v>
      </c>
      <c r="Q2712" s="56" t="n">
        <f aca="false">IF(OR(F2712&lt;&gt;0,AND(I2712&lt;&gt;"",E2712&lt;I2712)),1,0)</f>
        <v>0</v>
      </c>
      <c r="R2712" s="56" t="n">
        <f aca="false">IF(AND(D2712&gt;1,Q2712=0,ISNUMBER(O2712),ISNUMBER(P2712)),IF(Q2711=0,1,0),0)</f>
        <v>1</v>
      </c>
      <c r="S2712" s="56" t="n">
        <f aca="false">R2712*(B2712&gt;=Train_Start)*(B2712&lt;=Train_End)</f>
        <v>1</v>
      </c>
      <c r="T2712" s="84" t="n">
        <f aca="false">IF(AND(ISNUMBER(O2712),ISNUMBER(P2712)),Coef_A+Coef_B1*O2712+Coef_B2*P2712,"")</f>
        <v>29.1968281187944</v>
      </c>
      <c r="U2712" s="84" t="n">
        <f aca="false">IF(AND(R2712=1,ISNUMBER(T2712)),E2712-T2712,"")</f>
        <v>2.20317188120561</v>
      </c>
      <c r="V2712" s="84" t="n">
        <f aca="false">IF(ISNUMBER(T2712),T2712,-99)</f>
        <v>29.1968281187944</v>
      </c>
      <c r="W2712" s="84" t="n">
        <f aca="false">IF(ISNUMBER(U2712),ABS(U2712),"")</f>
        <v>2.20317188120561</v>
      </c>
    </row>
    <row r="2713" customFormat="false" ht="15" hidden="false" customHeight="false" outlineLevel="0" collapsed="false">
      <c r="A2713" s="57" t="n">
        <v>35296</v>
      </c>
      <c r="B2713" s="56" t="n">
        <v>1996</v>
      </c>
      <c r="C2713" s="56" t="n">
        <v>8</v>
      </c>
      <c r="D2713" s="56" t="n">
        <v>111</v>
      </c>
      <c r="E2713" s="56" t="n">
        <v>24.8</v>
      </c>
      <c r="F2713" s="56" t="n">
        <v>0</v>
      </c>
      <c r="G2713" s="56" t="n">
        <v>16.5</v>
      </c>
      <c r="H2713" s="56" t="n">
        <v>0</v>
      </c>
      <c r="I2713" s="56" t="n">
        <v>24</v>
      </c>
      <c r="J2713" s="56" t="n">
        <v>0</v>
      </c>
      <c r="K2713" s="56" t="n">
        <v>1014.3</v>
      </c>
      <c r="L2713" s="56" t="n">
        <v>0</v>
      </c>
      <c r="M2713" s="56" t="n">
        <v>54</v>
      </c>
      <c r="N2713" s="56" t="n">
        <v>12.2</v>
      </c>
      <c r="O2713" s="56" t="n">
        <f aca="false">IF(D2713=1,"",E2712)</f>
        <v>31.4</v>
      </c>
      <c r="P2713" s="56" t="n">
        <f aca="false">IF(OR(D2713=1,K2712=""),"",K2712)</f>
        <v>1019</v>
      </c>
      <c r="Q2713" s="56" t="n">
        <f aca="false">IF(OR(F2713&lt;&gt;0,AND(I2713&lt;&gt;"",E2713&lt;I2713)),1,0)</f>
        <v>0</v>
      </c>
      <c r="R2713" s="56" t="n">
        <f aca="false">IF(AND(D2713&gt;1,Q2713=0,ISNUMBER(O2713),ISNUMBER(P2713)),IF(Q2712=0,1,0),0)</f>
        <v>1</v>
      </c>
      <c r="S2713" s="56" t="n">
        <f aca="false">R2713*(B2713&gt;=Train_Start)*(B2713&lt;=Train_End)</f>
        <v>1</v>
      </c>
      <c r="T2713" s="84" t="n">
        <f aca="false">IF(AND(ISNUMBER(O2713),ISNUMBER(P2713)),Coef_A+Coef_B1*O2713+Coef_B2*P2713,"")</f>
        <v>29.7801487155703</v>
      </c>
      <c r="U2713" s="84" t="n">
        <f aca="false">IF(AND(R2713=1,ISNUMBER(T2713)),E2713-T2713,"")</f>
        <v>-4.98014871557034</v>
      </c>
      <c r="V2713" s="84" t="n">
        <f aca="false">IF(ISNUMBER(T2713),T2713,-99)</f>
        <v>29.7801487155703</v>
      </c>
      <c r="W2713" s="84" t="n">
        <f aca="false">IF(ISNUMBER(U2713),ABS(U2713),"")</f>
        <v>4.98014871557034</v>
      </c>
    </row>
    <row r="2714" customFormat="false" ht="15" hidden="false" customHeight="false" outlineLevel="0" collapsed="false">
      <c r="A2714" s="57" t="n">
        <v>35297</v>
      </c>
      <c r="B2714" s="56" t="n">
        <v>1996</v>
      </c>
      <c r="C2714" s="56" t="n">
        <v>8</v>
      </c>
      <c r="D2714" s="56" t="n">
        <v>112</v>
      </c>
      <c r="E2714" s="56" t="n">
        <v>25</v>
      </c>
      <c r="F2714" s="56" t="n">
        <v>0</v>
      </c>
      <c r="G2714" s="56" t="n">
        <v>17</v>
      </c>
      <c r="H2714" s="56" t="n">
        <v>0</v>
      </c>
      <c r="I2714" s="56" t="n">
        <v>20.9</v>
      </c>
      <c r="J2714" s="56" t="n">
        <v>0</v>
      </c>
      <c r="K2714" s="56" t="n">
        <v>1010.4</v>
      </c>
      <c r="L2714" s="56" t="n">
        <v>0</v>
      </c>
      <c r="M2714" s="56" t="n">
        <v>73</v>
      </c>
      <c r="N2714" s="56" t="n">
        <v>2.4</v>
      </c>
      <c r="O2714" s="56" t="n">
        <f aca="false">IF(D2714=1,"",E2713)</f>
        <v>24.8</v>
      </c>
      <c r="P2714" s="56" t="n">
        <f aca="false">IF(OR(D2714=1,K2713=""),"",K2713)</f>
        <v>1014.3</v>
      </c>
      <c r="Q2714" s="56" t="n">
        <f aca="false">IF(OR(F2714&lt;&gt;0,AND(I2714&lt;&gt;"",E2714&lt;I2714)),1,0)</f>
        <v>0</v>
      </c>
      <c r="R2714" s="56" t="n">
        <f aca="false">IF(AND(D2714&gt;1,Q2714=0,ISNUMBER(O2714),ISNUMBER(P2714)),IF(Q2713=0,1,0),0)</f>
        <v>1</v>
      </c>
      <c r="S2714" s="56" t="n">
        <f aca="false">R2714*(B2714&gt;=Train_Start)*(B2714&lt;=Train_End)</f>
        <v>1</v>
      </c>
      <c r="T2714" s="84" t="n">
        <f aca="false">IF(AND(ISNUMBER(O2714),ISNUMBER(P2714)),Coef_A+Coef_B1*O2714+Coef_B2*P2714,"")</f>
        <v>24.225071536709</v>
      </c>
      <c r="U2714" s="84" t="n">
        <f aca="false">IF(AND(R2714=1,ISNUMBER(T2714)),E2714-T2714,"")</f>
        <v>0.774928463290955</v>
      </c>
      <c r="V2714" s="84" t="n">
        <f aca="false">IF(ISNUMBER(T2714),T2714,-99)</f>
        <v>24.225071536709</v>
      </c>
      <c r="W2714" s="84" t="n">
        <f aca="false">IF(ISNUMBER(U2714),ABS(U2714),"")</f>
        <v>0.774928463290955</v>
      </c>
    </row>
    <row r="2715" customFormat="false" ht="15" hidden="false" customHeight="false" outlineLevel="0" collapsed="false">
      <c r="A2715" s="57" t="n">
        <v>35298</v>
      </c>
      <c r="B2715" s="56" t="n">
        <v>1996</v>
      </c>
      <c r="C2715" s="56" t="n">
        <v>8</v>
      </c>
      <c r="D2715" s="56" t="n">
        <v>113</v>
      </c>
      <c r="E2715" s="56" t="n">
        <v>23</v>
      </c>
      <c r="F2715" s="56" t="n">
        <v>0</v>
      </c>
      <c r="G2715" s="56" t="n">
        <v>13</v>
      </c>
      <c r="H2715" s="56" t="n">
        <v>0</v>
      </c>
      <c r="I2715" s="56" t="n">
        <v>19</v>
      </c>
      <c r="J2715" s="56" t="n">
        <v>0</v>
      </c>
      <c r="K2715" s="56" t="n">
        <v>1011.5</v>
      </c>
      <c r="L2715" s="56" t="n">
        <v>0</v>
      </c>
      <c r="M2715" s="56" t="n">
        <v>70</v>
      </c>
      <c r="N2715" s="56" t="n">
        <v>12.9</v>
      </c>
      <c r="O2715" s="56" t="n">
        <f aca="false">IF(D2715=1,"",E2714)</f>
        <v>25</v>
      </c>
      <c r="P2715" s="56" t="n">
        <f aca="false">IF(OR(D2715=1,K2714=""),"",K2714)</f>
        <v>1010.4</v>
      </c>
      <c r="Q2715" s="56" t="n">
        <f aca="false">IF(OR(F2715&lt;&gt;0,AND(I2715&lt;&gt;"",E2715&lt;I2715)),1,0)</f>
        <v>0</v>
      </c>
      <c r="R2715" s="56" t="n">
        <f aca="false">IF(AND(D2715&gt;1,Q2715=0,ISNUMBER(O2715),ISNUMBER(P2715)),IF(Q2714=0,1,0),0)</f>
        <v>1</v>
      </c>
      <c r="S2715" s="56" t="n">
        <f aca="false">R2715*(B2715&gt;=Train_Start)*(B2715&lt;=Train_End)</f>
        <v>1</v>
      </c>
      <c r="T2715" s="84" t="n">
        <f aca="false">IF(AND(ISNUMBER(O2715),ISNUMBER(P2715)),Coef_A+Coef_B1*O2715+Coef_B2*P2715,"")</f>
        <v>24.266596786245</v>
      </c>
      <c r="U2715" s="84" t="n">
        <f aca="false">IF(AND(R2715=1,ISNUMBER(T2715)),E2715-T2715,"")</f>
        <v>-1.26659678624502</v>
      </c>
      <c r="V2715" s="84" t="n">
        <f aca="false">IF(ISNUMBER(T2715),T2715,-99)</f>
        <v>24.266596786245</v>
      </c>
      <c r="W2715" s="84" t="n">
        <f aca="false">IF(ISNUMBER(U2715),ABS(U2715),"")</f>
        <v>1.26659678624502</v>
      </c>
    </row>
    <row r="2716" customFormat="false" ht="15" hidden="false" customHeight="false" outlineLevel="0" collapsed="false">
      <c r="A2716" s="57" t="n">
        <v>35299</v>
      </c>
      <c r="B2716" s="56" t="n">
        <v>1996</v>
      </c>
      <c r="C2716" s="56" t="n">
        <v>8</v>
      </c>
      <c r="D2716" s="56" t="n">
        <v>114</v>
      </c>
      <c r="E2716" s="56" t="n">
        <v>22</v>
      </c>
      <c r="F2716" s="56" t="n">
        <v>0</v>
      </c>
      <c r="G2716" s="56" t="n">
        <v>12</v>
      </c>
      <c r="H2716" s="56" t="n">
        <v>0</v>
      </c>
      <c r="I2716" s="56" t="n">
        <v>17.5</v>
      </c>
      <c r="J2716" s="56" t="n">
        <v>0</v>
      </c>
      <c r="K2716" s="56" t="n">
        <v>1011.5</v>
      </c>
      <c r="L2716" s="56" t="n">
        <v>0</v>
      </c>
      <c r="M2716" s="56" t="n">
        <v>68</v>
      </c>
      <c r="N2716" s="56" t="n">
        <v>11.4</v>
      </c>
      <c r="O2716" s="56" t="n">
        <f aca="false">IF(D2716=1,"",E2715)</f>
        <v>23</v>
      </c>
      <c r="P2716" s="56" t="n">
        <f aca="false">IF(OR(D2716=1,K2715=""),"",K2715)</f>
        <v>1011.5</v>
      </c>
      <c r="Q2716" s="56" t="n">
        <f aca="false">IF(OR(F2716&lt;&gt;0,AND(I2716&lt;&gt;"",E2716&lt;I2716)),1,0)</f>
        <v>0</v>
      </c>
      <c r="R2716" s="56" t="n">
        <f aca="false">IF(AND(D2716&gt;1,Q2716=0,ISNUMBER(O2716),ISNUMBER(P2716)),IF(Q2715=0,1,0),0)</f>
        <v>1</v>
      </c>
      <c r="S2716" s="56" t="n">
        <f aca="false">R2716*(B2716&gt;=Train_Start)*(B2716&lt;=Train_End)</f>
        <v>1</v>
      </c>
      <c r="T2716" s="84" t="n">
        <f aca="false">IF(AND(ISNUMBER(O2716),ISNUMBER(P2716)),Coef_A+Coef_B1*O2716+Coef_B2*P2716,"")</f>
        <v>22.6624252842571</v>
      </c>
      <c r="U2716" s="84" t="n">
        <f aca="false">IF(AND(R2716=1,ISNUMBER(T2716)),E2716-T2716,"")</f>
        <v>-0.662425284257093</v>
      </c>
      <c r="V2716" s="84" t="n">
        <f aca="false">IF(ISNUMBER(T2716),T2716,-99)</f>
        <v>22.6624252842571</v>
      </c>
      <c r="W2716" s="84" t="n">
        <f aca="false">IF(ISNUMBER(U2716),ABS(U2716),"")</f>
        <v>0.662425284257093</v>
      </c>
    </row>
    <row r="2717" customFormat="false" ht="15" hidden="false" customHeight="false" outlineLevel="0" collapsed="false">
      <c r="A2717" s="57" t="n">
        <v>35300</v>
      </c>
      <c r="B2717" s="56" t="n">
        <v>1996</v>
      </c>
      <c r="C2717" s="56" t="n">
        <v>8</v>
      </c>
      <c r="D2717" s="56" t="n">
        <v>115</v>
      </c>
      <c r="E2717" s="56" t="n">
        <v>21.4</v>
      </c>
      <c r="F2717" s="56" t="n">
        <v>0</v>
      </c>
      <c r="G2717" s="56" t="n">
        <v>14.4</v>
      </c>
      <c r="H2717" s="56" t="n">
        <v>0</v>
      </c>
      <c r="I2717" s="56" t="n">
        <v>18.2</v>
      </c>
      <c r="J2717" s="56" t="n">
        <v>0</v>
      </c>
      <c r="K2717" s="56" t="n">
        <v>1004.3</v>
      </c>
      <c r="L2717" s="56" t="n">
        <v>0</v>
      </c>
      <c r="M2717" s="56" t="n">
        <v>79</v>
      </c>
      <c r="N2717" s="56" t="n">
        <v>6.2</v>
      </c>
      <c r="O2717" s="56" t="n">
        <f aca="false">IF(D2717=1,"",E2716)</f>
        <v>22</v>
      </c>
      <c r="P2717" s="56" t="n">
        <f aca="false">IF(OR(D2717=1,K2716=""),"",K2716)</f>
        <v>1011.5</v>
      </c>
      <c r="Q2717" s="56" t="n">
        <f aca="false">IF(OR(F2717&lt;&gt;0,AND(I2717&lt;&gt;"",E2717&lt;I2717)),1,0)</f>
        <v>0</v>
      </c>
      <c r="R2717" s="56" t="n">
        <f aca="false">IF(AND(D2717&gt;1,Q2717=0,ISNUMBER(O2717),ISNUMBER(P2717)),IF(Q2716=0,1,0),0)</f>
        <v>1</v>
      </c>
      <c r="S2717" s="56" t="n">
        <f aca="false">R2717*(B2717&gt;=Train_Start)*(B2717&lt;=Train_End)</f>
        <v>1</v>
      </c>
      <c r="T2717" s="84" t="n">
        <f aca="false">IF(AND(ISNUMBER(O2717),ISNUMBER(P2717)),Coef_A+Coef_B1*O2717+Coef_B2*P2717,"")</f>
        <v>21.8430860912144</v>
      </c>
      <c r="U2717" s="84" t="n">
        <f aca="false">IF(AND(R2717=1,ISNUMBER(T2717)),E2717-T2717,"")</f>
        <v>-0.443086091214436</v>
      </c>
      <c r="V2717" s="84" t="n">
        <f aca="false">IF(ISNUMBER(T2717),T2717,-99)</f>
        <v>21.8430860912144</v>
      </c>
      <c r="W2717" s="84" t="n">
        <f aca="false">IF(ISNUMBER(U2717),ABS(U2717),"")</f>
        <v>0.443086091214436</v>
      </c>
    </row>
    <row r="2718" customFormat="false" ht="15" hidden="false" customHeight="false" outlineLevel="0" collapsed="false">
      <c r="A2718" s="57" t="n">
        <v>35301</v>
      </c>
      <c r="B2718" s="56" t="n">
        <v>1996</v>
      </c>
      <c r="C2718" s="56" t="n">
        <v>8</v>
      </c>
      <c r="D2718" s="56" t="n">
        <v>116</v>
      </c>
      <c r="E2718" s="56" t="n">
        <v>20.9</v>
      </c>
      <c r="F2718" s="56" t="n">
        <v>0</v>
      </c>
      <c r="G2718" s="56" t="n">
        <v>13.9</v>
      </c>
      <c r="H2718" s="56" t="n">
        <v>0</v>
      </c>
      <c r="I2718" s="56" t="n">
        <v>17.6</v>
      </c>
      <c r="J2718" s="56" t="n">
        <v>0</v>
      </c>
      <c r="K2718" s="56" t="n">
        <v>1003.9</v>
      </c>
      <c r="L2718" s="56" t="n">
        <v>0</v>
      </c>
      <c r="M2718" s="56" t="n">
        <v>81</v>
      </c>
      <c r="N2718" s="56" t="n">
        <v>5.1</v>
      </c>
      <c r="O2718" s="56" t="n">
        <f aca="false">IF(D2718=1,"",E2717)</f>
        <v>21.4</v>
      </c>
      <c r="P2718" s="56" t="n">
        <f aca="false">IF(OR(D2718=1,K2717=""),"",K2717)</f>
        <v>1004.3</v>
      </c>
      <c r="Q2718" s="56" t="n">
        <f aca="false">IF(OR(F2718&lt;&gt;0,AND(I2718&lt;&gt;"",E2718&lt;I2718)),1,0)</f>
        <v>0</v>
      </c>
      <c r="R2718" s="56" t="n">
        <f aca="false">IF(AND(D2718&gt;1,Q2718=0,ISNUMBER(O2718),ISNUMBER(P2718)),IF(Q2717=0,1,0),0)</f>
        <v>1</v>
      </c>
      <c r="S2718" s="56" t="n">
        <f aca="false">R2718*(B2718&gt;=Train_Start)*(B2718&lt;=Train_End)</f>
        <v>1</v>
      </c>
      <c r="T2718" s="84" t="n">
        <f aca="false">IF(AND(ISNUMBER(O2718),ISNUMBER(P2718)),Coef_A+Coef_B1*O2718+Coef_B2*P2718,"")</f>
        <v>21.1256193340241</v>
      </c>
      <c r="U2718" s="84" t="n">
        <f aca="false">IF(AND(R2718=1,ISNUMBER(T2718)),E2718-T2718,"")</f>
        <v>-0.225619334024117</v>
      </c>
      <c r="V2718" s="84" t="n">
        <f aca="false">IF(ISNUMBER(T2718),T2718,-99)</f>
        <v>21.1256193340241</v>
      </c>
      <c r="W2718" s="84" t="n">
        <f aca="false">IF(ISNUMBER(U2718),ABS(U2718),"")</f>
        <v>0.225619334024117</v>
      </c>
    </row>
    <row r="2719" customFormat="false" ht="15" hidden="false" customHeight="false" outlineLevel="0" collapsed="false">
      <c r="A2719" s="57" t="n">
        <v>35302</v>
      </c>
      <c r="B2719" s="56" t="n">
        <v>1996</v>
      </c>
      <c r="C2719" s="56" t="n">
        <v>8</v>
      </c>
      <c r="D2719" s="56" t="n">
        <v>117</v>
      </c>
      <c r="E2719" s="56" t="n">
        <v>21.1</v>
      </c>
      <c r="F2719" s="56" t="n">
        <v>0</v>
      </c>
      <c r="G2719" s="56" t="n">
        <v>13.6</v>
      </c>
      <c r="H2719" s="56" t="n">
        <v>0</v>
      </c>
      <c r="I2719" s="56" t="n">
        <v>17.2</v>
      </c>
      <c r="J2719" s="56" t="n">
        <v>0</v>
      </c>
      <c r="K2719" s="56" t="n">
        <v>1008</v>
      </c>
      <c r="L2719" s="56" t="n">
        <v>0</v>
      </c>
      <c r="M2719" s="56" t="n">
        <v>77</v>
      </c>
      <c r="N2719" s="56" t="n">
        <v>6.8</v>
      </c>
      <c r="O2719" s="56" t="n">
        <f aca="false">IF(D2719=1,"",E2718)</f>
        <v>20.9</v>
      </c>
      <c r="P2719" s="56" t="n">
        <f aca="false">IF(OR(D2719=1,K2718=""),"",K2718)</f>
        <v>1003.9</v>
      </c>
      <c r="Q2719" s="56" t="n">
        <f aca="false">IF(OR(F2719&lt;&gt;0,AND(I2719&lt;&gt;"",E2719&lt;I2719)),1,0)</f>
        <v>0</v>
      </c>
      <c r="R2719" s="56" t="n">
        <f aca="false">IF(AND(D2719&gt;1,Q2719=0,ISNUMBER(O2719),ISNUMBER(P2719)),IF(Q2718=0,1,0),0)</f>
        <v>1</v>
      </c>
      <c r="S2719" s="56" t="n">
        <f aca="false">R2719*(B2719&gt;=Train_Start)*(B2719&lt;=Train_End)</f>
        <v>1</v>
      </c>
      <c r="T2719" s="84" t="n">
        <f aca="false">IF(AND(ISNUMBER(O2719),ISNUMBER(P2719)),Coef_A+Coef_B1*O2719+Coef_B2*P2719,"")</f>
        <v>20.7034017796492</v>
      </c>
      <c r="U2719" s="84" t="n">
        <f aca="false">IF(AND(R2719=1,ISNUMBER(T2719)),E2719-T2719,"")</f>
        <v>0.396598220350811</v>
      </c>
      <c r="V2719" s="84" t="n">
        <f aca="false">IF(ISNUMBER(T2719),T2719,-99)</f>
        <v>20.7034017796492</v>
      </c>
      <c r="W2719" s="84" t="n">
        <f aca="false">IF(ISNUMBER(U2719),ABS(U2719),"")</f>
        <v>0.396598220350811</v>
      </c>
    </row>
    <row r="2720" customFormat="false" ht="15" hidden="false" customHeight="false" outlineLevel="0" collapsed="false">
      <c r="A2720" s="57" t="n">
        <v>35303</v>
      </c>
      <c r="B2720" s="56" t="n">
        <v>1996</v>
      </c>
      <c r="C2720" s="56" t="n">
        <v>8</v>
      </c>
      <c r="D2720" s="56" t="n">
        <v>118</v>
      </c>
      <c r="E2720" s="56" t="n">
        <v>21.1</v>
      </c>
      <c r="F2720" s="56" t="n">
        <v>0</v>
      </c>
      <c r="G2720" s="56" t="n">
        <v>11</v>
      </c>
      <c r="H2720" s="56" t="n">
        <v>0</v>
      </c>
      <c r="I2720" s="56" t="n">
        <v>16</v>
      </c>
      <c r="J2720" s="56" t="n">
        <v>0</v>
      </c>
      <c r="K2720" s="56" t="n">
        <v>1012.7</v>
      </c>
      <c r="L2720" s="56" t="n">
        <v>0</v>
      </c>
      <c r="M2720" s="56" t="n">
        <v>75</v>
      </c>
      <c r="N2720" s="56" t="n">
        <v>8.1</v>
      </c>
      <c r="O2720" s="56" t="n">
        <f aca="false">IF(D2720=1,"",E2719)</f>
        <v>21.1</v>
      </c>
      <c r="P2720" s="56" t="n">
        <f aca="false">IF(OR(D2720=1,K2719=""),"",K2719)</f>
        <v>1008</v>
      </c>
      <c r="Q2720" s="56" t="n">
        <f aca="false">IF(OR(F2720&lt;&gt;0,AND(I2720&lt;&gt;"",E2720&lt;I2720)),1,0)</f>
        <v>0</v>
      </c>
      <c r="R2720" s="56" t="n">
        <f aca="false">IF(AND(D2720&gt;1,Q2720=0,ISNUMBER(O2720),ISNUMBER(P2720)),IF(Q2719=0,1,0),0)</f>
        <v>1</v>
      </c>
      <c r="S2720" s="56" t="n">
        <f aca="false">R2720*(B2720&gt;=Train_Start)*(B2720&lt;=Train_End)</f>
        <v>1</v>
      </c>
      <c r="T2720" s="84" t="n">
        <f aca="false">IF(AND(ISNUMBER(O2720),ISNUMBER(P2720)),Coef_A+Coef_B1*O2720+Coef_B2*P2720,"")</f>
        <v>20.9958861862571</v>
      </c>
      <c r="U2720" s="84" t="n">
        <f aca="false">IF(AND(R2720=1,ISNUMBER(T2720)),E2720-T2720,"")</f>
        <v>0.10411381374292</v>
      </c>
      <c r="V2720" s="84" t="n">
        <f aca="false">IF(ISNUMBER(T2720),T2720,-99)</f>
        <v>20.9958861862571</v>
      </c>
      <c r="W2720" s="84" t="n">
        <f aca="false">IF(ISNUMBER(U2720),ABS(U2720),"")</f>
        <v>0.10411381374292</v>
      </c>
    </row>
    <row r="2721" customFormat="false" ht="15" hidden="false" customHeight="false" outlineLevel="0" collapsed="false">
      <c r="A2721" s="57" t="n">
        <v>35304</v>
      </c>
      <c r="B2721" s="56" t="n">
        <v>1996</v>
      </c>
      <c r="C2721" s="56" t="n">
        <v>8</v>
      </c>
      <c r="D2721" s="56" t="n">
        <v>119</v>
      </c>
      <c r="E2721" s="56" t="n">
        <v>21.2</v>
      </c>
      <c r="F2721" s="56" t="n">
        <v>0</v>
      </c>
      <c r="G2721" s="56" t="n">
        <v>10</v>
      </c>
      <c r="H2721" s="56" t="n">
        <v>0</v>
      </c>
      <c r="I2721" s="56" t="n">
        <v>15.6</v>
      </c>
      <c r="J2721" s="56" t="n">
        <v>0</v>
      </c>
      <c r="K2721" s="56" t="n">
        <v>1015.8</v>
      </c>
      <c r="L2721" s="56" t="n">
        <v>0</v>
      </c>
      <c r="M2721" s="56" t="n">
        <v>78</v>
      </c>
      <c r="N2721" s="56" t="n">
        <v>9.1</v>
      </c>
      <c r="O2721" s="56" t="n">
        <f aca="false">IF(D2721=1,"",E2720)</f>
        <v>21.1</v>
      </c>
      <c r="P2721" s="56" t="n">
        <f aca="false">IF(OR(D2721=1,K2720=""),"",K2720)</f>
        <v>1012.7</v>
      </c>
      <c r="Q2721" s="56" t="n">
        <f aca="false">IF(OR(F2721&lt;&gt;0,AND(I2721&lt;&gt;"",E2721&lt;I2721)),1,0)</f>
        <v>0</v>
      </c>
      <c r="R2721" s="56" t="n">
        <f aca="false">IF(AND(D2721&gt;1,Q2721=0,ISNUMBER(O2721),ISNUMBER(P2721)),IF(Q2720=0,1,0),0)</f>
        <v>1</v>
      </c>
      <c r="S2721" s="56" t="n">
        <f aca="false">R2721*(B2721&gt;=Train_Start)*(B2721&lt;=Train_End)</f>
        <v>1</v>
      </c>
      <c r="T2721" s="84" t="n">
        <f aca="false">IF(AND(ISNUMBER(O2721),ISNUMBER(P2721)),Coef_A+Coef_B1*O2721+Coef_B2*P2721,"")</f>
        <v>21.1433246910368</v>
      </c>
      <c r="U2721" s="84" t="n">
        <f aca="false">IF(AND(R2721=1,ISNUMBER(T2721)),E2721-T2721,"")</f>
        <v>0.0566753089631682</v>
      </c>
      <c r="V2721" s="84" t="n">
        <f aca="false">IF(ISNUMBER(T2721),T2721,-99)</f>
        <v>21.1433246910368</v>
      </c>
      <c r="W2721" s="84" t="n">
        <f aca="false">IF(ISNUMBER(U2721),ABS(U2721),"")</f>
        <v>0.0566753089631682</v>
      </c>
    </row>
    <row r="2722" customFormat="false" ht="15" hidden="false" customHeight="false" outlineLevel="0" collapsed="false">
      <c r="A2722" s="57" t="n">
        <v>35305</v>
      </c>
      <c r="B2722" s="56" t="n">
        <v>1996</v>
      </c>
      <c r="C2722" s="56" t="n">
        <v>8</v>
      </c>
      <c r="D2722" s="56" t="n">
        <v>120</v>
      </c>
      <c r="E2722" s="56" t="n">
        <v>17.9</v>
      </c>
      <c r="F2722" s="56" t="n">
        <v>0</v>
      </c>
      <c r="G2722" s="56" t="n">
        <v>10.4</v>
      </c>
      <c r="H2722" s="56" t="n">
        <v>0</v>
      </c>
      <c r="I2722" s="56" t="n">
        <v>15.8</v>
      </c>
      <c r="J2722" s="56" t="n">
        <v>0</v>
      </c>
      <c r="K2722" s="56" t="n">
        <v>1017.7</v>
      </c>
      <c r="L2722" s="56" t="n">
        <v>0</v>
      </c>
      <c r="M2722" s="56" t="n">
        <v>78</v>
      </c>
      <c r="N2722" s="56" t="n">
        <v>5.6</v>
      </c>
      <c r="O2722" s="56" t="n">
        <f aca="false">IF(D2722=1,"",E2721)</f>
        <v>21.2</v>
      </c>
      <c r="P2722" s="56" t="n">
        <f aca="false">IF(OR(D2722=1,K2721=""),"",K2721)</f>
        <v>1015.8</v>
      </c>
      <c r="Q2722" s="56" t="n">
        <f aca="false">IF(OR(F2722&lt;&gt;0,AND(I2722&lt;&gt;"",E2722&lt;I2722)),1,0)</f>
        <v>0</v>
      </c>
      <c r="R2722" s="56" t="n">
        <f aca="false">IF(AND(D2722&gt;1,Q2722=0,ISNUMBER(O2722),ISNUMBER(P2722)),IF(Q2721=0,1,0),0)</f>
        <v>1</v>
      </c>
      <c r="S2722" s="56" t="n">
        <f aca="false">R2722*(B2722&gt;=Train_Start)*(B2722&lt;=Train_End)</f>
        <v>1</v>
      </c>
      <c r="T2722" s="84" t="n">
        <f aca="false">IF(AND(ISNUMBER(O2722),ISNUMBER(P2722)),Coef_A+Coef_B1*O2722+Coef_B2*P2722,"")</f>
        <v>21.3225052837065</v>
      </c>
      <c r="U2722" s="84" t="n">
        <f aca="false">IF(AND(R2722=1,ISNUMBER(T2722)),E2722-T2722,"")</f>
        <v>-3.42250528370646</v>
      </c>
      <c r="V2722" s="84" t="n">
        <f aca="false">IF(ISNUMBER(T2722),T2722,-99)</f>
        <v>21.3225052837065</v>
      </c>
      <c r="W2722" s="84" t="n">
        <f aca="false">IF(ISNUMBER(U2722),ABS(U2722),"")</f>
        <v>3.42250528370646</v>
      </c>
    </row>
    <row r="2723" customFormat="false" ht="15" hidden="false" customHeight="false" outlineLevel="0" collapsed="false">
      <c r="A2723" s="57" t="n">
        <v>35306</v>
      </c>
      <c r="B2723" s="56" t="n">
        <v>1996</v>
      </c>
      <c r="C2723" s="56" t="n">
        <v>8</v>
      </c>
      <c r="D2723" s="56" t="n">
        <v>121</v>
      </c>
      <c r="E2723" s="56" t="n">
        <v>18</v>
      </c>
      <c r="F2723" s="56" t="n">
        <v>0</v>
      </c>
      <c r="G2723" s="56" t="n">
        <v>12.9</v>
      </c>
      <c r="H2723" s="56" t="n">
        <v>0</v>
      </c>
      <c r="I2723" s="56" t="n">
        <v>15.4</v>
      </c>
      <c r="J2723" s="56" t="n">
        <v>0</v>
      </c>
      <c r="K2723" s="56" t="n">
        <v>1013.8</v>
      </c>
      <c r="L2723" s="56" t="n">
        <v>0</v>
      </c>
      <c r="M2723" s="56" t="n">
        <v>73</v>
      </c>
      <c r="N2723" s="56" t="n">
        <v>0</v>
      </c>
      <c r="O2723" s="56" t="n">
        <f aca="false">IF(D2723=1,"",E2722)</f>
        <v>17.9</v>
      </c>
      <c r="P2723" s="56" t="n">
        <f aca="false">IF(OR(D2723=1,K2722=""),"",K2722)</f>
        <v>1017.7</v>
      </c>
      <c r="Q2723" s="56" t="n">
        <f aca="false">IF(OR(F2723&lt;&gt;0,AND(I2723&lt;&gt;"",E2723&lt;I2723)),1,0)</f>
        <v>0</v>
      </c>
      <c r="R2723" s="56" t="n">
        <f aca="false">IF(AND(D2723&gt;1,Q2723=0,ISNUMBER(O2723),ISNUMBER(P2723)),IF(Q2722=0,1,0),0)</f>
        <v>1</v>
      </c>
      <c r="S2723" s="56" t="n">
        <f aca="false">R2723*(B2723&gt;=Train_Start)*(B2723&lt;=Train_End)</f>
        <v>1</v>
      </c>
      <c r="T2723" s="84" t="n">
        <f aca="false">IF(AND(ISNUMBER(O2723),ISNUMBER(P2723)),Coef_A+Coef_B1*O2723+Coef_B2*P2723,"")</f>
        <v>18.6782887464703</v>
      </c>
      <c r="U2723" s="84" t="n">
        <f aca="false">IF(AND(R2723=1,ISNUMBER(T2723)),E2723-T2723,"")</f>
        <v>-0.678288746470273</v>
      </c>
      <c r="V2723" s="84" t="n">
        <f aca="false">IF(ISNUMBER(T2723),T2723,-99)</f>
        <v>18.6782887464703</v>
      </c>
      <c r="W2723" s="84" t="n">
        <f aca="false">IF(ISNUMBER(U2723),ABS(U2723),"")</f>
        <v>0.678288746470273</v>
      </c>
    </row>
    <row r="2724" customFormat="false" ht="15" hidden="false" customHeight="false" outlineLevel="0" collapsed="false">
      <c r="A2724" s="57" t="n">
        <v>35307</v>
      </c>
      <c r="B2724" s="56" t="n">
        <v>1996</v>
      </c>
      <c r="C2724" s="56" t="n">
        <v>8</v>
      </c>
      <c r="D2724" s="56" t="n">
        <v>122</v>
      </c>
      <c r="E2724" s="56" t="n">
        <v>19.1</v>
      </c>
      <c r="F2724" s="56" t="n">
        <v>0</v>
      </c>
      <c r="G2724" s="56" t="n">
        <v>11.3</v>
      </c>
      <c r="H2724" s="56" t="n">
        <v>0</v>
      </c>
      <c r="I2724" s="56" t="n">
        <v>14.6</v>
      </c>
      <c r="J2724" s="56" t="n">
        <v>0</v>
      </c>
      <c r="K2724" s="56" t="n">
        <v>1020.1</v>
      </c>
      <c r="L2724" s="56" t="n">
        <v>0</v>
      </c>
      <c r="M2724" s="56" t="n">
        <v>73</v>
      </c>
      <c r="N2724" s="56" t="n">
        <v>3.5</v>
      </c>
      <c r="O2724" s="56" t="n">
        <f aca="false">IF(D2724=1,"",E2723)</f>
        <v>18</v>
      </c>
      <c r="P2724" s="56" t="n">
        <f aca="false">IF(OR(D2724=1,K2723=""),"",K2723)</f>
        <v>1013.8</v>
      </c>
      <c r="Q2724" s="56" t="n">
        <f aca="false">IF(OR(F2724&lt;&gt;0,AND(I2724&lt;&gt;"",E2724&lt;I2724)),1,0)</f>
        <v>0</v>
      </c>
      <c r="R2724" s="56" t="n">
        <f aca="false">IF(AND(D2724&gt;1,Q2724=0,ISNUMBER(O2724),ISNUMBER(P2724)),IF(Q2723=0,1,0),0)</f>
        <v>1</v>
      </c>
      <c r="S2724" s="56" t="n">
        <f aca="false">R2724*(B2724&gt;=Train_Start)*(B2724&lt;=Train_End)</f>
        <v>1</v>
      </c>
      <c r="T2724" s="84" t="n">
        <f aca="false">IF(AND(ISNUMBER(O2724),ISNUMBER(P2724)),Coef_A+Coef_B1*O2724+Coef_B2*P2724,"")</f>
        <v>18.637880076702</v>
      </c>
      <c r="U2724" s="84" t="n">
        <f aca="false">IF(AND(R2724=1,ISNUMBER(T2724)),E2724-T2724,"")</f>
        <v>0.462119923298022</v>
      </c>
      <c r="V2724" s="84" t="n">
        <f aca="false">IF(ISNUMBER(T2724),T2724,-99)</f>
        <v>18.637880076702</v>
      </c>
      <c r="W2724" s="84" t="n">
        <f aca="false">IF(ISNUMBER(U2724),ABS(U2724),"")</f>
        <v>0.462119923298022</v>
      </c>
    </row>
    <row r="2725" customFormat="false" ht="15" hidden="false" customHeight="false" outlineLevel="0" collapsed="false">
      <c r="A2725" s="57" t="n">
        <v>35308</v>
      </c>
      <c r="B2725" s="56" t="n">
        <v>1996</v>
      </c>
      <c r="C2725" s="56" t="n">
        <v>8</v>
      </c>
      <c r="D2725" s="56" t="n">
        <v>123</v>
      </c>
      <c r="E2725" s="56" t="n">
        <v>21.5</v>
      </c>
      <c r="F2725" s="56" t="n">
        <v>0</v>
      </c>
      <c r="G2725" s="56" t="n">
        <v>8.3</v>
      </c>
      <c r="H2725" s="56" t="n">
        <v>0</v>
      </c>
      <c r="I2725" s="56" t="n">
        <v>13.7</v>
      </c>
      <c r="J2725" s="56" t="n">
        <v>0</v>
      </c>
      <c r="K2725" s="56" t="n">
        <v>1027.1</v>
      </c>
      <c r="L2725" s="56" t="n">
        <v>0</v>
      </c>
      <c r="M2725" s="56" t="n">
        <v>70</v>
      </c>
      <c r="N2725" s="56" t="n">
        <v>4.3</v>
      </c>
      <c r="O2725" s="56" t="n">
        <f aca="false">IF(D2725=1,"",E2724)</f>
        <v>19.1</v>
      </c>
      <c r="P2725" s="56" t="n">
        <f aca="false">IF(OR(D2725=1,K2724=""),"",K2724)</f>
        <v>1020.1</v>
      </c>
      <c r="Q2725" s="56" t="n">
        <f aca="false">IF(OR(F2725&lt;&gt;0,AND(I2725&lt;&gt;"",E2725&lt;I2725)),1,0)</f>
        <v>0</v>
      </c>
      <c r="R2725" s="56" t="n">
        <f aca="false">IF(AND(D2725&gt;1,Q2725=0,ISNUMBER(O2725),ISNUMBER(P2725)),IF(Q2724=0,1,0),0)</f>
        <v>1</v>
      </c>
      <c r="S2725" s="56" t="n">
        <f aca="false">R2725*(B2725&gt;=Train_Start)*(B2725&lt;=Train_End)</f>
        <v>1</v>
      </c>
      <c r="T2725" s="84" t="n">
        <f aca="false">IF(AND(ISNUMBER(O2725),ISNUMBER(P2725)),Coef_A+Coef_B1*O2725+Coef_B2*P2725,"")</f>
        <v>19.736783525243</v>
      </c>
      <c r="U2725" s="84" t="n">
        <f aca="false">IF(AND(R2725=1,ISNUMBER(T2725)),E2725-T2725,"")</f>
        <v>1.76321647475696</v>
      </c>
      <c r="V2725" s="84" t="n">
        <f aca="false">IF(ISNUMBER(T2725),T2725,-99)</f>
        <v>19.736783525243</v>
      </c>
      <c r="W2725" s="84" t="n">
        <f aca="false">IF(ISNUMBER(U2725),ABS(U2725),"")</f>
        <v>1.76321647475696</v>
      </c>
    </row>
    <row r="2726" customFormat="false" ht="15" hidden="false" customHeight="false" outlineLevel="0" collapsed="false">
      <c r="A2726" s="57" t="n">
        <v>35309</v>
      </c>
      <c r="B2726" s="56" t="n">
        <v>1996</v>
      </c>
      <c r="C2726" s="56" t="n">
        <v>9</v>
      </c>
      <c r="D2726" s="56" t="n">
        <v>124</v>
      </c>
      <c r="E2726" s="56" t="n">
        <v>22.6</v>
      </c>
      <c r="F2726" s="56" t="n">
        <v>0</v>
      </c>
      <c r="G2726" s="56" t="n">
        <v>9.5</v>
      </c>
      <c r="H2726" s="56" t="n">
        <v>0</v>
      </c>
      <c r="I2726" s="56" t="n">
        <v>15.5</v>
      </c>
      <c r="J2726" s="56" t="n">
        <v>0</v>
      </c>
      <c r="K2726" s="56" t="n">
        <v>1028.6</v>
      </c>
      <c r="L2726" s="56" t="n">
        <v>0</v>
      </c>
      <c r="M2726" s="56" t="n">
        <v>64</v>
      </c>
      <c r="N2726" s="56" t="n">
        <v>10.4</v>
      </c>
      <c r="O2726" s="56" t="n">
        <f aca="false">IF(D2726=1,"",E2725)</f>
        <v>21.5</v>
      </c>
      <c r="P2726" s="56" t="n">
        <f aca="false">IF(OR(D2726=1,K2725=""),"",K2725)</f>
        <v>1027.1</v>
      </c>
      <c r="Q2726" s="56" t="n">
        <f aca="false">IF(OR(F2726&lt;&gt;0,AND(I2726&lt;&gt;"",E2726&lt;I2726)),1,0)</f>
        <v>0</v>
      </c>
      <c r="R2726" s="56" t="n">
        <f aca="false">IF(AND(D2726&gt;1,Q2726=0,ISNUMBER(O2726),ISNUMBER(P2726)),IF(Q2725=0,1,0),0)</f>
        <v>1</v>
      </c>
      <c r="S2726" s="56" t="n">
        <f aca="false">R2726*(B2726&gt;=Train_Start)*(B2726&lt;=Train_End)</f>
        <v>1</v>
      </c>
      <c r="T2726" s="84" t="n">
        <f aca="false">IF(AND(ISNUMBER(O2726),ISNUMBER(P2726)),Coef_A+Coef_B1*O2726+Coef_B2*P2726,"")</f>
        <v>21.9227868509833</v>
      </c>
      <c r="U2726" s="84" t="n">
        <f aca="false">IF(AND(R2726=1,ISNUMBER(T2726)),E2726-T2726,"")</f>
        <v>0.677213149016666</v>
      </c>
      <c r="V2726" s="84" t="n">
        <f aca="false">IF(ISNUMBER(T2726),T2726,-99)</f>
        <v>21.9227868509833</v>
      </c>
      <c r="W2726" s="84" t="n">
        <f aca="false">IF(ISNUMBER(U2726),ABS(U2726),"")</f>
        <v>0.677213149016666</v>
      </c>
    </row>
    <row r="2727" customFormat="false" ht="15" hidden="false" customHeight="false" outlineLevel="0" collapsed="false">
      <c r="A2727" s="57" t="n">
        <v>35310</v>
      </c>
      <c r="B2727" s="56" t="n">
        <v>1996</v>
      </c>
      <c r="C2727" s="56" t="n">
        <v>9</v>
      </c>
      <c r="D2727" s="56" t="n">
        <v>125</v>
      </c>
      <c r="E2727" s="56" t="n">
        <v>21.6</v>
      </c>
      <c r="F2727" s="56" t="n">
        <v>0</v>
      </c>
      <c r="G2727" s="56" t="n">
        <v>14.6</v>
      </c>
      <c r="H2727" s="56" t="n">
        <v>0</v>
      </c>
      <c r="I2727" s="56" t="n">
        <v>18.6</v>
      </c>
      <c r="J2727" s="56" t="n">
        <v>0</v>
      </c>
      <c r="K2727" s="56" t="n">
        <v>1026.8</v>
      </c>
      <c r="L2727" s="56" t="n">
        <v>0</v>
      </c>
      <c r="M2727" s="56" t="n">
        <v>72</v>
      </c>
      <c r="N2727" s="56" t="n">
        <v>0.9</v>
      </c>
      <c r="O2727" s="56" t="n">
        <f aca="false">IF(D2727=1,"",E2726)</f>
        <v>22.6</v>
      </c>
      <c r="P2727" s="56" t="n">
        <f aca="false">IF(OR(D2727=1,K2726=""),"",K2726)</f>
        <v>1028.6</v>
      </c>
      <c r="Q2727" s="56" t="n">
        <f aca="false">IF(OR(F2727&lt;&gt;0,AND(I2727&lt;&gt;"",E2727&lt;I2727)),1,0)</f>
        <v>0</v>
      </c>
      <c r="R2727" s="56" t="n">
        <f aca="false">IF(AND(D2727&gt;1,Q2727=0,ISNUMBER(O2727),ISNUMBER(P2727)),IF(Q2726=0,1,0),0)</f>
        <v>1</v>
      </c>
      <c r="S2727" s="56" t="n">
        <f aca="false">R2727*(B2727&gt;=Train_Start)*(B2727&lt;=Train_End)</f>
        <v>1</v>
      </c>
      <c r="T2727" s="84" t="n">
        <f aca="false">IF(AND(ISNUMBER(O2727),ISNUMBER(P2727)),Coef_A+Coef_B1*O2727+Coef_B2*P2727,"")</f>
        <v>22.8711148052813</v>
      </c>
      <c r="U2727" s="84" t="n">
        <f aca="false">IF(AND(R2727=1,ISNUMBER(T2727)),E2727-T2727,"")</f>
        <v>-1.27111480528125</v>
      </c>
      <c r="V2727" s="84" t="n">
        <f aca="false">IF(ISNUMBER(T2727),T2727,-99)</f>
        <v>22.8711148052813</v>
      </c>
      <c r="W2727" s="84" t="n">
        <f aca="false">IF(ISNUMBER(U2727),ABS(U2727),"")</f>
        <v>1.27111480528125</v>
      </c>
    </row>
    <row r="2728" customFormat="false" ht="15" hidden="false" customHeight="false" outlineLevel="0" collapsed="false">
      <c r="A2728" s="57" t="n">
        <v>35311</v>
      </c>
      <c r="B2728" s="56" t="n">
        <v>1996</v>
      </c>
      <c r="C2728" s="56" t="n">
        <v>9</v>
      </c>
      <c r="D2728" s="56" t="n">
        <v>126</v>
      </c>
      <c r="E2728" s="56" t="n">
        <v>19.2</v>
      </c>
      <c r="F2728" s="56" t="n">
        <v>0</v>
      </c>
      <c r="G2728" s="56" t="n">
        <v>15</v>
      </c>
      <c r="H2728" s="56" t="n">
        <v>0</v>
      </c>
      <c r="I2728" s="56" t="n">
        <v>18.3</v>
      </c>
      <c r="J2728" s="56" t="n">
        <v>0</v>
      </c>
      <c r="K2728" s="56" t="n">
        <v>1025.1</v>
      </c>
      <c r="L2728" s="56" t="n">
        <v>0</v>
      </c>
      <c r="M2728" s="56" t="n">
        <v>80</v>
      </c>
      <c r="N2728" s="56" t="n">
        <v>4.2</v>
      </c>
      <c r="O2728" s="56" t="n">
        <f aca="false">IF(D2728=1,"",E2727)</f>
        <v>21.6</v>
      </c>
      <c r="P2728" s="56" t="n">
        <f aca="false">IF(OR(D2728=1,K2727=""),"",K2727)</f>
        <v>1026.8</v>
      </c>
      <c r="Q2728" s="56" t="n">
        <f aca="false">IF(OR(F2728&lt;&gt;0,AND(I2728&lt;&gt;"",E2728&lt;I2728)),1,0)</f>
        <v>0</v>
      </c>
      <c r="R2728" s="56" t="n">
        <f aca="false">IF(AND(D2728&gt;1,Q2728=0,ISNUMBER(O2728),ISNUMBER(P2728)),IF(Q2727=0,1,0),0)</f>
        <v>1</v>
      </c>
      <c r="S2728" s="56" t="n">
        <f aca="false">R2728*(B2728&gt;=Train_Start)*(B2728&lt;=Train_End)</f>
        <v>1</v>
      </c>
      <c r="T2728" s="84" t="n">
        <f aca="false">IF(AND(ISNUMBER(O2728),ISNUMBER(P2728)),Coef_A+Coef_B1*O2728+Coef_B2*P2728,"")</f>
        <v>21.9953098018974</v>
      </c>
      <c r="U2728" s="84" t="n">
        <f aca="false">IF(AND(R2728=1,ISNUMBER(T2728)),E2728-T2728,"")</f>
        <v>-2.79530980189741</v>
      </c>
      <c r="V2728" s="84" t="n">
        <f aca="false">IF(ISNUMBER(T2728),T2728,-99)</f>
        <v>21.9953098018974</v>
      </c>
      <c r="W2728" s="84" t="n">
        <f aca="false">IF(ISNUMBER(U2728),ABS(U2728),"")</f>
        <v>2.79530980189741</v>
      </c>
    </row>
    <row r="2729" customFormat="false" ht="15" hidden="false" customHeight="false" outlineLevel="0" collapsed="false">
      <c r="A2729" s="57" t="n">
        <v>35312</v>
      </c>
      <c r="B2729" s="56" t="n">
        <v>1996</v>
      </c>
      <c r="C2729" s="56" t="n">
        <v>9</v>
      </c>
      <c r="D2729" s="56" t="n">
        <v>127</v>
      </c>
      <c r="E2729" s="56" t="n">
        <v>23.4</v>
      </c>
      <c r="F2729" s="56" t="n">
        <v>0</v>
      </c>
      <c r="G2729" s="56" t="n">
        <v>14.5</v>
      </c>
      <c r="H2729" s="56" t="n">
        <v>0</v>
      </c>
      <c r="I2729" s="56" t="n">
        <v>16.8</v>
      </c>
      <c r="J2729" s="56" t="n">
        <v>0</v>
      </c>
      <c r="K2729" s="56" t="n">
        <v>1024.5</v>
      </c>
      <c r="L2729" s="56" t="n">
        <v>0</v>
      </c>
      <c r="M2729" s="56" t="n">
        <v>72</v>
      </c>
      <c r="N2729" s="56" t="n">
        <v>2.1</v>
      </c>
      <c r="O2729" s="56" t="n">
        <f aca="false">IF(D2729=1,"",E2728)</f>
        <v>19.2</v>
      </c>
      <c r="P2729" s="56" t="n">
        <f aca="false">IF(OR(D2729=1,K2728=""),"",K2728)</f>
        <v>1025.1</v>
      </c>
      <c r="Q2729" s="56" t="n">
        <f aca="false">IF(OR(F2729&lt;&gt;0,AND(I2729&lt;&gt;"",E2729&lt;I2729)),1,0)</f>
        <v>0</v>
      </c>
      <c r="R2729" s="56" t="n">
        <f aca="false">IF(AND(D2729&gt;1,Q2729=0,ISNUMBER(O2729),ISNUMBER(P2729)),IF(Q2728=0,1,0),0)</f>
        <v>1</v>
      </c>
      <c r="S2729" s="56" t="n">
        <f aca="false">R2729*(B2729&gt;=Train_Start)*(B2729&lt;=Train_End)</f>
        <v>1</v>
      </c>
      <c r="T2729" s="84" t="n">
        <f aca="false">IF(AND(ISNUMBER(O2729),ISNUMBER(P2729)),Coef_A+Coef_B1*O2729+Coef_B2*P2729,"")</f>
        <v>19.9755669177172</v>
      </c>
      <c r="U2729" s="84" t="n">
        <f aca="false">IF(AND(R2729=1,ISNUMBER(T2729)),E2729-T2729,"")</f>
        <v>3.42443308228275</v>
      </c>
      <c r="V2729" s="84" t="n">
        <f aca="false">IF(ISNUMBER(T2729),T2729,-99)</f>
        <v>19.9755669177172</v>
      </c>
      <c r="W2729" s="84" t="n">
        <f aca="false">IF(ISNUMBER(U2729),ABS(U2729),"")</f>
        <v>3.42443308228275</v>
      </c>
    </row>
    <row r="2730" customFormat="false" ht="15" hidden="false" customHeight="false" outlineLevel="0" collapsed="false">
      <c r="A2730" s="57" t="n">
        <v>35313</v>
      </c>
      <c r="B2730" s="56" t="n">
        <v>1996</v>
      </c>
      <c r="C2730" s="56" t="n">
        <v>9</v>
      </c>
      <c r="D2730" s="56" t="n">
        <v>128</v>
      </c>
      <c r="E2730" s="56" t="n">
        <v>21.9</v>
      </c>
      <c r="F2730" s="56" t="n">
        <v>0</v>
      </c>
      <c r="G2730" s="56" t="n">
        <v>13.8</v>
      </c>
      <c r="H2730" s="56" t="n">
        <v>0</v>
      </c>
      <c r="I2730" s="56" t="n">
        <v>18.6</v>
      </c>
      <c r="J2730" s="56" t="n">
        <v>0</v>
      </c>
      <c r="K2730" s="56" t="n">
        <v>1022.7</v>
      </c>
      <c r="L2730" s="56" t="n">
        <v>0</v>
      </c>
      <c r="M2730" s="56" t="n">
        <v>62</v>
      </c>
      <c r="N2730" s="56" t="n">
        <v>9.3</v>
      </c>
      <c r="O2730" s="56" t="n">
        <f aca="false">IF(D2730=1,"",E2729)</f>
        <v>23.4</v>
      </c>
      <c r="P2730" s="56" t="n">
        <f aca="false">IF(OR(D2730=1,K2729=""),"",K2729)</f>
        <v>1024.5</v>
      </c>
      <c r="Q2730" s="56" t="n">
        <f aca="false">IF(OR(F2730&lt;&gt;0,AND(I2730&lt;&gt;"",E2730&lt;I2730)),1,0)</f>
        <v>0</v>
      </c>
      <c r="R2730" s="56" t="n">
        <f aca="false">IF(AND(D2730&gt;1,Q2730=0,ISNUMBER(O2730),ISNUMBER(P2730)),IF(Q2729=0,1,0),0)</f>
        <v>1</v>
      </c>
      <c r="S2730" s="56" t="n">
        <f aca="false">R2730*(B2730&gt;=Train_Start)*(B2730&lt;=Train_End)</f>
        <v>1</v>
      </c>
      <c r="T2730" s="84" t="n">
        <f aca="false">IF(AND(ISNUMBER(O2730),ISNUMBER(P2730)),Coef_A+Coef_B1*O2730+Coef_B2*P2730,"")</f>
        <v>23.397969591716</v>
      </c>
      <c r="U2730" s="84" t="n">
        <f aca="false">IF(AND(R2730=1,ISNUMBER(T2730)),E2730-T2730,"")</f>
        <v>-1.49796959171601</v>
      </c>
      <c r="V2730" s="84" t="n">
        <f aca="false">IF(ISNUMBER(T2730),T2730,-99)</f>
        <v>23.397969591716</v>
      </c>
      <c r="W2730" s="84" t="n">
        <f aca="false">IF(ISNUMBER(U2730),ABS(U2730),"")</f>
        <v>1.49796959171601</v>
      </c>
    </row>
    <row r="2731" customFormat="false" ht="15" hidden="false" customHeight="false" outlineLevel="0" collapsed="false">
      <c r="A2731" s="57" t="n">
        <v>35314</v>
      </c>
      <c r="B2731" s="56" t="n">
        <v>1996</v>
      </c>
      <c r="C2731" s="56" t="n">
        <v>9</v>
      </c>
      <c r="D2731" s="56" t="n">
        <v>129</v>
      </c>
      <c r="E2731" s="56" t="n">
        <v>20.7</v>
      </c>
      <c r="F2731" s="56" t="n">
        <v>0</v>
      </c>
      <c r="G2731" s="56" t="n">
        <v>10.2</v>
      </c>
      <c r="H2731" s="56" t="n">
        <v>0</v>
      </c>
      <c r="I2731" s="56" t="n">
        <v>16</v>
      </c>
      <c r="J2731" s="56" t="n">
        <v>0</v>
      </c>
      <c r="K2731" s="56" t="n">
        <v>1023.1</v>
      </c>
      <c r="L2731" s="56" t="n">
        <v>0</v>
      </c>
      <c r="M2731" s="56" t="n">
        <v>70</v>
      </c>
      <c r="N2731" s="56" t="n">
        <v>11.5</v>
      </c>
      <c r="O2731" s="56" t="n">
        <f aca="false">IF(D2731=1,"",E2730)</f>
        <v>21.9</v>
      </c>
      <c r="P2731" s="56" t="n">
        <f aca="false">IF(OR(D2731=1,K2730=""),"",K2730)</f>
        <v>1022.7</v>
      </c>
      <c r="Q2731" s="56" t="n">
        <f aca="false">IF(OR(F2731&lt;&gt;0,AND(I2731&lt;&gt;"",E2731&lt;I2731)),1,0)</f>
        <v>0</v>
      </c>
      <c r="R2731" s="56" t="n">
        <f aca="false">IF(AND(D2731&gt;1,Q2731=0,ISNUMBER(O2731),ISNUMBER(P2731)),IF(Q2730=0,1,0),0)</f>
        <v>1</v>
      </c>
      <c r="S2731" s="56" t="n">
        <f aca="false">R2731*(B2731&gt;=Train_Start)*(B2731&lt;=Train_End)</f>
        <v>1</v>
      </c>
      <c r="T2731" s="84" t="n">
        <f aca="false">IF(AND(ISNUMBER(O2731),ISNUMBER(P2731)),Coef_A+Coef_B1*O2731+Coef_B2*P2731,"")</f>
        <v>22.1124949918109</v>
      </c>
      <c r="U2731" s="84" t="n">
        <f aca="false">IF(AND(R2731=1,ISNUMBER(T2731)),E2731-T2731,"")</f>
        <v>-1.41249499181086</v>
      </c>
      <c r="V2731" s="84" t="n">
        <f aca="false">IF(ISNUMBER(T2731),T2731,-99)</f>
        <v>22.1124949918109</v>
      </c>
      <c r="W2731" s="84" t="n">
        <f aca="false">IF(ISNUMBER(U2731),ABS(U2731),"")</f>
        <v>1.41249499181086</v>
      </c>
    </row>
    <row r="2732" customFormat="false" ht="15" hidden="false" customHeight="false" outlineLevel="0" collapsed="false">
      <c r="A2732" s="57" t="n">
        <v>35315</v>
      </c>
      <c r="B2732" s="56" t="n">
        <v>1996</v>
      </c>
      <c r="C2732" s="56" t="n">
        <v>9</v>
      </c>
      <c r="D2732" s="56" t="n">
        <v>130</v>
      </c>
      <c r="E2732" s="56" t="n">
        <v>20.6</v>
      </c>
      <c r="F2732" s="56" t="n">
        <v>0</v>
      </c>
      <c r="G2732" s="56" t="n">
        <v>11.4</v>
      </c>
      <c r="H2732" s="56" t="n">
        <v>0</v>
      </c>
      <c r="I2732" s="56" t="n">
        <v>16</v>
      </c>
      <c r="J2732" s="56" t="n">
        <v>0</v>
      </c>
      <c r="K2732" s="56" t="n">
        <v>1025.7</v>
      </c>
      <c r="L2732" s="56" t="n">
        <v>0</v>
      </c>
      <c r="M2732" s="56" t="n">
        <v>67</v>
      </c>
      <c r="N2732" s="56" t="n">
        <v>3.7</v>
      </c>
      <c r="O2732" s="56" t="n">
        <f aca="false">IF(D2732=1,"",E2731)</f>
        <v>20.7</v>
      </c>
      <c r="P2732" s="56" t="n">
        <f aca="false">IF(OR(D2732=1,K2731=""),"",K2731)</f>
        <v>1023.1</v>
      </c>
      <c r="Q2732" s="56" t="n">
        <f aca="false">IF(OR(F2732&lt;&gt;0,AND(I2732&lt;&gt;"",E2732&lt;I2732)),1,0)</f>
        <v>0</v>
      </c>
      <c r="R2732" s="56" t="n">
        <f aca="false">IF(AND(D2732&gt;1,Q2732=0,ISNUMBER(O2732),ISNUMBER(P2732)),IF(Q2731=0,1,0),0)</f>
        <v>1</v>
      </c>
      <c r="S2732" s="56" t="n">
        <f aca="false">R2732*(B2732&gt;=Train_Start)*(B2732&lt;=Train_End)</f>
        <v>1</v>
      </c>
      <c r="T2732" s="84" t="n">
        <f aca="false">IF(AND(ISNUMBER(O2732),ISNUMBER(P2732)),Coef_A+Coef_B1*O2732+Coef_B2*P2732,"")</f>
        <v>21.1418359180133</v>
      </c>
      <c r="U2732" s="84" t="n">
        <f aca="false">IF(AND(R2732=1,ISNUMBER(T2732)),E2732-T2732,"")</f>
        <v>-0.541835918013256</v>
      </c>
      <c r="V2732" s="84" t="n">
        <f aca="false">IF(ISNUMBER(T2732),T2732,-99)</f>
        <v>21.1418359180133</v>
      </c>
      <c r="W2732" s="84" t="n">
        <f aca="false">IF(ISNUMBER(U2732),ABS(U2732),"")</f>
        <v>0.541835918013256</v>
      </c>
    </row>
    <row r="2733" customFormat="false" ht="15" hidden="false" customHeight="false" outlineLevel="0" collapsed="false">
      <c r="A2733" s="57" t="n">
        <v>35316</v>
      </c>
      <c r="B2733" s="56" t="n">
        <v>1996</v>
      </c>
      <c r="C2733" s="56" t="n">
        <v>9</v>
      </c>
      <c r="D2733" s="56" t="n">
        <v>131</v>
      </c>
      <c r="E2733" s="56" t="n">
        <v>19.5</v>
      </c>
      <c r="F2733" s="56" t="n">
        <v>0</v>
      </c>
      <c r="G2733" s="56" t="n">
        <v>13</v>
      </c>
      <c r="H2733" s="56" t="n">
        <v>0</v>
      </c>
      <c r="I2733" s="56" t="n">
        <v>16.8</v>
      </c>
      <c r="J2733" s="56" t="n">
        <v>0</v>
      </c>
      <c r="K2733" s="56" t="n">
        <v>1027.5</v>
      </c>
      <c r="L2733" s="56" t="n">
        <v>0</v>
      </c>
      <c r="M2733" s="56" t="n">
        <v>70</v>
      </c>
      <c r="N2733" s="56" t="n">
        <v>2.7</v>
      </c>
      <c r="O2733" s="56" t="n">
        <f aca="false">IF(D2733=1,"",E2732)</f>
        <v>20.6</v>
      </c>
      <c r="P2733" s="56" t="n">
        <f aca="false">IF(OR(D2733=1,K2732=""),"",K2732)</f>
        <v>1025.7</v>
      </c>
      <c r="Q2733" s="56" t="n">
        <f aca="false">IF(OR(F2733&lt;&gt;0,AND(I2733&lt;&gt;"",E2733&lt;I2733)),1,0)</f>
        <v>0</v>
      </c>
      <c r="R2733" s="56" t="n">
        <f aca="false">IF(AND(D2733&gt;1,Q2733=0,ISNUMBER(O2733),ISNUMBER(P2733)),IF(Q2732=0,1,0),0)</f>
        <v>1</v>
      </c>
      <c r="S2733" s="56" t="n">
        <f aca="false">R2733*(B2733&gt;=Train_Start)*(B2733&lt;=Train_End)</f>
        <v>1</v>
      </c>
      <c r="T2733" s="84" t="n">
        <f aca="false">IF(AND(ISNUMBER(O2733),ISNUMBER(P2733)),Coef_A+Coef_B1*O2733+Coef_B2*P2733,"")</f>
        <v>21.1414637247574</v>
      </c>
      <c r="U2733" s="84" t="n">
        <f aca="false">IF(AND(R2733=1,ISNUMBER(T2733)),E2733-T2733,"")</f>
        <v>-1.64146372475737</v>
      </c>
      <c r="V2733" s="84" t="n">
        <f aca="false">IF(ISNUMBER(T2733),T2733,-99)</f>
        <v>21.1414637247574</v>
      </c>
      <c r="W2733" s="84" t="n">
        <f aca="false">IF(ISNUMBER(U2733),ABS(U2733),"")</f>
        <v>1.64146372475737</v>
      </c>
    </row>
    <row r="2734" customFormat="false" ht="15" hidden="false" customHeight="false" outlineLevel="0" collapsed="false">
      <c r="A2734" s="57" t="n">
        <v>35317</v>
      </c>
      <c r="B2734" s="56" t="n">
        <v>1996</v>
      </c>
      <c r="C2734" s="56" t="n">
        <v>9</v>
      </c>
      <c r="D2734" s="56" t="n">
        <v>132</v>
      </c>
      <c r="E2734" s="56" t="n">
        <v>17.6</v>
      </c>
      <c r="F2734" s="56" t="n">
        <v>0</v>
      </c>
      <c r="G2734" s="56" t="n">
        <v>12.2</v>
      </c>
      <c r="H2734" s="56" t="n">
        <v>0</v>
      </c>
      <c r="I2734" s="56" t="n">
        <v>15.8</v>
      </c>
      <c r="J2734" s="56" t="n">
        <v>0</v>
      </c>
      <c r="K2734" s="56" t="n">
        <v>1027</v>
      </c>
      <c r="L2734" s="56" t="n">
        <v>0</v>
      </c>
      <c r="M2734" s="56" t="n">
        <v>73</v>
      </c>
      <c r="N2734" s="56" t="n">
        <v>4.1</v>
      </c>
      <c r="O2734" s="56" t="n">
        <f aca="false">IF(D2734=1,"",E2733)</f>
        <v>19.5</v>
      </c>
      <c r="P2734" s="56" t="n">
        <f aca="false">IF(OR(D2734=1,K2733=""),"",K2733)</f>
        <v>1027.5</v>
      </c>
      <c r="Q2734" s="56" t="n">
        <f aca="false">IF(OR(F2734&lt;&gt;0,AND(I2734&lt;&gt;"",E2734&lt;I2734)),1,0)</f>
        <v>0</v>
      </c>
      <c r="R2734" s="56" t="n">
        <f aca="false">IF(AND(D2734&gt;1,Q2734=0,ISNUMBER(O2734),ISNUMBER(P2734)),IF(Q2733=0,1,0),0)</f>
        <v>1</v>
      </c>
      <c r="S2734" s="56" t="n">
        <f aca="false">R2734*(B2734&gt;=Train_Start)*(B2734&lt;=Train_End)</f>
        <v>1</v>
      </c>
      <c r="T2734" s="84" t="n">
        <f aca="false">IF(AND(ISNUMBER(O2734),ISNUMBER(P2734)),Coef_A+Coef_B1*O2734+Coef_B2*P2734,"")</f>
        <v>20.2966564227516</v>
      </c>
      <c r="U2734" s="84" t="n">
        <f aca="false">IF(AND(R2734=1,ISNUMBER(T2734)),E2734-T2734,"")</f>
        <v>-2.69665642275162</v>
      </c>
      <c r="V2734" s="84" t="n">
        <f aca="false">IF(ISNUMBER(T2734),T2734,-99)</f>
        <v>20.2966564227516</v>
      </c>
      <c r="W2734" s="84" t="n">
        <f aca="false">IF(ISNUMBER(U2734),ABS(U2734),"")</f>
        <v>2.69665642275162</v>
      </c>
    </row>
    <row r="2735" customFormat="false" ht="15" hidden="false" customHeight="false" outlineLevel="0" collapsed="false">
      <c r="A2735" s="57" t="n">
        <v>35318</v>
      </c>
      <c r="B2735" s="56" t="n">
        <v>1996</v>
      </c>
      <c r="C2735" s="56" t="n">
        <v>9</v>
      </c>
      <c r="D2735" s="56" t="n">
        <v>133</v>
      </c>
      <c r="E2735" s="56" t="n">
        <v>20</v>
      </c>
      <c r="F2735" s="56" t="n">
        <v>0</v>
      </c>
      <c r="G2735" s="56" t="n">
        <v>11.7</v>
      </c>
      <c r="H2735" s="56" t="n">
        <v>0</v>
      </c>
      <c r="I2735" s="56" t="n">
        <v>14.6</v>
      </c>
      <c r="J2735" s="56" t="n">
        <v>0</v>
      </c>
      <c r="K2735" s="56" t="n">
        <v>1024.3</v>
      </c>
      <c r="L2735" s="56" t="n">
        <v>0</v>
      </c>
      <c r="M2735" s="56" t="n">
        <v>72</v>
      </c>
      <c r="N2735" s="56" t="n">
        <v>0.3</v>
      </c>
      <c r="O2735" s="56" t="n">
        <f aca="false">IF(D2735=1,"",E2734)</f>
        <v>17.6</v>
      </c>
      <c r="P2735" s="56" t="n">
        <f aca="false">IF(OR(D2735=1,K2734=""),"",K2734)</f>
        <v>1027</v>
      </c>
      <c r="Q2735" s="56" t="n">
        <f aca="false">IF(OR(F2735&lt;&gt;0,AND(I2735&lt;&gt;"",E2735&lt;I2735)),1,0)</f>
        <v>0</v>
      </c>
      <c r="R2735" s="56" t="n">
        <f aca="false">IF(AND(D2735&gt;1,Q2735=0,ISNUMBER(O2735),ISNUMBER(P2735)),IF(Q2734=0,1,0),0)</f>
        <v>1</v>
      </c>
      <c r="S2735" s="56" t="n">
        <f aca="false">R2735*(B2735&gt;=Train_Start)*(B2735&lt;=Train_End)</f>
        <v>1</v>
      </c>
      <c r="T2735" s="84" t="n">
        <f aca="false">IF(AND(ISNUMBER(O2735),ISNUMBER(P2735)),Coef_A+Coef_B1*O2735+Coef_B2*P2735,"")</f>
        <v>18.7242270086536</v>
      </c>
      <c r="U2735" s="84" t="n">
        <f aca="false">IF(AND(R2735=1,ISNUMBER(T2735)),E2735-T2735,"")</f>
        <v>1.27577299134642</v>
      </c>
      <c r="V2735" s="84" t="n">
        <f aca="false">IF(ISNUMBER(T2735),T2735,-99)</f>
        <v>18.7242270086536</v>
      </c>
      <c r="W2735" s="84" t="n">
        <f aca="false">IF(ISNUMBER(U2735),ABS(U2735),"")</f>
        <v>1.27577299134642</v>
      </c>
    </row>
    <row r="2736" customFormat="false" ht="15" hidden="false" customHeight="false" outlineLevel="0" collapsed="false">
      <c r="A2736" s="57" t="n">
        <v>35319</v>
      </c>
      <c r="B2736" s="56" t="n">
        <v>1996</v>
      </c>
      <c r="C2736" s="56" t="n">
        <v>9</v>
      </c>
      <c r="D2736" s="56" t="n">
        <v>134</v>
      </c>
      <c r="E2736" s="56" t="n">
        <v>18.1</v>
      </c>
      <c r="F2736" s="56" t="n">
        <v>0</v>
      </c>
      <c r="G2736" s="56" t="n">
        <v>8.9</v>
      </c>
      <c r="H2736" s="56" t="n">
        <v>0</v>
      </c>
      <c r="I2736" s="56" t="n">
        <v>14.4</v>
      </c>
      <c r="J2736" s="56" t="n">
        <v>0</v>
      </c>
      <c r="K2736" s="56" t="n">
        <v>1018.6</v>
      </c>
      <c r="L2736" s="56" t="n">
        <v>0</v>
      </c>
      <c r="M2736" s="56" t="n">
        <v>72</v>
      </c>
      <c r="N2736" s="56" t="n">
        <v>3</v>
      </c>
      <c r="O2736" s="56" t="n">
        <f aca="false">IF(D2736=1,"",E2735)</f>
        <v>20</v>
      </c>
      <c r="P2736" s="56" t="n">
        <f aca="false">IF(OR(D2736=1,K2735=""),"",K2735)</f>
        <v>1024.3</v>
      </c>
      <c r="Q2736" s="56" t="n">
        <f aca="false">IF(OR(F2736&lt;&gt;0,AND(I2736&lt;&gt;"",E2736&lt;I2736)),1,0)</f>
        <v>0</v>
      </c>
      <c r="R2736" s="56" t="n">
        <f aca="false">IF(AND(D2736&gt;1,Q2736=0,ISNUMBER(O2736),ISNUMBER(P2736)),IF(Q2735=0,1,0),0)</f>
        <v>1</v>
      </c>
      <c r="S2736" s="56" t="n">
        <f aca="false">R2736*(B2736&gt;=Train_Start)*(B2736&lt;=Train_End)</f>
        <v>1</v>
      </c>
      <c r="T2736" s="84" t="n">
        <f aca="false">IF(AND(ISNUMBER(O2736),ISNUMBER(P2736)),Coef_A+Coef_B1*O2736+Coef_B2*P2736,"")</f>
        <v>20.6059423564442</v>
      </c>
      <c r="U2736" s="84" t="n">
        <f aca="false">IF(AND(R2736=1,ISNUMBER(T2736)),E2736-T2736,"")</f>
        <v>-2.50594235644418</v>
      </c>
      <c r="V2736" s="84" t="n">
        <f aca="false">IF(ISNUMBER(T2736),T2736,-99)</f>
        <v>20.6059423564442</v>
      </c>
      <c r="W2736" s="84" t="n">
        <f aca="false">IF(ISNUMBER(U2736),ABS(U2736),"")</f>
        <v>2.50594235644418</v>
      </c>
    </row>
    <row r="2737" customFormat="false" ht="15" hidden="false" customHeight="false" outlineLevel="0" collapsed="false">
      <c r="A2737" s="57" t="n">
        <v>35320</v>
      </c>
      <c r="B2737" s="56" t="n">
        <v>1996</v>
      </c>
      <c r="C2737" s="56" t="n">
        <v>9</v>
      </c>
      <c r="D2737" s="56" t="n">
        <v>135</v>
      </c>
      <c r="E2737" s="56" t="n">
        <v>18.6</v>
      </c>
      <c r="F2737" s="56" t="n">
        <v>0</v>
      </c>
      <c r="G2737" s="56" t="n">
        <v>12.2</v>
      </c>
      <c r="H2737" s="56" t="n">
        <v>0</v>
      </c>
      <c r="I2737" s="56" t="n">
        <v>15.2</v>
      </c>
      <c r="J2737" s="56" t="n">
        <v>0</v>
      </c>
      <c r="K2737" s="56" t="n">
        <v>1012.8</v>
      </c>
      <c r="L2737" s="56" t="n">
        <v>0</v>
      </c>
      <c r="M2737" s="56" t="n">
        <v>62</v>
      </c>
      <c r="N2737" s="56" t="n">
        <v>6.1</v>
      </c>
      <c r="O2737" s="56" t="n">
        <f aca="false">IF(D2737=1,"",E2736)</f>
        <v>18.1</v>
      </c>
      <c r="P2737" s="56" t="n">
        <f aca="false">IF(OR(D2737=1,K2736=""),"",K2736)</f>
        <v>1018.6</v>
      </c>
      <c r="Q2737" s="56" t="n">
        <f aca="false">IF(OR(F2737&lt;&gt;0,AND(I2737&lt;&gt;"",E2737&lt;I2737)),1,0)</f>
        <v>0</v>
      </c>
      <c r="R2737" s="56" t="n">
        <f aca="false">IF(AND(D2737&gt;1,Q2737=0,ISNUMBER(O2737),ISNUMBER(P2737)),IF(Q2736=0,1,0),0)</f>
        <v>1</v>
      </c>
      <c r="S2737" s="56" t="n">
        <f aca="false">R2737*(B2737&gt;=Train_Start)*(B2737&lt;=Train_End)</f>
        <v>1</v>
      </c>
      <c r="T2737" s="84" t="n">
        <f aca="false">IF(AND(ISNUMBER(O2737),ISNUMBER(P2737)),Coef_A+Coef_B1*O2737+Coef_B2*P2737,"")</f>
        <v>18.8703894902494</v>
      </c>
      <c r="U2737" s="84" t="n">
        <f aca="false">IF(AND(R2737=1,ISNUMBER(T2737)),E2737-T2737,"")</f>
        <v>-0.270389490249396</v>
      </c>
      <c r="V2737" s="84" t="n">
        <f aca="false">IF(ISNUMBER(T2737),T2737,-99)</f>
        <v>18.8703894902494</v>
      </c>
      <c r="W2737" s="84" t="n">
        <f aca="false">IF(ISNUMBER(U2737),ABS(U2737),"")</f>
        <v>0.270389490249396</v>
      </c>
    </row>
    <row r="2738" customFormat="false" ht="15" hidden="false" customHeight="false" outlineLevel="0" collapsed="false">
      <c r="A2738" s="57" t="n">
        <v>35321</v>
      </c>
      <c r="B2738" s="56" t="n">
        <v>1996</v>
      </c>
      <c r="C2738" s="56" t="n">
        <v>9</v>
      </c>
      <c r="D2738" s="56" t="n">
        <v>136</v>
      </c>
      <c r="E2738" s="56" t="n">
        <v>19.6</v>
      </c>
      <c r="F2738" s="56" t="n">
        <v>0</v>
      </c>
      <c r="G2738" s="56" t="n">
        <v>7.8</v>
      </c>
      <c r="H2738" s="56" t="n">
        <v>0</v>
      </c>
      <c r="I2738" s="56" t="n">
        <v>13.2</v>
      </c>
      <c r="J2738" s="56" t="n">
        <v>0</v>
      </c>
      <c r="K2738" s="56" t="n">
        <v>1018.4</v>
      </c>
      <c r="L2738" s="56" t="n">
        <v>0</v>
      </c>
      <c r="M2738" s="56" t="n">
        <v>58</v>
      </c>
      <c r="N2738" s="56" t="n">
        <v>10</v>
      </c>
      <c r="O2738" s="56" t="n">
        <f aca="false">IF(D2738=1,"",E2737)</f>
        <v>18.6</v>
      </c>
      <c r="P2738" s="56" t="n">
        <f aca="false">IF(OR(D2738=1,K2737=""),"",K2737)</f>
        <v>1012.8</v>
      </c>
      <c r="Q2738" s="56" t="n">
        <f aca="false">IF(OR(F2738&lt;&gt;0,AND(I2738&lt;&gt;"",E2738&lt;I2738)),1,0)</f>
        <v>0</v>
      </c>
      <c r="R2738" s="56" t="n">
        <f aca="false">IF(AND(D2738&gt;1,Q2738=0,ISNUMBER(O2738),ISNUMBER(P2738)),IF(Q2737=0,1,0),0)</f>
        <v>1</v>
      </c>
      <c r="S2738" s="56" t="n">
        <f aca="false">R2738*(B2738&gt;=Train_Start)*(B2738&lt;=Train_End)</f>
        <v>1</v>
      </c>
      <c r="T2738" s="84" t="n">
        <f aca="false">IF(AND(ISNUMBER(O2738),ISNUMBER(P2738)),Coef_A+Coef_B1*O2738+Coef_B2*P2738,"")</f>
        <v>19.0981136978936</v>
      </c>
      <c r="U2738" s="84" t="n">
        <f aca="false">IF(AND(R2738=1,ISNUMBER(T2738)),E2738-T2738,"")</f>
        <v>0.501886302106417</v>
      </c>
      <c r="V2738" s="84" t="n">
        <f aca="false">IF(ISNUMBER(T2738),T2738,-99)</f>
        <v>19.0981136978936</v>
      </c>
      <c r="W2738" s="84" t="n">
        <f aca="false">IF(ISNUMBER(U2738),ABS(U2738),"")</f>
        <v>0.501886302106417</v>
      </c>
    </row>
    <row r="2739" customFormat="false" ht="15" hidden="false" customHeight="false" outlineLevel="0" collapsed="false">
      <c r="A2739" s="57" t="n">
        <v>35322</v>
      </c>
      <c r="B2739" s="56" t="n">
        <v>1996</v>
      </c>
      <c r="C2739" s="56" t="n">
        <v>9</v>
      </c>
      <c r="D2739" s="56" t="n">
        <v>137</v>
      </c>
      <c r="E2739" s="56" t="n">
        <v>23</v>
      </c>
      <c r="F2739" s="56" t="n">
        <v>0</v>
      </c>
      <c r="G2739" s="56" t="n">
        <v>6.1</v>
      </c>
      <c r="H2739" s="56" t="n">
        <v>0</v>
      </c>
      <c r="I2739" s="56" t="n">
        <v>12.8</v>
      </c>
      <c r="J2739" s="56" t="n">
        <v>0</v>
      </c>
      <c r="K2739" s="56" t="n">
        <v>1024.3</v>
      </c>
      <c r="L2739" s="56" t="n">
        <v>0</v>
      </c>
      <c r="M2739" s="56" t="n">
        <v>66</v>
      </c>
      <c r="N2739" s="56" t="n">
        <v>10.7</v>
      </c>
      <c r="O2739" s="56" t="n">
        <f aca="false">IF(D2739=1,"",E2738)</f>
        <v>19.6</v>
      </c>
      <c r="P2739" s="56" t="n">
        <f aca="false">IF(OR(D2739=1,K2738=""),"",K2738)</f>
        <v>1018.4</v>
      </c>
      <c r="Q2739" s="56" t="n">
        <f aca="false">IF(OR(F2739&lt;&gt;0,AND(I2739&lt;&gt;"",E2739&lt;I2739)),1,0)</f>
        <v>0</v>
      </c>
      <c r="R2739" s="56" t="n">
        <f aca="false">IF(AND(D2739&gt;1,Q2739=0,ISNUMBER(O2739),ISNUMBER(P2739)),IF(Q2738=0,1,0),0)</f>
        <v>1</v>
      </c>
      <c r="S2739" s="56" t="n">
        <f aca="false">R2739*(B2739&gt;=Train_Start)*(B2739&lt;=Train_End)</f>
        <v>1</v>
      </c>
      <c r="T2739" s="84" t="n">
        <f aca="false">IF(AND(ISNUMBER(O2739),ISNUMBER(P2739)),Coef_A+Coef_B1*O2739+Coef_B2*P2739,"")</f>
        <v>20.0931243008866</v>
      </c>
      <c r="U2739" s="84" t="n">
        <f aca="false">IF(AND(R2739=1,ISNUMBER(T2739)),E2739-T2739,"")</f>
        <v>2.90687569911341</v>
      </c>
      <c r="V2739" s="84" t="n">
        <f aca="false">IF(ISNUMBER(T2739),T2739,-99)</f>
        <v>20.0931243008866</v>
      </c>
      <c r="W2739" s="84" t="n">
        <f aca="false">IF(ISNUMBER(U2739),ABS(U2739),"")</f>
        <v>2.90687569911341</v>
      </c>
    </row>
    <row r="2740" customFormat="false" ht="15" hidden="false" customHeight="false" outlineLevel="0" collapsed="false">
      <c r="A2740" s="57" t="n">
        <v>35323</v>
      </c>
      <c r="B2740" s="56" t="n">
        <v>1996</v>
      </c>
      <c r="C2740" s="56" t="n">
        <v>9</v>
      </c>
      <c r="D2740" s="56" t="n">
        <v>138</v>
      </c>
      <c r="E2740" s="56" t="n">
        <v>22.6</v>
      </c>
      <c r="F2740" s="56" t="n">
        <v>0</v>
      </c>
      <c r="G2740" s="56" t="n">
        <v>6.9</v>
      </c>
      <c r="H2740" s="56" t="n">
        <v>0</v>
      </c>
      <c r="I2740" s="56" t="n">
        <v>15</v>
      </c>
      <c r="J2740" s="56" t="n">
        <v>0</v>
      </c>
      <c r="K2740" s="56" t="n">
        <v>1024.7</v>
      </c>
      <c r="L2740" s="56" t="n">
        <v>0</v>
      </c>
      <c r="M2740" s="56" t="n">
        <v>62</v>
      </c>
      <c r="N2740" s="56" t="n">
        <v>11.3</v>
      </c>
      <c r="O2740" s="56" t="n">
        <f aca="false">IF(D2740=1,"",E2739)</f>
        <v>23</v>
      </c>
      <c r="P2740" s="56" t="n">
        <f aca="false">IF(OR(D2740=1,K2739=""),"",K2739)</f>
        <v>1024.3</v>
      </c>
      <c r="Q2740" s="56" t="n">
        <f aca="false">IF(OR(F2740&lt;&gt;0,AND(I2740&lt;&gt;"",E2740&lt;I2740)),1,0)</f>
        <v>0</v>
      </c>
      <c r="R2740" s="56" t="n">
        <f aca="false">IF(AND(D2740&gt;1,Q2740=0,ISNUMBER(O2740),ISNUMBER(P2740)),IF(Q2739=0,1,0),0)</f>
        <v>1</v>
      </c>
      <c r="S2740" s="56" t="n">
        <f aca="false">R2740*(B2740&gt;=Train_Start)*(B2740&lt;=Train_End)</f>
        <v>1</v>
      </c>
      <c r="T2740" s="84" t="n">
        <f aca="false">IF(AND(ISNUMBER(O2740),ISNUMBER(P2740)),Coef_A+Coef_B1*O2740+Coef_B2*P2740,"")</f>
        <v>23.0639599355722</v>
      </c>
      <c r="U2740" s="84" t="n">
        <f aca="false">IF(AND(R2740=1,ISNUMBER(T2740)),E2740-T2740,"")</f>
        <v>-0.463959935572152</v>
      </c>
      <c r="V2740" s="84" t="n">
        <f aca="false">IF(ISNUMBER(T2740),T2740,-99)</f>
        <v>23.0639599355722</v>
      </c>
      <c r="W2740" s="84" t="n">
        <f aca="false">IF(ISNUMBER(U2740),ABS(U2740),"")</f>
        <v>0.463959935572152</v>
      </c>
    </row>
    <row r="2741" customFormat="false" ht="15" hidden="false" customHeight="false" outlineLevel="0" collapsed="false">
      <c r="A2741" s="57" t="n">
        <v>35324</v>
      </c>
      <c r="B2741" s="56" t="n">
        <v>1996</v>
      </c>
      <c r="C2741" s="56" t="n">
        <v>9</v>
      </c>
      <c r="D2741" s="56" t="n">
        <v>139</v>
      </c>
      <c r="E2741" s="56" t="n">
        <v>19.7</v>
      </c>
      <c r="F2741" s="56" t="n">
        <v>0</v>
      </c>
      <c r="G2741" s="56" t="n">
        <v>9.5</v>
      </c>
      <c r="H2741" s="56" t="n">
        <v>0</v>
      </c>
      <c r="I2741" s="56" t="n">
        <v>16</v>
      </c>
      <c r="J2741" s="56" t="n">
        <v>0</v>
      </c>
      <c r="K2741" s="56" t="n">
        <v>1022.7</v>
      </c>
      <c r="L2741" s="56" t="n">
        <v>0</v>
      </c>
      <c r="M2741" s="56" t="n">
        <v>66</v>
      </c>
      <c r="N2741" s="56" t="n">
        <v>11</v>
      </c>
      <c r="O2741" s="56" t="n">
        <f aca="false">IF(D2741=1,"",E2740)</f>
        <v>22.6</v>
      </c>
      <c r="P2741" s="56" t="n">
        <f aca="false">IF(OR(D2741=1,K2740=""),"",K2740)</f>
        <v>1024.7</v>
      </c>
      <c r="Q2741" s="56" t="n">
        <f aca="false">IF(OR(F2741&lt;&gt;0,AND(I2741&lt;&gt;"",E2741&lt;I2741)),1,0)</f>
        <v>0</v>
      </c>
      <c r="R2741" s="56" t="n">
        <f aca="false">IF(AND(D2741&gt;1,Q2741=0,ISNUMBER(O2741),ISNUMBER(P2741)),IF(Q2740=0,1,0),0)</f>
        <v>1</v>
      </c>
      <c r="S2741" s="56" t="n">
        <f aca="false">R2741*(B2741&gt;=Train_Start)*(B2741&lt;=Train_End)</f>
        <v>1</v>
      </c>
      <c r="T2741" s="84" t="n">
        <f aca="false">IF(AND(ISNUMBER(O2741),ISNUMBER(P2741)),Coef_A+Coef_B1*O2741+Coef_B2*P2741,"")</f>
        <v>22.7487722162087</v>
      </c>
      <c r="U2741" s="84" t="n">
        <f aca="false">IF(AND(R2741=1,ISNUMBER(T2741)),E2741-T2741,"")</f>
        <v>-3.04877221620869</v>
      </c>
      <c r="V2741" s="84" t="n">
        <f aca="false">IF(ISNUMBER(T2741),T2741,-99)</f>
        <v>22.7487722162087</v>
      </c>
      <c r="W2741" s="84" t="n">
        <f aca="false">IF(ISNUMBER(U2741),ABS(U2741),"")</f>
        <v>3.04877221620869</v>
      </c>
    </row>
    <row r="2742" customFormat="false" ht="15" hidden="false" customHeight="false" outlineLevel="0" collapsed="false">
      <c r="A2742" s="57" t="n">
        <v>35325</v>
      </c>
      <c r="B2742" s="56" t="n">
        <v>1996</v>
      </c>
      <c r="C2742" s="56" t="n">
        <v>9</v>
      </c>
      <c r="D2742" s="56" t="n">
        <v>140</v>
      </c>
      <c r="E2742" s="56" t="n">
        <v>16.6</v>
      </c>
      <c r="F2742" s="56" t="n">
        <v>0</v>
      </c>
      <c r="G2742" s="56" t="n">
        <v>10.6</v>
      </c>
      <c r="H2742" s="56" t="n">
        <v>0</v>
      </c>
      <c r="I2742" s="56" t="n">
        <v>15.2</v>
      </c>
      <c r="J2742" s="56" t="n">
        <v>0</v>
      </c>
      <c r="K2742" s="56" t="n">
        <v>1017.9</v>
      </c>
      <c r="L2742" s="56" t="n">
        <v>0</v>
      </c>
      <c r="M2742" s="56" t="n">
        <v>63</v>
      </c>
      <c r="N2742" s="56" t="n">
        <v>10.6</v>
      </c>
      <c r="O2742" s="56" t="n">
        <f aca="false">IF(D2742=1,"",E2741)</f>
        <v>19.7</v>
      </c>
      <c r="P2742" s="56" t="n">
        <f aca="false">IF(OR(D2742=1,K2741=""),"",K2741)</f>
        <v>1022.7</v>
      </c>
      <c r="Q2742" s="56" t="n">
        <f aca="false">IF(OR(F2742&lt;&gt;0,AND(I2742&lt;&gt;"",E2742&lt;I2742)),1,0)</f>
        <v>0</v>
      </c>
      <c r="R2742" s="56" t="n">
        <f aca="false">IF(AND(D2742&gt;1,Q2742=0,ISNUMBER(O2742),ISNUMBER(P2742)),IF(Q2741=0,1,0),0)</f>
        <v>1</v>
      </c>
      <c r="S2742" s="56" t="n">
        <f aca="false">R2742*(B2742&gt;=Train_Start)*(B2742&lt;=Train_End)</f>
        <v>1</v>
      </c>
      <c r="T2742" s="84" t="n">
        <f aca="false">IF(AND(ISNUMBER(O2742),ISNUMBER(P2742)),Coef_A+Coef_B1*O2742+Coef_B2*P2742,"")</f>
        <v>20.309948767117</v>
      </c>
      <c r="U2742" s="84" t="n">
        <f aca="false">IF(AND(R2742=1,ISNUMBER(T2742)),E2742-T2742,"")</f>
        <v>-3.70994876711701</v>
      </c>
      <c r="V2742" s="84" t="n">
        <f aca="false">IF(ISNUMBER(T2742),T2742,-99)</f>
        <v>20.309948767117</v>
      </c>
      <c r="W2742" s="84" t="n">
        <f aca="false">IF(ISNUMBER(U2742),ABS(U2742),"")</f>
        <v>3.70994876711701</v>
      </c>
    </row>
    <row r="2743" customFormat="false" ht="15" hidden="false" customHeight="false" outlineLevel="0" collapsed="false">
      <c r="A2743" s="57" t="n">
        <v>35326</v>
      </c>
      <c r="B2743" s="56" t="n">
        <v>1996</v>
      </c>
      <c r="C2743" s="56" t="n">
        <v>9</v>
      </c>
      <c r="D2743" s="56" t="n">
        <v>141</v>
      </c>
      <c r="E2743" s="56" t="n">
        <v>14.3</v>
      </c>
      <c r="F2743" s="56" t="n">
        <v>0</v>
      </c>
      <c r="G2743" s="56" t="n">
        <v>9.5</v>
      </c>
      <c r="H2743" s="56" t="n">
        <v>0</v>
      </c>
      <c r="I2743" s="56" t="n">
        <v>13</v>
      </c>
      <c r="J2743" s="56" t="n">
        <v>0</v>
      </c>
      <c r="K2743" s="56" t="n">
        <v>1015.4</v>
      </c>
      <c r="L2743" s="56" t="n">
        <v>0</v>
      </c>
      <c r="M2743" s="56" t="n">
        <v>63</v>
      </c>
      <c r="N2743" s="56" t="n">
        <v>1.5</v>
      </c>
      <c r="O2743" s="56" t="n">
        <f aca="false">IF(D2743=1,"",E2742)</f>
        <v>16.6</v>
      </c>
      <c r="P2743" s="56" t="n">
        <f aca="false">IF(OR(D2743=1,K2742=""),"",K2742)</f>
        <v>1017.9</v>
      </c>
      <c r="Q2743" s="56" t="n">
        <f aca="false">IF(OR(F2743&lt;&gt;0,AND(I2743&lt;&gt;"",E2743&lt;I2743)),1,0)</f>
        <v>0</v>
      </c>
      <c r="R2743" s="56" t="n">
        <f aca="false">IF(AND(D2743&gt;1,Q2743=0,ISNUMBER(O2743),ISNUMBER(P2743)),IF(Q2742=0,1,0),0)</f>
        <v>1</v>
      </c>
      <c r="S2743" s="56" t="n">
        <f aca="false">R2743*(B2743&gt;=Train_Start)*(B2743&lt;=Train_End)</f>
        <v>1</v>
      </c>
      <c r="T2743" s="84" t="n">
        <f aca="false">IF(AND(ISNUMBER(O2743),ISNUMBER(P2743)),Coef_A+Coef_B1*O2743+Coef_B2*P2743,"")</f>
        <v>17.6194217744416</v>
      </c>
      <c r="U2743" s="84" t="n">
        <f aca="false">IF(AND(R2743=1,ISNUMBER(T2743)),E2743-T2743,"")</f>
        <v>-3.31942177444162</v>
      </c>
      <c r="V2743" s="84" t="n">
        <f aca="false">IF(ISNUMBER(T2743),T2743,-99)</f>
        <v>17.6194217744416</v>
      </c>
      <c r="W2743" s="84" t="n">
        <f aca="false">IF(ISNUMBER(U2743),ABS(U2743),"")</f>
        <v>3.31942177444162</v>
      </c>
    </row>
    <row r="2744" customFormat="false" ht="15" hidden="false" customHeight="false" outlineLevel="0" collapsed="false">
      <c r="A2744" s="57" t="n">
        <v>35327</v>
      </c>
      <c r="B2744" s="56" t="n">
        <v>1996</v>
      </c>
      <c r="C2744" s="56" t="n">
        <v>9</v>
      </c>
      <c r="D2744" s="56" t="n">
        <v>142</v>
      </c>
      <c r="E2744" s="56" t="n">
        <v>15</v>
      </c>
      <c r="F2744" s="56" t="n">
        <v>0</v>
      </c>
      <c r="G2744" s="56" t="n">
        <v>9.5</v>
      </c>
      <c r="H2744" s="56" t="n">
        <v>0</v>
      </c>
      <c r="I2744" s="56" t="n">
        <v>11.9</v>
      </c>
      <c r="J2744" s="56" t="n">
        <v>0</v>
      </c>
      <c r="K2744" s="56" t="n">
        <v>1010.5</v>
      </c>
      <c r="L2744" s="56" t="n">
        <v>0</v>
      </c>
      <c r="M2744" s="56" t="n">
        <v>78</v>
      </c>
      <c r="N2744" s="56" t="n">
        <v>0.4</v>
      </c>
      <c r="O2744" s="56" t="n">
        <f aca="false">IF(D2744=1,"",E2743)</f>
        <v>14.3</v>
      </c>
      <c r="P2744" s="56" t="n">
        <f aca="false">IF(OR(D2744=1,K2743=""),"",K2743)</f>
        <v>1015.4</v>
      </c>
      <c r="Q2744" s="56" t="n">
        <f aca="false">IF(OR(F2744&lt;&gt;0,AND(I2744&lt;&gt;"",E2744&lt;I2744)),1,0)</f>
        <v>0</v>
      </c>
      <c r="R2744" s="56" t="n">
        <f aca="false">IF(AND(D2744&gt;1,Q2744=0,ISNUMBER(O2744),ISNUMBER(P2744)),IF(Q2743=0,1,0),0)</f>
        <v>1</v>
      </c>
      <c r="S2744" s="56" t="n">
        <f aca="false">R2744*(B2744&gt;=Train_Start)*(B2744&lt;=Train_End)</f>
        <v>1</v>
      </c>
      <c r="T2744" s="84" t="n">
        <f aca="false">IF(AND(ISNUMBER(O2744),ISNUMBER(P2744)),Coef_A+Coef_B1*O2744+Coef_B2*P2744,"")</f>
        <v>15.6565168938585</v>
      </c>
      <c r="U2744" s="84" t="n">
        <f aca="false">IF(AND(R2744=1,ISNUMBER(T2744)),E2744-T2744,"")</f>
        <v>-0.65651689385853</v>
      </c>
      <c r="V2744" s="84" t="n">
        <f aca="false">IF(ISNUMBER(T2744),T2744,-99)</f>
        <v>15.6565168938585</v>
      </c>
      <c r="W2744" s="84" t="n">
        <f aca="false">IF(ISNUMBER(U2744),ABS(U2744),"")</f>
        <v>0.65651689385853</v>
      </c>
    </row>
    <row r="2745" customFormat="false" ht="15" hidden="false" customHeight="false" outlineLevel="0" collapsed="false">
      <c r="A2745" s="57" t="n">
        <v>35328</v>
      </c>
      <c r="B2745" s="56" t="n">
        <v>1996</v>
      </c>
      <c r="C2745" s="56" t="n">
        <v>9</v>
      </c>
      <c r="D2745" s="56" t="n">
        <v>143</v>
      </c>
      <c r="E2745" s="56" t="n">
        <v>17.1</v>
      </c>
      <c r="F2745" s="56" t="n">
        <v>0</v>
      </c>
      <c r="G2745" s="56" t="n">
        <v>9.2</v>
      </c>
      <c r="H2745" s="56" t="n">
        <v>0</v>
      </c>
      <c r="I2745" s="56" t="n">
        <v>12.1</v>
      </c>
      <c r="J2745" s="56" t="n">
        <v>0</v>
      </c>
      <c r="K2745" s="56" t="n">
        <v>1006.7</v>
      </c>
      <c r="L2745" s="56" t="n">
        <v>0</v>
      </c>
      <c r="M2745" s="56" t="n">
        <v>80</v>
      </c>
      <c r="N2745" s="56" t="n">
        <v>0</v>
      </c>
      <c r="O2745" s="56" t="n">
        <f aca="false">IF(D2745=1,"",E2744)</f>
        <v>15</v>
      </c>
      <c r="P2745" s="56" t="n">
        <f aca="false">IF(OR(D2745=1,K2744=""),"",K2744)</f>
        <v>1010.5</v>
      </c>
      <c r="Q2745" s="56" t="n">
        <f aca="false">IF(OR(F2745&lt;&gt;0,AND(I2745&lt;&gt;"",E2745&lt;I2745)),1,0)</f>
        <v>0</v>
      </c>
      <c r="R2745" s="56" t="n">
        <f aca="false">IF(AND(D2745&gt;1,Q2745=0,ISNUMBER(O2745),ISNUMBER(P2745)),IF(Q2744=0,1,0),0)</f>
        <v>1</v>
      </c>
      <c r="S2745" s="56" t="n">
        <f aca="false">R2745*(B2745&gt;=Train_Start)*(B2745&lt;=Train_End)</f>
        <v>1</v>
      </c>
      <c r="T2745" s="84" t="n">
        <f aca="false">IF(AND(ISNUMBER(O2745),ISNUMBER(P2745)),Coef_A+Coef_B1*O2745+Coef_B2*P2745,"")</f>
        <v>16.0763418452818</v>
      </c>
      <c r="U2745" s="84" t="n">
        <f aca="false">IF(AND(R2745=1,ISNUMBER(T2745)),E2745-T2745,"")</f>
        <v>1.02365815471816</v>
      </c>
      <c r="V2745" s="84" t="n">
        <f aca="false">IF(ISNUMBER(T2745),T2745,-99)</f>
        <v>16.0763418452818</v>
      </c>
      <c r="W2745" s="84" t="n">
        <f aca="false">IF(ISNUMBER(U2745),ABS(U2745),"")</f>
        <v>1.02365815471816</v>
      </c>
    </row>
    <row r="2746" customFormat="false" ht="15" hidden="false" customHeight="false" outlineLevel="0" collapsed="false">
      <c r="A2746" s="57" t="n">
        <v>35329</v>
      </c>
      <c r="B2746" s="56" t="n">
        <v>1996</v>
      </c>
      <c r="C2746" s="56" t="n">
        <v>9</v>
      </c>
      <c r="D2746" s="56" t="n">
        <v>144</v>
      </c>
      <c r="E2746" s="56" t="n">
        <v>16</v>
      </c>
      <c r="F2746" s="56" t="n">
        <v>0</v>
      </c>
      <c r="G2746" s="56" t="n">
        <v>12</v>
      </c>
      <c r="H2746" s="56" t="n">
        <v>0</v>
      </c>
      <c r="I2746" s="56" t="n">
        <v>14.6</v>
      </c>
      <c r="J2746" s="56" t="n">
        <v>0</v>
      </c>
      <c r="K2746" s="56" t="n">
        <v>1009.5</v>
      </c>
      <c r="L2746" s="56" t="n">
        <v>0</v>
      </c>
      <c r="M2746" s="56" t="n">
        <v>68</v>
      </c>
      <c r="N2746" s="56" t="n">
        <v>4.4</v>
      </c>
      <c r="O2746" s="56" t="n">
        <f aca="false">IF(D2746=1,"",E2745)</f>
        <v>17.1</v>
      </c>
      <c r="P2746" s="56" t="n">
        <f aca="false">IF(OR(D2746=1,K2745=""),"",K2745)</f>
        <v>1006.7</v>
      </c>
      <c r="Q2746" s="56" t="n">
        <f aca="false">IF(OR(F2746&lt;&gt;0,AND(I2746&lt;&gt;"",E2746&lt;I2746)),1,0)</f>
        <v>0</v>
      </c>
      <c r="R2746" s="56" t="n">
        <f aca="false">IF(AND(D2746&gt;1,Q2746=0,ISNUMBER(O2746),ISNUMBER(P2746)),IF(Q2745=0,1,0),0)</f>
        <v>1</v>
      </c>
      <c r="S2746" s="56" t="n">
        <f aca="false">R2746*(B2746&gt;=Train_Start)*(B2746&lt;=Train_End)</f>
        <v>1</v>
      </c>
      <c r="T2746" s="84" t="n">
        <f aca="false">IF(AND(ISNUMBER(O2746),ISNUMBER(P2746)),Coef_A+Coef_B1*O2746+Coef_B2*P2746,"")</f>
        <v>17.6777485510623</v>
      </c>
      <c r="U2746" s="84" t="n">
        <f aca="false">IF(AND(R2746=1,ISNUMBER(T2746)),E2746-T2746,"")</f>
        <v>-1.67774855106227</v>
      </c>
      <c r="V2746" s="84" t="n">
        <f aca="false">IF(ISNUMBER(T2746),T2746,-99)</f>
        <v>17.6777485510623</v>
      </c>
      <c r="W2746" s="84" t="n">
        <f aca="false">IF(ISNUMBER(U2746),ABS(U2746),"")</f>
        <v>1.67774855106227</v>
      </c>
    </row>
    <row r="2747" customFormat="false" ht="15" hidden="false" customHeight="false" outlineLevel="0" collapsed="false">
      <c r="A2747" s="57" t="n">
        <v>35330</v>
      </c>
      <c r="B2747" s="56" t="n">
        <v>1996</v>
      </c>
      <c r="C2747" s="56" t="n">
        <v>9</v>
      </c>
      <c r="D2747" s="56" t="n">
        <v>145</v>
      </c>
      <c r="E2747" s="56" t="n">
        <v>15.5</v>
      </c>
      <c r="F2747" s="56" t="n">
        <v>0</v>
      </c>
      <c r="G2747" s="56" t="n">
        <v>9.8</v>
      </c>
      <c r="H2747" s="56" t="n">
        <v>0</v>
      </c>
      <c r="I2747" s="56" t="n">
        <v>12.9</v>
      </c>
      <c r="J2747" s="56" t="n">
        <v>0</v>
      </c>
      <c r="K2747" s="56" t="n">
        <v>1013</v>
      </c>
      <c r="L2747" s="56" t="n">
        <v>0</v>
      </c>
      <c r="M2747" s="56" t="n">
        <v>74</v>
      </c>
      <c r="N2747" s="56" t="n">
        <v>0</v>
      </c>
      <c r="O2747" s="56" t="n">
        <f aca="false">IF(D2747=1,"",E2746)</f>
        <v>16</v>
      </c>
      <c r="P2747" s="56" t="n">
        <f aca="false">IF(OR(D2747=1,K2746=""),"",K2746)</f>
        <v>1009.5</v>
      </c>
      <c r="Q2747" s="56" t="n">
        <f aca="false">IF(OR(F2747&lt;&gt;0,AND(I2747&lt;&gt;"",E2747&lt;I2747)),1,0)</f>
        <v>0</v>
      </c>
      <c r="R2747" s="56" t="n">
        <f aca="false">IF(AND(D2747&gt;1,Q2747=0,ISNUMBER(O2747),ISNUMBER(P2747)),IF(Q2746=0,1,0),0)</f>
        <v>1</v>
      </c>
      <c r="S2747" s="56" t="n">
        <f aca="false">R2747*(B2747&gt;=Train_Start)*(B2747&lt;=Train_End)</f>
        <v>1</v>
      </c>
      <c r="T2747" s="84" t="n">
        <f aca="false">IF(AND(ISNUMBER(O2747),ISNUMBER(P2747)),Coef_A+Coef_B1*O2747+Coef_B2*P2747,"")</f>
        <v>16.8643111436905</v>
      </c>
      <c r="U2747" s="84" t="n">
        <f aca="false">IF(AND(R2747=1,ISNUMBER(T2747)),E2747-T2747,"")</f>
        <v>-1.36431114369051</v>
      </c>
      <c r="V2747" s="84" t="n">
        <f aca="false">IF(ISNUMBER(T2747),T2747,-99)</f>
        <v>16.8643111436905</v>
      </c>
      <c r="W2747" s="84" t="n">
        <f aca="false">IF(ISNUMBER(U2747),ABS(U2747),"")</f>
        <v>1.36431114369051</v>
      </c>
    </row>
    <row r="2748" customFormat="false" ht="15" hidden="false" customHeight="false" outlineLevel="0" collapsed="false">
      <c r="A2748" s="57" t="n">
        <v>35331</v>
      </c>
      <c r="B2748" s="56" t="n">
        <v>1996</v>
      </c>
      <c r="C2748" s="56" t="n">
        <v>9</v>
      </c>
      <c r="D2748" s="56" t="n">
        <v>146</v>
      </c>
      <c r="E2748" s="56" t="n">
        <v>18.9</v>
      </c>
      <c r="F2748" s="56" t="n">
        <v>0</v>
      </c>
      <c r="G2748" s="56" t="n">
        <v>10.1</v>
      </c>
      <c r="H2748" s="56" t="n">
        <v>0</v>
      </c>
      <c r="I2748" s="56" t="n">
        <v>12.8</v>
      </c>
      <c r="J2748" s="56" t="n">
        <v>0</v>
      </c>
      <c r="K2748" s="56" t="n">
        <v>1011.3</v>
      </c>
      <c r="L2748" s="56" t="n">
        <v>0</v>
      </c>
      <c r="M2748" s="56" t="n">
        <v>77</v>
      </c>
      <c r="N2748" s="56" t="n">
        <v>0.4</v>
      </c>
      <c r="O2748" s="56" t="n">
        <f aca="false">IF(D2748=1,"",E2747)</f>
        <v>15.5</v>
      </c>
      <c r="P2748" s="56" t="n">
        <f aca="false">IF(OR(D2748=1,K2747=""),"",K2747)</f>
        <v>1013</v>
      </c>
      <c r="Q2748" s="56" t="n">
        <f aca="false">IF(OR(F2748&lt;&gt;0,AND(I2748&lt;&gt;"",E2748&lt;I2748)),1,0)</f>
        <v>0</v>
      </c>
      <c r="R2748" s="56" t="n">
        <f aca="false">IF(AND(D2748&gt;1,Q2748=0,ISNUMBER(O2748),ISNUMBER(P2748)),IF(Q2747=0,1,0),0)</f>
        <v>1</v>
      </c>
      <c r="S2748" s="56" t="n">
        <f aca="false">R2748*(B2748&gt;=Train_Start)*(B2748&lt;=Train_End)</f>
        <v>1</v>
      </c>
      <c r="T2748" s="84" t="n">
        <f aca="false">IF(AND(ISNUMBER(O2748),ISNUMBER(P2748)),Coef_A+Coef_B1*O2748+Coef_B2*P2748,"")</f>
        <v>16.5644361783881</v>
      </c>
      <c r="U2748" s="84" t="n">
        <f aca="false">IF(AND(R2748=1,ISNUMBER(T2748)),E2748-T2748,"")</f>
        <v>2.33556382161186</v>
      </c>
      <c r="V2748" s="84" t="n">
        <f aca="false">IF(ISNUMBER(T2748),T2748,-99)</f>
        <v>16.5644361783881</v>
      </c>
      <c r="W2748" s="84" t="n">
        <f aca="false">IF(ISNUMBER(U2748),ABS(U2748),"")</f>
        <v>2.33556382161186</v>
      </c>
    </row>
    <row r="2749" customFormat="false" ht="15" hidden="false" customHeight="false" outlineLevel="0" collapsed="false">
      <c r="A2749" s="57" t="n">
        <v>35332</v>
      </c>
      <c r="B2749" s="56" t="n">
        <v>1996</v>
      </c>
      <c r="C2749" s="56" t="n">
        <v>9</v>
      </c>
      <c r="D2749" s="56" t="n">
        <v>147</v>
      </c>
      <c r="E2749" s="56" t="n">
        <v>19.6</v>
      </c>
      <c r="F2749" s="56" t="n">
        <v>0</v>
      </c>
      <c r="G2749" s="56" t="n">
        <v>4.7</v>
      </c>
      <c r="H2749" s="56" t="n">
        <v>0</v>
      </c>
      <c r="I2749" s="56" t="n">
        <v>11.8</v>
      </c>
      <c r="J2749" s="56" t="n">
        <v>0</v>
      </c>
      <c r="K2749" s="56" t="n">
        <v>1010.7</v>
      </c>
      <c r="L2749" s="56" t="n">
        <v>0</v>
      </c>
      <c r="M2749" s="56" t="n">
        <v>78</v>
      </c>
      <c r="N2749" s="56" t="n">
        <v>6.7</v>
      </c>
      <c r="O2749" s="56" t="n">
        <f aca="false">IF(D2749=1,"",E2748)</f>
        <v>18.9</v>
      </c>
      <c r="P2749" s="56" t="n">
        <f aca="false">IF(OR(D2749=1,K2748=""),"",K2748)</f>
        <v>1011.3</v>
      </c>
      <c r="Q2749" s="56" t="n">
        <f aca="false">IF(OR(F2749&lt;&gt;0,AND(I2749&lt;&gt;"",E2749&lt;I2749)),1,0)</f>
        <v>0</v>
      </c>
      <c r="R2749" s="56" t="n">
        <f aca="false">IF(AND(D2749&gt;1,Q2749=0,ISNUMBER(O2749),ISNUMBER(P2749)),IF(Q2748=0,1,0),0)</f>
        <v>1</v>
      </c>
      <c r="S2749" s="56" t="n">
        <f aca="false">R2749*(B2749&gt;=Train_Start)*(B2749&lt;=Train_End)</f>
        <v>1</v>
      </c>
      <c r="T2749" s="84" t="n">
        <f aca="false">IF(AND(ISNUMBER(O2749),ISNUMBER(P2749)),Coef_A+Coef_B1*O2749+Coef_B2*P2749,"")</f>
        <v>19.2968606138554</v>
      </c>
      <c r="U2749" s="84" t="n">
        <f aca="false">IF(AND(R2749=1,ISNUMBER(T2749)),E2749-T2749,"")</f>
        <v>0.303139386144608</v>
      </c>
      <c r="V2749" s="84" t="n">
        <f aca="false">IF(ISNUMBER(T2749),T2749,-99)</f>
        <v>19.2968606138554</v>
      </c>
      <c r="W2749" s="84" t="n">
        <f aca="false">IF(ISNUMBER(U2749),ABS(U2749),"")</f>
        <v>0.303139386144608</v>
      </c>
    </row>
    <row r="2750" customFormat="false" ht="15" hidden="false" customHeight="false" outlineLevel="0" collapsed="false">
      <c r="A2750" s="57" t="n">
        <v>35333</v>
      </c>
      <c r="B2750" s="56" t="n">
        <v>1996</v>
      </c>
      <c r="C2750" s="56" t="n">
        <v>9</v>
      </c>
      <c r="D2750" s="56" t="n">
        <v>148</v>
      </c>
      <c r="E2750" s="56" t="n">
        <v>17.9</v>
      </c>
      <c r="F2750" s="56" t="n">
        <v>0</v>
      </c>
      <c r="G2750" s="56" t="n">
        <v>9</v>
      </c>
      <c r="H2750" s="56" t="n">
        <v>0</v>
      </c>
      <c r="I2750" s="56" t="n">
        <v>14.3</v>
      </c>
      <c r="J2750" s="56" t="n">
        <v>0</v>
      </c>
      <c r="K2750" s="56" t="n">
        <v>1008.5</v>
      </c>
      <c r="L2750" s="56" t="n">
        <v>0</v>
      </c>
      <c r="M2750" s="56" t="n">
        <v>77</v>
      </c>
      <c r="N2750" s="56" t="n">
        <v>3.3</v>
      </c>
      <c r="O2750" s="56" t="n">
        <f aca="false">IF(D2750=1,"",E2749)</f>
        <v>19.6</v>
      </c>
      <c r="P2750" s="56" t="n">
        <f aca="false">IF(OR(D2750=1,K2749=""),"",K2749)</f>
        <v>1010.7</v>
      </c>
      <c r="Q2750" s="56" t="n">
        <f aca="false">IF(OR(F2750&lt;&gt;0,AND(I2750&lt;&gt;"",E2750&lt;I2750)),1,0)</f>
        <v>0</v>
      </c>
      <c r="R2750" s="56" t="n">
        <f aca="false">IF(AND(D2750&gt;1,Q2750=0,ISNUMBER(O2750),ISNUMBER(P2750)),IF(Q2749=0,1,0),0)</f>
        <v>1</v>
      </c>
      <c r="S2750" s="56" t="n">
        <f aca="false">R2750*(B2750&gt;=Train_Start)*(B2750&lt;=Train_End)</f>
        <v>1</v>
      </c>
      <c r="T2750" s="84" t="n">
        <f aca="false">IF(AND(ISNUMBER(O2750),ISNUMBER(P2750)),Coef_A+Coef_B1*O2750+Coef_B2*P2750,"")</f>
        <v>19.8515761122049</v>
      </c>
      <c r="U2750" s="84" t="n">
        <f aca="false">IF(AND(R2750=1,ISNUMBER(T2750)),E2750-T2750,"")</f>
        <v>-1.95157611220487</v>
      </c>
      <c r="V2750" s="84" t="n">
        <f aca="false">IF(ISNUMBER(T2750),T2750,-99)</f>
        <v>19.8515761122049</v>
      </c>
      <c r="W2750" s="84" t="n">
        <f aca="false">IF(ISNUMBER(U2750),ABS(U2750),"")</f>
        <v>1.95157611220487</v>
      </c>
    </row>
    <row r="2751" customFormat="false" ht="15" hidden="false" customHeight="false" outlineLevel="0" collapsed="false">
      <c r="A2751" s="57" t="n">
        <v>35334</v>
      </c>
      <c r="B2751" s="56" t="n">
        <v>1996</v>
      </c>
      <c r="C2751" s="56" t="n">
        <v>9</v>
      </c>
      <c r="D2751" s="56" t="n">
        <v>149</v>
      </c>
      <c r="E2751" s="56" t="n">
        <v>21.2</v>
      </c>
      <c r="F2751" s="56" t="n">
        <v>0</v>
      </c>
      <c r="G2751" s="56" t="n">
        <v>10</v>
      </c>
      <c r="H2751" s="56" t="n">
        <v>0</v>
      </c>
      <c r="I2751" s="56" t="n">
        <v>14</v>
      </c>
      <c r="J2751" s="56" t="n">
        <v>0</v>
      </c>
      <c r="K2751" s="56" t="n">
        <v>1010.7</v>
      </c>
      <c r="L2751" s="56" t="n">
        <v>0</v>
      </c>
      <c r="M2751" s="56" t="n">
        <v>86</v>
      </c>
      <c r="N2751" s="56" t="n">
        <v>2</v>
      </c>
      <c r="O2751" s="56" t="n">
        <f aca="false">IF(D2751=1,"",E2750)</f>
        <v>17.9</v>
      </c>
      <c r="P2751" s="56" t="n">
        <f aca="false">IF(OR(D2751=1,K2750=""),"",K2750)</f>
        <v>1008.5</v>
      </c>
      <c r="Q2751" s="56" t="n">
        <f aca="false">IF(OR(F2751&lt;&gt;0,AND(I2751&lt;&gt;"",E2751&lt;I2751)),1,0)</f>
        <v>0</v>
      </c>
      <c r="R2751" s="56" t="n">
        <f aca="false">IF(AND(D2751&gt;1,Q2751=0,ISNUMBER(O2751),ISNUMBER(P2751)),IF(Q2750=0,1,0),0)</f>
        <v>1</v>
      </c>
      <c r="S2751" s="56" t="n">
        <f aca="false">R2751*(B2751&gt;=Train_Start)*(B2751&lt;=Train_End)</f>
        <v>1</v>
      </c>
      <c r="T2751" s="84" t="n">
        <f aca="false">IF(AND(ISNUMBER(O2751),ISNUMBER(P2751)),Coef_A+Coef_B1*O2751+Coef_B2*P2751,"")</f>
        <v>18.3896857158376</v>
      </c>
      <c r="U2751" s="84" t="n">
        <f aca="false">IF(AND(R2751=1,ISNUMBER(T2751)),E2751-T2751,"")</f>
        <v>2.81031428416243</v>
      </c>
      <c r="V2751" s="84" t="n">
        <f aca="false">IF(ISNUMBER(T2751),T2751,-99)</f>
        <v>18.3896857158376</v>
      </c>
      <c r="W2751" s="84" t="n">
        <f aca="false">IF(ISNUMBER(U2751),ABS(U2751),"")</f>
        <v>2.81031428416243</v>
      </c>
    </row>
    <row r="2752" customFormat="false" ht="15" hidden="false" customHeight="false" outlineLevel="0" collapsed="false">
      <c r="A2752" s="57" t="n">
        <v>35335</v>
      </c>
      <c r="B2752" s="56" t="n">
        <v>1996</v>
      </c>
      <c r="C2752" s="56" t="n">
        <v>9</v>
      </c>
      <c r="D2752" s="56" t="n">
        <v>150</v>
      </c>
      <c r="E2752" s="56" t="n">
        <v>20.5</v>
      </c>
      <c r="F2752" s="56" t="n">
        <v>0</v>
      </c>
      <c r="G2752" s="56" t="n">
        <v>12.2</v>
      </c>
      <c r="H2752" s="56" t="n">
        <v>0</v>
      </c>
      <c r="I2752" s="56" t="n">
        <v>16.7</v>
      </c>
      <c r="J2752" s="56" t="n">
        <v>0</v>
      </c>
      <c r="K2752" s="56" t="n">
        <v>1010.7</v>
      </c>
      <c r="L2752" s="56" t="n">
        <v>0</v>
      </c>
      <c r="M2752" s="56" t="n">
        <v>74</v>
      </c>
      <c r="N2752" s="56" t="n">
        <v>5.6</v>
      </c>
      <c r="O2752" s="56" t="n">
        <f aca="false">IF(D2752=1,"",E2751)</f>
        <v>21.2</v>
      </c>
      <c r="P2752" s="56" t="n">
        <f aca="false">IF(OR(D2752=1,K2751=""),"",K2751)</f>
        <v>1010.7</v>
      </c>
      <c r="Q2752" s="56" t="n">
        <f aca="false">IF(OR(F2752&lt;&gt;0,AND(I2752&lt;&gt;"",E2752&lt;I2752)),1,0)</f>
        <v>0</v>
      </c>
      <c r="R2752" s="56" t="n">
        <f aca="false">IF(AND(D2752&gt;1,Q2752=0,ISNUMBER(O2752),ISNUMBER(P2752)),IF(Q2751=0,1,0),0)</f>
        <v>1</v>
      </c>
      <c r="S2752" s="56" t="n">
        <f aca="false">R2752*(B2752&gt;=Train_Start)*(B2752&lt;=Train_End)</f>
        <v>1</v>
      </c>
      <c r="T2752" s="84" t="n">
        <f aca="false">IF(AND(ISNUMBER(O2752),ISNUMBER(P2752)),Coef_A+Coef_B1*O2752+Coef_B2*P2752,"")</f>
        <v>21.1625188210731</v>
      </c>
      <c r="U2752" s="84" t="n">
        <f aca="false">IF(AND(R2752=1,ISNUMBER(T2752)),E2752-T2752,"")</f>
        <v>-0.662518821073117</v>
      </c>
      <c r="V2752" s="84" t="n">
        <f aca="false">IF(ISNUMBER(T2752),T2752,-99)</f>
        <v>21.1625188210731</v>
      </c>
      <c r="W2752" s="84" t="n">
        <f aca="false">IF(ISNUMBER(U2752),ABS(U2752),"")</f>
        <v>0.662518821073117</v>
      </c>
    </row>
    <row r="2753" customFormat="false" ht="15" hidden="false" customHeight="false" outlineLevel="0" collapsed="false">
      <c r="A2753" s="57" t="n">
        <v>35336</v>
      </c>
      <c r="B2753" s="56" t="n">
        <v>1996</v>
      </c>
      <c r="C2753" s="56" t="n">
        <v>9</v>
      </c>
      <c r="D2753" s="56" t="n">
        <v>151</v>
      </c>
      <c r="E2753" s="56" t="n">
        <v>18.9</v>
      </c>
      <c r="F2753" s="56" t="n">
        <v>0</v>
      </c>
      <c r="G2753" s="56" t="n">
        <v>10.4</v>
      </c>
      <c r="H2753" s="56" t="n">
        <v>0</v>
      </c>
      <c r="I2753" s="56" t="n">
        <v>15.4</v>
      </c>
      <c r="J2753" s="56" t="n">
        <v>0</v>
      </c>
      <c r="K2753" s="56" t="n">
        <v>1019.7</v>
      </c>
      <c r="L2753" s="56" t="n">
        <v>0</v>
      </c>
      <c r="M2753" s="56" t="n">
        <v>73</v>
      </c>
      <c r="N2753" s="56" t="n">
        <v>5.7</v>
      </c>
      <c r="O2753" s="56" t="n">
        <f aca="false">IF(D2753=1,"",E2752)</f>
        <v>20.5</v>
      </c>
      <c r="P2753" s="56" t="n">
        <f aca="false">IF(OR(D2753=1,K2752=""),"",K2752)</f>
        <v>1010.7</v>
      </c>
      <c r="Q2753" s="56" t="n">
        <f aca="false">IF(OR(F2753&lt;&gt;0,AND(I2753&lt;&gt;"",E2753&lt;I2753)),1,0)</f>
        <v>0</v>
      </c>
      <c r="R2753" s="56" t="n">
        <f aca="false">IF(AND(D2753&gt;1,Q2753=0,ISNUMBER(O2753),ISNUMBER(P2753)),IF(Q2752=0,1,0),0)</f>
        <v>1</v>
      </c>
      <c r="S2753" s="56" t="n">
        <f aca="false">R2753*(B2753&gt;=Train_Start)*(B2753&lt;=Train_End)</f>
        <v>1</v>
      </c>
      <c r="T2753" s="84" t="n">
        <f aca="false">IF(AND(ISNUMBER(O2753),ISNUMBER(P2753)),Coef_A+Coef_B1*O2753+Coef_B2*P2753,"")</f>
        <v>20.5889813859433</v>
      </c>
      <c r="U2753" s="84" t="n">
        <f aca="false">IF(AND(R2753=1,ISNUMBER(T2753)),E2753-T2753,"")</f>
        <v>-1.68898138594326</v>
      </c>
      <c r="V2753" s="84" t="n">
        <f aca="false">IF(ISNUMBER(T2753),T2753,-99)</f>
        <v>20.5889813859433</v>
      </c>
      <c r="W2753" s="84" t="n">
        <f aca="false">IF(ISNUMBER(U2753),ABS(U2753),"")</f>
        <v>1.68898138594326</v>
      </c>
    </row>
    <row r="2754" customFormat="false" ht="15" hidden="false" customHeight="false" outlineLevel="0" collapsed="false">
      <c r="A2754" s="57" t="n">
        <v>35337</v>
      </c>
      <c r="B2754" s="56" t="n">
        <v>1996</v>
      </c>
      <c r="C2754" s="56" t="n">
        <v>9</v>
      </c>
      <c r="D2754" s="56" t="n">
        <v>152</v>
      </c>
      <c r="E2754" s="56" t="n">
        <v>15.6</v>
      </c>
      <c r="F2754" s="56" t="n">
        <v>1</v>
      </c>
      <c r="G2754" s="56" t="n">
        <v>13.6</v>
      </c>
      <c r="H2754" s="56" t="n">
        <v>0</v>
      </c>
      <c r="I2754" s="56" t="n">
        <v>16.2</v>
      </c>
      <c r="J2754" s="56" t="n">
        <v>1</v>
      </c>
      <c r="K2754" s="56" t="n">
        <v>1012</v>
      </c>
      <c r="L2754" s="56" t="n">
        <v>0</v>
      </c>
      <c r="M2754" s="56" t="n">
        <v>88</v>
      </c>
      <c r="N2754" s="56" t="n">
        <v>0</v>
      </c>
      <c r="O2754" s="56" t="n">
        <f aca="false">IF(D2754=1,"",E2753)</f>
        <v>18.9</v>
      </c>
      <c r="P2754" s="56" t="n">
        <f aca="false">IF(OR(D2754=1,K2753=""),"",K2753)</f>
        <v>1019.7</v>
      </c>
      <c r="Q2754" s="56" t="n">
        <f aca="false">IF(OR(F2754&lt;&gt;0,AND(I2754&lt;&gt;"",E2754&lt;I2754)),1,0)</f>
        <v>1</v>
      </c>
      <c r="R2754" s="56" t="n">
        <f aca="false">IF(AND(D2754&gt;1,Q2754=0,ISNUMBER(O2754),ISNUMBER(P2754)),IF(Q2753=0,1,0),0)</f>
        <v>0</v>
      </c>
      <c r="S2754" s="56" t="n">
        <f aca="false">R2754*(B2754&gt;=Train_Start)*(B2754&lt;=Train_End)</f>
        <v>0</v>
      </c>
      <c r="T2754" s="84" t="n">
        <f aca="false">IF(AND(ISNUMBER(O2754),ISNUMBER(P2754)),Coef_A+Coef_B1*O2754+Coef_B2*P2754,"")</f>
        <v>19.5603677287809</v>
      </c>
      <c r="U2754" s="84" t="str">
        <f aca="false">IF(AND(R2754=1,ISNUMBER(T2754)),E2754-T2754,"")</f>
        <v/>
      </c>
      <c r="V2754" s="84" t="n">
        <f aca="false">IF(ISNUMBER(T2754),T2754,-99)</f>
        <v>19.5603677287809</v>
      </c>
      <c r="W2754" s="84" t="str">
        <f aca="false">IF(ISNUMBER(U2754),ABS(U2754),"")</f>
        <v/>
      </c>
    </row>
    <row r="2755" customFormat="false" ht="15" hidden="false" customHeight="false" outlineLevel="0" collapsed="false">
      <c r="A2755" s="57" t="n">
        <v>35338</v>
      </c>
      <c r="B2755" s="56" t="n">
        <v>1996</v>
      </c>
      <c r="C2755" s="56" t="n">
        <v>9</v>
      </c>
      <c r="D2755" s="56" t="n">
        <v>153</v>
      </c>
      <c r="E2755" s="56" t="n">
        <v>17.1</v>
      </c>
      <c r="F2755" s="56" t="n">
        <v>0</v>
      </c>
      <c r="G2755" s="56" t="n">
        <v>12.8</v>
      </c>
      <c r="H2755" s="56" t="n">
        <v>0</v>
      </c>
      <c r="I2755" s="56" t="n">
        <v>14.2</v>
      </c>
      <c r="J2755" s="56" t="n">
        <v>0</v>
      </c>
      <c r="K2755" s="56" t="n">
        <v>1010.3</v>
      </c>
      <c r="L2755" s="56" t="n">
        <v>0</v>
      </c>
      <c r="M2755" s="56" t="n">
        <v>89</v>
      </c>
      <c r="N2755" s="56" t="n">
        <v>0.1</v>
      </c>
      <c r="O2755" s="56" t="n">
        <f aca="false">IF(D2755=1,"",E2754)</f>
        <v>15.6</v>
      </c>
      <c r="P2755" s="56" t="n">
        <f aca="false">IF(OR(D2755=1,K2754=""),"",K2754)</f>
        <v>1012</v>
      </c>
      <c r="Q2755" s="56" t="n">
        <f aca="false">IF(OR(F2755&lt;&gt;0,AND(I2755&lt;&gt;"",E2755&lt;I2755)),1,0)</f>
        <v>0</v>
      </c>
      <c r="R2755" s="56" t="n">
        <f aca="false">IF(AND(D2755&gt;1,Q2755=0,ISNUMBER(O2755),ISNUMBER(P2755)),IF(Q2754=0,1,0),0)</f>
        <v>0</v>
      </c>
      <c r="S2755" s="56" t="n">
        <f aca="false">R2755*(B2755&gt;=Train_Start)*(B2755&lt;=Train_End)</f>
        <v>0</v>
      </c>
      <c r="T2755" s="84" t="n">
        <f aca="false">IF(AND(ISNUMBER(O2755),ISNUMBER(P2755)),Coef_A+Coef_B1*O2755+Coef_B2*P2755,"")</f>
        <v>16.6150002030584</v>
      </c>
      <c r="U2755" s="84" t="str">
        <f aca="false">IF(AND(R2755=1,ISNUMBER(T2755)),E2755-T2755,"")</f>
        <v/>
      </c>
      <c r="V2755" s="84" t="n">
        <f aca="false">IF(ISNUMBER(T2755),T2755,-99)</f>
        <v>16.6150002030584</v>
      </c>
      <c r="W2755" s="84" t="str">
        <f aca="false">IF(ISNUMBER(U2755),ABS(U2755),"")</f>
        <v/>
      </c>
    </row>
    <row r="2756" customFormat="false" ht="15" hidden="false" customHeight="false" outlineLevel="0" collapsed="false">
      <c r="A2756" s="57" t="n">
        <v>35551</v>
      </c>
      <c r="B2756" s="56" t="n">
        <v>1997</v>
      </c>
      <c r="C2756" s="56" t="n">
        <v>5</v>
      </c>
      <c r="D2756" s="56" t="n">
        <v>1</v>
      </c>
      <c r="E2756" s="56" t="n">
        <v>25.8</v>
      </c>
      <c r="F2756" s="56" t="n">
        <v>0</v>
      </c>
      <c r="G2756" s="56" t="n">
        <v>8</v>
      </c>
      <c r="H2756" s="56" t="n">
        <v>0</v>
      </c>
      <c r="I2756" s="56" t="n">
        <v>15.4</v>
      </c>
      <c r="J2756" s="56" t="n">
        <v>0</v>
      </c>
      <c r="K2756" s="56" t="n">
        <v>1028.8</v>
      </c>
      <c r="L2756" s="56" t="n">
        <v>0</v>
      </c>
      <c r="M2756" s="56" t="n">
        <v>60</v>
      </c>
      <c r="N2756" s="56" t="n">
        <v>13.7</v>
      </c>
      <c r="O2756" s="56" t="str">
        <f aca="false">IF(D2756=1,"",E2755)</f>
        <v/>
      </c>
      <c r="P2756" s="56" t="str">
        <f aca="false">IF(OR(D2756=1,K2755=""),"",K2755)</f>
        <v/>
      </c>
      <c r="Q2756" s="56" t="n">
        <f aca="false">IF(OR(F2756&lt;&gt;0,AND(I2756&lt;&gt;"",E2756&lt;I2756)),1,0)</f>
        <v>0</v>
      </c>
      <c r="R2756" s="56" t="n">
        <f aca="false">IF(AND(D2756&gt;1,Q2756=0,ISNUMBER(O2756),ISNUMBER(P2756)),IF(Q2755=0,1,0),0)</f>
        <v>0</v>
      </c>
      <c r="S2756" s="56" t="n">
        <f aca="false">R2756*(B2756&gt;=Train_Start)*(B2756&lt;=Train_End)</f>
        <v>0</v>
      </c>
      <c r="T2756" s="84" t="str">
        <f aca="false">IF(AND(ISNUMBER(O2756),ISNUMBER(P2756)),Coef_A+Coef_B1*O2756+Coef_B2*P2756,"")</f>
        <v/>
      </c>
      <c r="U2756" s="84" t="str">
        <f aca="false">IF(AND(R2756=1,ISNUMBER(T2756)),E2756-T2756,"")</f>
        <v/>
      </c>
      <c r="V2756" s="84" t="n">
        <f aca="false">IF(ISNUMBER(T2756),T2756,-99)</f>
        <v>-99</v>
      </c>
      <c r="W2756" s="84" t="str">
        <f aca="false">IF(ISNUMBER(U2756),ABS(U2756),"")</f>
        <v/>
      </c>
    </row>
    <row r="2757" customFormat="false" ht="15" hidden="false" customHeight="false" outlineLevel="0" collapsed="false">
      <c r="A2757" s="57" t="n">
        <v>35552</v>
      </c>
      <c r="B2757" s="56" t="n">
        <v>1997</v>
      </c>
      <c r="C2757" s="56" t="n">
        <v>5</v>
      </c>
      <c r="D2757" s="56" t="n">
        <v>2</v>
      </c>
      <c r="E2757" s="56" t="n">
        <v>25.7</v>
      </c>
      <c r="F2757" s="56" t="n">
        <v>0</v>
      </c>
      <c r="G2757" s="56" t="n">
        <v>9.4</v>
      </c>
      <c r="H2757" s="56" t="n">
        <v>0</v>
      </c>
      <c r="I2757" s="56" t="n">
        <v>17.6</v>
      </c>
      <c r="J2757" s="56" t="n">
        <v>0</v>
      </c>
      <c r="K2757" s="56" t="n">
        <v>1024.6</v>
      </c>
      <c r="L2757" s="56" t="n">
        <v>0</v>
      </c>
      <c r="M2757" s="56" t="n">
        <v>52</v>
      </c>
      <c r="N2757" s="56" t="n">
        <v>13.8</v>
      </c>
      <c r="O2757" s="56" t="n">
        <f aca="false">IF(D2757=1,"",E2756)</f>
        <v>25.8</v>
      </c>
      <c r="P2757" s="56" t="n">
        <f aca="false">IF(OR(D2757=1,K2756=""),"",K2756)</f>
        <v>1028.8</v>
      </c>
      <c r="Q2757" s="56" t="n">
        <f aca="false">IF(OR(F2757&lt;&gt;0,AND(I2757&lt;&gt;"",E2757&lt;I2757)),1,0)</f>
        <v>0</v>
      </c>
      <c r="R2757" s="56" t="n">
        <f aca="false">IF(AND(D2757&gt;1,Q2757=0,ISNUMBER(O2757),ISNUMBER(P2757)),IF(Q2756=0,1,0),0)</f>
        <v>1</v>
      </c>
      <c r="S2757" s="56" t="n">
        <f aca="false">R2757*(B2757&gt;=Train_Start)*(B2757&lt;=Train_End)</f>
        <v>1</v>
      </c>
      <c r="T2757" s="84" t="n">
        <f aca="false">IF(AND(ISNUMBER(O2757),ISNUMBER(P2757)),Coef_A+Coef_B1*O2757+Coef_B2*P2757,"")</f>
        <v>25.4992742019446</v>
      </c>
      <c r="U2757" s="84" t="n">
        <f aca="false">IF(AND(R2757=1,ISNUMBER(T2757)),E2757-T2757,"")</f>
        <v>0.200725798055448</v>
      </c>
      <c r="V2757" s="84" t="n">
        <f aca="false">IF(ISNUMBER(T2757),T2757,-99)</f>
        <v>25.4992742019446</v>
      </c>
      <c r="W2757" s="84" t="n">
        <f aca="false">IF(ISNUMBER(U2757),ABS(U2757),"")</f>
        <v>0.200725798055448</v>
      </c>
    </row>
    <row r="2758" customFormat="false" ht="15" hidden="false" customHeight="false" outlineLevel="0" collapsed="false">
      <c r="A2758" s="57" t="n">
        <v>35553</v>
      </c>
      <c r="B2758" s="56" t="n">
        <v>1997</v>
      </c>
      <c r="C2758" s="56" t="n">
        <v>5</v>
      </c>
      <c r="D2758" s="56" t="n">
        <v>3</v>
      </c>
      <c r="E2758" s="56" t="n">
        <v>20.1</v>
      </c>
      <c r="F2758" s="56" t="n">
        <v>0</v>
      </c>
      <c r="G2758" s="56" t="n">
        <v>10.5</v>
      </c>
      <c r="H2758" s="56" t="n">
        <v>0</v>
      </c>
      <c r="I2758" s="56" t="n">
        <v>18.1</v>
      </c>
      <c r="J2758" s="56" t="n">
        <v>0</v>
      </c>
      <c r="K2758" s="56" t="n">
        <v>1015.1</v>
      </c>
      <c r="L2758" s="56" t="n">
        <v>0</v>
      </c>
      <c r="M2758" s="56" t="n">
        <v>64</v>
      </c>
      <c r="N2758" s="56" t="n">
        <v>7.3</v>
      </c>
      <c r="O2758" s="56" t="n">
        <f aca="false">IF(D2758=1,"",E2757)</f>
        <v>25.7</v>
      </c>
      <c r="P2758" s="56" t="n">
        <f aca="false">IF(OR(D2758=1,K2757=""),"",K2757)</f>
        <v>1024.6</v>
      </c>
      <c r="Q2758" s="56" t="n">
        <f aca="false">IF(OR(F2758&lt;&gt;0,AND(I2758&lt;&gt;"",E2758&lt;I2758)),1,0)</f>
        <v>0</v>
      </c>
      <c r="R2758" s="56" t="n">
        <f aca="false">IF(AND(D2758&gt;1,Q2758=0,ISNUMBER(O2758),ISNUMBER(P2758)),IF(Q2757=0,1,0),0)</f>
        <v>1</v>
      </c>
      <c r="S2758" s="56" t="n">
        <f aca="false">R2758*(B2758&gt;=Train_Start)*(B2758&lt;=Train_End)</f>
        <v>1</v>
      </c>
      <c r="T2758" s="84" t="n">
        <f aca="false">IF(AND(ISNUMBER(O2758),ISNUMBER(P2758)),Coef_A+Coef_B1*O2758+Coef_B2*P2758,"")</f>
        <v>25.2855867251775</v>
      </c>
      <c r="U2758" s="84" t="n">
        <f aca="false">IF(AND(R2758=1,ISNUMBER(T2758)),E2758-T2758,"")</f>
        <v>-5.18558672517753</v>
      </c>
      <c r="V2758" s="84" t="n">
        <f aca="false">IF(ISNUMBER(T2758),T2758,-99)</f>
        <v>25.2855867251775</v>
      </c>
      <c r="W2758" s="84" t="n">
        <f aca="false">IF(ISNUMBER(U2758),ABS(U2758),"")</f>
        <v>5.18558672517753</v>
      </c>
    </row>
    <row r="2759" customFormat="false" ht="15" hidden="false" customHeight="false" outlineLevel="0" collapsed="false">
      <c r="A2759" s="57" t="n">
        <v>35554</v>
      </c>
      <c r="B2759" s="56" t="n">
        <v>1997</v>
      </c>
      <c r="C2759" s="56" t="n">
        <v>5</v>
      </c>
      <c r="D2759" s="56" t="n">
        <v>4</v>
      </c>
      <c r="E2759" s="56" t="n">
        <v>18.5</v>
      </c>
      <c r="F2759" s="56" t="n">
        <v>0</v>
      </c>
      <c r="G2759" s="56" t="n">
        <v>12.7</v>
      </c>
      <c r="H2759" s="56" t="n">
        <v>0</v>
      </c>
      <c r="I2759" s="56" t="n">
        <v>16.4</v>
      </c>
      <c r="J2759" s="56" t="n">
        <v>0</v>
      </c>
      <c r="K2759" s="56" t="n">
        <v>1002.4</v>
      </c>
      <c r="L2759" s="56" t="n">
        <v>0</v>
      </c>
      <c r="M2759" s="56" t="n">
        <v>76</v>
      </c>
      <c r="N2759" s="56" t="n">
        <v>3.9</v>
      </c>
      <c r="O2759" s="56" t="n">
        <f aca="false">IF(D2759=1,"",E2758)</f>
        <v>20.1</v>
      </c>
      <c r="P2759" s="56" t="n">
        <f aca="false">IF(OR(D2759=1,K2758=""),"",K2758)</f>
        <v>1015.1</v>
      </c>
      <c r="Q2759" s="56" t="n">
        <f aca="false">IF(OR(F2759&lt;&gt;0,AND(I2759&lt;&gt;"",E2759&lt;I2759)),1,0)</f>
        <v>0</v>
      </c>
      <c r="R2759" s="56" t="n">
        <f aca="false">IF(AND(D2759&gt;1,Q2759=0,ISNUMBER(O2759),ISNUMBER(P2759)),IF(Q2758=0,1,0),0)</f>
        <v>1</v>
      </c>
      <c r="S2759" s="56" t="n">
        <f aca="false">R2759*(B2759&gt;=Train_Start)*(B2759&lt;=Train_End)</f>
        <v>1</v>
      </c>
      <c r="T2759" s="84" t="n">
        <f aca="false">IF(AND(ISNUMBER(O2759),ISNUMBER(P2759)),Coef_A+Coef_B1*O2759+Coef_B2*P2759,"")</f>
        <v>20.3992732451158</v>
      </c>
      <c r="U2759" s="84" t="n">
        <f aca="false">IF(AND(R2759=1,ISNUMBER(T2759)),E2759-T2759,"")</f>
        <v>-1.89927324511575</v>
      </c>
      <c r="V2759" s="84" t="n">
        <f aca="false">IF(ISNUMBER(T2759),T2759,-99)</f>
        <v>20.3992732451158</v>
      </c>
      <c r="W2759" s="84" t="n">
        <f aca="false">IF(ISNUMBER(U2759),ABS(U2759),"")</f>
        <v>1.89927324511575</v>
      </c>
    </row>
    <row r="2760" customFormat="false" ht="15" hidden="false" customHeight="false" outlineLevel="0" collapsed="false">
      <c r="A2760" s="57" t="n">
        <v>35555</v>
      </c>
      <c r="B2760" s="56" t="n">
        <v>1997</v>
      </c>
      <c r="C2760" s="56" t="n">
        <v>5</v>
      </c>
      <c r="D2760" s="56" t="n">
        <v>5</v>
      </c>
      <c r="E2760" s="56" t="n">
        <v>9.1</v>
      </c>
      <c r="F2760" s="56" t="n">
        <v>1</v>
      </c>
      <c r="G2760" s="56" t="n">
        <v>11.6</v>
      </c>
      <c r="H2760" s="56" t="n">
        <v>1</v>
      </c>
      <c r="I2760" s="56" t="n">
        <v>15</v>
      </c>
      <c r="J2760" s="56" t="n">
        <v>1</v>
      </c>
      <c r="K2760" s="56" t="n">
        <v>989.5</v>
      </c>
      <c r="L2760" s="56" t="n">
        <v>0</v>
      </c>
      <c r="M2760" s="56" t="n">
        <v>74</v>
      </c>
      <c r="N2760" s="56" t="n">
        <v>4.1</v>
      </c>
      <c r="O2760" s="56" t="n">
        <f aca="false">IF(D2760=1,"",E2759)</f>
        <v>18.5</v>
      </c>
      <c r="P2760" s="56" t="n">
        <f aca="false">IF(OR(D2760=1,K2759=""),"",K2759)</f>
        <v>1002.4</v>
      </c>
      <c r="Q2760" s="56" t="n">
        <f aca="false">IF(OR(F2760&lt;&gt;0,AND(I2760&lt;&gt;"",E2760&lt;I2760)),1,0)</f>
        <v>1</v>
      </c>
      <c r="R2760" s="56" t="n">
        <f aca="false">IF(AND(D2760&gt;1,Q2760=0,ISNUMBER(O2760),ISNUMBER(P2760)),IF(Q2759=0,1,0),0)</f>
        <v>0</v>
      </c>
      <c r="S2760" s="56" t="n">
        <f aca="false">R2760*(B2760&gt;=Train_Start)*(B2760&lt;=Train_End)</f>
        <v>0</v>
      </c>
      <c r="T2760" s="84" t="n">
        <f aca="false">IF(AND(ISNUMBER(O2760),ISNUMBER(P2760)),Coef_A+Coef_B1*O2760+Coef_B2*P2760,"")</f>
        <v>18.6899328743958</v>
      </c>
      <c r="U2760" s="84" t="str">
        <f aca="false">IF(AND(R2760=1,ISNUMBER(T2760)),E2760-T2760,"")</f>
        <v/>
      </c>
      <c r="V2760" s="84" t="n">
        <f aca="false">IF(ISNUMBER(T2760),T2760,-99)</f>
        <v>18.6899328743958</v>
      </c>
      <c r="W2760" s="84" t="str">
        <f aca="false">IF(ISNUMBER(U2760),ABS(U2760),"")</f>
        <v/>
      </c>
    </row>
    <row r="2761" customFormat="false" ht="15" hidden="false" customHeight="false" outlineLevel="0" collapsed="false">
      <c r="A2761" s="57" t="n">
        <v>35556</v>
      </c>
      <c r="B2761" s="56" t="n">
        <v>1997</v>
      </c>
      <c r="C2761" s="56" t="n">
        <v>5</v>
      </c>
      <c r="D2761" s="56" t="n">
        <v>6</v>
      </c>
      <c r="E2761" s="56" t="n">
        <v>12.9</v>
      </c>
      <c r="F2761" s="56" t="n">
        <v>0</v>
      </c>
      <c r="G2761" s="56" t="n">
        <v>4.2</v>
      </c>
      <c r="H2761" s="56" t="n">
        <v>0</v>
      </c>
      <c r="I2761" s="56" t="n">
        <v>6.6</v>
      </c>
      <c r="J2761" s="56" t="n">
        <v>0</v>
      </c>
      <c r="K2761" s="56" t="n">
        <v>996.9</v>
      </c>
      <c r="L2761" s="56" t="n">
        <v>0</v>
      </c>
      <c r="M2761" s="56" t="n">
        <v>63</v>
      </c>
      <c r="N2761" s="56" t="n">
        <v>9.3</v>
      </c>
      <c r="O2761" s="56" t="n">
        <f aca="false">IF(D2761=1,"",E2760)</f>
        <v>9.1</v>
      </c>
      <c r="P2761" s="56" t="n">
        <f aca="false">IF(OR(D2761=1,K2760=""),"",K2760)</f>
        <v>989.5</v>
      </c>
      <c r="Q2761" s="56" t="n">
        <f aca="false">IF(OR(F2761&lt;&gt;0,AND(I2761&lt;&gt;"",E2761&lt;I2761)),1,0)</f>
        <v>0</v>
      </c>
      <c r="R2761" s="56" t="n">
        <f aca="false">IF(AND(D2761&gt;1,Q2761=0,ISNUMBER(O2761),ISNUMBER(P2761)),IF(Q2760=0,1,0),0)</f>
        <v>0</v>
      </c>
      <c r="S2761" s="56" t="n">
        <f aca="false">R2761*(B2761&gt;=Train_Start)*(B2761&lt;=Train_End)</f>
        <v>0</v>
      </c>
      <c r="T2761" s="84" t="n">
        <f aca="false">IF(AND(ISNUMBER(O2761),ISNUMBER(P2761)),Coef_A+Coef_B1*O2761+Coef_B2*P2761,"")</f>
        <v>10.5834728190164</v>
      </c>
      <c r="U2761" s="84" t="str">
        <f aca="false">IF(AND(R2761=1,ISNUMBER(T2761)),E2761-T2761,"")</f>
        <v/>
      </c>
      <c r="V2761" s="84" t="n">
        <f aca="false">IF(ISNUMBER(T2761),T2761,-99)</f>
        <v>10.5834728190164</v>
      </c>
      <c r="W2761" s="84" t="str">
        <f aca="false">IF(ISNUMBER(U2761),ABS(U2761),"")</f>
        <v/>
      </c>
    </row>
    <row r="2762" customFormat="false" ht="15" hidden="false" customHeight="false" outlineLevel="0" collapsed="false">
      <c r="A2762" s="57" t="n">
        <v>35557</v>
      </c>
      <c r="B2762" s="56" t="n">
        <v>1997</v>
      </c>
      <c r="C2762" s="56" t="n">
        <v>5</v>
      </c>
      <c r="D2762" s="56" t="n">
        <v>7</v>
      </c>
      <c r="E2762" s="56" t="n">
        <v>12.5</v>
      </c>
      <c r="F2762" s="56" t="n">
        <v>0</v>
      </c>
      <c r="G2762" s="56" t="n">
        <v>-0.5</v>
      </c>
      <c r="H2762" s="56" t="n">
        <v>0</v>
      </c>
      <c r="I2762" s="56" t="n">
        <v>6.2</v>
      </c>
      <c r="J2762" s="56" t="n">
        <v>0</v>
      </c>
      <c r="K2762" s="56" t="n">
        <v>1001.4</v>
      </c>
      <c r="L2762" s="56" t="n">
        <v>0</v>
      </c>
      <c r="M2762" s="56" t="n">
        <v>63</v>
      </c>
      <c r="N2762" s="56" t="n">
        <v>10.9</v>
      </c>
      <c r="O2762" s="56" t="n">
        <f aca="false">IF(D2762=1,"",E2761)</f>
        <v>12.9</v>
      </c>
      <c r="P2762" s="56" t="n">
        <f aca="false">IF(OR(D2762=1,K2761=""),"",K2761)</f>
        <v>996.9</v>
      </c>
      <c r="Q2762" s="56" t="n">
        <f aca="false">IF(OR(F2762&lt;&gt;0,AND(I2762&lt;&gt;"",E2762&lt;I2762)),1,0)</f>
        <v>0</v>
      </c>
      <c r="R2762" s="56" t="n">
        <f aca="false">IF(AND(D2762&gt;1,Q2762=0,ISNUMBER(O2762),ISNUMBER(P2762)),IF(Q2761=0,1,0),0)</f>
        <v>1</v>
      </c>
      <c r="S2762" s="56" t="n">
        <f aca="false">R2762*(B2762&gt;=Train_Start)*(B2762&lt;=Train_End)</f>
        <v>1</v>
      </c>
      <c r="T2762" s="84" t="n">
        <f aca="false">IF(AND(ISNUMBER(O2762),ISNUMBER(P2762)),Coef_A+Coef_B1*O2762+Coef_B2*P2762,"")</f>
        <v>13.92909897287</v>
      </c>
      <c r="U2762" s="84" t="n">
        <f aca="false">IF(AND(R2762=1,ISNUMBER(T2762)),E2762-T2762,"")</f>
        <v>-1.42909897287</v>
      </c>
      <c r="V2762" s="84" t="n">
        <f aca="false">IF(ISNUMBER(T2762),T2762,-99)</f>
        <v>13.92909897287</v>
      </c>
      <c r="W2762" s="84" t="n">
        <f aca="false">IF(ISNUMBER(U2762),ABS(U2762),"")</f>
        <v>1.42909897287</v>
      </c>
    </row>
    <row r="2763" customFormat="false" ht="15" hidden="false" customHeight="false" outlineLevel="0" collapsed="false">
      <c r="A2763" s="57" t="n">
        <v>35558</v>
      </c>
      <c r="B2763" s="56" t="n">
        <v>1997</v>
      </c>
      <c r="C2763" s="56" t="n">
        <v>5</v>
      </c>
      <c r="D2763" s="56" t="n">
        <v>8</v>
      </c>
      <c r="E2763" s="56" t="n">
        <v>14</v>
      </c>
      <c r="F2763" s="56" t="n">
        <v>0</v>
      </c>
      <c r="G2763" s="56" t="n">
        <v>5.5</v>
      </c>
      <c r="H2763" s="56" t="n">
        <v>0</v>
      </c>
      <c r="I2763" s="56" t="n">
        <v>9</v>
      </c>
      <c r="J2763" s="56" t="n">
        <v>0</v>
      </c>
      <c r="K2763" s="56" t="n">
        <v>995.5</v>
      </c>
      <c r="L2763" s="56" t="n">
        <v>0</v>
      </c>
      <c r="M2763" s="56" t="n">
        <v>77</v>
      </c>
      <c r="N2763" s="56" t="n">
        <v>2.7</v>
      </c>
      <c r="O2763" s="56" t="n">
        <f aca="false">IF(D2763=1,"",E2762)</f>
        <v>12.5</v>
      </c>
      <c r="P2763" s="56" t="n">
        <f aca="false">IF(OR(D2763=1,K2762=""),"",K2762)</f>
        <v>1001.4</v>
      </c>
      <c r="Q2763" s="56" t="n">
        <f aca="false">IF(OR(F2763&lt;&gt;0,AND(I2763&lt;&gt;"",E2763&lt;I2763)),1,0)</f>
        <v>0</v>
      </c>
      <c r="R2763" s="56" t="n">
        <f aca="false">IF(AND(D2763&gt;1,Q2763=0,ISNUMBER(O2763),ISNUMBER(P2763)),IF(Q2762=0,1,0),0)</f>
        <v>1</v>
      </c>
      <c r="S2763" s="56" t="n">
        <f aca="false">R2763*(B2763&gt;=Train_Start)*(B2763&lt;=Train_End)</f>
        <v>1</v>
      </c>
      <c r="T2763" s="84" t="n">
        <f aca="false">IF(AND(ISNUMBER(O2763),ISNUMBER(P2763)),Coef_A+Coef_B1*O2763+Coef_B2*P2763,"")</f>
        <v>13.7425278215059</v>
      </c>
      <c r="U2763" s="84" t="n">
        <f aca="false">IF(AND(R2763=1,ISNUMBER(T2763)),E2763-T2763,"")</f>
        <v>0.257472178494108</v>
      </c>
      <c r="V2763" s="84" t="n">
        <f aca="false">IF(ISNUMBER(T2763),T2763,-99)</f>
        <v>13.7425278215059</v>
      </c>
      <c r="W2763" s="84" t="n">
        <f aca="false">IF(ISNUMBER(U2763),ABS(U2763),"")</f>
        <v>0.257472178494108</v>
      </c>
    </row>
    <row r="2764" customFormat="false" ht="15" hidden="false" customHeight="false" outlineLevel="0" collapsed="false">
      <c r="A2764" s="57" t="n">
        <v>35559</v>
      </c>
      <c r="B2764" s="56" t="n">
        <v>1997</v>
      </c>
      <c r="C2764" s="56" t="n">
        <v>5</v>
      </c>
      <c r="D2764" s="56" t="n">
        <v>9</v>
      </c>
      <c r="E2764" s="56" t="n">
        <v>15.2</v>
      </c>
      <c r="F2764" s="56" t="n">
        <v>0</v>
      </c>
      <c r="G2764" s="56" t="n">
        <v>6</v>
      </c>
      <c r="H2764" s="56" t="n">
        <v>0</v>
      </c>
      <c r="I2764" s="56" t="n">
        <v>10</v>
      </c>
      <c r="J2764" s="56" t="n">
        <v>0</v>
      </c>
      <c r="K2764" s="56" t="n">
        <v>998.2</v>
      </c>
      <c r="L2764" s="56" t="n">
        <v>0</v>
      </c>
      <c r="M2764" s="56" t="n">
        <v>76</v>
      </c>
      <c r="N2764" s="56" t="n">
        <v>7.8</v>
      </c>
      <c r="O2764" s="56" t="n">
        <f aca="false">IF(D2764=1,"",E2763)</f>
        <v>14</v>
      </c>
      <c r="P2764" s="56" t="n">
        <f aca="false">IF(OR(D2764=1,K2763=""),"",K2763)</f>
        <v>995.5</v>
      </c>
      <c r="Q2764" s="56" t="n">
        <f aca="false">IF(OR(F2764&lt;&gt;0,AND(I2764&lt;&gt;"",E2764&lt;I2764)),1,0)</f>
        <v>0</v>
      </c>
      <c r="R2764" s="56" t="n">
        <f aca="false">IF(AND(D2764&gt;1,Q2764=0,ISNUMBER(O2764),ISNUMBER(P2764)),IF(Q2763=0,1,0),0)</f>
        <v>1</v>
      </c>
      <c r="S2764" s="56" t="n">
        <f aca="false">R2764*(B2764&gt;=Train_Start)*(B2764&lt;=Train_End)</f>
        <v>1</v>
      </c>
      <c r="T2764" s="84" t="n">
        <f aca="false">IF(AND(ISNUMBER(O2764),ISNUMBER(P2764)),Coef_A+Coef_B1*O2764+Coef_B2*P2764,"")</f>
        <v>14.7864542327293</v>
      </c>
      <c r="U2764" s="84" t="n">
        <f aca="false">IF(AND(R2764=1,ISNUMBER(T2764)),E2764-T2764,"")</f>
        <v>0.413545767270655</v>
      </c>
      <c r="V2764" s="84" t="n">
        <f aca="false">IF(ISNUMBER(T2764),T2764,-99)</f>
        <v>14.7864542327293</v>
      </c>
      <c r="W2764" s="84" t="n">
        <f aca="false">IF(ISNUMBER(U2764),ABS(U2764),"")</f>
        <v>0.413545767270655</v>
      </c>
    </row>
    <row r="2765" customFormat="false" ht="15" hidden="false" customHeight="false" outlineLevel="0" collapsed="false">
      <c r="A2765" s="57" t="n">
        <v>35560</v>
      </c>
      <c r="B2765" s="56" t="n">
        <v>1997</v>
      </c>
      <c r="C2765" s="56" t="n">
        <v>5</v>
      </c>
      <c r="D2765" s="56" t="n">
        <v>10</v>
      </c>
      <c r="E2765" s="56" t="n">
        <v>16.2</v>
      </c>
      <c r="F2765" s="56" t="n">
        <v>0</v>
      </c>
      <c r="G2765" s="56" t="n">
        <v>7.9</v>
      </c>
      <c r="H2765" s="56" t="n">
        <v>0</v>
      </c>
      <c r="I2765" s="56" t="n">
        <v>11.6</v>
      </c>
      <c r="J2765" s="56" t="n">
        <v>0</v>
      </c>
      <c r="K2765" s="56" t="n">
        <v>1002</v>
      </c>
      <c r="L2765" s="56" t="n">
        <v>0</v>
      </c>
      <c r="M2765" s="56" t="n">
        <v>74</v>
      </c>
      <c r="N2765" s="56" t="n">
        <v>6.4</v>
      </c>
      <c r="O2765" s="56" t="n">
        <f aca="false">IF(D2765=1,"",E2764)</f>
        <v>15.2</v>
      </c>
      <c r="P2765" s="56" t="n">
        <f aca="false">IF(OR(D2765=1,K2764=""),"",K2764)</f>
        <v>998.2</v>
      </c>
      <c r="Q2765" s="56" t="n">
        <f aca="false">IF(OR(F2765&lt;&gt;0,AND(I2765&lt;&gt;"",E2765&lt;I2765)),1,0)</f>
        <v>0</v>
      </c>
      <c r="R2765" s="56" t="n">
        <f aca="false">IF(AND(D2765&gt;1,Q2765=0,ISNUMBER(O2765),ISNUMBER(P2765)),IF(Q2764=0,1,0),0)</f>
        <v>1</v>
      </c>
      <c r="S2765" s="56" t="n">
        <f aca="false">R2765*(B2765&gt;=Train_Start)*(B2765&lt;=Train_End)</f>
        <v>1</v>
      </c>
      <c r="T2765" s="84" t="n">
        <f aca="false">IF(AND(ISNUMBER(O2765),ISNUMBER(P2765)),Coef_A+Coef_B1*O2765+Coef_B2*P2765,"")</f>
        <v>15.8543599798923</v>
      </c>
      <c r="U2765" s="84" t="n">
        <f aca="false">IF(AND(R2765=1,ISNUMBER(T2765)),E2765-T2765,"")</f>
        <v>0.345640020107693</v>
      </c>
      <c r="V2765" s="84" t="n">
        <f aca="false">IF(ISNUMBER(T2765),T2765,-99)</f>
        <v>15.8543599798923</v>
      </c>
      <c r="W2765" s="84" t="n">
        <f aca="false">IF(ISNUMBER(U2765),ABS(U2765),"")</f>
        <v>0.345640020107693</v>
      </c>
    </row>
    <row r="2766" customFormat="false" ht="15" hidden="false" customHeight="false" outlineLevel="0" collapsed="false">
      <c r="A2766" s="57" t="n">
        <v>35561</v>
      </c>
      <c r="B2766" s="56" t="n">
        <v>1997</v>
      </c>
      <c r="C2766" s="56" t="n">
        <v>5</v>
      </c>
      <c r="D2766" s="56" t="n">
        <v>11</v>
      </c>
      <c r="E2766" s="56" t="n">
        <v>15</v>
      </c>
      <c r="F2766" s="56" t="n">
        <v>0</v>
      </c>
      <c r="G2766" s="56" t="n">
        <v>7.7</v>
      </c>
      <c r="H2766" s="56" t="n">
        <v>0</v>
      </c>
      <c r="I2766" s="56" t="n">
        <v>12</v>
      </c>
      <c r="J2766" s="56" t="n">
        <v>0</v>
      </c>
      <c r="K2766" s="56" t="n">
        <v>1003.8</v>
      </c>
      <c r="L2766" s="56" t="n">
        <v>0</v>
      </c>
      <c r="M2766" s="56" t="n">
        <v>67</v>
      </c>
      <c r="N2766" s="56" t="n">
        <v>10</v>
      </c>
      <c r="O2766" s="56" t="n">
        <f aca="false">IF(D2766=1,"",E2765)</f>
        <v>16.2</v>
      </c>
      <c r="P2766" s="56" t="n">
        <f aca="false">IF(OR(D2766=1,K2765=""),"",K2765)</f>
        <v>1002</v>
      </c>
      <c r="Q2766" s="56" t="n">
        <f aca="false">IF(OR(F2766&lt;&gt;0,AND(I2766&lt;&gt;"",E2766&lt;I2766)),1,0)</f>
        <v>0</v>
      </c>
      <c r="R2766" s="56" t="n">
        <f aca="false">IF(AND(D2766&gt;1,Q2766=0,ISNUMBER(O2766),ISNUMBER(P2766)),IF(Q2765=0,1,0),0)</f>
        <v>1</v>
      </c>
      <c r="S2766" s="56" t="n">
        <f aca="false">R2766*(B2766&gt;=Train_Start)*(B2766&lt;=Train_End)</f>
        <v>1</v>
      </c>
      <c r="T2766" s="84" t="n">
        <f aca="false">IF(AND(ISNUMBER(O2766),ISNUMBER(P2766)),Coef_A+Coef_B1*O2766+Coef_B2*P2766,"")</f>
        <v>16.7929047725441</v>
      </c>
      <c r="U2766" s="84" t="n">
        <f aca="false">IF(AND(R2766=1,ISNUMBER(T2766)),E2766-T2766,"")</f>
        <v>-1.79290477254412</v>
      </c>
      <c r="V2766" s="84" t="n">
        <f aca="false">IF(ISNUMBER(T2766),T2766,-99)</f>
        <v>16.7929047725441</v>
      </c>
      <c r="W2766" s="84" t="n">
        <f aca="false">IF(ISNUMBER(U2766),ABS(U2766),"")</f>
        <v>1.79290477254412</v>
      </c>
    </row>
    <row r="2767" customFormat="false" ht="15" hidden="false" customHeight="false" outlineLevel="0" collapsed="false">
      <c r="A2767" s="57" t="n">
        <v>35562</v>
      </c>
      <c r="B2767" s="56" t="n">
        <v>1997</v>
      </c>
      <c r="C2767" s="56" t="n">
        <v>5</v>
      </c>
      <c r="D2767" s="56" t="n">
        <v>12</v>
      </c>
      <c r="E2767" s="56" t="n">
        <v>17.8</v>
      </c>
      <c r="F2767" s="56" t="n">
        <v>0</v>
      </c>
      <c r="G2767" s="56" t="n">
        <v>8.1</v>
      </c>
      <c r="H2767" s="56" t="n">
        <v>0</v>
      </c>
      <c r="I2767" s="56" t="n">
        <v>11.6</v>
      </c>
      <c r="J2767" s="56" t="n">
        <v>0</v>
      </c>
      <c r="K2767" s="56" t="n">
        <v>1014.8</v>
      </c>
      <c r="L2767" s="56" t="n">
        <v>0</v>
      </c>
      <c r="M2767" s="56" t="n">
        <v>73</v>
      </c>
      <c r="N2767" s="56" t="n">
        <v>9</v>
      </c>
      <c r="O2767" s="56" t="n">
        <f aca="false">IF(D2767=1,"",E2766)</f>
        <v>15</v>
      </c>
      <c r="P2767" s="56" t="n">
        <f aca="false">IF(OR(D2767=1,K2766=""),"",K2766)</f>
        <v>1003.8</v>
      </c>
      <c r="Q2767" s="56" t="n">
        <f aca="false">IF(OR(F2767&lt;&gt;0,AND(I2767&lt;&gt;"",E2767&lt;I2767)),1,0)</f>
        <v>0</v>
      </c>
      <c r="R2767" s="56" t="n">
        <f aca="false">IF(AND(D2767&gt;1,Q2767=0,ISNUMBER(O2767),ISNUMBER(P2767)),IF(Q2766=0,1,0),0)</f>
        <v>1</v>
      </c>
      <c r="S2767" s="56" t="n">
        <f aca="false">R2767*(B2767&gt;=Train_Start)*(B2767&lt;=Train_End)</f>
        <v>1</v>
      </c>
      <c r="T2767" s="84" t="n">
        <f aca="false">IF(AND(ISNUMBER(O2767),ISNUMBER(P2767)),Coef_A+Coef_B1*O2767+Coef_B2*P2767,"")</f>
        <v>15.8661635512341</v>
      </c>
      <c r="U2767" s="84" t="n">
        <f aca="false">IF(AND(R2767=1,ISNUMBER(T2767)),E2767-T2767,"")</f>
        <v>1.93383644876589</v>
      </c>
      <c r="V2767" s="84" t="n">
        <f aca="false">IF(ISNUMBER(T2767),T2767,-99)</f>
        <v>15.8661635512341</v>
      </c>
      <c r="W2767" s="84" t="n">
        <f aca="false">IF(ISNUMBER(U2767),ABS(U2767),"")</f>
        <v>1.93383644876589</v>
      </c>
    </row>
    <row r="2768" customFormat="false" ht="15" hidden="false" customHeight="false" outlineLevel="0" collapsed="false">
      <c r="A2768" s="57" t="n">
        <v>35563</v>
      </c>
      <c r="B2768" s="56" t="n">
        <v>1997</v>
      </c>
      <c r="C2768" s="56" t="n">
        <v>5</v>
      </c>
      <c r="D2768" s="56" t="n">
        <v>13</v>
      </c>
      <c r="E2768" s="56" t="n">
        <v>19.6</v>
      </c>
      <c r="F2768" s="56" t="n">
        <v>0</v>
      </c>
      <c r="G2768" s="56" t="n">
        <v>7</v>
      </c>
      <c r="H2768" s="56" t="n">
        <v>0</v>
      </c>
      <c r="I2768" s="56" t="n">
        <v>12.4</v>
      </c>
      <c r="J2768" s="56" t="n">
        <v>0</v>
      </c>
      <c r="K2768" s="56" t="n">
        <v>1019.4</v>
      </c>
      <c r="L2768" s="56" t="n">
        <v>0</v>
      </c>
      <c r="M2768" s="56" t="n">
        <v>65</v>
      </c>
      <c r="N2768" s="56" t="n">
        <v>10</v>
      </c>
      <c r="O2768" s="56" t="n">
        <f aca="false">IF(D2768=1,"",E2767)</f>
        <v>17.8</v>
      </c>
      <c r="P2768" s="56" t="n">
        <f aca="false">IF(OR(D2768=1,K2767=""),"",K2767)</f>
        <v>1014.8</v>
      </c>
      <c r="Q2768" s="56" t="n">
        <f aca="false">IF(OR(F2768&lt;&gt;0,AND(I2768&lt;&gt;"",E2768&lt;I2768)),1,0)</f>
        <v>0</v>
      </c>
      <c r="R2768" s="56" t="n">
        <f aca="false">IF(AND(D2768&gt;1,Q2768=0,ISNUMBER(O2768),ISNUMBER(P2768)),IF(Q2767=0,1,0),0)</f>
        <v>1</v>
      </c>
      <c r="S2768" s="56" t="n">
        <f aca="false">R2768*(B2768&gt;=Train_Start)*(B2768&lt;=Train_End)</f>
        <v>1</v>
      </c>
      <c r="T2768" s="84" t="n">
        <f aca="false">IF(AND(ISNUMBER(O2768),ISNUMBER(P2768)),Coef_A+Coef_B1*O2768+Coef_B2*P2768,"")</f>
        <v>18.5053821327274</v>
      </c>
      <c r="U2768" s="84" t="n">
        <f aca="false">IF(AND(R2768=1,ISNUMBER(T2768)),E2768-T2768,"")</f>
        <v>1.09461786727256</v>
      </c>
      <c r="V2768" s="84" t="n">
        <f aca="false">IF(ISNUMBER(T2768),T2768,-99)</f>
        <v>18.5053821327274</v>
      </c>
      <c r="W2768" s="84" t="n">
        <f aca="false">IF(ISNUMBER(U2768),ABS(U2768),"")</f>
        <v>1.09461786727256</v>
      </c>
    </row>
    <row r="2769" customFormat="false" ht="15" hidden="false" customHeight="false" outlineLevel="0" collapsed="false">
      <c r="A2769" s="57" t="n">
        <v>35564</v>
      </c>
      <c r="B2769" s="56" t="n">
        <v>1997</v>
      </c>
      <c r="C2769" s="56" t="n">
        <v>5</v>
      </c>
      <c r="D2769" s="56" t="n">
        <v>14</v>
      </c>
      <c r="E2769" s="56" t="n">
        <v>19.2</v>
      </c>
      <c r="F2769" s="56" t="n">
        <v>0</v>
      </c>
      <c r="G2769" s="56" t="n">
        <v>6.1</v>
      </c>
      <c r="H2769" s="56" t="n">
        <v>0</v>
      </c>
      <c r="I2769" s="56" t="n">
        <v>12.8</v>
      </c>
      <c r="J2769" s="56" t="n">
        <v>0</v>
      </c>
      <c r="K2769" s="56" t="n">
        <v>1021.2</v>
      </c>
      <c r="L2769" s="56" t="n">
        <v>0</v>
      </c>
      <c r="M2769" s="56" t="n">
        <v>66</v>
      </c>
      <c r="N2769" s="56" t="n">
        <v>13.6</v>
      </c>
      <c r="O2769" s="56" t="n">
        <f aca="false">IF(D2769=1,"",E2768)</f>
        <v>19.6</v>
      </c>
      <c r="P2769" s="56" t="n">
        <f aca="false">IF(OR(D2769=1,K2768=""),"",K2768)</f>
        <v>1019.4</v>
      </c>
      <c r="Q2769" s="56" t="n">
        <f aca="false">IF(OR(F2769&lt;&gt;0,AND(I2769&lt;&gt;"",E2769&lt;I2769)),1,0)</f>
        <v>0</v>
      </c>
      <c r="R2769" s="56" t="n">
        <f aca="false">IF(AND(D2769&gt;1,Q2769=0,ISNUMBER(O2769),ISNUMBER(P2769)),IF(Q2768=0,1,0),0)</f>
        <v>1</v>
      </c>
      <c r="S2769" s="56" t="n">
        <f aca="false">R2769*(B2769&gt;=Train_Start)*(B2769&lt;=Train_End)</f>
        <v>1</v>
      </c>
      <c r="T2769" s="84" t="n">
        <f aca="false">IF(AND(ISNUMBER(O2769),ISNUMBER(P2769)),Coef_A+Coef_B1*O2769+Coef_B2*P2769,"")</f>
        <v>20.1244941955206</v>
      </c>
      <c r="U2769" s="84" t="n">
        <f aca="false">IF(AND(R2769=1,ISNUMBER(T2769)),E2769-T2769,"")</f>
        <v>-0.924494195520573</v>
      </c>
      <c r="V2769" s="84" t="n">
        <f aca="false">IF(ISNUMBER(T2769),T2769,-99)</f>
        <v>20.1244941955206</v>
      </c>
      <c r="W2769" s="84" t="n">
        <f aca="false">IF(ISNUMBER(U2769),ABS(U2769),"")</f>
        <v>0.924494195520573</v>
      </c>
    </row>
    <row r="2770" customFormat="false" ht="15" hidden="false" customHeight="false" outlineLevel="0" collapsed="false">
      <c r="A2770" s="57" t="n">
        <v>35565</v>
      </c>
      <c r="B2770" s="56" t="n">
        <v>1997</v>
      </c>
      <c r="C2770" s="56" t="n">
        <v>5</v>
      </c>
      <c r="D2770" s="56" t="n">
        <v>15</v>
      </c>
      <c r="E2770" s="56" t="n">
        <v>23</v>
      </c>
      <c r="F2770" s="56" t="n">
        <v>0</v>
      </c>
      <c r="G2770" s="56" t="n">
        <v>8.3</v>
      </c>
      <c r="H2770" s="56" t="n">
        <v>0</v>
      </c>
      <c r="I2770" s="56" t="n">
        <v>13.8</v>
      </c>
      <c r="J2770" s="56" t="n">
        <v>0</v>
      </c>
      <c r="K2770" s="56" t="n">
        <v>1020.6</v>
      </c>
      <c r="L2770" s="56" t="n">
        <v>0</v>
      </c>
      <c r="M2770" s="56" t="n">
        <v>70</v>
      </c>
      <c r="N2770" s="56" t="n">
        <v>3.4</v>
      </c>
      <c r="O2770" s="56" t="n">
        <f aca="false">IF(D2770=1,"",E2769)</f>
        <v>19.2</v>
      </c>
      <c r="P2770" s="56" t="n">
        <f aca="false">IF(OR(D2770=1,K2769=""),"",K2769)</f>
        <v>1021.2</v>
      </c>
      <c r="Q2770" s="56" t="n">
        <f aca="false">IF(OR(F2770&lt;&gt;0,AND(I2770&lt;&gt;"",E2770&lt;I2770)),1,0)</f>
        <v>0</v>
      </c>
      <c r="R2770" s="56" t="n">
        <f aca="false">IF(AND(D2770&gt;1,Q2770=0,ISNUMBER(O2770),ISNUMBER(P2770)),IF(Q2769=0,1,0),0)</f>
        <v>1</v>
      </c>
      <c r="S2770" s="56" t="n">
        <f aca="false">R2770*(B2770&gt;=Train_Start)*(B2770&lt;=Train_End)</f>
        <v>1</v>
      </c>
      <c r="T2770" s="84" t="n">
        <f aca="false">IF(AND(ISNUMBER(O2770),ISNUMBER(P2770)),Coef_A+Coef_B1*O2770+Coef_B2*P2770,"")</f>
        <v>19.8532243286447</v>
      </c>
      <c r="U2770" s="84" t="n">
        <f aca="false">IF(AND(R2770=1,ISNUMBER(T2770)),E2770-T2770,"")</f>
        <v>3.14677567135531</v>
      </c>
      <c r="V2770" s="84" t="n">
        <f aca="false">IF(ISNUMBER(T2770),T2770,-99)</f>
        <v>19.8532243286447</v>
      </c>
      <c r="W2770" s="84" t="n">
        <f aca="false">IF(ISNUMBER(U2770),ABS(U2770),"")</f>
        <v>3.14677567135531</v>
      </c>
    </row>
    <row r="2771" customFormat="false" ht="15" hidden="false" customHeight="false" outlineLevel="0" collapsed="false">
      <c r="A2771" s="57" t="n">
        <v>35566</v>
      </c>
      <c r="B2771" s="56" t="n">
        <v>1997</v>
      </c>
      <c r="C2771" s="56" t="n">
        <v>5</v>
      </c>
      <c r="D2771" s="56" t="n">
        <v>16</v>
      </c>
      <c r="E2771" s="56" t="n">
        <v>26.6</v>
      </c>
      <c r="F2771" s="56" t="n">
        <v>0</v>
      </c>
      <c r="G2771" s="56" t="n">
        <v>10.6</v>
      </c>
      <c r="H2771" s="56" t="n">
        <v>0</v>
      </c>
      <c r="I2771" s="56" t="n">
        <v>16.8</v>
      </c>
      <c r="J2771" s="56" t="n">
        <v>0</v>
      </c>
      <c r="K2771" s="56" t="n">
        <v>1014.5</v>
      </c>
      <c r="L2771" s="56" t="n">
        <v>0</v>
      </c>
      <c r="M2771" s="56" t="n">
        <v>77</v>
      </c>
      <c r="N2771" s="56" t="n">
        <v>1</v>
      </c>
      <c r="O2771" s="56" t="n">
        <f aca="false">IF(D2771=1,"",E2770)</f>
        <v>23</v>
      </c>
      <c r="P2771" s="56" t="n">
        <f aca="false">IF(OR(D2771=1,K2770=""),"",K2770)</f>
        <v>1020.6</v>
      </c>
      <c r="Q2771" s="56" t="n">
        <f aca="false">IF(OR(F2771&lt;&gt;0,AND(I2771&lt;&gt;"",E2771&lt;I2771)),1,0)</f>
        <v>0</v>
      </c>
      <c r="R2771" s="56" t="n">
        <f aca="false">IF(AND(D2771&gt;1,Q2771=0,ISNUMBER(O2771),ISNUMBER(P2771)),IF(Q2770=0,1,0),0)</f>
        <v>1</v>
      </c>
      <c r="S2771" s="56" t="n">
        <f aca="false">R2771*(B2771&gt;=Train_Start)*(B2771&lt;=Train_End)</f>
        <v>1</v>
      </c>
      <c r="T2771" s="84" t="n">
        <f aca="false">IF(AND(ISNUMBER(O2771),ISNUMBER(P2771)),Coef_A+Coef_B1*O2771+Coef_B2*P2771,"")</f>
        <v>22.9478913254264</v>
      </c>
      <c r="U2771" s="84" t="n">
        <f aca="false">IF(AND(R2771=1,ISNUMBER(T2771)),E2771-T2771,"")</f>
        <v>3.6521086745736</v>
      </c>
      <c r="V2771" s="84" t="n">
        <f aca="false">IF(ISNUMBER(T2771),T2771,-99)</f>
        <v>22.9478913254264</v>
      </c>
      <c r="W2771" s="84" t="n">
        <f aca="false">IF(ISNUMBER(U2771),ABS(U2771),"")</f>
        <v>3.6521086745736</v>
      </c>
    </row>
    <row r="2772" customFormat="false" ht="15" hidden="false" customHeight="false" outlineLevel="0" collapsed="false">
      <c r="A2772" s="57" t="n">
        <v>35567</v>
      </c>
      <c r="B2772" s="56" t="n">
        <v>1997</v>
      </c>
      <c r="C2772" s="56" t="n">
        <v>5</v>
      </c>
      <c r="D2772" s="56" t="n">
        <v>17</v>
      </c>
      <c r="E2772" s="56" t="n">
        <v>20.7</v>
      </c>
      <c r="F2772" s="56" t="n">
        <v>0</v>
      </c>
      <c r="G2772" s="56" t="n">
        <v>12.6</v>
      </c>
      <c r="H2772" s="56" t="n">
        <v>0</v>
      </c>
      <c r="I2772" s="56" t="n">
        <v>19.6</v>
      </c>
      <c r="J2772" s="56" t="n">
        <v>0</v>
      </c>
      <c r="K2772" s="56" t="n">
        <v>1010.8</v>
      </c>
      <c r="L2772" s="56" t="n">
        <v>0</v>
      </c>
      <c r="M2772" s="56" t="n">
        <v>75</v>
      </c>
      <c r="N2772" s="56" t="n">
        <v>6.4</v>
      </c>
      <c r="O2772" s="56" t="n">
        <f aca="false">IF(D2772=1,"",E2771)</f>
        <v>26.6</v>
      </c>
      <c r="P2772" s="56" t="n">
        <f aca="false">IF(OR(D2772=1,K2771=""),"",K2771)</f>
        <v>1014.5</v>
      </c>
      <c r="Q2772" s="56" t="n">
        <f aca="false">IF(OR(F2772&lt;&gt;0,AND(I2772&lt;&gt;"",E2772&lt;I2772)),1,0)</f>
        <v>0</v>
      </c>
      <c r="R2772" s="56" t="n">
        <f aca="false">IF(AND(D2772&gt;1,Q2772=0,ISNUMBER(O2772),ISNUMBER(P2772)),IF(Q2771=0,1,0),0)</f>
        <v>1</v>
      </c>
      <c r="S2772" s="56" t="n">
        <f aca="false">R2772*(B2772&gt;=Train_Start)*(B2772&lt;=Train_End)</f>
        <v>1</v>
      </c>
      <c r="T2772" s="84" t="n">
        <f aca="false">IF(AND(ISNUMBER(O2772),ISNUMBER(P2772)),Coef_A+Coef_B1*O2772+Coef_B2*P2772,"")</f>
        <v>25.7061560631126</v>
      </c>
      <c r="U2772" s="84" t="n">
        <f aca="false">IF(AND(R2772=1,ISNUMBER(T2772)),E2772-T2772,"")</f>
        <v>-5.00615606311263</v>
      </c>
      <c r="V2772" s="84" t="n">
        <f aca="false">IF(ISNUMBER(T2772),T2772,-99)</f>
        <v>25.7061560631126</v>
      </c>
      <c r="W2772" s="84" t="n">
        <f aca="false">IF(ISNUMBER(U2772),ABS(U2772),"")</f>
        <v>5.00615606311263</v>
      </c>
    </row>
    <row r="2773" customFormat="false" ht="15" hidden="false" customHeight="false" outlineLevel="0" collapsed="false">
      <c r="A2773" s="57" t="n">
        <v>35568</v>
      </c>
      <c r="B2773" s="56" t="n">
        <v>1997</v>
      </c>
      <c r="C2773" s="56" t="n">
        <v>5</v>
      </c>
      <c r="D2773" s="56" t="n">
        <v>18</v>
      </c>
      <c r="E2773" s="56" t="n">
        <v>18.8</v>
      </c>
      <c r="F2773" s="56" t="n">
        <v>0</v>
      </c>
      <c r="G2773" s="56" t="n">
        <v>14.9</v>
      </c>
      <c r="H2773" s="56" t="n">
        <v>0</v>
      </c>
      <c r="I2773" s="56" t="n">
        <v>17.8</v>
      </c>
      <c r="J2773" s="56" t="n">
        <v>0</v>
      </c>
      <c r="K2773" s="56" t="n">
        <v>1009.9</v>
      </c>
      <c r="L2773" s="56" t="n">
        <v>0</v>
      </c>
      <c r="M2773" s="56" t="n">
        <v>75</v>
      </c>
      <c r="N2773" s="56" t="n">
        <v>4.6</v>
      </c>
      <c r="O2773" s="56" t="n">
        <f aca="false">IF(D2773=1,"",E2772)</f>
        <v>20.7</v>
      </c>
      <c r="P2773" s="56" t="n">
        <f aca="false">IF(OR(D2773=1,K2772=""),"",K2772)</f>
        <v>1010.8</v>
      </c>
      <c r="Q2773" s="56" t="n">
        <f aca="false">IF(OR(F2773&lt;&gt;0,AND(I2773&lt;&gt;"",E2773&lt;I2773)),1,0)</f>
        <v>0</v>
      </c>
      <c r="R2773" s="56" t="n">
        <f aca="false">IF(AND(D2773&gt;1,Q2773=0,ISNUMBER(O2773),ISNUMBER(P2773)),IF(Q2772=0,1,0),0)</f>
        <v>1</v>
      </c>
      <c r="S2773" s="56" t="n">
        <f aca="false">R2773*(B2773&gt;=Train_Start)*(B2773&lt;=Train_End)</f>
        <v>1</v>
      </c>
      <c r="T2773" s="84" t="n">
        <f aca="false">IF(AND(ISNUMBER(O2773),ISNUMBER(P2773)),Coef_A+Coef_B1*O2773+Coef_B2*P2773,"")</f>
        <v>20.7559862140152</v>
      </c>
      <c r="U2773" s="84" t="n">
        <f aca="false">IF(AND(R2773=1,ISNUMBER(T2773)),E2773-T2773,"")</f>
        <v>-1.95598621401518</v>
      </c>
      <c r="V2773" s="84" t="n">
        <f aca="false">IF(ISNUMBER(T2773),T2773,-99)</f>
        <v>20.7559862140152</v>
      </c>
      <c r="W2773" s="84" t="n">
        <f aca="false">IF(ISNUMBER(U2773),ABS(U2773),"")</f>
        <v>1.95598621401518</v>
      </c>
    </row>
    <row r="2774" customFormat="false" ht="15" hidden="false" customHeight="false" outlineLevel="0" collapsed="false">
      <c r="A2774" s="57" t="n">
        <v>35569</v>
      </c>
      <c r="B2774" s="56" t="n">
        <v>1997</v>
      </c>
      <c r="C2774" s="56" t="n">
        <v>5</v>
      </c>
      <c r="D2774" s="56" t="n">
        <v>19</v>
      </c>
      <c r="E2774" s="56" t="n">
        <v>15.5</v>
      </c>
      <c r="F2774" s="56" t="n">
        <v>0</v>
      </c>
      <c r="G2774" s="56" t="n">
        <v>11.2</v>
      </c>
      <c r="H2774" s="56" t="n">
        <v>0</v>
      </c>
      <c r="I2774" s="56" t="n">
        <v>15</v>
      </c>
      <c r="J2774" s="56" t="n">
        <v>0</v>
      </c>
      <c r="K2774" s="56" t="n">
        <v>1006.7</v>
      </c>
      <c r="L2774" s="56" t="n">
        <v>0</v>
      </c>
      <c r="M2774" s="56" t="n">
        <v>79</v>
      </c>
      <c r="N2774" s="56" t="n">
        <v>2.9</v>
      </c>
      <c r="O2774" s="56" t="n">
        <f aca="false">IF(D2774=1,"",E2773)</f>
        <v>18.8</v>
      </c>
      <c r="P2774" s="56" t="n">
        <f aca="false">IF(OR(D2774=1,K2773=""),"",K2773)</f>
        <v>1009.9</v>
      </c>
      <c r="Q2774" s="56" t="n">
        <f aca="false">IF(OR(F2774&lt;&gt;0,AND(I2774&lt;&gt;"",E2774&lt;I2774)),1,0)</f>
        <v>0</v>
      </c>
      <c r="R2774" s="56" t="n">
        <f aca="false">IF(AND(D2774&gt;1,Q2774=0,ISNUMBER(O2774),ISNUMBER(P2774)),IF(Q2773=0,1,0),0)</f>
        <v>1</v>
      </c>
      <c r="S2774" s="56" t="n">
        <f aca="false">R2774*(B2774&gt;=Train_Start)*(B2774&lt;=Train_End)</f>
        <v>1</v>
      </c>
      <c r="T2774" s="84" t="n">
        <f aca="false">IF(AND(ISNUMBER(O2774),ISNUMBER(P2774)),Coef_A+Coef_B1*O2774+Coef_B2*P2774,"")</f>
        <v>19.1710088420635</v>
      </c>
      <c r="U2774" s="84" t="n">
        <f aca="false">IF(AND(R2774=1,ISNUMBER(T2774)),E2774-T2774,"")</f>
        <v>-3.67100884206355</v>
      </c>
      <c r="V2774" s="84" t="n">
        <f aca="false">IF(ISNUMBER(T2774),T2774,-99)</f>
        <v>19.1710088420635</v>
      </c>
      <c r="W2774" s="84" t="n">
        <f aca="false">IF(ISNUMBER(U2774),ABS(U2774),"")</f>
        <v>3.67100884206355</v>
      </c>
    </row>
    <row r="2775" customFormat="false" ht="15" hidden="false" customHeight="false" outlineLevel="0" collapsed="false">
      <c r="A2775" s="57" t="n">
        <v>35570</v>
      </c>
      <c r="B2775" s="56" t="n">
        <v>1997</v>
      </c>
      <c r="C2775" s="56" t="n">
        <v>5</v>
      </c>
      <c r="D2775" s="56" t="n">
        <v>20</v>
      </c>
      <c r="E2775" s="56" t="n">
        <v>13.9</v>
      </c>
      <c r="F2775" s="56" t="n">
        <v>0</v>
      </c>
      <c r="G2775" s="56" t="n">
        <v>8.9</v>
      </c>
      <c r="H2775" s="56" t="n">
        <v>0</v>
      </c>
      <c r="I2775" s="56" t="n">
        <v>12.2</v>
      </c>
      <c r="J2775" s="56" t="n">
        <v>0</v>
      </c>
      <c r="K2775" s="56" t="n">
        <v>1003.2</v>
      </c>
      <c r="L2775" s="56" t="n">
        <v>0</v>
      </c>
      <c r="M2775" s="56" t="n">
        <v>84</v>
      </c>
      <c r="N2775" s="56" t="n">
        <v>1.2</v>
      </c>
      <c r="O2775" s="56" t="n">
        <f aca="false">IF(D2775=1,"",E2774)</f>
        <v>15.5</v>
      </c>
      <c r="P2775" s="56" t="n">
        <f aca="false">IF(OR(D2775=1,K2774=""),"",K2774)</f>
        <v>1006.7</v>
      </c>
      <c r="Q2775" s="56" t="n">
        <f aca="false">IF(OR(F2775&lt;&gt;0,AND(I2775&lt;&gt;"",E2775&lt;I2775)),1,0)</f>
        <v>0</v>
      </c>
      <c r="R2775" s="56" t="n">
        <f aca="false">IF(AND(D2775&gt;1,Q2775=0,ISNUMBER(O2775),ISNUMBER(P2775)),IF(Q2774=0,1,0),0)</f>
        <v>1</v>
      </c>
      <c r="S2775" s="56" t="n">
        <f aca="false">R2775*(B2775&gt;=Train_Start)*(B2775&lt;=Train_End)</f>
        <v>1</v>
      </c>
      <c r="T2775" s="84" t="n">
        <f aca="false">IF(AND(ISNUMBER(O2775),ISNUMBER(P2775)),Coef_A+Coef_B1*O2775+Coef_B2*P2775,"")</f>
        <v>16.366805842194</v>
      </c>
      <c r="U2775" s="84" t="n">
        <f aca="false">IF(AND(R2775=1,ISNUMBER(T2775)),E2775-T2775,"")</f>
        <v>-2.46680584219401</v>
      </c>
      <c r="V2775" s="84" t="n">
        <f aca="false">IF(ISNUMBER(T2775),T2775,-99)</f>
        <v>16.366805842194</v>
      </c>
      <c r="W2775" s="84" t="n">
        <f aca="false">IF(ISNUMBER(U2775),ABS(U2775),"")</f>
        <v>2.46680584219401</v>
      </c>
    </row>
    <row r="2776" customFormat="false" ht="15" hidden="false" customHeight="false" outlineLevel="0" collapsed="false">
      <c r="A2776" s="57" t="n">
        <v>35571</v>
      </c>
      <c r="B2776" s="56" t="n">
        <v>1997</v>
      </c>
      <c r="C2776" s="56" t="n">
        <v>5</v>
      </c>
      <c r="D2776" s="56" t="n">
        <v>21</v>
      </c>
      <c r="E2776" s="56" t="n">
        <v>14.8</v>
      </c>
      <c r="F2776" s="56" t="n">
        <v>0</v>
      </c>
      <c r="G2776" s="56" t="n">
        <v>11</v>
      </c>
      <c r="H2776" s="56" t="n">
        <v>0</v>
      </c>
      <c r="I2776" s="56" t="n">
        <v>12.4</v>
      </c>
      <c r="J2776" s="56" t="n">
        <v>0</v>
      </c>
      <c r="K2776" s="56" t="n">
        <v>1008.6</v>
      </c>
      <c r="L2776" s="56" t="n">
        <v>0</v>
      </c>
      <c r="M2776" s="56" t="n">
        <v>80</v>
      </c>
      <c r="N2776" s="56" t="n">
        <v>0</v>
      </c>
      <c r="O2776" s="56" t="n">
        <f aca="false">IF(D2776=1,"",E2775)</f>
        <v>13.9</v>
      </c>
      <c r="P2776" s="56" t="n">
        <f aca="false">IF(OR(D2776=1,K2775=""),"",K2775)</f>
        <v>1003.2</v>
      </c>
      <c r="Q2776" s="56" t="n">
        <f aca="false">IF(OR(F2776&lt;&gt;0,AND(I2776&lt;&gt;"",E2776&lt;I2776)),1,0)</f>
        <v>0</v>
      </c>
      <c r="R2776" s="56" t="n">
        <f aca="false">IF(AND(D2776&gt;1,Q2776=0,ISNUMBER(O2776),ISNUMBER(P2776)),IF(Q2775=0,1,0),0)</f>
        <v>1</v>
      </c>
      <c r="S2776" s="56" t="n">
        <f aca="false">R2776*(B2776&gt;=Train_Start)*(B2776&lt;=Train_End)</f>
        <v>1</v>
      </c>
      <c r="T2776" s="84" t="n">
        <f aca="false">IF(AND(ISNUMBER(O2776),ISNUMBER(P2776)),Coef_A+Coef_B1*O2776+Coef_B2*P2776,"")</f>
        <v>14.9460685021068</v>
      </c>
      <c r="U2776" s="84" t="n">
        <f aca="false">IF(AND(R2776=1,ISNUMBER(T2776)),E2776-T2776,"")</f>
        <v>-0.146068502106797</v>
      </c>
      <c r="V2776" s="84" t="n">
        <f aca="false">IF(ISNUMBER(T2776),T2776,-99)</f>
        <v>14.9460685021068</v>
      </c>
      <c r="W2776" s="84" t="n">
        <f aca="false">IF(ISNUMBER(U2776),ABS(U2776),"")</f>
        <v>0.146068502106797</v>
      </c>
    </row>
    <row r="2777" customFormat="false" ht="15" hidden="false" customHeight="false" outlineLevel="0" collapsed="false">
      <c r="A2777" s="57" t="n">
        <v>35572</v>
      </c>
      <c r="B2777" s="56" t="n">
        <v>1997</v>
      </c>
      <c r="C2777" s="56" t="n">
        <v>5</v>
      </c>
      <c r="D2777" s="56" t="n">
        <v>22</v>
      </c>
      <c r="E2777" s="56" t="n">
        <v>15.5</v>
      </c>
      <c r="F2777" s="56" t="n">
        <v>0</v>
      </c>
      <c r="G2777" s="56" t="n">
        <v>8.4</v>
      </c>
      <c r="H2777" s="56" t="n">
        <v>0</v>
      </c>
      <c r="I2777" s="56" t="n">
        <v>11.6</v>
      </c>
      <c r="J2777" s="56" t="n">
        <v>0</v>
      </c>
      <c r="K2777" s="56" t="n">
        <v>1017</v>
      </c>
      <c r="L2777" s="56" t="n">
        <v>0</v>
      </c>
      <c r="M2777" s="56" t="n">
        <v>64</v>
      </c>
      <c r="N2777" s="56" t="n">
        <v>1.2</v>
      </c>
      <c r="O2777" s="56" t="n">
        <f aca="false">IF(D2777=1,"",E2776)</f>
        <v>14.8</v>
      </c>
      <c r="P2777" s="56" t="n">
        <f aca="false">IF(OR(D2777=1,K2776=""),"",K2776)</f>
        <v>1008.6</v>
      </c>
      <c r="Q2777" s="56" t="n">
        <f aca="false">IF(OR(F2777&lt;&gt;0,AND(I2777&lt;&gt;"",E2777&lt;I2777)),1,0)</f>
        <v>0</v>
      </c>
      <c r="R2777" s="56" t="n">
        <f aca="false">IF(AND(D2777&gt;1,Q2777=0,ISNUMBER(O2777),ISNUMBER(P2777)),IF(Q2776=0,1,0),0)</f>
        <v>1</v>
      </c>
      <c r="S2777" s="56" t="n">
        <f aca="false">R2777*(B2777&gt;=Train_Start)*(B2777&lt;=Train_End)</f>
        <v>1</v>
      </c>
      <c r="T2777" s="84" t="n">
        <f aca="false">IF(AND(ISNUMBER(O2777),ISNUMBER(P2777)),Coef_A+Coef_B1*O2777+Coef_B2*P2777,"")</f>
        <v>15.8528712068687</v>
      </c>
      <c r="U2777" s="84" t="n">
        <f aca="false">IF(AND(R2777=1,ISNUMBER(T2777)),E2777-T2777,"")</f>
        <v>-0.352871206868734</v>
      </c>
      <c r="V2777" s="84" t="n">
        <f aca="false">IF(ISNUMBER(T2777),T2777,-99)</f>
        <v>15.8528712068687</v>
      </c>
      <c r="W2777" s="84" t="n">
        <f aca="false">IF(ISNUMBER(U2777),ABS(U2777),"")</f>
        <v>0.352871206868734</v>
      </c>
    </row>
    <row r="2778" customFormat="false" ht="15" hidden="false" customHeight="false" outlineLevel="0" collapsed="false">
      <c r="A2778" s="57" t="n">
        <v>35573</v>
      </c>
      <c r="B2778" s="56" t="n">
        <v>1997</v>
      </c>
      <c r="C2778" s="56" t="n">
        <v>5</v>
      </c>
      <c r="D2778" s="56" t="n">
        <v>23</v>
      </c>
      <c r="E2778" s="56" t="n">
        <v>16.5</v>
      </c>
      <c r="F2778" s="56" t="n">
        <v>0</v>
      </c>
      <c r="G2778" s="56" t="n">
        <v>8.2</v>
      </c>
      <c r="H2778" s="56" t="n">
        <v>0</v>
      </c>
      <c r="I2778" s="56" t="n">
        <v>11.8</v>
      </c>
      <c r="J2778" s="56" t="n">
        <v>0</v>
      </c>
      <c r="K2778" s="56" t="n">
        <v>1022.4</v>
      </c>
      <c r="L2778" s="56" t="n">
        <v>0</v>
      </c>
      <c r="M2778" s="56" t="n">
        <v>63</v>
      </c>
      <c r="N2778" s="56" t="n">
        <v>5.1</v>
      </c>
      <c r="O2778" s="56" t="n">
        <f aca="false">IF(D2778=1,"",E2777)</f>
        <v>15.5</v>
      </c>
      <c r="P2778" s="56" t="n">
        <f aca="false">IF(OR(D2778=1,K2777=""),"",K2777)</f>
        <v>1017</v>
      </c>
      <c r="Q2778" s="56" t="n">
        <f aca="false">IF(OR(F2778&lt;&gt;0,AND(I2778&lt;&gt;"",E2778&lt;I2778)),1,0)</f>
        <v>0</v>
      </c>
      <c r="R2778" s="56" t="n">
        <f aca="false">IF(AND(D2778&gt;1,Q2778=0,ISNUMBER(O2778),ISNUMBER(P2778)),IF(Q2777=0,1,0),0)</f>
        <v>1</v>
      </c>
      <c r="S2778" s="56" t="n">
        <f aca="false">R2778*(B2778&gt;=Train_Start)*(B2778&lt;=Train_End)</f>
        <v>1</v>
      </c>
      <c r="T2778" s="84" t="n">
        <f aca="false">IF(AND(ISNUMBER(O2778),ISNUMBER(P2778)),Coef_A+Coef_B1*O2778+Coef_B2*P2778,"")</f>
        <v>16.6899157569241</v>
      </c>
      <c r="U2778" s="84" t="n">
        <f aca="false">IF(AND(R2778=1,ISNUMBER(T2778)),E2778-T2778,"")</f>
        <v>-0.189915756924101</v>
      </c>
      <c r="V2778" s="84" t="n">
        <f aca="false">IF(ISNUMBER(T2778),T2778,-99)</f>
        <v>16.6899157569241</v>
      </c>
      <c r="W2778" s="84" t="n">
        <f aca="false">IF(ISNUMBER(U2778),ABS(U2778),"")</f>
        <v>0.189915756924101</v>
      </c>
    </row>
    <row r="2779" customFormat="false" ht="15" hidden="false" customHeight="false" outlineLevel="0" collapsed="false">
      <c r="A2779" s="57" t="n">
        <v>35574</v>
      </c>
      <c r="B2779" s="56" t="n">
        <v>1997</v>
      </c>
      <c r="C2779" s="56" t="n">
        <v>5</v>
      </c>
      <c r="D2779" s="56" t="n">
        <v>24</v>
      </c>
      <c r="E2779" s="56" t="n">
        <v>19.1</v>
      </c>
      <c r="F2779" s="56" t="n">
        <v>0</v>
      </c>
      <c r="G2779" s="56" t="n">
        <v>5.5</v>
      </c>
      <c r="H2779" s="56" t="n">
        <v>0</v>
      </c>
      <c r="I2779" s="56" t="n">
        <v>11</v>
      </c>
      <c r="J2779" s="56" t="n">
        <v>0</v>
      </c>
      <c r="K2779" s="56" t="n">
        <v>1028.7</v>
      </c>
      <c r="L2779" s="56" t="n">
        <v>0</v>
      </c>
      <c r="M2779" s="56" t="n">
        <v>56</v>
      </c>
      <c r="N2779" s="56" t="n">
        <v>14.8</v>
      </c>
      <c r="O2779" s="56" t="n">
        <f aca="false">IF(D2779=1,"",E2778)</f>
        <v>16.5</v>
      </c>
      <c r="P2779" s="56" t="n">
        <f aca="false">IF(OR(D2779=1,K2778=""),"",K2778)</f>
        <v>1022.4</v>
      </c>
      <c r="Q2779" s="56" t="n">
        <f aca="false">IF(OR(F2779&lt;&gt;0,AND(I2779&lt;&gt;"",E2779&lt;I2779)),1,0)</f>
        <v>0</v>
      </c>
      <c r="R2779" s="56" t="n">
        <f aca="false">IF(AND(D2779&gt;1,Q2779=0,ISNUMBER(O2779),ISNUMBER(P2779)),IF(Q2778=0,1,0),0)</f>
        <v>1</v>
      </c>
      <c r="S2779" s="56" t="n">
        <f aca="false">R2779*(B2779&gt;=Train_Start)*(B2779&lt;=Train_End)</f>
        <v>1</v>
      </c>
      <c r="T2779" s="84" t="n">
        <f aca="false">IF(AND(ISNUMBER(O2779),ISNUMBER(P2779)),Coef_A+Coef_B1*O2779+Coef_B2*P2779,"")</f>
        <v>17.6786523809903</v>
      </c>
      <c r="U2779" s="84" t="n">
        <f aca="false">IF(AND(R2779=1,ISNUMBER(T2779)),E2779-T2779,"")</f>
        <v>1.42134761900969</v>
      </c>
      <c r="V2779" s="84" t="n">
        <f aca="false">IF(ISNUMBER(T2779),T2779,-99)</f>
        <v>17.6786523809903</v>
      </c>
      <c r="W2779" s="84" t="n">
        <f aca="false">IF(ISNUMBER(U2779),ABS(U2779),"")</f>
        <v>1.42134761900969</v>
      </c>
    </row>
    <row r="2780" customFormat="false" ht="15" hidden="false" customHeight="false" outlineLevel="0" collapsed="false">
      <c r="A2780" s="57" t="n">
        <v>35575</v>
      </c>
      <c r="B2780" s="56" t="n">
        <v>1997</v>
      </c>
      <c r="C2780" s="56" t="n">
        <v>5</v>
      </c>
      <c r="D2780" s="56" t="n">
        <v>25</v>
      </c>
      <c r="E2780" s="56" t="n">
        <v>23.2</v>
      </c>
      <c r="F2780" s="56" t="n">
        <v>0</v>
      </c>
      <c r="G2780" s="56" t="n">
        <v>5.3</v>
      </c>
      <c r="H2780" s="56" t="n">
        <v>0</v>
      </c>
      <c r="I2780" s="56" t="n">
        <v>12.2</v>
      </c>
      <c r="J2780" s="56" t="n">
        <v>0</v>
      </c>
      <c r="K2780" s="56" t="n">
        <v>1029.9</v>
      </c>
      <c r="L2780" s="56" t="n">
        <v>0</v>
      </c>
      <c r="M2780" s="56" t="n">
        <v>62</v>
      </c>
      <c r="N2780" s="56" t="n">
        <v>14</v>
      </c>
      <c r="O2780" s="56" t="n">
        <f aca="false">IF(D2780=1,"",E2779)</f>
        <v>19.1</v>
      </c>
      <c r="P2780" s="56" t="n">
        <f aca="false">IF(OR(D2780=1,K2779=""),"",K2779)</f>
        <v>1028.7</v>
      </c>
      <c r="Q2780" s="56" t="n">
        <f aca="false">IF(OR(F2780&lt;&gt;0,AND(I2780&lt;&gt;"",E2780&lt;I2780)),1,0)</f>
        <v>0</v>
      </c>
      <c r="R2780" s="56" t="n">
        <f aca="false">IF(AND(D2780&gt;1,Q2780=0,ISNUMBER(O2780),ISNUMBER(P2780)),IF(Q2779=0,1,0),0)</f>
        <v>1</v>
      </c>
      <c r="S2780" s="56" t="n">
        <f aca="false">R2780*(B2780&gt;=Train_Start)*(B2780&lt;=Train_End)</f>
        <v>1</v>
      </c>
      <c r="T2780" s="84" t="n">
        <f aca="false">IF(AND(ISNUMBER(O2780),ISNUMBER(P2780)),Coef_A+Coef_B1*O2780+Coef_B2*P2780,"")</f>
        <v>20.0065646190953</v>
      </c>
      <c r="U2780" s="84" t="n">
        <f aca="false">IF(AND(R2780=1,ISNUMBER(T2780)),E2780-T2780,"")</f>
        <v>3.19343538090465</v>
      </c>
      <c r="V2780" s="84" t="n">
        <f aca="false">IF(ISNUMBER(T2780),T2780,-99)</f>
        <v>20.0065646190953</v>
      </c>
      <c r="W2780" s="84" t="n">
        <f aca="false">IF(ISNUMBER(U2780),ABS(U2780),"")</f>
        <v>3.19343538090465</v>
      </c>
    </row>
    <row r="2781" customFormat="false" ht="15" hidden="false" customHeight="false" outlineLevel="0" collapsed="false">
      <c r="A2781" s="57" t="n">
        <v>35576</v>
      </c>
      <c r="B2781" s="56" t="n">
        <v>1997</v>
      </c>
      <c r="C2781" s="56" t="n">
        <v>5</v>
      </c>
      <c r="D2781" s="56" t="n">
        <v>26</v>
      </c>
      <c r="E2781" s="56" t="n">
        <v>20</v>
      </c>
      <c r="F2781" s="56" t="n">
        <v>0</v>
      </c>
      <c r="G2781" s="56" t="n">
        <v>6.8</v>
      </c>
      <c r="H2781" s="56" t="n">
        <v>0</v>
      </c>
      <c r="I2781" s="56" t="n">
        <v>15</v>
      </c>
      <c r="J2781" s="56" t="n">
        <v>0</v>
      </c>
      <c r="K2781" s="56" t="n">
        <v>1026</v>
      </c>
      <c r="L2781" s="56" t="n">
        <v>0</v>
      </c>
      <c r="M2781" s="56" t="n">
        <v>62</v>
      </c>
      <c r="N2781" s="56" t="n">
        <v>14</v>
      </c>
      <c r="O2781" s="56" t="n">
        <f aca="false">IF(D2781=1,"",E2780)</f>
        <v>23.2</v>
      </c>
      <c r="P2781" s="56" t="n">
        <f aca="false">IF(OR(D2781=1,K2780=""),"",K2780)</f>
        <v>1029.9</v>
      </c>
      <c r="Q2781" s="56" t="n">
        <f aca="false">IF(OR(F2781&lt;&gt;0,AND(I2781&lt;&gt;"",E2781&lt;I2781)),1,0)</f>
        <v>0</v>
      </c>
      <c r="R2781" s="56" t="n">
        <f aca="false">IF(AND(D2781&gt;1,Q2781=0,ISNUMBER(O2781),ISNUMBER(P2781)),IF(Q2780=0,1,0),0)</f>
        <v>1</v>
      </c>
      <c r="S2781" s="56" t="n">
        <f aca="false">R2781*(B2781&gt;=Train_Start)*(B2781&lt;=Train_End)</f>
        <v>1</v>
      </c>
      <c r="T2781" s="84" t="n">
        <f aca="false">IF(AND(ISNUMBER(O2781),ISNUMBER(P2781)),Coef_A+Coef_B1*O2781+Coef_B2*P2781,"")</f>
        <v>23.403499184131</v>
      </c>
      <c r="U2781" s="84" t="n">
        <f aca="false">IF(AND(R2781=1,ISNUMBER(T2781)),E2781-T2781,"")</f>
        <v>-3.40349918413103</v>
      </c>
      <c r="V2781" s="84" t="n">
        <f aca="false">IF(ISNUMBER(T2781),T2781,-99)</f>
        <v>23.403499184131</v>
      </c>
      <c r="W2781" s="84" t="n">
        <f aca="false">IF(ISNUMBER(U2781),ABS(U2781),"")</f>
        <v>3.40349918413103</v>
      </c>
    </row>
    <row r="2782" customFormat="false" ht="15" hidden="false" customHeight="false" outlineLevel="0" collapsed="false">
      <c r="A2782" s="57" t="n">
        <v>35577</v>
      </c>
      <c r="B2782" s="56" t="n">
        <v>1997</v>
      </c>
      <c r="C2782" s="56" t="n">
        <v>5</v>
      </c>
      <c r="D2782" s="56" t="n">
        <v>27</v>
      </c>
      <c r="E2782" s="56" t="n">
        <v>17.9</v>
      </c>
      <c r="F2782" s="56" t="n">
        <v>0</v>
      </c>
      <c r="G2782" s="56" t="n">
        <v>11</v>
      </c>
      <c r="H2782" s="56" t="n">
        <v>0</v>
      </c>
      <c r="I2782" s="56" t="n">
        <v>15.5</v>
      </c>
      <c r="J2782" s="56" t="n">
        <v>0</v>
      </c>
      <c r="K2782" s="56" t="n">
        <v>1026.5</v>
      </c>
      <c r="L2782" s="56" t="n">
        <v>0</v>
      </c>
      <c r="M2782" s="56" t="n">
        <v>60</v>
      </c>
      <c r="N2782" s="56" t="n">
        <v>12</v>
      </c>
      <c r="O2782" s="56" t="n">
        <f aca="false">IF(D2782=1,"",E2781)</f>
        <v>20</v>
      </c>
      <c r="P2782" s="56" t="n">
        <f aca="false">IF(OR(D2782=1,K2781=""),"",K2781)</f>
        <v>1026</v>
      </c>
      <c r="Q2782" s="56" t="n">
        <f aca="false">IF(OR(F2782&lt;&gt;0,AND(I2782&lt;&gt;"",E2782&lt;I2782)),1,0)</f>
        <v>0</v>
      </c>
      <c r="R2782" s="56" t="n">
        <f aca="false">IF(AND(D2782&gt;1,Q2782=0,ISNUMBER(O2782),ISNUMBER(P2782)),IF(Q2781=0,1,0),0)</f>
        <v>1</v>
      </c>
      <c r="S2782" s="56" t="n">
        <f aca="false">R2782*(B2782&gt;=Train_Start)*(B2782&lt;=Train_End)</f>
        <v>1</v>
      </c>
      <c r="T2782" s="84" t="n">
        <f aca="false">IF(AND(ISNUMBER(O2782),ISNUMBER(P2782)),Coef_A+Coef_B1*O2782+Coef_B2*P2782,"")</f>
        <v>20.659271177322</v>
      </c>
      <c r="U2782" s="84" t="n">
        <f aca="false">IF(AND(R2782=1,ISNUMBER(T2782)),E2782-T2782,"")</f>
        <v>-2.75927117732197</v>
      </c>
      <c r="V2782" s="84" t="n">
        <f aca="false">IF(ISNUMBER(T2782),T2782,-99)</f>
        <v>20.659271177322</v>
      </c>
      <c r="W2782" s="84" t="n">
        <f aca="false">IF(ISNUMBER(U2782),ABS(U2782),"")</f>
        <v>2.75927117732197</v>
      </c>
    </row>
    <row r="2783" customFormat="false" ht="15" hidden="false" customHeight="false" outlineLevel="0" collapsed="false">
      <c r="A2783" s="57" t="n">
        <v>35578</v>
      </c>
      <c r="B2783" s="56" t="n">
        <v>1997</v>
      </c>
      <c r="C2783" s="56" t="n">
        <v>5</v>
      </c>
      <c r="D2783" s="56" t="n">
        <v>28</v>
      </c>
      <c r="E2783" s="56" t="n">
        <v>23.2</v>
      </c>
      <c r="F2783" s="56" t="n">
        <v>0</v>
      </c>
      <c r="G2783" s="56" t="n">
        <v>7.4</v>
      </c>
      <c r="H2783" s="56" t="n">
        <v>0</v>
      </c>
      <c r="I2783" s="56" t="n">
        <v>12.6</v>
      </c>
      <c r="J2783" s="56" t="n">
        <v>0</v>
      </c>
      <c r="K2783" s="56" t="n">
        <v>1030.2</v>
      </c>
      <c r="L2783" s="56" t="n">
        <v>0</v>
      </c>
      <c r="M2783" s="56" t="n">
        <v>60</v>
      </c>
      <c r="N2783" s="56" t="n">
        <v>11</v>
      </c>
      <c r="O2783" s="56" t="n">
        <f aca="false">IF(D2783=1,"",E2782)</f>
        <v>17.9</v>
      </c>
      <c r="P2783" s="56" t="n">
        <f aca="false">IF(OR(D2783=1,K2782=""),"",K2782)</f>
        <v>1026.5</v>
      </c>
      <c r="Q2783" s="56" t="n">
        <f aca="false">IF(OR(F2783&lt;&gt;0,AND(I2783&lt;&gt;"",E2783&lt;I2783)),1,0)</f>
        <v>0</v>
      </c>
      <c r="R2783" s="56" t="n">
        <f aca="false">IF(AND(D2783&gt;1,Q2783=0,ISNUMBER(O2783),ISNUMBER(P2783)),IF(Q2782=0,1,0),0)</f>
        <v>1</v>
      </c>
      <c r="S2783" s="56" t="n">
        <f aca="false">R2783*(B2783&gt;=Train_Start)*(B2783&lt;=Train_End)</f>
        <v>1</v>
      </c>
      <c r="T2783" s="84" t="n">
        <f aca="false">IF(AND(ISNUMBER(O2783),ISNUMBER(P2783)),Coef_A+Coef_B1*O2783+Coef_B2*P2783,"")</f>
        <v>18.9543438192494</v>
      </c>
      <c r="U2783" s="84" t="n">
        <f aca="false">IF(AND(R2783=1,ISNUMBER(T2783)),E2783-T2783,"")</f>
        <v>4.24565618075063</v>
      </c>
      <c r="V2783" s="84" t="n">
        <f aca="false">IF(ISNUMBER(T2783),T2783,-99)</f>
        <v>18.9543438192494</v>
      </c>
      <c r="W2783" s="84" t="n">
        <f aca="false">IF(ISNUMBER(U2783),ABS(U2783),"")</f>
        <v>4.24565618075063</v>
      </c>
    </row>
    <row r="2784" customFormat="false" ht="15" hidden="false" customHeight="false" outlineLevel="0" collapsed="false">
      <c r="A2784" s="57" t="n">
        <v>35579</v>
      </c>
      <c r="B2784" s="56" t="n">
        <v>1997</v>
      </c>
      <c r="C2784" s="56" t="n">
        <v>5</v>
      </c>
      <c r="D2784" s="56" t="n">
        <v>29</v>
      </c>
      <c r="E2784" s="56" t="n">
        <v>24.3</v>
      </c>
      <c r="F2784" s="56" t="n">
        <v>0</v>
      </c>
      <c r="G2784" s="56" t="n">
        <v>7.8</v>
      </c>
      <c r="H2784" s="56" t="n">
        <v>0</v>
      </c>
      <c r="I2784" s="56" t="n">
        <v>15.5</v>
      </c>
      <c r="J2784" s="56" t="n">
        <v>0</v>
      </c>
      <c r="K2784" s="56" t="n">
        <v>1029</v>
      </c>
      <c r="L2784" s="56" t="n">
        <v>0</v>
      </c>
      <c r="M2784" s="56" t="n">
        <v>56</v>
      </c>
      <c r="N2784" s="56" t="n">
        <v>14.9</v>
      </c>
      <c r="O2784" s="56" t="n">
        <f aca="false">IF(D2784=1,"",E2783)</f>
        <v>23.2</v>
      </c>
      <c r="P2784" s="56" t="n">
        <f aca="false">IF(OR(D2784=1,K2783=""),"",K2783)</f>
        <v>1030.2</v>
      </c>
      <c r="Q2784" s="56" t="n">
        <f aca="false">IF(OR(F2784&lt;&gt;0,AND(I2784&lt;&gt;"",E2784&lt;I2784)),1,0)</f>
        <v>0</v>
      </c>
      <c r="R2784" s="56" t="n">
        <f aca="false">IF(AND(D2784&gt;1,Q2784=0,ISNUMBER(O2784),ISNUMBER(P2784)),IF(Q2783=0,1,0),0)</f>
        <v>1</v>
      </c>
      <c r="S2784" s="56" t="n">
        <f aca="false">R2784*(B2784&gt;=Train_Start)*(B2784&lt;=Train_End)</f>
        <v>1</v>
      </c>
      <c r="T2784" s="84" t="n">
        <f aca="false">IF(AND(ISNUMBER(O2784),ISNUMBER(P2784)),Coef_A+Coef_B1*O2784+Coef_B2*P2784,"")</f>
        <v>23.4129101525212</v>
      </c>
      <c r="U2784" s="84" t="n">
        <f aca="false">IF(AND(R2784=1,ISNUMBER(T2784)),E2784-T2784,"")</f>
        <v>0.887089847478773</v>
      </c>
      <c r="V2784" s="84" t="n">
        <f aca="false">IF(ISNUMBER(T2784),T2784,-99)</f>
        <v>23.4129101525212</v>
      </c>
      <c r="W2784" s="84" t="n">
        <f aca="false">IF(ISNUMBER(U2784),ABS(U2784),"")</f>
        <v>0.887089847478773</v>
      </c>
    </row>
    <row r="2785" customFormat="false" ht="15" hidden="false" customHeight="false" outlineLevel="0" collapsed="false">
      <c r="A2785" s="57" t="n">
        <v>35580</v>
      </c>
      <c r="B2785" s="56" t="n">
        <v>1997</v>
      </c>
      <c r="C2785" s="56" t="n">
        <v>5</v>
      </c>
      <c r="D2785" s="56" t="n">
        <v>30</v>
      </c>
      <c r="E2785" s="56" t="n">
        <v>23.2</v>
      </c>
      <c r="F2785" s="56" t="n">
        <v>0</v>
      </c>
      <c r="G2785" s="56" t="n">
        <v>10.1</v>
      </c>
      <c r="H2785" s="56" t="n">
        <v>0</v>
      </c>
      <c r="I2785" s="56" t="n">
        <v>17.2</v>
      </c>
      <c r="J2785" s="56" t="n">
        <v>0</v>
      </c>
      <c r="K2785" s="56" t="n">
        <v>1028.3</v>
      </c>
      <c r="L2785" s="56" t="n">
        <v>0</v>
      </c>
      <c r="M2785" s="56" t="n">
        <v>47</v>
      </c>
      <c r="N2785" s="56" t="n">
        <v>15.2</v>
      </c>
      <c r="O2785" s="56" t="n">
        <f aca="false">IF(D2785=1,"",E2784)</f>
        <v>24.3</v>
      </c>
      <c r="P2785" s="56" t="n">
        <f aca="false">IF(OR(D2785=1,K2784=""),"",K2784)</f>
        <v>1029</v>
      </c>
      <c r="Q2785" s="56" t="n">
        <f aca="false">IF(OR(F2785&lt;&gt;0,AND(I2785&lt;&gt;"",E2785&lt;I2785)),1,0)</f>
        <v>0</v>
      </c>
      <c r="R2785" s="56" t="n">
        <f aca="false">IF(AND(D2785&gt;1,Q2785=0,ISNUMBER(O2785),ISNUMBER(P2785)),IF(Q2784=0,1,0),0)</f>
        <v>1</v>
      </c>
      <c r="S2785" s="56" t="n">
        <f aca="false">R2785*(B2785&gt;=Train_Start)*(B2785&lt;=Train_End)</f>
        <v>1</v>
      </c>
      <c r="T2785" s="84" t="n">
        <f aca="false">IF(AND(ISNUMBER(O2785),ISNUMBER(P2785)),Coef_A+Coef_B1*O2785+Coef_B2*P2785,"")</f>
        <v>24.2765393913074</v>
      </c>
      <c r="U2785" s="84" t="n">
        <f aca="false">IF(AND(R2785=1,ISNUMBER(T2785)),E2785-T2785,"")</f>
        <v>-1.07653939130736</v>
      </c>
      <c r="V2785" s="84" t="n">
        <f aca="false">IF(ISNUMBER(T2785),T2785,-99)</f>
        <v>24.2765393913074</v>
      </c>
      <c r="W2785" s="84" t="n">
        <f aca="false">IF(ISNUMBER(U2785),ABS(U2785),"")</f>
        <v>1.07653939130736</v>
      </c>
    </row>
    <row r="2786" customFormat="false" ht="15" hidden="false" customHeight="false" outlineLevel="0" collapsed="false">
      <c r="A2786" s="57" t="n">
        <v>35581</v>
      </c>
      <c r="B2786" s="56" t="n">
        <v>1997</v>
      </c>
      <c r="C2786" s="56" t="n">
        <v>5</v>
      </c>
      <c r="D2786" s="56" t="n">
        <v>31</v>
      </c>
      <c r="E2786" s="56" t="n">
        <v>19.7</v>
      </c>
      <c r="F2786" s="56" t="n">
        <v>0</v>
      </c>
      <c r="G2786" s="56" t="n">
        <v>10.2</v>
      </c>
      <c r="H2786" s="56" t="n">
        <v>0</v>
      </c>
      <c r="I2786" s="56" t="n">
        <v>16.7</v>
      </c>
      <c r="J2786" s="56" t="n">
        <v>0</v>
      </c>
      <c r="K2786" s="56" t="n">
        <v>1025.5</v>
      </c>
      <c r="L2786" s="56" t="n">
        <v>0</v>
      </c>
      <c r="M2786" s="56" t="n">
        <v>44</v>
      </c>
      <c r="N2786" s="56" t="n">
        <v>15</v>
      </c>
      <c r="O2786" s="56" t="n">
        <f aca="false">IF(D2786=1,"",E2785)</f>
        <v>23.2</v>
      </c>
      <c r="P2786" s="56" t="n">
        <f aca="false">IF(OR(D2786=1,K2785=""),"",K2785)</f>
        <v>1028.3</v>
      </c>
      <c r="Q2786" s="56" t="n">
        <f aca="false">IF(OR(F2786&lt;&gt;0,AND(I2786&lt;&gt;"",E2786&lt;I2786)),1,0)</f>
        <v>0</v>
      </c>
      <c r="R2786" s="56" t="n">
        <f aca="false">IF(AND(D2786&gt;1,Q2786=0,ISNUMBER(O2786),ISNUMBER(P2786)),IF(Q2785=0,1,0),0)</f>
        <v>1</v>
      </c>
      <c r="S2786" s="56" t="n">
        <f aca="false">R2786*(B2786&gt;=Train_Start)*(B2786&lt;=Train_End)</f>
        <v>1</v>
      </c>
      <c r="T2786" s="84" t="n">
        <f aca="false">IF(AND(ISNUMBER(O2786),ISNUMBER(P2786)),Coef_A+Coef_B1*O2786+Coef_B2*P2786,"")</f>
        <v>23.3533073527166</v>
      </c>
      <c r="U2786" s="84" t="n">
        <f aca="false">IF(AND(R2786=1,ISNUMBER(T2786)),E2786-T2786,"")</f>
        <v>-3.65330735271664</v>
      </c>
      <c r="V2786" s="84" t="n">
        <f aca="false">IF(ISNUMBER(T2786),T2786,-99)</f>
        <v>23.3533073527166</v>
      </c>
      <c r="W2786" s="84" t="n">
        <f aca="false">IF(ISNUMBER(U2786),ABS(U2786),"")</f>
        <v>3.65330735271664</v>
      </c>
    </row>
    <row r="2787" customFormat="false" ht="15" hidden="false" customHeight="false" outlineLevel="0" collapsed="false">
      <c r="A2787" s="57" t="n">
        <v>35582</v>
      </c>
      <c r="B2787" s="56" t="n">
        <v>1997</v>
      </c>
      <c r="C2787" s="56" t="n">
        <v>6</v>
      </c>
      <c r="D2787" s="56" t="n">
        <v>32</v>
      </c>
      <c r="E2787" s="56" t="n">
        <v>22.1</v>
      </c>
      <c r="F2787" s="56" t="n">
        <v>0</v>
      </c>
      <c r="G2787" s="56" t="n">
        <v>11.2</v>
      </c>
      <c r="H2787" s="56" t="n">
        <v>0</v>
      </c>
      <c r="I2787" s="56" t="n">
        <v>15.4</v>
      </c>
      <c r="J2787" s="56" t="n">
        <v>0</v>
      </c>
      <c r="K2787" s="56" t="n">
        <v>1022.5</v>
      </c>
      <c r="L2787" s="56" t="n">
        <v>0</v>
      </c>
      <c r="M2787" s="56" t="n">
        <v>43</v>
      </c>
      <c r="N2787" s="56" t="n">
        <v>15.2</v>
      </c>
      <c r="O2787" s="56" t="n">
        <f aca="false">IF(D2787=1,"",E2786)</f>
        <v>19.7</v>
      </c>
      <c r="P2787" s="56" t="n">
        <f aca="false">IF(OR(D2787=1,K2786=""),"",K2786)</f>
        <v>1025.5</v>
      </c>
      <c r="Q2787" s="56" t="n">
        <f aca="false">IF(OR(F2787&lt;&gt;0,AND(I2787&lt;&gt;"",E2787&lt;I2787)),1,0)</f>
        <v>0</v>
      </c>
      <c r="R2787" s="56" t="n">
        <f aca="false">IF(AND(D2787&gt;1,Q2787=0,ISNUMBER(O2787),ISNUMBER(P2787)),IF(Q2786=0,1,0),0)</f>
        <v>1</v>
      </c>
      <c r="S2787" s="56" t="n">
        <f aca="false">R2787*(B2787&gt;=Train_Start)*(B2787&lt;=Train_End)</f>
        <v>1</v>
      </c>
      <c r="T2787" s="84" t="n">
        <f aca="false">IF(AND(ISNUMBER(O2787),ISNUMBER(P2787)),Coef_A+Coef_B1*O2787+Coef_B2*P2787,"")</f>
        <v>20.3977844720922</v>
      </c>
      <c r="U2787" s="84" t="n">
        <f aca="false">IF(AND(R2787=1,ISNUMBER(T2787)),E2787-T2787,"")</f>
        <v>1.70221552790783</v>
      </c>
      <c r="V2787" s="84" t="n">
        <f aca="false">IF(ISNUMBER(T2787),T2787,-99)</f>
        <v>20.3977844720922</v>
      </c>
      <c r="W2787" s="84" t="n">
        <f aca="false">IF(ISNUMBER(U2787),ABS(U2787),"")</f>
        <v>1.70221552790783</v>
      </c>
    </row>
    <row r="2788" customFormat="false" ht="15" hidden="false" customHeight="false" outlineLevel="0" collapsed="false">
      <c r="A2788" s="57" t="n">
        <v>35583</v>
      </c>
      <c r="B2788" s="56" t="n">
        <v>1997</v>
      </c>
      <c r="C2788" s="56" t="n">
        <v>6</v>
      </c>
      <c r="D2788" s="56" t="n">
        <v>33</v>
      </c>
      <c r="E2788" s="56" t="n">
        <v>22.8</v>
      </c>
      <c r="F2788" s="56" t="n">
        <v>0</v>
      </c>
      <c r="G2788" s="56" t="n">
        <v>12.6</v>
      </c>
      <c r="H2788" s="56" t="n">
        <v>0</v>
      </c>
      <c r="I2788" s="56" t="n">
        <v>17.4</v>
      </c>
      <c r="J2788" s="56" t="n">
        <v>0</v>
      </c>
      <c r="K2788" s="56" t="n">
        <v>1017.4</v>
      </c>
      <c r="L2788" s="56" t="n">
        <v>0</v>
      </c>
      <c r="M2788" s="56" t="n">
        <v>47</v>
      </c>
      <c r="N2788" s="56" t="n">
        <v>9.5</v>
      </c>
      <c r="O2788" s="56" t="n">
        <f aca="false">IF(D2788=1,"",E2787)</f>
        <v>22.1</v>
      </c>
      <c r="P2788" s="56" t="n">
        <f aca="false">IF(OR(D2788=1,K2787=""),"",K2787)</f>
        <v>1022.5</v>
      </c>
      <c r="Q2788" s="56" t="n">
        <f aca="false">IF(OR(F2788&lt;&gt;0,AND(I2788&lt;&gt;"",E2788&lt;I2788)),1,0)</f>
        <v>0</v>
      </c>
      <c r="R2788" s="56" t="n">
        <f aca="false">IF(AND(D2788&gt;1,Q2788=0,ISNUMBER(O2788),ISNUMBER(P2788)),IF(Q2787=0,1,0),0)</f>
        <v>1</v>
      </c>
      <c r="S2788" s="56" t="n">
        <f aca="false">R2788*(B2788&gt;=Train_Start)*(B2788&lt;=Train_End)</f>
        <v>1</v>
      </c>
      <c r="T2788" s="84" t="n">
        <f aca="false">IF(AND(ISNUMBER(O2788),ISNUMBER(P2788)),Coef_A+Coef_B1*O2788+Coef_B2*P2788,"")</f>
        <v>22.2700888514926</v>
      </c>
      <c r="U2788" s="84" t="n">
        <f aca="false">IF(AND(R2788=1,ISNUMBER(T2788)),E2788-T2788,"")</f>
        <v>0.529911148507413</v>
      </c>
      <c r="V2788" s="84" t="n">
        <f aca="false">IF(ISNUMBER(T2788),T2788,-99)</f>
        <v>22.2700888514926</v>
      </c>
      <c r="W2788" s="84" t="n">
        <f aca="false">IF(ISNUMBER(U2788),ABS(U2788),"")</f>
        <v>0.529911148507413</v>
      </c>
    </row>
    <row r="2789" customFormat="false" ht="15" hidden="false" customHeight="false" outlineLevel="0" collapsed="false">
      <c r="A2789" s="57" t="n">
        <v>35584</v>
      </c>
      <c r="B2789" s="56" t="n">
        <v>1997</v>
      </c>
      <c r="C2789" s="56" t="n">
        <v>6</v>
      </c>
      <c r="D2789" s="56" t="n">
        <v>34</v>
      </c>
      <c r="E2789" s="56" t="n">
        <v>22.8</v>
      </c>
      <c r="F2789" s="56" t="n">
        <v>0</v>
      </c>
      <c r="G2789" s="56" t="n">
        <v>10.1</v>
      </c>
      <c r="H2789" s="56" t="n">
        <v>0</v>
      </c>
      <c r="I2789" s="56" t="n">
        <v>16.4</v>
      </c>
      <c r="J2789" s="56" t="n">
        <v>0</v>
      </c>
      <c r="K2789" s="56" t="n">
        <v>1018.1</v>
      </c>
      <c r="L2789" s="56" t="n">
        <v>0</v>
      </c>
      <c r="M2789" s="56" t="n">
        <v>56</v>
      </c>
      <c r="N2789" s="56" t="n">
        <v>8.5</v>
      </c>
      <c r="O2789" s="56" t="n">
        <f aca="false">IF(D2789=1,"",E2788)</f>
        <v>22.8</v>
      </c>
      <c r="P2789" s="56" t="n">
        <f aca="false">IF(OR(D2789=1,K2788=""),"",K2788)</f>
        <v>1017.4</v>
      </c>
      <c r="Q2789" s="56" t="n">
        <f aca="false">IF(OR(F2789&lt;&gt;0,AND(I2789&lt;&gt;"",E2789&lt;I2789)),1,0)</f>
        <v>0</v>
      </c>
      <c r="R2789" s="56" t="n">
        <f aca="false">IF(AND(D2789&gt;1,Q2789=0,ISNUMBER(O2789),ISNUMBER(P2789)),IF(Q2788=0,1,0),0)</f>
        <v>1</v>
      </c>
      <c r="S2789" s="56" t="n">
        <f aca="false">R2789*(B2789&gt;=Train_Start)*(B2789&lt;=Train_End)</f>
        <v>1</v>
      </c>
      <c r="T2789" s="84" t="n">
        <f aca="false">IF(AND(ISNUMBER(O2789),ISNUMBER(P2789)),Coef_A+Coef_B1*O2789+Coef_B2*P2789,"")</f>
        <v>22.6836398239891</v>
      </c>
      <c r="U2789" s="84" t="n">
        <f aca="false">IF(AND(R2789=1,ISNUMBER(T2789)),E2789-T2789,"")</f>
        <v>0.1163601760109</v>
      </c>
      <c r="V2789" s="84" t="n">
        <f aca="false">IF(ISNUMBER(T2789),T2789,-99)</f>
        <v>22.6836398239891</v>
      </c>
      <c r="W2789" s="84" t="n">
        <f aca="false">IF(ISNUMBER(U2789),ABS(U2789),"")</f>
        <v>0.1163601760109</v>
      </c>
    </row>
    <row r="2790" customFormat="false" ht="15" hidden="false" customHeight="false" outlineLevel="0" collapsed="false">
      <c r="A2790" s="57" t="n">
        <v>35585</v>
      </c>
      <c r="B2790" s="56" t="n">
        <v>1997</v>
      </c>
      <c r="C2790" s="56" t="n">
        <v>6</v>
      </c>
      <c r="D2790" s="56" t="n">
        <v>35</v>
      </c>
      <c r="E2790" s="56" t="n">
        <v>26.7</v>
      </c>
      <c r="F2790" s="56" t="n">
        <v>0</v>
      </c>
      <c r="G2790" s="56" t="n">
        <v>9.7</v>
      </c>
      <c r="H2790" s="56" t="n">
        <v>0</v>
      </c>
      <c r="I2790" s="56" t="n">
        <v>16.2</v>
      </c>
      <c r="J2790" s="56" t="n">
        <v>0</v>
      </c>
      <c r="K2790" s="56" t="n">
        <v>1016.4</v>
      </c>
      <c r="L2790" s="56" t="n">
        <v>0</v>
      </c>
      <c r="M2790" s="56" t="n">
        <v>62</v>
      </c>
      <c r="N2790" s="56" t="n">
        <v>10.7</v>
      </c>
      <c r="O2790" s="56" t="n">
        <f aca="false">IF(D2790=1,"",E2789)</f>
        <v>22.8</v>
      </c>
      <c r="P2790" s="56" t="n">
        <f aca="false">IF(OR(D2790=1,K2789=""),"",K2789)</f>
        <v>1018.1</v>
      </c>
      <c r="Q2790" s="56" t="n">
        <f aca="false">IF(OR(F2790&lt;&gt;0,AND(I2790&lt;&gt;"",E2790&lt;I2790)),1,0)</f>
        <v>0</v>
      </c>
      <c r="R2790" s="56" t="n">
        <f aca="false">IF(AND(D2790&gt;1,Q2790=0,ISNUMBER(O2790),ISNUMBER(P2790)),IF(Q2789=0,1,0),0)</f>
        <v>1</v>
      </c>
      <c r="S2790" s="56" t="n">
        <f aca="false">R2790*(B2790&gt;=Train_Start)*(B2790&lt;=Train_End)</f>
        <v>1</v>
      </c>
      <c r="T2790" s="84" t="n">
        <f aca="false">IF(AND(ISNUMBER(O2790),ISNUMBER(P2790)),Coef_A+Coef_B1*O2790+Coef_B2*P2790,"")</f>
        <v>22.7055987502329</v>
      </c>
      <c r="U2790" s="84" t="n">
        <f aca="false">IF(AND(R2790=1,ISNUMBER(T2790)),E2790-T2790,"")</f>
        <v>3.9944012497671</v>
      </c>
      <c r="V2790" s="84" t="n">
        <f aca="false">IF(ISNUMBER(T2790),T2790,-99)</f>
        <v>22.7055987502329</v>
      </c>
      <c r="W2790" s="84" t="n">
        <f aca="false">IF(ISNUMBER(U2790),ABS(U2790),"")</f>
        <v>3.9944012497671</v>
      </c>
    </row>
    <row r="2791" customFormat="false" ht="15" hidden="false" customHeight="false" outlineLevel="0" collapsed="false">
      <c r="A2791" s="57" t="n">
        <v>35586</v>
      </c>
      <c r="B2791" s="56" t="n">
        <v>1997</v>
      </c>
      <c r="C2791" s="56" t="n">
        <v>6</v>
      </c>
      <c r="D2791" s="56" t="n">
        <v>36</v>
      </c>
      <c r="E2791" s="56" t="n">
        <v>25.9</v>
      </c>
      <c r="F2791" s="56" t="n">
        <v>0</v>
      </c>
      <c r="G2791" s="56" t="n">
        <v>12.6</v>
      </c>
      <c r="H2791" s="56" t="n">
        <v>0</v>
      </c>
      <c r="I2791" s="56" t="n">
        <v>19.6</v>
      </c>
      <c r="J2791" s="56" t="n">
        <v>0</v>
      </c>
      <c r="K2791" s="56" t="n">
        <v>1005.5</v>
      </c>
      <c r="L2791" s="56" t="n">
        <v>0</v>
      </c>
      <c r="M2791" s="56" t="n">
        <v>63</v>
      </c>
      <c r="N2791" s="56" t="n">
        <v>4.5</v>
      </c>
      <c r="O2791" s="56" t="n">
        <f aca="false">IF(D2791=1,"",E2790)</f>
        <v>26.7</v>
      </c>
      <c r="P2791" s="56" t="n">
        <f aca="false">IF(OR(D2791=1,K2790=""),"",K2790)</f>
        <v>1016.4</v>
      </c>
      <c r="Q2791" s="56" t="n">
        <f aca="false">IF(OR(F2791&lt;&gt;0,AND(I2791&lt;&gt;"",E2791&lt;I2791)),1,0)</f>
        <v>0</v>
      </c>
      <c r="R2791" s="56" t="n">
        <f aca="false">IF(AND(D2791&gt;1,Q2791=0,ISNUMBER(O2791),ISNUMBER(P2791)),IF(Q2790=0,1,0),0)</f>
        <v>1</v>
      </c>
      <c r="S2791" s="56" t="n">
        <f aca="false">R2791*(B2791&gt;=Train_Start)*(B2791&lt;=Train_End)</f>
        <v>1</v>
      </c>
      <c r="T2791" s="84" t="n">
        <f aca="false">IF(AND(ISNUMBER(O2791),ISNUMBER(P2791)),Coef_A+Coef_B1*O2791+Coef_B2*P2791,"")</f>
        <v>25.8476927822215</v>
      </c>
      <c r="U2791" s="84" t="n">
        <f aca="false">IF(AND(R2791=1,ISNUMBER(T2791)),E2791-T2791,"")</f>
        <v>0.0523072177785267</v>
      </c>
      <c r="V2791" s="84" t="n">
        <f aca="false">IF(ISNUMBER(T2791),T2791,-99)</f>
        <v>25.8476927822215</v>
      </c>
      <c r="W2791" s="84" t="n">
        <f aca="false">IF(ISNUMBER(U2791),ABS(U2791),"")</f>
        <v>0.0523072177785267</v>
      </c>
    </row>
    <row r="2792" customFormat="false" ht="15" hidden="false" customHeight="false" outlineLevel="0" collapsed="false">
      <c r="A2792" s="57" t="n">
        <v>35587</v>
      </c>
      <c r="B2792" s="56" t="n">
        <v>1997</v>
      </c>
      <c r="C2792" s="56" t="n">
        <v>6</v>
      </c>
      <c r="D2792" s="56" t="n">
        <v>37</v>
      </c>
      <c r="E2792" s="56" t="n">
        <v>24</v>
      </c>
      <c r="F2792" s="56" t="n">
        <v>0</v>
      </c>
      <c r="G2792" s="56" t="n">
        <v>14.4</v>
      </c>
      <c r="H2792" s="56" t="n">
        <v>0</v>
      </c>
      <c r="I2792" s="56" t="n">
        <v>20.2</v>
      </c>
      <c r="J2792" s="56" t="n">
        <v>0</v>
      </c>
      <c r="K2792" s="56" t="n">
        <v>1004.9</v>
      </c>
      <c r="L2792" s="56" t="n">
        <v>0</v>
      </c>
      <c r="M2792" s="56" t="n">
        <v>70</v>
      </c>
      <c r="N2792" s="56" t="n">
        <v>3.6</v>
      </c>
      <c r="O2792" s="56" t="n">
        <f aca="false">IF(D2792=1,"",E2791)</f>
        <v>25.9</v>
      </c>
      <c r="P2792" s="56" t="n">
        <f aca="false">IF(OR(D2792=1,K2791=""),"",K2791)</f>
        <v>1005.5</v>
      </c>
      <c r="Q2792" s="56" t="n">
        <f aca="false">IF(OR(F2792&lt;&gt;0,AND(I2792&lt;&gt;"",E2792&lt;I2792)),1,0)</f>
        <v>0</v>
      </c>
      <c r="R2792" s="56" t="n">
        <f aca="false">IF(AND(D2792&gt;1,Q2792=0,ISNUMBER(O2792),ISNUMBER(P2792)),IF(Q2791=0,1,0),0)</f>
        <v>1</v>
      </c>
      <c r="S2792" s="56" t="n">
        <f aca="false">R2792*(B2792&gt;=Train_Start)*(B2792&lt;=Train_End)</f>
        <v>1</v>
      </c>
      <c r="T2792" s="84" t="n">
        <f aca="false">IF(AND(ISNUMBER(O2792),ISNUMBER(P2792)),Coef_A+Coef_B1*O2792+Coef_B2*P2792,"")</f>
        <v>24.8502895762769</v>
      </c>
      <c r="U2792" s="84" t="n">
        <f aca="false">IF(AND(R2792=1,ISNUMBER(T2792)),E2792-T2792,"")</f>
        <v>-0.850289576276861</v>
      </c>
      <c r="V2792" s="84" t="n">
        <f aca="false">IF(ISNUMBER(T2792),T2792,-99)</f>
        <v>24.8502895762769</v>
      </c>
      <c r="W2792" s="84" t="n">
        <f aca="false">IF(ISNUMBER(U2792),ABS(U2792),"")</f>
        <v>0.850289576276861</v>
      </c>
    </row>
    <row r="2793" customFormat="false" ht="15" hidden="false" customHeight="false" outlineLevel="0" collapsed="false">
      <c r="A2793" s="57" t="n">
        <v>35588</v>
      </c>
      <c r="B2793" s="56" t="n">
        <v>1997</v>
      </c>
      <c r="C2793" s="56" t="n">
        <v>6</v>
      </c>
      <c r="D2793" s="56" t="n">
        <v>38</v>
      </c>
      <c r="E2793" s="56" t="n">
        <v>22.2</v>
      </c>
      <c r="F2793" s="56" t="n">
        <v>0</v>
      </c>
      <c r="G2793" s="56" t="n">
        <v>15.9</v>
      </c>
      <c r="H2793" s="56" t="n">
        <v>0</v>
      </c>
      <c r="I2793" s="56" t="n">
        <v>20</v>
      </c>
      <c r="J2793" s="56" t="n">
        <v>0</v>
      </c>
      <c r="K2793" s="56" t="n">
        <v>1006.7</v>
      </c>
      <c r="L2793" s="56" t="n">
        <v>0</v>
      </c>
      <c r="M2793" s="56" t="n">
        <v>71</v>
      </c>
      <c r="N2793" s="56" t="n">
        <v>7</v>
      </c>
      <c r="O2793" s="56" t="n">
        <f aca="false">IF(D2793=1,"",E2792)</f>
        <v>24</v>
      </c>
      <c r="P2793" s="56" t="n">
        <f aca="false">IF(OR(D2793=1,K2792=""),"",K2792)</f>
        <v>1004.9</v>
      </c>
      <c r="Q2793" s="56" t="n">
        <f aca="false">IF(OR(F2793&lt;&gt;0,AND(I2793&lt;&gt;"",E2793&lt;I2793)),1,0)</f>
        <v>0</v>
      </c>
      <c r="R2793" s="56" t="n">
        <f aca="false">IF(AND(D2793&gt;1,Q2793=0,ISNUMBER(O2793),ISNUMBER(P2793)),IF(Q2792=0,1,0),0)</f>
        <v>1</v>
      </c>
      <c r="S2793" s="56" t="n">
        <f aca="false">R2793*(B2793&gt;=Train_Start)*(B2793&lt;=Train_End)</f>
        <v>1</v>
      </c>
      <c r="T2793" s="84" t="n">
        <f aca="false">IF(AND(ISNUMBER(O2793),ISNUMBER(P2793)),Coef_A+Coef_B1*O2793+Coef_B2*P2793,"")</f>
        <v>23.2747231727154</v>
      </c>
      <c r="U2793" s="84" t="n">
        <f aca="false">IF(AND(R2793=1,ISNUMBER(T2793)),E2793-T2793,"")</f>
        <v>-1.07472317271542</v>
      </c>
      <c r="V2793" s="84" t="n">
        <f aca="false">IF(ISNUMBER(T2793),T2793,-99)</f>
        <v>23.2747231727154</v>
      </c>
      <c r="W2793" s="84" t="n">
        <f aca="false">IF(ISNUMBER(U2793),ABS(U2793),"")</f>
        <v>1.07472317271542</v>
      </c>
    </row>
    <row r="2794" customFormat="false" ht="15" hidden="false" customHeight="false" outlineLevel="0" collapsed="false">
      <c r="A2794" s="57" t="n">
        <v>35589</v>
      </c>
      <c r="B2794" s="56" t="n">
        <v>1997</v>
      </c>
      <c r="C2794" s="56" t="n">
        <v>6</v>
      </c>
      <c r="D2794" s="56" t="n">
        <v>39</v>
      </c>
      <c r="E2794" s="56" t="n">
        <v>22.8</v>
      </c>
      <c r="F2794" s="56" t="n">
        <v>0</v>
      </c>
      <c r="G2794" s="56" t="n">
        <v>14</v>
      </c>
      <c r="H2794" s="56" t="n">
        <v>0</v>
      </c>
      <c r="I2794" s="56" t="n">
        <v>18.1</v>
      </c>
      <c r="J2794" s="56" t="n">
        <v>0</v>
      </c>
      <c r="K2794" s="56" t="n">
        <v>1012.7</v>
      </c>
      <c r="L2794" s="56" t="n">
        <v>0</v>
      </c>
      <c r="M2794" s="56" t="n">
        <v>69</v>
      </c>
      <c r="N2794" s="56" t="n">
        <v>11.7</v>
      </c>
      <c r="O2794" s="56" t="n">
        <f aca="false">IF(D2794=1,"",E2793)</f>
        <v>22.2</v>
      </c>
      <c r="P2794" s="56" t="n">
        <f aca="false">IF(OR(D2794=1,K2793=""),"",K2793)</f>
        <v>1006.7</v>
      </c>
      <c r="Q2794" s="56" t="n">
        <f aca="false">IF(OR(F2794&lt;&gt;0,AND(I2794&lt;&gt;"",E2794&lt;I2794)),1,0)</f>
        <v>0</v>
      </c>
      <c r="R2794" s="56" t="n">
        <f aca="false">IF(AND(D2794&gt;1,Q2794=0,ISNUMBER(O2794),ISNUMBER(P2794)),IF(Q2793=0,1,0),0)</f>
        <v>1</v>
      </c>
      <c r="S2794" s="56" t="n">
        <f aca="false">R2794*(B2794&gt;=Train_Start)*(B2794&lt;=Train_End)</f>
        <v>1</v>
      </c>
      <c r="T2794" s="84" t="n">
        <f aca="false">IF(AND(ISNUMBER(O2794),ISNUMBER(P2794)),Coef_A+Coef_B1*O2794+Coef_B2*P2794,"")</f>
        <v>21.8563784355798</v>
      </c>
      <c r="U2794" s="84" t="n">
        <f aca="false">IF(AND(R2794=1,ISNUMBER(T2794)),E2794-T2794,"")</f>
        <v>0.94362156442018</v>
      </c>
      <c r="V2794" s="84" t="n">
        <f aca="false">IF(ISNUMBER(T2794),T2794,-99)</f>
        <v>21.8563784355798</v>
      </c>
      <c r="W2794" s="84" t="n">
        <f aca="false">IF(ISNUMBER(U2794),ABS(U2794),"")</f>
        <v>0.94362156442018</v>
      </c>
    </row>
    <row r="2795" customFormat="false" ht="15" hidden="false" customHeight="false" outlineLevel="0" collapsed="false">
      <c r="A2795" s="57" t="n">
        <v>35590</v>
      </c>
      <c r="B2795" s="56" t="n">
        <v>1997</v>
      </c>
      <c r="C2795" s="56" t="n">
        <v>6</v>
      </c>
      <c r="D2795" s="56" t="n">
        <v>40</v>
      </c>
      <c r="E2795" s="56" t="n">
        <v>26.3</v>
      </c>
      <c r="F2795" s="56" t="n">
        <v>0</v>
      </c>
      <c r="G2795" s="56" t="n">
        <v>10.2</v>
      </c>
      <c r="H2795" s="56" t="n">
        <v>0</v>
      </c>
      <c r="I2795" s="56" t="n">
        <v>16.5</v>
      </c>
      <c r="J2795" s="56" t="n">
        <v>0</v>
      </c>
      <c r="K2795" s="56" t="n">
        <v>1022</v>
      </c>
      <c r="L2795" s="56" t="n">
        <v>0</v>
      </c>
      <c r="M2795" s="56" t="n">
        <v>68</v>
      </c>
      <c r="N2795" s="56" t="n">
        <v>7.6</v>
      </c>
      <c r="O2795" s="56" t="n">
        <f aca="false">IF(D2795=1,"",E2794)</f>
        <v>22.8</v>
      </c>
      <c r="P2795" s="56" t="n">
        <f aca="false">IF(OR(D2795=1,K2794=""),"",K2794)</f>
        <v>1012.7</v>
      </c>
      <c r="Q2795" s="56" t="n">
        <f aca="false">IF(OR(F2795&lt;&gt;0,AND(I2795&lt;&gt;"",E2795&lt;I2795)),1,0)</f>
        <v>0</v>
      </c>
      <c r="R2795" s="56" t="n">
        <f aca="false">IF(AND(D2795&gt;1,Q2795=0,ISNUMBER(O2795),ISNUMBER(P2795)),IF(Q2794=0,1,0),0)</f>
        <v>1</v>
      </c>
      <c r="S2795" s="56" t="n">
        <f aca="false">R2795*(B2795&gt;=Train_Start)*(B2795&lt;=Train_End)</f>
        <v>1</v>
      </c>
      <c r="T2795" s="84" t="n">
        <f aca="false">IF(AND(ISNUMBER(O2795),ISNUMBER(P2795)),Coef_A+Coef_B1*O2795+Coef_B2*P2795,"")</f>
        <v>22.5362013192094</v>
      </c>
      <c r="U2795" s="84" t="n">
        <f aca="false">IF(AND(R2795=1,ISNUMBER(T2795)),E2795-T2795,"")</f>
        <v>3.76379868079065</v>
      </c>
      <c r="V2795" s="84" t="n">
        <f aca="false">IF(ISNUMBER(T2795),T2795,-99)</f>
        <v>22.5362013192094</v>
      </c>
      <c r="W2795" s="84" t="n">
        <f aca="false">IF(ISNUMBER(U2795),ABS(U2795),"")</f>
        <v>3.76379868079065</v>
      </c>
    </row>
    <row r="2796" customFormat="false" ht="15" hidden="false" customHeight="false" outlineLevel="0" collapsed="false">
      <c r="A2796" s="57" t="n">
        <v>35591</v>
      </c>
      <c r="B2796" s="56" t="n">
        <v>1997</v>
      </c>
      <c r="C2796" s="56" t="n">
        <v>6</v>
      </c>
      <c r="D2796" s="56" t="n">
        <v>41</v>
      </c>
      <c r="E2796" s="56" t="n">
        <v>24.5</v>
      </c>
      <c r="F2796" s="56" t="n">
        <v>0</v>
      </c>
      <c r="G2796" s="56" t="n">
        <v>14.1</v>
      </c>
      <c r="H2796" s="56" t="n">
        <v>0</v>
      </c>
      <c r="I2796" s="56" t="n">
        <v>20.2</v>
      </c>
      <c r="J2796" s="56" t="n">
        <v>0</v>
      </c>
      <c r="K2796" s="56" t="n">
        <v>1017.1</v>
      </c>
      <c r="L2796" s="56" t="n">
        <v>0</v>
      </c>
      <c r="M2796" s="56" t="n">
        <v>63</v>
      </c>
      <c r="N2796" s="56" t="n">
        <v>4.7</v>
      </c>
      <c r="O2796" s="56" t="n">
        <f aca="false">IF(D2796=1,"",E2795)</f>
        <v>26.3</v>
      </c>
      <c r="P2796" s="56" t="n">
        <f aca="false">IF(OR(D2796=1,K2795=""),"",K2795)</f>
        <v>1022</v>
      </c>
      <c r="Q2796" s="56" t="n">
        <f aca="false">IF(OR(F2796&lt;&gt;0,AND(I2796&lt;&gt;"",E2796&lt;I2796)),1,0)</f>
        <v>0</v>
      </c>
      <c r="R2796" s="56" t="n">
        <f aca="false">IF(AND(D2796&gt;1,Q2796=0,ISNUMBER(O2796),ISNUMBER(P2796)),IF(Q2795=0,1,0),0)</f>
        <v>1</v>
      </c>
      <c r="S2796" s="56" t="n">
        <f aca="false">R2796*(B2796&gt;=Train_Start)*(B2796&lt;=Train_End)</f>
        <v>1</v>
      </c>
      <c r="T2796" s="84" t="n">
        <f aca="false">IF(AND(ISNUMBER(O2796),ISNUMBER(P2796)),Coef_A+Coef_B1*O2796+Coef_B2*P2796,"")</f>
        <v>25.6956285149548</v>
      </c>
      <c r="U2796" s="84" t="n">
        <f aca="false">IF(AND(R2796=1,ISNUMBER(T2796)),E2796-T2796,"")</f>
        <v>-1.19562851495475</v>
      </c>
      <c r="V2796" s="84" t="n">
        <f aca="false">IF(ISNUMBER(T2796),T2796,-99)</f>
        <v>25.6956285149548</v>
      </c>
      <c r="W2796" s="84" t="n">
        <f aca="false">IF(ISNUMBER(U2796),ABS(U2796),"")</f>
        <v>1.19562851495475</v>
      </c>
    </row>
    <row r="2797" customFormat="false" ht="15" hidden="false" customHeight="false" outlineLevel="0" collapsed="false">
      <c r="A2797" s="57" t="n">
        <v>35592</v>
      </c>
      <c r="B2797" s="56" t="n">
        <v>1997</v>
      </c>
      <c r="C2797" s="56" t="n">
        <v>6</v>
      </c>
      <c r="D2797" s="56" t="n">
        <v>42</v>
      </c>
      <c r="E2797" s="56" t="n">
        <v>19.6</v>
      </c>
      <c r="F2797" s="56" t="n">
        <v>1</v>
      </c>
      <c r="G2797" s="56" t="n">
        <v>16.6</v>
      </c>
      <c r="H2797" s="56" t="n">
        <v>0</v>
      </c>
      <c r="I2797" s="56" t="n">
        <v>20.6</v>
      </c>
      <c r="J2797" s="56" t="n">
        <v>1</v>
      </c>
      <c r="K2797" s="56" t="n">
        <v>1007</v>
      </c>
      <c r="L2797" s="56" t="n">
        <v>0</v>
      </c>
      <c r="M2797" s="56" t="n">
        <v>80</v>
      </c>
      <c r="N2797" s="56" t="n">
        <v>2</v>
      </c>
      <c r="O2797" s="56" t="n">
        <f aca="false">IF(D2797=1,"",E2796)</f>
        <v>24.5</v>
      </c>
      <c r="P2797" s="56" t="n">
        <f aca="false">IF(OR(D2797=1,K2796=""),"",K2796)</f>
        <v>1017.1</v>
      </c>
      <c r="Q2797" s="56" t="n">
        <f aca="false">IF(OR(F2797&lt;&gt;0,AND(I2797&lt;&gt;"",E2797&lt;I2797)),1,0)</f>
        <v>1</v>
      </c>
      <c r="R2797" s="56" t="n">
        <f aca="false">IF(AND(D2797&gt;1,Q2797=0,ISNUMBER(O2797),ISNUMBER(P2797)),IF(Q2796=0,1,0),0)</f>
        <v>0</v>
      </c>
      <c r="S2797" s="56" t="n">
        <f aca="false">R2797*(B2797&gt;=Train_Start)*(B2797&lt;=Train_End)</f>
        <v>0</v>
      </c>
      <c r="T2797" s="84" t="n">
        <f aca="false">IF(AND(ISNUMBER(O2797),ISNUMBER(P2797)),Coef_A+Coef_B1*O2797+Coef_B2*P2797,"")</f>
        <v>24.0671054837714</v>
      </c>
      <c r="U2797" s="84" t="str">
        <f aca="false">IF(AND(R2797=1,ISNUMBER(T2797)),E2797-T2797,"")</f>
        <v/>
      </c>
      <c r="V2797" s="84" t="n">
        <f aca="false">IF(ISNUMBER(T2797),T2797,-99)</f>
        <v>24.0671054837714</v>
      </c>
      <c r="W2797" s="84" t="str">
        <f aca="false">IF(ISNUMBER(U2797),ABS(U2797),"")</f>
        <v/>
      </c>
    </row>
    <row r="2798" customFormat="false" ht="15" hidden="false" customHeight="false" outlineLevel="0" collapsed="false">
      <c r="A2798" s="57" t="n">
        <v>35593</v>
      </c>
      <c r="B2798" s="56" t="n">
        <v>1997</v>
      </c>
      <c r="C2798" s="56" t="n">
        <v>6</v>
      </c>
      <c r="D2798" s="56" t="n">
        <v>43</v>
      </c>
      <c r="E2798" s="56" t="n">
        <v>22.6</v>
      </c>
      <c r="F2798" s="56" t="n">
        <v>0</v>
      </c>
      <c r="G2798" s="56" t="n">
        <v>15.3</v>
      </c>
      <c r="H2798" s="56" t="n">
        <v>0</v>
      </c>
      <c r="I2798" s="56" t="n">
        <v>17.4</v>
      </c>
      <c r="J2798" s="56" t="n">
        <v>0</v>
      </c>
      <c r="K2798" s="56" t="n">
        <v>1006.4</v>
      </c>
      <c r="L2798" s="56" t="n">
        <v>0</v>
      </c>
      <c r="M2798" s="56" t="n">
        <v>78</v>
      </c>
      <c r="N2798" s="56" t="n">
        <v>3.3</v>
      </c>
      <c r="O2798" s="56" t="n">
        <f aca="false">IF(D2798=1,"",E2797)</f>
        <v>19.6</v>
      </c>
      <c r="P2798" s="56" t="n">
        <f aca="false">IF(OR(D2798=1,K2797=""),"",K2797)</f>
        <v>1007</v>
      </c>
      <c r="Q2798" s="56" t="n">
        <f aca="false">IF(OR(F2798&lt;&gt;0,AND(I2798&lt;&gt;"",E2798&lt;I2798)),1,0)</f>
        <v>0</v>
      </c>
      <c r="R2798" s="56" t="n">
        <f aca="false">IF(AND(D2798&gt;1,Q2798=0,ISNUMBER(O2798),ISNUMBER(P2798)),IF(Q2797=0,1,0),0)</f>
        <v>0</v>
      </c>
      <c r="S2798" s="56" t="n">
        <f aca="false">R2798*(B2798&gt;=Train_Start)*(B2798&lt;=Train_End)</f>
        <v>0</v>
      </c>
      <c r="T2798" s="84" t="n">
        <f aca="false">IF(AND(ISNUMBER(O2798),ISNUMBER(P2798)),Coef_A+Coef_B1*O2798+Coef_B2*P2798,"")</f>
        <v>19.7355075020591</v>
      </c>
      <c r="U2798" s="84" t="str">
        <f aca="false">IF(AND(R2798=1,ISNUMBER(T2798)),E2798-T2798,"")</f>
        <v/>
      </c>
      <c r="V2798" s="84" t="n">
        <f aca="false">IF(ISNUMBER(T2798),T2798,-99)</f>
        <v>19.7355075020591</v>
      </c>
      <c r="W2798" s="84" t="str">
        <f aca="false">IF(ISNUMBER(U2798),ABS(U2798),"")</f>
        <v/>
      </c>
    </row>
    <row r="2799" customFormat="false" ht="15" hidden="false" customHeight="false" outlineLevel="0" collapsed="false">
      <c r="A2799" s="57" t="n">
        <v>35594</v>
      </c>
      <c r="B2799" s="56" t="n">
        <v>1997</v>
      </c>
      <c r="C2799" s="56" t="n">
        <v>6</v>
      </c>
      <c r="D2799" s="56" t="n">
        <v>44</v>
      </c>
      <c r="E2799" s="56" t="n">
        <v>18</v>
      </c>
      <c r="F2799" s="56" t="n">
        <v>1</v>
      </c>
      <c r="G2799" s="56" t="n">
        <v>14.5</v>
      </c>
      <c r="H2799" s="56" t="n">
        <v>0</v>
      </c>
      <c r="I2799" s="56" t="n">
        <v>18.6</v>
      </c>
      <c r="J2799" s="56" t="n">
        <v>1</v>
      </c>
      <c r="K2799" s="56" t="n">
        <v>1004.9</v>
      </c>
      <c r="L2799" s="56" t="n">
        <v>0</v>
      </c>
      <c r="M2799" s="56" t="n">
        <v>69</v>
      </c>
      <c r="N2799" s="56" t="n">
        <v>7.1</v>
      </c>
      <c r="O2799" s="56" t="n">
        <f aca="false">IF(D2799=1,"",E2798)</f>
        <v>22.6</v>
      </c>
      <c r="P2799" s="56" t="n">
        <f aca="false">IF(OR(D2799=1,K2798=""),"",K2798)</f>
        <v>1006.4</v>
      </c>
      <c r="Q2799" s="56" t="n">
        <f aca="false">IF(OR(F2799&lt;&gt;0,AND(I2799&lt;&gt;"",E2799&lt;I2799)),1,0)</f>
        <v>1</v>
      </c>
      <c r="R2799" s="56" t="n">
        <f aca="false">IF(AND(D2799&gt;1,Q2799=0,ISNUMBER(O2799),ISNUMBER(P2799)),IF(Q2798=0,1,0),0)</f>
        <v>0</v>
      </c>
      <c r="S2799" s="56" t="n">
        <f aca="false">R2799*(B2799&gt;=Train_Start)*(B2799&lt;=Train_End)</f>
        <v>0</v>
      </c>
      <c r="T2799" s="84" t="n">
        <f aca="false">IF(AND(ISNUMBER(O2799),ISNUMBER(P2799)),Coef_A+Coef_B1*O2799+Coef_B2*P2799,"")</f>
        <v>22.1747031444067</v>
      </c>
      <c r="U2799" s="84" t="str">
        <f aca="false">IF(AND(R2799=1,ISNUMBER(T2799)),E2799-T2799,"")</f>
        <v/>
      </c>
      <c r="V2799" s="84" t="n">
        <f aca="false">IF(ISNUMBER(T2799),T2799,-99)</f>
        <v>22.1747031444067</v>
      </c>
      <c r="W2799" s="84" t="str">
        <f aca="false">IF(ISNUMBER(U2799),ABS(U2799),"")</f>
        <v/>
      </c>
    </row>
    <row r="2800" customFormat="false" ht="15" hidden="false" customHeight="false" outlineLevel="0" collapsed="false">
      <c r="A2800" s="57" t="n">
        <v>35595</v>
      </c>
      <c r="B2800" s="56" t="n">
        <v>1997</v>
      </c>
      <c r="C2800" s="56" t="n">
        <v>6</v>
      </c>
      <c r="D2800" s="56" t="n">
        <v>45</v>
      </c>
      <c r="E2800" s="56" t="n">
        <v>19</v>
      </c>
      <c r="F2800" s="56" t="n">
        <v>0</v>
      </c>
      <c r="G2800" s="56" t="n">
        <v>13</v>
      </c>
      <c r="H2800" s="56" t="n">
        <v>0</v>
      </c>
      <c r="I2800" s="56" t="n">
        <v>15.5</v>
      </c>
      <c r="J2800" s="56" t="n">
        <v>0</v>
      </c>
      <c r="K2800" s="56" t="n">
        <v>1010.1</v>
      </c>
      <c r="L2800" s="56" t="n">
        <v>0</v>
      </c>
      <c r="M2800" s="56" t="n">
        <v>72</v>
      </c>
      <c r="N2800" s="56" t="n">
        <v>1.2</v>
      </c>
      <c r="O2800" s="56" t="n">
        <f aca="false">IF(D2800=1,"",E2799)</f>
        <v>18</v>
      </c>
      <c r="P2800" s="56" t="n">
        <f aca="false">IF(OR(D2800=1,K2799=""),"",K2799)</f>
        <v>1004.9</v>
      </c>
      <c r="Q2800" s="56" t="n">
        <f aca="false">IF(OR(F2800&lt;&gt;0,AND(I2800&lt;&gt;"",E2800&lt;I2800)),1,0)</f>
        <v>0</v>
      </c>
      <c r="R2800" s="56" t="n">
        <f aca="false">IF(AND(D2800&gt;1,Q2800=0,ISNUMBER(O2800),ISNUMBER(P2800)),IF(Q2799=0,1,0),0)</f>
        <v>0</v>
      </c>
      <c r="S2800" s="56" t="n">
        <f aca="false">R2800*(B2800&gt;=Train_Start)*(B2800&lt;=Train_End)</f>
        <v>0</v>
      </c>
      <c r="T2800" s="84" t="n">
        <f aca="false">IF(AND(ISNUMBER(O2800),ISNUMBER(P2800)),Coef_A+Coef_B1*O2800+Coef_B2*P2800,"")</f>
        <v>18.3586880144595</v>
      </c>
      <c r="U2800" s="84" t="str">
        <f aca="false">IF(AND(R2800=1,ISNUMBER(T2800)),E2800-T2800,"")</f>
        <v/>
      </c>
      <c r="V2800" s="84" t="n">
        <f aca="false">IF(ISNUMBER(T2800),T2800,-99)</f>
        <v>18.3586880144595</v>
      </c>
      <c r="W2800" s="84" t="str">
        <f aca="false">IF(ISNUMBER(U2800),ABS(U2800),"")</f>
        <v/>
      </c>
    </row>
    <row r="2801" customFormat="false" ht="15" hidden="false" customHeight="false" outlineLevel="0" collapsed="false">
      <c r="A2801" s="57" t="n">
        <v>35596</v>
      </c>
      <c r="B2801" s="56" t="n">
        <v>1997</v>
      </c>
      <c r="C2801" s="56" t="n">
        <v>6</v>
      </c>
      <c r="D2801" s="56" t="n">
        <v>46</v>
      </c>
      <c r="E2801" s="56" t="n">
        <v>20.3</v>
      </c>
      <c r="F2801" s="56" t="n">
        <v>0</v>
      </c>
      <c r="G2801" s="56" t="n">
        <v>10.7</v>
      </c>
      <c r="H2801" s="56" t="n">
        <v>0</v>
      </c>
      <c r="I2801" s="56" t="n">
        <v>14.8</v>
      </c>
      <c r="J2801" s="56" t="n">
        <v>0</v>
      </c>
      <c r="K2801" s="56" t="n">
        <v>1018.5</v>
      </c>
      <c r="L2801" s="56" t="n">
        <v>0</v>
      </c>
      <c r="M2801" s="56" t="n">
        <v>68</v>
      </c>
      <c r="N2801" s="56" t="n">
        <v>6</v>
      </c>
      <c r="O2801" s="56" t="n">
        <f aca="false">IF(D2801=1,"",E2800)</f>
        <v>19</v>
      </c>
      <c r="P2801" s="56" t="n">
        <f aca="false">IF(OR(D2801=1,K2800=""),"",K2800)</f>
        <v>1010.1</v>
      </c>
      <c r="Q2801" s="56" t="n">
        <f aca="false">IF(OR(F2801&lt;&gt;0,AND(I2801&lt;&gt;"",E2801&lt;I2801)),1,0)</f>
        <v>0</v>
      </c>
      <c r="R2801" s="56" t="n">
        <f aca="false">IF(AND(D2801&gt;1,Q2801=0,ISNUMBER(O2801),ISNUMBER(P2801)),IF(Q2800=0,1,0),0)</f>
        <v>1</v>
      </c>
      <c r="S2801" s="56" t="n">
        <f aca="false">R2801*(B2801&gt;=Train_Start)*(B2801&lt;=Train_End)</f>
        <v>1</v>
      </c>
      <c r="T2801" s="84" t="n">
        <f aca="false">IF(AND(ISNUMBER(O2801),ISNUMBER(P2801)),Coef_A+Coef_B1*O2801+Coef_B2*P2801,"")</f>
        <v>19.3411506595989</v>
      </c>
      <c r="U2801" s="84" t="n">
        <f aca="false">IF(AND(R2801=1,ISNUMBER(T2801)),E2801-T2801,"")</f>
        <v>0.958849340401127</v>
      </c>
      <c r="V2801" s="84" t="n">
        <f aca="false">IF(ISNUMBER(T2801),T2801,-99)</f>
        <v>19.3411506595989</v>
      </c>
      <c r="W2801" s="84" t="n">
        <f aca="false">IF(ISNUMBER(U2801),ABS(U2801),"")</f>
        <v>0.958849340401127</v>
      </c>
    </row>
    <row r="2802" customFormat="false" ht="15" hidden="false" customHeight="false" outlineLevel="0" collapsed="false">
      <c r="A2802" s="57" t="n">
        <v>35597</v>
      </c>
      <c r="B2802" s="56" t="n">
        <v>1997</v>
      </c>
      <c r="C2802" s="56" t="n">
        <v>6</v>
      </c>
      <c r="D2802" s="56" t="n">
        <v>47</v>
      </c>
      <c r="E2802" s="56" t="n">
        <v>20.4</v>
      </c>
      <c r="F2802" s="56" t="n">
        <v>0</v>
      </c>
      <c r="G2802" s="56" t="n">
        <v>11.1</v>
      </c>
      <c r="H2802" s="56" t="n">
        <v>0</v>
      </c>
      <c r="I2802" s="56" t="n">
        <v>15.7</v>
      </c>
      <c r="J2802" s="56" t="n">
        <v>0</v>
      </c>
      <c r="K2802" s="56" t="n">
        <v>1019.9</v>
      </c>
      <c r="L2802" s="56" t="n">
        <v>0</v>
      </c>
      <c r="M2802" s="56" t="n">
        <v>70</v>
      </c>
      <c r="N2802" s="56" t="n">
        <v>5</v>
      </c>
      <c r="O2802" s="56" t="n">
        <f aca="false">IF(D2802=1,"",E2801)</f>
        <v>20.3</v>
      </c>
      <c r="P2802" s="56" t="n">
        <f aca="false">IF(OR(D2802=1,K2801=""),"",K2801)</f>
        <v>1018.5</v>
      </c>
      <c r="Q2802" s="56" t="n">
        <f aca="false">IF(OR(F2802&lt;&gt;0,AND(I2802&lt;&gt;"",E2802&lt;I2802)),1,0)</f>
        <v>0</v>
      </c>
      <c r="R2802" s="56" t="n">
        <f aca="false">IF(AND(D2802&gt;1,Q2802=0,ISNUMBER(O2802),ISNUMBER(P2802)),IF(Q2801=0,1,0),0)</f>
        <v>1</v>
      </c>
      <c r="S2802" s="56" t="n">
        <f aca="false">R2802*(B2802&gt;=Train_Start)*(B2802&lt;=Train_End)</f>
        <v>1</v>
      </c>
      <c r="T2802" s="84" t="n">
        <f aca="false">IF(AND(ISNUMBER(O2802),ISNUMBER(P2802)),Coef_A+Coef_B1*O2802+Coef_B2*P2802,"")</f>
        <v>20.6697987254798</v>
      </c>
      <c r="U2802" s="84" t="n">
        <f aca="false">IF(AND(R2802=1,ISNUMBER(T2802)),E2802-T2802,"")</f>
        <v>-0.269798725479845</v>
      </c>
      <c r="V2802" s="84" t="n">
        <f aca="false">IF(ISNUMBER(T2802),T2802,-99)</f>
        <v>20.6697987254798</v>
      </c>
      <c r="W2802" s="84" t="n">
        <f aca="false">IF(ISNUMBER(U2802),ABS(U2802),"")</f>
        <v>0.269798725479845</v>
      </c>
    </row>
    <row r="2803" customFormat="false" ht="15" hidden="false" customHeight="false" outlineLevel="0" collapsed="false">
      <c r="A2803" s="57" t="n">
        <v>35598</v>
      </c>
      <c r="B2803" s="56" t="n">
        <v>1997</v>
      </c>
      <c r="C2803" s="56" t="n">
        <v>6</v>
      </c>
      <c r="D2803" s="56" t="n">
        <v>48</v>
      </c>
      <c r="E2803" s="56" t="n">
        <v>21.4</v>
      </c>
      <c r="F2803" s="56" t="n">
        <v>0</v>
      </c>
      <c r="G2803" s="56" t="n">
        <v>11.8</v>
      </c>
      <c r="H2803" s="56" t="n">
        <v>0</v>
      </c>
      <c r="I2803" s="56" t="n">
        <v>16.1</v>
      </c>
      <c r="J2803" s="56" t="n">
        <v>0</v>
      </c>
      <c r="K2803" s="56" t="n">
        <v>1021.6</v>
      </c>
      <c r="L2803" s="56" t="n">
        <v>0</v>
      </c>
      <c r="M2803" s="56" t="n">
        <v>60</v>
      </c>
      <c r="N2803" s="56" t="n">
        <v>5.1</v>
      </c>
      <c r="O2803" s="56" t="n">
        <f aca="false">IF(D2803=1,"",E2802)</f>
        <v>20.4</v>
      </c>
      <c r="P2803" s="56" t="n">
        <f aca="false">IF(OR(D2803=1,K2802=""),"",K2802)</f>
        <v>1019.9</v>
      </c>
      <c r="Q2803" s="56" t="n">
        <f aca="false">IF(OR(F2803&lt;&gt;0,AND(I2803&lt;&gt;"",E2803&lt;I2803)),1,0)</f>
        <v>0</v>
      </c>
      <c r="R2803" s="56" t="n">
        <f aca="false">IF(AND(D2803&gt;1,Q2803=0,ISNUMBER(O2803),ISNUMBER(P2803)),IF(Q2802=0,1,0),0)</f>
        <v>1</v>
      </c>
      <c r="S2803" s="56" t="n">
        <f aca="false">R2803*(B2803&gt;=Train_Start)*(B2803&lt;=Train_End)</f>
        <v>1</v>
      </c>
      <c r="T2803" s="84" t="n">
        <f aca="false">IF(AND(ISNUMBER(O2803),ISNUMBER(P2803)),Coef_A+Coef_B1*O2803+Coef_B2*P2803,"")</f>
        <v>20.7956504972717</v>
      </c>
      <c r="U2803" s="84" t="n">
        <f aca="false">IF(AND(R2803=1,ISNUMBER(T2803)),E2803-T2803,"")</f>
        <v>0.604349502728308</v>
      </c>
      <c r="V2803" s="84" t="n">
        <f aca="false">IF(ISNUMBER(T2803),T2803,-99)</f>
        <v>20.7956504972717</v>
      </c>
      <c r="W2803" s="84" t="n">
        <f aca="false">IF(ISNUMBER(U2803),ABS(U2803),"")</f>
        <v>0.604349502728308</v>
      </c>
    </row>
    <row r="2804" customFormat="false" ht="15" hidden="false" customHeight="false" outlineLevel="0" collapsed="false">
      <c r="A2804" s="57" t="n">
        <v>35599</v>
      </c>
      <c r="B2804" s="56" t="n">
        <v>1997</v>
      </c>
      <c r="C2804" s="56" t="n">
        <v>6</v>
      </c>
      <c r="D2804" s="56" t="n">
        <v>49</v>
      </c>
      <c r="E2804" s="56" t="n">
        <v>16.8</v>
      </c>
      <c r="F2804" s="56" t="n">
        <v>0</v>
      </c>
      <c r="G2804" s="56" t="n">
        <v>11.7</v>
      </c>
      <c r="H2804" s="56" t="n">
        <v>0</v>
      </c>
      <c r="I2804" s="56" t="n">
        <v>16.6</v>
      </c>
      <c r="J2804" s="56" t="n">
        <v>0</v>
      </c>
      <c r="K2804" s="56" t="n">
        <v>1017.6</v>
      </c>
      <c r="L2804" s="56" t="n">
        <v>0</v>
      </c>
      <c r="M2804" s="56" t="n">
        <v>64</v>
      </c>
      <c r="N2804" s="56" t="n">
        <v>7.3</v>
      </c>
      <c r="O2804" s="56" t="n">
        <f aca="false">IF(D2804=1,"",E2803)</f>
        <v>21.4</v>
      </c>
      <c r="P2804" s="56" t="n">
        <f aca="false">IF(OR(D2804=1,K2803=""),"",K2803)</f>
        <v>1021.6</v>
      </c>
      <c r="Q2804" s="56" t="n">
        <f aca="false">IF(OR(F2804&lt;&gt;0,AND(I2804&lt;&gt;"",E2804&lt;I2804)),1,0)</f>
        <v>0</v>
      </c>
      <c r="R2804" s="56" t="n">
        <f aca="false">IF(AND(D2804&gt;1,Q2804=0,ISNUMBER(O2804),ISNUMBER(P2804)),IF(Q2803=0,1,0),0)</f>
        <v>1</v>
      </c>
      <c r="S2804" s="56" t="n">
        <f aca="false">R2804*(B2804&gt;=Train_Start)*(B2804&lt;=Train_End)</f>
        <v>1</v>
      </c>
      <c r="T2804" s="84" t="n">
        <f aca="false">IF(AND(ISNUMBER(O2804),ISNUMBER(P2804)),Coef_A+Coef_B1*O2804+Coef_B2*P2804,"")</f>
        <v>21.6683185111921</v>
      </c>
      <c r="U2804" s="84" t="n">
        <f aca="false">IF(AND(R2804=1,ISNUMBER(T2804)),E2804-T2804,"")</f>
        <v>-4.86831851119214</v>
      </c>
      <c r="V2804" s="84" t="n">
        <f aca="false">IF(ISNUMBER(T2804),T2804,-99)</f>
        <v>21.6683185111921</v>
      </c>
      <c r="W2804" s="84" t="n">
        <f aca="false">IF(ISNUMBER(U2804),ABS(U2804),"")</f>
        <v>4.86831851119214</v>
      </c>
    </row>
    <row r="2805" customFormat="false" ht="15" hidden="false" customHeight="false" outlineLevel="0" collapsed="false">
      <c r="A2805" s="57" t="n">
        <v>35600</v>
      </c>
      <c r="B2805" s="56" t="n">
        <v>1997</v>
      </c>
      <c r="C2805" s="56" t="n">
        <v>6</v>
      </c>
      <c r="D2805" s="56" t="n">
        <v>50</v>
      </c>
      <c r="E2805" s="56" t="n">
        <v>16</v>
      </c>
      <c r="F2805" s="56" t="n">
        <v>0</v>
      </c>
      <c r="G2805" s="56" t="n">
        <v>12.2</v>
      </c>
      <c r="H2805" s="56" t="n">
        <v>0</v>
      </c>
      <c r="I2805" s="56" t="n">
        <v>14.5</v>
      </c>
      <c r="J2805" s="56" t="n">
        <v>0</v>
      </c>
      <c r="K2805" s="56" t="n">
        <v>1006.9</v>
      </c>
      <c r="L2805" s="56" t="n">
        <v>0</v>
      </c>
      <c r="M2805" s="56" t="n">
        <v>81</v>
      </c>
      <c r="N2805" s="56" t="n">
        <v>0.7</v>
      </c>
      <c r="O2805" s="56" t="n">
        <f aca="false">IF(D2805=1,"",E2804)</f>
        <v>16.8</v>
      </c>
      <c r="P2805" s="56" t="n">
        <f aca="false">IF(OR(D2805=1,K2804=""),"",K2804)</f>
        <v>1017.6</v>
      </c>
      <c r="Q2805" s="56" t="n">
        <f aca="false">IF(OR(F2805&lt;&gt;0,AND(I2805&lt;&gt;"",E2805&lt;I2805)),1,0)</f>
        <v>0</v>
      </c>
      <c r="R2805" s="56" t="n">
        <f aca="false">IF(AND(D2805&gt;1,Q2805=0,ISNUMBER(O2805),ISNUMBER(P2805)),IF(Q2804=0,1,0),0)</f>
        <v>1</v>
      </c>
      <c r="S2805" s="56" t="n">
        <f aca="false">R2805*(B2805&gt;=Train_Start)*(B2805&lt;=Train_End)</f>
        <v>1</v>
      </c>
      <c r="T2805" s="84" t="n">
        <f aca="false">IF(AND(ISNUMBER(O2805),ISNUMBER(P2805)),Coef_A+Coef_B1*O2805+Coef_B2*P2805,"")</f>
        <v>17.77387864466</v>
      </c>
      <c r="U2805" s="84" t="n">
        <f aca="false">IF(AND(R2805=1,ISNUMBER(T2805)),E2805-T2805,"")</f>
        <v>-1.77387864465995</v>
      </c>
      <c r="V2805" s="84" t="n">
        <f aca="false">IF(ISNUMBER(T2805),T2805,-99)</f>
        <v>17.77387864466</v>
      </c>
      <c r="W2805" s="84" t="n">
        <f aca="false">IF(ISNUMBER(U2805),ABS(U2805),"")</f>
        <v>1.77387864465995</v>
      </c>
    </row>
    <row r="2806" customFormat="false" ht="15" hidden="false" customHeight="false" outlineLevel="0" collapsed="false">
      <c r="A2806" s="57" t="n">
        <v>35601</v>
      </c>
      <c r="B2806" s="56" t="n">
        <v>1997</v>
      </c>
      <c r="C2806" s="56" t="n">
        <v>6</v>
      </c>
      <c r="D2806" s="56" t="n">
        <v>51</v>
      </c>
      <c r="E2806" s="56" t="n">
        <v>18.9</v>
      </c>
      <c r="F2806" s="56" t="n">
        <v>0</v>
      </c>
      <c r="G2806" s="56" t="n">
        <v>7.5</v>
      </c>
      <c r="H2806" s="56" t="n">
        <v>0</v>
      </c>
      <c r="I2806" s="56" t="n">
        <v>11.8</v>
      </c>
      <c r="J2806" s="56" t="n">
        <v>0</v>
      </c>
      <c r="K2806" s="56" t="n">
        <v>998.5</v>
      </c>
      <c r="L2806" s="56" t="n">
        <v>0</v>
      </c>
      <c r="M2806" s="56" t="n">
        <v>81</v>
      </c>
      <c r="N2806" s="56" t="n">
        <v>3.2</v>
      </c>
      <c r="O2806" s="56" t="n">
        <f aca="false">IF(D2806=1,"",E2805)</f>
        <v>16</v>
      </c>
      <c r="P2806" s="56" t="n">
        <f aca="false">IF(OR(D2806=1,K2805=""),"",K2805)</f>
        <v>1006.9</v>
      </c>
      <c r="Q2806" s="56" t="n">
        <f aca="false">IF(OR(F2806&lt;&gt;0,AND(I2806&lt;&gt;"",E2806&lt;I2806)),1,0)</f>
        <v>0</v>
      </c>
      <c r="R2806" s="56" t="n">
        <f aca="false">IF(AND(D2806&gt;1,Q2806=0,ISNUMBER(O2806),ISNUMBER(P2806)),IF(Q2805=0,1,0),0)</f>
        <v>1</v>
      </c>
      <c r="S2806" s="56" t="n">
        <f aca="false">R2806*(B2806&gt;=Train_Start)*(B2806&lt;=Train_End)</f>
        <v>1</v>
      </c>
      <c r="T2806" s="84" t="n">
        <f aca="false">IF(AND(ISNUMBER(O2806),ISNUMBER(P2806)),Coef_A+Coef_B1*O2806+Coef_B2*P2806,"")</f>
        <v>16.7827494176421</v>
      </c>
      <c r="U2806" s="84" t="n">
        <f aca="false">IF(AND(R2806=1,ISNUMBER(T2806)),E2806-T2806,"")</f>
        <v>2.11725058235786</v>
      </c>
      <c r="V2806" s="84" t="n">
        <f aca="false">IF(ISNUMBER(T2806),T2806,-99)</f>
        <v>16.7827494176421</v>
      </c>
      <c r="W2806" s="84" t="n">
        <f aca="false">IF(ISNUMBER(U2806),ABS(U2806),"")</f>
        <v>2.11725058235786</v>
      </c>
    </row>
    <row r="2807" customFormat="false" ht="15" hidden="false" customHeight="false" outlineLevel="0" collapsed="false">
      <c r="A2807" s="57" t="n">
        <v>35602</v>
      </c>
      <c r="B2807" s="56" t="n">
        <v>1997</v>
      </c>
      <c r="C2807" s="56" t="n">
        <v>6</v>
      </c>
      <c r="D2807" s="56" t="n">
        <v>52</v>
      </c>
      <c r="E2807" s="56" t="n">
        <v>18.1</v>
      </c>
      <c r="F2807" s="56" t="n">
        <v>0</v>
      </c>
      <c r="G2807" s="56" t="n">
        <v>11.9</v>
      </c>
      <c r="H2807" s="56" t="n">
        <v>0</v>
      </c>
      <c r="I2807" s="56" t="n">
        <v>15.4</v>
      </c>
      <c r="J2807" s="56" t="n">
        <v>0</v>
      </c>
      <c r="K2807" s="56" t="n">
        <v>992</v>
      </c>
      <c r="L2807" s="56" t="n">
        <v>0</v>
      </c>
      <c r="M2807" s="56" t="n">
        <v>74</v>
      </c>
      <c r="N2807" s="56" t="n">
        <v>9.5</v>
      </c>
      <c r="O2807" s="56" t="n">
        <f aca="false">IF(D2807=1,"",E2806)</f>
        <v>18.9</v>
      </c>
      <c r="P2807" s="56" t="n">
        <f aca="false">IF(OR(D2807=1,K2806=""),"",K2806)</f>
        <v>998.5</v>
      </c>
      <c r="Q2807" s="56" t="n">
        <f aca="false">IF(OR(F2807&lt;&gt;0,AND(I2807&lt;&gt;"",E2807&lt;I2807)),1,0)</f>
        <v>0</v>
      </c>
      <c r="R2807" s="56" t="n">
        <f aca="false">IF(AND(D2807&gt;1,Q2807=0,ISNUMBER(O2807),ISNUMBER(P2807)),IF(Q2806=0,1,0),0)</f>
        <v>1</v>
      </c>
      <c r="S2807" s="56" t="n">
        <f aca="false">R2807*(B2807&gt;=Train_Start)*(B2807&lt;=Train_End)</f>
        <v>1</v>
      </c>
      <c r="T2807" s="84" t="n">
        <f aca="false">IF(AND(ISNUMBER(O2807),ISNUMBER(P2807)),Coef_A+Coef_B1*O2807+Coef_B2*P2807,"")</f>
        <v>18.8953259625403</v>
      </c>
      <c r="U2807" s="84" t="n">
        <f aca="false">IF(AND(R2807=1,ISNUMBER(T2807)),E2807-T2807,"")</f>
        <v>-0.795325962540332</v>
      </c>
      <c r="V2807" s="84" t="n">
        <f aca="false">IF(ISNUMBER(T2807),T2807,-99)</f>
        <v>18.8953259625403</v>
      </c>
      <c r="W2807" s="84" t="n">
        <f aca="false">IF(ISNUMBER(U2807),ABS(U2807),"")</f>
        <v>0.795325962540332</v>
      </c>
    </row>
    <row r="2808" customFormat="false" ht="15" hidden="false" customHeight="false" outlineLevel="0" collapsed="false">
      <c r="A2808" s="57" t="n">
        <v>35603</v>
      </c>
      <c r="B2808" s="56" t="n">
        <v>1997</v>
      </c>
      <c r="C2808" s="56" t="n">
        <v>6</v>
      </c>
      <c r="D2808" s="56" t="n">
        <v>53</v>
      </c>
      <c r="E2808" s="56" t="n">
        <v>19.9</v>
      </c>
      <c r="F2808" s="56" t="n">
        <v>0</v>
      </c>
      <c r="G2808" s="56" t="n">
        <v>11.5</v>
      </c>
      <c r="H2808" s="56" t="n">
        <v>0</v>
      </c>
      <c r="I2808" s="56" t="n">
        <v>14.8</v>
      </c>
      <c r="J2808" s="56" t="n">
        <v>0</v>
      </c>
      <c r="K2808" s="56" t="n">
        <v>996.8</v>
      </c>
      <c r="L2808" s="56" t="n">
        <v>0</v>
      </c>
      <c r="M2808" s="56" t="n">
        <v>85</v>
      </c>
      <c r="N2808" s="56" t="n">
        <v>3.9</v>
      </c>
      <c r="O2808" s="56" t="n">
        <f aca="false">IF(D2808=1,"",E2807)</f>
        <v>18.1</v>
      </c>
      <c r="P2808" s="56" t="n">
        <f aca="false">IF(OR(D2808=1,K2807=""),"",K2807)</f>
        <v>992</v>
      </c>
      <c r="Q2808" s="56" t="n">
        <f aca="false">IF(OR(F2808&lt;&gt;0,AND(I2808&lt;&gt;"",E2808&lt;I2808)),1,0)</f>
        <v>0</v>
      </c>
      <c r="R2808" s="56" t="n">
        <f aca="false">IF(AND(D2808&gt;1,Q2808=0,ISNUMBER(O2808),ISNUMBER(P2808)),IF(Q2807=0,1,0),0)</f>
        <v>1</v>
      </c>
      <c r="S2808" s="56" t="n">
        <f aca="false">R2808*(B2808&gt;=Train_Start)*(B2808&lt;=Train_End)</f>
        <v>1</v>
      </c>
      <c r="T2808" s="84" t="n">
        <f aca="false">IF(AND(ISNUMBER(O2808),ISNUMBER(P2808)),Coef_A+Coef_B1*O2808+Coef_B2*P2808,"")</f>
        <v>18.0359502929853</v>
      </c>
      <c r="U2808" s="84" t="n">
        <f aca="false">IF(AND(R2808=1,ISNUMBER(T2808)),E2808-T2808,"")</f>
        <v>1.86404970701472</v>
      </c>
      <c r="V2808" s="84" t="n">
        <f aca="false">IF(ISNUMBER(T2808),T2808,-99)</f>
        <v>18.0359502929853</v>
      </c>
      <c r="W2808" s="84" t="n">
        <f aca="false">IF(ISNUMBER(U2808),ABS(U2808),"")</f>
        <v>1.86404970701472</v>
      </c>
    </row>
    <row r="2809" customFormat="false" ht="15" hidden="false" customHeight="false" outlineLevel="0" collapsed="false">
      <c r="A2809" s="57" t="n">
        <v>35604</v>
      </c>
      <c r="B2809" s="56" t="n">
        <v>1997</v>
      </c>
      <c r="C2809" s="56" t="n">
        <v>6</v>
      </c>
      <c r="D2809" s="56" t="n">
        <v>54</v>
      </c>
      <c r="E2809" s="56" t="n">
        <v>19</v>
      </c>
      <c r="F2809" s="56" t="n">
        <v>0</v>
      </c>
      <c r="G2809" s="56" t="n">
        <v>12.2</v>
      </c>
      <c r="H2809" s="56" t="n">
        <v>0</v>
      </c>
      <c r="I2809" s="56" t="n">
        <v>16</v>
      </c>
      <c r="J2809" s="56" t="n">
        <v>0</v>
      </c>
      <c r="K2809" s="56" t="n">
        <v>1009.3</v>
      </c>
      <c r="L2809" s="56" t="n">
        <v>0</v>
      </c>
      <c r="M2809" s="56" t="n">
        <v>71</v>
      </c>
      <c r="N2809" s="56" t="n">
        <v>7.1</v>
      </c>
      <c r="O2809" s="56" t="n">
        <f aca="false">IF(D2809=1,"",E2808)</f>
        <v>19.9</v>
      </c>
      <c r="P2809" s="56" t="n">
        <f aca="false">IF(OR(D2809=1,K2808=""),"",K2808)</f>
        <v>996.8</v>
      </c>
      <c r="Q2809" s="56" t="n">
        <f aca="false">IF(OR(F2809&lt;&gt;0,AND(I2809&lt;&gt;"",E2809&lt;I2809)),1,0)</f>
        <v>0</v>
      </c>
      <c r="R2809" s="56" t="n">
        <f aca="false">IF(AND(D2809&gt;1,Q2809=0,ISNUMBER(O2809),ISNUMBER(P2809)),IF(Q2808=0,1,0),0)</f>
        <v>1</v>
      </c>
      <c r="S2809" s="56" t="n">
        <f aca="false">R2809*(B2809&gt;=Train_Start)*(B2809&lt;=Train_End)</f>
        <v>1</v>
      </c>
      <c r="T2809" s="84" t="n">
        <f aca="false">IF(AND(ISNUMBER(O2809),ISNUMBER(P2809)),Coef_A+Coef_B1*O2809+Coef_B2*P2809,"")</f>
        <v>19.6613363347052</v>
      </c>
      <c r="U2809" s="84" t="n">
        <f aca="false">IF(AND(R2809=1,ISNUMBER(T2809)),E2809-T2809,"")</f>
        <v>-0.661336334705208</v>
      </c>
      <c r="V2809" s="84" t="n">
        <f aca="false">IF(ISNUMBER(T2809),T2809,-99)</f>
        <v>19.6613363347052</v>
      </c>
      <c r="W2809" s="84" t="n">
        <f aca="false">IF(ISNUMBER(U2809),ABS(U2809),"")</f>
        <v>0.661336334705208</v>
      </c>
    </row>
    <row r="2810" customFormat="false" ht="15" hidden="false" customHeight="false" outlineLevel="0" collapsed="false">
      <c r="A2810" s="57" t="n">
        <v>35605</v>
      </c>
      <c r="B2810" s="56" t="n">
        <v>1997</v>
      </c>
      <c r="C2810" s="56" t="n">
        <v>6</v>
      </c>
      <c r="D2810" s="56" t="n">
        <v>55</v>
      </c>
      <c r="E2810" s="56" t="n">
        <v>16</v>
      </c>
      <c r="F2810" s="56" t="n">
        <v>0</v>
      </c>
      <c r="G2810" s="56" t="n">
        <v>10.2</v>
      </c>
      <c r="H2810" s="56" t="n">
        <v>0</v>
      </c>
      <c r="I2810" s="56" t="n">
        <v>14.6</v>
      </c>
      <c r="J2810" s="56" t="n">
        <v>0</v>
      </c>
      <c r="K2810" s="56" t="n">
        <v>1015.1</v>
      </c>
      <c r="L2810" s="56" t="n">
        <v>0</v>
      </c>
      <c r="M2810" s="56" t="n">
        <v>56</v>
      </c>
      <c r="N2810" s="56" t="n">
        <v>6.3</v>
      </c>
      <c r="O2810" s="56" t="n">
        <f aca="false">IF(D2810=1,"",E2809)</f>
        <v>19</v>
      </c>
      <c r="P2810" s="56" t="n">
        <f aca="false">IF(OR(D2810=1,K2809=""),"",K2809)</f>
        <v>1009.3</v>
      </c>
      <c r="Q2810" s="56" t="n">
        <f aca="false">IF(OR(F2810&lt;&gt;0,AND(I2810&lt;&gt;"",E2810&lt;I2810)),1,0)</f>
        <v>0</v>
      </c>
      <c r="R2810" s="56" t="n">
        <f aca="false">IF(AND(D2810&gt;1,Q2810=0,ISNUMBER(O2810),ISNUMBER(P2810)),IF(Q2809=0,1,0),0)</f>
        <v>1</v>
      </c>
      <c r="S2810" s="56" t="n">
        <f aca="false">R2810*(B2810&gt;=Train_Start)*(B2810&lt;=Train_End)</f>
        <v>1</v>
      </c>
      <c r="T2810" s="84" t="n">
        <f aca="false">IF(AND(ISNUMBER(O2810),ISNUMBER(P2810)),Coef_A+Coef_B1*O2810+Coef_B2*P2810,"")</f>
        <v>19.3160547438917</v>
      </c>
      <c r="U2810" s="84" t="n">
        <f aca="false">IF(AND(R2810=1,ISNUMBER(T2810)),E2810-T2810,"")</f>
        <v>-3.31605474389168</v>
      </c>
      <c r="V2810" s="84" t="n">
        <f aca="false">IF(ISNUMBER(T2810),T2810,-99)</f>
        <v>19.3160547438917</v>
      </c>
      <c r="W2810" s="84" t="n">
        <f aca="false">IF(ISNUMBER(U2810),ABS(U2810),"")</f>
        <v>3.31605474389168</v>
      </c>
    </row>
    <row r="2811" customFormat="false" ht="15" hidden="false" customHeight="false" outlineLevel="0" collapsed="false">
      <c r="A2811" s="57" t="n">
        <v>35606</v>
      </c>
      <c r="B2811" s="56" t="n">
        <v>1997</v>
      </c>
      <c r="C2811" s="56" t="n">
        <v>6</v>
      </c>
      <c r="D2811" s="56" t="n">
        <v>56</v>
      </c>
      <c r="E2811" s="56" t="n">
        <v>16.1</v>
      </c>
      <c r="F2811" s="56" t="n">
        <v>0</v>
      </c>
      <c r="G2811" s="56" t="n">
        <v>11.9</v>
      </c>
      <c r="H2811" s="56" t="n">
        <v>0</v>
      </c>
      <c r="I2811" s="56" t="n">
        <v>14</v>
      </c>
      <c r="J2811" s="56" t="n">
        <v>0</v>
      </c>
      <c r="K2811" s="56" t="n">
        <v>1002.4</v>
      </c>
      <c r="L2811" s="56" t="n">
        <v>0</v>
      </c>
      <c r="M2811" s="56" t="n">
        <v>87</v>
      </c>
      <c r="N2811" s="56" t="n">
        <v>0</v>
      </c>
      <c r="O2811" s="56" t="n">
        <f aca="false">IF(D2811=1,"",E2810)</f>
        <v>16</v>
      </c>
      <c r="P2811" s="56" t="n">
        <f aca="false">IF(OR(D2811=1,K2810=""),"",K2810)</f>
        <v>1015.1</v>
      </c>
      <c r="Q2811" s="56" t="n">
        <f aca="false">IF(OR(F2811&lt;&gt;0,AND(I2811&lt;&gt;"",E2811&lt;I2811)),1,0)</f>
        <v>0</v>
      </c>
      <c r="R2811" s="56" t="n">
        <f aca="false">IF(AND(D2811&gt;1,Q2811=0,ISNUMBER(O2811),ISNUMBER(P2811)),IF(Q2810=0,1,0),0)</f>
        <v>1</v>
      </c>
      <c r="S2811" s="56" t="n">
        <f aca="false">R2811*(B2811&gt;=Train_Start)*(B2811&lt;=Train_End)</f>
        <v>1</v>
      </c>
      <c r="T2811" s="84" t="n">
        <f aca="false">IF(AND(ISNUMBER(O2811),ISNUMBER(P2811)),Coef_A+Coef_B1*O2811+Coef_B2*P2811,"")</f>
        <v>17.0399825536409</v>
      </c>
      <c r="U2811" s="84" t="n">
        <f aca="false">IF(AND(R2811=1,ISNUMBER(T2811)),E2811-T2811,"")</f>
        <v>-0.939982553640853</v>
      </c>
      <c r="V2811" s="84" t="n">
        <f aca="false">IF(ISNUMBER(T2811),T2811,-99)</f>
        <v>17.0399825536409</v>
      </c>
      <c r="W2811" s="84" t="n">
        <f aca="false">IF(ISNUMBER(U2811),ABS(U2811),"")</f>
        <v>0.939982553640853</v>
      </c>
    </row>
    <row r="2812" customFormat="false" ht="15" hidden="false" customHeight="false" outlineLevel="0" collapsed="false">
      <c r="A2812" s="57" t="n">
        <v>35607</v>
      </c>
      <c r="B2812" s="56" t="n">
        <v>1997</v>
      </c>
      <c r="C2812" s="56" t="n">
        <v>6</v>
      </c>
      <c r="D2812" s="56" t="n">
        <v>57</v>
      </c>
      <c r="E2812" s="56" t="n">
        <v>13.5</v>
      </c>
      <c r="F2812" s="56" t="n">
        <v>1</v>
      </c>
      <c r="G2812" s="56" t="n">
        <v>12.4</v>
      </c>
      <c r="H2812" s="56" t="n">
        <v>0</v>
      </c>
      <c r="I2812" s="56" t="n">
        <v>14.2</v>
      </c>
      <c r="J2812" s="56" t="n">
        <v>1</v>
      </c>
      <c r="K2812" s="56" t="n">
        <v>995.1</v>
      </c>
      <c r="L2812" s="56" t="n">
        <v>0</v>
      </c>
      <c r="M2812" s="56" t="n">
        <v>90</v>
      </c>
      <c r="N2812" s="56" t="n">
        <v>0.1</v>
      </c>
      <c r="O2812" s="56" t="n">
        <f aca="false">IF(D2812=1,"",E2811)</f>
        <v>16.1</v>
      </c>
      <c r="P2812" s="56" t="n">
        <f aca="false">IF(OR(D2812=1,K2811=""),"",K2811)</f>
        <v>1002.4</v>
      </c>
      <c r="Q2812" s="56" t="n">
        <f aca="false">IF(OR(F2812&lt;&gt;0,AND(I2812&lt;&gt;"",E2812&lt;I2812)),1,0)</f>
        <v>1</v>
      </c>
      <c r="R2812" s="56" t="n">
        <f aca="false">IF(AND(D2812&gt;1,Q2812=0,ISNUMBER(O2812),ISNUMBER(P2812)),IF(Q2811=0,1,0),0)</f>
        <v>0</v>
      </c>
      <c r="S2812" s="56" t="n">
        <f aca="false">R2812*(B2812&gt;=Train_Start)*(B2812&lt;=Train_End)</f>
        <v>0</v>
      </c>
      <c r="T2812" s="84" t="n">
        <f aca="false">IF(AND(ISNUMBER(O2812),ISNUMBER(P2812)),Coef_A+Coef_B1*O2812+Coef_B2*P2812,"")</f>
        <v>16.7235188110935</v>
      </c>
      <c r="U2812" s="84" t="str">
        <f aca="false">IF(AND(R2812=1,ISNUMBER(T2812)),E2812-T2812,"")</f>
        <v/>
      </c>
      <c r="V2812" s="84" t="n">
        <f aca="false">IF(ISNUMBER(T2812),T2812,-99)</f>
        <v>16.7235188110935</v>
      </c>
      <c r="W2812" s="84" t="str">
        <f aca="false">IF(ISNUMBER(U2812),ABS(U2812),"")</f>
        <v/>
      </c>
    </row>
    <row r="2813" customFormat="false" ht="15" hidden="false" customHeight="false" outlineLevel="0" collapsed="false">
      <c r="A2813" s="57" t="n">
        <v>35608</v>
      </c>
      <c r="B2813" s="56" t="n">
        <v>1997</v>
      </c>
      <c r="C2813" s="56" t="n">
        <v>6</v>
      </c>
      <c r="D2813" s="56" t="n">
        <v>58</v>
      </c>
      <c r="E2813" s="56" t="n">
        <v>16.2</v>
      </c>
      <c r="F2813" s="56" t="n">
        <v>0</v>
      </c>
      <c r="G2813" s="56" t="n">
        <v>11.9</v>
      </c>
      <c r="H2813" s="56" t="n">
        <v>0</v>
      </c>
      <c r="I2813" s="56" t="n">
        <v>12.7</v>
      </c>
      <c r="J2813" s="56" t="n">
        <v>0</v>
      </c>
      <c r="K2813" s="56" t="n">
        <v>999.4</v>
      </c>
      <c r="L2813" s="56" t="n">
        <v>0</v>
      </c>
      <c r="M2813" s="56" t="n">
        <v>89</v>
      </c>
      <c r="N2813" s="56" t="n">
        <v>0</v>
      </c>
      <c r="O2813" s="56" t="n">
        <f aca="false">IF(D2813=1,"",E2812)</f>
        <v>13.5</v>
      </c>
      <c r="P2813" s="56" t="n">
        <f aca="false">IF(OR(D2813=1,K2812=""),"",K2812)</f>
        <v>995.1</v>
      </c>
      <c r="Q2813" s="56" t="n">
        <f aca="false">IF(OR(F2813&lt;&gt;0,AND(I2813&lt;&gt;"",E2813&lt;I2813)),1,0)</f>
        <v>0</v>
      </c>
      <c r="R2813" s="56" t="n">
        <f aca="false">IF(AND(D2813&gt;1,Q2813=0,ISNUMBER(O2813),ISNUMBER(P2813)),IF(Q2812=0,1,0),0)</f>
        <v>0</v>
      </c>
      <c r="S2813" s="56" t="n">
        <f aca="false">R2813*(B2813&gt;=Train_Start)*(B2813&lt;=Train_End)</f>
        <v>0</v>
      </c>
      <c r="T2813" s="84" t="n">
        <f aca="false">IF(AND(ISNUMBER(O2813),ISNUMBER(P2813)),Coef_A+Coef_B1*O2813+Coef_B2*P2813,"")</f>
        <v>14.3642366783544</v>
      </c>
      <c r="U2813" s="84" t="str">
        <f aca="false">IF(AND(R2813=1,ISNUMBER(T2813)),E2813-T2813,"")</f>
        <v/>
      </c>
      <c r="V2813" s="84" t="n">
        <f aca="false">IF(ISNUMBER(T2813),T2813,-99)</f>
        <v>14.3642366783544</v>
      </c>
      <c r="W2813" s="84" t="str">
        <f aca="false">IF(ISNUMBER(U2813),ABS(U2813),"")</f>
        <v/>
      </c>
    </row>
    <row r="2814" customFormat="false" ht="15" hidden="false" customHeight="false" outlineLevel="0" collapsed="false">
      <c r="A2814" s="57" t="n">
        <v>35609</v>
      </c>
      <c r="B2814" s="56" t="n">
        <v>1997</v>
      </c>
      <c r="C2814" s="56" t="n">
        <v>6</v>
      </c>
      <c r="D2814" s="56" t="n">
        <v>59</v>
      </c>
      <c r="E2814" s="56" t="n">
        <v>18.2</v>
      </c>
      <c r="F2814" s="56" t="n">
        <v>0</v>
      </c>
      <c r="G2814" s="56" t="n">
        <v>11</v>
      </c>
      <c r="H2814" s="56" t="n">
        <v>0</v>
      </c>
      <c r="I2814" s="56" t="n">
        <v>13.6</v>
      </c>
      <c r="J2814" s="56" t="n">
        <v>0</v>
      </c>
      <c r="K2814" s="56" t="n">
        <v>1004.4</v>
      </c>
      <c r="L2814" s="56" t="n">
        <v>0</v>
      </c>
      <c r="M2814" s="56" t="n">
        <v>87</v>
      </c>
      <c r="N2814" s="56" t="n">
        <v>0.1</v>
      </c>
      <c r="O2814" s="56" t="n">
        <f aca="false">IF(D2814=1,"",E2813)</f>
        <v>16.2</v>
      </c>
      <c r="P2814" s="56" t="n">
        <f aca="false">IF(OR(D2814=1,K2813=""),"",K2813)</f>
        <v>999.4</v>
      </c>
      <c r="Q2814" s="56" t="n">
        <f aca="false">IF(OR(F2814&lt;&gt;0,AND(I2814&lt;&gt;"",E2814&lt;I2814)),1,0)</f>
        <v>0</v>
      </c>
      <c r="R2814" s="56" t="n">
        <f aca="false">IF(AND(D2814&gt;1,Q2814=0,ISNUMBER(O2814),ISNUMBER(P2814)),IF(Q2813=0,1,0),0)</f>
        <v>1</v>
      </c>
      <c r="S2814" s="56" t="n">
        <f aca="false">R2814*(B2814&gt;=Train_Start)*(B2814&lt;=Train_End)</f>
        <v>1</v>
      </c>
      <c r="T2814" s="84" t="n">
        <f aca="false">IF(AND(ISNUMBER(O2814),ISNUMBER(P2814)),Coef_A+Coef_B1*O2814+Coef_B2*P2814,"")</f>
        <v>16.7113430464958</v>
      </c>
      <c r="U2814" s="84" t="n">
        <f aca="false">IF(AND(R2814=1,ISNUMBER(T2814)),E2814-T2814,"")</f>
        <v>1.48865695350425</v>
      </c>
      <c r="V2814" s="84" t="n">
        <f aca="false">IF(ISNUMBER(T2814),T2814,-99)</f>
        <v>16.7113430464958</v>
      </c>
      <c r="W2814" s="84" t="n">
        <f aca="false">IF(ISNUMBER(U2814),ABS(U2814),"")</f>
        <v>1.48865695350425</v>
      </c>
    </row>
    <row r="2815" customFormat="false" ht="15" hidden="false" customHeight="false" outlineLevel="0" collapsed="false">
      <c r="A2815" s="57" t="n">
        <v>35610</v>
      </c>
      <c r="B2815" s="56" t="n">
        <v>1997</v>
      </c>
      <c r="C2815" s="56" t="n">
        <v>6</v>
      </c>
      <c r="D2815" s="56" t="n">
        <v>60</v>
      </c>
      <c r="E2815" s="56" t="n">
        <v>16.6</v>
      </c>
      <c r="F2815" s="56" t="n">
        <v>0</v>
      </c>
      <c r="G2815" s="56" t="n">
        <v>11.2</v>
      </c>
      <c r="H2815" s="56" t="n">
        <v>0</v>
      </c>
      <c r="I2815" s="56" t="n">
        <v>14.7</v>
      </c>
      <c r="J2815" s="56" t="n">
        <v>0</v>
      </c>
      <c r="K2815" s="56" t="n">
        <v>1007.4</v>
      </c>
      <c r="L2815" s="56" t="n">
        <v>0</v>
      </c>
      <c r="M2815" s="56" t="n">
        <v>78</v>
      </c>
      <c r="N2815" s="56" t="n">
        <v>0.2</v>
      </c>
      <c r="O2815" s="56" t="n">
        <f aca="false">IF(D2815=1,"",E2814)</f>
        <v>18.2</v>
      </c>
      <c r="P2815" s="56" t="n">
        <f aca="false">IF(OR(D2815=1,K2814=""),"",K2814)</f>
        <v>1004.4</v>
      </c>
      <c r="Q2815" s="56" t="n">
        <f aca="false">IF(OR(F2815&lt;&gt;0,AND(I2815&lt;&gt;"",E2815&lt;I2815)),1,0)</f>
        <v>0</v>
      </c>
      <c r="R2815" s="56" t="n">
        <f aca="false">IF(AND(D2815&gt;1,Q2815=0,ISNUMBER(O2815),ISNUMBER(P2815)),IF(Q2814=0,1,0),0)</f>
        <v>1</v>
      </c>
      <c r="S2815" s="56" t="n">
        <f aca="false">R2815*(B2815&gt;=Train_Start)*(B2815&lt;=Train_End)</f>
        <v>1</v>
      </c>
      <c r="T2815" s="84" t="n">
        <f aca="false">IF(AND(ISNUMBER(O2815),ISNUMBER(P2815)),Coef_A+Coef_B1*O2815+Coef_B2*P2815,"")</f>
        <v>18.506870905751</v>
      </c>
      <c r="U2815" s="84" t="n">
        <f aca="false">IF(AND(R2815=1,ISNUMBER(T2815)),E2815-T2815,"")</f>
        <v>-1.90687090575101</v>
      </c>
      <c r="V2815" s="84" t="n">
        <f aca="false">IF(ISNUMBER(T2815),T2815,-99)</f>
        <v>18.506870905751</v>
      </c>
      <c r="W2815" s="84" t="n">
        <f aca="false">IF(ISNUMBER(U2815),ABS(U2815),"")</f>
        <v>1.90687090575101</v>
      </c>
    </row>
    <row r="2816" customFormat="false" ht="15" hidden="false" customHeight="false" outlineLevel="0" collapsed="false">
      <c r="A2816" s="57" t="n">
        <v>35611</v>
      </c>
      <c r="B2816" s="56" t="n">
        <v>1997</v>
      </c>
      <c r="C2816" s="56" t="n">
        <v>6</v>
      </c>
      <c r="D2816" s="56" t="n">
        <v>61</v>
      </c>
      <c r="E2816" s="56" t="n">
        <v>18.5</v>
      </c>
      <c r="F2816" s="56" t="n">
        <v>0</v>
      </c>
      <c r="G2816" s="56" t="n">
        <v>11.6</v>
      </c>
      <c r="H2816" s="56" t="n">
        <v>0</v>
      </c>
      <c r="I2816" s="56" t="n">
        <v>14.1</v>
      </c>
      <c r="J2816" s="56" t="n">
        <v>0</v>
      </c>
      <c r="K2816" s="56" t="n">
        <v>1004.1</v>
      </c>
      <c r="L2816" s="56" t="n">
        <v>0</v>
      </c>
      <c r="M2816" s="56" t="n">
        <v>74</v>
      </c>
      <c r="N2816" s="56" t="n">
        <v>0.5</v>
      </c>
      <c r="O2816" s="56" t="n">
        <f aca="false">IF(D2816=1,"",E2815)</f>
        <v>16.6</v>
      </c>
      <c r="P2816" s="56" t="n">
        <f aca="false">IF(OR(D2816=1,K2815=""),"",K2815)</f>
        <v>1007.4</v>
      </c>
      <c r="Q2816" s="56" t="n">
        <f aca="false">IF(OR(F2816&lt;&gt;0,AND(I2816&lt;&gt;"",E2816&lt;I2816)),1,0)</f>
        <v>0</v>
      </c>
      <c r="R2816" s="56" t="n">
        <f aca="false">IF(AND(D2816&gt;1,Q2816=0,ISNUMBER(O2816),ISNUMBER(P2816)),IF(Q2815=0,1,0),0)</f>
        <v>1</v>
      </c>
      <c r="S2816" s="56" t="n">
        <f aca="false">R2816*(B2816&gt;=Train_Start)*(B2816&lt;=Train_End)</f>
        <v>1</v>
      </c>
      <c r="T2816" s="84" t="n">
        <f aca="false">IF(AND(ISNUMBER(O2816),ISNUMBER(P2816)),Coef_A+Coef_B1*O2816+Coef_B2*P2816,"")</f>
        <v>17.2900378807847</v>
      </c>
      <c r="U2816" s="84" t="n">
        <f aca="false">IF(AND(R2816=1,ISNUMBER(T2816)),E2816-T2816,"")</f>
        <v>1.20996211921527</v>
      </c>
      <c r="V2816" s="84" t="n">
        <f aca="false">IF(ISNUMBER(T2816),T2816,-99)</f>
        <v>17.2900378807847</v>
      </c>
      <c r="W2816" s="84" t="n">
        <f aca="false">IF(ISNUMBER(U2816),ABS(U2816),"")</f>
        <v>1.20996211921527</v>
      </c>
    </row>
    <row r="2817" customFormat="false" ht="15" hidden="false" customHeight="false" outlineLevel="0" collapsed="false">
      <c r="A2817" s="57" t="n">
        <v>35612</v>
      </c>
      <c r="B2817" s="56" t="n">
        <v>1997</v>
      </c>
      <c r="C2817" s="56" t="n">
        <v>7</v>
      </c>
      <c r="D2817" s="56" t="n">
        <v>62</v>
      </c>
      <c r="E2817" s="56" t="n">
        <v>18.6</v>
      </c>
      <c r="F2817" s="56" t="n">
        <v>0</v>
      </c>
      <c r="G2817" s="56" t="n">
        <v>11.8</v>
      </c>
      <c r="H2817" s="56" t="n">
        <v>0</v>
      </c>
      <c r="I2817" s="56" t="n">
        <v>15.2</v>
      </c>
      <c r="J2817" s="56" t="n">
        <v>0</v>
      </c>
      <c r="K2817" s="56" t="n">
        <v>1004.5</v>
      </c>
      <c r="L2817" s="56" t="n">
        <v>0</v>
      </c>
      <c r="M2817" s="56" t="n">
        <v>69</v>
      </c>
      <c r="N2817" s="56" t="n">
        <v>3.9</v>
      </c>
      <c r="O2817" s="56" t="n">
        <f aca="false">IF(D2817=1,"",E2816)</f>
        <v>18.5</v>
      </c>
      <c r="P2817" s="56" t="n">
        <f aca="false">IF(OR(D2817=1,K2816=""),"",K2816)</f>
        <v>1004.1</v>
      </c>
      <c r="Q2817" s="56" t="n">
        <f aca="false">IF(OR(F2817&lt;&gt;0,AND(I2817&lt;&gt;"",E2817&lt;I2817)),1,0)</f>
        <v>0</v>
      </c>
      <c r="R2817" s="56" t="n">
        <f aca="false">IF(AND(D2817&gt;1,Q2817=0,ISNUMBER(O2817),ISNUMBER(P2817)),IF(Q2816=0,1,0),0)</f>
        <v>1</v>
      </c>
      <c r="S2817" s="56" t="n">
        <f aca="false">R2817*(B2817&gt;=Train_Start)*(B2817&lt;=Train_End)</f>
        <v>1</v>
      </c>
      <c r="T2817" s="84" t="n">
        <f aca="false">IF(AND(ISNUMBER(O2817),ISNUMBER(P2817)),Coef_A+Coef_B1*O2817+Coef_B2*P2817,"")</f>
        <v>18.7432616952736</v>
      </c>
      <c r="U2817" s="84" t="n">
        <f aca="false">IF(AND(R2817=1,ISNUMBER(T2817)),E2817-T2817,"")</f>
        <v>-0.143261695273612</v>
      </c>
      <c r="V2817" s="84" t="n">
        <f aca="false">IF(ISNUMBER(T2817),T2817,-99)</f>
        <v>18.7432616952736</v>
      </c>
      <c r="W2817" s="84" t="n">
        <f aca="false">IF(ISNUMBER(U2817),ABS(U2817),"")</f>
        <v>0.143261695273612</v>
      </c>
    </row>
    <row r="2818" customFormat="false" ht="15" hidden="false" customHeight="false" outlineLevel="0" collapsed="false">
      <c r="A2818" s="57" t="n">
        <v>35613</v>
      </c>
      <c r="B2818" s="56" t="n">
        <v>1997</v>
      </c>
      <c r="C2818" s="56" t="n">
        <v>7</v>
      </c>
      <c r="D2818" s="56" t="n">
        <v>63</v>
      </c>
      <c r="E2818" s="56" t="n">
        <v>17.4</v>
      </c>
      <c r="F2818" s="56" t="n">
        <v>0</v>
      </c>
      <c r="G2818" s="56" t="n">
        <v>10.4</v>
      </c>
      <c r="H2818" s="56" t="n">
        <v>0</v>
      </c>
      <c r="I2818" s="56" t="n">
        <v>14.5</v>
      </c>
      <c r="J2818" s="56" t="n">
        <v>0</v>
      </c>
      <c r="K2818" s="56" t="n">
        <v>1005.7</v>
      </c>
      <c r="L2818" s="56" t="n">
        <v>0</v>
      </c>
      <c r="M2818" s="56" t="n">
        <v>72</v>
      </c>
      <c r="N2818" s="56" t="n">
        <v>5.5</v>
      </c>
      <c r="O2818" s="56" t="n">
        <f aca="false">IF(D2818=1,"",E2817)</f>
        <v>18.6</v>
      </c>
      <c r="P2818" s="56" t="n">
        <f aca="false">IF(OR(D2818=1,K2817=""),"",K2817)</f>
        <v>1004.5</v>
      </c>
      <c r="Q2818" s="56" t="n">
        <f aca="false">IF(OR(F2818&lt;&gt;0,AND(I2818&lt;&gt;"",E2818&lt;I2818)),1,0)</f>
        <v>0</v>
      </c>
      <c r="R2818" s="56" t="n">
        <f aca="false">IF(AND(D2818&gt;1,Q2818=0,ISNUMBER(O2818),ISNUMBER(P2818)),IF(Q2817=0,1,0),0)</f>
        <v>1</v>
      </c>
      <c r="S2818" s="56" t="n">
        <f aca="false">R2818*(B2818&gt;=Train_Start)*(B2818&lt;=Train_End)</f>
        <v>1</v>
      </c>
      <c r="T2818" s="84" t="n">
        <f aca="false">IF(AND(ISNUMBER(O2818),ISNUMBER(P2818)),Coef_A+Coef_B1*O2818+Coef_B2*P2818,"")</f>
        <v>18.8377435724315</v>
      </c>
      <c r="U2818" s="84" t="n">
        <f aca="false">IF(AND(R2818=1,ISNUMBER(T2818)),E2818-T2818,"")</f>
        <v>-1.43774357243148</v>
      </c>
      <c r="V2818" s="84" t="n">
        <f aca="false">IF(ISNUMBER(T2818),T2818,-99)</f>
        <v>18.8377435724315</v>
      </c>
      <c r="W2818" s="84" t="n">
        <f aca="false">IF(ISNUMBER(U2818),ABS(U2818),"")</f>
        <v>1.43774357243148</v>
      </c>
    </row>
    <row r="2819" customFormat="false" ht="15" hidden="false" customHeight="false" outlineLevel="0" collapsed="false">
      <c r="A2819" s="57" t="n">
        <v>35614</v>
      </c>
      <c r="B2819" s="56" t="n">
        <v>1997</v>
      </c>
      <c r="C2819" s="56" t="n">
        <v>7</v>
      </c>
      <c r="D2819" s="56" t="n">
        <v>64</v>
      </c>
      <c r="E2819" s="56" t="n">
        <v>18.3</v>
      </c>
      <c r="F2819" s="56" t="n">
        <v>0</v>
      </c>
      <c r="G2819" s="56" t="n">
        <v>10.3</v>
      </c>
      <c r="H2819" s="56" t="n">
        <v>0</v>
      </c>
      <c r="I2819" s="56" t="n">
        <v>13.8</v>
      </c>
      <c r="J2819" s="56" t="n">
        <v>0</v>
      </c>
      <c r="K2819" s="56" t="n">
        <v>1009.1</v>
      </c>
      <c r="L2819" s="56" t="n">
        <v>0</v>
      </c>
      <c r="M2819" s="56" t="n">
        <v>75</v>
      </c>
      <c r="N2819" s="56" t="n">
        <v>1.6</v>
      </c>
      <c r="O2819" s="56" t="n">
        <f aca="false">IF(D2819=1,"",E2818)</f>
        <v>17.4</v>
      </c>
      <c r="P2819" s="56" t="n">
        <f aca="false">IF(OR(D2819=1,K2818=""),"",K2818)</f>
        <v>1005.7</v>
      </c>
      <c r="Q2819" s="56" t="n">
        <f aca="false">IF(OR(F2819&lt;&gt;0,AND(I2819&lt;&gt;"",E2819&lt;I2819)),1,0)</f>
        <v>0</v>
      </c>
      <c r="R2819" s="56" t="n">
        <f aca="false">IF(AND(D2819&gt;1,Q2819=0,ISNUMBER(O2819),ISNUMBER(P2819)),IF(Q2818=0,1,0),0)</f>
        <v>1</v>
      </c>
      <c r="S2819" s="56" t="n">
        <f aca="false">R2819*(B2819&gt;=Train_Start)*(B2819&lt;=Train_End)</f>
        <v>1</v>
      </c>
      <c r="T2819" s="84" t="n">
        <f aca="false">IF(AND(ISNUMBER(O2819),ISNUMBER(P2819)),Coef_A+Coef_B1*O2819+Coef_B2*P2819,"")</f>
        <v>17.8921804143411</v>
      </c>
      <c r="U2819" s="84" t="n">
        <f aca="false">IF(AND(R2819=1,ISNUMBER(T2819)),E2819-T2819,"")</f>
        <v>0.407819585658928</v>
      </c>
      <c r="V2819" s="84" t="n">
        <f aca="false">IF(ISNUMBER(T2819),T2819,-99)</f>
        <v>17.8921804143411</v>
      </c>
      <c r="W2819" s="84" t="n">
        <f aca="false">IF(ISNUMBER(U2819),ABS(U2819),"")</f>
        <v>0.407819585658928</v>
      </c>
    </row>
    <row r="2820" customFormat="false" ht="15" hidden="false" customHeight="false" outlineLevel="0" collapsed="false">
      <c r="A2820" s="57" t="n">
        <v>35615</v>
      </c>
      <c r="B2820" s="56" t="n">
        <v>1997</v>
      </c>
      <c r="C2820" s="56" t="n">
        <v>7</v>
      </c>
      <c r="D2820" s="56" t="n">
        <v>65</v>
      </c>
      <c r="E2820" s="56" t="n">
        <v>22.4</v>
      </c>
      <c r="F2820" s="56" t="n">
        <v>0</v>
      </c>
      <c r="G2820" s="56" t="n">
        <v>11.7</v>
      </c>
      <c r="H2820" s="56" t="n">
        <v>0</v>
      </c>
      <c r="I2820" s="56" t="n">
        <v>15</v>
      </c>
      <c r="J2820" s="56" t="n">
        <v>0</v>
      </c>
      <c r="K2820" s="56" t="n">
        <v>1016.7</v>
      </c>
      <c r="L2820" s="56" t="n">
        <v>0</v>
      </c>
      <c r="M2820" s="56" t="n">
        <v>79</v>
      </c>
      <c r="N2820" s="56" t="n">
        <v>1.7</v>
      </c>
      <c r="O2820" s="56" t="n">
        <f aca="false">IF(D2820=1,"",E2819)</f>
        <v>18.3</v>
      </c>
      <c r="P2820" s="56" t="n">
        <f aca="false">IF(OR(D2820=1,K2819=""),"",K2819)</f>
        <v>1009.1</v>
      </c>
      <c r="Q2820" s="56" t="n">
        <f aca="false">IF(OR(F2820&lt;&gt;0,AND(I2820&lt;&gt;"",E2820&lt;I2820)),1,0)</f>
        <v>0</v>
      </c>
      <c r="R2820" s="56" t="n">
        <f aca="false">IF(AND(D2820&gt;1,Q2820=0,ISNUMBER(O2820),ISNUMBER(P2820)),IF(Q2819=0,1,0),0)</f>
        <v>1</v>
      </c>
      <c r="S2820" s="56" t="n">
        <f aca="false">R2820*(B2820&gt;=Train_Start)*(B2820&lt;=Train_End)</f>
        <v>1</v>
      </c>
      <c r="T2820" s="84" t="n">
        <f aca="false">IF(AND(ISNUMBER(O2820),ISNUMBER(P2820)),Coef_A+Coef_B1*O2820+Coef_B2*P2820,"")</f>
        <v>18.736243329835</v>
      </c>
      <c r="U2820" s="84" t="n">
        <f aca="false">IF(AND(R2820=1,ISNUMBER(T2820)),E2820-T2820,"")</f>
        <v>3.66375667016497</v>
      </c>
      <c r="V2820" s="84" t="n">
        <f aca="false">IF(ISNUMBER(T2820),T2820,-99)</f>
        <v>18.736243329835</v>
      </c>
      <c r="W2820" s="84" t="n">
        <f aca="false">IF(ISNUMBER(U2820),ABS(U2820),"")</f>
        <v>3.66375667016497</v>
      </c>
    </row>
    <row r="2821" customFormat="false" ht="15" hidden="false" customHeight="false" outlineLevel="0" collapsed="false">
      <c r="A2821" s="57" t="n">
        <v>35616</v>
      </c>
      <c r="B2821" s="56" t="n">
        <v>1997</v>
      </c>
      <c r="C2821" s="56" t="n">
        <v>7</v>
      </c>
      <c r="D2821" s="56" t="n">
        <v>66</v>
      </c>
      <c r="E2821" s="56" t="n">
        <v>24.8</v>
      </c>
      <c r="F2821" s="56" t="n">
        <v>0</v>
      </c>
      <c r="G2821" s="56" t="n">
        <v>10.8</v>
      </c>
      <c r="H2821" s="56" t="n">
        <v>0</v>
      </c>
      <c r="I2821" s="56" t="n">
        <v>16.6</v>
      </c>
      <c r="J2821" s="56" t="n">
        <v>0</v>
      </c>
      <c r="K2821" s="56" t="n">
        <v>1025.4</v>
      </c>
      <c r="L2821" s="56" t="n">
        <v>0</v>
      </c>
      <c r="M2821" s="56" t="n">
        <v>67</v>
      </c>
      <c r="N2821" s="56" t="n">
        <v>12.2</v>
      </c>
      <c r="O2821" s="56" t="n">
        <f aca="false">IF(D2821=1,"",E2820)</f>
        <v>22.4</v>
      </c>
      <c r="P2821" s="56" t="n">
        <f aca="false">IF(OR(D2821=1,K2820=""),"",K2820)</f>
        <v>1016.7</v>
      </c>
      <c r="Q2821" s="56" t="n">
        <f aca="false">IF(OR(F2821&lt;&gt;0,AND(I2821&lt;&gt;"",E2821&lt;I2821)),1,0)</f>
        <v>0</v>
      </c>
      <c r="R2821" s="56" t="n">
        <f aca="false">IF(AND(D2821&gt;1,Q2821=0,ISNUMBER(O2821),ISNUMBER(P2821)),IF(Q2820=0,1,0),0)</f>
        <v>1</v>
      </c>
      <c r="S2821" s="56" t="n">
        <f aca="false">R2821*(B2821&gt;=Train_Start)*(B2821&lt;=Train_End)</f>
        <v>1</v>
      </c>
      <c r="T2821" s="84" t="n">
        <f aca="false">IF(AND(ISNUMBER(O2821),ISNUMBER(P2821)),Coef_A+Coef_B1*O2821+Coef_B2*P2821,"")</f>
        <v>22.3339452205282</v>
      </c>
      <c r="U2821" s="84" t="n">
        <f aca="false">IF(AND(R2821=1,ISNUMBER(T2821)),E2821-T2821,"")</f>
        <v>2.46605477947176</v>
      </c>
      <c r="V2821" s="84" t="n">
        <f aca="false">IF(ISNUMBER(T2821),T2821,-99)</f>
        <v>22.3339452205282</v>
      </c>
      <c r="W2821" s="84" t="n">
        <f aca="false">IF(ISNUMBER(U2821),ABS(U2821),"")</f>
        <v>2.46605477947176</v>
      </c>
    </row>
    <row r="2822" customFormat="false" ht="15" hidden="false" customHeight="false" outlineLevel="0" collapsed="false">
      <c r="A2822" s="57" t="n">
        <v>35617</v>
      </c>
      <c r="B2822" s="56" t="n">
        <v>1997</v>
      </c>
      <c r="C2822" s="56" t="n">
        <v>7</v>
      </c>
      <c r="D2822" s="56" t="n">
        <v>67</v>
      </c>
      <c r="E2822" s="56" t="n">
        <v>26.7</v>
      </c>
      <c r="F2822" s="56" t="n">
        <v>0</v>
      </c>
      <c r="G2822" s="56" t="n">
        <v>12.4</v>
      </c>
      <c r="H2822" s="56" t="n">
        <v>0</v>
      </c>
      <c r="I2822" s="56" t="n">
        <v>18.6</v>
      </c>
      <c r="J2822" s="56" t="n">
        <v>0</v>
      </c>
      <c r="K2822" s="56" t="n">
        <v>1029</v>
      </c>
      <c r="L2822" s="56" t="n">
        <v>0</v>
      </c>
      <c r="M2822" s="56" t="n">
        <v>66</v>
      </c>
      <c r="N2822" s="56" t="n">
        <v>8.2</v>
      </c>
      <c r="O2822" s="56" t="n">
        <f aca="false">IF(D2822=1,"",E2821)</f>
        <v>24.8</v>
      </c>
      <c r="P2822" s="56" t="n">
        <f aca="false">IF(OR(D2822=1,K2821=""),"",K2821)</f>
        <v>1025.4</v>
      </c>
      <c r="Q2822" s="56" t="n">
        <f aca="false">IF(OR(F2822&lt;&gt;0,AND(I2822&lt;&gt;"",E2822&lt;I2822)),1,0)</f>
        <v>0</v>
      </c>
      <c r="R2822" s="56" t="n">
        <f aca="false">IF(AND(D2822&gt;1,Q2822=0,ISNUMBER(O2822),ISNUMBER(P2822)),IF(Q2821=0,1,0),0)</f>
        <v>1</v>
      </c>
      <c r="S2822" s="56" t="n">
        <f aca="false">R2822*(B2822&gt;=Train_Start)*(B2822&lt;=Train_End)</f>
        <v>1</v>
      </c>
      <c r="T2822" s="84" t="n">
        <f aca="false">IF(AND(ISNUMBER(O2822),ISNUMBER(P2822)),Coef_A+Coef_B1*O2822+Coef_B2*P2822,"")</f>
        <v>24.5732773671463</v>
      </c>
      <c r="U2822" s="84" t="n">
        <f aca="false">IF(AND(R2822=1,ISNUMBER(T2822)),E2822-T2822,"")</f>
        <v>2.12672263285367</v>
      </c>
      <c r="V2822" s="84" t="n">
        <f aca="false">IF(ISNUMBER(T2822),T2822,-99)</f>
        <v>24.5732773671463</v>
      </c>
      <c r="W2822" s="84" t="n">
        <f aca="false">IF(ISNUMBER(U2822),ABS(U2822),"")</f>
        <v>2.12672263285367</v>
      </c>
    </row>
    <row r="2823" customFormat="false" ht="15" hidden="false" customHeight="false" outlineLevel="0" collapsed="false">
      <c r="A2823" s="57" t="n">
        <v>35618</v>
      </c>
      <c r="B2823" s="56" t="n">
        <v>1997</v>
      </c>
      <c r="C2823" s="56" t="n">
        <v>7</v>
      </c>
      <c r="D2823" s="56" t="n">
        <v>68</v>
      </c>
      <c r="E2823" s="56" t="n">
        <v>27.6</v>
      </c>
      <c r="F2823" s="56" t="n">
        <v>0</v>
      </c>
      <c r="G2823" s="56" t="n">
        <v>14.6</v>
      </c>
      <c r="H2823" s="56" t="n">
        <v>0</v>
      </c>
      <c r="I2823" s="56" t="n">
        <v>20.6</v>
      </c>
      <c r="J2823" s="56" t="n">
        <v>0</v>
      </c>
      <c r="K2823" s="56" t="n">
        <v>1028.1</v>
      </c>
      <c r="L2823" s="56" t="n">
        <v>0</v>
      </c>
      <c r="M2823" s="56" t="n">
        <v>62</v>
      </c>
      <c r="N2823" s="56" t="n">
        <v>9.8</v>
      </c>
      <c r="O2823" s="56" t="n">
        <f aca="false">IF(D2823=1,"",E2822)</f>
        <v>26.7</v>
      </c>
      <c r="P2823" s="56" t="n">
        <f aca="false">IF(OR(D2823=1,K2822=""),"",K2822)</f>
        <v>1029</v>
      </c>
      <c r="Q2823" s="56" t="n">
        <f aca="false">IF(OR(F2823&lt;&gt;0,AND(I2823&lt;&gt;"",E2823&lt;I2823)),1,0)</f>
        <v>0</v>
      </c>
      <c r="R2823" s="56" t="n">
        <f aca="false">IF(AND(D2823&gt;1,Q2823=0,ISNUMBER(O2823),ISNUMBER(P2823)),IF(Q2822=0,1,0),0)</f>
        <v>1</v>
      </c>
      <c r="S2823" s="56" t="n">
        <f aca="false">R2823*(B2823&gt;=Train_Start)*(B2823&lt;=Train_End)</f>
        <v>1</v>
      </c>
      <c r="T2823" s="84" t="n">
        <f aca="false">IF(AND(ISNUMBER(O2823),ISNUMBER(P2823)),Coef_A+Coef_B1*O2823+Coef_B2*P2823,"")</f>
        <v>26.2429534546097</v>
      </c>
      <c r="U2823" s="84" t="n">
        <f aca="false">IF(AND(R2823=1,ISNUMBER(T2823)),E2823-T2823,"")</f>
        <v>1.35704654539026</v>
      </c>
      <c r="V2823" s="84" t="n">
        <f aca="false">IF(ISNUMBER(T2823),T2823,-99)</f>
        <v>26.2429534546097</v>
      </c>
      <c r="W2823" s="84" t="n">
        <f aca="false">IF(ISNUMBER(U2823),ABS(U2823),"")</f>
        <v>1.35704654539026</v>
      </c>
    </row>
    <row r="2824" customFormat="false" ht="15" hidden="false" customHeight="false" outlineLevel="0" collapsed="false">
      <c r="A2824" s="57" t="n">
        <v>35619</v>
      </c>
      <c r="B2824" s="56" t="n">
        <v>1997</v>
      </c>
      <c r="C2824" s="56" t="n">
        <v>7</v>
      </c>
      <c r="D2824" s="56" t="n">
        <v>69</v>
      </c>
      <c r="E2824" s="56" t="n">
        <v>26.3</v>
      </c>
      <c r="F2824" s="56" t="n">
        <v>0</v>
      </c>
      <c r="G2824" s="56" t="n">
        <v>15.4</v>
      </c>
      <c r="H2824" s="56" t="n">
        <v>0</v>
      </c>
      <c r="I2824" s="56" t="n">
        <v>21.5</v>
      </c>
      <c r="J2824" s="56" t="n">
        <v>0</v>
      </c>
      <c r="K2824" s="56" t="n">
        <v>1025</v>
      </c>
      <c r="L2824" s="56" t="n">
        <v>0</v>
      </c>
      <c r="M2824" s="56" t="n">
        <v>73</v>
      </c>
      <c r="N2824" s="56" t="n">
        <v>7.4</v>
      </c>
      <c r="O2824" s="56" t="n">
        <f aca="false">IF(D2824=1,"",E2823)</f>
        <v>27.6</v>
      </c>
      <c r="P2824" s="56" t="n">
        <f aca="false">IF(OR(D2824=1,K2823=""),"",K2823)</f>
        <v>1028.1</v>
      </c>
      <c r="Q2824" s="56" t="n">
        <f aca="false">IF(OR(F2824&lt;&gt;0,AND(I2824&lt;&gt;"",E2824&lt;I2824)),1,0)</f>
        <v>0</v>
      </c>
      <c r="R2824" s="56" t="n">
        <f aca="false">IF(AND(D2824&gt;1,Q2824=0,ISNUMBER(O2824),ISNUMBER(P2824)),IF(Q2823=0,1,0),0)</f>
        <v>1</v>
      </c>
      <c r="S2824" s="56" t="n">
        <f aca="false">R2824*(B2824&gt;=Train_Start)*(B2824&lt;=Train_End)</f>
        <v>1</v>
      </c>
      <c r="T2824" s="84" t="n">
        <f aca="false">IF(AND(ISNUMBER(O2824),ISNUMBER(P2824)),Coef_A+Coef_B1*O2824+Coef_B2*P2824,"")</f>
        <v>26.9521258231775</v>
      </c>
      <c r="U2824" s="84" t="n">
        <f aca="false">IF(AND(R2824=1,ISNUMBER(T2824)),E2824-T2824,"")</f>
        <v>-0.652125823177538</v>
      </c>
      <c r="V2824" s="84" t="n">
        <f aca="false">IF(ISNUMBER(T2824),T2824,-99)</f>
        <v>26.9521258231775</v>
      </c>
      <c r="W2824" s="84" t="n">
        <f aca="false">IF(ISNUMBER(U2824),ABS(U2824),"")</f>
        <v>0.652125823177538</v>
      </c>
    </row>
    <row r="2825" customFormat="false" ht="15" hidden="false" customHeight="false" outlineLevel="0" collapsed="false">
      <c r="A2825" s="57" t="n">
        <v>35620</v>
      </c>
      <c r="B2825" s="56" t="n">
        <v>1997</v>
      </c>
      <c r="C2825" s="56" t="n">
        <v>7</v>
      </c>
      <c r="D2825" s="56" t="n">
        <v>70</v>
      </c>
      <c r="E2825" s="56" t="n">
        <v>22.8</v>
      </c>
      <c r="F2825" s="56" t="n">
        <v>0</v>
      </c>
      <c r="G2825" s="56" t="n">
        <v>15.7</v>
      </c>
      <c r="H2825" s="56" t="n">
        <v>0</v>
      </c>
      <c r="I2825" s="56" t="n">
        <v>21</v>
      </c>
      <c r="J2825" s="56" t="n">
        <v>0</v>
      </c>
      <c r="K2825" s="56" t="n">
        <v>1021.4</v>
      </c>
      <c r="L2825" s="56" t="n">
        <v>0</v>
      </c>
      <c r="M2825" s="56" t="n">
        <v>64</v>
      </c>
      <c r="N2825" s="56" t="n">
        <v>14.7</v>
      </c>
      <c r="O2825" s="56" t="n">
        <f aca="false">IF(D2825=1,"",E2824)</f>
        <v>26.3</v>
      </c>
      <c r="P2825" s="56" t="n">
        <f aca="false">IF(OR(D2825=1,K2824=""),"",K2824)</f>
        <v>1025</v>
      </c>
      <c r="Q2825" s="56" t="n">
        <f aca="false">IF(OR(F2825&lt;&gt;0,AND(I2825&lt;&gt;"",E2825&lt;I2825)),1,0)</f>
        <v>0</v>
      </c>
      <c r="R2825" s="56" t="n">
        <f aca="false">IF(AND(D2825&gt;1,Q2825=0,ISNUMBER(O2825),ISNUMBER(P2825)),IF(Q2824=0,1,0),0)</f>
        <v>1</v>
      </c>
      <c r="S2825" s="56" t="n">
        <f aca="false">R2825*(B2825&gt;=Train_Start)*(B2825&lt;=Train_End)</f>
        <v>1</v>
      </c>
      <c r="T2825" s="84" t="n">
        <f aca="false">IF(AND(ISNUMBER(O2825),ISNUMBER(P2825)),Coef_A+Coef_B1*O2825+Coef_B2*P2825,"")</f>
        <v>25.7897381988567</v>
      </c>
      <c r="U2825" s="84" t="n">
        <f aca="false">IF(AND(R2825=1,ISNUMBER(T2825)),E2825-T2825,"")</f>
        <v>-2.98973819885672</v>
      </c>
      <c r="V2825" s="84" t="n">
        <f aca="false">IF(ISNUMBER(T2825),T2825,-99)</f>
        <v>25.7897381988567</v>
      </c>
      <c r="W2825" s="84" t="n">
        <f aca="false">IF(ISNUMBER(U2825),ABS(U2825),"")</f>
        <v>2.98973819885672</v>
      </c>
    </row>
    <row r="2826" customFormat="false" ht="15" hidden="false" customHeight="false" outlineLevel="0" collapsed="false">
      <c r="A2826" s="57" t="n">
        <v>35621</v>
      </c>
      <c r="B2826" s="56" t="n">
        <v>1997</v>
      </c>
      <c r="C2826" s="56" t="n">
        <v>7</v>
      </c>
      <c r="D2826" s="56" t="n">
        <v>71</v>
      </c>
      <c r="E2826" s="56" t="n">
        <v>23.8</v>
      </c>
      <c r="F2826" s="56" t="n">
        <v>0</v>
      </c>
      <c r="G2826" s="56" t="n">
        <v>14.2</v>
      </c>
      <c r="H2826" s="56" t="n">
        <v>0</v>
      </c>
      <c r="I2826" s="56" t="n">
        <v>18.5</v>
      </c>
      <c r="J2826" s="56" t="n">
        <v>0</v>
      </c>
      <c r="K2826" s="56" t="n">
        <v>1018.2</v>
      </c>
      <c r="L2826" s="56" t="n">
        <v>0</v>
      </c>
      <c r="M2826" s="56" t="n">
        <v>68</v>
      </c>
      <c r="N2826" s="56" t="n">
        <v>9</v>
      </c>
      <c r="O2826" s="56" t="n">
        <f aca="false">IF(D2826=1,"",E2825)</f>
        <v>22.8</v>
      </c>
      <c r="P2826" s="56" t="n">
        <f aca="false">IF(OR(D2826=1,K2825=""),"",K2825)</f>
        <v>1021.4</v>
      </c>
      <c r="Q2826" s="56" t="n">
        <f aca="false">IF(OR(F2826&lt;&gt;0,AND(I2826&lt;&gt;"",E2826&lt;I2826)),1,0)</f>
        <v>0</v>
      </c>
      <c r="R2826" s="56" t="n">
        <f aca="false">IF(AND(D2826&gt;1,Q2826=0,ISNUMBER(O2826),ISNUMBER(P2826)),IF(Q2825=0,1,0),0)</f>
        <v>1</v>
      </c>
      <c r="S2826" s="56" t="n">
        <f aca="false">R2826*(B2826&gt;=Train_Start)*(B2826&lt;=Train_End)</f>
        <v>1</v>
      </c>
      <c r="T2826" s="84" t="n">
        <f aca="false">IF(AND(ISNUMBER(O2826),ISNUMBER(P2826)),Coef_A+Coef_B1*O2826+Coef_B2*P2826,"")</f>
        <v>22.8091194025251</v>
      </c>
      <c r="U2826" s="84" t="n">
        <f aca="false">IF(AND(R2826=1,ISNUMBER(T2826)),E2826-T2826,"")</f>
        <v>0.990880597474941</v>
      </c>
      <c r="V2826" s="84" t="n">
        <f aca="false">IF(ISNUMBER(T2826),T2826,-99)</f>
        <v>22.8091194025251</v>
      </c>
      <c r="W2826" s="84" t="n">
        <f aca="false">IF(ISNUMBER(U2826),ABS(U2826),"")</f>
        <v>0.990880597474941</v>
      </c>
    </row>
    <row r="2827" customFormat="false" ht="15" hidden="false" customHeight="false" outlineLevel="0" collapsed="false">
      <c r="A2827" s="57" t="n">
        <v>35622</v>
      </c>
      <c r="B2827" s="56" t="n">
        <v>1997</v>
      </c>
      <c r="C2827" s="56" t="n">
        <v>7</v>
      </c>
      <c r="D2827" s="56" t="n">
        <v>72</v>
      </c>
      <c r="E2827" s="56" t="n">
        <v>25</v>
      </c>
      <c r="F2827" s="56" t="n">
        <v>0</v>
      </c>
      <c r="G2827" s="56" t="n">
        <v>13.1</v>
      </c>
      <c r="H2827" s="56" t="n">
        <v>0</v>
      </c>
      <c r="I2827" s="56" t="n">
        <v>18.4</v>
      </c>
      <c r="J2827" s="56" t="n">
        <v>0</v>
      </c>
      <c r="K2827" s="56" t="n">
        <v>1016</v>
      </c>
      <c r="L2827" s="56" t="n">
        <v>0</v>
      </c>
      <c r="M2827" s="56" t="n">
        <v>70</v>
      </c>
      <c r="N2827" s="56" t="n">
        <v>6.8</v>
      </c>
      <c r="O2827" s="56" t="n">
        <f aca="false">IF(D2827=1,"",E2826)</f>
        <v>23.8</v>
      </c>
      <c r="P2827" s="56" t="n">
        <f aca="false">IF(OR(D2827=1,K2826=""),"",K2826)</f>
        <v>1018.2</v>
      </c>
      <c r="Q2827" s="56" t="n">
        <f aca="false">IF(OR(F2827&lt;&gt;0,AND(I2827&lt;&gt;"",E2827&lt;I2827)),1,0)</f>
        <v>0</v>
      </c>
      <c r="R2827" s="56" t="n">
        <f aca="false">IF(AND(D2827&gt;1,Q2827=0,ISNUMBER(O2827),ISNUMBER(P2827)),IF(Q2826=0,1,0),0)</f>
        <v>1</v>
      </c>
      <c r="S2827" s="56" t="n">
        <f aca="false">R2827*(B2827&gt;=Train_Start)*(B2827&lt;=Train_End)</f>
        <v>1</v>
      </c>
      <c r="T2827" s="84" t="n">
        <f aca="false">IF(AND(ISNUMBER(O2827),ISNUMBER(P2827)),Coef_A+Coef_B1*O2827+Coef_B2*P2827,"")</f>
        <v>23.528074932739</v>
      </c>
      <c r="U2827" s="84" t="n">
        <f aca="false">IF(AND(R2827=1,ISNUMBER(T2827)),E2827-T2827,"")</f>
        <v>1.47192506726105</v>
      </c>
      <c r="V2827" s="84" t="n">
        <f aca="false">IF(ISNUMBER(T2827),T2827,-99)</f>
        <v>23.528074932739</v>
      </c>
      <c r="W2827" s="84" t="n">
        <f aca="false">IF(ISNUMBER(U2827),ABS(U2827),"")</f>
        <v>1.47192506726105</v>
      </c>
    </row>
    <row r="2828" customFormat="false" ht="15" hidden="false" customHeight="false" outlineLevel="0" collapsed="false">
      <c r="A2828" s="57" t="n">
        <v>35623</v>
      </c>
      <c r="B2828" s="56" t="n">
        <v>1997</v>
      </c>
      <c r="C2828" s="56" t="n">
        <v>7</v>
      </c>
      <c r="D2828" s="56" t="n">
        <v>73</v>
      </c>
      <c r="E2828" s="56" t="n">
        <v>24.2</v>
      </c>
      <c r="F2828" s="56" t="n">
        <v>0</v>
      </c>
      <c r="G2828" s="56" t="n">
        <v>13.2</v>
      </c>
      <c r="H2828" s="56" t="n">
        <v>0</v>
      </c>
      <c r="I2828" s="56" t="n">
        <v>19.1</v>
      </c>
      <c r="J2828" s="56" t="n">
        <v>0</v>
      </c>
      <c r="K2828" s="56" t="n">
        <v>1015.8</v>
      </c>
      <c r="L2828" s="56" t="n">
        <v>0</v>
      </c>
      <c r="M2828" s="56" t="n">
        <v>71</v>
      </c>
      <c r="N2828" s="56" t="n">
        <v>8.8</v>
      </c>
      <c r="O2828" s="56" t="n">
        <f aca="false">IF(D2828=1,"",E2827)</f>
        <v>25</v>
      </c>
      <c r="P2828" s="56" t="n">
        <f aca="false">IF(OR(D2828=1,K2827=""),"",K2827)</f>
        <v>1016</v>
      </c>
      <c r="Q2828" s="56" t="n">
        <f aca="false">IF(OR(F2828&lt;&gt;0,AND(I2828&lt;&gt;"",E2828&lt;I2828)),1,0)</f>
        <v>0</v>
      </c>
      <c r="R2828" s="56" t="n">
        <f aca="false">IF(AND(D2828&gt;1,Q2828=0,ISNUMBER(O2828),ISNUMBER(P2828)),IF(Q2827=0,1,0),0)</f>
        <v>1</v>
      </c>
      <c r="S2828" s="56" t="n">
        <f aca="false">R2828*(B2828&gt;=Train_Start)*(B2828&lt;=Train_End)</f>
        <v>1</v>
      </c>
      <c r="T2828" s="84" t="n">
        <f aca="false">IF(AND(ISNUMBER(O2828),ISNUMBER(P2828)),Coef_A+Coef_B1*O2828+Coef_B2*P2828,"")</f>
        <v>24.4422681961954</v>
      </c>
      <c r="U2828" s="84" t="n">
        <f aca="false">IF(AND(R2828=1,ISNUMBER(T2828)),E2828-T2828,"")</f>
        <v>-0.242268196195361</v>
      </c>
      <c r="V2828" s="84" t="n">
        <f aca="false">IF(ISNUMBER(T2828),T2828,-99)</f>
        <v>24.4422681961954</v>
      </c>
      <c r="W2828" s="84" t="n">
        <f aca="false">IF(ISNUMBER(U2828),ABS(U2828),"")</f>
        <v>0.242268196195361</v>
      </c>
    </row>
    <row r="2829" customFormat="false" ht="15" hidden="false" customHeight="false" outlineLevel="0" collapsed="false">
      <c r="A2829" s="57" t="n">
        <v>35624</v>
      </c>
      <c r="B2829" s="56" t="n">
        <v>1997</v>
      </c>
      <c r="C2829" s="56" t="n">
        <v>7</v>
      </c>
      <c r="D2829" s="56" t="n">
        <v>74</v>
      </c>
      <c r="E2829" s="56" t="n">
        <v>24.1</v>
      </c>
      <c r="F2829" s="56" t="n">
        <v>0</v>
      </c>
      <c r="G2829" s="56" t="n">
        <v>15.9</v>
      </c>
      <c r="H2829" s="56" t="n">
        <v>0</v>
      </c>
      <c r="I2829" s="56" t="n">
        <v>20</v>
      </c>
      <c r="J2829" s="56" t="n">
        <v>0</v>
      </c>
      <c r="K2829" s="56" t="n">
        <v>1016.1</v>
      </c>
      <c r="L2829" s="56" t="n">
        <v>0</v>
      </c>
      <c r="M2829" s="56" t="n">
        <v>69</v>
      </c>
      <c r="N2829" s="56" t="n">
        <v>7.6</v>
      </c>
      <c r="O2829" s="56" t="n">
        <f aca="false">IF(D2829=1,"",E2828)</f>
        <v>24.2</v>
      </c>
      <c r="P2829" s="56" t="n">
        <f aca="false">IF(OR(D2829=1,K2828=""),"",K2828)</f>
        <v>1015.8</v>
      </c>
      <c r="Q2829" s="56" t="n">
        <f aca="false">IF(OR(F2829&lt;&gt;0,AND(I2829&lt;&gt;"",E2829&lt;I2829)),1,0)</f>
        <v>0</v>
      </c>
      <c r="R2829" s="56" t="n">
        <f aca="false">IF(AND(D2829&gt;1,Q2829=0,ISNUMBER(O2829),ISNUMBER(P2829)),IF(Q2828=0,1,0),0)</f>
        <v>1</v>
      </c>
      <c r="S2829" s="56" t="n">
        <f aca="false">R2829*(B2829&gt;=Train_Start)*(B2829&lt;=Train_End)</f>
        <v>1</v>
      </c>
      <c r="T2829" s="84" t="n">
        <f aca="false">IF(AND(ISNUMBER(O2829),ISNUMBER(P2829)),Coef_A+Coef_B1*O2829+Coef_B2*P2829,"")</f>
        <v>23.7805228628344</v>
      </c>
      <c r="U2829" s="84" t="n">
        <f aca="false">IF(AND(R2829=1,ISNUMBER(T2829)),E2829-T2829,"")</f>
        <v>0.319477137165567</v>
      </c>
      <c r="V2829" s="84" t="n">
        <f aca="false">IF(ISNUMBER(T2829),T2829,-99)</f>
        <v>23.7805228628344</v>
      </c>
      <c r="W2829" s="84" t="n">
        <f aca="false">IF(ISNUMBER(U2829),ABS(U2829),"")</f>
        <v>0.319477137165567</v>
      </c>
    </row>
    <row r="2830" customFormat="false" ht="15" hidden="false" customHeight="false" outlineLevel="0" collapsed="false">
      <c r="A2830" s="57" t="n">
        <v>35625</v>
      </c>
      <c r="B2830" s="56" t="n">
        <v>1997</v>
      </c>
      <c r="C2830" s="56" t="n">
        <v>7</v>
      </c>
      <c r="D2830" s="56" t="n">
        <v>75</v>
      </c>
      <c r="E2830" s="56" t="n">
        <v>25.1</v>
      </c>
      <c r="F2830" s="56" t="n">
        <v>0</v>
      </c>
      <c r="G2830" s="56" t="n">
        <v>14.8</v>
      </c>
      <c r="H2830" s="56" t="n">
        <v>0</v>
      </c>
      <c r="I2830" s="56" t="n">
        <v>19.4</v>
      </c>
      <c r="J2830" s="56" t="n">
        <v>0</v>
      </c>
      <c r="K2830" s="56" t="n">
        <v>1019.1</v>
      </c>
      <c r="L2830" s="56" t="n">
        <v>0</v>
      </c>
      <c r="M2830" s="56" t="n">
        <v>70</v>
      </c>
      <c r="N2830" s="56" t="n">
        <v>5.6</v>
      </c>
      <c r="O2830" s="56" t="n">
        <f aca="false">IF(D2830=1,"",E2829)</f>
        <v>24.1</v>
      </c>
      <c r="P2830" s="56" t="n">
        <f aca="false">IF(OR(D2830=1,K2829=""),"",K2829)</f>
        <v>1016.1</v>
      </c>
      <c r="Q2830" s="56" t="n">
        <f aca="false">IF(OR(F2830&lt;&gt;0,AND(I2830&lt;&gt;"",E2830&lt;I2830)),1,0)</f>
        <v>0</v>
      </c>
      <c r="R2830" s="56" t="n">
        <f aca="false">IF(AND(D2830&gt;1,Q2830=0,ISNUMBER(O2830),ISNUMBER(P2830)),IF(Q2829=0,1,0),0)</f>
        <v>1</v>
      </c>
      <c r="S2830" s="56" t="n">
        <f aca="false">R2830*(B2830&gt;=Train_Start)*(B2830&lt;=Train_End)</f>
        <v>1</v>
      </c>
      <c r="T2830" s="84" t="n">
        <f aca="false">IF(AND(ISNUMBER(O2830),ISNUMBER(P2830)),Coef_A+Coef_B1*O2830+Coef_B2*P2830,"")</f>
        <v>23.7079999119204</v>
      </c>
      <c r="U2830" s="84" t="n">
        <f aca="false">IF(AND(R2830=1,ISNUMBER(T2830)),E2830-T2830,"")</f>
        <v>1.39200008807963</v>
      </c>
      <c r="V2830" s="84" t="n">
        <f aca="false">IF(ISNUMBER(T2830),T2830,-99)</f>
        <v>23.7079999119204</v>
      </c>
      <c r="W2830" s="84" t="n">
        <f aca="false">IF(ISNUMBER(U2830),ABS(U2830),"")</f>
        <v>1.39200008807963</v>
      </c>
    </row>
    <row r="2831" customFormat="false" ht="15" hidden="false" customHeight="false" outlineLevel="0" collapsed="false">
      <c r="A2831" s="57" t="n">
        <v>35626</v>
      </c>
      <c r="B2831" s="56" t="n">
        <v>1997</v>
      </c>
      <c r="C2831" s="56" t="n">
        <v>7</v>
      </c>
      <c r="D2831" s="56" t="n">
        <v>76</v>
      </c>
      <c r="E2831" s="56" t="n">
        <v>22.2</v>
      </c>
      <c r="F2831" s="56" t="n">
        <v>0</v>
      </c>
      <c r="G2831" s="56" t="n">
        <v>15</v>
      </c>
      <c r="H2831" s="56" t="n">
        <v>0</v>
      </c>
      <c r="I2831" s="56" t="n">
        <v>20</v>
      </c>
      <c r="J2831" s="56" t="n">
        <v>0</v>
      </c>
      <c r="K2831" s="56" t="n">
        <v>1020.3</v>
      </c>
      <c r="L2831" s="56" t="n">
        <v>0</v>
      </c>
      <c r="M2831" s="56" t="n">
        <v>70</v>
      </c>
      <c r="N2831" s="56" t="n">
        <v>5.5</v>
      </c>
      <c r="O2831" s="56" t="n">
        <f aca="false">IF(D2831=1,"",E2830)</f>
        <v>25.1</v>
      </c>
      <c r="P2831" s="56" t="n">
        <f aca="false">IF(OR(D2831=1,K2830=""),"",K2830)</f>
        <v>1019.1</v>
      </c>
      <c r="Q2831" s="56" t="n">
        <f aca="false">IF(OR(F2831&lt;&gt;0,AND(I2831&lt;&gt;"",E2831&lt;I2831)),1,0)</f>
        <v>0</v>
      </c>
      <c r="R2831" s="56" t="n">
        <f aca="false">IF(AND(D2831&gt;1,Q2831=0,ISNUMBER(O2831),ISNUMBER(P2831)),IF(Q2830=0,1,0),0)</f>
        <v>1</v>
      </c>
      <c r="S2831" s="56" t="n">
        <f aca="false">R2831*(B2831&gt;=Train_Start)*(B2831&lt;=Train_End)</f>
        <v>1</v>
      </c>
      <c r="T2831" s="84" t="n">
        <f aca="false">IF(AND(ISNUMBER(O2831),ISNUMBER(P2831)),Coef_A+Coef_B1*O2831+Coef_B2*P2831,"")</f>
        <v>24.621448788865</v>
      </c>
      <c r="U2831" s="84" t="n">
        <f aca="false">IF(AND(R2831=1,ISNUMBER(T2831)),E2831-T2831,"")</f>
        <v>-2.42144878886499</v>
      </c>
      <c r="V2831" s="84" t="n">
        <f aca="false">IF(ISNUMBER(T2831),T2831,-99)</f>
        <v>24.621448788865</v>
      </c>
      <c r="W2831" s="84" t="n">
        <f aca="false">IF(ISNUMBER(U2831),ABS(U2831),"")</f>
        <v>2.42144878886499</v>
      </c>
    </row>
    <row r="2832" customFormat="false" ht="15" hidden="false" customHeight="false" outlineLevel="0" collapsed="false">
      <c r="A2832" s="57" t="n">
        <v>35627</v>
      </c>
      <c r="B2832" s="56" t="n">
        <v>1997</v>
      </c>
      <c r="C2832" s="56" t="n">
        <v>7</v>
      </c>
      <c r="D2832" s="56" t="n">
        <v>77</v>
      </c>
      <c r="E2832" s="56" t="n">
        <v>20.4</v>
      </c>
      <c r="F2832" s="56" t="n">
        <v>0</v>
      </c>
      <c r="G2832" s="56" t="n">
        <v>15.1</v>
      </c>
      <c r="H2832" s="56" t="n">
        <v>0</v>
      </c>
      <c r="I2832" s="56" t="n">
        <v>18.6</v>
      </c>
      <c r="J2832" s="56" t="n">
        <v>0</v>
      </c>
      <c r="K2832" s="56" t="n">
        <v>1018</v>
      </c>
      <c r="L2832" s="56" t="n">
        <v>0</v>
      </c>
      <c r="M2832" s="56" t="n">
        <v>68</v>
      </c>
      <c r="N2832" s="56" t="n">
        <v>1.9</v>
      </c>
      <c r="O2832" s="56" t="n">
        <f aca="false">IF(D2832=1,"",E2831)</f>
        <v>22.2</v>
      </c>
      <c r="P2832" s="56" t="n">
        <f aca="false">IF(OR(D2832=1,K2831=""),"",K2831)</f>
        <v>1020.3</v>
      </c>
      <c r="Q2832" s="56" t="n">
        <f aca="false">IF(OR(F2832&lt;&gt;0,AND(I2832&lt;&gt;"",E2832&lt;I2832)),1,0)</f>
        <v>0</v>
      </c>
      <c r="R2832" s="56" t="n">
        <f aca="false">IF(AND(D2832&gt;1,Q2832=0,ISNUMBER(O2832),ISNUMBER(P2832)),IF(Q2831=0,1,0),0)</f>
        <v>1</v>
      </c>
      <c r="S2832" s="56" t="n">
        <f aca="false">R2832*(B2832&gt;=Train_Start)*(B2832&lt;=Train_End)</f>
        <v>1</v>
      </c>
      <c r="T2832" s="84" t="n">
        <f aca="false">IF(AND(ISNUMBER(O2832),ISNUMBER(P2832)),Coef_A+Coef_B1*O2832+Coef_B2*P2832,"")</f>
        <v>22.2830090026021</v>
      </c>
      <c r="U2832" s="84" t="n">
        <f aca="false">IF(AND(R2832=1,ISNUMBER(T2832)),E2832-T2832,"")</f>
        <v>-1.88300900260208</v>
      </c>
      <c r="V2832" s="84" t="n">
        <f aca="false">IF(ISNUMBER(T2832),T2832,-99)</f>
        <v>22.2830090026021</v>
      </c>
      <c r="W2832" s="84" t="n">
        <f aca="false">IF(ISNUMBER(U2832),ABS(U2832),"")</f>
        <v>1.88300900260208</v>
      </c>
    </row>
    <row r="2833" customFormat="false" ht="15" hidden="false" customHeight="false" outlineLevel="0" collapsed="false">
      <c r="A2833" s="57" t="n">
        <v>35628</v>
      </c>
      <c r="B2833" s="56" t="n">
        <v>1997</v>
      </c>
      <c r="C2833" s="56" t="n">
        <v>7</v>
      </c>
      <c r="D2833" s="56" t="n">
        <v>78</v>
      </c>
      <c r="E2833" s="56" t="n">
        <v>20.8</v>
      </c>
      <c r="F2833" s="56" t="n">
        <v>0</v>
      </c>
      <c r="G2833" s="56" t="n">
        <v>15</v>
      </c>
      <c r="H2833" s="56" t="n">
        <v>0</v>
      </c>
      <c r="I2833" s="56" t="n">
        <v>17.7</v>
      </c>
      <c r="J2833" s="56" t="n">
        <v>0</v>
      </c>
      <c r="K2833" s="56" t="n">
        <v>1014.7</v>
      </c>
      <c r="L2833" s="56" t="n">
        <v>0</v>
      </c>
      <c r="M2833" s="56" t="n">
        <v>80</v>
      </c>
      <c r="N2833" s="56" t="n">
        <v>1.1</v>
      </c>
      <c r="O2833" s="56" t="n">
        <f aca="false">IF(D2833=1,"",E2832)</f>
        <v>20.4</v>
      </c>
      <c r="P2833" s="56" t="n">
        <f aca="false">IF(OR(D2833=1,K2832=""),"",K2832)</f>
        <v>1018</v>
      </c>
      <c r="Q2833" s="56" t="n">
        <f aca="false">IF(OR(F2833&lt;&gt;0,AND(I2833&lt;&gt;"",E2833&lt;I2833)),1,0)</f>
        <v>0</v>
      </c>
      <c r="R2833" s="56" t="n">
        <f aca="false">IF(AND(D2833&gt;1,Q2833=0,ISNUMBER(O2833),ISNUMBER(P2833)),IF(Q2832=0,1,0),0)</f>
        <v>1</v>
      </c>
      <c r="S2833" s="56" t="n">
        <f aca="false">R2833*(B2833&gt;=Train_Start)*(B2833&lt;=Train_End)</f>
        <v>1</v>
      </c>
      <c r="T2833" s="84" t="n">
        <f aca="false">IF(AND(ISNUMBER(O2833),ISNUMBER(P2833)),Coef_A+Coef_B1*O2833+Coef_B2*P2833,"")</f>
        <v>20.7360476974671</v>
      </c>
      <c r="U2833" s="84" t="n">
        <f aca="false">IF(AND(R2833=1,ISNUMBER(T2833)),E2833-T2833,"")</f>
        <v>0.0639523025328863</v>
      </c>
      <c r="V2833" s="84" t="n">
        <f aca="false">IF(ISNUMBER(T2833),T2833,-99)</f>
        <v>20.7360476974671</v>
      </c>
      <c r="W2833" s="84" t="n">
        <f aca="false">IF(ISNUMBER(U2833),ABS(U2833),"")</f>
        <v>0.0639523025328863</v>
      </c>
    </row>
    <row r="2834" customFormat="false" ht="15" hidden="false" customHeight="false" outlineLevel="0" collapsed="false">
      <c r="A2834" s="57" t="n">
        <v>35629</v>
      </c>
      <c r="B2834" s="56" t="n">
        <v>1997</v>
      </c>
      <c r="C2834" s="56" t="n">
        <v>7</v>
      </c>
      <c r="D2834" s="56" t="n">
        <v>79</v>
      </c>
      <c r="E2834" s="56" t="n">
        <v>24.8</v>
      </c>
      <c r="F2834" s="56" t="n">
        <v>0</v>
      </c>
      <c r="G2834" s="56" t="n">
        <v>11.9</v>
      </c>
      <c r="H2834" s="56" t="n">
        <v>0</v>
      </c>
      <c r="I2834" s="56" t="n">
        <v>16.4</v>
      </c>
      <c r="J2834" s="56" t="n">
        <v>0</v>
      </c>
      <c r="K2834" s="56" t="n">
        <v>1019.6</v>
      </c>
      <c r="L2834" s="56" t="n">
        <v>0</v>
      </c>
      <c r="M2834" s="56" t="n">
        <v>77</v>
      </c>
      <c r="N2834" s="56" t="n">
        <v>5.8</v>
      </c>
      <c r="O2834" s="56" t="n">
        <f aca="false">IF(D2834=1,"",E2833)</f>
        <v>20.8</v>
      </c>
      <c r="P2834" s="56" t="n">
        <f aca="false">IF(OR(D2834=1,K2833=""),"",K2833)</f>
        <v>1014.7</v>
      </c>
      <c r="Q2834" s="56" t="n">
        <f aca="false">IF(OR(F2834&lt;&gt;0,AND(I2834&lt;&gt;"",E2834&lt;I2834)),1,0)</f>
        <v>0</v>
      </c>
      <c r="R2834" s="56" t="n">
        <f aca="false">IF(AND(D2834&gt;1,Q2834=0,ISNUMBER(O2834),ISNUMBER(P2834)),IF(Q2833=0,1,0),0)</f>
        <v>1</v>
      </c>
      <c r="S2834" s="56" t="n">
        <f aca="false">R2834*(B2834&gt;=Train_Start)*(B2834&lt;=Train_End)</f>
        <v>1</v>
      </c>
      <c r="T2834" s="84" t="n">
        <f aca="false">IF(AND(ISNUMBER(O2834),ISNUMBER(P2834)),Coef_A+Coef_B1*O2834+Coef_B2*P2834,"")</f>
        <v>20.960262722392</v>
      </c>
      <c r="U2834" s="84" t="n">
        <f aca="false">IF(AND(R2834=1,ISNUMBER(T2834)),E2834-T2834,"")</f>
        <v>3.83973727760799</v>
      </c>
      <c r="V2834" s="84" t="n">
        <f aca="false">IF(ISNUMBER(T2834),T2834,-99)</f>
        <v>20.960262722392</v>
      </c>
      <c r="W2834" s="84" t="n">
        <f aca="false">IF(ISNUMBER(U2834),ABS(U2834),"")</f>
        <v>3.83973727760799</v>
      </c>
    </row>
    <row r="2835" customFormat="false" ht="15" hidden="false" customHeight="false" outlineLevel="0" collapsed="false">
      <c r="A2835" s="57" t="n">
        <v>35630</v>
      </c>
      <c r="B2835" s="56" t="n">
        <v>1997</v>
      </c>
      <c r="C2835" s="56" t="n">
        <v>7</v>
      </c>
      <c r="D2835" s="56" t="n">
        <v>80</v>
      </c>
      <c r="E2835" s="56" t="n">
        <v>24.9</v>
      </c>
      <c r="F2835" s="56" t="n">
        <v>0</v>
      </c>
      <c r="G2835" s="56" t="n">
        <v>14.2</v>
      </c>
      <c r="H2835" s="56" t="n">
        <v>0</v>
      </c>
      <c r="I2835" s="56" t="n">
        <v>19.5</v>
      </c>
      <c r="J2835" s="56" t="n">
        <v>0</v>
      </c>
      <c r="K2835" s="56" t="n">
        <v>1026.2</v>
      </c>
      <c r="L2835" s="56" t="n">
        <v>0</v>
      </c>
      <c r="M2835" s="56" t="n">
        <v>63</v>
      </c>
      <c r="N2835" s="56" t="n">
        <v>11.7</v>
      </c>
      <c r="O2835" s="56" t="n">
        <f aca="false">IF(D2835=1,"",E2834)</f>
        <v>24.8</v>
      </c>
      <c r="P2835" s="56" t="n">
        <f aca="false">IF(OR(D2835=1,K2834=""),"",K2834)</f>
        <v>1019.6</v>
      </c>
      <c r="Q2835" s="56" t="n">
        <f aca="false">IF(OR(F2835&lt;&gt;0,AND(I2835&lt;&gt;"",E2835&lt;I2835)),1,0)</f>
        <v>0</v>
      </c>
      <c r="R2835" s="56" t="n">
        <f aca="false">IF(AND(D2835&gt;1,Q2835=0,ISNUMBER(O2835),ISNUMBER(P2835)),IF(Q2834=0,1,0),0)</f>
        <v>1</v>
      </c>
      <c r="S2835" s="56" t="n">
        <f aca="false">R2835*(B2835&gt;=Train_Start)*(B2835&lt;=Train_End)</f>
        <v>1</v>
      </c>
      <c r="T2835" s="84" t="n">
        <f aca="false">IF(AND(ISNUMBER(O2835),ISNUMBER(P2835)),Coef_A+Coef_B1*O2835+Coef_B2*P2835,"")</f>
        <v>24.3913319782692</v>
      </c>
      <c r="U2835" s="84" t="n">
        <f aca="false">IF(AND(R2835=1,ISNUMBER(T2835)),E2835-T2835,"")</f>
        <v>0.508668021730809</v>
      </c>
      <c r="V2835" s="84" t="n">
        <f aca="false">IF(ISNUMBER(T2835),T2835,-99)</f>
        <v>24.3913319782692</v>
      </c>
      <c r="W2835" s="84" t="n">
        <f aca="false">IF(ISNUMBER(U2835),ABS(U2835),"")</f>
        <v>0.508668021730809</v>
      </c>
    </row>
    <row r="2836" customFormat="false" ht="15" hidden="false" customHeight="false" outlineLevel="0" collapsed="false">
      <c r="A2836" s="57" t="n">
        <v>35631</v>
      </c>
      <c r="B2836" s="56" t="n">
        <v>1997</v>
      </c>
      <c r="C2836" s="56" t="n">
        <v>7</v>
      </c>
      <c r="D2836" s="56" t="n">
        <v>81</v>
      </c>
      <c r="E2836" s="56" t="n">
        <v>25.4</v>
      </c>
      <c r="F2836" s="56" t="n">
        <v>0</v>
      </c>
      <c r="G2836" s="56" t="n">
        <v>12.7</v>
      </c>
      <c r="H2836" s="56" t="n">
        <v>0</v>
      </c>
      <c r="I2836" s="56" t="n">
        <v>18.8</v>
      </c>
      <c r="J2836" s="56" t="n">
        <v>0</v>
      </c>
      <c r="K2836" s="56" t="n">
        <v>1026.1</v>
      </c>
      <c r="L2836" s="56" t="n">
        <v>0</v>
      </c>
      <c r="M2836" s="56" t="n">
        <v>57</v>
      </c>
      <c r="N2836" s="56" t="n">
        <v>15.2</v>
      </c>
      <c r="O2836" s="56" t="n">
        <f aca="false">IF(D2836=1,"",E2835)</f>
        <v>24.9</v>
      </c>
      <c r="P2836" s="56" t="n">
        <f aca="false">IF(OR(D2836=1,K2835=""),"",K2835)</f>
        <v>1026.2</v>
      </c>
      <c r="Q2836" s="56" t="n">
        <f aca="false">IF(OR(F2836&lt;&gt;0,AND(I2836&lt;&gt;"",E2836&lt;I2836)),1,0)</f>
        <v>0</v>
      </c>
      <c r="R2836" s="56" t="n">
        <f aca="false">IF(AND(D2836&gt;1,Q2836=0,ISNUMBER(O2836),ISNUMBER(P2836)),IF(Q2835=0,1,0),0)</f>
        <v>1</v>
      </c>
      <c r="S2836" s="56" t="n">
        <f aca="false">R2836*(B2836&gt;=Train_Start)*(B2836&lt;=Train_End)</f>
        <v>1</v>
      </c>
      <c r="T2836" s="84" t="n">
        <f aca="false">IF(AND(ISNUMBER(O2836),ISNUMBER(P2836)),Coef_A+Coef_B1*O2836+Coef_B2*P2836,"")</f>
        <v>24.6803072021578</v>
      </c>
      <c r="U2836" s="84" t="n">
        <f aca="false">IF(AND(R2836=1,ISNUMBER(T2836)),E2836-T2836,"")</f>
        <v>0.71969279784221</v>
      </c>
      <c r="V2836" s="84" t="n">
        <f aca="false">IF(ISNUMBER(T2836),T2836,-99)</f>
        <v>24.6803072021578</v>
      </c>
      <c r="W2836" s="84" t="n">
        <f aca="false">IF(ISNUMBER(U2836),ABS(U2836),"")</f>
        <v>0.71969279784221</v>
      </c>
    </row>
    <row r="2837" customFormat="false" ht="15" hidden="false" customHeight="false" outlineLevel="0" collapsed="false">
      <c r="A2837" s="57" t="n">
        <v>35632</v>
      </c>
      <c r="B2837" s="56" t="n">
        <v>1997</v>
      </c>
      <c r="C2837" s="56" t="n">
        <v>7</v>
      </c>
      <c r="D2837" s="56" t="n">
        <v>82</v>
      </c>
      <c r="E2837" s="56" t="n">
        <v>26.7</v>
      </c>
      <c r="F2837" s="56" t="n">
        <v>0</v>
      </c>
      <c r="G2837" s="56" t="n">
        <v>14.3</v>
      </c>
      <c r="H2837" s="56" t="n">
        <v>0</v>
      </c>
      <c r="I2837" s="56" t="n">
        <v>19.8</v>
      </c>
      <c r="J2837" s="56" t="n">
        <v>0</v>
      </c>
      <c r="K2837" s="56" t="n">
        <v>1023.8</v>
      </c>
      <c r="L2837" s="56" t="n">
        <v>0</v>
      </c>
      <c r="M2837" s="56" t="n">
        <v>55</v>
      </c>
      <c r="N2837" s="56" t="n">
        <v>14.3</v>
      </c>
      <c r="O2837" s="56" t="n">
        <f aca="false">IF(D2837=1,"",E2836)</f>
        <v>25.4</v>
      </c>
      <c r="P2837" s="56" t="n">
        <f aca="false">IF(OR(D2837=1,K2836=""),"",K2836)</f>
        <v>1026.1</v>
      </c>
      <c r="Q2837" s="56" t="n">
        <f aca="false">IF(OR(F2837&lt;&gt;0,AND(I2837&lt;&gt;"",E2837&lt;I2837)),1,0)</f>
        <v>0</v>
      </c>
      <c r="R2837" s="56" t="n">
        <f aca="false">IF(AND(D2837&gt;1,Q2837=0,ISNUMBER(O2837),ISNUMBER(P2837)),IF(Q2836=0,1,0),0)</f>
        <v>1</v>
      </c>
      <c r="S2837" s="56" t="n">
        <f aca="false">R2837*(B2837&gt;=Train_Start)*(B2837&lt;=Train_End)</f>
        <v>1</v>
      </c>
      <c r="T2837" s="84" t="n">
        <f aca="false">IF(AND(ISNUMBER(O2837),ISNUMBER(P2837)),Coef_A+Coef_B1*O2837+Coef_B2*P2837,"")</f>
        <v>25.0868398092157</v>
      </c>
      <c r="U2837" s="84" t="n">
        <f aca="false">IF(AND(R2837=1,ISNUMBER(T2837)),E2837-T2837,"")</f>
        <v>1.61316019078429</v>
      </c>
      <c r="V2837" s="84" t="n">
        <f aca="false">IF(ISNUMBER(T2837),T2837,-99)</f>
        <v>25.0868398092157</v>
      </c>
      <c r="W2837" s="84" t="n">
        <f aca="false">IF(ISNUMBER(U2837),ABS(U2837),"")</f>
        <v>1.61316019078429</v>
      </c>
    </row>
    <row r="2838" customFormat="false" ht="15" hidden="false" customHeight="false" outlineLevel="0" collapsed="false">
      <c r="A2838" s="57" t="n">
        <v>35633</v>
      </c>
      <c r="B2838" s="56" t="n">
        <v>1997</v>
      </c>
      <c r="C2838" s="56" t="n">
        <v>7</v>
      </c>
      <c r="D2838" s="56" t="n">
        <v>83</v>
      </c>
      <c r="E2838" s="56" t="n">
        <v>27.7</v>
      </c>
      <c r="F2838" s="56" t="n">
        <v>0</v>
      </c>
      <c r="G2838" s="56" t="n">
        <v>14.4</v>
      </c>
      <c r="H2838" s="56" t="n">
        <v>0</v>
      </c>
      <c r="I2838" s="56" t="n">
        <v>20.6</v>
      </c>
      <c r="J2838" s="56" t="n">
        <v>0</v>
      </c>
      <c r="K2838" s="56" t="n">
        <v>1020.9</v>
      </c>
      <c r="L2838" s="56" t="n">
        <v>0</v>
      </c>
      <c r="M2838" s="56" t="n">
        <v>52</v>
      </c>
      <c r="N2838" s="56" t="n">
        <v>12.3</v>
      </c>
      <c r="O2838" s="56" t="n">
        <f aca="false">IF(D2838=1,"",E2837)</f>
        <v>26.7</v>
      </c>
      <c r="P2838" s="56" t="n">
        <f aca="false">IF(OR(D2838=1,K2837=""),"",K2837)</f>
        <v>1023.8</v>
      </c>
      <c r="Q2838" s="56" t="n">
        <f aca="false">IF(OR(F2838&lt;&gt;0,AND(I2838&lt;&gt;"",E2838&lt;I2838)),1,0)</f>
        <v>0</v>
      </c>
      <c r="R2838" s="56" t="n">
        <f aca="false">IF(AND(D2838&gt;1,Q2838=0,ISNUMBER(O2838),ISNUMBER(P2838)),IF(Q2837=0,1,0),0)</f>
        <v>1</v>
      </c>
      <c r="S2838" s="56" t="n">
        <f aca="false">R2838*(B2838&gt;=Train_Start)*(B2838&lt;=Train_End)</f>
        <v>1</v>
      </c>
      <c r="T2838" s="84" t="n">
        <f aca="false">IF(AND(ISNUMBER(O2838),ISNUMBER(P2838)),Coef_A+Coef_B1*O2838+Coef_B2*P2838,"")</f>
        <v>26.079830002513</v>
      </c>
      <c r="U2838" s="84" t="n">
        <f aca="false">IF(AND(R2838=1,ISNUMBER(T2838)),E2838-T2838,"")</f>
        <v>1.62016999748701</v>
      </c>
      <c r="V2838" s="84" t="n">
        <f aca="false">IF(ISNUMBER(T2838),T2838,-99)</f>
        <v>26.079830002513</v>
      </c>
      <c r="W2838" s="84" t="n">
        <f aca="false">IF(ISNUMBER(U2838),ABS(U2838),"")</f>
        <v>1.62016999748701</v>
      </c>
    </row>
    <row r="2839" customFormat="false" ht="15" hidden="false" customHeight="false" outlineLevel="0" collapsed="false">
      <c r="A2839" s="57" t="n">
        <v>35634</v>
      </c>
      <c r="B2839" s="56" t="n">
        <v>1997</v>
      </c>
      <c r="C2839" s="56" t="n">
        <v>7</v>
      </c>
      <c r="D2839" s="56" t="n">
        <v>84</v>
      </c>
      <c r="E2839" s="56" t="n">
        <v>24.4</v>
      </c>
      <c r="F2839" s="56" t="n">
        <v>0</v>
      </c>
      <c r="G2839" s="56" t="n">
        <v>15.6</v>
      </c>
      <c r="H2839" s="56" t="n">
        <v>0</v>
      </c>
      <c r="I2839" s="56" t="n">
        <v>21.6</v>
      </c>
      <c r="J2839" s="56" t="n">
        <v>0</v>
      </c>
      <c r="K2839" s="56" t="n">
        <v>1019</v>
      </c>
      <c r="L2839" s="56" t="n">
        <v>0</v>
      </c>
      <c r="M2839" s="56" t="n">
        <v>52</v>
      </c>
      <c r="N2839" s="56" t="n">
        <v>8.1</v>
      </c>
      <c r="O2839" s="56" t="n">
        <f aca="false">IF(D2839=1,"",E2838)</f>
        <v>27.7</v>
      </c>
      <c r="P2839" s="56" t="n">
        <f aca="false">IF(OR(D2839=1,K2838=""),"",K2838)</f>
        <v>1020.9</v>
      </c>
      <c r="Q2839" s="56" t="n">
        <f aca="false">IF(OR(F2839&lt;&gt;0,AND(I2839&lt;&gt;"",E2839&lt;I2839)),1,0)</f>
        <v>0</v>
      </c>
      <c r="R2839" s="56" t="n">
        <f aca="false">IF(AND(D2839&gt;1,Q2839=0,ISNUMBER(O2839),ISNUMBER(P2839)),IF(Q2838=0,1,0),0)</f>
        <v>1</v>
      </c>
      <c r="S2839" s="56" t="n">
        <f aca="false">R2839*(B2839&gt;=Train_Start)*(B2839&lt;=Train_End)</f>
        <v>1</v>
      </c>
      <c r="T2839" s="84" t="n">
        <f aca="false">IF(AND(ISNUMBER(O2839),ISNUMBER(P2839)),Coef_A+Coef_B1*O2839+Coef_B2*P2839,"")</f>
        <v>26.8081965011171</v>
      </c>
      <c r="U2839" s="84" t="n">
        <f aca="false">IF(AND(R2839=1,ISNUMBER(T2839)),E2839-T2839,"")</f>
        <v>-2.40819650111708</v>
      </c>
      <c r="V2839" s="84" t="n">
        <f aca="false">IF(ISNUMBER(T2839),T2839,-99)</f>
        <v>26.8081965011171</v>
      </c>
      <c r="W2839" s="84" t="n">
        <f aca="false">IF(ISNUMBER(U2839),ABS(U2839),"")</f>
        <v>2.40819650111708</v>
      </c>
    </row>
    <row r="2840" customFormat="false" ht="15" hidden="false" customHeight="false" outlineLevel="0" collapsed="false">
      <c r="A2840" s="57" t="n">
        <v>35635</v>
      </c>
      <c r="B2840" s="56" t="n">
        <v>1997</v>
      </c>
      <c r="C2840" s="56" t="n">
        <v>7</v>
      </c>
      <c r="D2840" s="56" t="n">
        <v>85</v>
      </c>
      <c r="E2840" s="56" t="n">
        <v>24</v>
      </c>
      <c r="F2840" s="56" t="n">
        <v>0</v>
      </c>
      <c r="G2840" s="56" t="n">
        <v>17.5</v>
      </c>
      <c r="H2840" s="56" t="n">
        <v>0</v>
      </c>
      <c r="I2840" s="56" t="n">
        <v>21</v>
      </c>
      <c r="J2840" s="56" t="n">
        <v>0</v>
      </c>
      <c r="K2840" s="56" t="n">
        <v>1013.3</v>
      </c>
      <c r="L2840" s="56" t="n">
        <v>0</v>
      </c>
      <c r="M2840" s="56" t="n">
        <v>63</v>
      </c>
      <c r="N2840" s="56" t="n">
        <v>1.5</v>
      </c>
      <c r="O2840" s="56" t="n">
        <f aca="false">IF(D2840=1,"",E2839)</f>
        <v>24.4</v>
      </c>
      <c r="P2840" s="56" t="n">
        <f aca="false">IF(OR(D2840=1,K2839=""),"",K2839)</f>
        <v>1019</v>
      </c>
      <c r="Q2840" s="56" t="n">
        <f aca="false">IF(OR(F2840&lt;&gt;0,AND(I2840&lt;&gt;"",E2840&lt;I2840)),1,0)</f>
        <v>0</v>
      </c>
      <c r="R2840" s="56" t="n">
        <f aca="false">IF(AND(D2840&gt;1,Q2840=0,ISNUMBER(O2840),ISNUMBER(P2840)),IF(Q2839=0,1,0),0)</f>
        <v>1</v>
      </c>
      <c r="S2840" s="56" t="n">
        <f aca="false">R2840*(B2840&gt;=Train_Start)*(B2840&lt;=Train_End)</f>
        <v>1</v>
      </c>
      <c r="T2840" s="84" t="n">
        <f aca="false">IF(AND(ISNUMBER(O2840),ISNUMBER(P2840)),Coef_A+Coef_B1*O2840+Coef_B2*P2840,"")</f>
        <v>24.0447743642717</v>
      </c>
      <c r="U2840" s="84" t="n">
        <f aca="false">IF(AND(R2840=1,ISNUMBER(T2840)),E2840-T2840,"")</f>
        <v>-0.0447743642717349</v>
      </c>
      <c r="V2840" s="84" t="n">
        <f aca="false">IF(ISNUMBER(T2840),T2840,-99)</f>
        <v>24.0447743642717</v>
      </c>
      <c r="W2840" s="84" t="n">
        <f aca="false">IF(ISNUMBER(U2840),ABS(U2840),"")</f>
        <v>0.0447743642717349</v>
      </c>
    </row>
    <row r="2841" customFormat="false" ht="15" hidden="false" customHeight="false" outlineLevel="0" collapsed="false">
      <c r="A2841" s="57" t="n">
        <v>35636</v>
      </c>
      <c r="B2841" s="56" t="n">
        <v>1997</v>
      </c>
      <c r="C2841" s="56" t="n">
        <v>7</v>
      </c>
      <c r="D2841" s="56" t="n">
        <v>86</v>
      </c>
      <c r="E2841" s="56" t="n">
        <v>21.4</v>
      </c>
      <c r="F2841" s="56" t="n">
        <v>0</v>
      </c>
      <c r="G2841" s="56" t="n">
        <v>13.7</v>
      </c>
      <c r="H2841" s="56" t="n">
        <v>0</v>
      </c>
      <c r="I2841" s="56" t="n">
        <v>18.8</v>
      </c>
      <c r="J2841" s="56" t="n">
        <v>0</v>
      </c>
      <c r="K2841" s="56" t="n">
        <v>1012.5</v>
      </c>
      <c r="L2841" s="56" t="n">
        <v>0</v>
      </c>
      <c r="M2841" s="56" t="n">
        <v>61</v>
      </c>
      <c r="N2841" s="56" t="n">
        <v>12.1</v>
      </c>
      <c r="O2841" s="56" t="n">
        <f aca="false">IF(D2841=1,"",E2840)</f>
        <v>24</v>
      </c>
      <c r="P2841" s="56" t="n">
        <f aca="false">IF(OR(D2841=1,K2840=""),"",K2840)</f>
        <v>1013.3</v>
      </c>
      <c r="Q2841" s="56" t="n">
        <f aca="false">IF(OR(F2841&lt;&gt;0,AND(I2841&lt;&gt;"",E2841&lt;I2841)),1,0)</f>
        <v>0</v>
      </c>
      <c r="R2841" s="56" t="n">
        <f aca="false">IF(AND(D2841&gt;1,Q2841=0,ISNUMBER(O2841),ISNUMBER(P2841)),IF(Q2840=0,1,0),0)</f>
        <v>1</v>
      </c>
      <c r="S2841" s="56" t="n">
        <f aca="false">R2841*(B2841&gt;=Train_Start)*(B2841&lt;=Train_End)</f>
        <v>1</v>
      </c>
      <c r="T2841" s="84" t="n">
        <f aca="false">IF(AND(ISNUMBER(O2841),ISNUMBER(P2841)),Coef_A+Coef_B1*O2841+Coef_B2*P2841,"")</f>
        <v>23.5382302876409</v>
      </c>
      <c r="U2841" s="84" t="n">
        <f aca="false">IF(AND(R2841=1,ISNUMBER(T2841)),E2841-T2841,"")</f>
        <v>-2.13823028764093</v>
      </c>
      <c r="V2841" s="84" t="n">
        <f aca="false">IF(ISNUMBER(T2841),T2841,-99)</f>
        <v>23.5382302876409</v>
      </c>
      <c r="W2841" s="84" t="n">
        <f aca="false">IF(ISNUMBER(U2841),ABS(U2841),"")</f>
        <v>2.13823028764093</v>
      </c>
    </row>
    <row r="2842" customFormat="false" ht="15" hidden="false" customHeight="false" outlineLevel="0" collapsed="false">
      <c r="A2842" s="57" t="n">
        <v>35637</v>
      </c>
      <c r="B2842" s="56" t="n">
        <v>1997</v>
      </c>
      <c r="C2842" s="56" t="n">
        <v>7</v>
      </c>
      <c r="D2842" s="56" t="n">
        <v>87</v>
      </c>
      <c r="E2842" s="56" t="n">
        <v>25.1</v>
      </c>
      <c r="F2842" s="56" t="n">
        <v>0</v>
      </c>
      <c r="G2842" s="56" t="n">
        <v>13.1</v>
      </c>
      <c r="H2842" s="56" t="n">
        <v>0</v>
      </c>
      <c r="I2842" s="56" t="n">
        <v>17.2</v>
      </c>
      <c r="J2842" s="56" t="n">
        <v>0</v>
      </c>
      <c r="K2842" s="56" t="n">
        <v>1015.4</v>
      </c>
      <c r="L2842" s="56" t="n">
        <v>0</v>
      </c>
      <c r="M2842" s="56" t="n">
        <v>81</v>
      </c>
      <c r="N2842" s="56" t="n">
        <v>1.8</v>
      </c>
      <c r="O2842" s="56" t="n">
        <f aca="false">IF(D2842=1,"",E2841)</f>
        <v>21.4</v>
      </c>
      <c r="P2842" s="56" t="n">
        <f aca="false">IF(OR(D2842=1,K2841=""),"",K2841)</f>
        <v>1012.5</v>
      </c>
      <c r="Q2842" s="56" t="n">
        <f aca="false">IF(OR(F2842&lt;&gt;0,AND(I2842&lt;&gt;"",E2842&lt;I2842)),1,0)</f>
        <v>0</v>
      </c>
      <c r="R2842" s="56" t="n">
        <f aca="false">IF(AND(D2842&gt;1,Q2842=0,ISNUMBER(O2842),ISNUMBER(P2842)),IF(Q2841=0,1,0),0)</f>
        <v>1</v>
      </c>
      <c r="S2842" s="56" t="n">
        <f aca="false">R2842*(B2842&gt;=Train_Start)*(B2842&lt;=Train_End)</f>
        <v>1</v>
      </c>
      <c r="T2842" s="84" t="n">
        <f aca="false">IF(AND(ISNUMBER(O2842),ISNUMBER(P2842)),Coef_A+Coef_B1*O2842+Coef_B2*P2842,"")</f>
        <v>21.3828524700228</v>
      </c>
      <c r="U2842" s="84" t="n">
        <f aca="false">IF(AND(R2842=1,ISNUMBER(T2842)),E2842-T2842,"")</f>
        <v>3.71714752997717</v>
      </c>
      <c r="V2842" s="84" t="n">
        <f aca="false">IF(ISNUMBER(T2842),T2842,-99)</f>
        <v>21.3828524700228</v>
      </c>
      <c r="W2842" s="84" t="n">
        <f aca="false">IF(ISNUMBER(U2842),ABS(U2842),"")</f>
        <v>3.71714752997717</v>
      </c>
    </row>
    <row r="2843" customFormat="false" ht="15" hidden="false" customHeight="false" outlineLevel="0" collapsed="false">
      <c r="A2843" s="57" t="n">
        <v>35638</v>
      </c>
      <c r="B2843" s="56" t="n">
        <v>1997</v>
      </c>
      <c r="C2843" s="56" t="n">
        <v>7</v>
      </c>
      <c r="D2843" s="56" t="n">
        <v>88</v>
      </c>
      <c r="E2843" s="56" t="n">
        <v>25.8</v>
      </c>
      <c r="F2843" s="56" t="n">
        <v>0</v>
      </c>
      <c r="G2843" s="56" t="n">
        <v>16</v>
      </c>
      <c r="H2843" s="56" t="n">
        <v>0</v>
      </c>
      <c r="I2843" s="56" t="n">
        <v>20.6</v>
      </c>
      <c r="J2843" s="56" t="n">
        <v>0</v>
      </c>
      <c r="K2843" s="56" t="n">
        <v>1018.9</v>
      </c>
      <c r="L2843" s="56" t="n">
        <v>0</v>
      </c>
      <c r="M2843" s="56" t="n">
        <v>58</v>
      </c>
      <c r="N2843" s="56" t="n">
        <v>10.9</v>
      </c>
      <c r="O2843" s="56" t="n">
        <f aca="false">IF(D2843=1,"",E2842)</f>
        <v>25.1</v>
      </c>
      <c r="P2843" s="56" t="n">
        <f aca="false">IF(OR(D2843=1,K2842=""),"",K2842)</f>
        <v>1015.4</v>
      </c>
      <c r="Q2843" s="56" t="n">
        <f aca="false">IF(OR(F2843&lt;&gt;0,AND(I2843&lt;&gt;"",E2843&lt;I2843)),1,0)</f>
        <v>0</v>
      </c>
      <c r="R2843" s="56" t="n">
        <f aca="false">IF(AND(D2843&gt;1,Q2843=0,ISNUMBER(O2843),ISNUMBER(P2843)),IF(Q2842=0,1,0),0)</f>
        <v>1</v>
      </c>
      <c r="S2843" s="56" t="n">
        <f aca="false">R2843*(B2843&gt;=Train_Start)*(B2843&lt;=Train_End)</f>
        <v>1</v>
      </c>
      <c r="T2843" s="84" t="n">
        <f aca="false">IF(AND(ISNUMBER(O2843),ISNUMBER(P2843)),Coef_A+Coef_B1*O2843+Coef_B2*P2843,"")</f>
        <v>24.5053801787192</v>
      </c>
      <c r="U2843" s="84" t="n">
        <f aca="false">IF(AND(R2843=1,ISNUMBER(T2843)),E2843-T2843,"")</f>
        <v>1.29461982128077</v>
      </c>
      <c r="V2843" s="84" t="n">
        <f aca="false">IF(ISNUMBER(T2843),T2843,-99)</f>
        <v>24.5053801787192</v>
      </c>
      <c r="W2843" s="84" t="n">
        <f aca="false">IF(ISNUMBER(U2843),ABS(U2843),"")</f>
        <v>1.29461982128077</v>
      </c>
    </row>
    <row r="2844" customFormat="false" ht="15" hidden="false" customHeight="false" outlineLevel="0" collapsed="false">
      <c r="A2844" s="57" t="n">
        <v>35639</v>
      </c>
      <c r="B2844" s="56" t="n">
        <v>1997</v>
      </c>
      <c r="C2844" s="56" t="n">
        <v>7</v>
      </c>
      <c r="D2844" s="56" t="n">
        <v>89</v>
      </c>
      <c r="E2844" s="56" t="n">
        <v>27.3</v>
      </c>
      <c r="F2844" s="56" t="n">
        <v>0</v>
      </c>
      <c r="G2844" s="56" t="n">
        <v>13</v>
      </c>
      <c r="H2844" s="56" t="n">
        <v>0</v>
      </c>
      <c r="I2844" s="56" t="n">
        <v>19.4</v>
      </c>
      <c r="J2844" s="56" t="n">
        <v>0</v>
      </c>
      <c r="K2844" s="56" t="n">
        <v>1022.4</v>
      </c>
      <c r="L2844" s="56" t="n">
        <v>0</v>
      </c>
      <c r="M2844" s="56" t="n">
        <v>61</v>
      </c>
      <c r="N2844" s="56" t="n">
        <v>12.7</v>
      </c>
      <c r="O2844" s="56" t="n">
        <f aca="false">IF(D2844=1,"",E2843)</f>
        <v>25.8</v>
      </c>
      <c r="P2844" s="56" t="n">
        <f aca="false">IF(OR(D2844=1,K2843=""),"",K2843)</f>
        <v>1018.9</v>
      </c>
      <c r="Q2844" s="56" t="n">
        <f aca="false">IF(OR(F2844&lt;&gt;0,AND(I2844&lt;&gt;"",E2844&lt;I2844)),1,0)</f>
        <v>0</v>
      </c>
      <c r="R2844" s="56" t="n">
        <f aca="false">IF(AND(D2844&gt;1,Q2844=0,ISNUMBER(O2844),ISNUMBER(P2844)),IF(Q2843=0,1,0),0)</f>
        <v>1</v>
      </c>
      <c r="S2844" s="56" t="n">
        <f aca="false">R2844*(B2844&gt;=Train_Start)*(B2844&lt;=Train_End)</f>
        <v>1</v>
      </c>
      <c r="T2844" s="84" t="n">
        <f aca="false">IF(AND(ISNUMBER(O2844),ISNUMBER(P2844)),Coef_A+Coef_B1*O2844+Coef_B2*P2844,"")</f>
        <v>25.1887122450681</v>
      </c>
      <c r="U2844" s="84" t="n">
        <f aca="false">IF(AND(R2844=1,ISNUMBER(T2844)),E2844-T2844,"")</f>
        <v>2.11128775493194</v>
      </c>
      <c r="V2844" s="84" t="n">
        <f aca="false">IF(ISNUMBER(T2844),T2844,-99)</f>
        <v>25.1887122450681</v>
      </c>
      <c r="W2844" s="84" t="n">
        <f aca="false">IF(ISNUMBER(U2844),ABS(U2844),"")</f>
        <v>2.11128775493194</v>
      </c>
    </row>
    <row r="2845" customFormat="false" ht="15" hidden="false" customHeight="false" outlineLevel="0" collapsed="false">
      <c r="A2845" s="57" t="n">
        <v>35640</v>
      </c>
      <c r="B2845" s="56" t="n">
        <v>1997</v>
      </c>
      <c r="C2845" s="56" t="n">
        <v>7</v>
      </c>
      <c r="D2845" s="56" t="n">
        <v>90</v>
      </c>
      <c r="E2845" s="56" t="n">
        <v>24.4</v>
      </c>
      <c r="F2845" s="56" t="n">
        <v>0</v>
      </c>
      <c r="G2845" s="56" t="n">
        <v>14.8</v>
      </c>
      <c r="H2845" s="56" t="n">
        <v>0</v>
      </c>
      <c r="I2845" s="56" t="n">
        <v>21</v>
      </c>
      <c r="J2845" s="56" t="n">
        <v>0</v>
      </c>
      <c r="K2845" s="56" t="n">
        <v>1020.3</v>
      </c>
      <c r="L2845" s="56" t="n">
        <v>0</v>
      </c>
      <c r="M2845" s="56" t="n">
        <v>55</v>
      </c>
      <c r="N2845" s="56" t="n">
        <v>14.1</v>
      </c>
      <c r="O2845" s="56" t="n">
        <f aca="false">IF(D2845=1,"",E2844)</f>
        <v>27.3</v>
      </c>
      <c r="P2845" s="56" t="n">
        <f aca="false">IF(OR(D2845=1,K2844=""),"",K2844)</f>
        <v>1022.4</v>
      </c>
      <c r="Q2845" s="56" t="n">
        <f aca="false">IF(OR(F2845&lt;&gt;0,AND(I2845&lt;&gt;"",E2845&lt;I2845)),1,0)</f>
        <v>0</v>
      </c>
      <c r="R2845" s="56" t="n">
        <f aca="false">IF(AND(D2845&gt;1,Q2845=0,ISNUMBER(O2845),ISNUMBER(P2845)),IF(Q2844=0,1,0),0)</f>
        <v>1</v>
      </c>
      <c r="S2845" s="56" t="n">
        <f aca="false">R2845*(B2845&gt;=Train_Start)*(B2845&lt;=Train_End)</f>
        <v>1</v>
      </c>
      <c r="T2845" s="84" t="n">
        <f aca="false">IF(AND(ISNUMBER(O2845),ISNUMBER(P2845)),Coef_A+Coef_B1*O2845+Coef_B2*P2845,"")</f>
        <v>26.527515665851</v>
      </c>
      <c r="U2845" s="84" t="n">
        <f aca="false">IF(AND(R2845=1,ISNUMBER(T2845)),E2845-T2845,"")</f>
        <v>-2.12751566585101</v>
      </c>
      <c r="V2845" s="84" t="n">
        <f aca="false">IF(ISNUMBER(T2845),T2845,-99)</f>
        <v>26.527515665851</v>
      </c>
      <c r="W2845" s="84" t="n">
        <f aca="false">IF(ISNUMBER(U2845),ABS(U2845),"")</f>
        <v>2.12751566585101</v>
      </c>
    </row>
    <row r="2846" customFormat="false" ht="15" hidden="false" customHeight="false" outlineLevel="0" collapsed="false">
      <c r="A2846" s="57" t="n">
        <v>35641</v>
      </c>
      <c r="B2846" s="56" t="n">
        <v>1997</v>
      </c>
      <c r="C2846" s="56" t="n">
        <v>7</v>
      </c>
      <c r="D2846" s="56" t="n">
        <v>91</v>
      </c>
      <c r="E2846" s="56" t="n">
        <v>18.2</v>
      </c>
      <c r="F2846" s="56" t="n">
        <v>1</v>
      </c>
      <c r="G2846" s="56" t="n">
        <v>15.5</v>
      </c>
      <c r="H2846" s="56" t="n">
        <v>0</v>
      </c>
      <c r="I2846" s="56" t="n">
        <v>20</v>
      </c>
      <c r="J2846" s="56" t="n">
        <v>1</v>
      </c>
      <c r="K2846" s="56" t="n">
        <v>1017.1</v>
      </c>
      <c r="L2846" s="56" t="n">
        <v>0</v>
      </c>
      <c r="M2846" s="56" t="n">
        <v>58</v>
      </c>
      <c r="N2846" s="56" t="n">
        <v>9.3</v>
      </c>
      <c r="O2846" s="56" t="n">
        <f aca="false">IF(D2846=1,"",E2845)</f>
        <v>24.4</v>
      </c>
      <c r="P2846" s="56" t="n">
        <f aca="false">IF(OR(D2846=1,K2845=""),"",K2845)</f>
        <v>1020.3</v>
      </c>
      <c r="Q2846" s="56" t="n">
        <f aca="false">IF(OR(F2846&lt;&gt;0,AND(I2846&lt;&gt;"",E2846&lt;I2846)),1,0)</f>
        <v>1</v>
      </c>
      <c r="R2846" s="56" t="n">
        <f aca="false">IF(AND(D2846&gt;1,Q2846=0,ISNUMBER(O2846),ISNUMBER(P2846)),IF(Q2845=0,1,0),0)</f>
        <v>0</v>
      </c>
      <c r="S2846" s="56" t="n">
        <f aca="false">R2846*(B2846&gt;=Train_Start)*(B2846&lt;=Train_End)</f>
        <v>0</v>
      </c>
      <c r="T2846" s="84" t="n">
        <f aca="false">IF(AND(ISNUMBER(O2846),ISNUMBER(P2846)),Coef_A+Coef_B1*O2846+Coef_B2*P2846,"")</f>
        <v>24.0855552272959</v>
      </c>
      <c r="U2846" s="84" t="str">
        <f aca="false">IF(AND(R2846=1,ISNUMBER(T2846)),E2846-T2846,"")</f>
        <v/>
      </c>
      <c r="V2846" s="84" t="n">
        <f aca="false">IF(ISNUMBER(T2846),T2846,-99)</f>
        <v>24.0855552272959</v>
      </c>
      <c r="W2846" s="84" t="str">
        <f aca="false">IF(ISNUMBER(U2846),ABS(U2846),"")</f>
        <v/>
      </c>
    </row>
    <row r="2847" customFormat="false" ht="15" hidden="false" customHeight="false" outlineLevel="0" collapsed="false">
      <c r="A2847" s="57" t="n">
        <v>35642</v>
      </c>
      <c r="B2847" s="56" t="n">
        <v>1997</v>
      </c>
      <c r="C2847" s="56" t="n">
        <v>7</v>
      </c>
      <c r="D2847" s="56" t="n">
        <v>92</v>
      </c>
      <c r="E2847" s="56" t="n">
        <v>24.2</v>
      </c>
      <c r="F2847" s="56" t="n">
        <v>0</v>
      </c>
      <c r="G2847" s="56" t="n">
        <v>15</v>
      </c>
      <c r="H2847" s="56" t="n">
        <v>0</v>
      </c>
      <c r="I2847" s="56" t="n">
        <v>16.6</v>
      </c>
      <c r="J2847" s="56" t="n">
        <v>0</v>
      </c>
      <c r="K2847" s="56" t="n">
        <v>1016.8</v>
      </c>
      <c r="L2847" s="56" t="n">
        <v>0</v>
      </c>
      <c r="M2847" s="56" t="n">
        <v>79</v>
      </c>
      <c r="N2847" s="56" t="n">
        <v>0</v>
      </c>
      <c r="O2847" s="56" t="n">
        <f aca="false">IF(D2847=1,"",E2846)</f>
        <v>18.2</v>
      </c>
      <c r="P2847" s="56" t="n">
        <f aca="false">IF(OR(D2847=1,K2846=""),"",K2846)</f>
        <v>1017.1</v>
      </c>
      <c r="Q2847" s="56" t="n">
        <f aca="false">IF(OR(F2847&lt;&gt;0,AND(I2847&lt;&gt;"",E2847&lt;I2847)),1,0)</f>
        <v>0</v>
      </c>
      <c r="R2847" s="56" t="n">
        <f aca="false">IF(AND(D2847&gt;1,Q2847=0,ISNUMBER(O2847),ISNUMBER(P2847)),IF(Q2846=0,1,0),0)</f>
        <v>0</v>
      </c>
      <c r="S2847" s="56" t="n">
        <f aca="false">R2847*(B2847&gt;=Train_Start)*(B2847&lt;=Train_End)</f>
        <v>0</v>
      </c>
      <c r="T2847" s="84" t="n">
        <f aca="false">IF(AND(ISNUMBER(O2847),ISNUMBER(P2847)),Coef_A+Coef_B1*O2847+Coef_B2*P2847,"")</f>
        <v>18.9052685676027</v>
      </c>
      <c r="U2847" s="84" t="str">
        <f aca="false">IF(AND(R2847=1,ISNUMBER(T2847)),E2847-T2847,"")</f>
        <v/>
      </c>
      <c r="V2847" s="84" t="n">
        <f aca="false">IF(ISNUMBER(T2847),T2847,-99)</f>
        <v>18.9052685676027</v>
      </c>
      <c r="W2847" s="84" t="str">
        <f aca="false">IF(ISNUMBER(U2847),ABS(U2847),"")</f>
        <v/>
      </c>
    </row>
    <row r="2848" customFormat="false" ht="15" hidden="false" customHeight="false" outlineLevel="0" collapsed="false">
      <c r="A2848" s="57" t="n">
        <v>35643</v>
      </c>
      <c r="B2848" s="56" t="n">
        <v>1997</v>
      </c>
      <c r="C2848" s="56" t="n">
        <v>8</v>
      </c>
      <c r="D2848" s="56" t="n">
        <v>93</v>
      </c>
      <c r="E2848" s="56" t="n">
        <v>23.2</v>
      </c>
      <c r="F2848" s="56" t="n">
        <v>0</v>
      </c>
      <c r="G2848" s="56" t="n">
        <v>14.3</v>
      </c>
      <c r="H2848" s="56" t="n">
        <v>0</v>
      </c>
      <c r="I2848" s="56" t="n">
        <v>19.2</v>
      </c>
      <c r="J2848" s="56" t="n">
        <v>0</v>
      </c>
      <c r="K2848" s="56" t="n">
        <v>1013.9</v>
      </c>
      <c r="L2848" s="56" t="n">
        <v>0</v>
      </c>
      <c r="M2848" s="56" t="n">
        <v>83</v>
      </c>
      <c r="N2848" s="56" t="n">
        <v>2.2</v>
      </c>
      <c r="O2848" s="56" t="n">
        <f aca="false">IF(D2848=1,"",E2847)</f>
        <v>24.2</v>
      </c>
      <c r="P2848" s="56" t="n">
        <f aca="false">IF(OR(D2848=1,K2847=""),"",K2847)</f>
        <v>1016.8</v>
      </c>
      <c r="Q2848" s="56" t="n">
        <f aca="false">IF(OR(F2848&lt;&gt;0,AND(I2848&lt;&gt;"",E2848&lt;I2848)),1,0)</f>
        <v>0</v>
      </c>
      <c r="R2848" s="56" t="n">
        <f aca="false">IF(AND(D2848&gt;1,Q2848=0,ISNUMBER(O2848),ISNUMBER(P2848)),IF(Q2847=0,1,0),0)</f>
        <v>1</v>
      </c>
      <c r="S2848" s="56" t="n">
        <f aca="false">R2848*(B2848&gt;=Train_Start)*(B2848&lt;=Train_End)</f>
        <v>1</v>
      </c>
      <c r="T2848" s="84" t="n">
        <f aca="false">IF(AND(ISNUMBER(O2848),ISNUMBER(P2848)),Coef_A+Coef_B1*O2848+Coef_B2*P2848,"")</f>
        <v>23.8118927574684</v>
      </c>
      <c r="U2848" s="84" t="n">
        <f aca="false">IF(AND(R2848=1,ISNUMBER(T2848)),E2848-T2848,"")</f>
        <v>-0.611892757468425</v>
      </c>
      <c r="V2848" s="84" t="n">
        <f aca="false">IF(ISNUMBER(T2848),T2848,-99)</f>
        <v>23.8118927574684</v>
      </c>
      <c r="W2848" s="84" t="n">
        <f aca="false">IF(ISNUMBER(U2848),ABS(U2848),"")</f>
        <v>0.611892757468425</v>
      </c>
    </row>
    <row r="2849" customFormat="false" ht="15" hidden="false" customHeight="false" outlineLevel="0" collapsed="false">
      <c r="A2849" s="57" t="n">
        <v>35644</v>
      </c>
      <c r="B2849" s="56" t="n">
        <v>1997</v>
      </c>
      <c r="C2849" s="56" t="n">
        <v>8</v>
      </c>
      <c r="D2849" s="56" t="n">
        <v>94</v>
      </c>
      <c r="E2849" s="56" t="n">
        <v>21.5</v>
      </c>
      <c r="F2849" s="56" t="n">
        <v>0</v>
      </c>
      <c r="G2849" s="56" t="n">
        <v>15.2</v>
      </c>
      <c r="H2849" s="56" t="n">
        <v>0</v>
      </c>
      <c r="I2849" s="56" t="n">
        <v>19.2</v>
      </c>
      <c r="J2849" s="56" t="n">
        <v>0</v>
      </c>
      <c r="K2849" s="56" t="n">
        <v>1018.6</v>
      </c>
      <c r="L2849" s="56" t="n">
        <v>0</v>
      </c>
      <c r="M2849" s="56" t="n">
        <v>60</v>
      </c>
      <c r="N2849" s="56" t="n">
        <v>9.6</v>
      </c>
      <c r="O2849" s="56" t="n">
        <f aca="false">IF(D2849=1,"",E2848)</f>
        <v>23.2</v>
      </c>
      <c r="P2849" s="56" t="n">
        <f aca="false">IF(OR(D2849=1,K2848=""),"",K2848)</f>
        <v>1013.9</v>
      </c>
      <c r="Q2849" s="56" t="n">
        <f aca="false">IF(OR(F2849&lt;&gt;0,AND(I2849&lt;&gt;"",E2849&lt;I2849)),1,0)</f>
        <v>0</v>
      </c>
      <c r="R2849" s="56" t="n">
        <f aca="false">IF(AND(D2849&gt;1,Q2849=0,ISNUMBER(O2849),ISNUMBER(P2849)),IF(Q2848=0,1,0),0)</f>
        <v>1</v>
      </c>
      <c r="S2849" s="56" t="n">
        <f aca="false">R2849*(B2849&gt;=Train_Start)*(B2849&lt;=Train_End)</f>
        <v>1</v>
      </c>
      <c r="T2849" s="84" t="n">
        <f aca="false">IF(AND(ISNUMBER(O2849),ISNUMBER(P2849)),Coef_A+Coef_B1*O2849+Coef_B2*P2849,"")</f>
        <v>22.9015808699872</v>
      </c>
      <c r="U2849" s="84" t="n">
        <f aca="false">IF(AND(R2849=1,ISNUMBER(T2849)),E2849-T2849,"")</f>
        <v>-1.4015808699872</v>
      </c>
      <c r="V2849" s="84" t="n">
        <f aca="false">IF(ISNUMBER(T2849),T2849,-99)</f>
        <v>22.9015808699872</v>
      </c>
      <c r="W2849" s="84" t="n">
        <f aca="false">IF(ISNUMBER(U2849),ABS(U2849),"")</f>
        <v>1.4015808699872</v>
      </c>
    </row>
    <row r="2850" customFormat="false" ht="15" hidden="false" customHeight="false" outlineLevel="0" collapsed="false">
      <c r="A2850" s="57" t="n">
        <v>35645</v>
      </c>
      <c r="B2850" s="56" t="n">
        <v>1997</v>
      </c>
      <c r="C2850" s="56" t="n">
        <v>8</v>
      </c>
      <c r="D2850" s="56" t="n">
        <v>95</v>
      </c>
      <c r="E2850" s="56" t="n">
        <v>21.8</v>
      </c>
      <c r="F2850" s="56" t="n">
        <v>0</v>
      </c>
      <c r="G2850" s="56" t="n">
        <v>14.9</v>
      </c>
      <c r="H2850" s="56" t="n">
        <v>0</v>
      </c>
      <c r="I2850" s="56" t="n">
        <v>18.2</v>
      </c>
      <c r="J2850" s="56" t="n">
        <v>0</v>
      </c>
      <c r="K2850" s="56" t="n">
        <v>1018.9</v>
      </c>
      <c r="L2850" s="56" t="n">
        <v>0</v>
      </c>
      <c r="M2850" s="56" t="n">
        <v>74</v>
      </c>
      <c r="N2850" s="56" t="n">
        <v>0.9</v>
      </c>
      <c r="O2850" s="56" t="n">
        <f aca="false">IF(D2850=1,"",E2849)</f>
        <v>21.5</v>
      </c>
      <c r="P2850" s="56" t="n">
        <f aca="false">IF(OR(D2850=1,K2849=""),"",K2849)</f>
        <v>1018.6</v>
      </c>
      <c r="Q2850" s="56" t="n">
        <f aca="false">IF(OR(F2850&lt;&gt;0,AND(I2850&lt;&gt;"",E2850&lt;I2850)),1,0)</f>
        <v>0</v>
      </c>
      <c r="R2850" s="56" t="n">
        <f aca="false">IF(AND(D2850&gt;1,Q2850=0,ISNUMBER(O2850),ISNUMBER(P2850)),IF(Q2849=0,1,0),0)</f>
        <v>1</v>
      </c>
      <c r="S2850" s="56" t="n">
        <f aca="false">R2850*(B2850&gt;=Train_Start)*(B2850&lt;=Train_End)</f>
        <v>1</v>
      </c>
      <c r="T2850" s="84" t="n">
        <f aca="false">IF(AND(ISNUMBER(O2850),ISNUMBER(P2850)),Coef_A+Coef_B1*O2850+Coef_B2*P2850,"")</f>
        <v>21.6561427465944</v>
      </c>
      <c r="U2850" s="84" t="n">
        <f aca="false">IF(AND(R2850=1,ISNUMBER(T2850)),E2850-T2850,"")</f>
        <v>0.143857253405567</v>
      </c>
      <c r="V2850" s="84" t="n">
        <f aca="false">IF(ISNUMBER(T2850),T2850,-99)</f>
        <v>21.6561427465944</v>
      </c>
      <c r="W2850" s="84" t="n">
        <f aca="false">IF(ISNUMBER(U2850),ABS(U2850),"")</f>
        <v>0.143857253405567</v>
      </c>
    </row>
    <row r="2851" customFormat="false" ht="15" hidden="false" customHeight="false" outlineLevel="0" collapsed="false">
      <c r="A2851" s="57" t="n">
        <v>35646</v>
      </c>
      <c r="B2851" s="56" t="n">
        <v>1997</v>
      </c>
      <c r="C2851" s="56" t="n">
        <v>8</v>
      </c>
      <c r="D2851" s="56" t="n">
        <v>96</v>
      </c>
      <c r="E2851" s="56" t="n">
        <v>22.8</v>
      </c>
      <c r="F2851" s="56" t="n">
        <v>0</v>
      </c>
      <c r="G2851" s="56" t="n">
        <v>15.1</v>
      </c>
      <c r="H2851" s="56" t="n">
        <v>0</v>
      </c>
      <c r="I2851" s="56" t="n">
        <v>18.4</v>
      </c>
      <c r="J2851" s="56" t="n">
        <v>0</v>
      </c>
      <c r="K2851" s="56" t="n">
        <v>1019.4</v>
      </c>
      <c r="L2851" s="56" t="n">
        <v>0</v>
      </c>
      <c r="M2851" s="56" t="n">
        <v>72</v>
      </c>
      <c r="N2851" s="56" t="n">
        <v>2.5</v>
      </c>
      <c r="O2851" s="56" t="n">
        <f aca="false">IF(D2851=1,"",E2850)</f>
        <v>21.8</v>
      </c>
      <c r="P2851" s="56" t="n">
        <f aca="false">IF(OR(D2851=1,K2850=""),"",K2850)</f>
        <v>1018.9</v>
      </c>
      <c r="Q2851" s="56" t="n">
        <f aca="false">IF(OR(F2851&lt;&gt;0,AND(I2851&lt;&gt;"",E2851&lt;I2851)),1,0)</f>
        <v>0</v>
      </c>
      <c r="R2851" s="56" t="n">
        <f aca="false">IF(AND(D2851&gt;1,Q2851=0,ISNUMBER(O2851),ISNUMBER(P2851)),IF(Q2850=0,1,0),0)</f>
        <v>1</v>
      </c>
      <c r="S2851" s="56" t="n">
        <f aca="false">R2851*(B2851&gt;=Train_Start)*(B2851&lt;=Train_End)</f>
        <v>1</v>
      </c>
      <c r="T2851" s="84" t="n">
        <f aca="false">IF(AND(ISNUMBER(O2851),ISNUMBER(P2851)),Coef_A+Coef_B1*O2851+Coef_B2*P2851,"")</f>
        <v>21.9113554728974</v>
      </c>
      <c r="U2851" s="84" t="n">
        <f aca="false">IF(AND(R2851=1,ISNUMBER(T2851)),E2851-T2851,"")</f>
        <v>0.888644527102574</v>
      </c>
      <c r="V2851" s="84" t="n">
        <f aca="false">IF(ISNUMBER(T2851),T2851,-99)</f>
        <v>21.9113554728974</v>
      </c>
      <c r="W2851" s="84" t="n">
        <f aca="false">IF(ISNUMBER(U2851),ABS(U2851),"")</f>
        <v>0.888644527102574</v>
      </c>
    </row>
    <row r="2852" customFormat="false" ht="15" hidden="false" customHeight="false" outlineLevel="0" collapsed="false">
      <c r="A2852" s="57" t="n">
        <v>35647</v>
      </c>
      <c r="B2852" s="56" t="n">
        <v>1997</v>
      </c>
      <c r="C2852" s="56" t="n">
        <v>8</v>
      </c>
      <c r="D2852" s="56" t="n">
        <v>97</v>
      </c>
      <c r="E2852" s="56" t="n">
        <v>26.7</v>
      </c>
      <c r="F2852" s="56" t="n">
        <v>0</v>
      </c>
      <c r="G2852" s="56" t="n">
        <v>15.7</v>
      </c>
      <c r="H2852" s="56" t="n">
        <v>0</v>
      </c>
      <c r="I2852" s="56" t="n">
        <v>19.2</v>
      </c>
      <c r="J2852" s="56" t="n">
        <v>0</v>
      </c>
      <c r="K2852" s="56" t="n">
        <v>1018.6</v>
      </c>
      <c r="L2852" s="56" t="n">
        <v>0</v>
      </c>
      <c r="M2852" s="56" t="n">
        <v>70</v>
      </c>
      <c r="N2852" s="56" t="n">
        <v>3.2</v>
      </c>
      <c r="O2852" s="56" t="n">
        <f aca="false">IF(D2852=1,"",E2851)</f>
        <v>22.8</v>
      </c>
      <c r="P2852" s="56" t="n">
        <f aca="false">IF(OR(D2852=1,K2851=""),"",K2851)</f>
        <v>1019.4</v>
      </c>
      <c r="Q2852" s="56" t="n">
        <f aca="false">IF(OR(F2852&lt;&gt;0,AND(I2852&lt;&gt;"",E2852&lt;I2852)),1,0)</f>
        <v>0</v>
      </c>
      <c r="R2852" s="56" t="n">
        <f aca="false">IF(AND(D2852&gt;1,Q2852=0,ISNUMBER(O2852),ISNUMBER(P2852)),IF(Q2851=0,1,0),0)</f>
        <v>1</v>
      </c>
      <c r="S2852" s="56" t="n">
        <f aca="false">R2852*(B2852&gt;=Train_Start)*(B2852&lt;=Train_End)</f>
        <v>1</v>
      </c>
      <c r="T2852" s="84" t="n">
        <f aca="false">IF(AND(ISNUMBER(O2852),ISNUMBER(P2852)),Coef_A+Coef_B1*O2852+Coef_B2*P2852,"")</f>
        <v>22.7463796132571</v>
      </c>
      <c r="U2852" s="84" t="n">
        <f aca="false">IF(AND(R2852=1,ISNUMBER(T2852)),E2852-T2852,"")</f>
        <v>3.95362038674292</v>
      </c>
      <c r="V2852" s="84" t="n">
        <f aca="false">IF(ISNUMBER(T2852),T2852,-99)</f>
        <v>22.7463796132571</v>
      </c>
      <c r="W2852" s="84" t="n">
        <f aca="false">IF(ISNUMBER(U2852),ABS(U2852),"")</f>
        <v>3.95362038674292</v>
      </c>
    </row>
    <row r="2853" customFormat="false" ht="15" hidden="false" customHeight="false" outlineLevel="0" collapsed="false">
      <c r="A2853" s="57" t="n">
        <v>35648</v>
      </c>
      <c r="B2853" s="56" t="n">
        <v>1997</v>
      </c>
      <c r="C2853" s="56" t="n">
        <v>8</v>
      </c>
      <c r="D2853" s="56" t="n">
        <v>98</v>
      </c>
      <c r="E2853" s="56" t="n">
        <v>26.8</v>
      </c>
      <c r="F2853" s="56" t="n">
        <v>0</v>
      </c>
      <c r="G2853" s="56" t="n">
        <v>16.1</v>
      </c>
      <c r="H2853" s="56" t="n">
        <v>0</v>
      </c>
      <c r="I2853" s="56" t="n">
        <v>21.4</v>
      </c>
      <c r="J2853" s="56" t="n">
        <v>0</v>
      </c>
      <c r="K2853" s="56" t="n">
        <v>1015.1</v>
      </c>
      <c r="L2853" s="56" t="n">
        <v>0</v>
      </c>
      <c r="M2853" s="56" t="n">
        <v>83</v>
      </c>
      <c r="N2853" s="56" t="n">
        <v>3.4</v>
      </c>
      <c r="O2853" s="56" t="n">
        <f aca="false">IF(D2853=1,"",E2852)</f>
        <v>26.7</v>
      </c>
      <c r="P2853" s="56" t="n">
        <f aca="false">IF(OR(D2853=1,K2852=""),"",K2852)</f>
        <v>1018.6</v>
      </c>
      <c r="Q2853" s="56" t="n">
        <f aca="false">IF(OR(F2853&lt;&gt;0,AND(I2853&lt;&gt;"",E2853&lt;I2853)),1,0)</f>
        <v>0</v>
      </c>
      <c r="R2853" s="56" t="n">
        <f aca="false">IF(AND(D2853&gt;1,Q2853=0,ISNUMBER(O2853),ISNUMBER(P2853)),IF(Q2852=0,1,0),0)</f>
        <v>1</v>
      </c>
      <c r="S2853" s="56" t="n">
        <f aca="false">R2853*(B2853&gt;=Train_Start)*(B2853&lt;=Train_End)</f>
        <v>1</v>
      </c>
      <c r="T2853" s="84" t="n">
        <f aca="false">IF(AND(ISNUMBER(O2853),ISNUMBER(P2853)),Coef_A+Coef_B1*O2853+Coef_B2*P2853,"")</f>
        <v>25.9167065504163</v>
      </c>
      <c r="U2853" s="84" t="n">
        <f aca="false">IF(AND(R2853=1,ISNUMBER(T2853)),E2853-T2853,"")</f>
        <v>0.88329344958375</v>
      </c>
      <c r="V2853" s="84" t="n">
        <f aca="false">IF(ISNUMBER(T2853),T2853,-99)</f>
        <v>25.9167065504163</v>
      </c>
      <c r="W2853" s="84" t="n">
        <f aca="false">IF(ISNUMBER(U2853),ABS(U2853),"")</f>
        <v>0.88329344958375</v>
      </c>
    </row>
    <row r="2854" customFormat="false" ht="15" hidden="false" customHeight="false" outlineLevel="0" collapsed="false">
      <c r="A2854" s="57" t="n">
        <v>35649</v>
      </c>
      <c r="B2854" s="56" t="n">
        <v>1997</v>
      </c>
      <c r="C2854" s="56" t="n">
        <v>8</v>
      </c>
      <c r="D2854" s="56" t="n">
        <v>99</v>
      </c>
      <c r="E2854" s="56" t="n">
        <v>30.9</v>
      </c>
      <c r="F2854" s="56" t="n">
        <v>0</v>
      </c>
      <c r="G2854" s="56" t="n">
        <v>17.9</v>
      </c>
      <c r="H2854" s="56" t="n">
        <v>0</v>
      </c>
      <c r="I2854" s="56" t="n">
        <v>22.4</v>
      </c>
      <c r="J2854" s="56" t="n">
        <v>0</v>
      </c>
      <c r="K2854" s="56" t="n">
        <v>1015.6</v>
      </c>
      <c r="L2854" s="56" t="n">
        <v>0</v>
      </c>
      <c r="M2854" s="56" t="n">
        <v>69</v>
      </c>
      <c r="N2854" s="56" t="n">
        <v>6.5</v>
      </c>
      <c r="O2854" s="56" t="n">
        <f aca="false">IF(D2854=1,"",E2853)</f>
        <v>26.8</v>
      </c>
      <c r="P2854" s="56" t="n">
        <f aca="false">IF(OR(D2854=1,K2853=""),"",K2853)</f>
        <v>1015.1</v>
      </c>
      <c r="Q2854" s="56" t="n">
        <f aca="false">IF(OR(F2854&lt;&gt;0,AND(I2854&lt;&gt;"",E2854&lt;I2854)),1,0)</f>
        <v>0</v>
      </c>
      <c r="R2854" s="56" t="n">
        <f aca="false">IF(AND(D2854&gt;1,Q2854=0,ISNUMBER(O2854),ISNUMBER(P2854)),IF(Q2853=0,1,0),0)</f>
        <v>1</v>
      </c>
      <c r="S2854" s="56" t="n">
        <f aca="false">R2854*(B2854&gt;=Train_Start)*(B2854&lt;=Train_End)</f>
        <v>1</v>
      </c>
      <c r="T2854" s="84" t="n">
        <f aca="false">IF(AND(ISNUMBER(O2854),ISNUMBER(P2854)),Coef_A+Coef_B1*O2854+Coef_B2*P2854,"")</f>
        <v>25.8888458385016</v>
      </c>
      <c r="U2854" s="84" t="n">
        <f aca="false">IF(AND(R2854=1,ISNUMBER(T2854)),E2854-T2854,"")</f>
        <v>5.01115416149844</v>
      </c>
      <c r="V2854" s="84" t="n">
        <f aca="false">IF(ISNUMBER(T2854),T2854,-99)</f>
        <v>25.8888458385016</v>
      </c>
      <c r="W2854" s="84" t="n">
        <f aca="false">IF(ISNUMBER(U2854),ABS(U2854),"")</f>
        <v>5.01115416149844</v>
      </c>
    </row>
    <row r="2855" customFormat="false" ht="15" hidden="false" customHeight="false" outlineLevel="0" collapsed="false">
      <c r="A2855" s="57" t="n">
        <v>35650</v>
      </c>
      <c r="B2855" s="56" t="n">
        <v>1997</v>
      </c>
      <c r="C2855" s="56" t="n">
        <v>8</v>
      </c>
      <c r="D2855" s="56" t="n">
        <v>100</v>
      </c>
      <c r="E2855" s="56" t="n">
        <v>28.5</v>
      </c>
      <c r="F2855" s="56" t="n">
        <v>0</v>
      </c>
      <c r="G2855" s="56" t="n">
        <v>17.4</v>
      </c>
      <c r="H2855" s="56" t="n">
        <v>0</v>
      </c>
      <c r="I2855" s="56" t="n">
        <v>24.2</v>
      </c>
      <c r="J2855" s="56" t="n">
        <v>0</v>
      </c>
      <c r="K2855" s="56" t="n">
        <v>1017.1</v>
      </c>
      <c r="L2855" s="56" t="n">
        <v>0</v>
      </c>
      <c r="M2855" s="56" t="n">
        <v>63</v>
      </c>
      <c r="N2855" s="56" t="n">
        <v>12.1</v>
      </c>
      <c r="O2855" s="56" t="n">
        <f aca="false">IF(D2855=1,"",E2854)</f>
        <v>30.9</v>
      </c>
      <c r="P2855" s="56" t="n">
        <f aca="false">IF(OR(D2855=1,K2854=""),"",K2854)</f>
        <v>1015.6</v>
      </c>
      <c r="Q2855" s="56" t="n">
        <f aca="false">IF(OR(F2855&lt;&gt;0,AND(I2855&lt;&gt;"",E2855&lt;I2855)),1,0)</f>
        <v>0</v>
      </c>
      <c r="R2855" s="56" t="n">
        <f aca="false">IF(AND(D2855&gt;1,Q2855=0,ISNUMBER(O2855),ISNUMBER(P2855)),IF(Q2854=0,1,0),0)</f>
        <v>1</v>
      </c>
      <c r="S2855" s="56" t="n">
        <f aca="false">R2855*(B2855&gt;=Train_Start)*(B2855&lt;=Train_End)</f>
        <v>1</v>
      </c>
      <c r="T2855" s="84" t="n">
        <f aca="false">IF(AND(ISNUMBER(O2855),ISNUMBER(P2855)),Coef_A+Coef_B1*O2855+Coef_B2*P2855,"")</f>
        <v>29.2638214772934</v>
      </c>
      <c r="U2855" s="84" t="n">
        <f aca="false">IF(AND(R2855=1,ISNUMBER(T2855)),E2855-T2855,"")</f>
        <v>-0.763821477293444</v>
      </c>
      <c r="V2855" s="84" t="n">
        <f aca="false">IF(ISNUMBER(T2855),T2855,-99)</f>
        <v>29.2638214772934</v>
      </c>
      <c r="W2855" s="84" t="n">
        <f aca="false">IF(ISNUMBER(U2855),ABS(U2855),"")</f>
        <v>0.763821477293444</v>
      </c>
    </row>
    <row r="2856" customFormat="false" ht="15" hidden="false" customHeight="false" outlineLevel="0" collapsed="false">
      <c r="A2856" s="57" t="n">
        <v>35651</v>
      </c>
      <c r="B2856" s="56" t="n">
        <v>1997</v>
      </c>
      <c r="C2856" s="56" t="n">
        <v>8</v>
      </c>
      <c r="D2856" s="56" t="n">
        <v>101</v>
      </c>
      <c r="E2856" s="56" t="n">
        <v>31.5</v>
      </c>
      <c r="F2856" s="56" t="n">
        <v>0</v>
      </c>
      <c r="G2856" s="56" t="n">
        <v>18.5</v>
      </c>
      <c r="H2856" s="56" t="n">
        <v>0</v>
      </c>
      <c r="I2856" s="56" t="n">
        <v>23.5</v>
      </c>
      <c r="J2856" s="56" t="n">
        <v>0</v>
      </c>
      <c r="K2856" s="56" t="n">
        <v>1019.3</v>
      </c>
      <c r="L2856" s="56" t="n">
        <v>0</v>
      </c>
      <c r="M2856" s="56" t="n">
        <v>70</v>
      </c>
      <c r="N2856" s="56" t="n">
        <v>13.4</v>
      </c>
      <c r="O2856" s="56" t="n">
        <f aca="false">IF(D2856=1,"",E2855)</f>
        <v>28.5</v>
      </c>
      <c r="P2856" s="56" t="n">
        <f aca="false">IF(OR(D2856=1,K2855=""),"",K2855)</f>
        <v>1017.1</v>
      </c>
      <c r="Q2856" s="56" t="n">
        <f aca="false">IF(OR(F2856&lt;&gt;0,AND(I2856&lt;&gt;"",E2856&lt;I2856)),1,0)</f>
        <v>0</v>
      </c>
      <c r="R2856" s="56" t="n">
        <f aca="false">IF(AND(D2856&gt;1,Q2856=0,ISNUMBER(O2856),ISNUMBER(P2856)),IF(Q2855=0,1,0),0)</f>
        <v>1</v>
      </c>
      <c r="S2856" s="56" t="n">
        <f aca="false">R2856*(B2856&gt;=Train_Start)*(B2856&lt;=Train_End)</f>
        <v>1</v>
      </c>
      <c r="T2856" s="84" t="n">
        <f aca="false">IF(AND(ISNUMBER(O2856),ISNUMBER(P2856)),Coef_A+Coef_B1*O2856+Coef_B2*P2856,"")</f>
        <v>27.3444622559421</v>
      </c>
      <c r="U2856" s="84" t="n">
        <f aca="false">IF(AND(R2856=1,ISNUMBER(T2856)),E2856-T2856,"")</f>
        <v>4.15553774405795</v>
      </c>
      <c r="V2856" s="84" t="n">
        <f aca="false">IF(ISNUMBER(T2856),T2856,-99)</f>
        <v>27.3444622559421</v>
      </c>
      <c r="W2856" s="84" t="n">
        <f aca="false">IF(ISNUMBER(U2856),ABS(U2856),"")</f>
        <v>4.15553774405795</v>
      </c>
    </row>
    <row r="2857" customFormat="false" ht="15" hidden="false" customHeight="false" outlineLevel="0" collapsed="false">
      <c r="A2857" s="57" t="n">
        <v>35652</v>
      </c>
      <c r="B2857" s="56" t="n">
        <v>1997</v>
      </c>
      <c r="C2857" s="56" t="n">
        <v>8</v>
      </c>
      <c r="D2857" s="56" t="n">
        <v>102</v>
      </c>
      <c r="E2857" s="56" t="n">
        <v>29.6</v>
      </c>
      <c r="F2857" s="56" t="n">
        <v>0</v>
      </c>
      <c r="G2857" s="56" t="n">
        <v>18.2</v>
      </c>
      <c r="H2857" s="56" t="n">
        <v>0</v>
      </c>
      <c r="I2857" s="56" t="n">
        <v>24.8</v>
      </c>
      <c r="J2857" s="56" t="n">
        <v>0</v>
      </c>
      <c r="K2857" s="56" t="n">
        <v>1016.5</v>
      </c>
      <c r="L2857" s="56" t="n">
        <v>0</v>
      </c>
      <c r="M2857" s="56" t="n">
        <v>60</v>
      </c>
      <c r="N2857" s="56" t="n">
        <v>11.7</v>
      </c>
      <c r="O2857" s="56" t="n">
        <f aca="false">IF(D2857=1,"",E2856)</f>
        <v>31.5</v>
      </c>
      <c r="P2857" s="56" t="n">
        <f aca="false">IF(OR(D2857=1,K2856=""),"",K2856)</f>
        <v>1019.3</v>
      </c>
      <c r="Q2857" s="56" t="n">
        <f aca="false">IF(OR(F2857&lt;&gt;0,AND(I2857&lt;&gt;"",E2857&lt;I2857)),1,0)</f>
        <v>0</v>
      </c>
      <c r="R2857" s="56" t="n">
        <f aca="false">IF(AND(D2857&gt;1,Q2857=0,ISNUMBER(O2857),ISNUMBER(P2857)),IF(Q2856=0,1,0),0)</f>
        <v>1</v>
      </c>
      <c r="S2857" s="56" t="n">
        <f aca="false">R2857*(B2857&gt;=Train_Start)*(B2857&lt;=Train_End)</f>
        <v>1</v>
      </c>
      <c r="T2857" s="84" t="n">
        <f aca="false">IF(AND(ISNUMBER(O2857),ISNUMBER(P2857)),Coef_A+Coef_B1*O2857+Coef_B2*P2857,"")</f>
        <v>29.8714936032648</v>
      </c>
      <c r="U2857" s="84" t="n">
        <f aca="false">IF(AND(R2857=1,ISNUMBER(T2857)),E2857-T2857,"")</f>
        <v>-0.271493603264794</v>
      </c>
      <c r="V2857" s="84" t="n">
        <f aca="false">IF(ISNUMBER(T2857),T2857,-99)</f>
        <v>29.8714936032648</v>
      </c>
      <c r="W2857" s="84" t="n">
        <f aca="false">IF(ISNUMBER(U2857),ABS(U2857),"")</f>
        <v>0.271493603264794</v>
      </c>
    </row>
    <row r="2858" customFormat="false" ht="15" hidden="false" customHeight="false" outlineLevel="0" collapsed="false">
      <c r="A2858" s="57" t="n">
        <v>35653</v>
      </c>
      <c r="B2858" s="56" t="n">
        <v>1997</v>
      </c>
      <c r="C2858" s="56" t="n">
        <v>8</v>
      </c>
      <c r="D2858" s="56" t="n">
        <v>103</v>
      </c>
      <c r="E2858" s="56" t="n">
        <v>29.5</v>
      </c>
      <c r="F2858" s="56" t="n">
        <v>0</v>
      </c>
      <c r="G2858" s="56" t="n">
        <v>21.1</v>
      </c>
      <c r="H2858" s="56" t="n">
        <v>0</v>
      </c>
      <c r="I2858" s="56" t="n">
        <v>25.4</v>
      </c>
      <c r="J2858" s="56" t="n">
        <v>0</v>
      </c>
      <c r="K2858" s="56" t="n">
        <v>1015.4</v>
      </c>
      <c r="L2858" s="56" t="n">
        <v>0</v>
      </c>
      <c r="M2858" s="56" t="n">
        <v>63</v>
      </c>
      <c r="N2858" s="56" t="n">
        <v>3.7</v>
      </c>
      <c r="O2858" s="56" t="n">
        <f aca="false">IF(D2858=1,"",E2857)</f>
        <v>29.6</v>
      </c>
      <c r="P2858" s="56" t="n">
        <f aca="false">IF(OR(D2858=1,K2857=""),"",K2857)</f>
        <v>1016.5</v>
      </c>
      <c r="Q2858" s="56" t="n">
        <f aca="false">IF(OR(F2858&lt;&gt;0,AND(I2858&lt;&gt;"",E2858&lt;I2858)),1,0)</f>
        <v>0</v>
      </c>
      <c r="R2858" s="56" t="n">
        <f aca="false">IF(AND(D2858&gt;1,Q2858=0,ISNUMBER(O2858),ISNUMBER(P2858)),IF(Q2857=0,1,0),0)</f>
        <v>1</v>
      </c>
      <c r="S2858" s="56" t="n">
        <f aca="false">R2858*(B2858&gt;=Train_Start)*(B2858&lt;=Train_End)</f>
        <v>1</v>
      </c>
      <c r="T2858" s="84" t="n">
        <f aca="false">IF(AND(ISNUMBER(O2858),ISNUMBER(P2858)),Coef_A+Coef_B1*O2858+Coef_B2*P2858,"")</f>
        <v>28.2269134315086</v>
      </c>
      <c r="U2858" s="84" t="n">
        <f aca="false">IF(AND(R2858=1,ISNUMBER(T2858)),E2858-T2858,"")</f>
        <v>1.27308656849142</v>
      </c>
      <c r="V2858" s="84" t="n">
        <f aca="false">IF(ISNUMBER(T2858),T2858,-99)</f>
        <v>28.2269134315086</v>
      </c>
      <c r="W2858" s="84" t="n">
        <f aca="false">IF(ISNUMBER(U2858),ABS(U2858),"")</f>
        <v>1.27308656849142</v>
      </c>
    </row>
    <row r="2859" customFormat="false" ht="15" hidden="false" customHeight="false" outlineLevel="0" collapsed="false">
      <c r="A2859" s="57" t="n">
        <v>35654</v>
      </c>
      <c r="B2859" s="56" t="n">
        <v>1997</v>
      </c>
      <c r="C2859" s="56" t="n">
        <v>8</v>
      </c>
      <c r="D2859" s="56" t="n">
        <v>104</v>
      </c>
      <c r="E2859" s="56" t="n">
        <v>27</v>
      </c>
      <c r="F2859" s="56" t="n">
        <v>0</v>
      </c>
      <c r="G2859" s="56" t="n">
        <v>18</v>
      </c>
      <c r="H2859" s="56" t="n">
        <v>0</v>
      </c>
      <c r="I2859" s="56" t="n">
        <v>23.8</v>
      </c>
      <c r="J2859" s="56" t="n">
        <v>0</v>
      </c>
      <c r="K2859" s="56" t="n">
        <v>1021</v>
      </c>
      <c r="L2859" s="56" t="n">
        <v>0</v>
      </c>
      <c r="M2859" s="56" t="n">
        <v>66</v>
      </c>
      <c r="N2859" s="56" t="n">
        <v>5.2</v>
      </c>
      <c r="O2859" s="56" t="n">
        <f aca="false">IF(D2859=1,"",E2858)</f>
        <v>29.5</v>
      </c>
      <c r="P2859" s="56" t="n">
        <f aca="false">IF(OR(D2859=1,K2858=""),"",K2858)</f>
        <v>1015.4</v>
      </c>
      <c r="Q2859" s="56" t="n">
        <f aca="false">IF(OR(F2859&lt;&gt;0,AND(I2859&lt;&gt;"",E2859&lt;I2859)),1,0)</f>
        <v>0</v>
      </c>
      <c r="R2859" s="56" t="n">
        <f aca="false">IF(AND(D2859&gt;1,Q2859=0,ISNUMBER(O2859),ISNUMBER(P2859)),IF(Q2858=0,1,0),0)</f>
        <v>1</v>
      </c>
      <c r="S2859" s="56" t="n">
        <f aca="false">R2859*(B2859&gt;=Train_Start)*(B2859&lt;=Train_End)</f>
        <v>1</v>
      </c>
      <c r="T2859" s="84" t="n">
        <f aca="false">IF(AND(ISNUMBER(O2859),ISNUMBER(P2859)),Coef_A+Coef_B1*O2859+Coef_B2*P2859,"")</f>
        <v>28.1104726281069</v>
      </c>
      <c r="U2859" s="84" t="n">
        <f aca="false">IF(AND(R2859=1,ISNUMBER(T2859)),E2859-T2859,"")</f>
        <v>-1.11047262810693</v>
      </c>
      <c r="V2859" s="84" t="n">
        <f aca="false">IF(ISNUMBER(T2859),T2859,-99)</f>
        <v>28.1104726281069</v>
      </c>
      <c r="W2859" s="84" t="n">
        <f aca="false">IF(ISNUMBER(U2859),ABS(U2859),"")</f>
        <v>1.11047262810693</v>
      </c>
    </row>
    <row r="2860" customFormat="false" ht="15" hidden="false" customHeight="false" outlineLevel="0" collapsed="false">
      <c r="A2860" s="57" t="n">
        <v>35655</v>
      </c>
      <c r="B2860" s="56" t="n">
        <v>1997</v>
      </c>
      <c r="C2860" s="56" t="n">
        <v>8</v>
      </c>
      <c r="D2860" s="56" t="n">
        <v>105</v>
      </c>
      <c r="E2860" s="56" t="n">
        <v>26.3</v>
      </c>
      <c r="F2860" s="56" t="n">
        <v>0</v>
      </c>
      <c r="G2860" s="56" t="n">
        <v>19.7</v>
      </c>
      <c r="H2860" s="56" t="n">
        <v>0</v>
      </c>
      <c r="I2860" s="56" t="n">
        <v>23.4</v>
      </c>
      <c r="J2860" s="56" t="n">
        <v>0</v>
      </c>
      <c r="K2860" s="56" t="n">
        <v>1021.5</v>
      </c>
      <c r="L2860" s="56" t="n">
        <v>0</v>
      </c>
      <c r="M2860" s="56" t="n">
        <v>68</v>
      </c>
      <c r="N2860" s="56" t="n">
        <v>9.1</v>
      </c>
      <c r="O2860" s="56" t="n">
        <f aca="false">IF(D2860=1,"",E2859)</f>
        <v>27</v>
      </c>
      <c r="P2860" s="56" t="n">
        <f aca="false">IF(OR(D2860=1,K2859=""),"",K2859)</f>
        <v>1021</v>
      </c>
      <c r="Q2860" s="56" t="n">
        <f aca="false">IF(OR(F2860&lt;&gt;0,AND(I2860&lt;&gt;"",E2860&lt;I2860)),1,0)</f>
        <v>0</v>
      </c>
      <c r="R2860" s="56" t="n">
        <f aca="false">IF(AND(D2860&gt;1,Q2860=0,ISNUMBER(O2860),ISNUMBER(P2860)),IF(Q2859=0,1,0),0)</f>
        <v>1</v>
      </c>
      <c r="S2860" s="56" t="n">
        <f aca="false">R2860*(B2860&gt;=Train_Start)*(B2860&lt;=Train_End)</f>
        <v>1</v>
      </c>
      <c r="T2860" s="84" t="n">
        <f aca="false">IF(AND(ISNUMBER(O2860),ISNUMBER(P2860)),Coef_A+Coef_B1*O2860+Coef_B2*P2860,"")</f>
        <v>26.2377960554506</v>
      </c>
      <c r="U2860" s="84" t="n">
        <f aca="false">IF(AND(R2860=1,ISNUMBER(T2860)),E2860-T2860,"")</f>
        <v>0.0622039445493812</v>
      </c>
      <c r="V2860" s="84" t="n">
        <f aca="false">IF(ISNUMBER(T2860),T2860,-99)</f>
        <v>26.2377960554506</v>
      </c>
      <c r="W2860" s="84" t="n">
        <f aca="false">IF(ISNUMBER(U2860),ABS(U2860),"")</f>
        <v>0.0622039445493812</v>
      </c>
    </row>
    <row r="2861" customFormat="false" ht="15" hidden="false" customHeight="false" outlineLevel="0" collapsed="false">
      <c r="A2861" s="57" t="n">
        <v>35656</v>
      </c>
      <c r="B2861" s="56" t="n">
        <v>1997</v>
      </c>
      <c r="C2861" s="56" t="n">
        <v>8</v>
      </c>
      <c r="D2861" s="56" t="n">
        <v>106</v>
      </c>
      <c r="E2861" s="56" t="n">
        <v>28.4</v>
      </c>
      <c r="F2861" s="56" t="n">
        <v>0</v>
      </c>
      <c r="G2861" s="56" t="n">
        <v>14.7</v>
      </c>
      <c r="H2861" s="56" t="n">
        <v>0</v>
      </c>
      <c r="I2861" s="56" t="n">
        <v>20.5</v>
      </c>
      <c r="J2861" s="56" t="n">
        <v>0</v>
      </c>
      <c r="K2861" s="56" t="n">
        <v>1023.3</v>
      </c>
      <c r="L2861" s="56" t="n">
        <v>0</v>
      </c>
      <c r="M2861" s="56" t="n">
        <v>66</v>
      </c>
      <c r="N2861" s="56" t="n">
        <v>12.9</v>
      </c>
      <c r="O2861" s="56" t="n">
        <f aca="false">IF(D2861=1,"",E2860)</f>
        <v>26.3</v>
      </c>
      <c r="P2861" s="56" t="n">
        <f aca="false">IF(OR(D2861=1,K2860=""),"",K2860)</f>
        <v>1021.5</v>
      </c>
      <c r="Q2861" s="56" t="n">
        <f aca="false">IF(OR(F2861&lt;&gt;0,AND(I2861&lt;&gt;"",E2861&lt;I2861)),1,0)</f>
        <v>0</v>
      </c>
      <c r="R2861" s="56" t="n">
        <f aca="false">IF(AND(D2861&gt;1,Q2861=0,ISNUMBER(O2861),ISNUMBER(P2861)),IF(Q2860=0,1,0),0)</f>
        <v>1</v>
      </c>
      <c r="S2861" s="56" t="n">
        <f aca="false">R2861*(B2861&gt;=Train_Start)*(B2861&lt;=Train_End)</f>
        <v>1</v>
      </c>
      <c r="T2861" s="84" t="n">
        <f aca="false">IF(AND(ISNUMBER(O2861),ISNUMBER(P2861)),Coef_A+Coef_B1*O2861+Coef_B2*P2861,"")</f>
        <v>25.6799435676378</v>
      </c>
      <c r="U2861" s="84" t="n">
        <f aca="false">IF(AND(R2861=1,ISNUMBER(T2861)),E2861-T2861,"")</f>
        <v>2.72005643236224</v>
      </c>
      <c r="V2861" s="84" t="n">
        <f aca="false">IF(ISNUMBER(T2861),T2861,-99)</f>
        <v>25.6799435676378</v>
      </c>
      <c r="W2861" s="84" t="n">
        <f aca="false">IF(ISNUMBER(U2861),ABS(U2861),"")</f>
        <v>2.72005643236224</v>
      </c>
    </row>
    <row r="2862" customFormat="false" ht="15" hidden="false" customHeight="false" outlineLevel="0" collapsed="false">
      <c r="A2862" s="57" t="n">
        <v>35657</v>
      </c>
      <c r="B2862" s="56" t="n">
        <v>1997</v>
      </c>
      <c r="C2862" s="56" t="n">
        <v>8</v>
      </c>
      <c r="D2862" s="56" t="n">
        <v>107</v>
      </c>
      <c r="E2862" s="56" t="n">
        <v>29.4</v>
      </c>
      <c r="F2862" s="56" t="n">
        <v>0</v>
      </c>
      <c r="G2862" s="56" t="n">
        <v>15.1</v>
      </c>
      <c r="H2862" s="56" t="n">
        <v>0</v>
      </c>
      <c r="I2862" s="56" t="n">
        <v>21.8</v>
      </c>
      <c r="J2862" s="56" t="n">
        <v>0</v>
      </c>
      <c r="K2862" s="56" t="n">
        <v>1021.7</v>
      </c>
      <c r="L2862" s="56" t="n">
        <v>0</v>
      </c>
      <c r="M2862" s="56" t="n">
        <v>63</v>
      </c>
      <c r="N2862" s="56" t="n">
        <v>12.8</v>
      </c>
      <c r="O2862" s="56" t="n">
        <f aca="false">IF(D2862=1,"",E2861)</f>
        <v>28.4</v>
      </c>
      <c r="P2862" s="56" t="n">
        <f aca="false">IF(OR(D2862=1,K2861=""),"",K2861)</f>
        <v>1023.3</v>
      </c>
      <c r="Q2862" s="56" t="n">
        <f aca="false">IF(OR(F2862&lt;&gt;0,AND(I2862&lt;&gt;"",E2862&lt;I2862)),1,0)</f>
        <v>0</v>
      </c>
      <c r="R2862" s="56" t="n">
        <f aca="false">IF(AND(D2862&gt;1,Q2862=0,ISNUMBER(O2862),ISNUMBER(P2862)),IF(Q2861=0,1,0),0)</f>
        <v>1</v>
      </c>
      <c r="S2862" s="56" t="n">
        <f aca="false">R2862*(B2862&gt;=Train_Start)*(B2862&lt;=Train_End)</f>
        <v>1</v>
      </c>
      <c r="T2862" s="84" t="n">
        <f aca="false">IF(AND(ISNUMBER(O2862),ISNUMBER(P2862)),Coef_A+Coef_B1*O2862+Coef_B2*P2862,"")</f>
        <v>27.4570216833685</v>
      </c>
      <c r="U2862" s="84" t="n">
        <f aca="false">IF(AND(R2862=1,ISNUMBER(T2862)),E2862-T2862,"")</f>
        <v>1.94297831663148</v>
      </c>
      <c r="V2862" s="84" t="n">
        <f aca="false">IF(ISNUMBER(T2862),T2862,-99)</f>
        <v>27.4570216833685</v>
      </c>
      <c r="W2862" s="84" t="n">
        <f aca="false">IF(ISNUMBER(U2862),ABS(U2862),"")</f>
        <v>1.94297831663148</v>
      </c>
    </row>
    <row r="2863" customFormat="false" ht="15" hidden="false" customHeight="false" outlineLevel="0" collapsed="false">
      <c r="A2863" s="57" t="n">
        <v>35658</v>
      </c>
      <c r="B2863" s="56" t="n">
        <v>1997</v>
      </c>
      <c r="C2863" s="56" t="n">
        <v>8</v>
      </c>
      <c r="D2863" s="56" t="n">
        <v>108</v>
      </c>
      <c r="E2863" s="56" t="n">
        <v>24.8</v>
      </c>
      <c r="F2863" s="56" t="n">
        <v>0</v>
      </c>
      <c r="G2863" s="56" t="n">
        <v>16.9</v>
      </c>
      <c r="H2863" s="56" t="n">
        <v>0</v>
      </c>
      <c r="I2863" s="56" t="n">
        <v>23.2</v>
      </c>
      <c r="J2863" s="56" t="n">
        <v>0</v>
      </c>
      <c r="K2863" s="56" t="n">
        <v>1019.4</v>
      </c>
      <c r="L2863" s="56" t="n">
        <v>0</v>
      </c>
      <c r="M2863" s="56" t="n">
        <v>62</v>
      </c>
      <c r="N2863" s="56" t="n">
        <v>11.3</v>
      </c>
      <c r="O2863" s="56" t="n">
        <f aca="false">IF(D2863=1,"",E2862)</f>
        <v>29.4</v>
      </c>
      <c r="P2863" s="56" t="n">
        <f aca="false">IF(OR(D2863=1,K2862=""),"",K2862)</f>
        <v>1021.7</v>
      </c>
      <c r="Q2863" s="56" t="n">
        <f aca="false">IF(OR(F2863&lt;&gt;0,AND(I2863&lt;&gt;"",E2863&lt;I2863)),1,0)</f>
        <v>0</v>
      </c>
      <c r="R2863" s="56" t="n">
        <f aca="false">IF(AND(D2863&gt;1,Q2863=0,ISNUMBER(O2863),ISNUMBER(P2863)),IF(Q2862=0,1,0),0)</f>
        <v>1</v>
      </c>
      <c r="S2863" s="56" t="n">
        <f aca="false">R2863*(B2863&gt;=Train_Start)*(B2863&lt;=Train_End)</f>
        <v>1</v>
      </c>
      <c r="T2863" s="84" t="n">
        <f aca="false">IF(AND(ISNUMBER(O2863),ISNUMBER(P2863)),Coef_A+Coef_B1*O2863+Coef_B2*P2863,"")</f>
        <v>28.2261690449968</v>
      </c>
      <c r="U2863" s="84" t="n">
        <f aca="false">IF(AND(R2863=1,ISNUMBER(T2863)),E2863-T2863,"")</f>
        <v>-3.42616904499679</v>
      </c>
      <c r="V2863" s="84" t="n">
        <f aca="false">IF(ISNUMBER(T2863),T2863,-99)</f>
        <v>28.2261690449968</v>
      </c>
      <c r="W2863" s="84" t="n">
        <f aca="false">IF(ISNUMBER(U2863),ABS(U2863),"")</f>
        <v>3.42616904499679</v>
      </c>
    </row>
    <row r="2864" customFormat="false" ht="15" hidden="false" customHeight="false" outlineLevel="0" collapsed="false">
      <c r="A2864" s="57" t="n">
        <v>35659</v>
      </c>
      <c r="B2864" s="56" t="n">
        <v>1997</v>
      </c>
      <c r="C2864" s="56" t="n">
        <v>8</v>
      </c>
      <c r="D2864" s="56" t="n">
        <v>109</v>
      </c>
      <c r="E2864" s="56" t="n">
        <v>29.7</v>
      </c>
      <c r="F2864" s="56" t="n">
        <v>0</v>
      </c>
      <c r="G2864" s="56" t="n">
        <v>18.8</v>
      </c>
      <c r="H2864" s="56" t="n">
        <v>0</v>
      </c>
      <c r="I2864" s="56" t="n">
        <v>21.8</v>
      </c>
      <c r="J2864" s="56" t="n">
        <v>0</v>
      </c>
      <c r="K2864" s="56" t="n">
        <v>1018.6</v>
      </c>
      <c r="L2864" s="56" t="n">
        <v>0</v>
      </c>
      <c r="M2864" s="56" t="n">
        <v>71</v>
      </c>
      <c r="N2864" s="56" t="n">
        <v>1.6</v>
      </c>
      <c r="O2864" s="56" t="n">
        <f aca="false">IF(D2864=1,"",E2863)</f>
        <v>24.8</v>
      </c>
      <c r="P2864" s="56" t="n">
        <f aca="false">IF(OR(D2864=1,K2863=""),"",K2863)</f>
        <v>1019.4</v>
      </c>
      <c r="Q2864" s="56" t="n">
        <f aca="false">IF(OR(F2864&lt;&gt;0,AND(I2864&lt;&gt;"",E2864&lt;I2864)),1,0)</f>
        <v>0</v>
      </c>
      <c r="R2864" s="56" t="n">
        <f aca="false">IF(AND(D2864&gt;1,Q2864=0,ISNUMBER(O2864),ISNUMBER(P2864)),IF(Q2863=0,1,0),0)</f>
        <v>1</v>
      </c>
      <c r="S2864" s="56" t="n">
        <f aca="false">R2864*(B2864&gt;=Train_Start)*(B2864&lt;=Train_End)</f>
        <v>1</v>
      </c>
      <c r="T2864" s="84" t="n">
        <f aca="false">IF(AND(ISNUMBER(O2864),ISNUMBER(P2864)),Coef_A+Coef_B1*O2864+Coef_B2*P2864,"")</f>
        <v>24.3850579993424</v>
      </c>
      <c r="U2864" s="84" t="n">
        <f aca="false">IF(AND(R2864=1,ISNUMBER(T2864)),E2864-T2864,"")</f>
        <v>5.31494200065761</v>
      </c>
      <c r="V2864" s="84" t="n">
        <f aca="false">IF(ISNUMBER(T2864),T2864,-99)</f>
        <v>24.3850579993424</v>
      </c>
      <c r="W2864" s="84" t="n">
        <f aca="false">IF(ISNUMBER(U2864),ABS(U2864),"")</f>
        <v>5.31494200065761</v>
      </c>
    </row>
    <row r="2865" customFormat="false" ht="15" hidden="false" customHeight="false" outlineLevel="0" collapsed="false">
      <c r="A2865" s="57" t="n">
        <v>35660</v>
      </c>
      <c r="B2865" s="56" t="n">
        <v>1997</v>
      </c>
      <c r="C2865" s="56" t="n">
        <v>8</v>
      </c>
      <c r="D2865" s="56" t="n">
        <v>110</v>
      </c>
      <c r="E2865" s="56" t="n">
        <v>31.1</v>
      </c>
      <c r="F2865" s="56" t="n">
        <v>0</v>
      </c>
      <c r="G2865" s="56" t="n">
        <v>17.8</v>
      </c>
      <c r="H2865" s="56" t="n">
        <v>0</v>
      </c>
      <c r="I2865" s="56" t="n">
        <v>23.8</v>
      </c>
      <c r="J2865" s="56" t="n">
        <v>0</v>
      </c>
      <c r="K2865" s="56" t="n">
        <v>1018.6</v>
      </c>
      <c r="L2865" s="56" t="n">
        <v>0</v>
      </c>
      <c r="M2865" s="56" t="n">
        <v>68</v>
      </c>
      <c r="N2865" s="56" t="n">
        <v>10.2</v>
      </c>
      <c r="O2865" s="56" t="n">
        <f aca="false">IF(D2865=1,"",E2864)</f>
        <v>29.7</v>
      </c>
      <c r="P2865" s="56" t="n">
        <f aca="false">IF(OR(D2865=1,K2864=""),"",K2864)</f>
        <v>1018.6</v>
      </c>
      <c r="Q2865" s="56" t="n">
        <f aca="false">IF(OR(F2865&lt;&gt;0,AND(I2865&lt;&gt;"",E2865&lt;I2865)),1,0)</f>
        <v>0</v>
      </c>
      <c r="R2865" s="56" t="n">
        <f aca="false">IF(AND(D2865&gt;1,Q2865=0,ISNUMBER(O2865),ISNUMBER(P2865)),IF(Q2864=0,1,0),0)</f>
        <v>1</v>
      </c>
      <c r="S2865" s="56" t="n">
        <f aca="false">R2865*(B2865&gt;=Train_Start)*(B2865&lt;=Train_End)</f>
        <v>1</v>
      </c>
      <c r="T2865" s="84" t="n">
        <f aca="false">IF(AND(ISNUMBER(O2865),ISNUMBER(P2865)),Coef_A+Coef_B1*O2865+Coef_B2*P2865,"")</f>
        <v>28.3747241295442</v>
      </c>
      <c r="U2865" s="84" t="n">
        <f aca="false">IF(AND(R2865=1,ISNUMBER(T2865)),E2865-T2865,"")</f>
        <v>2.72527587045578</v>
      </c>
      <c r="V2865" s="84" t="n">
        <f aca="false">IF(ISNUMBER(T2865),T2865,-99)</f>
        <v>28.3747241295442</v>
      </c>
      <c r="W2865" s="84" t="n">
        <f aca="false">IF(ISNUMBER(U2865),ABS(U2865),"")</f>
        <v>2.72527587045578</v>
      </c>
    </row>
    <row r="2866" customFormat="false" ht="15" hidden="false" customHeight="false" outlineLevel="0" collapsed="false">
      <c r="A2866" s="57" t="n">
        <v>35661</v>
      </c>
      <c r="B2866" s="56" t="n">
        <v>1997</v>
      </c>
      <c r="C2866" s="56" t="n">
        <v>8</v>
      </c>
      <c r="D2866" s="56" t="n">
        <v>111</v>
      </c>
      <c r="E2866" s="56" t="n">
        <v>29.5</v>
      </c>
      <c r="F2866" s="56" t="n">
        <v>0</v>
      </c>
      <c r="G2866" s="56" t="n">
        <v>18.4</v>
      </c>
      <c r="H2866" s="56" t="n">
        <v>0</v>
      </c>
      <c r="I2866" s="56" t="n">
        <v>24.8</v>
      </c>
      <c r="J2866" s="56" t="n">
        <v>0</v>
      </c>
      <c r="K2866" s="56" t="n">
        <v>1018.1</v>
      </c>
      <c r="L2866" s="56" t="n">
        <v>0</v>
      </c>
      <c r="M2866" s="56" t="n">
        <v>62</v>
      </c>
      <c r="N2866" s="56" t="n">
        <v>10.9</v>
      </c>
      <c r="O2866" s="56" t="n">
        <f aca="false">IF(D2866=1,"",E2865)</f>
        <v>31.1</v>
      </c>
      <c r="P2866" s="56" t="n">
        <f aca="false">IF(OR(D2866=1,K2865=""),"",K2865)</f>
        <v>1018.6</v>
      </c>
      <c r="Q2866" s="56" t="n">
        <f aca="false">IF(OR(F2866&lt;&gt;0,AND(I2866&lt;&gt;"",E2866&lt;I2866)),1,0)</f>
        <v>0</v>
      </c>
      <c r="R2866" s="56" t="n">
        <f aca="false">IF(AND(D2866&gt;1,Q2866=0,ISNUMBER(O2866),ISNUMBER(P2866)),IF(Q2865=0,1,0),0)</f>
        <v>1</v>
      </c>
      <c r="S2866" s="56" t="n">
        <f aca="false">R2866*(B2866&gt;=Train_Start)*(B2866&lt;=Train_End)</f>
        <v>1</v>
      </c>
      <c r="T2866" s="84" t="n">
        <f aca="false">IF(AND(ISNUMBER(O2866),ISNUMBER(P2866)),Coef_A+Coef_B1*O2866+Coef_B2*P2866,"")</f>
        <v>29.521798999804</v>
      </c>
      <c r="U2866" s="84" t="n">
        <f aca="false">IF(AND(R2866=1,ISNUMBER(T2866)),E2866-T2866,"")</f>
        <v>-0.0217989998039485</v>
      </c>
      <c r="V2866" s="84" t="n">
        <f aca="false">IF(ISNUMBER(T2866),T2866,-99)</f>
        <v>29.521798999804</v>
      </c>
      <c r="W2866" s="84" t="n">
        <f aca="false">IF(ISNUMBER(U2866),ABS(U2866),"")</f>
        <v>0.0217989998039485</v>
      </c>
    </row>
    <row r="2867" customFormat="false" ht="15" hidden="false" customHeight="false" outlineLevel="0" collapsed="false">
      <c r="A2867" s="57" t="n">
        <v>35662</v>
      </c>
      <c r="B2867" s="56" t="n">
        <v>1997</v>
      </c>
      <c r="C2867" s="56" t="n">
        <v>8</v>
      </c>
      <c r="D2867" s="56" t="n">
        <v>112</v>
      </c>
      <c r="E2867" s="56" t="n">
        <v>26.9</v>
      </c>
      <c r="F2867" s="56" t="n">
        <v>0</v>
      </c>
      <c r="G2867" s="56" t="n">
        <v>18</v>
      </c>
      <c r="H2867" s="56" t="n">
        <v>0</v>
      </c>
      <c r="I2867" s="56" t="n">
        <v>23.8</v>
      </c>
      <c r="J2867" s="56" t="n">
        <v>0</v>
      </c>
      <c r="K2867" s="56" t="n">
        <v>1017.9</v>
      </c>
      <c r="L2867" s="56" t="n">
        <v>0</v>
      </c>
      <c r="M2867" s="56" t="n">
        <v>57</v>
      </c>
      <c r="N2867" s="56" t="n">
        <v>3.9</v>
      </c>
      <c r="O2867" s="56" t="n">
        <f aca="false">IF(D2867=1,"",E2866)</f>
        <v>29.5</v>
      </c>
      <c r="P2867" s="56" t="n">
        <f aca="false">IF(OR(D2867=1,K2866=""),"",K2866)</f>
        <v>1018.1</v>
      </c>
      <c r="Q2867" s="56" t="n">
        <f aca="false">IF(OR(F2867&lt;&gt;0,AND(I2867&lt;&gt;"",E2867&lt;I2867)),1,0)</f>
        <v>0</v>
      </c>
      <c r="R2867" s="56" t="n">
        <f aca="false">IF(AND(D2867&gt;1,Q2867=0,ISNUMBER(O2867),ISNUMBER(P2867)),IF(Q2866=0,1,0),0)</f>
        <v>1</v>
      </c>
      <c r="S2867" s="56" t="n">
        <f aca="false">R2867*(B2867&gt;=Train_Start)*(B2867&lt;=Train_End)</f>
        <v>1</v>
      </c>
      <c r="T2867" s="84" t="n">
        <f aca="false">IF(AND(ISNUMBER(O2867),ISNUMBER(P2867)),Coef_A+Coef_B1*O2867+Coef_B2*P2867,"")</f>
        <v>28.1951713436187</v>
      </c>
      <c r="U2867" s="84" t="n">
        <f aca="false">IF(AND(R2867=1,ISNUMBER(T2867)),E2867-T2867,"")</f>
        <v>-1.2951713436187</v>
      </c>
      <c r="V2867" s="84" t="n">
        <f aca="false">IF(ISNUMBER(T2867),T2867,-99)</f>
        <v>28.1951713436187</v>
      </c>
      <c r="W2867" s="84" t="n">
        <f aca="false">IF(ISNUMBER(U2867),ABS(U2867),"")</f>
        <v>1.2951713436187</v>
      </c>
    </row>
    <row r="2868" customFormat="false" ht="15" hidden="false" customHeight="false" outlineLevel="0" collapsed="false">
      <c r="A2868" s="57" t="n">
        <v>35663</v>
      </c>
      <c r="B2868" s="56" t="n">
        <v>1997</v>
      </c>
      <c r="C2868" s="56" t="n">
        <v>8</v>
      </c>
      <c r="D2868" s="56" t="n">
        <v>113</v>
      </c>
      <c r="E2868" s="56" t="n">
        <v>25.1</v>
      </c>
      <c r="F2868" s="56" t="n">
        <v>0</v>
      </c>
      <c r="G2868" s="56" t="n">
        <v>17.7</v>
      </c>
      <c r="H2868" s="56" t="n">
        <v>0</v>
      </c>
      <c r="I2868" s="56" t="n">
        <v>22.3</v>
      </c>
      <c r="J2868" s="56" t="n">
        <v>0</v>
      </c>
      <c r="K2868" s="56" t="n">
        <v>1017.7</v>
      </c>
      <c r="L2868" s="56" t="n">
        <v>0</v>
      </c>
      <c r="M2868" s="56" t="n">
        <v>69</v>
      </c>
      <c r="N2868" s="56" t="n">
        <v>3.2</v>
      </c>
      <c r="O2868" s="56" t="n">
        <f aca="false">IF(D2868=1,"",E2867)</f>
        <v>26.9</v>
      </c>
      <c r="P2868" s="56" t="n">
        <f aca="false">IF(OR(D2868=1,K2867=""),"",K2867)</f>
        <v>1017.9</v>
      </c>
      <c r="Q2868" s="56" t="n">
        <f aca="false">IF(OR(F2868&lt;&gt;0,AND(I2868&lt;&gt;"",E2868&lt;I2868)),1,0)</f>
        <v>0</v>
      </c>
      <c r="R2868" s="56" t="n">
        <f aca="false">IF(AND(D2868&gt;1,Q2868=0,ISNUMBER(O2868),ISNUMBER(P2868)),IF(Q2867=0,1,0),0)</f>
        <v>1</v>
      </c>
      <c r="S2868" s="56" t="n">
        <f aca="false">R2868*(B2868&gt;=Train_Start)*(B2868&lt;=Train_End)</f>
        <v>1</v>
      </c>
      <c r="T2868" s="84" t="n">
        <f aca="false">IF(AND(ISNUMBER(O2868),ISNUMBER(P2868)),Coef_A+Coef_B1*O2868+Coef_B2*P2868,"")</f>
        <v>26.058615462781</v>
      </c>
      <c r="U2868" s="84" t="n">
        <f aca="false">IF(AND(R2868=1,ISNUMBER(T2868)),E2868-T2868,"")</f>
        <v>-0.958615462780987</v>
      </c>
      <c r="V2868" s="84" t="n">
        <f aca="false">IF(ISNUMBER(T2868),T2868,-99)</f>
        <v>26.058615462781</v>
      </c>
      <c r="W2868" s="84" t="n">
        <f aca="false">IF(ISNUMBER(U2868),ABS(U2868),"")</f>
        <v>0.958615462780987</v>
      </c>
    </row>
    <row r="2869" customFormat="false" ht="15" hidden="false" customHeight="false" outlineLevel="0" collapsed="false">
      <c r="A2869" s="57" t="n">
        <v>35664</v>
      </c>
      <c r="B2869" s="56" t="n">
        <v>1997</v>
      </c>
      <c r="C2869" s="56" t="n">
        <v>8</v>
      </c>
      <c r="D2869" s="56" t="n">
        <v>114</v>
      </c>
      <c r="E2869" s="56" t="n">
        <v>27.1</v>
      </c>
      <c r="F2869" s="56" t="n">
        <v>0</v>
      </c>
      <c r="G2869" s="56" t="n">
        <v>19.9</v>
      </c>
      <c r="H2869" s="56" t="n">
        <v>0</v>
      </c>
      <c r="I2869" s="56" t="n">
        <v>22.5</v>
      </c>
      <c r="J2869" s="56" t="n">
        <v>0</v>
      </c>
      <c r="K2869" s="56" t="n">
        <v>1019</v>
      </c>
      <c r="L2869" s="56" t="n">
        <v>0</v>
      </c>
      <c r="M2869" s="56" t="n">
        <v>79</v>
      </c>
      <c r="N2869" s="56" t="n">
        <v>0.6</v>
      </c>
      <c r="O2869" s="56" t="n">
        <f aca="false">IF(D2869=1,"",E2868)</f>
        <v>25.1</v>
      </c>
      <c r="P2869" s="56" t="n">
        <f aca="false">IF(OR(D2869=1,K2868=""),"",K2868)</f>
        <v>1017.7</v>
      </c>
      <c r="Q2869" s="56" t="n">
        <f aca="false">IF(OR(F2869&lt;&gt;0,AND(I2869&lt;&gt;"",E2869&lt;I2869)),1,0)</f>
        <v>0</v>
      </c>
      <c r="R2869" s="56" t="n">
        <f aca="false">IF(AND(D2869&gt;1,Q2869=0,ISNUMBER(O2869),ISNUMBER(P2869)),IF(Q2868=0,1,0),0)</f>
        <v>1</v>
      </c>
      <c r="S2869" s="56" t="n">
        <f aca="false">R2869*(B2869&gt;=Train_Start)*(B2869&lt;=Train_End)</f>
        <v>1</v>
      </c>
      <c r="T2869" s="84" t="n">
        <f aca="false">IF(AND(ISNUMBER(O2869),ISNUMBER(P2869)),Coef_A+Coef_B1*O2869+Coef_B2*P2869,"")</f>
        <v>24.5775309363774</v>
      </c>
      <c r="U2869" s="84" t="n">
        <f aca="false">IF(AND(R2869=1,ISNUMBER(T2869)),E2869-T2869,"")</f>
        <v>2.52246906362259</v>
      </c>
      <c r="V2869" s="84" t="n">
        <f aca="false">IF(ISNUMBER(T2869),T2869,-99)</f>
        <v>24.5775309363774</v>
      </c>
      <c r="W2869" s="84" t="n">
        <f aca="false">IF(ISNUMBER(U2869),ABS(U2869),"")</f>
        <v>2.52246906362259</v>
      </c>
    </row>
    <row r="2870" customFormat="false" ht="15" hidden="false" customHeight="false" outlineLevel="0" collapsed="false">
      <c r="A2870" s="57" t="n">
        <v>35665</v>
      </c>
      <c r="B2870" s="56" t="n">
        <v>1997</v>
      </c>
      <c r="C2870" s="56" t="n">
        <v>8</v>
      </c>
      <c r="D2870" s="56" t="n">
        <v>115</v>
      </c>
      <c r="E2870" s="56" t="n">
        <v>24.8</v>
      </c>
      <c r="F2870" s="56" t="n">
        <v>0</v>
      </c>
      <c r="G2870" s="56" t="n">
        <v>19.9</v>
      </c>
      <c r="H2870" s="56" t="n">
        <v>0</v>
      </c>
      <c r="I2870" s="56" t="n">
        <v>23.5</v>
      </c>
      <c r="J2870" s="56" t="n">
        <v>0</v>
      </c>
      <c r="K2870" s="56" t="n">
        <v>1015</v>
      </c>
      <c r="L2870" s="56" t="n">
        <v>0</v>
      </c>
      <c r="M2870" s="56" t="n">
        <v>79</v>
      </c>
      <c r="N2870" s="56" t="n">
        <v>4</v>
      </c>
      <c r="O2870" s="56" t="n">
        <f aca="false">IF(D2870=1,"",E2869)</f>
        <v>27.1</v>
      </c>
      <c r="P2870" s="56" t="n">
        <f aca="false">IF(OR(D2870=1,K2869=""),"",K2869)</f>
        <v>1019</v>
      </c>
      <c r="Q2870" s="56" t="n">
        <f aca="false">IF(OR(F2870&lt;&gt;0,AND(I2870&lt;&gt;"",E2870&lt;I2870)),1,0)</f>
        <v>0</v>
      </c>
      <c r="R2870" s="56" t="n">
        <f aca="false">IF(AND(D2870&gt;1,Q2870=0,ISNUMBER(O2870),ISNUMBER(P2870)),IF(Q2869=0,1,0),0)</f>
        <v>1</v>
      </c>
      <c r="S2870" s="56" t="n">
        <f aca="false">R2870*(B2870&gt;=Train_Start)*(B2870&lt;=Train_End)</f>
        <v>1</v>
      </c>
      <c r="T2870" s="84" t="n">
        <f aca="false">IF(AND(ISNUMBER(O2870),ISNUMBER(P2870)),Coef_A+Coef_B1*O2870+Coef_B2*P2870,"")</f>
        <v>26.2569901854869</v>
      </c>
      <c r="U2870" s="84" t="n">
        <f aca="false">IF(AND(R2870=1,ISNUMBER(T2870)),E2870-T2870,"")</f>
        <v>-1.45699018548691</v>
      </c>
      <c r="V2870" s="84" t="n">
        <f aca="false">IF(ISNUMBER(T2870),T2870,-99)</f>
        <v>26.2569901854869</v>
      </c>
      <c r="W2870" s="84" t="n">
        <f aca="false">IF(ISNUMBER(U2870),ABS(U2870),"")</f>
        <v>1.45699018548691</v>
      </c>
    </row>
    <row r="2871" customFormat="false" ht="15" hidden="false" customHeight="false" outlineLevel="0" collapsed="false">
      <c r="A2871" s="57" t="n">
        <v>35666</v>
      </c>
      <c r="B2871" s="56" t="n">
        <v>1997</v>
      </c>
      <c r="C2871" s="56" t="n">
        <v>8</v>
      </c>
      <c r="D2871" s="56" t="n">
        <v>116</v>
      </c>
      <c r="E2871" s="56" t="n">
        <v>22.3</v>
      </c>
      <c r="F2871" s="56" t="n">
        <v>0</v>
      </c>
      <c r="G2871" s="56" t="n">
        <v>19.3</v>
      </c>
      <c r="H2871" s="56" t="n">
        <v>0</v>
      </c>
      <c r="I2871" s="56" t="n">
        <v>22</v>
      </c>
      <c r="J2871" s="56" t="n">
        <v>0</v>
      </c>
      <c r="K2871" s="56" t="n">
        <v>1012.4</v>
      </c>
      <c r="L2871" s="56" t="n">
        <v>0</v>
      </c>
      <c r="M2871" s="56" t="n">
        <v>81</v>
      </c>
      <c r="N2871" s="56" t="n">
        <v>3.7</v>
      </c>
      <c r="O2871" s="56" t="n">
        <f aca="false">IF(D2871=1,"",E2870)</f>
        <v>24.8</v>
      </c>
      <c r="P2871" s="56" t="n">
        <f aca="false">IF(OR(D2871=1,K2870=""),"",K2870)</f>
        <v>1015</v>
      </c>
      <c r="Q2871" s="56" t="n">
        <f aca="false">IF(OR(F2871&lt;&gt;0,AND(I2871&lt;&gt;"",E2871&lt;I2871)),1,0)</f>
        <v>0</v>
      </c>
      <c r="R2871" s="56" t="n">
        <f aca="false">IF(AND(D2871&gt;1,Q2871=0,ISNUMBER(O2871),ISNUMBER(P2871)),IF(Q2870=0,1,0),0)</f>
        <v>1</v>
      </c>
      <c r="S2871" s="56" t="n">
        <f aca="false">R2871*(B2871&gt;=Train_Start)*(B2871&lt;=Train_End)</f>
        <v>1</v>
      </c>
      <c r="T2871" s="84" t="n">
        <f aca="false">IF(AND(ISNUMBER(O2871),ISNUMBER(P2871)),Coef_A+Coef_B1*O2871+Coef_B2*P2871,"")</f>
        <v>24.2470304629528</v>
      </c>
      <c r="U2871" s="84" t="n">
        <f aca="false">IF(AND(R2871=1,ISNUMBER(T2871)),E2871-T2871,"")</f>
        <v>-1.94703046295284</v>
      </c>
      <c r="V2871" s="84" t="n">
        <f aca="false">IF(ISNUMBER(T2871),T2871,-99)</f>
        <v>24.2470304629528</v>
      </c>
      <c r="W2871" s="84" t="n">
        <f aca="false">IF(ISNUMBER(U2871),ABS(U2871),"")</f>
        <v>1.94703046295284</v>
      </c>
    </row>
    <row r="2872" customFormat="false" ht="15" hidden="false" customHeight="false" outlineLevel="0" collapsed="false">
      <c r="A2872" s="57" t="n">
        <v>35667</v>
      </c>
      <c r="B2872" s="56" t="n">
        <v>1997</v>
      </c>
      <c r="C2872" s="56" t="n">
        <v>8</v>
      </c>
      <c r="D2872" s="56" t="n">
        <v>117</v>
      </c>
      <c r="E2872" s="56" t="n">
        <v>23.3</v>
      </c>
      <c r="F2872" s="56" t="n">
        <v>0</v>
      </c>
      <c r="G2872" s="56" t="n">
        <v>17.6</v>
      </c>
      <c r="H2872" s="56" t="n">
        <v>0</v>
      </c>
      <c r="I2872" s="56" t="n">
        <v>20</v>
      </c>
      <c r="J2872" s="56" t="n">
        <v>0</v>
      </c>
      <c r="K2872" s="56" t="n">
        <v>1009.5</v>
      </c>
      <c r="L2872" s="56" t="n">
        <v>0</v>
      </c>
      <c r="M2872" s="56" t="n">
        <v>82</v>
      </c>
      <c r="N2872" s="56" t="n">
        <v>1.7</v>
      </c>
      <c r="O2872" s="56" t="n">
        <f aca="false">IF(D2872=1,"",E2871)</f>
        <v>22.3</v>
      </c>
      <c r="P2872" s="56" t="n">
        <f aca="false">IF(OR(D2872=1,K2871=""),"",K2871)</f>
        <v>1012.4</v>
      </c>
      <c r="Q2872" s="56" t="n">
        <f aca="false">IF(OR(F2872&lt;&gt;0,AND(I2872&lt;&gt;"",E2872&lt;I2872)),1,0)</f>
        <v>0</v>
      </c>
      <c r="R2872" s="56" t="n">
        <f aca="false">IF(AND(D2872&gt;1,Q2872=0,ISNUMBER(O2872),ISNUMBER(P2872)),IF(Q2871=0,1,0),0)</f>
        <v>1</v>
      </c>
      <c r="S2872" s="56" t="n">
        <f aca="false">R2872*(B2872&gt;=Train_Start)*(B2872&lt;=Train_End)</f>
        <v>1</v>
      </c>
      <c r="T2872" s="84" t="n">
        <f aca="false">IF(AND(ISNUMBER(O2872),ISNUMBER(P2872)),Coef_A+Coef_B1*O2872+Coef_B2*P2872,"")</f>
        <v>22.1171207542978</v>
      </c>
      <c r="U2872" s="84" t="n">
        <f aca="false">IF(AND(R2872=1,ISNUMBER(T2872)),E2872-T2872,"")</f>
        <v>1.18287924570218</v>
      </c>
      <c r="V2872" s="84" t="n">
        <f aca="false">IF(ISNUMBER(T2872),T2872,-99)</f>
        <v>22.1171207542978</v>
      </c>
      <c r="W2872" s="84" t="n">
        <f aca="false">IF(ISNUMBER(U2872),ABS(U2872),"")</f>
        <v>1.18287924570218</v>
      </c>
    </row>
    <row r="2873" customFormat="false" ht="15" hidden="false" customHeight="false" outlineLevel="0" collapsed="false">
      <c r="A2873" s="57" t="n">
        <v>35668</v>
      </c>
      <c r="B2873" s="56" t="n">
        <v>1997</v>
      </c>
      <c r="C2873" s="56" t="n">
        <v>8</v>
      </c>
      <c r="D2873" s="56" t="n">
        <v>118</v>
      </c>
      <c r="E2873" s="56" t="n">
        <v>19.7</v>
      </c>
      <c r="F2873" s="56" t="n">
        <v>0</v>
      </c>
      <c r="G2873" s="56" t="n">
        <v>11.8</v>
      </c>
      <c r="H2873" s="56" t="n">
        <v>0</v>
      </c>
      <c r="I2873" s="56" t="n">
        <v>17.6</v>
      </c>
      <c r="J2873" s="56" t="n">
        <v>0</v>
      </c>
      <c r="K2873" s="56" t="n">
        <v>1010.9</v>
      </c>
      <c r="L2873" s="56" t="n">
        <v>0</v>
      </c>
      <c r="M2873" s="56" t="n">
        <v>69</v>
      </c>
      <c r="N2873" s="56" t="n">
        <v>9.6</v>
      </c>
      <c r="O2873" s="56" t="n">
        <f aca="false">IF(D2873=1,"",E2872)</f>
        <v>23.3</v>
      </c>
      <c r="P2873" s="56" t="n">
        <f aca="false">IF(OR(D2873=1,K2872=""),"",K2872)</f>
        <v>1009.5</v>
      </c>
      <c r="Q2873" s="56" t="n">
        <f aca="false">IF(OR(F2873&lt;&gt;0,AND(I2873&lt;&gt;"",E2873&lt;I2873)),1,0)</f>
        <v>0</v>
      </c>
      <c r="R2873" s="56" t="n">
        <f aca="false">IF(AND(D2873&gt;1,Q2873=0,ISNUMBER(O2873),ISNUMBER(P2873)),IF(Q2872=0,1,0),0)</f>
        <v>1</v>
      </c>
      <c r="S2873" s="56" t="n">
        <f aca="false">R2873*(B2873&gt;=Train_Start)*(B2873&lt;=Train_End)</f>
        <v>1</v>
      </c>
      <c r="T2873" s="84" t="n">
        <f aca="false">IF(AND(ISNUMBER(O2873),ISNUMBER(P2873)),Coef_A+Coef_B1*O2873+Coef_B2*P2873,"")</f>
        <v>22.8454872529019</v>
      </c>
      <c r="U2873" s="84" t="n">
        <f aca="false">IF(AND(R2873=1,ISNUMBER(T2873)),E2873-T2873,"")</f>
        <v>-3.14548725290191</v>
      </c>
      <c r="V2873" s="84" t="n">
        <f aca="false">IF(ISNUMBER(T2873),T2873,-99)</f>
        <v>22.8454872529019</v>
      </c>
      <c r="W2873" s="84" t="n">
        <f aca="false">IF(ISNUMBER(U2873),ABS(U2873),"")</f>
        <v>3.14548725290191</v>
      </c>
    </row>
    <row r="2874" customFormat="false" ht="15" hidden="false" customHeight="false" outlineLevel="0" collapsed="false">
      <c r="A2874" s="57" t="n">
        <v>35669</v>
      </c>
      <c r="B2874" s="56" t="n">
        <v>1997</v>
      </c>
      <c r="C2874" s="56" t="n">
        <v>8</v>
      </c>
      <c r="D2874" s="56" t="n">
        <v>119</v>
      </c>
      <c r="E2874" s="56" t="n">
        <v>20.3</v>
      </c>
      <c r="F2874" s="56" t="n">
        <v>0</v>
      </c>
      <c r="G2874" s="56" t="n">
        <v>13.3</v>
      </c>
      <c r="H2874" s="56" t="n">
        <v>0</v>
      </c>
      <c r="I2874" s="56" t="n">
        <v>16.5</v>
      </c>
      <c r="J2874" s="56" t="n">
        <v>0</v>
      </c>
      <c r="K2874" s="56" t="n">
        <v>1000.5</v>
      </c>
      <c r="L2874" s="56" t="n">
        <v>0</v>
      </c>
      <c r="M2874" s="56" t="n">
        <v>81</v>
      </c>
      <c r="N2874" s="56" t="n">
        <v>2.5</v>
      </c>
      <c r="O2874" s="56" t="n">
        <f aca="false">IF(D2874=1,"",E2873)</f>
        <v>19.7</v>
      </c>
      <c r="P2874" s="56" t="n">
        <f aca="false">IF(OR(D2874=1,K2873=""),"",K2873)</f>
        <v>1010.9</v>
      </c>
      <c r="Q2874" s="56" t="n">
        <f aca="false">IF(OR(F2874&lt;&gt;0,AND(I2874&lt;&gt;"",E2874&lt;I2874)),1,0)</f>
        <v>0</v>
      </c>
      <c r="R2874" s="56" t="n">
        <f aca="false">IF(AND(D2874&gt;1,Q2874=0,ISNUMBER(O2874),ISNUMBER(P2874)),IF(Q2873=0,1,0),0)</f>
        <v>1</v>
      </c>
      <c r="S2874" s="56" t="n">
        <f aca="false">R2874*(B2874&gt;=Train_Start)*(B2874&lt;=Train_End)</f>
        <v>1</v>
      </c>
      <c r="T2874" s="84" t="n">
        <f aca="false">IF(AND(ISNUMBER(O2874),ISNUMBER(P2874)),Coef_A+Coef_B1*O2874+Coef_B2*P2874,"")</f>
        <v>19.9397840104359</v>
      </c>
      <c r="U2874" s="84" t="n">
        <f aca="false">IF(AND(R2874=1,ISNUMBER(T2874)),E2874-T2874,"")</f>
        <v>0.360215989564075</v>
      </c>
      <c r="V2874" s="84" t="n">
        <f aca="false">IF(ISNUMBER(T2874),T2874,-99)</f>
        <v>19.9397840104359</v>
      </c>
      <c r="W2874" s="84" t="n">
        <f aca="false">IF(ISNUMBER(U2874),ABS(U2874),"")</f>
        <v>0.360215989564075</v>
      </c>
    </row>
    <row r="2875" customFormat="false" ht="15" hidden="false" customHeight="false" outlineLevel="0" collapsed="false">
      <c r="A2875" s="57" t="n">
        <v>35670</v>
      </c>
      <c r="B2875" s="56" t="n">
        <v>1997</v>
      </c>
      <c r="C2875" s="56" t="n">
        <v>8</v>
      </c>
      <c r="D2875" s="56" t="n">
        <v>120</v>
      </c>
      <c r="E2875" s="56" t="n">
        <v>20.9</v>
      </c>
      <c r="F2875" s="56" t="n">
        <v>0</v>
      </c>
      <c r="G2875" s="56" t="n">
        <v>11.6</v>
      </c>
      <c r="H2875" s="56" t="n">
        <v>0</v>
      </c>
      <c r="I2875" s="56" t="n">
        <v>16</v>
      </c>
      <c r="J2875" s="56" t="n">
        <v>0</v>
      </c>
      <c r="K2875" s="56" t="n">
        <v>997.1</v>
      </c>
      <c r="L2875" s="56" t="n">
        <v>0</v>
      </c>
      <c r="M2875" s="56" t="n">
        <v>81</v>
      </c>
      <c r="N2875" s="56" t="n">
        <v>6.1</v>
      </c>
      <c r="O2875" s="56" t="n">
        <f aca="false">IF(D2875=1,"",E2874)</f>
        <v>20.3</v>
      </c>
      <c r="P2875" s="56" t="n">
        <f aca="false">IF(OR(D2875=1,K2874=""),"",K2874)</f>
        <v>1000.5</v>
      </c>
      <c r="Q2875" s="56" t="n">
        <f aca="false">IF(OR(F2875&lt;&gt;0,AND(I2875&lt;&gt;"",E2875&lt;I2875)),1,0)</f>
        <v>0</v>
      </c>
      <c r="R2875" s="56" t="n">
        <f aca="false">IF(AND(D2875&gt;1,Q2875=0,ISNUMBER(O2875),ISNUMBER(P2875)),IF(Q2874=0,1,0),0)</f>
        <v>1</v>
      </c>
      <c r="S2875" s="56" t="n">
        <f aca="false">R2875*(B2875&gt;=Train_Start)*(B2875&lt;=Train_End)</f>
        <v>1</v>
      </c>
      <c r="T2875" s="84" t="n">
        <f aca="false">IF(AND(ISNUMBER(O2875),ISNUMBER(P2875)),Coef_A+Coef_B1*O2875+Coef_B2*P2875,"")</f>
        <v>20.105140622068</v>
      </c>
      <c r="U2875" s="84" t="n">
        <f aca="false">IF(AND(R2875=1,ISNUMBER(T2875)),E2875-T2875,"")</f>
        <v>0.794859377931967</v>
      </c>
      <c r="V2875" s="84" t="n">
        <f aca="false">IF(ISNUMBER(T2875),T2875,-99)</f>
        <v>20.105140622068</v>
      </c>
      <c r="W2875" s="84" t="n">
        <f aca="false">IF(ISNUMBER(U2875),ABS(U2875),"")</f>
        <v>0.794859377931967</v>
      </c>
    </row>
    <row r="2876" customFormat="false" ht="15" hidden="false" customHeight="false" outlineLevel="0" collapsed="false">
      <c r="A2876" s="57" t="n">
        <v>35671</v>
      </c>
      <c r="B2876" s="56" t="n">
        <v>1997</v>
      </c>
      <c r="C2876" s="56" t="n">
        <v>8</v>
      </c>
      <c r="D2876" s="56" t="n">
        <v>121</v>
      </c>
      <c r="E2876" s="56" t="n">
        <v>21.8</v>
      </c>
      <c r="F2876" s="56" t="n">
        <v>0</v>
      </c>
      <c r="G2876" s="56" t="n">
        <v>14.2</v>
      </c>
      <c r="H2876" s="56" t="n">
        <v>0</v>
      </c>
      <c r="I2876" s="56" t="n">
        <v>17.6</v>
      </c>
      <c r="J2876" s="56" t="n">
        <v>0</v>
      </c>
      <c r="K2876" s="56" t="n">
        <v>1007.7</v>
      </c>
      <c r="L2876" s="56" t="n">
        <v>0</v>
      </c>
      <c r="M2876" s="56" t="n">
        <v>68</v>
      </c>
      <c r="N2876" s="56" t="n">
        <v>7.2</v>
      </c>
      <c r="O2876" s="56" t="n">
        <f aca="false">IF(D2876=1,"",E2875)</f>
        <v>20.9</v>
      </c>
      <c r="P2876" s="56" t="n">
        <f aca="false">IF(OR(D2876=1,K2875=""),"",K2875)</f>
        <v>997.1</v>
      </c>
      <c r="Q2876" s="56" t="n">
        <f aca="false">IF(OR(F2876&lt;&gt;0,AND(I2876&lt;&gt;"",E2876&lt;I2876)),1,0)</f>
        <v>0</v>
      </c>
      <c r="R2876" s="56" t="n">
        <f aca="false">IF(AND(D2876&gt;1,Q2876=0,ISNUMBER(O2876),ISNUMBER(P2876)),IF(Q2875=0,1,0),0)</f>
        <v>1</v>
      </c>
      <c r="S2876" s="56" t="n">
        <f aca="false">R2876*(B2876&gt;=Train_Start)*(B2876&lt;=Train_End)</f>
        <v>1</v>
      </c>
      <c r="T2876" s="84" t="n">
        <f aca="false">IF(AND(ISNUMBER(O2876),ISNUMBER(P2876)),Coef_A+Coef_B1*O2876+Coef_B2*P2876,"")</f>
        <v>20.4900864961381</v>
      </c>
      <c r="U2876" s="84" t="n">
        <f aca="false">IF(AND(R2876=1,ISNUMBER(T2876)),E2876-T2876,"")</f>
        <v>1.30991350386194</v>
      </c>
      <c r="V2876" s="84" t="n">
        <f aca="false">IF(ISNUMBER(T2876),T2876,-99)</f>
        <v>20.4900864961381</v>
      </c>
      <c r="W2876" s="84" t="n">
        <f aca="false">IF(ISNUMBER(U2876),ABS(U2876),"")</f>
        <v>1.30991350386194</v>
      </c>
    </row>
    <row r="2877" customFormat="false" ht="15" hidden="false" customHeight="false" outlineLevel="0" collapsed="false">
      <c r="A2877" s="57" t="n">
        <v>35672</v>
      </c>
      <c r="B2877" s="56" t="n">
        <v>1997</v>
      </c>
      <c r="C2877" s="56" t="n">
        <v>8</v>
      </c>
      <c r="D2877" s="56" t="n">
        <v>122</v>
      </c>
      <c r="E2877" s="56" t="n">
        <v>24.8</v>
      </c>
      <c r="F2877" s="56" t="n">
        <v>0</v>
      </c>
      <c r="G2877" s="56" t="n">
        <v>14.4</v>
      </c>
      <c r="H2877" s="56" t="n">
        <v>0</v>
      </c>
      <c r="I2877" s="56" t="n">
        <v>18.1</v>
      </c>
      <c r="J2877" s="56" t="n">
        <v>0</v>
      </c>
      <c r="K2877" s="56" t="n">
        <v>1009.9</v>
      </c>
      <c r="L2877" s="56" t="n">
        <v>0</v>
      </c>
      <c r="M2877" s="56" t="n">
        <v>84</v>
      </c>
      <c r="N2877" s="56" t="n">
        <v>3.5</v>
      </c>
      <c r="O2877" s="56" t="n">
        <f aca="false">IF(D2877=1,"",E2876)</f>
        <v>21.8</v>
      </c>
      <c r="P2877" s="56" t="n">
        <f aca="false">IF(OR(D2877=1,K2876=""),"",K2876)</f>
        <v>1007.7</v>
      </c>
      <c r="Q2877" s="56" t="n">
        <f aca="false">IF(OR(F2877&lt;&gt;0,AND(I2877&lt;&gt;"",E2877&lt;I2877)),1,0)</f>
        <v>0</v>
      </c>
      <c r="R2877" s="56" t="n">
        <f aca="false">IF(AND(D2877&gt;1,Q2877=0,ISNUMBER(O2877),ISNUMBER(P2877)),IF(Q2876=0,1,0),0)</f>
        <v>1</v>
      </c>
      <c r="S2877" s="56" t="n">
        <f aca="false">R2877*(B2877&gt;=Train_Start)*(B2877&lt;=Train_End)</f>
        <v>1</v>
      </c>
      <c r="T2877" s="84" t="n">
        <f aca="false">IF(AND(ISNUMBER(O2877),ISNUMBER(P2877)),Coef_A+Coef_B1*O2877+Coef_B2*P2877,"")</f>
        <v>21.5600126529967</v>
      </c>
      <c r="U2877" s="84" t="n">
        <f aca="false">IF(AND(R2877=1,ISNUMBER(T2877)),E2877-T2877,"")</f>
        <v>3.23998734700325</v>
      </c>
      <c r="V2877" s="84" t="n">
        <f aca="false">IF(ISNUMBER(T2877),T2877,-99)</f>
        <v>21.5600126529967</v>
      </c>
      <c r="W2877" s="84" t="n">
        <f aca="false">IF(ISNUMBER(U2877),ABS(U2877),"")</f>
        <v>3.23998734700325</v>
      </c>
    </row>
    <row r="2878" customFormat="false" ht="15" hidden="false" customHeight="false" outlineLevel="0" collapsed="false">
      <c r="A2878" s="57" t="n">
        <v>35673</v>
      </c>
      <c r="B2878" s="56" t="n">
        <v>1997</v>
      </c>
      <c r="C2878" s="56" t="n">
        <v>8</v>
      </c>
      <c r="D2878" s="56" t="n">
        <v>123</v>
      </c>
      <c r="E2878" s="56" t="n">
        <v>21.7</v>
      </c>
      <c r="F2878" s="56" t="n">
        <v>0</v>
      </c>
      <c r="G2878" s="56" t="n">
        <v>13.5</v>
      </c>
      <c r="H2878" s="56" t="n">
        <v>0</v>
      </c>
      <c r="I2878" s="56" t="n">
        <v>19.2</v>
      </c>
      <c r="J2878" s="56" t="n">
        <v>0</v>
      </c>
      <c r="K2878" s="56" t="n">
        <v>1011.7</v>
      </c>
      <c r="L2878" s="56" t="n">
        <v>0</v>
      </c>
      <c r="M2878" s="56" t="n">
        <v>76</v>
      </c>
      <c r="N2878" s="56" t="n">
        <v>5</v>
      </c>
      <c r="O2878" s="56" t="n">
        <f aca="false">IF(D2878=1,"",E2877)</f>
        <v>24.8</v>
      </c>
      <c r="P2878" s="56" t="n">
        <f aca="false">IF(OR(D2878=1,K2877=""),"",K2877)</f>
        <v>1009.9</v>
      </c>
      <c r="Q2878" s="56" t="n">
        <f aca="false">IF(OR(F2878&lt;&gt;0,AND(I2878&lt;&gt;"",E2878&lt;I2878)),1,0)</f>
        <v>0</v>
      </c>
      <c r="R2878" s="56" t="n">
        <f aca="false">IF(AND(D2878&gt;1,Q2878=0,ISNUMBER(O2878),ISNUMBER(P2878)),IF(Q2877=0,1,0),0)</f>
        <v>1</v>
      </c>
      <c r="S2878" s="56" t="n">
        <f aca="false">R2878*(B2878&gt;=Train_Start)*(B2878&lt;=Train_End)</f>
        <v>1</v>
      </c>
      <c r="T2878" s="84" t="n">
        <f aca="false">IF(AND(ISNUMBER(O2878),ISNUMBER(P2878)),Coef_A+Coef_B1*O2878+Coef_B2*P2878,"")</f>
        <v>24.0870440003195</v>
      </c>
      <c r="U2878" s="84" t="n">
        <f aca="false">IF(AND(R2878=1,ISNUMBER(T2878)),E2878-T2878,"")</f>
        <v>-2.38704400031949</v>
      </c>
      <c r="V2878" s="84" t="n">
        <f aca="false">IF(ISNUMBER(T2878),T2878,-99)</f>
        <v>24.0870440003195</v>
      </c>
      <c r="W2878" s="84" t="n">
        <f aca="false">IF(ISNUMBER(U2878),ABS(U2878),"")</f>
        <v>2.38704400031949</v>
      </c>
    </row>
    <row r="2879" customFormat="false" ht="15" hidden="false" customHeight="false" outlineLevel="0" collapsed="false">
      <c r="A2879" s="57" t="n">
        <v>35674</v>
      </c>
      <c r="B2879" s="56" t="n">
        <v>1997</v>
      </c>
      <c r="C2879" s="56" t="n">
        <v>9</v>
      </c>
      <c r="D2879" s="56" t="n">
        <v>124</v>
      </c>
      <c r="E2879" s="56" t="n">
        <v>21.9</v>
      </c>
      <c r="F2879" s="56" t="n">
        <v>0</v>
      </c>
      <c r="G2879" s="56" t="n">
        <v>15.1</v>
      </c>
      <c r="H2879" s="56" t="n">
        <v>0</v>
      </c>
      <c r="I2879" s="56" t="n">
        <v>18.4</v>
      </c>
      <c r="J2879" s="56" t="n">
        <v>0</v>
      </c>
      <c r="K2879" s="56" t="n">
        <v>1016</v>
      </c>
      <c r="L2879" s="56" t="n">
        <v>0</v>
      </c>
      <c r="M2879" s="56" t="n">
        <v>65</v>
      </c>
      <c r="N2879" s="56" t="n">
        <v>7.2</v>
      </c>
      <c r="O2879" s="56" t="n">
        <f aca="false">IF(D2879=1,"",E2878)</f>
        <v>21.7</v>
      </c>
      <c r="P2879" s="56" t="n">
        <f aca="false">IF(OR(D2879=1,K2878=""),"",K2878)</f>
        <v>1011.7</v>
      </c>
      <c r="Q2879" s="56" t="n">
        <f aca="false">IF(OR(F2879&lt;&gt;0,AND(I2879&lt;&gt;"",E2879&lt;I2879)),1,0)</f>
        <v>0</v>
      </c>
      <c r="R2879" s="56" t="n">
        <f aca="false">IF(AND(D2879&gt;1,Q2879=0,ISNUMBER(O2879),ISNUMBER(P2879)),IF(Q2878=0,1,0),0)</f>
        <v>1</v>
      </c>
      <c r="S2879" s="56" t="n">
        <f aca="false">R2879*(B2879&gt;=Train_Start)*(B2879&lt;=Train_End)</f>
        <v>1</v>
      </c>
      <c r="T2879" s="84" t="n">
        <f aca="false">IF(AND(ISNUMBER(O2879),ISNUMBER(P2879)),Coef_A+Coef_B1*O2879+Coef_B2*P2879,"")</f>
        <v>21.6035583122284</v>
      </c>
      <c r="U2879" s="84" t="n">
        <f aca="false">IF(AND(R2879=1,ISNUMBER(T2879)),E2879-T2879,"")</f>
        <v>0.296441687771562</v>
      </c>
      <c r="V2879" s="84" t="n">
        <f aca="false">IF(ISNUMBER(T2879),T2879,-99)</f>
        <v>21.6035583122284</v>
      </c>
      <c r="W2879" s="84" t="n">
        <f aca="false">IF(ISNUMBER(U2879),ABS(U2879),"")</f>
        <v>0.296441687771562</v>
      </c>
    </row>
    <row r="2880" customFormat="false" ht="15" hidden="false" customHeight="false" outlineLevel="0" collapsed="false">
      <c r="A2880" s="57" t="n">
        <v>35675</v>
      </c>
      <c r="B2880" s="56" t="n">
        <v>1997</v>
      </c>
      <c r="C2880" s="56" t="n">
        <v>9</v>
      </c>
      <c r="D2880" s="56" t="n">
        <v>125</v>
      </c>
      <c r="E2880" s="56" t="n">
        <v>19.5</v>
      </c>
      <c r="F2880" s="56" t="n">
        <v>0</v>
      </c>
      <c r="G2880" s="56" t="n">
        <v>11.6</v>
      </c>
      <c r="H2880" s="56" t="n">
        <v>0</v>
      </c>
      <c r="I2880" s="56" t="n">
        <v>16.8</v>
      </c>
      <c r="J2880" s="56" t="n">
        <v>0</v>
      </c>
      <c r="K2880" s="56" t="n">
        <v>1020.2</v>
      </c>
      <c r="L2880" s="56" t="n">
        <v>0</v>
      </c>
      <c r="M2880" s="56" t="n">
        <v>69</v>
      </c>
      <c r="N2880" s="56" t="n">
        <v>11.8</v>
      </c>
      <c r="O2880" s="56" t="n">
        <f aca="false">IF(D2880=1,"",E2879)</f>
        <v>21.9</v>
      </c>
      <c r="P2880" s="56" t="n">
        <f aca="false">IF(OR(D2880=1,K2879=""),"",K2879)</f>
        <v>1016</v>
      </c>
      <c r="Q2880" s="56" t="n">
        <f aca="false">IF(OR(F2880&lt;&gt;0,AND(I2880&lt;&gt;"",E2880&lt;I2880)),1,0)</f>
        <v>0</v>
      </c>
      <c r="R2880" s="56" t="n">
        <f aca="false">IF(AND(D2880&gt;1,Q2880=0,ISNUMBER(O2880),ISNUMBER(P2880)),IF(Q2879=0,1,0),0)</f>
        <v>1</v>
      </c>
      <c r="S2880" s="56" t="n">
        <f aca="false">R2880*(B2880&gt;=Train_Start)*(B2880&lt;=Train_End)</f>
        <v>1</v>
      </c>
      <c r="T2880" s="84" t="n">
        <f aca="false">IF(AND(ISNUMBER(O2880),ISNUMBER(P2880)),Coef_A+Coef_B1*O2880+Coef_B2*P2880,"")</f>
        <v>21.9023166977631</v>
      </c>
      <c r="U2880" s="84" t="n">
        <f aca="false">IF(AND(R2880=1,ISNUMBER(T2880)),E2880-T2880,"")</f>
        <v>-2.40231669776312</v>
      </c>
      <c r="V2880" s="84" t="n">
        <f aca="false">IF(ISNUMBER(T2880),T2880,-99)</f>
        <v>21.9023166977631</v>
      </c>
      <c r="W2880" s="84" t="n">
        <f aca="false">IF(ISNUMBER(U2880),ABS(U2880),"")</f>
        <v>2.40231669776312</v>
      </c>
    </row>
    <row r="2881" customFormat="false" ht="15" hidden="false" customHeight="false" outlineLevel="0" collapsed="false">
      <c r="A2881" s="57" t="n">
        <v>35676</v>
      </c>
      <c r="B2881" s="56" t="n">
        <v>1997</v>
      </c>
      <c r="C2881" s="56" t="n">
        <v>9</v>
      </c>
      <c r="D2881" s="56" t="n">
        <v>126</v>
      </c>
      <c r="E2881" s="56" t="n">
        <v>21.8</v>
      </c>
      <c r="F2881" s="56" t="n">
        <v>0</v>
      </c>
      <c r="G2881" s="56" t="n">
        <v>14.4</v>
      </c>
      <c r="H2881" s="56" t="n">
        <v>0</v>
      </c>
      <c r="I2881" s="56" t="n">
        <v>17</v>
      </c>
      <c r="J2881" s="56" t="n">
        <v>0</v>
      </c>
      <c r="K2881" s="56" t="n">
        <v>1017.3</v>
      </c>
      <c r="L2881" s="56" t="n">
        <v>0</v>
      </c>
      <c r="M2881" s="56" t="n">
        <v>80</v>
      </c>
      <c r="N2881" s="56" t="n">
        <v>0</v>
      </c>
      <c r="O2881" s="56" t="n">
        <f aca="false">IF(D2881=1,"",E2880)</f>
        <v>19.5</v>
      </c>
      <c r="P2881" s="56" t="n">
        <f aca="false">IF(OR(D2881=1,K2880=""),"",K2880)</f>
        <v>1020.2</v>
      </c>
      <c r="Q2881" s="56" t="n">
        <f aca="false">IF(OR(F2881&lt;&gt;0,AND(I2881&lt;&gt;"",E2881&lt;I2881)),1,0)</f>
        <v>0</v>
      </c>
      <c r="R2881" s="56" t="n">
        <f aca="false">IF(AND(D2881&gt;1,Q2881=0,ISNUMBER(O2881),ISNUMBER(P2881)),IF(Q2880=0,1,0),0)</f>
        <v>1</v>
      </c>
      <c r="S2881" s="56" t="n">
        <f aca="false">R2881*(B2881&gt;=Train_Start)*(B2881&lt;=Train_End)</f>
        <v>1</v>
      </c>
      <c r="T2881" s="84" t="n">
        <f aca="false">IF(AND(ISNUMBER(O2881),ISNUMBER(P2881)),Coef_A+Coef_B1*O2881+Coef_B2*P2881,"")</f>
        <v>20.0676561919235</v>
      </c>
      <c r="U2881" s="84" t="n">
        <f aca="false">IF(AND(R2881=1,ISNUMBER(T2881)),E2881-T2881,"")</f>
        <v>1.7323438080765</v>
      </c>
      <c r="V2881" s="84" t="n">
        <f aca="false">IF(ISNUMBER(T2881),T2881,-99)</f>
        <v>20.0676561919235</v>
      </c>
      <c r="W2881" s="84" t="n">
        <f aca="false">IF(ISNUMBER(U2881),ABS(U2881),"")</f>
        <v>1.7323438080765</v>
      </c>
    </row>
    <row r="2882" customFormat="false" ht="15" hidden="false" customHeight="false" outlineLevel="0" collapsed="false">
      <c r="A2882" s="57" t="n">
        <v>35677</v>
      </c>
      <c r="B2882" s="56" t="n">
        <v>1997</v>
      </c>
      <c r="C2882" s="56" t="n">
        <v>9</v>
      </c>
      <c r="D2882" s="56" t="n">
        <v>127</v>
      </c>
      <c r="E2882" s="56" t="n">
        <v>19.7</v>
      </c>
      <c r="F2882" s="56" t="n">
        <v>0</v>
      </c>
      <c r="G2882" s="56" t="n">
        <v>15.3</v>
      </c>
      <c r="H2882" s="56" t="n">
        <v>0</v>
      </c>
      <c r="I2882" s="56" t="n">
        <v>18.6</v>
      </c>
      <c r="J2882" s="56" t="n">
        <v>0</v>
      </c>
      <c r="K2882" s="56" t="n">
        <v>1017.6</v>
      </c>
      <c r="L2882" s="56" t="n">
        <v>0</v>
      </c>
      <c r="M2882" s="56" t="n">
        <v>68</v>
      </c>
      <c r="N2882" s="56" t="n">
        <v>10.3</v>
      </c>
      <c r="O2882" s="56" t="n">
        <f aca="false">IF(D2882=1,"",E2881)</f>
        <v>21.8</v>
      </c>
      <c r="P2882" s="56" t="n">
        <f aca="false">IF(OR(D2882=1,K2881=""),"",K2881)</f>
        <v>1017.3</v>
      </c>
      <c r="Q2882" s="56" t="n">
        <f aca="false">IF(OR(F2882&lt;&gt;0,AND(I2882&lt;&gt;"",E2882&lt;I2882)),1,0)</f>
        <v>0</v>
      </c>
      <c r="R2882" s="56" t="n">
        <f aca="false">IF(AND(D2882&gt;1,Q2882=0,ISNUMBER(O2882),ISNUMBER(P2882)),IF(Q2881=0,1,0),0)</f>
        <v>1</v>
      </c>
      <c r="S2882" s="56" t="n">
        <f aca="false">R2882*(B2882&gt;=Train_Start)*(B2882&lt;=Train_End)</f>
        <v>1</v>
      </c>
      <c r="T2882" s="84" t="n">
        <f aca="false">IF(AND(ISNUMBER(O2882),ISNUMBER(P2882)),Coef_A+Coef_B1*O2882+Coef_B2*P2882,"")</f>
        <v>21.861163641483</v>
      </c>
      <c r="U2882" s="84" t="n">
        <f aca="false">IF(AND(R2882=1,ISNUMBER(T2882)),E2882-T2882,"")</f>
        <v>-2.16116364148304</v>
      </c>
      <c r="V2882" s="84" t="n">
        <f aca="false">IF(ISNUMBER(T2882),T2882,-99)</f>
        <v>21.861163641483</v>
      </c>
      <c r="W2882" s="84" t="n">
        <f aca="false">IF(ISNUMBER(U2882),ABS(U2882),"")</f>
        <v>2.16116364148304</v>
      </c>
    </row>
    <row r="2883" customFormat="false" ht="15" hidden="false" customHeight="false" outlineLevel="0" collapsed="false">
      <c r="A2883" s="57" t="n">
        <v>35678</v>
      </c>
      <c r="B2883" s="56" t="n">
        <v>1997</v>
      </c>
      <c r="C2883" s="56" t="n">
        <v>9</v>
      </c>
      <c r="D2883" s="56" t="n">
        <v>128</v>
      </c>
      <c r="E2883" s="56" t="n">
        <v>20.9</v>
      </c>
      <c r="F2883" s="56" t="n">
        <v>0</v>
      </c>
      <c r="G2883" s="56" t="n">
        <v>12.6</v>
      </c>
      <c r="H2883" s="56" t="n">
        <v>0</v>
      </c>
      <c r="I2883" s="56" t="n">
        <v>16.2</v>
      </c>
      <c r="J2883" s="56" t="n">
        <v>0</v>
      </c>
      <c r="K2883" s="56" t="n">
        <v>1019.9</v>
      </c>
      <c r="L2883" s="56" t="n">
        <v>0</v>
      </c>
      <c r="M2883" s="56" t="n">
        <v>79</v>
      </c>
      <c r="N2883" s="56" t="n">
        <v>1</v>
      </c>
      <c r="O2883" s="56" t="n">
        <f aca="false">IF(D2883=1,"",E2882)</f>
        <v>19.7</v>
      </c>
      <c r="P2883" s="56" t="n">
        <f aca="false">IF(OR(D2883=1,K2882=""),"",K2882)</f>
        <v>1017.6</v>
      </c>
      <c r="Q2883" s="56" t="n">
        <f aca="false">IF(OR(F2883&lt;&gt;0,AND(I2883&lt;&gt;"",E2883&lt;I2883)),1,0)</f>
        <v>0</v>
      </c>
      <c r="R2883" s="56" t="n">
        <f aca="false">IF(AND(D2883&gt;1,Q2883=0,ISNUMBER(O2883),ISNUMBER(P2883)),IF(Q2882=0,1,0),0)</f>
        <v>1</v>
      </c>
      <c r="S2883" s="56" t="n">
        <f aca="false">R2883*(B2883&gt;=Train_Start)*(B2883&lt;=Train_End)</f>
        <v>1</v>
      </c>
      <c r="T2883" s="84" t="n">
        <f aca="false">IF(AND(ISNUMBER(O2883),ISNUMBER(P2883)),Coef_A+Coef_B1*O2883+Coef_B2*P2883,"")</f>
        <v>20.1499623044837</v>
      </c>
      <c r="U2883" s="84" t="n">
        <f aca="false">IF(AND(R2883=1,ISNUMBER(T2883)),E2883-T2883,"")</f>
        <v>0.75003769551634</v>
      </c>
      <c r="V2883" s="84" t="n">
        <f aca="false">IF(ISNUMBER(T2883),T2883,-99)</f>
        <v>20.1499623044837</v>
      </c>
      <c r="W2883" s="84" t="n">
        <f aca="false">IF(ISNUMBER(U2883),ABS(U2883),"")</f>
        <v>0.75003769551634</v>
      </c>
    </row>
    <row r="2884" customFormat="false" ht="15" hidden="false" customHeight="false" outlineLevel="0" collapsed="false">
      <c r="A2884" s="57" t="n">
        <v>35679</v>
      </c>
      <c r="B2884" s="56" t="n">
        <v>1997</v>
      </c>
      <c r="C2884" s="56" t="n">
        <v>9</v>
      </c>
      <c r="D2884" s="56" t="n">
        <v>129</v>
      </c>
      <c r="E2884" s="56" t="n">
        <v>22.6</v>
      </c>
      <c r="F2884" s="56" t="n">
        <v>0</v>
      </c>
      <c r="G2884" s="56" t="n">
        <v>9.8</v>
      </c>
      <c r="H2884" s="56" t="n">
        <v>0</v>
      </c>
      <c r="I2884" s="56" t="n">
        <v>15.4</v>
      </c>
      <c r="J2884" s="56" t="n">
        <v>0</v>
      </c>
      <c r="K2884" s="56" t="n">
        <v>1023.5</v>
      </c>
      <c r="L2884" s="56" t="n">
        <v>0</v>
      </c>
      <c r="M2884" s="56" t="n">
        <v>70</v>
      </c>
      <c r="N2884" s="56" t="n">
        <v>10.3</v>
      </c>
      <c r="O2884" s="56" t="n">
        <f aca="false">IF(D2884=1,"",E2883)</f>
        <v>20.9</v>
      </c>
      <c r="P2884" s="56" t="n">
        <f aca="false">IF(OR(D2884=1,K2883=""),"",K2883)</f>
        <v>1019.9</v>
      </c>
      <c r="Q2884" s="56" t="n">
        <f aca="false">IF(OR(F2884&lt;&gt;0,AND(I2884&lt;&gt;"",E2884&lt;I2884)),1,0)</f>
        <v>0</v>
      </c>
      <c r="R2884" s="56" t="n">
        <f aca="false">IF(AND(D2884&gt;1,Q2884=0,ISNUMBER(O2884),ISNUMBER(P2884)),IF(Q2883=0,1,0),0)</f>
        <v>1</v>
      </c>
      <c r="S2884" s="56" t="n">
        <f aca="false">R2884*(B2884&gt;=Train_Start)*(B2884&lt;=Train_End)</f>
        <v>1</v>
      </c>
      <c r="T2884" s="84" t="n">
        <f aca="false">IF(AND(ISNUMBER(O2884),ISNUMBER(P2884)),Coef_A+Coef_B1*O2884+Coef_B2*P2884,"")</f>
        <v>21.205320093793</v>
      </c>
      <c r="U2884" s="84" t="n">
        <f aca="false">IF(AND(R2884=1,ISNUMBER(T2884)),E2884-T2884,"")</f>
        <v>1.39467990620698</v>
      </c>
      <c r="V2884" s="84" t="n">
        <f aca="false">IF(ISNUMBER(T2884),T2884,-99)</f>
        <v>21.205320093793</v>
      </c>
      <c r="W2884" s="84" t="n">
        <f aca="false">IF(ISNUMBER(U2884),ABS(U2884),"")</f>
        <v>1.39467990620698</v>
      </c>
    </row>
    <row r="2885" customFormat="false" ht="15" hidden="false" customHeight="false" outlineLevel="0" collapsed="false">
      <c r="A2885" s="57" t="n">
        <v>35680</v>
      </c>
      <c r="B2885" s="56" t="n">
        <v>1997</v>
      </c>
      <c r="C2885" s="56" t="n">
        <v>9</v>
      </c>
      <c r="D2885" s="56" t="n">
        <v>130</v>
      </c>
      <c r="E2885" s="56" t="n">
        <v>22.5</v>
      </c>
      <c r="F2885" s="56" t="n">
        <v>0</v>
      </c>
      <c r="G2885" s="56" t="n">
        <v>14</v>
      </c>
      <c r="H2885" s="56" t="n">
        <v>0</v>
      </c>
      <c r="I2885" s="56" t="n">
        <v>18.3</v>
      </c>
      <c r="J2885" s="56" t="n">
        <v>0</v>
      </c>
      <c r="K2885" s="56" t="n">
        <v>1026.2</v>
      </c>
      <c r="L2885" s="56" t="n">
        <v>0</v>
      </c>
      <c r="M2885" s="56" t="n">
        <v>73</v>
      </c>
      <c r="N2885" s="56" t="n">
        <v>5</v>
      </c>
      <c r="O2885" s="56" t="n">
        <f aca="false">IF(D2885=1,"",E2884)</f>
        <v>22.6</v>
      </c>
      <c r="P2885" s="56" t="n">
        <f aca="false">IF(OR(D2885=1,K2884=""),"",K2884)</f>
        <v>1023.5</v>
      </c>
      <c r="Q2885" s="56" t="n">
        <f aca="false">IF(OR(F2885&lt;&gt;0,AND(I2885&lt;&gt;"",E2885&lt;I2885)),1,0)</f>
        <v>0</v>
      </c>
      <c r="R2885" s="56" t="n">
        <f aca="false">IF(AND(D2885&gt;1,Q2885=0,ISNUMBER(O2885),ISNUMBER(P2885)),IF(Q2884=0,1,0),0)</f>
        <v>1</v>
      </c>
      <c r="S2885" s="56" t="n">
        <f aca="false">R2885*(B2885&gt;=Train_Start)*(B2885&lt;=Train_End)</f>
        <v>1</v>
      </c>
      <c r="T2885" s="84" t="n">
        <f aca="false">IF(AND(ISNUMBER(O2885),ISNUMBER(P2885)),Coef_A+Coef_B1*O2885+Coef_B2*P2885,"")</f>
        <v>22.7111283426479</v>
      </c>
      <c r="U2885" s="84" t="n">
        <f aca="false">IF(AND(R2885=1,ISNUMBER(T2885)),E2885-T2885,"")</f>
        <v>-0.211128342647907</v>
      </c>
      <c r="V2885" s="84" t="n">
        <f aca="false">IF(ISNUMBER(T2885),T2885,-99)</f>
        <v>22.7111283426479</v>
      </c>
      <c r="W2885" s="84" t="n">
        <f aca="false">IF(ISNUMBER(U2885),ABS(U2885),"")</f>
        <v>0.211128342647907</v>
      </c>
    </row>
    <row r="2886" customFormat="false" ht="15" hidden="false" customHeight="false" outlineLevel="0" collapsed="false">
      <c r="A2886" s="57" t="n">
        <v>35681</v>
      </c>
      <c r="B2886" s="56" t="n">
        <v>1997</v>
      </c>
      <c r="C2886" s="56" t="n">
        <v>9</v>
      </c>
      <c r="D2886" s="56" t="n">
        <v>131</v>
      </c>
      <c r="E2886" s="56" t="n">
        <v>22</v>
      </c>
      <c r="F2886" s="56" t="n">
        <v>0</v>
      </c>
      <c r="G2886" s="56" t="n">
        <v>9.1</v>
      </c>
      <c r="H2886" s="56" t="n">
        <v>0</v>
      </c>
      <c r="I2886" s="56" t="n">
        <v>15.8</v>
      </c>
      <c r="J2886" s="56" t="n">
        <v>0</v>
      </c>
      <c r="K2886" s="56" t="n">
        <v>1026.8</v>
      </c>
      <c r="L2886" s="56" t="n">
        <v>0</v>
      </c>
      <c r="M2886" s="56" t="n">
        <v>71</v>
      </c>
      <c r="N2886" s="56" t="n">
        <v>11.8</v>
      </c>
      <c r="O2886" s="56" t="n">
        <f aca="false">IF(D2886=1,"",E2885)</f>
        <v>22.5</v>
      </c>
      <c r="P2886" s="56" t="n">
        <f aca="false">IF(OR(D2886=1,K2885=""),"",K2885)</f>
        <v>1026.2</v>
      </c>
      <c r="Q2886" s="56" t="n">
        <f aca="false">IF(OR(F2886&lt;&gt;0,AND(I2886&lt;&gt;"",E2886&lt;I2886)),1,0)</f>
        <v>0</v>
      </c>
      <c r="R2886" s="56" t="n">
        <f aca="false">IF(AND(D2886&gt;1,Q2886=0,ISNUMBER(O2886),ISNUMBER(P2886)),IF(Q2885=0,1,0),0)</f>
        <v>1</v>
      </c>
      <c r="S2886" s="56" t="n">
        <f aca="false">R2886*(B2886&gt;=Train_Start)*(B2886&lt;=Train_End)</f>
        <v>1</v>
      </c>
      <c r="T2886" s="84" t="n">
        <f aca="false">IF(AND(ISNUMBER(O2886),ISNUMBER(P2886)),Coef_A+Coef_B1*O2886+Coef_B2*P2886,"")</f>
        <v>22.7138931388554</v>
      </c>
      <c r="U2886" s="84" t="n">
        <f aca="false">IF(AND(R2886=1,ISNUMBER(T2886)),E2886-T2886,"")</f>
        <v>-0.713893138855411</v>
      </c>
      <c r="V2886" s="84" t="n">
        <f aca="false">IF(ISNUMBER(T2886),T2886,-99)</f>
        <v>22.7138931388554</v>
      </c>
      <c r="W2886" s="84" t="n">
        <f aca="false">IF(ISNUMBER(U2886),ABS(U2886),"")</f>
        <v>0.713893138855411</v>
      </c>
    </row>
    <row r="2887" customFormat="false" ht="15" hidden="false" customHeight="false" outlineLevel="0" collapsed="false">
      <c r="A2887" s="57" t="n">
        <v>35682</v>
      </c>
      <c r="B2887" s="56" t="n">
        <v>1997</v>
      </c>
      <c r="C2887" s="56" t="n">
        <v>9</v>
      </c>
      <c r="D2887" s="56" t="n">
        <v>132</v>
      </c>
      <c r="E2887" s="56" t="n">
        <v>21.2</v>
      </c>
      <c r="F2887" s="56" t="n">
        <v>0</v>
      </c>
      <c r="G2887" s="56" t="n">
        <v>12.5</v>
      </c>
      <c r="H2887" s="56" t="n">
        <v>0</v>
      </c>
      <c r="I2887" s="56" t="n">
        <v>17.2</v>
      </c>
      <c r="J2887" s="56" t="n">
        <v>0</v>
      </c>
      <c r="K2887" s="56" t="n">
        <v>1026</v>
      </c>
      <c r="L2887" s="56" t="n">
        <v>0</v>
      </c>
      <c r="M2887" s="56" t="n">
        <v>61</v>
      </c>
      <c r="N2887" s="56" t="n">
        <v>11.7</v>
      </c>
      <c r="O2887" s="56" t="n">
        <f aca="false">IF(D2887=1,"",E2886)</f>
        <v>22</v>
      </c>
      <c r="P2887" s="56" t="n">
        <f aca="false">IF(OR(D2887=1,K2886=""),"",K2886)</f>
        <v>1026.8</v>
      </c>
      <c r="Q2887" s="56" t="n">
        <f aca="false">IF(OR(F2887&lt;&gt;0,AND(I2887&lt;&gt;"",E2887&lt;I2887)),1,0)</f>
        <v>0</v>
      </c>
      <c r="R2887" s="56" t="n">
        <f aca="false">IF(AND(D2887&gt;1,Q2887=0,ISNUMBER(O2887),ISNUMBER(P2887)),IF(Q2886=0,1,0),0)</f>
        <v>1</v>
      </c>
      <c r="S2887" s="56" t="n">
        <f aca="false">R2887*(B2887&gt;=Train_Start)*(B2887&lt;=Train_End)</f>
        <v>1</v>
      </c>
      <c r="T2887" s="84" t="n">
        <f aca="false">IF(AND(ISNUMBER(O2887),ISNUMBER(P2887)),Coef_A+Coef_B1*O2887+Coef_B2*P2887,"")</f>
        <v>22.3230454791145</v>
      </c>
      <c r="U2887" s="84" t="n">
        <f aca="false">IF(AND(R2887=1,ISNUMBER(T2887)),E2887-T2887,"")</f>
        <v>-1.12304547911447</v>
      </c>
      <c r="V2887" s="84" t="n">
        <f aca="false">IF(ISNUMBER(T2887),T2887,-99)</f>
        <v>22.3230454791145</v>
      </c>
      <c r="W2887" s="84" t="n">
        <f aca="false">IF(ISNUMBER(U2887),ABS(U2887),"")</f>
        <v>1.12304547911447</v>
      </c>
    </row>
    <row r="2888" customFormat="false" ht="15" hidden="false" customHeight="false" outlineLevel="0" collapsed="false">
      <c r="A2888" s="57" t="n">
        <v>35683</v>
      </c>
      <c r="B2888" s="56" t="n">
        <v>1997</v>
      </c>
      <c r="C2888" s="56" t="n">
        <v>9</v>
      </c>
      <c r="D2888" s="56" t="n">
        <v>133</v>
      </c>
      <c r="E2888" s="56" t="n">
        <v>20.6</v>
      </c>
      <c r="F2888" s="56" t="n">
        <v>0</v>
      </c>
      <c r="G2888" s="56" t="n">
        <v>9.8</v>
      </c>
      <c r="H2888" s="56" t="n">
        <v>0</v>
      </c>
      <c r="I2888" s="56" t="n">
        <v>15.5</v>
      </c>
      <c r="J2888" s="56" t="n">
        <v>0</v>
      </c>
      <c r="K2888" s="56" t="n">
        <v>1025</v>
      </c>
      <c r="L2888" s="56" t="n">
        <v>0</v>
      </c>
      <c r="M2888" s="56" t="n">
        <v>64</v>
      </c>
      <c r="N2888" s="56" t="n">
        <v>11.1</v>
      </c>
      <c r="O2888" s="56" t="n">
        <f aca="false">IF(D2888=1,"",E2887)</f>
        <v>21.2</v>
      </c>
      <c r="P2888" s="56" t="n">
        <f aca="false">IF(OR(D2888=1,K2887=""),"",K2887)</f>
        <v>1026</v>
      </c>
      <c r="Q2888" s="56" t="n">
        <f aca="false">IF(OR(F2888&lt;&gt;0,AND(I2888&lt;&gt;"",E2888&lt;I2888)),1,0)</f>
        <v>0</v>
      </c>
      <c r="R2888" s="56" t="n">
        <f aca="false">IF(AND(D2888&gt;1,Q2888=0,ISNUMBER(O2888),ISNUMBER(P2888)),IF(Q2887=0,1,0),0)</f>
        <v>1</v>
      </c>
      <c r="S2888" s="56" t="n">
        <f aca="false">R2888*(B2888&gt;=Train_Start)*(B2888&lt;=Train_End)</f>
        <v>1</v>
      </c>
      <c r="T2888" s="84" t="n">
        <f aca="false">IF(AND(ISNUMBER(O2888),ISNUMBER(P2888)),Coef_A+Coef_B1*O2888+Coef_B2*P2888,"")</f>
        <v>21.6424782089732</v>
      </c>
      <c r="U2888" s="84" t="n">
        <f aca="false">IF(AND(R2888=1,ISNUMBER(T2888)),E2888-T2888,"")</f>
        <v>-1.04247820897315</v>
      </c>
      <c r="V2888" s="84" t="n">
        <f aca="false">IF(ISNUMBER(T2888),T2888,-99)</f>
        <v>21.6424782089732</v>
      </c>
      <c r="W2888" s="84" t="n">
        <f aca="false">IF(ISNUMBER(U2888),ABS(U2888),"")</f>
        <v>1.04247820897315</v>
      </c>
    </row>
    <row r="2889" customFormat="false" ht="15" hidden="false" customHeight="false" outlineLevel="0" collapsed="false">
      <c r="A2889" s="57" t="n">
        <v>35684</v>
      </c>
      <c r="B2889" s="56" t="n">
        <v>1997</v>
      </c>
      <c r="C2889" s="56" t="n">
        <v>9</v>
      </c>
      <c r="D2889" s="56" t="n">
        <v>134</v>
      </c>
      <c r="E2889" s="56" t="n">
        <v>20.1</v>
      </c>
      <c r="F2889" s="56" t="n">
        <v>0</v>
      </c>
      <c r="G2889" s="56" t="n">
        <v>11.7</v>
      </c>
      <c r="H2889" s="56" t="n">
        <v>0</v>
      </c>
      <c r="I2889" s="56" t="n">
        <v>16.2</v>
      </c>
      <c r="J2889" s="56" t="n">
        <v>0</v>
      </c>
      <c r="K2889" s="56" t="n">
        <v>1011.1</v>
      </c>
      <c r="L2889" s="56" t="n">
        <v>0</v>
      </c>
      <c r="M2889" s="56" t="n">
        <v>72</v>
      </c>
      <c r="N2889" s="56" t="n">
        <v>2.1</v>
      </c>
      <c r="O2889" s="56" t="n">
        <f aca="false">IF(D2889=1,"",E2888)</f>
        <v>20.6</v>
      </c>
      <c r="P2889" s="56" t="n">
        <f aca="false">IF(OR(D2889=1,K2888=""),"",K2888)</f>
        <v>1025</v>
      </c>
      <c r="Q2889" s="56" t="n">
        <f aca="false">IF(OR(F2889&lt;&gt;0,AND(I2889&lt;&gt;"",E2889&lt;I2889)),1,0)</f>
        <v>0</v>
      </c>
      <c r="R2889" s="56" t="n">
        <f aca="false">IF(AND(D2889&gt;1,Q2889=0,ISNUMBER(O2889),ISNUMBER(P2889)),IF(Q2888=0,1,0),0)</f>
        <v>1</v>
      </c>
      <c r="S2889" s="56" t="n">
        <f aca="false">R2889*(B2889&gt;=Train_Start)*(B2889&lt;=Train_End)</f>
        <v>1</v>
      </c>
      <c r="T2889" s="84" t="n">
        <f aca="false">IF(AND(ISNUMBER(O2889),ISNUMBER(P2889)),Coef_A+Coef_B1*O2889+Coef_B2*P2889,"")</f>
        <v>21.1195047985136</v>
      </c>
      <c r="U2889" s="84" t="n">
        <f aca="false">IF(AND(R2889=1,ISNUMBER(T2889)),E2889-T2889,"")</f>
        <v>-1.01950479851357</v>
      </c>
      <c r="V2889" s="84" t="n">
        <f aca="false">IF(ISNUMBER(T2889),T2889,-99)</f>
        <v>21.1195047985136</v>
      </c>
      <c r="W2889" s="84" t="n">
        <f aca="false">IF(ISNUMBER(U2889),ABS(U2889),"")</f>
        <v>1.01950479851357</v>
      </c>
    </row>
    <row r="2890" customFormat="false" ht="15" hidden="false" customHeight="false" outlineLevel="0" collapsed="false">
      <c r="A2890" s="57" t="n">
        <v>35685</v>
      </c>
      <c r="B2890" s="56" t="n">
        <v>1997</v>
      </c>
      <c r="C2890" s="56" t="n">
        <v>9</v>
      </c>
      <c r="D2890" s="56" t="n">
        <v>135</v>
      </c>
      <c r="E2890" s="56" t="n">
        <v>17.7</v>
      </c>
      <c r="F2890" s="56" t="n">
        <v>0</v>
      </c>
      <c r="G2890" s="56" t="n">
        <v>13</v>
      </c>
      <c r="H2890" s="56" t="n">
        <v>0</v>
      </c>
      <c r="I2890" s="56" t="n">
        <v>16.6</v>
      </c>
      <c r="J2890" s="56" t="n">
        <v>0</v>
      </c>
      <c r="K2890" s="56" t="n">
        <v>1005.7</v>
      </c>
      <c r="L2890" s="56" t="n">
        <v>0</v>
      </c>
      <c r="M2890" s="56" t="n">
        <v>70</v>
      </c>
      <c r="N2890" s="56" t="n">
        <v>7.6</v>
      </c>
      <c r="O2890" s="56" t="n">
        <f aca="false">IF(D2890=1,"",E2889)</f>
        <v>20.1</v>
      </c>
      <c r="P2890" s="56" t="n">
        <f aca="false">IF(OR(D2890=1,K2889=""),"",K2889)</f>
        <v>1011.1</v>
      </c>
      <c r="Q2890" s="56" t="n">
        <f aca="false">IF(OR(F2890&lt;&gt;0,AND(I2890&lt;&gt;"",E2890&lt;I2890)),1,0)</f>
        <v>0</v>
      </c>
      <c r="R2890" s="56" t="n">
        <f aca="false">IF(AND(D2890&gt;1,Q2890=0,ISNUMBER(O2890),ISNUMBER(P2890)),IF(Q2889=0,1,0),0)</f>
        <v>1</v>
      </c>
      <c r="S2890" s="56" t="n">
        <f aca="false">R2890*(B2890&gt;=Train_Start)*(B2890&lt;=Train_End)</f>
        <v>1</v>
      </c>
      <c r="T2890" s="84" t="n">
        <f aca="false">IF(AND(ISNUMBER(O2890),ISNUMBER(P2890)),Coef_A+Coef_B1*O2890+Coef_B2*P2890,"")</f>
        <v>20.2737936665798</v>
      </c>
      <c r="U2890" s="84" t="n">
        <f aca="false">IF(AND(R2890=1,ISNUMBER(T2890)),E2890-T2890,"")</f>
        <v>-2.57379366657979</v>
      </c>
      <c r="V2890" s="84" t="n">
        <f aca="false">IF(ISNUMBER(T2890),T2890,-99)</f>
        <v>20.2737936665798</v>
      </c>
      <c r="W2890" s="84" t="n">
        <f aca="false">IF(ISNUMBER(U2890),ABS(U2890),"")</f>
        <v>2.57379366657979</v>
      </c>
    </row>
    <row r="2891" customFormat="false" ht="15" hidden="false" customHeight="false" outlineLevel="0" collapsed="false">
      <c r="A2891" s="57" t="n">
        <v>35686</v>
      </c>
      <c r="B2891" s="56" t="n">
        <v>1997</v>
      </c>
      <c r="C2891" s="56" t="n">
        <v>9</v>
      </c>
      <c r="D2891" s="56" t="n">
        <v>136</v>
      </c>
      <c r="E2891" s="56" t="n">
        <v>19</v>
      </c>
      <c r="F2891" s="56" t="n">
        <v>0</v>
      </c>
      <c r="G2891" s="56" t="n">
        <v>6.9</v>
      </c>
      <c r="H2891" s="56" t="n">
        <v>0</v>
      </c>
      <c r="I2891" s="56" t="n">
        <v>12.3</v>
      </c>
      <c r="J2891" s="56" t="n">
        <v>0</v>
      </c>
      <c r="K2891" s="56" t="n">
        <v>1015.9</v>
      </c>
      <c r="L2891" s="56" t="n">
        <v>0</v>
      </c>
      <c r="M2891" s="56" t="n">
        <v>61</v>
      </c>
      <c r="N2891" s="56" t="n">
        <v>11.2</v>
      </c>
      <c r="O2891" s="56" t="n">
        <f aca="false">IF(D2891=1,"",E2890)</f>
        <v>17.7</v>
      </c>
      <c r="P2891" s="56" t="n">
        <f aca="false">IF(OR(D2891=1,K2890=""),"",K2890)</f>
        <v>1005.7</v>
      </c>
      <c r="Q2891" s="56" t="n">
        <f aca="false">IF(OR(F2891&lt;&gt;0,AND(I2891&lt;&gt;"",E2891&lt;I2891)),1,0)</f>
        <v>0</v>
      </c>
      <c r="R2891" s="56" t="n">
        <f aca="false">IF(AND(D2891&gt;1,Q2891=0,ISNUMBER(O2891),ISNUMBER(P2891)),IF(Q2890=0,1,0),0)</f>
        <v>1</v>
      </c>
      <c r="S2891" s="56" t="n">
        <f aca="false">R2891*(B2891&gt;=Train_Start)*(B2891&lt;=Train_End)</f>
        <v>1</v>
      </c>
      <c r="T2891" s="84" t="n">
        <f aca="false">IF(AND(ISNUMBER(O2891),ISNUMBER(P2891)),Coef_A+Coef_B1*O2891+Coef_B2*P2891,"")</f>
        <v>18.1379821722539</v>
      </c>
      <c r="U2891" s="84" t="n">
        <f aca="false">IF(AND(R2891=1,ISNUMBER(T2891)),E2891-T2891,"")</f>
        <v>0.862017827746129</v>
      </c>
      <c r="V2891" s="84" t="n">
        <f aca="false">IF(ISNUMBER(T2891),T2891,-99)</f>
        <v>18.1379821722539</v>
      </c>
      <c r="W2891" s="84" t="n">
        <f aca="false">IF(ISNUMBER(U2891),ABS(U2891),"")</f>
        <v>0.862017827746129</v>
      </c>
    </row>
    <row r="2892" customFormat="false" ht="15" hidden="false" customHeight="false" outlineLevel="0" collapsed="false">
      <c r="A2892" s="57" t="n">
        <v>35687</v>
      </c>
      <c r="B2892" s="56" t="n">
        <v>1997</v>
      </c>
      <c r="C2892" s="56" t="n">
        <v>9</v>
      </c>
      <c r="D2892" s="56" t="n">
        <v>137</v>
      </c>
      <c r="E2892" s="56" t="n">
        <v>20.3</v>
      </c>
      <c r="F2892" s="56" t="n">
        <v>0</v>
      </c>
      <c r="G2892" s="56" t="n">
        <v>6.9</v>
      </c>
      <c r="H2892" s="56" t="n">
        <v>0</v>
      </c>
      <c r="I2892" s="56" t="n">
        <v>13</v>
      </c>
      <c r="J2892" s="56" t="n">
        <v>0</v>
      </c>
      <c r="K2892" s="56" t="n">
        <v>1024.9</v>
      </c>
      <c r="L2892" s="56" t="n">
        <v>0</v>
      </c>
      <c r="M2892" s="56" t="n">
        <v>66</v>
      </c>
      <c r="N2892" s="56" t="n">
        <v>7.7</v>
      </c>
      <c r="O2892" s="56" t="n">
        <f aca="false">IF(D2892=1,"",E2891)</f>
        <v>19</v>
      </c>
      <c r="P2892" s="56" t="n">
        <f aca="false">IF(OR(D2892=1,K2891=""),"",K2891)</f>
        <v>1015.9</v>
      </c>
      <c r="Q2892" s="56" t="n">
        <f aca="false">IF(OR(F2892&lt;&gt;0,AND(I2892&lt;&gt;"",E2892&lt;I2892)),1,0)</f>
        <v>0</v>
      </c>
      <c r="R2892" s="56" t="n">
        <f aca="false">IF(AND(D2892&gt;1,Q2892=0,ISNUMBER(O2892),ISNUMBER(P2892)),IF(Q2891=0,1,0),0)</f>
        <v>1</v>
      </c>
      <c r="S2892" s="56" t="n">
        <f aca="false">R2892*(B2892&gt;=Train_Start)*(B2892&lt;=Train_End)</f>
        <v>1</v>
      </c>
      <c r="T2892" s="84" t="n">
        <f aca="false">IF(AND(ISNUMBER(O2892),ISNUMBER(P2892)),Coef_A+Coef_B1*O2892+Coef_B2*P2892,"")</f>
        <v>19.523096048476</v>
      </c>
      <c r="U2892" s="84" t="n">
        <f aca="false">IF(AND(R2892=1,ISNUMBER(T2892)),E2892-T2892,"")</f>
        <v>0.776903951523988</v>
      </c>
      <c r="V2892" s="84" t="n">
        <f aca="false">IF(ISNUMBER(T2892),T2892,-99)</f>
        <v>19.523096048476</v>
      </c>
      <c r="W2892" s="84" t="n">
        <f aca="false">IF(ISNUMBER(U2892),ABS(U2892),"")</f>
        <v>0.776903951523988</v>
      </c>
    </row>
    <row r="2893" customFormat="false" ht="15" hidden="false" customHeight="false" outlineLevel="0" collapsed="false">
      <c r="A2893" s="57" t="n">
        <v>35688</v>
      </c>
      <c r="B2893" s="56" t="n">
        <v>1997</v>
      </c>
      <c r="C2893" s="56" t="n">
        <v>9</v>
      </c>
      <c r="D2893" s="56" t="n">
        <v>138</v>
      </c>
      <c r="E2893" s="56" t="n">
        <v>22</v>
      </c>
      <c r="F2893" s="56" t="n">
        <v>0</v>
      </c>
      <c r="G2893" s="56" t="n">
        <v>9</v>
      </c>
      <c r="H2893" s="56" t="n">
        <v>0</v>
      </c>
      <c r="I2893" s="56" t="n">
        <v>14.6</v>
      </c>
      <c r="J2893" s="56" t="n">
        <v>0</v>
      </c>
      <c r="K2893" s="56" t="n">
        <v>1023.5</v>
      </c>
      <c r="L2893" s="56" t="n">
        <v>0</v>
      </c>
      <c r="M2893" s="56" t="n">
        <v>71</v>
      </c>
      <c r="N2893" s="56" t="n">
        <v>4</v>
      </c>
      <c r="O2893" s="56" t="n">
        <f aca="false">IF(D2893=1,"",E2892)</f>
        <v>20.3</v>
      </c>
      <c r="P2893" s="56" t="n">
        <f aca="false">IF(OR(D2893=1,K2892=""),"",K2892)</f>
        <v>1024.9</v>
      </c>
      <c r="Q2893" s="56" t="n">
        <f aca="false">IF(OR(F2893&lt;&gt;0,AND(I2893&lt;&gt;"",E2893&lt;I2893)),1,0)</f>
        <v>0</v>
      </c>
      <c r="R2893" s="56" t="n">
        <f aca="false">IF(AND(D2893&gt;1,Q2893=0,ISNUMBER(O2893),ISNUMBER(P2893)),IF(Q2892=0,1,0),0)</f>
        <v>1</v>
      </c>
      <c r="S2893" s="56" t="n">
        <f aca="false">R2893*(B2893&gt;=Train_Start)*(B2893&lt;=Train_End)</f>
        <v>1</v>
      </c>
      <c r="T2893" s="84" t="n">
        <f aca="false">IF(AND(ISNUMBER(O2893),ISNUMBER(P2893)),Coef_A+Coef_B1*O2893+Coef_B2*P2893,"")</f>
        <v>20.8705660511374</v>
      </c>
      <c r="U2893" s="84" t="n">
        <f aca="false">IF(AND(R2893=1,ISNUMBER(T2893)),E2893-T2893,"")</f>
        <v>1.12943394886263</v>
      </c>
      <c r="V2893" s="84" t="n">
        <f aca="false">IF(ISNUMBER(T2893),T2893,-99)</f>
        <v>20.8705660511374</v>
      </c>
      <c r="W2893" s="84" t="n">
        <f aca="false">IF(ISNUMBER(U2893),ABS(U2893),"")</f>
        <v>1.12943394886263</v>
      </c>
    </row>
    <row r="2894" customFormat="false" ht="15" hidden="false" customHeight="false" outlineLevel="0" collapsed="false">
      <c r="A2894" s="57" t="n">
        <v>35689</v>
      </c>
      <c r="B2894" s="56" t="n">
        <v>1997</v>
      </c>
      <c r="C2894" s="56" t="n">
        <v>9</v>
      </c>
      <c r="D2894" s="56" t="n">
        <v>139</v>
      </c>
      <c r="E2894" s="56" t="n">
        <v>21.9</v>
      </c>
      <c r="F2894" s="56" t="n">
        <v>0</v>
      </c>
      <c r="G2894" s="56" t="n">
        <v>12</v>
      </c>
      <c r="H2894" s="56" t="n">
        <v>0</v>
      </c>
      <c r="I2894" s="56" t="n">
        <v>17</v>
      </c>
      <c r="J2894" s="56" t="n">
        <v>0</v>
      </c>
      <c r="K2894" s="56" t="n">
        <v>1019</v>
      </c>
      <c r="L2894" s="56" t="n">
        <v>0</v>
      </c>
      <c r="M2894" s="56" t="n">
        <v>67</v>
      </c>
      <c r="N2894" s="56" t="n">
        <v>9.7</v>
      </c>
      <c r="O2894" s="56" t="n">
        <f aca="false">IF(D2894=1,"",E2893)</f>
        <v>22</v>
      </c>
      <c r="P2894" s="56" t="n">
        <f aca="false">IF(OR(D2894=1,K2893=""),"",K2893)</f>
        <v>1023.5</v>
      </c>
      <c r="Q2894" s="56" t="n">
        <f aca="false">IF(OR(F2894&lt;&gt;0,AND(I2894&lt;&gt;"",E2894&lt;I2894)),1,0)</f>
        <v>0</v>
      </c>
      <c r="R2894" s="56" t="n">
        <f aca="false">IF(AND(D2894&gt;1,Q2894=0,ISNUMBER(O2894),ISNUMBER(P2894)),IF(Q2893=0,1,0),0)</f>
        <v>1</v>
      </c>
      <c r="S2894" s="56" t="n">
        <f aca="false">R2894*(B2894&gt;=Train_Start)*(B2894&lt;=Train_End)</f>
        <v>1</v>
      </c>
      <c r="T2894" s="84" t="n">
        <f aca="false">IF(AND(ISNUMBER(O2894),ISNUMBER(P2894)),Coef_A+Coef_B1*O2894+Coef_B2*P2894,"")</f>
        <v>22.2195248268223</v>
      </c>
      <c r="U2894" s="84" t="n">
        <f aca="false">IF(AND(R2894=1,ISNUMBER(T2894)),E2894-T2894,"")</f>
        <v>-0.319524826822313</v>
      </c>
      <c r="V2894" s="84" t="n">
        <f aca="false">IF(ISNUMBER(T2894),T2894,-99)</f>
        <v>22.2195248268223</v>
      </c>
      <c r="W2894" s="84" t="n">
        <f aca="false">IF(ISNUMBER(U2894),ABS(U2894),"")</f>
        <v>0.319524826822313</v>
      </c>
    </row>
    <row r="2895" customFormat="false" ht="15" hidden="false" customHeight="false" outlineLevel="0" collapsed="false">
      <c r="A2895" s="57" t="n">
        <v>35690</v>
      </c>
      <c r="B2895" s="56" t="n">
        <v>1997</v>
      </c>
      <c r="C2895" s="56" t="n">
        <v>9</v>
      </c>
      <c r="D2895" s="56" t="n">
        <v>140</v>
      </c>
      <c r="E2895" s="56" t="n">
        <v>25.1</v>
      </c>
      <c r="F2895" s="56" t="n">
        <v>0</v>
      </c>
      <c r="G2895" s="56" t="n">
        <v>10.7</v>
      </c>
      <c r="H2895" s="56" t="n">
        <v>0</v>
      </c>
      <c r="I2895" s="56" t="n">
        <v>16.3</v>
      </c>
      <c r="J2895" s="56" t="n">
        <v>0</v>
      </c>
      <c r="K2895" s="56" t="n">
        <v>1021.3</v>
      </c>
      <c r="L2895" s="56" t="n">
        <v>0</v>
      </c>
      <c r="M2895" s="56" t="n">
        <v>76</v>
      </c>
      <c r="N2895" s="56" t="n">
        <v>5.9</v>
      </c>
      <c r="O2895" s="56" t="n">
        <f aca="false">IF(D2895=1,"",E2894)</f>
        <v>21.9</v>
      </c>
      <c r="P2895" s="56" t="n">
        <f aca="false">IF(OR(D2895=1,K2894=""),"",K2894)</f>
        <v>1019</v>
      </c>
      <c r="Q2895" s="56" t="n">
        <f aca="false">IF(OR(F2895&lt;&gt;0,AND(I2895&lt;&gt;"",E2895&lt;I2895)),1,0)</f>
        <v>0</v>
      </c>
      <c r="R2895" s="56" t="n">
        <f aca="false">IF(AND(D2895&gt;1,Q2895=0,ISNUMBER(O2895),ISNUMBER(P2895)),IF(Q2894=0,1,0),0)</f>
        <v>1</v>
      </c>
      <c r="S2895" s="56" t="n">
        <f aca="false">R2895*(B2895&gt;=Train_Start)*(B2895&lt;=Train_End)</f>
        <v>1</v>
      </c>
      <c r="T2895" s="84" t="n">
        <f aca="false">IF(AND(ISNUMBER(O2895),ISNUMBER(P2895)),Coef_A+Coef_B1*O2895+Coef_B2*P2895,"")</f>
        <v>21.9964263816651</v>
      </c>
      <c r="U2895" s="84" t="n">
        <f aca="false">IF(AND(R2895=1,ISNUMBER(T2895)),E2895-T2895,"")</f>
        <v>3.10357361833491</v>
      </c>
      <c r="V2895" s="84" t="n">
        <f aca="false">IF(ISNUMBER(T2895),T2895,-99)</f>
        <v>21.9964263816651</v>
      </c>
      <c r="W2895" s="84" t="n">
        <f aca="false">IF(ISNUMBER(U2895),ABS(U2895),"")</f>
        <v>3.10357361833491</v>
      </c>
    </row>
    <row r="2896" customFormat="false" ht="15" hidden="false" customHeight="false" outlineLevel="0" collapsed="false">
      <c r="A2896" s="57" t="n">
        <v>35691</v>
      </c>
      <c r="B2896" s="56" t="n">
        <v>1997</v>
      </c>
      <c r="C2896" s="56" t="n">
        <v>9</v>
      </c>
      <c r="D2896" s="56" t="n">
        <v>141</v>
      </c>
      <c r="E2896" s="56" t="n">
        <v>17.8</v>
      </c>
      <c r="F2896" s="56" t="n">
        <v>1</v>
      </c>
      <c r="G2896" s="56" t="n">
        <v>10.9</v>
      </c>
      <c r="H2896" s="56" t="n">
        <v>0</v>
      </c>
      <c r="I2896" s="56" t="n">
        <v>18</v>
      </c>
      <c r="J2896" s="56" t="n">
        <v>1</v>
      </c>
      <c r="K2896" s="56" t="n">
        <v>1022.5</v>
      </c>
      <c r="L2896" s="56" t="n">
        <v>0</v>
      </c>
      <c r="M2896" s="56" t="n">
        <v>74</v>
      </c>
      <c r="N2896" s="56" t="n">
        <v>8.5</v>
      </c>
      <c r="O2896" s="56" t="n">
        <f aca="false">IF(D2896=1,"",E2895)</f>
        <v>25.1</v>
      </c>
      <c r="P2896" s="56" t="n">
        <f aca="false">IF(OR(D2896=1,K2895=""),"",K2895)</f>
        <v>1021.3</v>
      </c>
      <c r="Q2896" s="56" t="n">
        <f aca="false">IF(OR(F2896&lt;&gt;0,AND(I2896&lt;&gt;"",E2896&lt;I2896)),1,0)</f>
        <v>1</v>
      </c>
      <c r="R2896" s="56" t="n">
        <f aca="false">IF(AND(D2896&gt;1,Q2896=0,ISNUMBER(O2896),ISNUMBER(P2896)),IF(Q2895=0,1,0),0)</f>
        <v>0</v>
      </c>
      <c r="S2896" s="56" t="n">
        <f aca="false">R2896*(B2896&gt;=Train_Start)*(B2896&lt;=Train_End)</f>
        <v>0</v>
      </c>
      <c r="T2896" s="84" t="n">
        <f aca="false">IF(AND(ISNUMBER(O2896),ISNUMBER(P2896)),Coef_A+Coef_B1*O2896+Coef_B2*P2896,"")</f>
        <v>24.6904625570598</v>
      </c>
      <c r="U2896" s="84" t="str">
        <f aca="false">IF(AND(R2896=1,ISNUMBER(T2896)),E2896-T2896,"")</f>
        <v/>
      </c>
      <c r="V2896" s="84" t="n">
        <f aca="false">IF(ISNUMBER(T2896),T2896,-99)</f>
        <v>24.6904625570598</v>
      </c>
      <c r="W2896" s="84" t="str">
        <f aca="false">IF(ISNUMBER(U2896),ABS(U2896),"")</f>
        <v/>
      </c>
    </row>
    <row r="2897" customFormat="false" ht="15" hidden="false" customHeight="false" outlineLevel="0" collapsed="false">
      <c r="A2897" s="57" t="n">
        <v>35692</v>
      </c>
      <c r="B2897" s="56" t="n">
        <v>1997</v>
      </c>
      <c r="C2897" s="56" t="n">
        <v>9</v>
      </c>
      <c r="D2897" s="56" t="n">
        <v>142</v>
      </c>
      <c r="E2897" s="56" t="n">
        <v>18.8</v>
      </c>
      <c r="F2897" s="56" t="n">
        <v>0</v>
      </c>
      <c r="G2897" s="56" t="n">
        <v>15.8</v>
      </c>
      <c r="H2897" s="56" t="n">
        <v>0</v>
      </c>
      <c r="I2897" s="56" t="n">
        <v>16.8</v>
      </c>
      <c r="J2897" s="56" t="n">
        <v>0</v>
      </c>
      <c r="K2897" s="56" t="n">
        <v>1026</v>
      </c>
      <c r="L2897" s="56" t="n">
        <v>0</v>
      </c>
      <c r="M2897" s="56" t="n">
        <v>75</v>
      </c>
      <c r="N2897" s="56" t="n">
        <v>0</v>
      </c>
      <c r="O2897" s="56" t="n">
        <f aca="false">IF(D2897=1,"",E2896)</f>
        <v>17.8</v>
      </c>
      <c r="P2897" s="56" t="n">
        <f aca="false">IF(OR(D2897=1,K2896=""),"",K2896)</f>
        <v>1022.5</v>
      </c>
      <c r="Q2897" s="56" t="n">
        <f aca="false">IF(OR(F2897&lt;&gt;0,AND(I2897&lt;&gt;"",E2897&lt;I2897)),1,0)</f>
        <v>0</v>
      </c>
      <c r="R2897" s="56" t="n">
        <f aca="false">IF(AND(D2897&gt;1,Q2897=0,ISNUMBER(O2897),ISNUMBER(P2897)),IF(Q2896=0,1,0),0)</f>
        <v>0</v>
      </c>
      <c r="S2897" s="56" t="n">
        <f aca="false">R2897*(B2897&gt;=Train_Start)*(B2897&lt;=Train_End)</f>
        <v>0</v>
      </c>
      <c r="T2897" s="84" t="n">
        <f aca="false">IF(AND(ISNUMBER(O2897),ISNUMBER(P2897)),Coef_A+Coef_B1*O2897+Coef_B2*P2897,"")</f>
        <v>18.7469303214092</v>
      </c>
      <c r="U2897" s="84" t="str">
        <f aca="false">IF(AND(R2897=1,ISNUMBER(T2897)),E2897-T2897,"")</f>
        <v/>
      </c>
      <c r="V2897" s="84" t="n">
        <f aca="false">IF(ISNUMBER(T2897),T2897,-99)</f>
        <v>18.7469303214092</v>
      </c>
      <c r="W2897" s="84" t="str">
        <f aca="false">IF(ISNUMBER(U2897),ABS(U2897),"")</f>
        <v/>
      </c>
    </row>
    <row r="2898" customFormat="false" ht="15" hidden="false" customHeight="false" outlineLevel="0" collapsed="false">
      <c r="A2898" s="57" t="n">
        <v>35693</v>
      </c>
      <c r="B2898" s="56" t="n">
        <v>1997</v>
      </c>
      <c r="C2898" s="56" t="n">
        <v>9</v>
      </c>
      <c r="D2898" s="56" t="n">
        <v>143</v>
      </c>
      <c r="E2898" s="56" t="n">
        <v>19.1</v>
      </c>
      <c r="F2898" s="56" t="n">
        <v>0</v>
      </c>
      <c r="G2898" s="56" t="n">
        <v>14.7</v>
      </c>
      <c r="H2898" s="56" t="n">
        <v>0</v>
      </c>
      <c r="I2898" s="56" t="n">
        <v>16.8</v>
      </c>
      <c r="J2898" s="56" t="n">
        <v>0</v>
      </c>
      <c r="K2898" s="56" t="n">
        <v>1028.4</v>
      </c>
      <c r="L2898" s="56" t="n">
        <v>0</v>
      </c>
      <c r="M2898" s="56" t="n">
        <v>59</v>
      </c>
      <c r="N2898" s="56" t="n">
        <v>3.6</v>
      </c>
      <c r="O2898" s="56" t="n">
        <f aca="false">IF(D2898=1,"",E2897)</f>
        <v>18.8</v>
      </c>
      <c r="P2898" s="56" t="n">
        <f aca="false">IF(OR(D2898=1,K2897=""),"",K2897)</f>
        <v>1026</v>
      </c>
      <c r="Q2898" s="56" t="n">
        <f aca="false">IF(OR(F2898&lt;&gt;0,AND(I2898&lt;&gt;"",E2898&lt;I2898)),1,0)</f>
        <v>0</v>
      </c>
      <c r="R2898" s="56" t="n">
        <f aca="false">IF(AND(D2898&gt;1,Q2898=0,ISNUMBER(O2898),ISNUMBER(P2898)),IF(Q2897=0,1,0),0)</f>
        <v>1</v>
      </c>
      <c r="S2898" s="56" t="n">
        <f aca="false">R2898*(B2898&gt;=Train_Start)*(B2898&lt;=Train_End)</f>
        <v>1</v>
      </c>
      <c r="T2898" s="84" t="n">
        <f aca="false">IF(AND(ISNUMBER(O2898),ISNUMBER(P2898)),Coef_A+Coef_B1*O2898+Coef_B2*P2898,"")</f>
        <v>19.6760641456708</v>
      </c>
      <c r="U2898" s="84" t="n">
        <f aca="false">IF(AND(R2898=1,ISNUMBER(T2898)),E2898-T2898,"")</f>
        <v>-0.576064145670777</v>
      </c>
      <c r="V2898" s="84" t="n">
        <f aca="false">IF(ISNUMBER(T2898),T2898,-99)</f>
        <v>19.6760641456708</v>
      </c>
      <c r="W2898" s="84" t="n">
        <f aca="false">IF(ISNUMBER(U2898),ABS(U2898),"")</f>
        <v>0.576064145670777</v>
      </c>
    </row>
    <row r="2899" customFormat="false" ht="15" hidden="false" customHeight="false" outlineLevel="0" collapsed="false">
      <c r="A2899" s="57" t="n">
        <v>35694</v>
      </c>
      <c r="B2899" s="56" t="n">
        <v>1997</v>
      </c>
      <c r="C2899" s="56" t="n">
        <v>9</v>
      </c>
      <c r="D2899" s="56" t="n">
        <v>144</v>
      </c>
      <c r="E2899" s="56" t="n">
        <v>21.4</v>
      </c>
      <c r="F2899" s="56" t="n">
        <v>0</v>
      </c>
      <c r="G2899" s="56" t="n">
        <v>9.3</v>
      </c>
      <c r="H2899" s="56" t="n">
        <v>0</v>
      </c>
      <c r="I2899" s="56" t="n">
        <v>14.2</v>
      </c>
      <c r="J2899" s="56" t="n">
        <v>0</v>
      </c>
      <c r="K2899" s="56" t="n">
        <v>1026</v>
      </c>
      <c r="L2899" s="56" t="n">
        <v>0</v>
      </c>
      <c r="M2899" s="56" t="n">
        <v>59</v>
      </c>
      <c r="N2899" s="56" t="n">
        <v>10.4</v>
      </c>
      <c r="O2899" s="56" t="n">
        <f aca="false">IF(D2899=1,"",E2898)</f>
        <v>19.1</v>
      </c>
      <c r="P2899" s="56" t="n">
        <f aca="false">IF(OR(D2899=1,K2898=""),"",K2898)</f>
        <v>1028.4</v>
      </c>
      <c r="Q2899" s="56" t="n">
        <f aca="false">IF(OR(F2899&lt;&gt;0,AND(I2899&lt;&gt;"",E2899&lt;I2899)),1,0)</f>
        <v>0</v>
      </c>
      <c r="R2899" s="56" t="n">
        <f aca="false">IF(AND(D2899&gt;1,Q2899=0,ISNUMBER(O2899),ISNUMBER(P2899)),IF(Q2898=0,1,0),0)</f>
        <v>1</v>
      </c>
      <c r="S2899" s="56" t="n">
        <f aca="false">R2899*(B2899&gt;=Train_Start)*(B2899&lt;=Train_End)</f>
        <v>1</v>
      </c>
      <c r="T2899" s="84" t="n">
        <f aca="false">IF(AND(ISNUMBER(O2899),ISNUMBER(P2899)),Coef_A+Coef_B1*O2899+Coef_B2*P2899,"")</f>
        <v>19.9971536507052</v>
      </c>
      <c r="U2899" s="84" t="n">
        <f aca="false">IF(AND(R2899=1,ISNUMBER(T2899)),E2899-T2899,"")</f>
        <v>1.40284634929484</v>
      </c>
      <c r="V2899" s="84" t="n">
        <f aca="false">IF(ISNUMBER(T2899),T2899,-99)</f>
        <v>19.9971536507052</v>
      </c>
      <c r="W2899" s="84" t="n">
        <f aca="false">IF(ISNUMBER(U2899),ABS(U2899),"")</f>
        <v>1.40284634929484</v>
      </c>
    </row>
    <row r="2900" customFormat="false" ht="15" hidden="false" customHeight="false" outlineLevel="0" collapsed="false">
      <c r="A2900" s="57" t="n">
        <v>35695</v>
      </c>
      <c r="B2900" s="56" t="n">
        <v>1997</v>
      </c>
      <c r="C2900" s="56" t="n">
        <v>9</v>
      </c>
      <c r="D2900" s="56" t="n">
        <v>145</v>
      </c>
      <c r="E2900" s="56" t="n">
        <v>21.2</v>
      </c>
      <c r="F2900" s="56" t="n">
        <v>0</v>
      </c>
      <c r="G2900" s="56" t="n">
        <v>8.6</v>
      </c>
      <c r="H2900" s="56" t="n">
        <v>0</v>
      </c>
      <c r="I2900" s="56" t="n">
        <v>15</v>
      </c>
      <c r="J2900" s="56" t="n">
        <v>0</v>
      </c>
      <c r="K2900" s="56" t="n">
        <v>1025.5</v>
      </c>
      <c r="L2900" s="56" t="n">
        <v>0</v>
      </c>
      <c r="M2900" s="56" t="n">
        <v>65</v>
      </c>
      <c r="N2900" s="56" t="n">
        <v>10.5</v>
      </c>
      <c r="O2900" s="56" t="n">
        <f aca="false">IF(D2900=1,"",E2899)</f>
        <v>21.4</v>
      </c>
      <c r="P2900" s="56" t="n">
        <f aca="false">IF(OR(D2900=1,K2899=""),"",K2899)</f>
        <v>1026</v>
      </c>
      <c r="Q2900" s="56" t="n">
        <f aca="false">IF(OR(F2900&lt;&gt;0,AND(I2900&lt;&gt;"",E2900&lt;I2900)),1,0)</f>
        <v>0</v>
      </c>
      <c r="R2900" s="56" t="n">
        <f aca="false">IF(AND(D2900&gt;1,Q2900=0,ISNUMBER(O2900),ISNUMBER(P2900)),IF(Q2899=0,1,0),0)</f>
        <v>1</v>
      </c>
      <c r="S2900" s="56" t="n">
        <f aca="false">R2900*(B2900&gt;=Train_Start)*(B2900&lt;=Train_End)</f>
        <v>1</v>
      </c>
      <c r="T2900" s="84" t="n">
        <f aca="false">IF(AND(ISNUMBER(O2900),ISNUMBER(P2900)),Coef_A+Coef_B1*O2900+Coef_B2*P2900,"")</f>
        <v>21.8063460475817</v>
      </c>
      <c r="U2900" s="84" t="n">
        <f aca="false">IF(AND(R2900=1,ISNUMBER(T2900)),E2900-T2900,"")</f>
        <v>-0.606346047581688</v>
      </c>
      <c r="V2900" s="84" t="n">
        <f aca="false">IF(ISNUMBER(T2900),T2900,-99)</f>
        <v>21.8063460475817</v>
      </c>
      <c r="W2900" s="84" t="n">
        <f aca="false">IF(ISNUMBER(U2900),ABS(U2900),"")</f>
        <v>0.606346047581688</v>
      </c>
    </row>
    <row r="2901" customFormat="false" ht="15" hidden="false" customHeight="false" outlineLevel="0" collapsed="false">
      <c r="A2901" s="57" t="n">
        <v>35696</v>
      </c>
      <c r="B2901" s="56" t="n">
        <v>1997</v>
      </c>
      <c r="C2901" s="56" t="n">
        <v>9</v>
      </c>
      <c r="D2901" s="56" t="n">
        <v>146</v>
      </c>
      <c r="E2901" s="56" t="n">
        <v>20.4</v>
      </c>
      <c r="F2901" s="56" t="n">
        <v>0</v>
      </c>
      <c r="G2901" s="56" t="n">
        <v>9.9</v>
      </c>
      <c r="H2901" s="56" t="n">
        <v>0</v>
      </c>
      <c r="I2901" s="56" t="n">
        <v>15.6</v>
      </c>
      <c r="J2901" s="56" t="n">
        <v>0</v>
      </c>
      <c r="K2901" s="56" t="n">
        <v>1026.9</v>
      </c>
      <c r="L2901" s="56" t="n">
        <v>0</v>
      </c>
      <c r="M2901" s="56" t="n">
        <v>70</v>
      </c>
      <c r="N2901" s="56" t="n">
        <v>10.4</v>
      </c>
      <c r="O2901" s="56" t="n">
        <f aca="false">IF(D2901=1,"",E2900)</f>
        <v>21.2</v>
      </c>
      <c r="P2901" s="56" t="n">
        <f aca="false">IF(OR(D2901=1,K2900=""),"",K2900)</f>
        <v>1025.5</v>
      </c>
      <c r="Q2901" s="56" t="n">
        <f aca="false">IF(OR(F2901&lt;&gt;0,AND(I2901&lt;&gt;"",E2901&lt;I2901)),1,0)</f>
        <v>0</v>
      </c>
      <c r="R2901" s="56" t="n">
        <f aca="false">IF(AND(D2901&gt;1,Q2901=0,ISNUMBER(O2901),ISNUMBER(P2901)),IF(Q2900=0,1,0),0)</f>
        <v>1</v>
      </c>
      <c r="S2901" s="56" t="n">
        <f aca="false">R2901*(B2901&gt;=Train_Start)*(B2901&lt;=Train_End)</f>
        <v>1</v>
      </c>
      <c r="T2901" s="84" t="n">
        <f aca="false">IF(AND(ISNUMBER(O2901),ISNUMBER(P2901)),Coef_A+Coef_B1*O2901+Coef_B2*P2901,"")</f>
        <v>21.6267932616562</v>
      </c>
      <c r="U2901" s="84" t="n">
        <f aca="false">IF(AND(R2901=1,ISNUMBER(T2901)),E2901-T2901,"")</f>
        <v>-1.22679326165616</v>
      </c>
      <c r="V2901" s="84" t="n">
        <f aca="false">IF(ISNUMBER(T2901),T2901,-99)</f>
        <v>21.6267932616562</v>
      </c>
      <c r="W2901" s="84" t="n">
        <f aca="false">IF(ISNUMBER(U2901),ABS(U2901),"")</f>
        <v>1.22679326165616</v>
      </c>
    </row>
    <row r="2902" customFormat="false" ht="15" hidden="false" customHeight="false" outlineLevel="0" collapsed="false">
      <c r="A2902" s="57" t="n">
        <v>35697</v>
      </c>
      <c r="B2902" s="56" t="n">
        <v>1997</v>
      </c>
      <c r="C2902" s="56" t="n">
        <v>9</v>
      </c>
      <c r="D2902" s="56" t="n">
        <v>147</v>
      </c>
      <c r="E2902" s="56" t="n">
        <v>19.8</v>
      </c>
      <c r="F2902" s="56" t="n">
        <v>0</v>
      </c>
      <c r="G2902" s="56" t="n">
        <v>10</v>
      </c>
      <c r="H2902" s="56" t="n">
        <v>0</v>
      </c>
      <c r="I2902" s="56" t="n">
        <v>15.2</v>
      </c>
      <c r="J2902" s="56" t="n">
        <v>0</v>
      </c>
      <c r="K2902" s="56" t="n">
        <v>1027.3</v>
      </c>
      <c r="L2902" s="56" t="n">
        <v>0</v>
      </c>
      <c r="M2902" s="56" t="n">
        <v>71</v>
      </c>
      <c r="N2902" s="56" t="n">
        <v>3</v>
      </c>
      <c r="O2902" s="56" t="n">
        <f aca="false">IF(D2902=1,"",E2901)</f>
        <v>20.4</v>
      </c>
      <c r="P2902" s="56" t="n">
        <f aca="false">IF(OR(D2902=1,K2901=""),"",K2901)</f>
        <v>1026.9</v>
      </c>
      <c r="Q2902" s="56" t="n">
        <f aca="false">IF(OR(F2902&lt;&gt;0,AND(I2902&lt;&gt;"",E2902&lt;I2902)),1,0)</f>
        <v>0</v>
      </c>
      <c r="R2902" s="56" t="n">
        <f aca="false">IF(AND(D2902&gt;1,Q2902=0,ISNUMBER(O2902),ISNUMBER(P2902)),IF(Q2901=0,1,0),0)</f>
        <v>1</v>
      </c>
      <c r="S2902" s="56" t="n">
        <f aca="false">R2902*(B2902&gt;=Train_Start)*(B2902&lt;=Train_End)</f>
        <v>1</v>
      </c>
      <c r="T2902" s="84" t="n">
        <f aca="false">IF(AND(ISNUMBER(O2902),ISNUMBER(P2902)),Coef_A+Coef_B1*O2902+Coef_B2*P2902,"")</f>
        <v>21.0152397597096</v>
      </c>
      <c r="U2902" s="84" t="n">
        <f aca="false">IF(AND(R2902=1,ISNUMBER(T2902)),E2902-T2902,"")</f>
        <v>-1.21523975970962</v>
      </c>
      <c r="V2902" s="84" t="n">
        <f aca="false">IF(ISNUMBER(T2902),T2902,-99)</f>
        <v>21.0152397597096</v>
      </c>
      <c r="W2902" s="84" t="n">
        <f aca="false">IF(ISNUMBER(U2902),ABS(U2902),"")</f>
        <v>1.21523975970962</v>
      </c>
    </row>
    <row r="2903" customFormat="false" ht="15" hidden="false" customHeight="false" outlineLevel="0" collapsed="false">
      <c r="A2903" s="57" t="n">
        <v>35698</v>
      </c>
      <c r="B2903" s="56" t="n">
        <v>1997</v>
      </c>
      <c r="C2903" s="56" t="n">
        <v>9</v>
      </c>
      <c r="D2903" s="56" t="n">
        <v>148</v>
      </c>
      <c r="E2903" s="56" t="n">
        <v>22.1</v>
      </c>
      <c r="F2903" s="56" t="n">
        <v>0</v>
      </c>
      <c r="G2903" s="56" t="n">
        <v>15.4</v>
      </c>
      <c r="H2903" s="56" t="n">
        <v>0</v>
      </c>
      <c r="I2903" s="56" t="n">
        <v>17.6</v>
      </c>
      <c r="J2903" s="56" t="n">
        <v>0</v>
      </c>
      <c r="K2903" s="56" t="n">
        <v>1027.3</v>
      </c>
      <c r="L2903" s="56" t="n">
        <v>0</v>
      </c>
      <c r="M2903" s="56" t="n">
        <v>68</v>
      </c>
      <c r="N2903" s="56" t="n">
        <v>2.1</v>
      </c>
      <c r="O2903" s="56" t="n">
        <f aca="false">IF(D2903=1,"",E2902)</f>
        <v>19.8</v>
      </c>
      <c r="P2903" s="56" t="n">
        <f aca="false">IF(OR(D2903=1,K2902=""),"",K2902)</f>
        <v>1027.3</v>
      </c>
      <c r="Q2903" s="56" t="n">
        <f aca="false">IF(OR(F2903&lt;&gt;0,AND(I2903&lt;&gt;"",E2903&lt;I2903)),1,0)</f>
        <v>0</v>
      </c>
      <c r="R2903" s="56" t="n">
        <f aca="false">IF(AND(D2903&gt;1,Q2903=0,ISNUMBER(O2903),ISNUMBER(P2903)),IF(Q2902=0,1,0),0)</f>
        <v>1</v>
      </c>
      <c r="S2903" s="56" t="n">
        <f aca="false">R2903*(B2903&gt;=Train_Start)*(B2903&lt;=Train_End)</f>
        <v>1</v>
      </c>
      <c r="T2903" s="84" t="n">
        <f aca="false">IF(AND(ISNUMBER(O2903),ISNUMBER(P2903)),Coef_A+Coef_B1*O2903+Coef_B2*P2903,"")</f>
        <v>20.5361842017376</v>
      </c>
      <c r="U2903" s="84" t="n">
        <f aca="false">IF(AND(R2903=1,ISNUMBER(T2903)),E2903-T2903,"")</f>
        <v>1.56381579826238</v>
      </c>
      <c r="V2903" s="84" t="n">
        <f aca="false">IF(ISNUMBER(T2903),T2903,-99)</f>
        <v>20.5361842017376</v>
      </c>
      <c r="W2903" s="84" t="n">
        <f aca="false">IF(ISNUMBER(U2903),ABS(U2903),"")</f>
        <v>1.56381579826238</v>
      </c>
    </row>
    <row r="2904" customFormat="false" ht="15" hidden="false" customHeight="false" outlineLevel="0" collapsed="false">
      <c r="A2904" s="57" t="n">
        <v>35699</v>
      </c>
      <c r="B2904" s="56" t="n">
        <v>1997</v>
      </c>
      <c r="C2904" s="56" t="n">
        <v>9</v>
      </c>
      <c r="D2904" s="56" t="n">
        <v>149</v>
      </c>
      <c r="E2904" s="56" t="n">
        <v>19.4</v>
      </c>
      <c r="F2904" s="56" t="n">
        <v>0</v>
      </c>
      <c r="G2904" s="56" t="n">
        <v>13.2</v>
      </c>
      <c r="H2904" s="56" t="n">
        <v>0</v>
      </c>
      <c r="I2904" s="56" t="n">
        <v>17.6</v>
      </c>
      <c r="J2904" s="56" t="n">
        <v>0</v>
      </c>
      <c r="K2904" s="56" t="n">
        <v>1025.7</v>
      </c>
      <c r="L2904" s="56" t="n">
        <v>0</v>
      </c>
      <c r="M2904" s="56" t="n">
        <v>75</v>
      </c>
      <c r="N2904" s="56" t="n">
        <v>6.6</v>
      </c>
      <c r="O2904" s="56" t="n">
        <f aca="false">IF(D2904=1,"",E2903)</f>
        <v>22.1</v>
      </c>
      <c r="P2904" s="56" t="n">
        <f aca="false">IF(OR(D2904=1,K2903=""),"",K2903)</f>
        <v>1027.3</v>
      </c>
      <c r="Q2904" s="56" t="n">
        <f aca="false">IF(OR(F2904&lt;&gt;0,AND(I2904&lt;&gt;"",E2904&lt;I2904)),1,0)</f>
        <v>0</v>
      </c>
      <c r="R2904" s="56" t="n">
        <f aca="false">IF(AND(D2904&gt;1,Q2904=0,ISNUMBER(O2904),ISNUMBER(P2904)),IF(Q2903=0,1,0),0)</f>
        <v>1</v>
      </c>
      <c r="S2904" s="56" t="n">
        <f aca="false">R2904*(B2904&gt;=Train_Start)*(B2904&lt;=Train_End)</f>
        <v>1</v>
      </c>
      <c r="T2904" s="84" t="n">
        <f aca="false">IF(AND(ISNUMBER(O2904),ISNUMBER(P2904)),Coef_A+Coef_B1*O2904+Coef_B2*P2904,"")</f>
        <v>22.4206643457357</v>
      </c>
      <c r="U2904" s="84" t="n">
        <f aca="false">IF(AND(R2904=1,ISNUMBER(T2904)),E2904-T2904,"")</f>
        <v>-3.02066434573573</v>
      </c>
      <c r="V2904" s="84" t="n">
        <f aca="false">IF(ISNUMBER(T2904),T2904,-99)</f>
        <v>22.4206643457357</v>
      </c>
      <c r="W2904" s="84" t="n">
        <f aca="false">IF(ISNUMBER(U2904),ABS(U2904),"")</f>
        <v>3.02066434573573</v>
      </c>
    </row>
    <row r="2905" customFormat="false" ht="15" hidden="false" customHeight="false" outlineLevel="0" collapsed="false">
      <c r="A2905" s="57" t="n">
        <v>35700</v>
      </c>
      <c r="B2905" s="56" t="n">
        <v>1997</v>
      </c>
      <c r="C2905" s="56" t="n">
        <v>9</v>
      </c>
      <c r="D2905" s="56" t="n">
        <v>150</v>
      </c>
      <c r="E2905" s="56" t="n">
        <v>19.9</v>
      </c>
      <c r="F2905" s="56" t="n">
        <v>0</v>
      </c>
      <c r="G2905" s="56" t="n">
        <v>13.6</v>
      </c>
      <c r="H2905" s="56" t="n">
        <v>0</v>
      </c>
      <c r="I2905" s="56" t="n">
        <v>16.5</v>
      </c>
      <c r="J2905" s="56" t="n">
        <v>0</v>
      </c>
      <c r="K2905" s="56" t="n">
        <v>1019.3</v>
      </c>
      <c r="L2905" s="56" t="n">
        <v>0</v>
      </c>
      <c r="M2905" s="56" t="n">
        <v>76</v>
      </c>
      <c r="N2905" s="56" t="n">
        <v>0.1</v>
      </c>
      <c r="O2905" s="56" t="n">
        <f aca="false">IF(D2905=1,"",E2904)</f>
        <v>19.4</v>
      </c>
      <c r="P2905" s="56" t="n">
        <f aca="false">IF(OR(D2905=1,K2904=""),"",K2904)</f>
        <v>1025.7</v>
      </c>
      <c r="Q2905" s="56" t="n">
        <f aca="false">IF(OR(F2905&lt;&gt;0,AND(I2905&lt;&gt;"",E2905&lt;I2905)),1,0)</f>
        <v>0</v>
      </c>
      <c r="R2905" s="56" t="n">
        <f aca="false">IF(AND(D2905&gt;1,Q2905=0,ISNUMBER(O2905),ISNUMBER(P2905)),IF(Q2904=0,1,0),0)</f>
        <v>1</v>
      </c>
      <c r="S2905" s="56" t="n">
        <f aca="false">R2905*(B2905&gt;=Train_Start)*(B2905&lt;=Train_End)</f>
        <v>1</v>
      </c>
      <c r="T2905" s="84" t="n">
        <f aca="false">IF(AND(ISNUMBER(O2905),ISNUMBER(P2905)),Coef_A+Coef_B1*O2905+Coef_B2*P2905,"")</f>
        <v>20.1582566931062</v>
      </c>
      <c r="U2905" s="84" t="n">
        <f aca="false">IF(AND(R2905=1,ISNUMBER(T2905)),E2905-T2905,"")</f>
        <v>-0.258256693106173</v>
      </c>
      <c r="V2905" s="84" t="n">
        <f aca="false">IF(ISNUMBER(T2905),T2905,-99)</f>
        <v>20.1582566931062</v>
      </c>
      <c r="W2905" s="84" t="n">
        <f aca="false">IF(ISNUMBER(U2905),ABS(U2905),"")</f>
        <v>0.258256693106173</v>
      </c>
    </row>
    <row r="2906" customFormat="false" ht="15" hidden="false" customHeight="false" outlineLevel="0" collapsed="false">
      <c r="A2906" s="57" t="n">
        <v>35701</v>
      </c>
      <c r="B2906" s="56" t="n">
        <v>1997</v>
      </c>
      <c r="C2906" s="56" t="n">
        <v>9</v>
      </c>
      <c r="D2906" s="56" t="n">
        <v>151</v>
      </c>
      <c r="E2906" s="56" t="n">
        <v>23.5</v>
      </c>
      <c r="F2906" s="56" t="n">
        <v>0</v>
      </c>
      <c r="G2906" s="56" t="n">
        <v>10.1</v>
      </c>
      <c r="H2906" s="56" t="n">
        <v>0</v>
      </c>
      <c r="I2906" s="56" t="n">
        <v>15</v>
      </c>
      <c r="J2906" s="56" t="n">
        <v>0</v>
      </c>
      <c r="K2906" s="56" t="n">
        <v>1017.1</v>
      </c>
      <c r="L2906" s="56" t="n">
        <v>0</v>
      </c>
      <c r="M2906" s="56" t="n">
        <v>78</v>
      </c>
      <c r="N2906" s="56" t="n">
        <v>2.8</v>
      </c>
      <c r="O2906" s="56" t="n">
        <f aca="false">IF(D2906=1,"",E2905)</f>
        <v>19.9</v>
      </c>
      <c r="P2906" s="56" t="n">
        <f aca="false">IF(OR(D2906=1,K2905=""),"",K2905)</f>
        <v>1019.3</v>
      </c>
      <c r="Q2906" s="56" t="n">
        <f aca="false">IF(OR(F2906&lt;&gt;0,AND(I2906&lt;&gt;"",E2906&lt;I2906)),1,0)</f>
        <v>0</v>
      </c>
      <c r="R2906" s="56" t="n">
        <f aca="false">IF(AND(D2906&gt;1,Q2906=0,ISNUMBER(O2906),ISNUMBER(P2906)),IF(Q2905=0,1,0),0)</f>
        <v>1</v>
      </c>
      <c r="S2906" s="56" t="n">
        <f aca="false">R2906*(B2906&gt;=Train_Start)*(B2906&lt;=Train_End)</f>
        <v>1</v>
      </c>
      <c r="T2906" s="84" t="n">
        <f aca="false">IF(AND(ISNUMBER(O2906),ISNUMBER(P2906)),Coef_A+Coef_B1*O2906+Coef_B2*P2906,"")</f>
        <v>20.36715896397</v>
      </c>
      <c r="U2906" s="84" t="n">
        <f aca="false">IF(AND(R2906=1,ISNUMBER(T2906)),E2906-T2906,"")</f>
        <v>3.13284103603003</v>
      </c>
      <c r="V2906" s="84" t="n">
        <f aca="false">IF(ISNUMBER(T2906),T2906,-99)</f>
        <v>20.36715896397</v>
      </c>
      <c r="W2906" s="84" t="n">
        <f aca="false">IF(ISNUMBER(U2906),ABS(U2906),"")</f>
        <v>3.13284103603003</v>
      </c>
    </row>
    <row r="2907" customFormat="false" ht="15" hidden="false" customHeight="false" outlineLevel="0" collapsed="false">
      <c r="A2907" s="57" t="n">
        <v>35702</v>
      </c>
      <c r="B2907" s="56" t="n">
        <v>1997</v>
      </c>
      <c r="C2907" s="56" t="n">
        <v>9</v>
      </c>
      <c r="D2907" s="56" t="n">
        <v>152</v>
      </c>
      <c r="E2907" s="56" t="n">
        <v>21.6</v>
      </c>
      <c r="F2907" s="56" t="n">
        <v>0</v>
      </c>
      <c r="G2907" s="56" t="n">
        <v>12.1</v>
      </c>
      <c r="H2907" s="56" t="n">
        <v>0</v>
      </c>
      <c r="I2907" s="56" t="n">
        <v>17.8</v>
      </c>
      <c r="J2907" s="56" t="n">
        <v>0</v>
      </c>
      <c r="K2907" s="56" t="n">
        <v>1020.7</v>
      </c>
      <c r="L2907" s="56" t="n">
        <v>0</v>
      </c>
      <c r="M2907" s="56" t="n">
        <v>74</v>
      </c>
      <c r="N2907" s="56" t="n">
        <v>3.7</v>
      </c>
      <c r="O2907" s="56" t="n">
        <f aca="false">IF(D2907=1,"",E2906)</f>
        <v>23.5</v>
      </c>
      <c r="P2907" s="56" t="n">
        <f aca="false">IF(OR(D2907=1,K2906=""),"",K2906)</f>
        <v>1017.1</v>
      </c>
      <c r="Q2907" s="56" t="n">
        <f aca="false">IF(OR(F2907&lt;&gt;0,AND(I2907&lt;&gt;"",E2907&lt;I2907)),1,0)</f>
        <v>0</v>
      </c>
      <c r="R2907" s="56" t="n">
        <f aca="false">IF(AND(D2907&gt;1,Q2907=0,ISNUMBER(O2907),ISNUMBER(P2907)),IF(Q2906=0,1,0),0)</f>
        <v>1</v>
      </c>
      <c r="S2907" s="56" t="n">
        <f aca="false">R2907*(B2907&gt;=Train_Start)*(B2907&lt;=Train_End)</f>
        <v>1</v>
      </c>
      <c r="T2907" s="84" t="n">
        <f aca="false">IF(AND(ISNUMBER(O2907),ISNUMBER(P2907)),Coef_A+Coef_B1*O2907+Coef_B2*P2907,"")</f>
        <v>23.2477662907288</v>
      </c>
      <c r="U2907" s="84" t="n">
        <f aca="false">IF(AND(R2907=1,ISNUMBER(T2907)),E2907-T2907,"")</f>
        <v>-1.64776629072876</v>
      </c>
      <c r="V2907" s="84" t="n">
        <f aca="false">IF(ISNUMBER(T2907),T2907,-99)</f>
        <v>23.2477662907288</v>
      </c>
      <c r="W2907" s="84" t="n">
        <f aca="false">IF(ISNUMBER(U2907),ABS(U2907),"")</f>
        <v>1.64776629072876</v>
      </c>
    </row>
    <row r="2908" customFormat="false" ht="15" hidden="false" customHeight="false" outlineLevel="0" collapsed="false">
      <c r="A2908" s="57" t="n">
        <v>35703</v>
      </c>
      <c r="B2908" s="56" t="n">
        <v>1997</v>
      </c>
      <c r="C2908" s="56" t="n">
        <v>9</v>
      </c>
      <c r="D2908" s="56" t="n">
        <v>153</v>
      </c>
      <c r="E2908" s="56" t="n">
        <v>25.5</v>
      </c>
      <c r="F2908" s="56" t="n">
        <v>0</v>
      </c>
      <c r="G2908" s="56" t="n">
        <v>15.2</v>
      </c>
      <c r="H2908" s="56" t="n">
        <v>0</v>
      </c>
      <c r="I2908" s="56" t="n">
        <v>18.4</v>
      </c>
      <c r="J2908" s="56" t="n">
        <v>0</v>
      </c>
      <c r="K2908" s="56" t="n">
        <v>1023.8</v>
      </c>
      <c r="L2908" s="56" t="n">
        <v>0</v>
      </c>
      <c r="M2908" s="56" t="n">
        <v>79</v>
      </c>
      <c r="N2908" s="56" t="n">
        <v>0.2</v>
      </c>
      <c r="O2908" s="56" t="n">
        <f aca="false">IF(D2908=1,"",E2907)</f>
        <v>21.6</v>
      </c>
      <c r="P2908" s="56" t="n">
        <f aca="false">IF(OR(D2908=1,K2907=""),"",K2907)</f>
        <v>1020.7</v>
      </c>
      <c r="Q2908" s="56" t="n">
        <f aca="false">IF(OR(F2908&lt;&gt;0,AND(I2908&lt;&gt;"",E2908&lt;I2908)),1,0)</f>
        <v>0</v>
      </c>
      <c r="R2908" s="56" t="n">
        <f aca="false">IF(AND(D2908&gt;1,Q2908=0,ISNUMBER(O2908),ISNUMBER(P2908)),IF(Q2907=0,1,0),0)</f>
        <v>1</v>
      </c>
      <c r="S2908" s="56" t="n">
        <f aca="false">R2908*(B2908&gt;=Train_Start)*(B2908&lt;=Train_End)</f>
        <v>1</v>
      </c>
      <c r="T2908" s="84" t="n">
        <f aca="false">IF(AND(ISNUMBER(O2908),ISNUMBER(P2908)),Coef_A+Coef_B1*O2908+Coef_B2*P2908,"")</f>
        <v>21.8039534446301</v>
      </c>
      <c r="U2908" s="84" t="n">
        <f aca="false">IF(AND(R2908=1,ISNUMBER(T2908)),E2908-T2908,"")</f>
        <v>3.69604655536992</v>
      </c>
      <c r="V2908" s="84" t="n">
        <f aca="false">IF(ISNUMBER(T2908),T2908,-99)</f>
        <v>21.8039534446301</v>
      </c>
      <c r="W2908" s="84" t="n">
        <f aca="false">IF(ISNUMBER(U2908),ABS(U2908),"")</f>
        <v>3.69604655536992</v>
      </c>
    </row>
    <row r="2909" customFormat="false" ht="15" hidden="false" customHeight="false" outlineLevel="0" collapsed="false">
      <c r="A2909" s="57" t="n">
        <v>35916</v>
      </c>
      <c r="B2909" s="56" t="n">
        <v>1998</v>
      </c>
      <c r="C2909" s="56" t="n">
        <v>5</v>
      </c>
      <c r="D2909" s="56" t="n">
        <v>1</v>
      </c>
      <c r="E2909" s="56" t="n">
        <v>15.7</v>
      </c>
      <c r="F2909" s="56" t="n">
        <v>0</v>
      </c>
      <c r="G2909" s="56" t="n">
        <v>8.1</v>
      </c>
      <c r="H2909" s="56" t="n">
        <v>0</v>
      </c>
      <c r="I2909" s="56" t="n">
        <v>9.2</v>
      </c>
      <c r="J2909" s="56" t="n">
        <v>0</v>
      </c>
      <c r="K2909" s="56" t="n">
        <v>1017.4</v>
      </c>
      <c r="L2909" s="56" t="n">
        <v>0</v>
      </c>
      <c r="M2909" s="56" t="n">
        <v>80</v>
      </c>
      <c r="N2909" s="56" t="n">
        <v>0</v>
      </c>
      <c r="O2909" s="56" t="str">
        <f aca="false">IF(D2909=1,"",E2908)</f>
        <v/>
      </c>
      <c r="P2909" s="56" t="str">
        <f aca="false">IF(OR(D2909=1,K2908=""),"",K2908)</f>
        <v/>
      </c>
      <c r="Q2909" s="56" t="n">
        <f aca="false">IF(OR(F2909&lt;&gt;0,AND(I2909&lt;&gt;"",E2909&lt;I2909)),1,0)</f>
        <v>0</v>
      </c>
      <c r="R2909" s="56" t="n">
        <f aca="false">IF(AND(D2909&gt;1,Q2909=0,ISNUMBER(O2909),ISNUMBER(P2909)),IF(Q2908=0,1,0),0)</f>
        <v>0</v>
      </c>
      <c r="S2909" s="56" t="n">
        <f aca="false">R2909*(B2909&gt;=Train_Start)*(B2909&lt;=Train_End)</f>
        <v>0</v>
      </c>
      <c r="T2909" s="84" t="str">
        <f aca="false">IF(AND(ISNUMBER(O2909),ISNUMBER(P2909)),Coef_A+Coef_B1*O2909+Coef_B2*P2909,"")</f>
        <v/>
      </c>
      <c r="U2909" s="84" t="str">
        <f aca="false">IF(AND(R2909=1,ISNUMBER(T2909)),E2909-T2909,"")</f>
        <v/>
      </c>
      <c r="V2909" s="84" t="n">
        <f aca="false">IF(ISNUMBER(T2909),T2909,-99)</f>
        <v>-99</v>
      </c>
      <c r="W2909" s="84" t="str">
        <f aca="false">IF(ISNUMBER(U2909),ABS(U2909),"")</f>
        <v/>
      </c>
    </row>
    <row r="2910" customFormat="false" ht="15" hidden="false" customHeight="false" outlineLevel="0" collapsed="false">
      <c r="A2910" s="57" t="n">
        <v>35917</v>
      </c>
      <c r="B2910" s="56" t="n">
        <v>1998</v>
      </c>
      <c r="C2910" s="56" t="n">
        <v>5</v>
      </c>
      <c r="D2910" s="56" t="n">
        <v>2</v>
      </c>
      <c r="E2910" s="56" t="n">
        <v>12.4</v>
      </c>
      <c r="F2910" s="56" t="n">
        <v>0</v>
      </c>
      <c r="G2910" s="56" t="n">
        <v>7.9</v>
      </c>
      <c r="H2910" s="56" t="n">
        <v>0</v>
      </c>
      <c r="I2910" s="56" t="n">
        <v>11.8</v>
      </c>
      <c r="J2910" s="56" t="n">
        <v>0</v>
      </c>
      <c r="K2910" s="56" t="n">
        <v>1017.6</v>
      </c>
      <c r="L2910" s="56" t="n">
        <v>0</v>
      </c>
      <c r="M2910" s="56" t="n">
        <v>68</v>
      </c>
      <c r="N2910" s="56" t="n">
        <v>10.1</v>
      </c>
      <c r="O2910" s="56" t="n">
        <f aca="false">IF(D2910=1,"",E2909)</f>
        <v>15.7</v>
      </c>
      <c r="P2910" s="56" t="n">
        <f aca="false">IF(OR(D2910=1,K2909=""),"",K2909)</f>
        <v>1017.4</v>
      </c>
      <c r="Q2910" s="56" t="n">
        <f aca="false">IF(OR(F2910&lt;&gt;0,AND(I2910&lt;&gt;"",E2910&lt;I2910)),1,0)</f>
        <v>0</v>
      </c>
      <c r="R2910" s="56" t="n">
        <f aca="false">IF(AND(D2910&gt;1,Q2910=0,ISNUMBER(O2910),ISNUMBER(P2910)),IF(Q2909=0,1,0),0)</f>
        <v>1</v>
      </c>
      <c r="S2910" s="56" t="n">
        <f aca="false">R2910*(B2910&gt;=Train_Start)*(B2910&lt;=Train_End)</f>
        <v>1</v>
      </c>
      <c r="T2910" s="84" t="n">
        <f aca="false">IF(AND(ISNUMBER(O2910),ISNUMBER(P2910)),Coef_A+Coef_B1*O2910+Coef_B2*P2910,"")</f>
        <v>16.8663315533862</v>
      </c>
      <c r="U2910" s="84" t="n">
        <f aca="false">IF(AND(R2910=1,ISNUMBER(T2910)),E2910-T2910,"")</f>
        <v>-4.46633155338623</v>
      </c>
      <c r="V2910" s="84" t="n">
        <f aca="false">IF(ISNUMBER(T2910),T2910,-99)</f>
        <v>16.8663315533862</v>
      </c>
      <c r="W2910" s="84" t="n">
        <f aca="false">IF(ISNUMBER(U2910),ABS(U2910),"")</f>
        <v>4.46633155338623</v>
      </c>
    </row>
    <row r="2911" customFormat="false" ht="15" hidden="false" customHeight="false" outlineLevel="0" collapsed="false">
      <c r="A2911" s="57" t="n">
        <v>35918</v>
      </c>
      <c r="B2911" s="56" t="n">
        <v>1998</v>
      </c>
      <c r="C2911" s="56" t="n">
        <v>5</v>
      </c>
      <c r="D2911" s="56" t="n">
        <v>3</v>
      </c>
      <c r="E2911" s="56" t="n">
        <v>16.7</v>
      </c>
      <c r="F2911" s="56" t="n">
        <v>0</v>
      </c>
      <c r="G2911" s="56" t="n">
        <v>7.7</v>
      </c>
      <c r="H2911" s="56" t="n">
        <v>0</v>
      </c>
      <c r="I2911" s="56" t="n">
        <v>10</v>
      </c>
      <c r="J2911" s="56" t="n">
        <v>0</v>
      </c>
      <c r="K2911" s="56" t="n">
        <v>1020.4</v>
      </c>
      <c r="L2911" s="56" t="n">
        <v>0</v>
      </c>
      <c r="M2911" s="56" t="n">
        <v>70</v>
      </c>
      <c r="N2911" s="56" t="n">
        <v>6.5</v>
      </c>
      <c r="O2911" s="56" t="n">
        <f aca="false">IF(D2911=1,"",E2910)</f>
        <v>12.4</v>
      </c>
      <c r="P2911" s="56" t="n">
        <f aca="false">IF(OR(D2911=1,K2910=""),"",K2910)</f>
        <v>1017.6</v>
      </c>
      <c r="Q2911" s="56" t="n">
        <f aca="false">IF(OR(F2911&lt;&gt;0,AND(I2911&lt;&gt;"",E2911&lt;I2911)),1,0)</f>
        <v>0</v>
      </c>
      <c r="R2911" s="56" t="n">
        <f aca="false">IF(AND(D2911&gt;1,Q2911=0,ISNUMBER(O2911),ISNUMBER(P2911)),IF(Q2910=0,1,0),0)</f>
        <v>1</v>
      </c>
      <c r="S2911" s="56" t="n">
        <f aca="false">R2911*(B2911&gt;=Train_Start)*(B2911&lt;=Train_End)</f>
        <v>1</v>
      </c>
      <c r="T2911" s="84" t="n">
        <f aca="false">IF(AND(ISNUMBER(O2911),ISNUMBER(P2911)),Coef_A+Coef_B1*O2911+Coef_B2*P2911,"")</f>
        <v>14.1687861952723</v>
      </c>
      <c r="U2911" s="84" t="n">
        <f aca="false">IF(AND(R2911=1,ISNUMBER(T2911)),E2911-T2911,"")</f>
        <v>2.53121380472774</v>
      </c>
      <c r="V2911" s="84" t="n">
        <f aca="false">IF(ISNUMBER(T2911),T2911,-99)</f>
        <v>14.1687861952723</v>
      </c>
      <c r="W2911" s="84" t="n">
        <f aca="false">IF(ISNUMBER(U2911),ABS(U2911),"")</f>
        <v>2.53121380472774</v>
      </c>
    </row>
    <row r="2912" customFormat="false" ht="15" hidden="false" customHeight="false" outlineLevel="0" collapsed="false">
      <c r="A2912" s="57" t="n">
        <v>35919</v>
      </c>
      <c r="B2912" s="56" t="n">
        <v>1998</v>
      </c>
      <c r="C2912" s="56" t="n">
        <v>5</v>
      </c>
      <c r="D2912" s="56" t="n">
        <v>4</v>
      </c>
      <c r="E2912" s="56" t="n">
        <v>14.3</v>
      </c>
      <c r="F2912" s="56" t="n">
        <v>0</v>
      </c>
      <c r="G2912" s="56" t="n">
        <v>2.3</v>
      </c>
      <c r="H2912" s="56" t="n">
        <v>0</v>
      </c>
      <c r="I2912" s="56" t="n">
        <v>9.5</v>
      </c>
      <c r="J2912" s="56" t="n">
        <v>0</v>
      </c>
      <c r="K2912" s="56" t="n">
        <v>1018.5</v>
      </c>
      <c r="L2912" s="56" t="n">
        <v>0</v>
      </c>
      <c r="M2912" s="56" t="n">
        <v>72</v>
      </c>
      <c r="N2912" s="56" t="n">
        <v>8.2</v>
      </c>
      <c r="O2912" s="56" t="n">
        <f aca="false">IF(D2912=1,"",E2911)</f>
        <v>16.7</v>
      </c>
      <c r="P2912" s="56" t="n">
        <f aca="false">IF(OR(D2912=1,K2911=""),"",K2911)</f>
        <v>1020.4</v>
      </c>
      <c r="Q2912" s="56" t="n">
        <f aca="false">IF(OR(F2912&lt;&gt;0,AND(I2912&lt;&gt;"",E2912&lt;I2912)),1,0)</f>
        <v>0</v>
      </c>
      <c r="R2912" s="56" t="n">
        <f aca="false">IF(AND(D2912&gt;1,Q2912=0,ISNUMBER(O2912),ISNUMBER(P2912)),IF(Q2911=0,1,0),0)</f>
        <v>1</v>
      </c>
      <c r="S2912" s="56" t="n">
        <f aca="false">R2912*(B2912&gt;=Train_Start)*(B2912&lt;=Train_End)</f>
        <v>1</v>
      </c>
      <c r="T2912" s="84" t="n">
        <f aca="false">IF(AND(ISNUMBER(O2912),ISNUMBER(P2912)),Coef_A+Coef_B1*O2912+Coef_B2*P2912,"")</f>
        <v>17.7797804303309</v>
      </c>
      <c r="U2912" s="84" t="n">
        <f aca="false">IF(AND(R2912=1,ISNUMBER(T2912)),E2912-T2912,"")</f>
        <v>-3.47978043033086</v>
      </c>
      <c r="V2912" s="84" t="n">
        <f aca="false">IF(ISNUMBER(T2912),T2912,-99)</f>
        <v>17.7797804303309</v>
      </c>
      <c r="W2912" s="84" t="n">
        <f aca="false">IF(ISNUMBER(U2912),ABS(U2912),"")</f>
        <v>3.47978043033086</v>
      </c>
    </row>
    <row r="2913" customFormat="false" ht="15" hidden="false" customHeight="false" outlineLevel="0" collapsed="false">
      <c r="A2913" s="57" t="n">
        <v>35920</v>
      </c>
      <c r="B2913" s="56" t="n">
        <v>1998</v>
      </c>
      <c r="C2913" s="56" t="n">
        <v>5</v>
      </c>
      <c r="D2913" s="56" t="n">
        <v>5</v>
      </c>
      <c r="E2913" s="56" t="n">
        <v>17.2</v>
      </c>
      <c r="F2913" s="56" t="n">
        <v>0</v>
      </c>
      <c r="G2913" s="56" t="n">
        <v>7.5</v>
      </c>
      <c r="H2913" s="56" t="n">
        <v>0</v>
      </c>
      <c r="I2913" s="56" t="n">
        <v>10.9</v>
      </c>
      <c r="J2913" s="56" t="n">
        <v>0</v>
      </c>
      <c r="K2913" s="56" t="n">
        <v>1010.8</v>
      </c>
      <c r="L2913" s="56" t="n">
        <v>0</v>
      </c>
      <c r="M2913" s="56" t="n">
        <v>75</v>
      </c>
      <c r="N2913" s="56" t="n">
        <v>1.2</v>
      </c>
      <c r="O2913" s="56" t="n">
        <f aca="false">IF(D2913=1,"",E2912)</f>
        <v>14.3</v>
      </c>
      <c r="P2913" s="56" t="n">
        <f aca="false">IF(OR(D2913=1,K2912=""),"",K2912)</f>
        <v>1018.5</v>
      </c>
      <c r="Q2913" s="56" t="n">
        <f aca="false">IF(OR(F2913&lt;&gt;0,AND(I2913&lt;&gt;"",E2913&lt;I2913)),1,0)</f>
        <v>0</v>
      </c>
      <c r="R2913" s="56" t="n">
        <f aca="false">IF(AND(D2913&gt;1,Q2913=0,ISNUMBER(O2913),ISNUMBER(P2913)),IF(Q2912=0,1,0),0)</f>
        <v>1</v>
      </c>
      <c r="S2913" s="56" t="n">
        <f aca="false">R2913*(B2913&gt;=Train_Start)*(B2913&lt;=Train_End)</f>
        <v>1</v>
      </c>
      <c r="T2913" s="84" t="n">
        <f aca="false">IF(AND(ISNUMBER(O2913),ISNUMBER(P2913)),Coef_A+Coef_B1*O2913+Coef_B2*P2913,"")</f>
        <v>15.7537635672239</v>
      </c>
      <c r="U2913" s="84" t="n">
        <f aca="false">IF(AND(R2913=1,ISNUMBER(T2913)),E2913-T2913,"")</f>
        <v>1.4462364327761</v>
      </c>
      <c r="V2913" s="84" t="n">
        <f aca="false">IF(ISNUMBER(T2913),T2913,-99)</f>
        <v>15.7537635672239</v>
      </c>
      <c r="W2913" s="84" t="n">
        <f aca="false">IF(ISNUMBER(U2913),ABS(U2913),"")</f>
        <v>1.4462364327761</v>
      </c>
    </row>
    <row r="2914" customFormat="false" ht="15" hidden="false" customHeight="false" outlineLevel="0" collapsed="false">
      <c r="A2914" s="57" t="n">
        <v>35921</v>
      </c>
      <c r="B2914" s="56" t="n">
        <v>1998</v>
      </c>
      <c r="C2914" s="56" t="n">
        <v>5</v>
      </c>
      <c r="D2914" s="56" t="n">
        <v>6</v>
      </c>
      <c r="E2914" s="56" t="n">
        <v>16.2</v>
      </c>
      <c r="F2914" s="56" t="n">
        <v>0</v>
      </c>
      <c r="G2914" s="56" t="n">
        <v>10.3</v>
      </c>
      <c r="H2914" s="56" t="n">
        <v>0</v>
      </c>
      <c r="I2914" s="56" t="n">
        <v>13.8</v>
      </c>
      <c r="J2914" s="56" t="n">
        <v>0</v>
      </c>
      <c r="K2914" s="56" t="n">
        <v>1005.2</v>
      </c>
      <c r="L2914" s="56" t="n">
        <v>0</v>
      </c>
      <c r="M2914" s="56" t="n">
        <v>74</v>
      </c>
      <c r="N2914" s="56" t="n">
        <v>3.9</v>
      </c>
      <c r="O2914" s="56" t="n">
        <f aca="false">IF(D2914=1,"",E2913)</f>
        <v>17.2</v>
      </c>
      <c r="P2914" s="56" t="n">
        <f aca="false">IF(OR(D2914=1,K2913=""),"",K2913)</f>
        <v>1010.8</v>
      </c>
      <c r="Q2914" s="56" t="n">
        <f aca="false">IF(OR(F2914&lt;&gt;0,AND(I2914&lt;&gt;"",E2914&lt;I2914)),1,0)</f>
        <v>0</v>
      </c>
      <c r="R2914" s="56" t="n">
        <f aca="false">IF(AND(D2914&gt;1,Q2914=0,ISNUMBER(O2914),ISNUMBER(P2914)),IF(Q2913=0,1,0),0)</f>
        <v>1</v>
      </c>
      <c r="S2914" s="56" t="n">
        <f aca="false">R2914*(B2914&gt;=Train_Start)*(B2914&lt;=Train_End)</f>
        <v>1</v>
      </c>
      <c r="T2914" s="84" t="n">
        <f aca="false">IF(AND(ISNUMBER(O2914),ISNUMBER(P2914)),Coef_A+Coef_B1*O2914+Coef_B2*P2914,"")</f>
        <v>17.8882990383659</v>
      </c>
      <c r="U2914" s="84" t="n">
        <f aca="false">IF(AND(R2914=1,ISNUMBER(T2914)),E2914-T2914,"")</f>
        <v>-1.68829903836588</v>
      </c>
      <c r="V2914" s="84" t="n">
        <f aca="false">IF(ISNUMBER(T2914),T2914,-99)</f>
        <v>17.8882990383659</v>
      </c>
      <c r="W2914" s="84" t="n">
        <f aca="false">IF(ISNUMBER(U2914),ABS(U2914),"")</f>
        <v>1.68829903836588</v>
      </c>
    </row>
    <row r="2915" customFormat="false" ht="15" hidden="false" customHeight="false" outlineLevel="0" collapsed="false">
      <c r="A2915" s="57" t="n">
        <v>35922</v>
      </c>
      <c r="B2915" s="56" t="n">
        <v>1998</v>
      </c>
      <c r="C2915" s="56" t="n">
        <v>5</v>
      </c>
      <c r="D2915" s="56" t="n">
        <v>7</v>
      </c>
      <c r="E2915" s="56" t="n">
        <v>22.6</v>
      </c>
      <c r="F2915" s="56" t="n">
        <v>0</v>
      </c>
      <c r="G2915" s="56" t="n">
        <v>11.8</v>
      </c>
      <c r="H2915" s="56" t="n">
        <v>0</v>
      </c>
      <c r="I2915" s="56" t="n">
        <v>14</v>
      </c>
      <c r="J2915" s="56" t="n">
        <v>0</v>
      </c>
      <c r="K2915" s="56" t="n">
        <v>1012.6</v>
      </c>
      <c r="L2915" s="56" t="n">
        <v>0</v>
      </c>
      <c r="M2915" s="56" t="n">
        <v>70</v>
      </c>
      <c r="N2915" s="56" t="n">
        <v>1.8</v>
      </c>
      <c r="O2915" s="56" t="n">
        <f aca="false">IF(D2915=1,"",E2914)</f>
        <v>16.2</v>
      </c>
      <c r="P2915" s="56" t="n">
        <f aca="false">IF(OR(D2915=1,K2914=""),"",K2914)</f>
        <v>1005.2</v>
      </c>
      <c r="Q2915" s="56" t="n">
        <f aca="false">IF(OR(F2915&lt;&gt;0,AND(I2915&lt;&gt;"",E2915&lt;I2915)),1,0)</f>
        <v>0</v>
      </c>
      <c r="R2915" s="56" t="n">
        <f aca="false">IF(AND(D2915&gt;1,Q2915=0,ISNUMBER(O2915),ISNUMBER(P2915)),IF(Q2914=0,1,0),0)</f>
        <v>1</v>
      </c>
      <c r="S2915" s="56" t="n">
        <f aca="false">R2915*(B2915&gt;=Train_Start)*(B2915&lt;=Train_End)</f>
        <v>1</v>
      </c>
      <c r="T2915" s="84" t="n">
        <f aca="false">IF(AND(ISNUMBER(O2915),ISNUMBER(P2915)),Coef_A+Coef_B1*O2915+Coef_B2*P2915,"")</f>
        <v>16.8932884353729</v>
      </c>
      <c r="U2915" s="84" t="n">
        <f aca="false">IF(AND(R2915=1,ISNUMBER(T2915)),E2915-T2915,"")</f>
        <v>5.70671156462711</v>
      </c>
      <c r="V2915" s="84" t="n">
        <f aca="false">IF(ISNUMBER(T2915),T2915,-99)</f>
        <v>16.8932884353729</v>
      </c>
      <c r="W2915" s="84" t="n">
        <f aca="false">IF(ISNUMBER(U2915),ABS(U2915),"")</f>
        <v>5.70671156462711</v>
      </c>
    </row>
    <row r="2916" customFormat="false" ht="15" hidden="false" customHeight="false" outlineLevel="0" collapsed="false">
      <c r="A2916" s="57" t="n">
        <v>35923</v>
      </c>
      <c r="B2916" s="56" t="n">
        <v>1998</v>
      </c>
      <c r="C2916" s="56" t="n">
        <v>5</v>
      </c>
      <c r="D2916" s="56" t="n">
        <v>8</v>
      </c>
      <c r="E2916" s="56" t="n">
        <v>22.6</v>
      </c>
      <c r="F2916" s="56" t="n">
        <v>0</v>
      </c>
      <c r="G2916" s="56" t="n">
        <v>8.5</v>
      </c>
      <c r="H2916" s="56" t="n">
        <v>0</v>
      </c>
      <c r="I2916" s="56" t="n">
        <v>15.6</v>
      </c>
      <c r="J2916" s="56" t="n">
        <v>0</v>
      </c>
      <c r="K2916" s="56" t="n">
        <v>1017.4</v>
      </c>
      <c r="L2916" s="56" t="n">
        <v>0</v>
      </c>
      <c r="M2916" s="56" t="n">
        <v>68</v>
      </c>
      <c r="N2916" s="56" t="n">
        <v>7.4</v>
      </c>
      <c r="O2916" s="56" t="n">
        <f aca="false">IF(D2916=1,"",E2915)</f>
        <v>22.6</v>
      </c>
      <c r="P2916" s="56" t="n">
        <f aca="false">IF(OR(D2916=1,K2915=""),"",K2915)</f>
        <v>1012.6</v>
      </c>
      <c r="Q2916" s="56" t="n">
        <f aca="false">IF(OR(F2916&lt;&gt;0,AND(I2916&lt;&gt;"",E2916&lt;I2916)),1,0)</f>
        <v>0</v>
      </c>
      <c r="R2916" s="56" t="n">
        <f aca="false">IF(AND(D2916&gt;1,Q2916=0,ISNUMBER(O2916),ISNUMBER(P2916)),IF(Q2915=0,1,0),0)</f>
        <v>1</v>
      </c>
      <c r="S2916" s="56" t="n">
        <f aca="false">R2916*(B2916&gt;=Train_Start)*(B2916&lt;=Train_End)</f>
        <v>1</v>
      </c>
      <c r="T2916" s="84" t="n">
        <f aca="false">IF(AND(ISNUMBER(O2916),ISNUMBER(P2916)),Coef_A+Coef_B1*O2916+Coef_B2*P2916,"")</f>
        <v>22.3691964911374</v>
      </c>
      <c r="U2916" s="84" t="n">
        <f aca="false">IF(AND(R2916=1,ISNUMBER(T2916)),E2916-T2916,"")</f>
        <v>0.230803508862582</v>
      </c>
      <c r="V2916" s="84" t="n">
        <f aca="false">IF(ISNUMBER(T2916),T2916,-99)</f>
        <v>22.3691964911374</v>
      </c>
      <c r="W2916" s="84" t="n">
        <f aca="false">IF(ISNUMBER(U2916),ABS(U2916),"")</f>
        <v>0.230803508862582</v>
      </c>
    </row>
    <row r="2917" customFormat="false" ht="15" hidden="false" customHeight="false" outlineLevel="0" collapsed="false">
      <c r="A2917" s="57" t="n">
        <v>35924</v>
      </c>
      <c r="B2917" s="56" t="n">
        <v>1998</v>
      </c>
      <c r="C2917" s="56" t="n">
        <v>5</v>
      </c>
      <c r="D2917" s="56" t="n">
        <v>9</v>
      </c>
      <c r="E2917" s="56" t="n">
        <v>23</v>
      </c>
      <c r="F2917" s="56" t="n">
        <v>0</v>
      </c>
      <c r="G2917" s="56" t="n">
        <v>13.5</v>
      </c>
      <c r="H2917" s="56" t="n">
        <v>0</v>
      </c>
      <c r="I2917" s="56" t="n">
        <v>18</v>
      </c>
      <c r="J2917" s="56" t="n">
        <v>0</v>
      </c>
      <c r="K2917" s="56" t="n">
        <v>1017.8</v>
      </c>
      <c r="L2917" s="56" t="n">
        <v>0</v>
      </c>
      <c r="M2917" s="56" t="n">
        <v>59</v>
      </c>
      <c r="N2917" s="56" t="n">
        <v>13.3</v>
      </c>
      <c r="O2917" s="56" t="n">
        <f aca="false">IF(D2917=1,"",E2916)</f>
        <v>22.6</v>
      </c>
      <c r="P2917" s="56" t="n">
        <f aca="false">IF(OR(D2917=1,K2916=""),"",K2916)</f>
        <v>1017.4</v>
      </c>
      <c r="Q2917" s="56" t="n">
        <f aca="false">IF(OR(F2917&lt;&gt;0,AND(I2917&lt;&gt;"",E2917&lt;I2917)),1,0)</f>
        <v>0</v>
      </c>
      <c r="R2917" s="56" t="n">
        <f aca="false">IF(AND(D2917&gt;1,Q2917=0,ISNUMBER(O2917),ISNUMBER(P2917)),IF(Q2916=0,1,0),0)</f>
        <v>1</v>
      </c>
      <c r="S2917" s="56" t="n">
        <f aca="false">R2917*(B2917&gt;=Train_Start)*(B2917&lt;=Train_End)</f>
        <v>1</v>
      </c>
      <c r="T2917" s="84" t="n">
        <f aca="false">IF(AND(ISNUMBER(O2917),ISNUMBER(P2917)),Coef_A+Coef_B1*O2917+Coef_B2*P2917,"")</f>
        <v>22.5197719853806</v>
      </c>
      <c r="U2917" s="84" t="n">
        <f aca="false">IF(AND(R2917=1,ISNUMBER(T2917)),E2917-T2917,"")</f>
        <v>0.480228014619431</v>
      </c>
      <c r="V2917" s="84" t="n">
        <f aca="false">IF(ISNUMBER(T2917),T2917,-99)</f>
        <v>22.5197719853806</v>
      </c>
      <c r="W2917" s="84" t="n">
        <f aca="false">IF(ISNUMBER(U2917),ABS(U2917),"")</f>
        <v>0.480228014619431</v>
      </c>
    </row>
    <row r="2918" customFormat="false" ht="15" hidden="false" customHeight="false" outlineLevel="0" collapsed="false">
      <c r="A2918" s="57" t="n">
        <v>35925</v>
      </c>
      <c r="B2918" s="56" t="n">
        <v>1998</v>
      </c>
      <c r="C2918" s="56" t="n">
        <v>5</v>
      </c>
      <c r="D2918" s="56" t="n">
        <v>10</v>
      </c>
      <c r="E2918" s="56" t="n">
        <v>23</v>
      </c>
      <c r="F2918" s="56" t="n">
        <v>0</v>
      </c>
      <c r="G2918" s="56" t="n">
        <v>12.4</v>
      </c>
      <c r="H2918" s="56" t="n">
        <v>0</v>
      </c>
      <c r="I2918" s="56" t="n">
        <v>17.7</v>
      </c>
      <c r="J2918" s="56" t="n">
        <v>0</v>
      </c>
      <c r="K2918" s="56" t="n">
        <v>1019.3</v>
      </c>
      <c r="L2918" s="56" t="n">
        <v>0</v>
      </c>
      <c r="M2918" s="56" t="n">
        <v>64</v>
      </c>
      <c r="N2918" s="56" t="n">
        <v>8.8</v>
      </c>
      <c r="O2918" s="56" t="n">
        <f aca="false">IF(D2918=1,"",E2917)</f>
        <v>23</v>
      </c>
      <c r="P2918" s="56" t="n">
        <f aca="false">IF(OR(D2918=1,K2917=""),"",K2917)</f>
        <v>1017.8</v>
      </c>
      <c r="Q2918" s="56" t="n">
        <f aca="false">IF(OR(F2918&lt;&gt;0,AND(I2918&lt;&gt;"",E2918&lt;I2918)),1,0)</f>
        <v>0</v>
      </c>
      <c r="R2918" s="56" t="n">
        <f aca="false">IF(AND(D2918&gt;1,Q2918=0,ISNUMBER(O2918),ISNUMBER(P2918)),IF(Q2917=0,1,0),0)</f>
        <v>1</v>
      </c>
      <c r="S2918" s="56" t="n">
        <f aca="false">R2918*(B2918&gt;=Train_Start)*(B2918&lt;=Train_End)</f>
        <v>1</v>
      </c>
      <c r="T2918" s="84" t="n">
        <f aca="false">IF(AND(ISNUMBER(O2918),ISNUMBER(P2918)),Coef_A+Coef_B1*O2918+Coef_B2*P2918,"")</f>
        <v>22.8600556204512</v>
      </c>
      <c r="U2918" s="84" t="n">
        <f aca="false">IF(AND(R2918=1,ISNUMBER(T2918)),E2918-T2918,"")</f>
        <v>0.139944379548773</v>
      </c>
      <c r="V2918" s="84" t="n">
        <f aca="false">IF(ISNUMBER(T2918),T2918,-99)</f>
        <v>22.8600556204512</v>
      </c>
      <c r="W2918" s="84" t="n">
        <f aca="false">IF(ISNUMBER(U2918),ABS(U2918),"")</f>
        <v>0.139944379548773</v>
      </c>
    </row>
    <row r="2919" customFormat="false" ht="15" hidden="false" customHeight="false" outlineLevel="0" collapsed="false">
      <c r="A2919" s="57" t="n">
        <v>35926</v>
      </c>
      <c r="B2919" s="56" t="n">
        <v>1998</v>
      </c>
      <c r="C2919" s="56" t="n">
        <v>5</v>
      </c>
      <c r="D2919" s="56" t="n">
        <v>11</v>
      </c>
      <c r="E2919" s="56" t="n">
        <v>22.1</v>
      </c>
      <c r="F2919" s="56" t="n">
        <v>0</v>
      </c>
      <c r="G2919" s="56" t="n">
        <v>10.7</v>
      </c>
      <c r="H2919" s="56" t="n">
        <v>0</v>
      </c>
      <c r="I2919" s="56" t="n">
        <v>16.8</v>
      </c>
      <c r="J2919" s="56" t="n">
        <v>0</v>
      </c>
      <c r="K2919" s="56" t="n">
        <v>1015.7</v>
      </c>
      <c r="L2919" s="56" t="n">
        <v>0</v>
      </c>
      <c r="M2919" s="56" t="n">
        <v>74</v>
      </c>
      <c r="N2919" s="56" t="n">
        <v>7.5</v>
      </c>
      <c r="O2919" s="56" t="n">
        <f aca="false">IF(D2919=1,"",E2918)</f>
        <v>23</v>
      </c>
      <c r="P2919" s="56" t="n">
        <f aca="false">IF(OR(D2919=1,K2918=""),"",K2918)</f>
        <v>1019.3</v>
      </c>
      <c r="Q2919" s="56" t="n">
        <f aca="false">IF(OR(F2919&lt;&gt;0,AND(I2919&lt;&gt;"",E2919&lt;I2919)),1,0)</f>
        <v>0</v>
      </c>
      <c r="R2919" s="56" t="n">
        <f aca="false">IF(AND(D2919&gt;1,Q2919=0,ISNUMBER(O2919),ISNUMBER(P2919)),IF(Q2918=0,1,0),0)</f>
        <v>1</v>
      </c>
      <c r="S2919" s="56" t="n">
        <f aca="false">R2919*(B2919&gt;=Train_Start)*(B2919&lt;=Train_End)</f>
        <v>1</v>
      </c>
      <c r="T2919" s="84" t="n">
        <f aca="false">IF(AND(ISNUMBER(O2919),ISNUMBER(P2919)),Coef_A+Coef_B1*O2919+Coef_B2*P2919,"")</f>
        <v>22.9071104624022</v>
      </c>
      <c r="U2919" s="84" t="n">
        <f aca="false">IF(AND(R2919=1,ISNUMBER(T2919)),E2919-T2919,"")</f>
        <v>-0.807110462402207</v>
      </c>
      <c r="V2919" s="84" t="n">
        <f aca="false">IF(ISNUMBER(T2919),T2919,-99)</f>
        <v>22.9071104624022</v>
      </c>
      <c r="W2919" s="84" t="n">
        <f aca="false">IF(ISNUMBER(U2919),ABS(U2919),"")</f>
        <v>0.807110462402207</v>
      </c>
    </row>
    <row r="2920" customFormat="false" ht="15" hidden="false" customHeight="false" outlineLevel="0" collapsed="false">
      <c r="A2920" s="57" t="n">
        <v>35927</v>
      </c>
      <c r="B2920" s="56" t="n">
        <v>1998</v>
      </c>
      <c r="C2920" s="56" t="n">
        <v>5</v>
      </c>
      <c r="D2920" s="56" t="n">
        <v>12</v>
      </c>
      <c r="E2920" s="56" t="n">
        <v>24.9</v>
      </c>
      <c r="F2920" s="56" t="n">
        <v>0</v>
      </c>
      <c r="G2920" s="56" t="n">
        <v>10.7</v>
      </c>
      <c r="H2920" s="56" t="n">
        <v>0</v>
      </c>
      <c r="I2920" s="56" t="n">
        <v>16.4</v>
      </c>
      <c r="J2920" s="56" t="n">
        <v>0</v>
      </c>
      <c r="K2920" s="56" t="n">
        <v>1018.7</v>
      </c>
      <c r="L2920" s="56" t="n">
        <v>0</v>
      </c>
      <c r="M2920" s="56" t="n">
        <v>80</v>
      </c>
      <c r="N2920" s="56" t="n">
        <v>7.9</v>
      </c>
      <c r="O2920" s="56" t="n">
        <f aca="false">IF(D2920=1,"",E2919)</f>
        <v>22.1</v>
      </c>
      <c r="P2920" s="56" t="n">
        <f aca="false">IF(OR(D2920=1,K2919=""),"",K2919)</f>
        <v>1015.7</v>
      </c>
      <c r="Q2920" s="56" t="n">
        <f aca="false">IF(OR(F2920&lt;&gt;0,AND(I2920&lt;&gt;"",E2920&lt;I2920)),1,0)</f>
        <v>0</v>
      </c>
      <c r="R2920" s="56" t="n">
        <f aca="false">IF(AND(D2920&gt;1,Q2920=0,ISNUMBER(O2920),ISNUMBER(P2920)),IF(Q2919=0,1,0),0)</f>
        <v>1</v>
      </c>
      <c r="S2920" s="56" t="n">
        <f aca="false">R2920*(B2920&gt;=Train_Start)*(B2920&lt;=Train_End)</f>
        <v>1</v>
      </c>
      <c r="T2920" s="84" t="n">
        <f aca="false">IF(AND(ISNUMBER(O2920),ISNUMBER(P2920)),Coef_A+Coef_B1*O2920+Coef_B2*P2920,"")</f>
        <v>22.0567735679815</v>
      </c>
      <c r="U2920" s="84" t="n">
        <f aca="false">IF(AND(R2920=1,ISNUMBER(T2920)),E2920-T2920,"")</f>
        <v>2.84322643201854</v>
      </c>
      <c r="V2920" s="84" t="n">
        <f aca="false">IF(ISNUMBER(T2920),T2920,-99)</f>
        <v>22.0567735679815</v>
      </c>
      <c r="W2920" s="84" t="n">
        <f aca="false">IF(ISNUMBER(U2920),ABS(U2920),"")</f>
        <v>2.84322643201854</v>
      </c>
    </row>
    <row r="2921" customFormat="false" ht="15" hidden="false" customHeight="false" outlineLevel="0" collapsed="false">
      <c r="A2921" s="57" t="n">
        <v>35928</v>
      </c>
      <c r="B2921" s="56" t="n">
        <v>1998</v>
      </c>
      <c r="C2921" s="56" t="n">
        <v>5</v>
      </c>
      <c r="D2921" s="56" t="n">
        <v>13</v>
      </c>
      <c r="E2921" s="56" t="n">
        <v>24.5</v>
      </c>
      <c r="F2921" s="56" t="n">
        <v>0</v>
      </c>
      <c r="G2921" s="56" t="n">
        <v>11</v>
      </c>
      <c r="H2921" s="56" t="n">
        <v>0</v>
      </c>
      <c r="I2921" s="56" t="n">
        <v>18</v>
      </c>
      <c r="J2921" s="56" t="n">
        <v>0</v>
      </c>
      <c r="K2921" s="56" t="n">
        <v>1020.6</v>
      </c>
      <c r="L2921" s="56" t="n">
        <v>0</v>
      </c>
      <c r="M2921" s="56" t="n">
        <v>76</v>
      </c>
      <c r="N2921" s="56" t="n">
        <v>9.2</v>
      </c>
      <c r="O2921" s="56" t="n">
        <f aca="false">IF(D2921=1,"",E2920)</f>
        <v>24.9</v>
      </c>
      <c r="P2921" s="56" t="n">
        <f aca="false">IF(OR(D2921=1,K2920=""),"",K2920)</f>
        <v>1018.7</v>
      </c>
      <c r="Q2921" s="56" t="n">
        <f aca="false">IF(OR(F2921&lt;&gt;0,AND(I2921&lt;&gt;"",E2921&lt;I2921)),1,0)</f>
        <v>0</v>
      </c>
      <c r="R2921" s="56" t="n">
        <f aca="false">IF(AND(D2921&gt;1,Q2921=0,ISNUMBER(O2921),ISNUMBER(P2921)),IF(Q2920=0,1,0),0)</f>
        <v>1</v>
      </c>
      <c r="S2921" s="56" t="n">
        <f aca="false">R2921*(B2921&gt;=Train_Start)*(B2921&lt;=Train_End)</f>
        <v>1</v>
      </c>
      <c r="T2921" s="84" t="n">
        <f aca="false">IF(AND(ISNUMBER(O2921),ISNUMBER(P2921)),Coef_A+Coef_B1*O2921+Coef_B2*P2921,"")</f>
        <v>24.4450329924029</v>
      </c>
      <c r="U2921" s="84" t="n">
        <f aca="false">IF(AND(R2921=1,ISNUMBER(T2921)),E2921-T2921,"")</f>
        <v>0.0549670075971314</v>
      </c>
      <c r="V2921" s="84" t="n">
        <f aca="false">IF(ISNUMBER(T2921),T2921,-99)</f>
        <v>24.4450329924029</v>
      </c>
      <c r="W2921" s="84" t="n">
        <f aca="false">IF(ISNUMBER(U2921),ABS(U2921),"")</f>
        <v>0.0549670075971314</v>
      </c>
    </row>
    <row r="2922" customFormat="false" ht="15" hidden="false" customHeight="false" outlineLevel="0" collapsed="false">
      <c r="A2922" s="57" t="n">
        <v>35929</v>
      </c>
      <c r="B2922" s="56" t="n">
        <v>1998</v>
      </c>
      <c r="C2922" s="56" t="n">
        <v>5</v>
      </c>
      <c r="D2922" s="56" t="n">
        <v>14</v>
      </c>
      <c r="E2922" s="56" t="n">
        <v>25.7</v>
      </c>
      <c r="F2922" s="56" t="n">
        <v>0</v>
      </c>
      <c r="G2922" s="56" t="n">
        <v>14.5</v>
      </c>
      <c r="H2922" s="56" t="n">
        <v>0</v>
      </c>
      <c r="I2922" s="56" t="n">
        <v>19.5</v>
      </c>
      <c r="J2922" s="56" t="n">
        <v>0</v>
      </c>
      <c r="K2922" s="56" t="n">
        <v>1020.7</v>
      </c>
      <c r="L2922" s="56" t="n">
        <v>0</v>
      </c>
      <c r="M2922" s="56" t="n">
        <v>79</v>
      </c>
      <c r="N2922" s="56" t="n">
        <v>1.4</v>
      </c>
      <c r="O2922" s="56" t="n">
        <f aca="false">IF(D2922=1,"",E2921)</f>
        <v>24.5</v>
      </c>
      <c r="P2922" s="56" t="n">
        <f aca="false">IF(OR(D2922=1,K2921=""),"",K2921)</f>
        <v>1020.6</v>
      </c>
      <c r="Q2922" s="56" t="n">
        <f aca="false">IF(OR(F2922&lt;&gt;0,AND(I2922&lt;&gt;"",E2922&lt;I2922)),1,0)</f>
        <v>0</v>
      </c>
      <c r="R2922" s="56" t="n">
        <f aca="false">IF(AND(D2922&gt;1,Q2922=0,ISNUMBER(O2922),ISNUMBER(P2922)),IF(Q2921=0,1,0),0)</f>
        <v>1</v>
      </c>
      <c r="S2922" s="56" t="n">
        <f aca="false">R2922*(B2922&gt;=Train_Start)*(B2922&lt;=Train_End)</f>
        <v>1</v>
      </c>
      <c r="T2922" s="84" t="n">
        <f aca="false">IF(AND(ISNUMBER(O2922),ISNUMBER(P2922)),Coef_A+Coef_B1*O2922+Coef_B2*P2922,"")</f>
        <v>24.1769001149904</v>
      </c>
      <c r="U2922" s="84" t="n">
        <f aca="false">IF(AND(R2922=1,ISNUMBER(T2922)),E2922-T2922,"")</f>
        <v>1.52309988500961</v>
      </c>
      <c r="V2922" s="84" t="n">
        <f aca="false">IF(ISNUMBER(T2922),T2922,-99)</f>
        <v>24.1769001149904</v>
      </c>
      <c r="W2922" s="84" t="n">
        <f aca="false">IF(ISNUMBER(U2922),ABS(U2922),"")</f>
        <v>1.52309988500961</v>
      </c>
    </row>
    <row r="2923" customFormat="false" ht="15" hidden="false" customHeight="false" outlineLevel="0" collapsed="false">
      <c r="A2923" s="57" t="n">
        <v>35930</v>
      </c>
      <c r="B2923" s="56" t="n">
        <v>1998</v>
      </c>
      <c r="C2923" s="56" t="n">
        <v>5</v>
      </c>
      <c r="D2923" s="56" t="n">
        <v>15</v>
      </c>
      <c r="E2923" s="56" t="n">
        <v>24.2</v>
      </c>
      <c r="F2923" s="56" t="n">
        <v>0</v>
      </c>
      <c r="G2923" s="56" t="n">
        <v>11.8</v>
      </c>
      <c r="H2923" s="56" t="n">
        <v>0</v>
      </c>
      <c r="I2923" s="56" t="n">
        <v>18.8</v>
      </c>
      <c r="J2923" s="56" t="n">
        <v>0</v>
      </c>
      <c r="K2923" s="56" t="n">
        <v>1021.6</v>
      </c>
      <c r="L2923" s="56" t="n">
        <v>0</v>
      </c>
      <c r="M2923" s="56" t="n">
        <v>61</v>
      </c>
      <c r="N2923" s="56" t="n">
        <v>13.5</v>
      </c>
      <c r="O2923" s="56" t="n">
        <f aca="false">IF(D2923=1,"",E2922)</f>
        <v>25.7</v>
      </c>
      <c r="P2923" s="56" t="n">
        <f aca="false">IF(OR(D2923=1,K2922=""),"",K2922)</f>
        <v>1020.7</v>
      </c>
      <c r="Q2923" s="56" t="n">
        <f aca="false">IF(OR(F2923&lt;&gt;0,AND(I2923&lt;&gt;"",E2923&lt;I2923)),1,0)</f>
        <v>0</v>
      </c>
      <c r="R2923" s="56" t="n">
        <f aca="false">IF(AND(D2923&gt;1,Q2923=0,ISNUMBER(O2923),ISNUMBER(P2923)),IF(Q2922=0,1,0),0)</f>
        <v>1</v>
      </c>
      <c r="S2923" s="56" t="n">
        <f aca="false">R2923*(B2923&gt;=Train_Start)*(B2923&lt;=Train_End)</f>
        <v>1</v>
      </c>
      <c r="T2923" s="84" t="n">
        <f aca="false">IF(AND(ISNUMBER(O2923),ISNUMBER(P2923)),Coef_A+Coef_B1*O2923+Coef_B2*P2923,"")</f>
        <v>25.163244136105</v>
      </c>
      <c r="U2923" s="84" t="n">
        <f aca="false">IF(AND(R2923=1,ISNUMBER(T2923)),E2923-T2923,"")</f>
        <v>-0.963244136104976</v>
      </c>
      <c r="V2923" s="84" t="n">
        <f aca="false">IF(ISNUMBER(T2923),T2923,-99)</f>
        <v>25.163244136105</v>
      </c>
      <c r="W2923" s="84" t="n">
        <f aca="false">IF(ISNUMBER(U2923),ABS(U2923),"")</f>
        <v>0.963244136104976</v>
      </c>
    </row>
    <row r="2924" customFormat="false" ht="15" hidden="false" customHeight="false" outlineLevel="0" collapsed="false">
      <c r="A2924" s="57" t="n">
        <v>35931</v>
      </c>
      <c r="B2924" s="56" t="n">
        <v>1998</v>
      </c>
      <c r="C2924" s="56" t="n">
        <v>5</v>
      </c>
      <c r="D2924" s="56" t="n">
        <v>16</v>
      </c>
      <c r="E2924" s="56" t="n">
        <v>21.6</v>
      </c>
      <c r="F2924" s="56" t="n">
        <v>0</v>
      </c>
      <c r="G2924" s="56" t="n">
        <v>10.7</v>
      </c>
      <c r="H2924" s="56" t="n">
        <v>0</v>
      </c>
      <c r="I2924" s="56" t="n">
        <v>17.4</v>
      </c>
      <c r="J2924" s="56" t="n">
        <v>0</v>
      </c>
      <c r="K2924" s="56" t="n">
        <v>1023</v>
      </c>
      <c r="L2924" s="56" t="n">
        <v>0</v>
      </c>
      <c r="M2924" s="56" t="n">
        <v>57</v>
      </c>
      <c r="N2924" s="56" t="n">
        <v>14.4</v>
      </c>
      <c r="O2924" s="56" t="n">
        <f aca="false">IF(D2924=1,"",E2923)</f>
        <v>24.2</v>
      </c>
      <c r="P2924" s="56" t="n">
        <f aca="false">IF(OR(D2924=1,K2923=""),"",K2923)</f>
        <v>1021.6</v>
      </c>
      <c r="Q2924" s="56" t="n">
        <f aca="false">IF(OR(F2924&lt;&gt;0,AND(I2924&lt;&gt;"",E2924&lt;I2924)),1,0)</f>
        <v>0</v>
      </c>
      <c r="R2924" s="56" t="n">
        <f aca="false">IF(AND(D2924&gt;1,Q2924=0,ISNUMBER(O2924),ISNUMBER(P2924)),IF(Q2923=0,1,0),0)</f>
        <v>1</v>
      </c>
      <c r="S2924" s="56" t="n">
        <f aca="false">R2924*(B2924&gt;=Train_Start)*(B2924&lt;=Train_End)</f>
        <v>1</v>
      </c>
      <c r="T2924" s="84" t="n">
        <f aca="false">IF(AND(ISNUMBER(O2924),ISNUMBER(P2924)),Coef_A+Coef_B1*O2924+Coef_B2*P2924,"")</f>
        <v>23.9624682517116</v>
      </c>
      <c r="U2924" s="84" t="n">
        <f aca="false">IF(AND(R2924=1,ISNUMBER(T2924)),E2924-T2924,"")</f>
        <v>-2.36246825171158</v>
      </c>
      <c r="V2924" s="84" t="n">
        <f aca="false">IF(ISNUMBER(T2924),T2924,-99)</f>
        <v>23.9624682517116</v>
      </c>
      <c r="W2924" s="84" t="n">
        <f aca="false">IF(ISNUMBER(U2924),ABS(U2924),"")</f>
        <v>2.36246825171158</v>
      </c>
    </row>
    <row r="2925" customFormat="false" ht="15" hidden="false" customHeight="false" outlineLevel="0" collapsed="false">
      <c r="A2925" s="57" t="n">
        <v>35932</v>
      </c>
      <c r="B2925" s="56" t="n">
        <v>1998</v>
      </c>
      <c r="C2925" s="56" t="n">
        <v>5</v>
      </c>
      <c r="D2925" s="56" t="n">
        <v>17</v>
      </c>
      <c r="E2925" s="56" t="n">
        <v>23.1</v>
      </c>
      <c r="F2925" s="56" t="n">
        <v>0</v>
      </c>
      <c r="G2925" s="56" t="n">
        <v>9.4</v>
      </c>
      <c r="H2925" s="56" t="n">
        <v>0</v>
      </c>
      <c r="I2925" s="56" t="n">
        <v>15.5</v>
      </c>
      <c r="J2925" s="56" t="n">
        <v>0</v>
      </c>
      <c r="K2925" s="56" t="n">
        <v>1025.9</v>
      </c>
      <c r="L2925" s="56" t="n">
        <v>0</v>
      </c>
      <c r="M2925" s="56" t="n">
        <v>56</v>
      </c>
      <c r="N2925" s="56" t="n">
        <v>14.4</v>
      </c>
      <c r="O2925" s="56" t="n">
        <f aca="false">IF(D2925=1,"",E2924)</f>
        <v>21.6</v>
      </c>
      <c r="P2925" s="56" t="n">
        <f aca="false">IF(OR(D2925=1,K2924=""),"",K2924)</f>
        <v>1023</v>
      </c>
      <c r="Q2925" s="56" t="n">
        <f aca="false">IF(OR(F2925&lt;&gt;0,AND(I2925&lt;&gt;"",E2925&lt;I2925)),1,0)</f>
        <v>0</v>
      </c>
      <c r="R2925" s="56" t="n">
        <f aca="false">IF(AND(D2925&gt;1,Q2925=0,ISNUMBER(O2925),ISNUMBER(P2925)),IF(Q2924=0,1,0),0)</f>
        <v>1</v>
      </c>
      <c r="S2925" s="56" t="n">
        <f aca="false">R2925*(B2925&gt;=Train_Start)*(B2925&lt;=Train_End)</f>
        <v>1</v>
      </c>
      <c r="T2925" s="84" t="n">
        <f aca="false">IF(AND(ISNUMBER(O2925),ISNUMBER(P2925)),Coef_A+Coef_B1*O2925+Coef_B2*P2925,"")</f>
        <v>21.8761042022883</v>
      </c>
      <c r="U2925" s="84" t="n">
        <f aca="false">IF(AND(R2925=1,ISNUMBER(T2925)),E2925-T2925,"")</f>
        <v>1.22389579771175</v>
      </c>
      <c r="V2925" s="84" t="n">
        <f aca="false">IF(ISNUMBER(T2925),T2925,-99)</f>
        <v>21.8761042022883</v>
      </c>
      <c r="W2925" s="84" t="n">
        <f aca="false">IF(ISNUMBER(U2925),ABS(U2925),"")</f>
        <v>1.22389579771175</v>
      </c>
    </row>
    <row r="2926" customFormat="false" ht="15" hidden="false" customHeight="false" outlineLevel="0" collapsed="false">
      <c r="A2926" s="57" t="n">
        <v>35933</v>
      </c>
      <c r="B2926" s="56" t="n">
        <v>1998</v>
      </c>
      <c r="C2926" s="56" t="n">
        <v>5</v>
      </c>
      <c r="D2926" s="56" t="n">
        <v>18</v>
      </c>
      <c r="E2926" s="56" t="n">
        <v>23.8</v>
      </c>
      <c r="F2926" s="56" t="n">
        <v>0</v>
      </c>
      <c r="G2926" s="56" t="n">
        <v>8.6</v>
      </c>
      <c r="H2926" s="56" t="n">
        <v>0</v>
      </c>
      <c r="I2926" s="56" t="n">
        <v>15.8</v>
      </c>
      <c r="J2926" s="56" t="n">
        <v>0</v>
      </c>
      <c r="K2926" s="56" t="n">
        <v>1028</v>
      </c>
      <c r="L2926" s="56" t="n">
        <v>0</v>
      </c>
      <c r="M2926" s="56" t="n">
        <v>55</v>
      </c>
      <c r="N2926" s="56" t="n">
        <v>10.7</v>
      </c>
      <c r="O2926" s="56" t="n">
        <f aca="false">IF(D2926=1,"",E2925)</f>
        <v>23.1</v>
      </c>
      <c r="P2926" s="56" t="n">
        <f aca="false">IF(OR(D2926=1,K2925=""),"",K2925)</f>
        <v>1025.9</v>
      </c>
      <c r="Q2926" s="56" t="n">
        <f aca="false">IF(OR(F2926&lt;&gt;0,AND(I2926&lt;&gt;"",E2926&lt;I2926)),1,0)</f>
        <v>0</v>
      </c>
      <c r="R2926" s="56" t="n">
        <f aca="false">IF(AND(D2926&gt;1,Q2926=0,ISNUMBER(O2926),ISNUMBER(P2926)),IF(Q2925=0,1,0),0)</f>
        <v>1</v>
      </c>
      <c r="S2926" s="56" t="n">
        <f aca="false">R2926*(B2926&gt;=Train_Start)*(B2926&lt;=Train_End)</f>
        <v>1</v>
      </c>
      <c r="T2926" s="84" t="n">
        <f aca="false">IF(AND(ISNUMBER(O2926),ISNUMBER(P2926)),Coef_A+Coef_B1*O2926+Coef_B2*P2926,"")</f>
        <v>23.1960856862908</v>
      </c>
      <c r="U2926" s="84" t="n">
        <f aca="false">IF(AND(R2926=1,ISNUMBER(T2926)),E2926-T2926,"")</f>
        <v>0.603914313709193</v>
      </c>
      <c r="V2926" s="84" t="n">
        <f aca="false">IF(ISNUMBER(T2926),T2926,-99)</f>
        <v>23.1960856862908</v>
      </c>
      <c r="W2926" s="84" t="n">
        <f aca="false">IF(ISNUMBER(U2926),ABS(U2926),"")</f>
        <v>0.603914313709193</v>
      </c>
    </row>
    <row r="2927" customFormat="false" ht="15" hidden="false" customHeight="false" outlineLevel="0" collapsed="false">
      <c r="A2927" s="57" t="n">
        <v>35934</v>
      </c>
      <c r="B2927" s="56" t="n">
        <v>1998</v>
      </c>
      <c r="C2927" s="56" t="n">
        <v>5</v>
      </c>
      <c r="D2927" s="56" t="n">
        <v>19</v>
      </c>
      <c r="E2927" s="56" t="n">
        <v>24.5</v>
      </c>
      <c r="F2927" s="56" t="n">
        <v>0</v>
      </c>
      <c r="G2927" s="56" t="n">
        <v>10.5</v>
      </c>
      <c r="H2927" s="56" t="n">
        <v>0</v>
      </c>
      <c r="I2927" s="56" t="n">
        <v>17.2</v>
      </c>
      <c r="J2927" s="56" t="n">
        <v>0</v>
      </c>
      <c r="K2927" s="56" t="n">
        <v>1028</v>
      </c>
      <c r="L2927" s="56" t="n">
        <v>0</v>
      </c>
      <c r="M2927" s="56" t="n">
        <v>48</v>
      </c>
      <c r="N2927" s="56" t="n">
        <v>14.1</v>
      </c>
      <c r="O2927" s="56" t="n">
        <f aca="false">IF(D2927=1,"",E2926)</f>
        <v>23.8</v>
      </c>
      <c r="P2927" s="56" t="n">
        <f aca="false">IF(OR(D2927=1,K2926=""),"",K2926)</f>
        <v>1028</v>
      </c>
      <c r="Q2927" s="56" t="n">
        <f aca="false">IF(OR(F2927&lt;&gt;0,AND(I2927&lt;&gt;"",E2927&lt;I2927)),1,0)</f>
        <v>0</v>
      </c>
      <c r="R2927" s="56" t="n">
        <f aca="false">IF(AND(D2927&gt;1,Q2927=0,ISNUMBER(O2927),ISNUMBER(P2927)),IF(Q2926=0,1,0),0)</f>
        <v>1</v>
      </c>
      <c r="S2927" s="56" t="n">
        <f aca="false">R2927*(B2927&gt;=Train_Start)*(B2927&lt;=Train_End)</f>
        <v>1</v>
      </c>
      <c r="T2927" s="84" t="n">
        <f aca="false">IF(AND(ISNUMBER(O2927),ISNUMBER(P2927)),Coef_A+Coef_B1*O2927+Coef_B2*P2927,"")</f>
        <v>23.835499900152</v>
      </c>
      <c r="U2927" s="84" t="n">
        <f aca="false">IF(AND(R2927=1,ISNUMBER(T2927)),E2927-T2927,"")</f>
        <v>0.664500099847956</v>
      </c>
      <c r="V2927" s="84" t="n">
        <f aca="false">IF(ISNUMBER(T2927),T2927,-99)</f>
        <v>23.835499900152</v>
      </c>
      <c r="W2927" s="84" t="n">
        <f aca="false">IF(ISNUMBER(U2927),ABS(U2927),"")</f>
        <v>0.664500099847956</v>
      </c>
    </row>
    <row r="2928" customFormat="false" ht="15" hidden="false" customHeight="false" outlineLevel="0" collapsed="false">
      <c r="A2928" s="57" t="n">
        <v>35935</v>
      </c>
      <c r="B2928" s="56" t="n">
        <v>1998</v>
      </c>
      <c r="C2928" s="56" t="n">
        <v>5</v>
      </c>
      <c r="D2928" s="56" t="n">
        <v>20</v>
      </c>
      <c r="E2928" s="56" t="n">
        <v>18</v>
      </c>
      <c r="F2928" s="56" t="n">
        <v>1</v>
      </c>
      <c r="G2928" s="56" t="n">
        <v>11.9</v>
      </c>
      <c r="H2928" s="56" t="n">
        <v>0</v>
      </c>
      <c r="I2928" s="56" t="n">
        <v>18.2</v>
      </c>
      <c r="J2928" s="56" t="n">
        <v>1</v>
      </c>
      <c r="K2928" s="56" t="n">
        <v>1024</v>
      </c>
      <c r="L2928" s="56" t="n">
        <v>0</v>
      </c>
      <c r="M2928" s="56" t="n">
        <v>57</v>
      </c>
      <c r="N2928" s="56" t="n">
        <v>13.4</v>
      </c>
      <c r="O2928" s="56" t="n">
        <f aca="false">IF(D2928=1,"",E2927)</f>
        <v>24.5</v>
      </c>
      <c r="P2928" s="56" t="n">
        <f aca="false">IF(OR(D2928=1,K2927=""),"",K2927)</f>
        <v>1028</v>
      </c>
      <c r="Q2928" s="56" t="n">
        <f aca="false">IF(OR(F2928&lt;&gt;0,AND(I2928&lt;&gt;"",E2928&lt;I2928)),1,0)</f>
        <v>1</v>
      </c>
      <c r="R2928" s="56" t="n">
        <f aca="false">IF(AND(D2928&gt;1,Q2928=0,ISNUMBER(O2928),ISNUMBER(P2928)),IF(Q2927=0,1,0),0)</f>
        <v>0</v>
      </c>
      <c r="S2928" s="56" t="n">
        <f aca="false">R2928*(B2928&gt;=Train_Start)*(B2928&lt;=Train_End)</f>
        <v>0</v>
      </c>
      <c r="T2928" s="84" t="n">
        <f aca="false">IF(AND(ISNUMBER(O2928),ISNUMBER(P2928)),Coef_A+Coef_B1*O2928+Coef_B2*P2928,"")</f>
        <v>24.4090373352819</v>
      </c>
      <c r="U2928" s="84" t="str">
        <f aca="false">IF(AND(R2928=1,ISNUMBER(T2928)),E2928-T2928,"")</f>
        <v/>
      </c>
      <c r="V2928" s="84" t="n">
        <f aca="false">IF(ISNUMBER(T2928),T2928,-99)</f>
        <v>24.4090373352819</v>
      </c>
      <c r="W2928" s="84" t="str">
        <f aca="false">IF(ISNUMBER(U2928),ABS(U2928),"")</f>
        <v/>
      </c>
    </row>
    <row r="2929" customFormat="false" ht="15" hidden="false" customHeight="false" outlineLevel="0" collapsed="false">
      <c r="A2929" s="57" t="n">
        <v>35936</v>
      </c>
      <c r="B2929" s="56" t="n">
        <v>1998</v>
      </c>
      <c r="C2929" s="56" t="n">
        <v>5</v>
      </c>
      <c r="D2929" s="56" t="n">
        <v>21</v>
      </c>
      <c r="E2929" s="56" t="n">
        <v>18</v>
      </c>
      <c r="F2929" s="56" t="n">
        <v>0</v>
      </c>
      <c r="G2929" s="56" t="n">
        <v>14.4</v>
      </c>
      <c r="H2929" s="56" t="n">
        <v>0</v>
      </c>
      <c r="I2929" s="56" t="n">
        <v>16.2</v>
      </c>
      <c r="J2929" s="56" t="n">
        <v>0</v>
      </c>
      <c r="K2929" s="56" t="n">
        <v>1023.4</v>
      </c>
      <c r="L2929" s="56" t="n">
        <v>0</v>
      </c>
      <c r="M2929" s="56" t="n">
        <v>63</v>
      </c>
      <c r="N2929" s="56" t="n">
        <v>5.8</v>
      </c>
      <c r="O2929" s="56" t="n">
        <f aca="false">IF(D2929=1,"",E2928)</f>
        <v>18</v>
      </c>
      <c r="P2929" s="56" t="n">
        <f aca="false">IF(OR(D2929=1,K2928=""),"",K2928)</f>
        <v>1024</v>
      </c>
      <c r="Q2929" s="56" t="n">
        <f aca="false">IF(OR(F2929&lt;&gt;0,AND(I2929&lt;&gt;"",E2929&lt;I2929)),1,0)</f>
        <v>0</v>
      </c>
      <c r="R2929" s="56" t="n">
        <f aca="false">IF(AND(D2929&gt;1,Q2929=0,ISNUMBER(O2929),ISNUMBER(P2929)),IF(Q2928=0,1,0),0)</f>
        <v>0</v>
      </c>
      <c r="S2929" s="56" t="n">
        <f aca="false">R2929*(B2929&gt;=Train_Start)*(B2929&lt;=Train_End)</f>
        <v>0</v>
      </c>
      <c r="T2929" s="84" t="n">
        <f aca="false">IF(AND(ISNUMBER(O2929),ISNUMBER(P2929)),Coef_A+Coef_B1*O2929+Coef_B2*P2929,"")</f>
        <v>18.9578530019687</v>
      </c>
      <c r="U2929" s="84" t="str">
        <f aca="false">IF(AND(R2929=1,ISNUMBER(T2929)),E2929-T2929,"")</f>
        <v/>
      </c>
      <c r="V2929" s="84" t="n">
        <f aca="false">IF(ISNUMBER(T2929),T2929,-99)</f>
        <v>18.9578530019687</v>
      </c>
      <c r="W2929" s="84" t="str">
        <f aca="false">IF(ISNUMBER(U2929),ABS(U2929),"")</f>
        <v/>
      </c>
    </row>
    <row r="2930" customFormat="false" ht="15" hidden="false" customHeight="false" outlineLevel="0" collapsed="false">
      <c r="A2930" s="57" t="n">
        <v>35937</v>
      </c>
      <c r="B2930" s="56" t="n">
        <v>1998</v>
      </c>
      <c r="C2930" s="56" t="n">
        <v>5</v>
      </c>
      <c r="D2930" s="56" t="n">
        <v>22</v>
      </c>
      <c r="E2930" s="56" t="n">
        <v>17.2</v>
      </c>
      <c r="F2930" s="56" t="n">
        <v>0</v>
      </c>
      <c r="G2930" s="56" t="n">
        <v>8.3</v>
      </c>
      <c r="H2930" s="56" t="n">
        <v>0</v>
      </c>
      <c r="I2930" s="56" t="n">
        <v>13.2</v>
      </c>
      <c r="J2930" s="56" t="n">
        <v>0</v>
      </c>
      <c r="K2930" s="56" t="n">
        <v>1027.2</v>
      </c>
      <c r="L2930" s="56" t="n">
        <v>0</v>
      </c>
      <c r="M2930" s="56" t="n">
        <v>59</v>
      </c>
      <c r="N2930" s="56" t="n">
        <v>7.3</v>
      </c>
      <c r="O2930" s="56" t="n">
        <f aca="false">IF(D2930=1,"",E2929)</f>
        <v>18</v>
      </c>
      <c r="P2930" s="56" t="n">
        <f aca="false">IF(OR(D2930=1,K2929=""),"",K2929)</f>
        <v>1023.4</v>
      </c>
      <c r="Q2930" s="56" t="n">
        <f aca="false">IF(OR(F2930&lt;&gt;0,AND(I2930&lt;&gt;"",E2930&lt;I2930)),1,0)</f>
        <v>0</v>
      </c>
      <c r="R2930" s="56" t="n">
        <f aca="false">IF(AND(D2930&gt;1,Q2930=0,ISNUMBER(O2930),ISNUMBER(P2930)),IF(Q2929=0,1,0),0)</f>
        <v>1</v>
      </c>
      <c r="S2930" s="56" t="n">
        <f aca="false">R2930*(B2930&gt;=Train_Start)*(B2930&lt;=Train_End)</f>
        <v>1</v>
      </c>
      <c r="T2930" s="84" t="n">
        <f aca="false">IF(AND(ISNUMBER(O2930),ISNUMBER(P2930)),Coef_A+Coef_B1*O2930+Coef_B2*P2930,"")</f>
        <v>18.9390310651883</v>
      </c>
      <c r="U2930" s="84" t="n">
        <f aca="false">IF(AND(R2930=1,ISNUMBER(T2930)),E2930-T2930,"")</f>
        <v>-1.73903106518828</v>
      </c>
      <c r="V2930" s="84" t="n">
        <f aca="false">IF(ISNUMBER(T2930),T2930,-99)</f>
        <v>18.9390310651883</v>
      </c>
      <c r="W2930" s="84" t="n">
        <f aca="false">IF(ISNUMBER(U2930),ABS(U2930),"")</f>
        <v>1.73903106518828</v>
      </c>
    </row>
    <row r="2931" customFormat="false" ht="15" hidden="false" customHeight="false" outlineLevel="0" collapsed="false">
      <c r="A2931" s="57" t="n">
        <v>35938</v>
      </c>
      <c r="B2931" s="56" t="n">
        <v>1998</v>
      </c>
      <c r="C2931" s="56" t="n">
        <v>5</v>
      </c>
      <c r="D2931" s="56" t="n">
        <v>23</v>
      </c>
      <c r="E2931" s="56" t="n">
        <v>18.1</v>
      </c>
      <c r="F2931" s="56" t="n">
        <v>0</v>
      </c>
      <c r="G2931" s="56" t="n">
        <v>10.6</v>
      </c>
      <c r="H2931" s="56" t="n">
        <v>0</v>
      </c>
      <c r="I2931" s="56" t="n">
        <v>13.9</v>
      </c>
      <c r="J2931" s="56" t="n">
        <v>0</v>
      </c>
      <c r="K2931" s="56" t="n">
        <v>1022.8</v>
      </c>
      <c r="L2931" s="56" t="n">
        <v>0</v>
      </c>
      <c r="M2931" s="56" t="n">
        <v>70</v>
      </c>
      <c r="N2931" s="56" t="n">
        <v>0.7</v>
      </c>
      <c r="O2931" s="56" t="n">
        <f aca="false">IF(D2931=1,"",E2930)</f>
        <v>17.2</v>
      </c>
      <c r="P2931" s="56" t="n">
        <f aca="false">IF(OR(D2931=1,K2930=""),"",K2930)</f>
        <v>1027.2</v>
      </c>
      <c r="Q2931" s="56" t="n">
        <f aca="false">IF(OR(F2931&lt;&gt;0,AND(I2931&lt;&gt;"",E2931&lt;I2931)),1,0)</f>
        <v>0</v>
      </c>
      <c r="R2931" s="56" t="n">
        <f aca="false">IF(AND(D2931&gt;1,Q2931=0,ISNUMBER(O2931),ISNUMBER(P2931)),IF(Q2930=0,1,0),0)</f>
        <v>1</v>
      </c>
      <c r="S2931" s="56" t="n">
        <f aca="false">R2931*(B2931&gt;=Train_Start)*(B2931&lt;=Train_End)</f>
        <v>1</v>
      </c>
      <c r="T2931" s="84" t="n">
        <f aca="false">IF(AND(ISNUMBER(O2931),ISNUMBER(P2931)),Coef_A+Coef_B1*O2931+Coef_B2*P2931,"")</f>
        <v>18.4027653103633</v>
      </c>
      <c r="U2931" s="84" t="n">
        <f aca="false">IF(AND(R2931=1,ISNUMBER(T2931)),E2931-T2931,"")</f>
        <v>-0.302765310363313</v>
      </c>
      <c r="V2931" s="84" t="n">
        <f aca="false">IF(ISNUMBER(T2931),T2931,-99)</f>
        <v>18.4027653103633</v>
      </c>
      <c r="W2931" s="84" t="n">
        <f aca="false">IF(ISNUMBER(U2931),ABS(U2931),"")</f>
        <v>0.302765310363313</v>
      </c>
    </row>
    <row r="2932" customFormat="false" ht="15" hidden="false" customHeight="false" outlineLevel="0" collapsed="false">
      <c r="A2932" s="57" t="n">
        <v>35939</v>
      </c>
      <c r="B2932" s="56" t="n">
        <v>1998</v>
      </c>
      <c r="C2932" s="56" t="n">
        <v>5</v>
      </c>
      <c r="D2932" s="56" t="n">
        <v>24</v>
      </c>
      <c r="E2932" s="56" t="n">
        <v>19.6</v>
      </c>
      <c r="F2932" s="56" t="n">
        <v>0</v>
      </c>
      <c r="G2932" s="56" t="n">
        <v>11.8</v>
      </c>
      <c r="H2932" s="56" t="n">
        <v>0</v>
      </c>
      <c r="I2932" s="56" t="n">
        <v>15</v>
      </c>
      <c r="J2932" s="56" t="n">
        <v>0</v>
      </c>
      <c r="K2932" s="56" t="n">
        <v>1016.7</v>
      </c>
      <c r="L2932" s="56" t="n">
        <v>0</v>
      </c>
      <c r="M2932" s="56" t="n">
        <v>73</v>
      </c>
      <c r="N2932" s="56" t="n">
        <v>2.7</v>
      </c>
      <c r="O2932" s="56" t="n">
        <f aca="false">IF(D2932=1,"",E2931)</f>
        <v>18.1</v>
      </c>
      <c r="P2932" s="56" t="n">
        <f aca="false">IF(OR(D2932=1,K2931=""),"",K2931)</f>
        <v>1022.8</v>
      </c>
      <c r="Q2932" s="56" t="n">
        <f aca="false">IF(OR(F2932&lt;&gt;0,AND(I2932&lt;&gt;"",E2932&lt;I2932)),1,0)</f>
        <v>0</v>
      </c>
      <c r="R2932" s="56" t="n">
        <f aca="false">IF(AND(D2932&gt;1,Q2932=0,ISNUMBER(O2932),ISNUMBER(P2932)),IF(Q2931=0,1,0),0)</f>
        <v>1</v>
      </c>
      <c r="S2932" s="56" t="n">
        <f aca="false">R2932*(B2932&gt;=Train_Start)*(B2932&lt;=Train_End)</f>
        <v>1</v>
      </c>
      <c r="T2932" s="84" t="n">
        <f aca="false">IF(AND(ISNUMBER(O2932),ISNUMBER(P2932)),Coef_A+Coef_B1*O2932+Coef_B2*P2932,"")</f>
        <v>19.0021430477122</v>
      </c>
      <c r="U2932" s="84" t="n">
        <f aca="false">IF(AND(R2932=1,ISNUMBER(T2932)),E2932-T2932,"")</f>
        <v>0.597856952287852</v>
      </c>
      <c r="V2932" s="84" t="n">
        <f aca="false">IF(ISNUMBER(T2932),T2932,-99)</f>
        <v>19.0021430477122</v>
      </c>
      <c r="W2932" s="84" t="n">
        <f aca="false">IF(ISNUMBER(U2932),ABS(U2932),"")</f>
        <v>0.597856952287852</v>
      </c>
    </row>
    <row r="2933" customFormat="false" ht="15" hidden="false" customHeight="false" outlineLevel="0" collapsed="false">
      <c r="A2933" s="57" t="n">
        <v>35940</v>
      </c>
      <c r="B2933" s="56" t="n">
        <v>1998</v>
      </c>
      <c r="C2933" s="56" t="n">
        <v>5</v>
      </c>
      <c r="D2933" s="56" t="n">
        <v>25</v>
      </c>
      <c r="E2933" s="56" t="n">
        <v>17</v>
      </c>
      <c r="F2933" s="56" t="n">
        <v>0</v>
      </c>
      <c r="G2933" s="56" t="n">
        <v>11.3</v>
      </c>
      <c r="H2933" s="56" t="n">
        <v>0</v>
      </c>
      <c r="I2933" s="56" t="n">
        <v>15.4</v>
      </c>
      <c r="J2933" s="56" t="n">
        <v>0</v>
      </c>
      <c r="K2933" s="56" t="n">
        <v>1010.5</v>
      </c>
      <c r="L2933" s="56" t="n">
        <v>0</v>
      </c>
      <c r="M2933" s="56" t="n">
        <v>72</v>
      </c>
      <c r="N2933" s="56" t="n">
        <v>2.6</v>
      </c>
      <c r="O2933" s="56" t="n">
        <f aca="false">IF(D2933=1,"",E2932)</f>
        <v>19.6</v>
      </c>
      <c r="P2933" s="56" t="n">
        <f aca="false">IF(OR(D2933=1,K2932=""),"",K2932)</f>
        <v>1016.7</v>
      </c>
      <c r="Q2933" s="56" t="n">
        <f aca="false">IF(OR(F2933&lt;&gt;0,AND(I2933&lt;&gt;"",E2933&lt;I2933)),1,0)</f>
        <v>0</v>
      </c>
      <c r="R2933" s="56" t="n">
        <f aca="false">IF(AND(D2933&gt;1,Q2933=0,ISNUMBER(O2933),ISNUMBER(P2933)),IF(Q2932=0,1,0),0)</f>
        <v>1</v>
      </c>
      <c r="S2933" s="56" t="n">
        <f aca="false">R2933*(B2933&gt;=Train_Start)*(B2933&lt;=Train_End)</f>
        <v>1</v>
      </c>
      <c r="T2933" s="84" t="n">
        <f aca="false">IF(AND(ISNUMBER(O2933),ISNUMBER(P2933)),Coef_A+Coef_B1*O2933+Coef_B2*P2933,"")</f>
        <v>20.0397954800088</v>
      </c>
      <c r="U2933" s="84" t="n">
        <f aca="false">IF(AND(R2933=1,ISNUMBER(T2933)),E2933-T2933,"")</f>
        <v>-3.03979548000881</v>
      </c>
      <c r="V2933" s="84" t="n">
        <f aca="false">IF(ISNUMBER(T2933),T2933,-99)</f>
        <v>20.0397954800088</v>
      </c>
      <c r="W2933" s="84" t="n">
        <f aca="false">IF(ISNUMBER(U2933),ABS(U2933),"")</f>
        <v>3.03979548000881</v>
      </c>
    </row>
    <row r="2934" customFormat="false" ht="15" hidden="false" customHeight="false" outlineLevel="0" collapsed="false">
      <c r="A2934" s="57" t="n">
        <v>35941</v>
      </c>
      <c r="B2934" s="56" t="n">
        <v>1998</v>
      </c>
      <c r="C2934" s="56" t="n">
        <v>5</v>
      </c>
      <c r="D2934" s="56" t="n">
        <v>26</v>
      </c>
      <c r="E2934" s="56" t="n">
        <v>12.2</v>
      </c>
      <c r="F2934" s="56" t="n">
        <v>1</v>
      </c>
      <c r="G2934" s="56" t="n">
        <v>11.1</v>
      </c>
      <c r="H2934" s="56" t="n">
        <v>0</v>
      </c>
      <c r="I2934" s="56" t="n">
        <v>14</v>
      </c>
      <c r="J2934" s="56" t="n">
        <v>1</v>
      </c>
      <c r="K2934" s="56" t="n">
        <v>1005.1</v>
      </c>
      <c r="L2934" s="56" t="n">
        <v>0</v>
      </c>
      <c r="M2934" s="56" t="n">
        <v>85</v>
      </c>
      <c r="N2934" s="56" t="n">
        <v>1.2</v>
      </c>
      <c r="O2934" s="56" t="n">
        <f aca="false">IF(D2934=1,"",E2933)</f>
        <v>17</v>
      </c>
      <c r="P2934" s="56" t="n">
        <f aca="false">IF(OR(D2934=1,K2933=""),"",K2933)</f>
        <v>1010.5</v>
      </c>
      <c r="Q2934" s="56" t="n">
        <f aca="false">IF(OR(F2934&lt;&gt;0,AND(I2934&lt;&gt;"",E2934&lt;I2934)),1,0)</f>
        <v>1</v>
      </c>
      <c r="R2934" s="56" t="n">
        <f aca="false">IF(AND(D2934&gt;1,Q2934=0,ISNUMBER(O2934),ISNUMBER(P2934)),IF(Q2933=0,1,0),0)</f>
        <v>0</v>
      </c>
      <c r="S2934" s="56" t="n">
        <f aca="false">R2934*(B2934&gt;=Train_Start)*(B2934&lt;=Train_End)</f>
        <v>0</v>
      </c>
      <c r="T2934" s="84" t="n">
        <f aca="false">IF(AND(ISNUMBER(O2934),ISNUMBER(P2934)),Coef_A+Coef_B1*O2934+Coef_B2*P2934,"")</f>
        <v>17.7150202313672</v>
      </c>
      <c r="U2934" s="84" t="str">
        <f aca="false">IF(AND(R2934=1,ISNUMBER(T2934)),E2934-T2934,"")</f>
        <v/>
      </c>
      <c r="V2934" s="84" t="n">
        <f aca="false">IF(ISNUMBER(T2934),T2934,-99)</f>
        <v>17.7150202313672</v>
      </c>
      <c r="W2934" s="84" t="str">
        <f aca="false">IF(ISNUMBER(U2934),ABS(U2934),"")</f>
        <v/>
      </c>
    </row>
    <row r="2935" customFormat="false" ht="15" hidden="false" customHeight="false" outlineLevel="0" collapsed="false">
      <c r="A2935" s="57" t="n">
        <v>35942</v>
      </c>
      <c r="B2935" s="56" t="n">
        <v>1998</v>
      </c>
      <c r="C2935" s="56" t="n">
        <v>5</v>
      </c>
      <c r="D2935" s="56" t="n">
        <v>27</v>
      </c>
      <c r="E2935" s="56" t="n">
        <v>17.2</v>
      </c>
      <c r="F2935" s="56" t="n">
        <v>0</v>
      </c>
      <c r="G2935" s="56" t="n">
        <v>7.8</v>
      </c>
      <c r="H2935" s="56" t="n">
        <v>0</v>
      </c>
      <c r="I2935" s="56" t="n">
        <v>10</v>
      </c>
      <c r="J2935" s="56" t="n">
        <v>0</v>
      </c>
      <c r="K2935" s="56" t="n">
        <v>1006.9</v>
      </c>
      <c r="L2935" s="56" t="n">
        <v>0</v>
      </c>
      <c r="M2935" s="56" t="n">
        <v>84</v>
      </c>
      <c r="N2935" s="56" t="n">
        <v>0.4</v>
      </c>
      <c r="O2935" s="56" t="n">
        <f aca="false">IF(D2935=1,"",E2934)</f>
        <v>12.2</v>
      </c>
      <c r="P2935" s="56" t="n">
        <f aca="false">IF(OR(D2935=1,K2934=""),"",K2934)</f>
        <v>1005.1</v>
      </c>
      <c r="Q2935" s="56" t="n">
        <f aca="false">IF(OR(F2935&lt;&gt;0,AND(I2935&lt;&gt;"",E2935&lt;I2935)),1,0)</f>
        <v>0</v>
      </c>
      <c r="R2935" s="56" t="n">
        <f aca="false">IF(AND(D2935&gt;1,Q2935=0,ISNUMBER(O2935),ISNUMBER(P2935)),IF(Q2934=0,1,0),0)</f>
        <v>0</v>
      </c>
      <c r="S2935" s="56" t="n">
        <f aca="false">R2935*(B2935&gt;=Train_Start)*(B2935&lt;=Train_End)</f>
        <v>0</v>
      </c>
      <c r="T2935" s="84" t="n">
        <f aca="false">IF(AND(ISNUMBER(O2935),ISNUMBER(P2935)),Coef_A+Coef_B1*O2935+Coef_B2*P2935,"")</f>
        <v>13.6127946737389</v>
      </c>
      <c r="U2935" s="84" t="str">
        <f aca="false">IF(AND(R2935=1,ISNUMBER(T2935)),E2935-T2935,"")</f>
        <v/>
      </c>
      <c r="V2935" s="84" t="n">
        <f aca="false">IF(ISNUMBER(T2935),T2935,-99)</f>
        <v>13.6127946737389</v>
      </c>
      <c r="W2935" s="84" t="str">
        <f aca="false">IF(ISNUMBER(U2935),ABS(U2935),"")</f>
        <v/>
      </c>
    </row>
    <row r="2936" customFormat="false" ht="15" hidden="false" customHeight="false" outlineLevel="0" collapsed="false">
      <c r="A2936" s="57" t="n">
        <v>35943</v>
      </c>
      <c r="B2936" s="56" t="n">
        <v>1998</v>
      </c>
      <c r="C2936" s="56" t="n">
        <v>5</v>
      </c>
      <c r="D2936" s="56" t="n">
        <v>28</v>
      </c>
      <c r="E2936" s="56" t="n">
        <v>18.7</v>
      </c>
      <c r="F2936" s="56" t="n">
        <v>0</v>
      </c>
      <c r="G2936" s="56" t="n">
        <v>8.3</v>
      </c>
      <c r="H2936" s="56" t="n">
        <v>0</v>
      </c>
      <c r="I2936" s="56" t="n">
        <v>12.8</v>
      </c>
      <c r="J2936" s="56" t="n">
        <v>0</v>
      </c>
      <c r="K2936" s="56" t="n">
        <v>1007.4</v>
      </c>
      <c r="L2936" s="56" t="n">
        <v>0</v>
      </c>
      <c r="M2936" s="56" t="n">
        <v>76</v>
      </c>
      <c r="N2936" s="56" t="n">
        <v>4.3</v>
      </c>
      <c r="O2936" s="56" t="n">
        <f aca="false">IF(D2936=1,"",E2935)</f>
        <v>17.2</v>
      </c>
      <c r="P2936" s="56" t="n">
        <f aca="false">IF(OR(D2936=1,K2935=""),"",K2935)</f>
        <v>1006.9</v>
      </c>
      <c r="Q2936" s="56" t="n">
        <f aca="false">IF(OR(F2936&lt;&gt;0,AND(I2936&lt;&gt;"",E2936&lt;I2936)),1,0)</f>
        <v>0</v>
      </c>
      <c r="R2936" s="56" t="n">
        <f aca="false">IF(AND(D2936&gt;1,Q2936=0,ISNUMBER(O2936),ISNUMBER(P2936)),IF(Q2935=0,1,0),0)</f>
        <v>1</v>
      </c>
      <c r="S2936" s="56" t="n">
        <f aca="false">R2936*(B2936&gt;=Train_Start)*(B2936&lt;=Train_End)</f>
        <v>1</v>
      </c>
      <c r="T2936" s="84" t="n">
        <f aca="false">IF(AND(ISNUMBER(O2936),ISNUMBER(P2936)),Coef_A+Coef_B1*O2936+Coef_B2*P2936,"")</f>
        <v>17.7659564492933</v>
      </c>
      <c r="U2936" s="84" t="n">
        <f aca="false">IF(AND(R2936=1,ISNUMBER(T2936)),E2936-T2936,"")</f>
        <v>0.934043550706672</v>
      </c>
      <c r="V2936" s="84" t="n">
        <f aca="false">IF(ISNUMBER(T2936),T2936,-99)</f>
        <v>17.7659564492933</v>
      </c>
      <c r="W2936" s="84" t="n">
        <f aca="false">IF(ISNUMBER(U2936),ABS(U2936),"")</f>
        <v>0.934043550706672</v>
      </c>
    </row>
    <row r="2937" customFormat="false" ht="15" hidden="false" customHeight="false" outlineLevel="0" collapsed="false">
      <c r="A2937" s="57" t="n">
        <v>35944</v>
      </c>
      <c r="B2937" s="56" t="n">
        <v>1998</v>
      </c>
      <c r="C2937" s="56" t="n">
        <v>5</v>
      </c>
      <c r="D2937" s="56" t="n">
        <v>29</v>
      </c>
      <c r="E2937" s="56" t="n">
        <v>22</v>
      </c>
      <c r="F2937" s="56" t="n">
        <v>0</v>
      </c>
      <c r="G2937" s="56" t="n">
        <v>11.4</v>
      </c>
      <c r="H2937" s="56" t="n">
        <v>0</v>
      </c>
      <c r="I2937" s="56" t="n">
        <v>15</v>
      </c>
      <c r="J2937" s="56" t="n">
        <v>0</v>
      </c>
      <c r="K2937" s="56" t="n">
        <v>1011.1</v>
      </c>
      <c r="L2937" s="56" t="n">
        <v>0</v>
      </c>
      <c r="M2937" s="56" t="n">
        <v>66</v>
      </c>
      <c r="N2937" s="56" t="n">
        <v>12.7</v>
      </c>
      <c r="O2937" s="56" t="n">
        <f aca="false">IF(D2937=1,"",E2936)</f>
        <v>18.7</v>
      </c>
      <c r="P2937" s="56" t="n">
        <f aca="false">IF(OR(D2937=1,K2936=""),"",K2936)</f>
        <v>1007.4</v>
      </c>
      <c r="Q2937" s="56" t="n">
        <f aca="false">IF(OR(F2937&lt;&gt;0,AND(I2937&lt;&gt;"",E2937&lt;I2937)),1,0)</f>
        <v>0</v>
      </c>
      <c r="R2937" s="56" t="n">
        <f aca="false">IF(AND(D2937&gt;1,Q2937=0,ISNUMBER(O2937),ISNUMBER(P2937)),IF(Q2936=0,1,0),0)</f>
        <v>1</v>
      </c>
      <c r="S2937" s="56" t="n">
        <f aca="false">R2937*(B2937&gt;=Train_Start)*(B2937&lt;=Train_End)</f>
        <v>1</v>
      </c>
      <c r="T2937" s="84" t="n">
        <f aca="false">IF(AND(ISNUMBER(O2937),ISNUMBER(P2937)),Coef_A+Coef_B1*O2937+Coef_B2*P2937,"")</f>
        <v>19.0106501861743</v>
      </c>
      <c r="U2937" s="84" t="n">
        <f aca="false">IF(AND(R2937=1,ISNUMBER(T2937)),E2937-T2937,"")</f>
        <v>2.98934981382569</v>
      </c>
      <c r="V2937" s="84" t="n">
        <f aca="false">IF(ISNUMBER(T2937),T2937,-99)</f>
        <v>19.0106501861743</v>
      </c>
      <c r="W2937" s="84" t="n">
        <f aca="false">IF(ISNUMBER(U2937),ABS(U2937),"")</f>
        <v>2.98934981382569</v>
      </c>
    </row>
    <row r="2938" customFormat="false" ht="15" hidden="false" customHeight="false" outlineLevel="0" collapsed="false">
      <c r="A2938" s="57" t="n">
        <v>35945</v>
      </c>
      <c r="B2938" s="56" t="n">
        <v>1998</v>
      </c>
      <c r="C2938" s="56" t="n">
        <v>5</v>
      </c>
      <c r="D2938" s="56" t="n">
        <v>30</v>
      </c>
      <c r="E2938" s="56" t="n">
        <v>20.4</v>
      </c>
      <c r="F2938" s="56" t="n">
        <v>0</v>
      </c>
      <c r="G2938" s="56" t="n">
        <v>8.1</v>
      </c>
      <c r="H2938" s="56" t="n">
        <v>0</v>
      </c>
      <c r="I2938" s="56" t="n">
        <v>15</v>
      </c>
      <c r="J2938" s="56" t="n">
        <v>0</v>
      </c>
      <c r="K2938" s="56" t="n">
        <v>1012.7</v>
      </c>
      <c r="L2938" s="56" t="n">
        <v>0</v>
      </c>
      <c r="M2938" s="56" t="n">
        <v>54</v>
      </c>
      <c r="N2938" s="56" t="n">
        <v>14.3</v>
      </c>
      <c r="O2938" s="56" t="n">
        <f aca="false">IF(D2938=1,"",E2937)</f>
        <v>22</v>
      </c>
      <c r="P2938" s="56" t="n">
        <f aca="false">IF(OR(D2938=1,K2937=""),"",K2937)</f>
        <v>1011.1</v>
      </c>
      <c r="Q2938" s="56" t="n">
        <f aca="false">IF(OR(F2938&lt;&gt;0,AND(I2938&lt;&gt;"",E2938&lt;I2938)),1,0)</f>
        <v>0</v>
      </c>
      <c r="R2938" s="56" t="n">
        <f aca="false">IF(AND(D2938&gt;1,Q2938=0,ISNUMBER(O2938),ISNUMBER(P2938)),IF(Q2937=0,1,0),0)</f>
        <v>1</v>
      </c>
      <c r="S2938" s="56" t="n">
        <f aca="false">R2938*(B2938&gt;=Train_Start)*(B2938&lt;=Train_End)</f>
        <v>1</v>
      </c>
      <c r="T2938" s="84" t="n">
        <f aca="false">IF(AND(ISNUMBER(O2938),ISNUMBER(P2938)),Coef_A+Coef_B1*O2938+Coef_B2*P2938,"")</f>
        <v>21.8305381333608</v>
      </c>
      <c r="U2938" s="84" t="n">
        <f aca="false">IF(AND(R2938=1,ISNUMBER(T2938)),E2938-T2938,"")</f>
        <v>-1.43053813336084</v>
      </c>
      <c r="V2938" s="84" t="n">
        <f aca="false">IF(ISNUMBER(T2938),T2938,-99)</f>
        <v>21.8305381333608</v>
      </c>
      <c r="W2938" s="84" t="n">
        <f aca="false">IF(ISNUMBER(U2938),ABS(U2938),"")</f>
        <v>1.43053813336084</v>
      </c>
    </row>
    <row r="2939" customFormat="false" ht="15" hidden="false" customHeight="false" outlineLevel="0" collapsed="false">
      <c r="A2939" s="57" t="n">
        <v>35946</v>
      </c>
      <c r="B2939" s="56" t="n">
        <v>1998</v>
      </c>
      <c r="C2939" s="56" t="n">
        <v>5</v>
      </c>
      <c r="D2939" s="56" t="n">
        <v>31</v>
      </c>
      <c r="E2939" s="56" t="n">
        <v>21.4</v>
      </c>
      <c r="F2939" s="56" t="n">
        <v>0</v>
      </c>
      <c r="G2939" s="56" t="n">
        <v>12.1</v>
      </c>
      <c r="H2939" s="56" t="n">
        <v>0</v>
      </c>
      <c r="I2939" s="56" t="n">
        <v>16.2</v>
      </c>
      <c r="J2939" s="56" t="n">
        <v>0</v>
      </c>
      <c r="K2939" s="56" t="n">
        <v>1009.8</v>
      </c>
      <c r="L2939" s="56" t="n">
        <v>0</v>
      </c>
      <c r="M2939" s="56" t="n">
        <v>68</v>
      </c>
      <c r="N2939" s="56" t="n">
        <v>8.5</v>
      </c>
      <c r="O2939" s="56" t="n">
        <f aca="false">IF(D2939=1,"",E2938)</f>
        <v>20.4</v>
      </c>
      <c r="P2939" s="56" t="n">
        <f aca="false">IF(OR(D2939=1,K2938=""),"",K2938)</f>
        <v>1012.7</v>
      </c>
      <c r="Q2939" s="56" t="n">
        <f aca="false">IF(OR(F2939&lt;&gt;0,AND(I2939&lt;&gt;"",E2939&lt;I2939)),1,0)</f>
        <v>0</v>
      </c>
      <c r="R2939" s="56" t="n">
        <f aca="false">IF(AND(D2939&gt;1,Q2939=0,ISNUMBER(O2939),ISNUMBER(P2939)),IF(Q2938=0,1,0),0)</f>
        <v>1</v>
      </c>
      <c r="S2939" s="56" t="n">
        <f aca="false">R2939*(B2939&gt;=Train_Start)*(B2939&lt;=Train_End)</f>
        <v>1</v>
      </c>
      <c r="T2939" s="84" t="n">
        <f aca="false">IF(AND(ISNUMBER(O2939),ISNUMBER(P2939)),Coef_A+Coef_B1*O2939+Coef_B2*P2939,"")</f>
        <v>20.569787255907</v>
      </c>
      <c r="U2939" s="84" t="n">
        <f aca="false">IF(AND(R2939=1,ISNUMBER(T2939)),E2939-T2939,"")</f>
        <v>0.830212744093029</v>
      </c>
      <c r="V2939" s="84" t="n">
        <f aca="false">IF(ISNUMBER(T2939),T2939,-99)</f>
        <v>20.569787255907</v>
      </c>
      <c r="W2939" s="84" t="n">
        <f aca="false">IF(ISNUMBER(U2939),ABS(U2939),"")</f>
        <v>0.830212744093029</v>
      </c>
    </row>
    <row r="2940" customFormat="false" ht="15" hidden="false" customHeight="false" outlineLevel="0" collapsed="false">
      <c r="A2940" s="57" t="n">
        <v>35947</v>
      </c>
      <c r="B2940" s="56" t="n">
        <v>1998</v>
      </c>
      <c r="C2940" s="56" t="n">
        <v>6</v>
      </c>
      <c r="D2940" s="56" t="n">
        <v>32</v>
      </c>
      <c r="E2940" s="56" t="n">
        <v>19.5</v>
      </c>
      <c r="F2940" s="56" t="n">
        <v>0</v>
      </c>
      <c r="G2940" s="56" t="n">
        <v>8.8</v>
      </c>
      <c r="H2940" s="56" t="n">
        <v>0</v>
      </c>
      <c r="I2940" s="56" t="n">
        <v>15.1</v>
      </c>
      <c r="J2940" s="56" t="n">
        <v>0</v>
      </c>
      <c r="K2940" s="56" t="n">
        <v>1011</v>
      </c>
      <c r="L2940" s="56" t="n">
        <v>0</v>
      </c>
      <c r="M2940" s="56" t="n">
        <v>64</v>
      </c>
      <c r="N2940" s="56" t="n">
        <v>8.5</v>
      </c>
      <c r="O2940" s="56" t="n">
        <f aca="false">IF(D2940=1,"",E2939)</f>
        <v>21.4</v>
      </c>
      <c r="P2940" s="56" t="n">
        <f aca="false">IF(OR(D2940=1,K2939=""),"",K2939)</f>
        <v>1009.8</v>
      </c>
      <c r="Q2940" s="56" t="n">
        <f aca="false">IF(OR(F2940&lt;&gt;0,AND(I2940&lt;&gt;"",E2940&lt;I2940)),1,0)</f>
        <v>0</v>
      </c>
      <c r="R2940" s="56" t="n">
        <f aca="false">IF(AND(D2940&gt;1,Q2940=0,ISNUMBER(O2940),ISNUMBER(P2940)),IF(Q2939=0,1,0),0)</f>
        <v>1</v>
      </c>
      <c r="S2940" s="56" t="n">
        <f aca="false">R2940*(B2940&gt;=Train_Start)*(B2940&lt;=Train_End)</f>
        <v>1</v>
      </c>
      <c r="T2940" s="84" t="n">
        <f aca="false">IF(AND(ISNUMBER(O2940),ISNUMBER(P2940)),Coef_A+Coef_B1*O2940+Coef_B2*P2940,"")</f>
        <v>21.2981537545111</v>
      </c>
      <c r="U2940" s="84" t="n">
        <f aca="false">IF(AND(R2940=1,ISNUMBER(T2940)),E2940-T2940,"")</f>
        <v>-1.79815375451106</v>
      </c>
      <c r="V2940" s="84" t="n">
        <f aca="false">IF(ISNUMBER(T2940),T2940,-99)</f>
        <v>21.2981537545111</v>
      </c>
      <c r="W2940" s="84" t="n">
        <f aca="false">IF(ISNUMBER(U2940),ABS(U2940),"")</f>
        <v>1.79815375451106</v>
      </c>
    </row>
    <row r="2941" customFormat="false" ht="15" hidden="false" customHeight="false" outlineLevel="0" collapsed="false">
      <c r="A2941" s="57" t="n">
        <v>35948</v>
      </c>
      <c r="B2941" s="56" t="n">
        <v>1998</v>
      </c>
      <c r="C2941" s="56" t="n">
        <v>6</v>
      </c>
      <c r="D2941" s="56" t="n">
        <v>33</v>
      </c>
      <c r="E2941" s="56" t="n">
        <v>18.9</v>
      </c>
      <c r="F2941" s="56" t="n">
        <v>0</v>
      </c>
      <c r="G2941" s="56" t="n">
        <v>13.5</v>
      </c>
      <c r="H2941" s="56" t="n">
        <v>0</v>
      </c>
      <c r="I2941" s="56" t="n">
        <v>16.5</v>
      </c>
      <c r="J2941" s="56" t="n">
        <v>0</v>
      </c>
      <c r="K2941" s="56" t="n">
        <v>1004.9</v>
      </c>
      <c r="L2941" s="56" t="n">
        <v>0</v>
      </c>
      <c r="M2941" s="56" t="n">
        <v>77</v>
      </c>
      <c r="N2941" s="56" t="n">
        <v>6.2</v>
      </c>
      <c r="O2941" s="56" t="n">
        <f aca="false">IF(D2941=1,"",E2940)</f>
        <v>19.5</v>
      </c>
      <c r="P2941" s="56" t="n">
        <f aca="false">IF(OR(D2941=1,K2940=""),"",K2940)</f>
        <v>1011</v>
      </c>
      <c r="Q2941" s="56" t="n">
        <f aca="false">IF(OR(F2941&lt;&gt;0,AND(I2941&lt;&gt;"",E2941&lt;I2941)),1,0)</f>
        <v>0</v>
      </c>
      <c r="R2941" s="56" t="n">
        <f aca="false">IF(AND(D2941&gt;1,Q2941=0,ISNUMBER(O2941),ISNUMBER(P2941)),IF(Q2940=0,1,0),0)</f>
        <v>1</v>
      </c>
      <c r="S2941" s="56" t="n">
        <f aca="false">R2941*(B2941&gt;=Train_Start)*(B2941&lt;=Train_End)</f>
        <v>1</v>
      </c>
      <c r="T2941" s="84" t="n">
        <f aca="false">IF(AND(ISNUMBER(O2941),ISNUMBER(P2941)),Coef_A+Coef_B1*O2941+Coef_B2*P2941,"")</f>
        <v>19.7790531612908</v>
      </c>
      <c r="U2941" s="84" t="n">
        <f aca="false">IF(AND(R2941=1,ISNUMBER(T2941)),E2941-T2941,"")</f>
        <v>-0.879053161290798</v>
      </c>
      <c r="V2941" s="84" t="n">
        <f aca="false">IF(ISNUMBER(T2941),T2941,-99)</f>
        <v>19.7790531612908</v>
      </c>
      <c r="W2941" s="84" t="n">
        <f aca="false">IF(ISNUMBER(U2941),ABS(U2941),"")</f>
        <v>0.879053161290798</v>
      </c>
    </row>
    <row r="2942" customFormat="false" ht="15" hidden="false" customHeight="false" outlineLevel="0" collapsed="false">
      <c r="A2942" s="57" t="n">
        <v>35949</v>
      </c>
      <c r="B2942" s="56" t="n">
        <v>1998</v>
      </c>
      <c r="C2942" s="56" t="n">
        <v>6</v>
      </c>
      <c r="D2942" s="56" t="n">
        <v>34</v>
      </c>
      <c r="E2942" s="56" t="n">
        <v>17.2</v>
      </c>
      <c r="F2942" s="56" t="n">
        <v>0</v>
      </c>
      <c r="G2942" s="56" t="n">
        <v>11.9</v>
      </c>
      <c r="H2942" s="56" t="n">
        <v>0</v>
      </c>
      <c r="I2942" s="56" t="n">
        <v>15.4</v>
      </c>
      <c r="J2942" s="56" t="n">
        <v>0</v>
      </c>
      <c r="K2942" s="56" t="n">
        <v>1009.9</v>
      </c>
      <c r="L2942" s="56" t="n">
        <v>0</v>
      </c>
      <c r="M2942" s="56" t="n">
        <v>72</v>
      </c>
      <c r="N2942" s="56" t="n">
        <v>6.9</v>
      </c>
      <c r="O2942" s="56" t="n">
        <f aca="false">IF(D2942=1,"",E2941)</f>
        <v>18.9</v>
      </c>
      <c r="P2942" s="56" t="n">
        <f aca="false">IF(OR(D2942=1,K2941=""),"",K2941)</f>
        <v>1004.9</v>
      </c>
      <c r="Q2942" s="56" t="n">
        <f aca="false">IF(OR(F2942&lt;&gt;0,AND(I2942&lt;&gt;"",E2942&lt;I2942)),1,0)</f>
        <v>0</v>
      </c>
      <c r="R2942" s="56" t="n">
        <f aca="false">IF(AND(D2942&gt;1,Q2942=0,ISNUMBER(O2942),ISNUMBER(P2942)),IF(Q2941=0,1,0),0)</f>
        <v>1</v>
      </c>
      <c r="S2942" s="56" t="n">
        <f aca="false">R2942*(B2942&gt;=Train_Start)*(B2942&lt;=Train_End)</f>
        <v>1</v>
      </c>
      <c r="T2942" s="84" t="n">
        <f aca="false">IF(AND(ISNUMBER(O2942),ISNUMBER(P2942)),Coef_A+Coef_B1*O2942+Coef_B2*P2942,"")</f>
        <v>19.0960932881979</v>
      </c>
      <c r="U2942" s="84" t="n">
        <f aca="false">IF(AND(R2942=1,ISNUMBER(T2942)),E2942-T2942,"")</f>
        <v>-1.89609328819786</v>
      </c>
      <c r="V2942" s="84" t="n">
        <f aca="false">IF(ISNUMBER(T2942),T2942,-99)</f>
        <v>19.0960932881979</v>
      </c>
      <c r="W2942" s="84" t="n">
        <f aca="false">IF(ISNUMBER(U2942),ABS(U2942),"")</f>
        <v>1.89609328819786</v>
      </c>
    </row>
    <row r="2943" customFormat="false" ht="15" hidden="false" customHeight="false" outlineLevel="0" collapsed="false">
      <c r="A2943" s="57" t="n">
        <v>35950</v>
      </c>
      <c r="B2943" s="56" t="n">
        <v>1998</v>
      </c>
      <c r="C2943" s="56" t="n">
        <v>6</v>
      </c>
      <c r="D2943" s="56" t="n">
        <v>35</v>
      </c>
      <c r="E2943" s="56" t="n">
        <v>18.4</v>
      </c>
      <c r="F2943" s="56" t="n">
        <v>0</v>
      </c>
      <c r="G2943" s="56" t="n">
        <v>10.9</v>
      </c>
      <c r="H2943" s="56" t="n">
        <v>0</v>
      </c>
      <c r="I2943" s="56" t="n">
        <v>14</v>
      </c>
      <c r="J2943" s="56" t="n">
        <v>0</v>
      </c>
      <c r="K2943" s="56" t="n">
        <v>1019.6</v>
      </c>
      <c r="L2943" s="56" t="n">
        <v>0</v>
      </c>
      <c r="M2943" s="56" t="n">
        <v>75</v>
      </c>
      <c r="N2943" s="56" t="n">
        <v>0.5</v>
      </c>
      <c r="O2943" s="56" t="n">
        <f aca="false">IF(D2943=1,"",E2942)</f>
        <v>17.2</v>
      </c>
      <c r="P2943" s="56" t="n">
        <f aca="false">IF(OR(D2943=1,K2942=""),"",K2942)</f>
        <v>1009.9</v>
      </c>
      <c r="Q2943" s="56" t="n">
        <f aca="false">IF(OR(F2943&lt;&gt;0,AND(I2943&lt;&gt;"",E2943&lt;I2943)),1,0)</f>
        <v>0</v>
      </c>
      <c r="R2943" s="56" t="n">
        <f aca="false">IF(AND(D2943&gt;1,Q2943=0,ISNUMBER(O2943),ISNUMBER(P2943)),IF(Q2942=0,1,0),0)</f>
        <v>1</v>
      </c>
      <c r="S2943" s="56" t="n">
        <f aca="false">R2943*(B2943&gt;=Train_Start)*(B2943&lt;=Train_End)</f>
        <v>1</v>
      </c>
      <c r="T2943" s="84" t="n">
        <f aca="false">IF(AND(ISNUMBER(O2943),ISNUMBER(P2943)),Coef_A+Coef_B1*O2943+Coef_B2*P2943,"")</f>
        <v>17.8600661331953</v>
      </c>
      <c r="U2943" s="84" t="n">
        <f aca="false">IF(AND(R2943=1,ISNUMBER(T2943)),E2943-T2943,"")</f>
        <v>0.539933866804706</v>
      </c>
      <c r="V2943" s="84" t="n">
        <f aca="false">IF(ISNUMBER(T2943),T2943,-99)</f>
        <v>17.8600661331953</v>
      </c>
      <c r="W2943" s="84" t="n">
        <f aca="false">IF(ISNUMBER(U2943),ABS(U2943),"")</f>
        <v>0.539933866804706</v>
      </c>
    </row>
    <row r="2944" customFormat="false" ht="15" hidden="false" customHeight="false" outlineLevel="0" collapsed="false">
      <c r="A2944" s="57" t="n">
        <v>35951</v>
      </c>
      <c r="B2944" s="56" t="n">
        <v>1998</v>
      </c>
      <c r="C2944" s="56" t="n">
        <v>6</v>
      </c>
      <c r="D2944" s="56" t="n">
        <v>36</v>
      </c>
      <c r="E2944" s="56" t="n">
        <v>23.4</v>
      </c>
      <c r="F2944" s="56" t="n">
        <v>0</v>
      </c>
      <c r="G2944" s="56" t="n">
        <v>10.2</v>
      </c>
      <c r="H2944" s="56" t="n">
        <v>0</v>
      </c>
      <c r="I2944" s="56" t="n">
        <v>14.3</v>
      </c>
      <c r="J2944" s="56" t="n">
        <v>0</v>
      </c>
      <c r="K2944" s="56" t="n">
        <v>1016.3</v>
      </c>
      <c r="L2944" s="56" t="n">
        <v>0</v>
      </c>
      <c r="M2944" s="56" t="n">
        <v>76</v>
      </c>
      <c r="N2944" s="56" t="n">
        <v>3.1</v>
      </c>
      <c r="O2944" s="56" t="n">
        <f aca="false">IF(D2944=1,"",E2943)</f>
        <v>18.4</v>
      </c>
      <c r="P2944" s="56" t="n">
        <f aca="false">IF(OR(D2944=1,K2943=""),"",K2943)</f>
        <v>1019.6</v>
      </c>
      <c r="Q2944" s="56" t="n">
        <f aca="false">IF(OR(F2944&lt;&gt;0,AND(I2944&lt;&gt;"",E2944&lt;I2944)),1,0)</f>
        <v>0</v>
      </c>
      <c r="R2944" s="56" t="n">
        <f aca="false">IF(AND(D2944&gt;1,Q2944=0,ISNUMBER(O2944),ISNUMBER(P2944)),IF(Q2943=0,1,0),0)</f>
        <v>1</v>
      </c>
      <c r="S2944" s="56" t="n">
        <f aca="false">R2944*(B2944&gt;=Train_Start)*(B2944&lt;=Train_End)</f>
        <v>1</v>
      </c>
      <c r="T2944" s="84" t="n">
        <f aca="false">IF(AND(ISNUMBER(O2944),ISNUMBER(P2944)),Coef_A+Coef_B1*O2944+Coef_B2*P2944,"")</f>
        <v>19.1475611427962</v>
      </c>
      <c r="U2944" s="84" t="n">
        <f aca="false">IF(AND(R2944=1,ISNUMBER(T2944)),E2944-T2944,"")</f>
        <v>4.25243885720382</v>
      </c>
      <c r="V2944" s="84" t="n">
        <f aca="false">IF(ISNUMBER(T2944),T2944,-99)</f>
        <v>19.1475611427962</v>
      </c>
      <c r="W2944" s="84" t="n">
        <f aca="false">IF(ISNUMBER(U2944),ABS(U2944),"")</f>
        <v>4.25243885720382</v>
      </c>
    </row>
    <row r="2945" customFormat="false" ht="15" hidden="false" customHeight="false" outlineLevel="0" collapsed="false">
      <c r="A2945" s="57" t="n">
        <v>35952</v>
      </c>
      <c r="B2945" s="56" t="n">
        <v>1998</v>
      </c>
      <c r="C2945" s="56" t="n">
        <v>6</v>
      </c>
      <c r="D2945" s="56" t="n">
        <v>37</v>
      </c>
      <c r="E2945" s="56" t="n">
        <v>21.3</v>
      </c>
      <c r="F2945" s="56" t="n">
        <v>0</v>
      </c>
      <c r="G2945" s="56" t="n">
        <v>14</v>
      </c>
      <c r="H2945" s="56" t="n">
        <v>0</v>
      </c>
      <c r="I2945" s="56" t="n">
        <v>18.7</v>
      </c>
      <c r="J2945" s="56" t="n">
        <v>0</v>
      </c>
      <c r="K2945" s="56" t="n">
        <v>1009.2</v>
      </c>
      <c r="L2945" s="56" t="n">
        <v>0</v>
      </c>
      <c r="M2945" s="56" t="n">
        <v>78</v>
      </c>
      <c r="N2945" s="56" t="n">
        <v>5.7</v>
      </c>
      <c r="O2945" s="56" t="n">
        <f aca="false">IF(D2945=1,"",E2944)</f>
        <v>23.4</v>
      </c>
      <c r="P2945" s="56" t="n">
        <f aca="false">IF(OR(D2945=1,K2944=""),"",K2944)</f>
        <v>1016.3</v>
      </c>
      <c r="Q2945" s="56" t="n">
        <f aca="false">IF(OR(F2945&lt;&gt;0,AND(I2945&lt;&gt;"",E2945&lt;I2945)),1,0)</f>
        <v>0</v>
      </c>
      <c r="R2945" s="56" t="n">
        <f aca="false">IF(AND(D2945&gt;1,Q2945=0,ISNUMBER(O2945),ISNUMBER(P2945)),IF(Q2944=0,1,0),0)</f>
        <v>1</v>
      </c>
      <c r="S2945" s="56" t="n">
        <f aca="false">R2945*(B2945&gt;=Train_Start)*(B2945&lt;=Train_End)</f>
        <v>1</v>
      </c>
      <c r="T2945" s="84" t="n">
        <f aca="false">IF(AND(ISNUMBER(O2945),ISNUMBER(P2945)),Coef_A+Coef_B1*O2945+Coef_B2*P2945,"")</f>
        <v>23.1407364557173</v>
      </c>
      <c r="U2945" s="84" t="n">
        <f aca="false">IF(AND(R2945=1,ISNUMBER(T2945)),E2945-T2945,"")</f>
        <v>-1.8407364557173</v>
      </c>
      <c r="V2945" s="84" t="n">
        <f aca="false">IF(ISNUMBER(T2945),T2945,-99)</f>
        <v>23.1407364557173</v>
      </c>
      <c r="W2945" s="84" t="n">
        <f aca="false">IF(ISNUMBER(U2945),ABS(U2945),"")</f>
        <v>1.8407364557173</v>
      </c>
    </row>
    <row r="2946" customFormat="false" ht="15" hidden="false" customHeight="false" outlineLevel="0" collapsed="false">
      <c r="A2946" s="57" t="n">
        <v>35953</v>
      </c>
      <c r="B2946" s="56" t="n">
        <v>1998</v>
      </c>
      <c r="C2946" s="56" t="n">
        <v>6</v>
      </c>
      <c r="D2946" s="56" t="n">
        <v>38</v>
      </c>
      <c r="E2946" s="56" t="n">
        <v>17.2</v>
      </c>
      <c r="F2946" s="56" t="n">
        <v>0</v>
      </c>
      <c r="G2946" s="56" t="n">
        <v>11.2</v>
      </c>
      <c r="H2946" s="56" t="n">
        <v>0</v>
      </c>
      <c r="I2946" s="56" t="n">
        <v>16.2</v>
      </c>
      <c r="J2946" s="56" t="n">
        <v>0</v>
      </c>
      <c r="K2946" s="56" t="n">
        <v>1009</v>
      </c>
      <c r="L2946" s="56" t="n">
        <v>0</v>
      </c>
      <c r="M2946" s="56" t="n">
        <v>71</v>
      </c>
      <c r="N2946" s="56" t="n">
        <v>10.2</v>
      </c>
      <c r="O2946" s="56" t="n">
        <f aca="false">IF(D2946=1,"",E2945)</f>
        <v>21.3</v>
      </c>
      <c r="P2946" s="56" t="n">
        <f aca="false">IF(OR(D2946=1,K2945=""),"",K2945)</f>
        <v>1009.2</v>
      </c>
      <c r="Q2946" s="56" t="n">
        <f aca="false">IF(OR(F2946&lt;&gt;0,AND(I2946&lt;&gt;"",E2946&lt;I2946)),1,0)</f>
        <v>0</v>
      </c>
      <c r="R2946" s="56" t="n">
        <f aca="false">IF(AND(D2946&gt;1,Q2946=0,ISNUMBER(O2946),ISNUMBER(P2946)),IF(Q2945=0,1,0),0)</f>
        <v>1</v>
      </c>
      <c r="S2946" s="56" t="n">
        <f aca="false">R2946*(B2946&gt;=Train_Start)*(B2946&lt;=Train_End)</f>
        <v>1</v>
      </c>
      <c r="T2946" s="84" t="n">
        <f aca="false">IF(AND(ISNUMBER(O2946),ISNUMBER(P2946)),Coef_A+Coef_B1*O2946+Coef_B2*P2946,"")</f>
        <v>21.1973978984264</v>
      </c>
      <c r="U2946" s="84" t="n">
        <f aca="false">IF(AND(R2946=1,ISNUMBER(T2946)),E2946-T2946,"")</f>
        <v>-3.9973978984264</v>
      </c>
      <c r="V2946" s="84" t="n">
        <f aca="false">IF(ISNUMBER(T2946),T2946,-99)</f>
        <v>21.1973978984264</v>
      </c>
      <c r="W2946" s="84" t="n">
        <f aca="false">IF(ISNUMBER(U2946),ABS(U2946),"")</f>
        <v>3.9973978984264</v>
      </c>
    </row>
    <row r="2947" customFormat="false" ht="15" hidden="false" customHeight="false" outlineLevel="0" collapsed="false">
      <c r="A2947" s="57" t="n">
        <v>35954</v>
      </c>
      <c r="B2947" s="56" t="n">
        <v>1998</v>
      </c>
      <c r="C2947" s="56" t="n">
        <v>6</v>
      </c>
      <c r="D2947" s="56" t="n">
        <v>39</v>
      </c>
      <c r="E2947" s="56" t="n">
        <v>19.8</v>
      </c>
      <c r="F2947" s="56" t="n">
        <v>0</v>
      </c>
      <c r="G2947" s="56" t="n">
        <v>11.2</v>
      </c>
      <c r="H2947" s="56" t="n">
        <v>0</v>
      </c>
      <c r="I2947" s="56" t="n">
        <v>14.2</v>
      </c>
      <c r="J2947" s="56" t="n">
        <v>0</v>
      </c>
      <c r="K2947" s="56" t="n">
        <v>1012.5</v>
      </c>
      <c r="L2947" s="56" t="n">
        <v>0</v>
      </c>
      <c r="M2947" s="56" t="n">
        <v>81</v>
      </c>
      <c r="N2947" s="56" t="n">
        <v>2.3</v>
      </c>
      <c r="O2947" s="56" t="n">
        <f aca="false">IF(D2947=1,"",E2946)</f>
        <v>17.2</v>
      </c>
      <c r="P2947" s="56" t="n">
        <f aca="false">IF(OR(D2947=1,K2946=""),"",K2946)</f>
        <v>1009</v>
      </c>
      <c r="Q2947" s="56" t="n">
        <f aca="false">IF(OR(F2947&lt;&gt;0,AND(I2947&lt;&gt;"",E2947&lt;I2947)),1,0)</f>
        <v>0</v>
      </c>
      <c r="R2947" s="56" t="n">
        <f aca="false">IF(AND(D2947&gt;1,Q2947=0,ISNUMBER(O2947),ISNUMBER(P2947)),IF(Q2946=0,1,0),0)</f>
        <v>1</v>
      </c>
      <c r="S2947" s="56" t="n">
        <f aca="false">R2947*(B2947&gt;=Train_Start)*(B2947&lt;=Train_End)</f>
        <v>1</v>
      </c>
      <c r="T2947" s="84" t="n">
        <f aca="false">IF(AND(ISNUMBER(O2947),ISNUMBER(P2947)),Coef_A+Coef_B1*O2947+Coef_B2*P2947,"")</f>
        <v>17.8318332280247</v>
      </c>
      <c r="U2947" s="84" t="n">
        <f aca="false">IF(AND(R2947=1,ISNUMBER(T2947)),E2947-T2947,"")</f>
        <v>1.96816677197529</v>
      </c>
      <c r="V2947" s="84" t="n">
        <f aca="false">IF(ISNUMBER(T2947),T2947,-99)</f>
        <v>17.8318332280247</v>
      </c>
      <c r="W2947" s="84" t="n">
        <f aca="false">IF(ISNUMBER(U2947),ABS(U2947),"")</f>
        <v>1.96816677197529</v>
      </c>
    </row>
    <row r="2948" customFormat="false" ht="15" hidden="false" customHeight="false" outlineLevel="0" collapsed="false">
      <c r="A2948" s="57" t="n">
        <v>35955</v>
      </c>
      <c r="B2948" s="56" t="n">
        <v>1998</v>
      </c>
      <c r="C2948" s="56" t="n">
        <v>6</v>
      </c>
      <c r="D2948" s="56" t="n">
        <v>40</v>
      </c>
      <c r="E2948" s="56" t="n">
        <v>17.5</v>
      </c>
      <c r="F2948" s="56" t="n">
        <v>0</v>
      </c>
      <c r="G2948" s="56" t="n">
        <v>14.3</v>
      </c>
      <c r="H2948" s="56" t="n">
        <v>0</v>
      </c>
      <c r="I2948" s="56" t="n">
        <v>17</v>
      </c>
      <c r="J2948" s="56" t="n">
        <v>0</v>
      </c>
      <c r="K2948" s="56" t="n">
        <v>1004.4</v>
      </c>
      <c r="L2948" s="56" t="n">
        <v>0</v>
      </c>
      <c r="M2948" s="56" t="n">
        <v>78</v>
      </c>
      <c r="N2948" s="56" t="n">
        <v>3.1</v>
      </c>
      <c r="O2948" s="56" t="n">
        <f aca="false">IF(D2948=1,"",E2947)</f>
        <v>19.8</v>
      </c>
      <c r="P2948" s="56" t="n">
        <f aca="false">IF(OR(D2948=1,K2947=""),"",K2947)</f>
        <v>1012.5</v>
      </c>
      <c r="Q2948" s="56" t="n">
        <f aca="false">IF(OR(F2948&lt;&gt;0,AND(I2948&lt;&gt;"",E2948&lt;I2948)),1,0)</f>
        <v>0</v>
      </c>
      <c r="R2948" s="56" t="n">
        <f aca="false">IF(AND(D2948&gt;1,Q2948=0,ISNUMBER(O2948),ISNUMBER(P2948)),IF(Q2947=0,1,0),0)</f>
        <v>1</v>
      </c>
      <c r="S2948" s="56" t="n">
        <f aca="false">R2948*(B2948&gt;=Train_Start)*(B2948&lt;=Train_End)</f>
        <v>1</v>
      </c>
      <c r="T2948" s="84" t="n">
        <f aca="false">IF(AND(ISNUMBER(O2948),ISNUMBER(P2948)),Coef_A+Coef_B1*O2948+Coef_B2*P2948,"")</f>
        <v>20.0719097611546</v>
      </c>
      <c r="U2948" s="84" t="n">
        <f aca="false">IF(AND(R2948=1,ISNUMBER(T2948)),E2948-T2948,"")</f>
        <v>-2.57190976115458</v>
      </c>
      <c r="V2948" s="84" t="n">
        <f aca="false">IF(ISNUMBER(T2948),T2948,-99)</f>
        <v>20.0719097611546</v>
      </c>
      <c r="W2948" s="84" t="n">
        <f aca="false">IF(ISNUMBER(U2948),ABS(U2948),"")</f>
        <v>2.57190976115458</v>
      </c>
    </row>
    <row r="2949" customFormat="false" ht="15" hidden="false" customHeight="false" outlineLevel="0" collapsed="false">
      <c r="A2949" s="57" t="n">
        <v>35956</v>
      </c>
      <c r="B2949" s="56" t="n">
        <v>1998</v>
      </c>
      <c r="C2949" s="56" t="n">
        <v>6</v>
      </c>
      <c r="D2949" s="56" t="n">
        <v>41</v>
      </c>
      <c r="E2949" s="56" t="n">
        <v>13</v>
      </c>
      <c r="F2949" s="56" t="n">
        <v>1</v>
      </c>
      <c r="G2949" s="56" t="n">
        <v>11.6</v>
      </c>
      <c r="H2949" s="56" t="n">
        <v>0</v>
      </c>
      <c r="I2949" s="56" t="n">
        <v>14.6</v>
      </c>
      <c r="J2949" s="56" t="n">
        <v>1</v>
      </c>
      <c r="K2949" s="56" t="n">
        <v>1001.2</v>
      </c>
      <c r="L2949" s="56" t="n">
        <v>0</v>
      </c>
      <c r="M2949" s="56" t="n">
        <v>82</v>
      </c>
      <c r="N2949" s="56" t="n">
        <v>4.7</v>
      </c>
      <c r="O2949" s="56" t="n">
        <f aca="false">IF(D2949=1,"",E2948)</f>
        <v>17.5</v>
      </c>
      <c r="P2949" s="56" t="n">
        <f aca="false">IF(OR(D2949=1,K2948=""),"",K2948)</f>
        <v>1004.4</v>
      </c>
      <c r="Q2949" s="56" t="n">
        <f aca="false">IF(OR(F2949&lt;&gt;0,AND(I2949&lt;&gt;"",E2949&lt;I2949)),1,0)</f>
        <v>1</v>
      </c>
      <c r="R2949" s="56" t="n">
        <f aca="false">IF(AND(D2949&gt;1,Q2949=0,ISNUMBER(O2949),ISNUMBER(P2949)),IF(Q2948=0,1,0),0)</f>
        <v>0</v>
      </c>
      <c r="S2949" s="56" t="n">
        <f aca="false">R2949*(B2949&gt;=Train_Start)*(B2949&lt;=Train_End)</f>
        <v>0</v>
      </c>
      <c r="T2949" s="84" t="n">
        <f aca="false">IF(AND(ISNUMBER(O2949),ISNUMBER(P2949)),Coef_A+Coef_B1*O2949+Coef_B2*P2949,"")</f>
        <v>17.9333334706212</v>
      </c>
      <c r="U2949" s="84" t="str">
        <f aca="false">IF(AND(R2949=1,ISNUMBER(T2949)),E2949-T2949,"")</f>
        <v/>
      </c>
      <c r="V2949" s="84" t="n">
        <f aca="false">IF(ISNUMBER(T2949),T2949,-99)</f>
        <v>17.9333334706212</v>
      </c>
      <c r="W2949" s="84" t="str">
        <f aca="false">IF(ISNUMBER(U2949),ABS(U2949),"")</f>
        <v/>
      </c>
    </row>
    <row r="2950" customFormat="false" ht="15" hidden="false" customHeight="false" outlineLevel="0" collapsed="false">
      <c r="A2950" s="57" t="n">
        <v>35957</v>
      </c>
      <c r="B2950" s="56" t="n">
        <v>1998</v>
      </c>
      <c r="C2950" s="56" t="n">
        <v>6</v>
      </c>
      <c r="D2950" s="56" t="n">
        <v>42</v>
      </c>
      <c r="E2950" s="56" t="n">
        <v>17.8</v>
      </c>
      <c r="F2950" s="56" t="n">
        <v>0</v>
      </c>
      <c r="G2950" s="56" t="n">
        <v>10.1</v>
      </c>
      <c r="H2950" s="56" t="n">
        <v>0</v>
      </c>
      <c r="I2950" s="56" t="n">
        <v>11.6</v>
      </c>
      <c r="J2950" s="56" t="n">
        <v>0</v>
      </c>
      <c r="K2950" s="56" t="n">
        <v>1008.5</v>
      </c>
      <c r="L2950" s="56" t="n">
        <v>0</v>
      </c>
      <c r="M2950" s="56" t="n">
        <v>83</v>
      </c>
      <c r="N2950" s="56" t="n">
        <v>0.3</v>
      </c>
      <c r="O2950" s="56" t="n">
        <f aca="false">IF(D2950=1,"",E2949)</f>
        <v>13</v>
      </c>
      <c r="P2950" s="56" t="n">
        <f aca="false">IF(OR(D2950=1,K2949=""),"",K2949)</f>
        <v>1001.2</v>
      </c>
      <c r="Q2950" s="56" t="n">
        <f aca="false">IF(OR(F2950&lt;&gt;0,AND(I2950&lt;&gt;"",E2950&lt;I2950)),1,0)</f>
        <v>0</v>
      </c>
      <c r="R2950" s="56" t="n">
        <f aca="false">IF(AND(D2950&gt;1,Q2950=0,ISNUMBER(O2950),ISNUMBER(P2950)),IF(Q2949=0,1,0),0)</f>
        <v>0</v>
      </c>
      <c r="S2950" s="56" t="n">
        <f aca="false">R2950*(B2950&gt;=Train_Start)*(B2950&lt;=Train_End)</f>
        <v>0</v>
      </c>
      <c r="T2950" s="84" t="n">
        <f aca="false">IF(AND(ISNUMBER(O2950),ISNUMBER(P2950)),Coef_A+Coef_B1*O2950+Coef_B2*P2950,"")</f>
        <v>14.1459234391004</v>
      </c>
      <c r="U2950" s="84" t="str">
        <f aca="false">IF(AND(R2950=1,ISNUMBER(T2950)),E2950-T2950,"")</f>
        <v/>
      </c>
      <c r="V2950" s="84" t="n">
        <f aca="false">IF(ISNUMBER(T2950),T2950,-99)</f>
        <v>14.1459234391004</v>
      </c>
      <c r="W2950" s="84" t="str">
        <f aca="false">IF(ISNUMBER(U2950),ABS(U2950),"")</f>
        <v/>
      </c>
    </row>
    <row r="2951" customFormat="false" ht="15" hidden="false" customHeight="false" outlineLevel="0" collapsed="false">
      <c r="A2951" s="57" t="n">
        <v>35958</v>
      </c>
      <c r="B2951" s="56" t="n">
        <v>1998</v>
      </c>
      <c r="C2951" s="56" t="n">
        <v>6</v>
      </c>
      <c r="D2951" s="56" t="n">
        <v>43</v>
      </c>
      <c r="E2951" s="56" t="n">
        <v>15.5</v>
      </c>
      <c r="F2951" s="56" t="n">
        <v>0</v>
      </c>
      <c r="G2951" s="56" t="n">
        <v>5.1</v>
      </c>
      <c r="H2951" s="56" t="n">
        <v>0</v>
      </c>
      <c r="I2951" s="56" t="n">
        <v>11.4</v>
      </c>
      <c r="J2951" s="56" t="n">
        <v>0</v>
      </c>
      <c r="K2951" s="56" t="n">
        <v>1019.4</v>
      </c>
      <c r="L2951" s="56" t="n">
        <v>0</v>
      </c>
      <c r="M2951" s="56" t="n">
        <v>62</v>
      </c>
      <c r="N2951" s="56" t="n">
        <v>12.6</v>
      </c>
      <c r="O2951" s="56" t="n">
        <f aca="false">IF(D2951=1,"",E2950)</f>
        <v>17.8</v>
      </c>
      <c r="P2951" s="56" t="n">
        <f aca="false">IF(OR(D2951=1,K2950=""),"",K2950)</f>
        <v>1008.5</v>
      </c>
      <c r="Q2951" s="56" t="n">
        <f aca="false">IF(OR(F2951&lt;&gt;0,AND(I2951&lt;&gt;"",E2951&lt;I2951)),1,0)</f>
        <v>0</v>
      </c>
      <c r="R2951" s="56" t="n">
        <f aca="false">IF(AND(D2951&gt;1,Q2951=0,ISNUMBER(O2951),ISNUMBER(P2951)),IF(Q2950=0,1,0),0)</f>
        <v>1</v>
      </c>
      <c r="S2951" s="56" t="n">
        <f aca="false">R2951*(B2951&gt;=Train_Start)*(B2951&lt;=Train_End)</f>
        <v>1</v>
      </c>
      <c r="T2951" s="84" t="n">
        <f aca="false">IF(AND(ISNUMBER(O2951),ISNUMBER(P2951)),Coef_A+Coef_B1*O2951+Coef_B2*P2951,"")</f>
        <v>18.3077517965333</v>
      </c>
      <c r="U2951" s="84" t="n">
        <f aca="false">IF(AND(R2951=1,ISNUMBER(T2951)),E2951-T2951,"")</f>
        <v>-2.80775179653331</v>
      </c>
      <c r="V2951" s="84" t="n">
        <f aca="false">IF(ISNUMBER(T2951),T2951,-99)</f>
        <v>18.3077517965333</v>
      </c>
      <c r="W2951" s="84" t="n">
        <f aca="false">IF(ISNUMBER(U2951),ABS(U2951),"")</f>
        <v>2.80775179653331</v>
      </c>
    </row>
    <row r="2952" customFormat="false" ht="15" hidden="false" customHeight="false" outlineLevel="0" collapsed="false">
      <c r="A2952" s="57" t="n">
        <v>35959</v>
      </c>
      <c r="B2952" s="56" t="n">
        <v>1998</v>
      </c>
      <c r="C2952" s="56" t="n">
        <v>6</v>
      </c>
      <c r="D2952" s="56" t="n">
        <v>44</v>
      </c>
      <c r="E2952" s="56" t="n">
        <v>18.1</v>
      </c>
      <c r="F2952" s="56" t="n">
        <v>0</v>
      </c>
      <c r="G2952" s="56" t="n">
        <v>10.5</v>
      </c>
      <c r="H2952" s="56" t="n">
        <v>0</v>
      </c>
      <c r="I2952" s="56" t="n">
        <v>13</v>
      </c>
      <c r="J2952" s="56" t="n">
        <v>0</v>
      </c>
      <c r="K2952" s="56" t="n">
        <v>1010</v>
      </c>
      <c r="L2952" s="56" t="n">
        <v>0</v>
      </c>
      <c r="M2952" s="56" t="n">
        <v>85</v>
      </c>
      <c r="N2952" s="56" t="n">
        <v>0.1</v>
      </c>
      <c r="O2952" s="56" t="n">
        <f aca="false">IF(D2952=1,"",E2951)</f>
        <v>15.5</v>
      </c>
      <c r="P2952" s="56" t="n">
        <f aca="false">IF(OR(D2952=1,K2951=""),"",K2951)</f>
        <v>1019.4</v>
      </c>
      <c r="Q2952" s="56" t="n">
        <f aca="false">IF(OR(F2952&lt;&gt;0,AND(I2952&lt;&gt;"",E2952&lt;I2952)),1,0)</f>
        <v>0</v>
      </c>
      <c r="R2952" s="56" t="n">
        <f aca="false">IF(AND(D2952&gt;1,Q2952=0,ISNUMBER(O2952),ISNUMBER(P2952)),IF(Q2951=0,1,0),0)</f>
        <v>1</v>
      </c>
      <c r="S2952" s="56" t="n">
        <f aca="false">R2952*(B2952&gt;=Train_Start)*(B2952&lt;=Train_End)</f>
        <v>1</v>
      </c>
      <c r="T2952" s="84" t="n">
        <f aca="false">IF(AND(ISNUMBER(O2952),ISNUMBER(P2952)),Coef_A+Coef_B1*O2952+Coef_B2*P2952,"")</f>
        <v>16.7652035040457</v>
      </c>
      <c r="U2952" s="84" t="n">
        <f aca="false">IF(AND(R2952=1,ISNUMBER(T2952)),E2952-T2952,"")</f>
        <v>1.33479649595433</v>
      </c>
      <c r="V2952" s="84" t="n">
        <f aca="false">IF(ISNUMBER(T2952),T2952,-99)</f>
        <v>16.7652035040457</v>
      </c>
      <c r="W2952" s="84" t="n">
        <f aca="false">IF(ISNUMBER(U2952),ABS(U2952),"")</f>
        <v>1.33479649595433</v>
      </c>
    </row>
    <row r="2953" customFormat="false" ht="15" hidden="false" customHeight="false" outlineLevel="0" collapsed="false">
      <c r="A2953" s="57" t="n">
        <v>35960</v>
      </c>
      <c r="B2953" s="56" t="n">
        <v>1998</v>
      </c>
      <c r="C2953" s="56" t="n">
        <v>6</v>
      </c>
      <c r="D2953" s="56" t="n">
        <v>45</v>
      </c>
      <c r="E2953" s="56" t="n">
        <v>18.3</v>
      </c>
      <c r="F2953" s="56" t="n">
        <v>0</v>
      </c>
      <c r="G2953" s="56" t="n">
        <v>12</v>
      </c>
      <c r="H2953" s="56" t="n">
        <v>0</v>
      </c>
      <c r="I2953" s="56" t="n">
        <v>15</v>
      </c>
      <c r="J2953" s="56" t="n">
        <v>0</v>
      </c>
      <c r="K2953" s="56" t="n">
        <v>1006.1</v>
      </c>
      <c r="L2953" s="56" t="n">
        <v>0</v>
      </c>
      <c r="M2953" s="56" t="n">
        <v>83</v>
      </c>
      <c r="N2953" s="56" t="n">
        <v>2.9</v>
      </c>
      <c r="O2953" s="56" t="n">
        <f aca="false">IF(D2953=1,"",E2952)</f>
        <v>18.1</v>
      </c>
      <c r="P2953" s="56" t="n">
        <f aca="false">IF(OR(D2953=1,K2952=""),"",K2952)</f>
        <v>1010</v>
      </c>
      <c r="Q2953" s="56" t="n">
        <f aca="false">IF(OR(F2953&lt;&gt;0,AND(I2953&lt;&gt;"",E2953&lt;I2953)),1,0)</f>
        <v>0</v>
      </c>
      <c r="R2953" s="56" t="n">
        <f aca="false">IF(AND(D2953&gt;1,Q2953=0,ISNUMBER(O2953),ISNUMBER(P2953)),IF(Q2952=0,1,0),0)</f>
        <v>1</v>
      </c>
      <c r="S2953" s="56" t="n">
        <f aca="false">R2953*(B2953&gt;=Train_Start)*(B2953&lt;=Train_End)</f>
        <v>1</v>
      </c>
      <c r="T2953" s="84" t="n">
        <f aca="false">IF(AND(ISNUMBER(O2953),ISNUMBER(P2953)),Coef_A+Coef_B1*O2953+Coef_B2*P2953,"")</f>
        <v>18.6006083963971</v>
      </c>
      <c r="U2953" s="84" t="n">
        <f aca="false">IF(AND(R2953=1,ISNUMBER(T2953)),E2953-T2953,"")</f>
        <v>-0.300608396397085</v>
      </c>
      <c r="V2953" s="84" t="n">
        <f aca="false">IF(ISNUMBER(T2953),T2953,-99)</f>
        <v>18.6006083963971</v>
      </c>
      <c r="W2953" s="84" t="n">
        <f aca="false">IF(ISNUMBER(U2953),ABS(U2953),"")</f>
        <v>0.300608396397085</v>
      </c>
    </row>
    <row r="2954" customFormat="false" ht="15" hidden="false" customHeight="false" outlineLevel="0" collapsed="false">
      <c r="A2954" s="57" t="n">
        <v>35961</v>
      </c>
      <c r="B2954" s="56" t="n">
        <v>1998</v>
      </c>
      <c r="C2954" s="56" t="n">
        <v>6</v>
      </c>
      <c r="D2954" s="56" t="n">
        <v>46</v>
      </c>
      <c r="E2954" s="56" t="n">
        <v>18.1</v>
      </c>
      <c r="F2954" s="56" t="n">
        <v>0</v>
      </c>
      <c r="G2954" s="56" t="n">
        <v>10.9</v>
      </c>
      <c r="H2954" s="56" t="n">
        <v>0</v>
      </c>
      <c r="I2954" s="56" t="n">
        <v>14.6</v>
      </c>
      <c r="J2954" s="56" t="n">
        <v>0</v>
      </c>
      <c r="K2954" s="56" t="n">
        <v>1011.8</v>
      </c>
      <c r="L2954" s="56" t="n">
        <v>0</v>
      </c>
      <c r="M2954" s="56" t="n">
        <v>82</v>
      </c>
      <c r="N2954" s="56" t="n">
        <v>2.8</v>
      </c>
      <c r="O2954" s="56" t="n">
        <f aca="false">IF(D2954=1,"",E2953)</f>
        <v>18.3</v>
      </c>
      <c r="P2954" s="56" t="n">
        <f aca="false">IF(OR(D2954=1,K2953=""),"",K2953)</f>
        <v>1006.1</v>
      </c>
      <c r="Q2954" s="56" t="n">
        <f aca="false">IF(OR(F2954&lt;&gt;0,AND(I2954&lt;&gt;"",E2954&lt;I2954)),1,0)</f>
        <v>0</v>
      </c>
      <c r="R2954" s="56" t="n">
        <f aca="false">IF(AND(D2954&gt;1,Q2954=0,ISNUMBER(O2954),ISNUMBER(P2954)),IF(Q2953=0,1,0),0)</f>
        <v>1</v>
      </c>
      <c r="S2954" s="56" t="n">
        <f aca="false">R2954*(B2954&gt;=Train_Start)*(B2954&lt;=Train_End)</f>
        <v>1</v>
      </c>
      <c r="T2954" s="84" t="n">
        <f aca="false">IF(AND(ISNUMBER(O2954),ISNUMBER(P2954)),Coef_A+Coef_B1*O2954+Coef_B2*P2954,"")</f>
        <v>18.6421336459331</v>
      </c>
      <c r="U2954" s="84" t="n">
        <f aca="false">IF(AND(R2954=1,ISNUMBER(T2954)),E2954-T2954,"")</f>
        <v>-0.54213364593306</v>
      </c>
      <c r="V2954" s="84" t="n">
        <f aca="false">IF(ISNUMBER(T2954),T2954,-99)</f>
        <v>18.6421336459331</v>
      </c>
      <c r="W2954" s="84" t="n">
        <f aca="false">IF(ISNUMBER(U2954),ABS(U2954),"")</f>
        <v>0.54213364593306</v>
      </c>
    </row>
    <row r="2955" customFormat="false" ht="15" hidden="false" customHeight="false" outlineLevel="0" collapsed="false">
      <c r="A2955" s="57" t="n">
        <v>35962</v>
      </c>
      <c r="B2955" s="56" t="n">
        <v>1998</v>
      </c>
      <c r="C2955" s="56" t="n">
        <v>6</v>
      </c>
      <c r="D2955" s="56" t="n">
        <v>47</v>
      </c>
      <c r="E2955" s="56" t="n">
        <v>17.9</v>
      </c>
      <c r="F2955" s="56" t="n">
        <v>0</v>
      </c>
      <c r="G2955" s="56" t="n">
        <v>12.3</v>
      </c>
      <c r="H2955" s="56" t="n">
        <v>0</v>
      </c>
      <c r="I2955" s="56" t="n">
        <v>15.2</v>
      </c>
      <c r="J2955" s="56" t="n">
        <v>0</v>
      </c>
      <c r="K2955" s="56" t="n">
        <v>1019.6</v>
      </c>
      <c r="L2955" s="56" t="n">
        <v>0</v>
      </c>
      <c r="M2955" s="56" t="n">
        <v>70</v>
      </c>
      <c r="N2955" s="56" t="n">
        <v>4.3</v>
      </c>
      <c r="O2955" s="56" t="n">
        <f aca="false">IF(D2955=1,"",E2954)</f>
        <v>18.1</v>
      </c>
      <c r="P2955" s="56" t="n">
        <f aca="false">IF(OR(D2955=1,K2954=""),"",K2954)</f>
        <v>1011.8</v>
      </c>
      <c r="Q2955" s="56" t="n">
        <f aca="false">IF(OR(F2955&lt;&gt;0,AND(I2955&lt;&gt;"",E2955&lt;I2955)),1,0)</f>
        <v>0</v>
      </c>
      <c r="R2955" s="56" t="n">
        <f aca="false">IF(AND(D2955&gt;1,Q2955=0,ISNUMBER(O2955),ISNUMBER(P2955)),IF(Q2954=0,1,0),0)</f>
        <v>1</v>
      </c>
      <c r="S2955" s="56" t="n">
        <f aca="false">R2955*(B2955&gt;=Train_Start)*(B2955&lt;=Train_End)</f>
        <v>1</v>
      </c>
      <c r="T2955" s="84" t="n">
        <f aca="false">IF(AND(ISNUMBER(O2955),ISNUMBER(P2955)),Coef_A+Coef_B1*O2955+Coef_B2*P2955,"")</f>
        <v>18.6570742067383</v>
      </c>
      <c r="U2955" s="84" t="n">
        <f aca="false">IF(AND(R2955=1,ISNUMBER(T2955)),E2955-T2955,"")</f>
        <v>-0.757074206738267</v>
      </c>
      <c r="V2955" s="84" t="n">
        <f aca="false">IF(ISNUMBER(T2955),T2955,-99)</f>
        <v>18.6570742067383</v>
      </c>
      <c r="W2955" s="84" t="n">
        <f aca="false">IF(ISNUMBER(U2955),ABS(U2955),"")</f>
        <v>0.757074206738267</v>
      </c>
    </row>
    <row r="2956" customFormat="false" ht="15" hidden="false" customHeight="false" outlineLevel="0" collapsed="false">
      <c r="A2956" s="57" t="n">
        <v>35963</v>
      </c>
      <c r="B2956" s="56" t="n">
        <v>1998</v>
      </c>
      <c r="C2956" s="56" t="n">
        <v>6</v>
      </c>
      <c r="D2956" s="56" t="n">
        <v>48</v>
      </c>
      <c r="E2956" s="56" t="n">
        <v>18.6</v>
      </c>
      <c r="F2956" s="56" t="n">
        <v>0</v>
      </c>
      <c r="G2956" s="56" t="n">
        <v>9.4</v>
      </c>
      <c r="H2956" s="56" t="n">
        <v>0</v>
      </c>
      <c r="I2956" s="56" t="n">
        <v>13.6</v>
      </c>
      <c r="J2956" s="56" t="n">
        <v>0</v>
      </c>
      <c r="K2956" s="56" t="n">
        <v>1024.6</v>
      </c>
      <c r="L2956" s="56" t="n">
        <v>0</v>
      </c>
      <c r="M2956" s="56" t="n">
        <v>80</v>
      </c>
      <c r="N2956" s="56" t="n">
        <v>3</v>
      </c>
      <c r="O2956" s="56" t="n">
        <f aca="false">IF(D2956=1,"",E2955)</f>
        <v>17.9</v>
      </c>
      <c r="P2956" s="56" t="n">
        <f aca="false">IF(OR(D2956=1,K2955=""),"",K2955)</f>
        <v>1019.6</v>
      </c>
      <c r="Q2956" s="56" t="n">
        <f aca="false">IF(OR(F2956&lt;&gt;0,AND(I2956&lt;&gt;"",E2956&lt;I2956)),1,0)</f>
        <v>0</v>
      </c>
      <c r="R2956" s="56" t="n">
        <f aca="false">IF(AND(D2956&gt;1,Q2956=0,ISNUMBER(O2956),ISNUMBER(P2956)),IF(Q2955=0,1,0),0)</f>
        <v>1</v>
      </c>
      <c r="S2956" s="56" t="n">
        <f aca="false">R2956*(B2956&gt;=Train_Start)*(B2956&lt;=Train_End)</f>
        <v>1</v>
      </c>
      <c r="T2956" s="84" t="n">
        <f aca="false">IF(AND(ISNUMBER(O2956),ISNUMBER(P2956)),Coef_A+Coef_B1*O2956+Coef_B2*P2956,"")</f>
        <v>18.7378915462749</v>
      </c>
      <c r="U2956" s="84" t="n">
        <f aca="false">IF(AND(R2956=1,ISNUMBER(T2956)),E2956-T2956,"")</f>
        <v>-0.137891546274851</v>
      </c>
      <c r="V2956" s="84" t="n">
        <f aca="false">IF(ISNUMBER(T2956),T2956,-99)</f>
        <v>18.7378915462749</v>
      </c>
      <c r="W2956" s="84" t="n">
        <f aca="false">IF(ISNUMBER(U2956),ABS(U2956),"")</f>
        <v>0.137891546274851</v>
      </c>
    </row>
    <row r="2957" customFormat="false" ht="15" hidden="false" customHeight="false" outlineLevel="0" collapsed="false">
      <c r="A2957" s="57" t="n">
        <v>35964</v>
      </c>
      <c r="B2957" s="56" t="n">
        <v>1998</v>
      </c>
      <c r="C2957" s="56" t="n">
        <v>6</v>
      </c>
      <c r="D2957" s="56" t="n">
        <v>49</v>
      </c>
      <c r="E2957" s="56" t="n">
        <v>25.2</v>
      </c>
      <c r="F2957" s="56" t="n">
        <v>0</v>
      </c>
      <c r="G2957" s="56" t="n">
        <v>11.9</v>
      </c>
      <c r="H2957" s="56" t="n">
        <v>0</v>
      </c>
      <c r="I2957" s="56" t="n">
        <v>15.2</v>
      </c>
      <c r="J2957" s="56" t="n">
        <v>0</v>
      </c>
      <c r="K2957" s="56" t="n">
        <v>1022.7</v>
      </c>
      <c r="L2957" s="56" t="n">
        <v>0</v>
      </c>
      <c r="M2957" s="56" t="n">
        <v>85</v>
      </c>
      <c r="N2957" s="56" t="n">
        <v>0</v>
      </c>
      <c r="O2957" s="56" t="n">
        <f aca="false">IF(D2957=1,"",E2956)</f>
        <v>18.6</v>
      </c>
      <c r="P2957" s="56" t="n">
        <f aca="false">IF(OR(D2957=1,K2956=""),"",K2956)</f>
        <v>1024.6</v>
      </c>
      <c r="Q2957" s="56" t="n">
        <f aca="false">IF(OR(F2957&lt;&gt;0,AND(I2957&lt;&gt;"",E2957&lt;I2957)),1,0)</f>
        <v>0</v>
      </c>
      <c r="R2957" s="56" t="n">
        <f aca="false">IF(AND(D2957&gt;1,Q2957=0,ISNUMBER(O2957),ISNUMBER(P2957)),IF(Q2956=0,1,0),0)</f>
        <v>1</v>
      </c>
      <c r="S2957" s="56" t="n">
        <f aca="false">R2957*(B2957&gt;=Train_Start)*(B2957&lt;=Train_End)</f>
        <v>1</v>
      </c>
      <c r="T2957" s="84" t="n">
        <f aca="false">IF(AND(ISNUMBER(O2957),ISNUMBER(P2957)),Coef_A+Coef_B1*O2957+Coef_B2*P2957,"")</f>
        <v>19.4682784545747</v>
      </c>
      <c r="U2957" s="84" t="n">
        <f aca="false">IF(AND(R2957=1,ISNUMBER(T2957)),E2957-T2957,"")</f>
        <v>5.73172154542534</v>
      </c>
      <c r="V2957" s="84" t="n">
        <f aca="false">IF(ISNUMBER(T2957),T2957,-99)</f>
        <v>19.4682784545747</v>
      </c>
      <c r="W2957" s="84" t="n">
        <f aca="false">IF(ISNUMBER(U2957),ABS(U2957),"")</f>
        <v>5.73172154542534</v>
      </c>
    </row>
    <row r="2958" customFormat="false" ht="15" hidden="false" customHeight="false" outlineLevel="0" collapsed="false">
      <c r="A2958" s="57" t="n">
        <v>35965</v>
      </c>
      <c r="B2958" s="56" t="n">
        <v>1998</v>
      </c>
      <c r="C2958" s="56" t="n">
        <v>6</v>
      </c>
      <c r="D2958" s="56" t="n">
        <v>50</v>
      </c>
      <c r="E2958" s="56" t="n">
        <v>28.4</v>
      </c>
      <c r="F2958" s="56" t="n">
        <v>0</v>
      </c>
      <c r="G2958" s="56" t="n">
        <v>14.4</v>
      </c>
      <c r="H2958" s="56" t="n">
        <v>0</v>
      </c>
      <c r="I2958" s="56" t="n">
        <v>19.8</v>
      </c>
      <c r="J2958" s="56" t="n">
        <v>0</v>
      </c>
      <c r="K2958" s="56" t="n">
        <v>1022.5</v>
      </c>
      <c r="L2958" s="56" t="n">
        <v>0</v>
      </c>
      <c r="M2958" s="56" t="n">
        <v>70</v>
      </c>
      <c r="N2958" s="56" t="n">
        <v>7.2</v>
      </c>
      <c r="O2958" s="56" t="n">
        <f aca="false">IF(D2958=1,"",E2957)</f>
        <v>25.2</v>
      </c>
      <c r="P2958" s="56" t="n">
        <f aca="false">IF(OR(D2958=1,K2957=""),"",K2957)</f>
        <v>1022.7</v>
      </c>
      <c r="Q2958" s="56" t="n">
        <f aca="false">IF(OR(F2958&lt;&gt;0,AND(I2958&lt;&gt;"",E2958&lt;I2958)),1,0)</f>
        <v>0</v>
      </c>
      <c r="R2958" s="56" t="n">
        <f aca="false">IF(AND(D2958&gt;1,Q2958=0,ISNUMBER(O2958),ISNUMBER(P2958)),IF(Q2957=0,1,0),0)</f>
        <v>1</v>
      </c>
      <c r="S2958" s="56" t="n">
        <f aca="false">R2958*(B2958&gt;=Train_Start)*(B2958&lt;=Train_End)</f>
        <v>1</v>
      </c>
      <c r="T2958" s="84" t="n">
        <f aca="false">IF(AND(ISNUMBER(O2958),ISNUMBER(P2958)),Coef_A+Coef_B1*O2958+Coef_B2*P2958,"")</f>
        <v>24.8163143288516</v>
      </c>
      <c r="U2958" s="84" t="n">
        <f aca="false">IF(AND(R2958=1,ISNUMBER(T2958)),E2958-T2958,"")</f>
        <v>3.58368567114837</v>
      </c>
      <c r="V2958" s="84" t="n">
        <f aca="false">IF(ISNUMBER(T2958),T2958,-99)</f>
        <v>24.8163143288516</v>
      </c>
      <c r="W2958" s="84" t="n">
        <f aca="false">IF(ISNUMBER(U2958),ABS(U2958),"")</f>
        <v>3.58368567114837</v>
      </c>
    </row>
    <row r="2959" customFormat="false" ht="15" hidden="false" customHeight="false" outlineLevel="0" collapsed="false">
      <c r="A2959" s="57" t="n">
        <v>35966</v>
      </c>
      <c r="B2959" s="56" t="n">
        <v>1998</v>
      </c>
      <c r="C2959" s="56" t="n">
        <v>6</v>
      </c>
      <c r="D2959" s="56" t="n">
        <v>51</v>
      </c>
      <c r="E2959" s="56" t="n">
        <v>25.2</v>
      </c>
      <c r="F2959" s="56" t="n">
        <v>0</v>
      </c>
      <c r="G2959" s="56" t="n">
        <v>15.1</v>
      </c>
      <c r="H2959" s="56" t="n">
        <v>0</v>
      </c>
      <c r="I2959" s="56" t="n">
        <v>21.8</v>
      </c>
      <c r="J2959" s="56" t="n">
        <v>0</v>
      </c>
      <c r="K2959" s="56" t="n">
        <v>1018.5</v>
      </c>
      <c r="L2959" s="56" t="n">
        <v>0</v>
      </c>
      <c r="M2959" s="56" t="n">
        <v>66</v>
      </c>
      <c r="N2959" s="56" t="n">
        <v>7.3</v>
      </c>
      <c r="O2959" s="56" t="n">
        <f aca="false">IF(D2959=1,"",E2958)</f>
        <v>28.4</v>
      </c>
      <c r="P2959" s="56" t="n">
        <f aca="false">IF(OR(D2959=1,K2958=""),"",K2958)</f>
        <v>1022.5</v>
      </c>
      <c r="Q2959" s="56" t="n">
        <f aca="false">IF(OR(F2959&lt;&gt;0,AND(I2959&lt;&gt;"",E2959&lt;I2959)),1,0)</f>
        <v>0</v>
      </c>
      <c r="R2959" s="56" t="n">
        <f aca="false">IF(AND(D2959&gt;1,Q2959=0,ISNUMBER(O2959),ISNUMBER(P2959)),IF(Q2958=0,1,0),0)</f>
        <v>1</v>
      </c>
      <c r="S2959" s="56" t="n">
        <f aca="false">R2959*(B2959&gt;=Train_Start)*(B2959&lt;=Train_End)</f>
        <v>1</v>
      </c>
      <c r="T2959" s="84" t="n">
        <f aca="false">IF(AND(ISNUMBER(O2959),ISNUMBER(P2959)),Coef_A+Coef_B1*O2959+Coef_B2*P2959,"")</f>
        <v>27.4319257676613</v>
      </c>
      <c r="U2959" s="84" t="n">
        <f aca="false">IF(AND(R2959=1,ISNUMBER(T2959)),E2959-T2959,"")</f>
        <v>-2.23192576766133</v>
      </c>
      <c r="V2959" s="84" t="n">
        <f aca="false">IF(ISNUMBER(T2959),T2959,-99)</f>
        <v>27.4319257676613</v>
      </c>
      <c r="W2959" s="84" t="n">
        <f aca="false">IF(ISNUMBER(U2959),ABS(U2959),"")</f>
        <v>2.23192576766133</v>
      </c>
    </row>
    <row r="2960" customFormat="false" ht="15" hidden="false" customHeight="false" outlineLevel="0" collapsed="false">
      <c r="A2960" s="57" t="n">
        <v>35967</v>
      </c>
      <c r="B2960" s="56" t="n">
        <v>1998</v>
      </c>
      <c r="C2960" s="56" t="n">
        <v>6</v>
      </c>
      <c r="D2960" s="56" t="n">
        <v>52</v>
      </c>
      <c r="E2960" s="56" t="n">
        <v>21.8</v>
      </c>
      <c r="F2960" s="56" t="n">
        <v>0</v>
      </c>
      <c r="G2960" s="56" t="n">
        <v>17.1</v>
      </c>
      <c r="H2960" s="56" t="n">
        <v>0</v>
      </c>
      <c r="I2960" s="56" t="n">
        <v>21.2</v>
      </c>
      <c r="J2960" s="56" t="n">
        <v>0</v>
      </c>
      <c r="K2960" s="56" t="n">
        <v>1016.7</v>
      </c>
      <c r="L2960" s="56" t="n">
        <v>0</v>
      </c>
      <c r="M2960" s="56" t="n">
        <v>64</v>
      </c>
      <c r="N2960" s="56" t="n">
        <v>12.6</v>
      </c>
      <c r="O2960" s="56" t="n">
        <f aca="false">IF(D2960=1,"",E2959)</f>
        <v>25.2</v>
      </c>
      <c r="P2960" s="56" t="n">
        <f aca="false">IF(OR(D2960=1,K2959=""),"",K2959)</f>
        <v>1018.5</v>
      </c>
      <c r="Q2960" s="56" t="n">
        <f aca="false">IF(OR(F2960&lt;&gt;0,AND(I2960&lt;&gt;"",E2960&lt;I2960)),1,0)</f>
        <v>0</v>
      </c>
      <c r="R2960" s="56" t="n">
        <f aca="false">IF(AND(D2960&gt;1,Q2960=0,ISNUMBER(O2960),ISNUMBER(P2960)),IF(Q2959=0,1,0),0)</f>
        <v>1</v>
      </c>
      <c r="S2960" s="56" t="n">
        <f aca="false">R2960*(B2960&gt;=Train_Start)*(B2960&lt;=Train_End)</f>
        <v>1</v>
      </c>
      <c r="T2960" s="84" t="n">
        <f aca="false">IF(AND(ISNUMBER(O2960),ISNUMBER(P2960)),Coef_A+Coef_B1*O2960+Coef_B2*P2960,"")</f>
        <v>24.6845607713889</v>
      </c>
      <c r="U2960" s="84" t="n">
        <f aca="false">IF(AND(R2960=1,ISNUMBER(T2960)),E2960-T2960,"")</f>
        <v>-2.88456077138887</v>
      </c>
      <c r="V2960" s="84" t="n">
        <f aca="false">IF(ISNUMBER(T2960),T2960,-99)</f>
        <v>24.6845607713889</v>
      </c>
      <c r="W2960" s="84" t="n">
        <f aca="false">IF(ISNUMBER(U2960),ABS(U2960),"")</f>
        <v>2.88456077138887</v>
      </c>
    </row>
    <row r="2961" customFormat="false" ht="15" hidden="false" customHeight="false" outlineLevel="0" collapsed="false">
      <c r="A2961" s="57" t="n">
        <v>35968</v>
      </c>
      <c r="B2961" s="56" t="n">
        <v>1998</v>
      </c>
      <c r="C2961" s="56" t="n">
        <v>6</v>
      </c>
      <c r="D2961" s="56" t="n">
        <v>53</v>
      </c>
      <c r="E2961" s="56" t="n">
        <v>20.5</v>
      </c>
      <c r="F2961" s="56" t="n">
        <v>0</v>
      </c>
      <c r="G2961" s="56" t="n">
        <v>11.7</v>
      </c>
      <c r="H2961" s="56" t="n">
        <v>0</v>
      </c>
      <c r="I2961" s="56" t="n">
        <v>16.8</v>
      </c>
      <c r="J2961" s="56" t="n">
        <v>0</v>
      </c>
      <c r="K2961" s="56" t="n">
        <v>1022.3</v>
      </c>
      <c r="L2961" s="56" t="n">
        <v>0</v>
      </c>
      <c r="M2961" s="56" t="n">
        <v>67</v>
      </c>
      <c r="N2961" s="56" t="n">
        <v>11.4</v>
      </c>
      <c r="O2961" s="56" t="n">
        <f aca="false">IF(D2961=1,"",E2960)</f>
        <v>21.8</v>
      </c>
      <c r="P2961" s="56" t="n">
        <f aca="false">IF(OR(D2961=1,K2960=""),"",K2960)</f>
        <v>1016.7</v>
      </c>
      <c r="Q2961" s="56" t="n">
        <f aca="false">IF(OR(F2961&lt;&gt;0,AND(I2961&lt;&gt;"",E2961&lt;I2961)),1,0)</f>
        <v>0</v>
      </c>
      <c r="R2961" s="56" t="n">
        <f aca="false">IF(AND(D2961&gt;1,Q2961=0,ISNUMBER(O2961),ISNUMBER(P2961)),IF(Q2960=0,1,0),0)</f>
        <v>1</v>
      </c>
      <c r="S2961" s="56" t="n">
        <f aca="false">R2961*(B2961&gt;=Train_Start)*(B2961&lt;=Train_End)</f>
        <v>1</v>
      </c>
      <c r="T2961" s="84" t="n">
        <f aca="false">IF(AND(ISNUMBER(O2961),ISNUMBER(P2961)),Coef_A+Coef_B1*O2961+Coef_B2*P2961,"")</f>
        <v>21.8423417047027</v>
      </c>
      <c r="U2961" s="84" t="n">
        <f aca="false">IF(AND(R2961=1,ISNUMBER(T2961)),E2961-T2961,"")</f>
        <v>-1.34234170470265</v>
      </c>
      <c r="V2961" s="84" t="n">
        <f aca="false">IF(ISNUMBER(T2961),T2961,-99)</f>
        <v>21.8423417047027</v>
      </c>
      <c r="W2961" s="84" t="n">
        <f aca="false">IF(ISNUMBER(U2961),ABS(U2961),"")</f>
        <v>1.34234170470265</v>
      </c>
    </row>
    <row r="2962" customFormat="false" ht="15" hidden="false" customHeight="false" outlineLevel="0" collapsed="false">
      <c r="A2962" s="57" t="n">
        <v>35969</v>
      </c>
      <c r="B2962" s="56" t="n">
        <v>1998</v>
      </c>
      <c r="C2962" s="56" t="n">
        <v>6</v>
      </c>
      <c r="D2962" s="56" t="n">
        <v>54</v>
      </c>
      <c r="E2962" s="56" t="n">
        <v>23.8</v>
      </c>
      <c r="F2962" s="56" t="n">
        <v>0</v>
      </c>
      <c r="G2962" s="56" t="n">
        <v>13.4</v>
      </c>
      <c r="H2962" s="56" t="n">
        <v>0</v>
      </c>
      <c r="I2962" s="56" t="n">
        <v>17</v>
      </c>
      <c r="J2962" s="56" t="n">
        <v>0</v>
      </c>
      <c r="K2962" s="56" t="n">
        <v>1019</v>
      </c>
      <c r="L2962" s="56" t="n">
        <v>0</v>
      </c>
      <c r="M2962" s="56" t="n">
        <v>85</v>
      </c>
      <c r="N2962" s="56" t="n">
        <v>0.3</v>
      </c>
      <c r="O2962" s="56" t="n">
        <f aca="false">IF(D2962=1,"",E2961)</f>
        <v>20.5</v>
      </c>
      <c r="P2962" s="56" t="n">
        <f aca="false">IF(OR(D2962=1,K2961=""),"",K2961)</f>
        <v>1022.3</v>
      </c>
      <c r="Q2962" s="56" t="n">
        <f aca="false">IF(OR(F2962&lt;&gt;0,AND(I2962&lt;&gt;"",E2962&lt;I2962)),1,0)</f>
        <v>0</v>
      </c>
      <c r="R2962" s="56" t="n">
        <f aca="false">IF(AND(D2962&gt;1,Q2962=0,ISNUMBER(O2962),ISNUMBER(P2962)),IF(Q2961=0,1,0),0)</f>
        <v>1</v>
      </c>
      <c r="S2962" s="56" t="n">
        <f aca="false">R2962*(B2962&gt;=Train_Start)*(B2962&lt;=Train_End)</f>
        <v>1</v>
      </c>
      <c r="T2962" s="84" t="n">
        <f aca="false">IF(AND(ISNUMBER(O2962),ISNUMBER(P2962)),Coef_A+Coef_B1*O2962+Coef_B2*P2962,"")</f>
        <v>20.9528721636975</v>
      </c>
      <c r="U2962" s="84" t="n">
        <f aca="false">IF(AND(R2962=1,ISNUMBER(T2962)),E2962-T2962,"")</f>
        <v>2.84712783630247</v>
      </c>
      <c r="V2962" s="84" t="n">
        <f aca="false">IF(ISNUMBER(T2962),T2962,-99)</f>
        <v>20.9528721636975</v>
      </c>
      <c r="W2962" s="84" t="n">
        <f aca="false">IF(ISNUMBER(U2962),ABS(U2962),"")</f>
        <v>2.84712783630247</v>
      </c>
    </row>
    <row r="2963" customFormat="false" ht="15" hidden="false" customHeight="false" outlineLevel="0" collapsed="false">
      <c r="A2963" s="57" t="n">
        <v>35970</v>
      </c>
      <c r="B2963" s="56" t="n">
        <v>1998</v>
      </c>
      <c r="C2963" s="56" t="n">
        <v>6</v>
      </c>
      <c r="D2963" s="56" t="n">
        <v>55</v>
      </c>
      <c r="E2963" s="56" t="n">
        <v>20.2</v>
      </c>
      <c r="F2963" s="56" t="n">
        <v>0</v>
      </c>
      <c r="G2963" s="56" t="n">
        <v>15.2</v>
      </c>
      <c r="H2963" s="56" t="n">
        <v>0</v>
      </c>
      <c r="I2963" s="56" t="n">
        <v>19.5</v>
      </c>
      <c r="J2963" s="56" t="n">
        <v>0</v>
      </c>
      <c r="K2963" s="56" t="n">
        <v>1013</v>
      </c>
      <c r="L2963" s="56" t="n">
        <v>0</v>
      </c>
      <c r="M2963" s="56" t="n">
        <v>74</v>
      </c>
      <c r="N2963" s="56" t="n">
        <v>9.2</v>
      </c>
      <c r="O2963" s="56" t="n">
        <f aca="false">IF(D2963=1,"",E2962)</f>
        <v>23.8</v>
      </c>
      <c r="P2963" s="56" t="n">
        <f aca="false">IF(OR(D2963=1,K2962=""),"",K2962)</f>
        <v>1019</v>
      </c>
      <c r="Q2963" s="56" t="n">
        <f aca="false">IF(OR(F2963&lt;&gt;0,AND(I2963&lt;&gt;"",E2963&lt;I2963)),1,0)</f>
        <v>0</v>
      </c>
      <c r="R2963" s="56" t="n">
        <f aca="false">IF(AND(D2963&gt;1,Q2963=0,ISNUMBER(O2963),ISNUMBER(P2963)),IF(Q2962=0,1,0),0)</f>
        <v>1</v>
      </c>
      <c r="S2963" s="56" t="n">
        <f aca="false">R2963*(B2963&gt;=Train_Start)*(B2963&lt;=Train_End)</f>
        <v>1</v>
      </c>
      <c r="T2963" s="84" t="n">
        <f aca="false">IF(AND(ISNUMBER(O2963),ISNUMBER(P2963)),Coef_A+Coef_B1*O2963+Coef_B2*P2963,"")</f>
        <v>23.5531708484461</v>
      </c>
      <c r="U2963" s="84" t="n">
        <f aca="false">IF(AND(R2963=1,ISNUMBER(T2963)),E2963-T2963,"")</f>
        <v>-3.35317084844614</v>
      </c>
      <c r="V2963" s="84" t="n">
        <f aca="false">IF(ISNUMBER(T2963),T2963,-99)</f>
        <v>23.5531708484461</v>
      </c>
      <c r="W2963" s="84" t="n">
        <f aca="false">IF(ISNUMBER(U2963),ABS(U2963),"")</f>
        <v>3.35317084844614</v>
      </c>
    </row>
    <row r="2964" customFormat="false" ht="15" hidden="false" customHeight="false" outlineLevel="0" collapsed="false">
      <c r="A2964" s="57" t="n">
        <v>35971</v>
      </c>
      <c r="B2964" s="56" t="n">
        <v>1998</v>
      </c>
      <c r="C2964" s="56" t="n">
        <v>6</v>
      </c>
      <c r="D2964" s="56" t="n">
        <v>56</v>
      </c>
      <c r="E2964" s="56" t="n">
        <v>18.6</v>
      </c>
      <c r="F2964" s="56" t="n">
        <v>0</v>
      </c>
      <c r="G2964" s="56" t="n">
        <v>13</v>
      </c>
      <c r="H2964" s="56" t="n">
        <v>0</v>
      </c>
      <c r="I2964" s="56" t="n">
        <v>16.6</v>
      </c>
      <c r="J2964" s="56" t="n">
        <v>0</v>
      </c>
      <c r="K2964" s="56" t="n">
        <v>1010.9</v>
      </c>
      <c r="L2964" s="56" t="n">
        <v>0</v>
      </c>
      <c r="M2964" s="56" t="n">
        <v>75</v>
      </c>
      <c r="N2964" s="56" t="n">
        <v>6.5</v>
      </c>
      <c r="O2964" s="56" t="n">
        <f aca="false">IF(D2964=1,"",E2963)</f>
        <v>20.2</v>
      </c>
      <c r="P2964" s="56" t="n">
        <f aca="false">IF(OR(D2964=1,K2963=""),"",K2963)</f>
        <v>1013</v>
      </c>
      <c r="Q2964" s="56" t="n">
        <f aca="false">IF(OR(F2964&lt;&gt;0,AND(I2964&lt;&gt;"",E2964&lt;I2964)),1,0)</f>
        <v>0</v>
      </c>
      <c r="R2964" s="56" t="n">
        <f aca="false">IF(AND(D2964&gt;1,Q2964=0,ISNUMBER(O2964),ISNUMBER(P2964)),IF(Q2963=0,1,0),0)</f>
        <v>1</v>
      </c>
      <c r="S2964" s="56" t="n">
        <f aca="false">R2964*(B2964&gt;=Train_Start)*(B2964&lt;=Train_End)</f>
        <v>1</v>
      </c>
      <c r="T2964" s="84" t="n">
        <f aca="false">IF(AND(ISNUMBER(O2964),ISNUMBER(P2964)),Coef_A+Coef_B1*O2964+Coef_B2*P2964,"")</f>
        <v>20.4153303856886</v>
      </c>
      <c r="U2964" s="84" t="n">
        <f aca="false">IF(AND(R2964=1,ISNUMBER(T2964)),E2964-T2964,"")</f>
        <v>-1.81533038568863</v>
      </c>
      <c r="V2964" s="84" t="n">
        <f aca="false">IF(ISNUMBER(T2964),T2964,-99)</f>
        <v>20.4153303856886</v>
      </c>
      <c r="W2964" s="84" t="n">
        <f aca="false">IF(ISNUMBER(U2964),ABS(U2964),"")</f>
        <v>1.81533038568863</v>
      </c>
    </row>
    <row r="2965" customFormat="false" ht="15" hidden="false" customHeight="false" outlineLevel="0" collapsed="false">
      <c r="A2965" s="57" t="n">
        <v>35972</v>
      </c>
      <c r="B2965" s="56" t="n">
        <v>1998</v>
      </c>
      <c r="C2965" s="56" t="n">
        <v>6</v>
      </c>
      <c r="D2965" s="56" t="n">
        <v>57</v>
      </c>
      <c r="E2965" s="56" t="n">
        <v>20.3</v>
      </c>
      <c r="F2965" s="56" t="n">
        <v>0</v>
      </c>
      <c r="G2965" s="56" t="n">
        <v>12.2</v>
      </c>
      <c r="H2965" s="56" t="n">
        <v>0</v>
      </c>
      <c r="I2965" s="56" t="n">
        <v>15.4</v>
      </c>
      <c r="J2965" s="56" t="n">
        <v>0</v>
      </c>
      <c r="K2965" s="56" t="n">
        <v>1010.8</v>
      </c>
      <c r="L2965" s="56" t="n">
        <v>0</v>
      </c>
      <c r="M2965" s="56" t="n">
        <v>78</v>
      </c>
      <c r="N2965" s="56" t="n">
        <v>0.3</v>
      </c>
      <c r="O2965" s="56" t="n">
        <f aca="false">IF(D2965=1,"",E2964)</f>
        <v>18.6</v>
      </c>
      <c r="P2965" s="56" t="n">
        <f aca="false">IF(OR(D2965=1,K2964=""),"",K2964)</f>
        <v>1010.9</v>
      </c>
      <c r="Q2965" s="56" t="n">
        <f aca="false">IF(OR(F2965&lt;&gt;0,AND(I2965&lt;&gt;"",E2965&lt;I2965)),1,0)</f>
        <v>0</v>
      </c>
      <c r="R2965" s="56" t="n">
        <f aca="false">IF(AND(D2965&gt;1,Q2965=0,ISNUMBER(O2965),ISNUMBER(P2965)),IF(Q2964=0,1,0),0)</f>
        <v>1</v>
      </c>
      <c r="S2965" s="56" t="n">
        <f aca="false">R2965*(B2965&gt;=Train_Start)*(B2965&lt;=Train_End)</f>
        <v>1</v>
      </c>
      <c r="T2965" s="84" t="n">
        <f aca="false">IF(AND(ISNUMBER(O2965),ISNUMBER(P2965)),Coef_A+Coef_B1*O2965+Coef_B2*P2965,"")</f>
        <v>19.038510898089</v>
      </c>
      <c r="U2965" s="84" t="n">
        <f aca="false">IF(AND(R2965=1,ISNUMBER(T2965)),E2965-T2965,"")</f>
        <v>1.261489101911</v>
      </c>
      <c r="V2965" s="84" t="n">
        <f aca="false">IF(ISNUMBER(T2965),T2965,-99)</f>
        <v>19.038510898089</v>
      </c>
      <c r="W2965" s="84" t="n">
        <f aca="false">IF(ISNUMBER(U2965),ABS(U2965),"")</f>
        <v>1.261489101911</v>
      </c>
    </row>
    <row r="2966" customFormat="false" ht="15" hidden="false" customHeight="false" outlineLevel="0" collapsed="false">
      <c r="A2966" s="57" t="n">
        <v>35973</v>
      </c>
      <c r="B2966" s="56" t="n">
        <v>1998</v>
      </c>
      <c r="C2966" s="56" t="n">
        <v>6</v>
      </c>
      <c r="D2966" s="56" t="n">
        <v>58</v>
      </c>
      <c r="E2966" s="56" t="n">
        <v>22.2</v>
      </c>
      <c r="F2966" s="56" t="n">
        <v>0</v>
      </c>
      <c r="G2966" s="56" t="n">
        <v>13.4</v>
      </c>
      <c r="H2966" s="56" t="n">
        <v>0</v>
      </c>
      <c r="I2966" s="56" t="n">
        <v>16.8</v>
      </c>
      <c r="J2966" s="56" t="n">
        <v>0</v>
      </c>
      <c r="K2966" s="56" t="n">
        <v>1006.8</v>
      </c>
      <c r="L2966" s="56" t="n">
        <v>0</v>
      </c>
      <c r="M2966" s="56" t="n">
        <v>79</v>
      </c>
      <c r="N2966" s="56" t="n">
        <v>7</v>
      </c>
      <c r="O2966" s="56" t="n">
        <f aca="false">IF(D2966=1,"",E2965)</f>
        <v>20.3</v>
      </c>
      <c r="P2966" s="56" t="n">
        <f aca="false">IF(OR(D2966=1,K2965=""),"",K2965)</f>
        <v>1010.8</v>
      </c>
      <c r="Q2966" s="56" t="n">
        <f aca="false">IF(OR(F2966&lt;&gt;0,AND(I2966&lt;&gt;"",E2966&lt;I2966)),1,0)</f>
        <v>0</v>
      </c>
      <c r="R2966" s="56" t="n">
        <f aca="false">IF(AND(D2966&gt;1,Q2966=0,ISNUMBER(O2966),ISNUMBER(P2966)),IF(Q2965=0,1,0),0)</f>
        <v>1</v>
      </c>
      <c r="S2966" s="56" t="n">
        <f aca="false">R2966*(B2966&gt;=Train_Start)*(B2966&lt;=Train_End)</f>
        <v>1</v>
      </c>
      <c r="T2966" s="84" t="n">
        <f aca="false">IF(AND(ISNUMBER(O2966),ISNUMBER(P2966)),Coef_A+Coef_B1*O2966+Coef_B2*P2966,"")</f>
        <v>20.4282505367981</v>
      </c>
      <c r="U2966" s="84" t="n">
        <f aca="false">IF(AND(R2966=1,ISNUMBER(T2966)),E2966-T2966,"")</f>
        <v>1.77174946320188</v>
      </c>
      <c r="V2966" s="84" t="n">
        <f aca="false">IF(ISNUMBER(T2966),T2966,-99)</f>
        <v>20.4282505367981</v>
      </c>
      <c r="W2966" s="84" t="n">
        <f aca="false">IF(ISNUMBER(U2966),ABS(U2966),"")</f>
        <v>1.77174946320188</v>
      </c>
    </row>
    <row r="2967" customFormat="false" ht="15" hidden="false" customHeight="false" outlineLevel="0" collapsed="false">
      <c r="A2967" s="57" t="n">
        <v>35974</v>
      </c>
      <c r="B2967" s="56" t="n">
        <v>1998</v>
      </c>
      <c r="C2967" s="56" t="n">
        <v>6</v>
      </c>
      <c r="D2967" s="56" t="n">
        <v>59</v>
      </c>
      <c r="E2967" s="56" t="n">
        <v>19</v>
      </c>
      <c r="F2967" s="56" t="n">
        <v>0</v>
      </c>
      <c r="G2967" s="56" t="n">
        <v>11.1</v>
      </c>
      <c r="H2967" s="56" t="n">
        <v>0</v>
      </c>
      <c r="I2967" s="56" t="n">
        <v>16.6</v>
      </c>
      <c r="J2967" s="56" t="n">
        <v>0</v>
      </c>
      <c r="K2967" s="56" t="n">
        <v>1014.4</v>
      </c>
      <c r="L2967" s="56" t="n">
        <v>0</v>
      </c>
      <c r="M2967" s="56" t="n">
        <v>70</v>
      </c>
      <c r="N2967" s="56" t="n">
        <v>12.4</v>
      </c>
      <c r="O2967" s="56" t="n">
        <f aca="false">IF(D2967=1,"",E2966)</f>
        <v>22.2</v>
      </c>
      <c r="P2967" s="56" t="n">
        <f aca="false">IF(OR(D2967=1,K2966=""),"",K2966)</f>
        <v>1006.8</v>
      </c>
      <c r="Q2967" s="56" t="n">
        <f aca="false">IF(OR(F2967&lt;&gt;0,AND(I2967&lt;&gt;"",E2967&lt;I2967)),1,0)</f>
        <v>0</v>
      </c>
      <c r="R2967" s="56" t="n">
        <f aca="false">IF(AND(D2967&gt;1,Q2967=0,ISNUMBER(O2967),ISNUMBER(P2967)),IF(Q2966=0,1,0),0)</f>
        <v>1</v>
      </c>
      <c r="S2967" s="56" t="n">
        <f aca="false">R2967*(B2967&gt;=Train_Start)*(B2967&lt;=Train_End)</f>
        <v>1</v>
      </c>
      <c r="T2967" s="84" t="n">
        <f aca="false">IF(AND(ISNUMBER(O2967),ISNUMBER(P2967)),Coef_A+Coef_B1*O2967+Coef_B2*P2967,"")</f>
        <v>21.8595154250432</v>
      </c>
      <c r="U2967" s="84" t="n">
        <f aca="false">IF(AND(R2967=1,ISNUMBER(T2967)),E2967-T2967,"")</f>
        <v>-2.85951542504322</v>
      </c>
      <c r="V2967" s="84" t="n">
        <f aca="false">IF(ISNUMBER(T2967),T2967,-99)</f>
        <v>21.8595154250432</v>
      </c>
      <c r="W2967" s="84" t="n">
        <f aca="false">IF(ISNUMBER(U2967),ABS(U2967),"")</f>
        <v>2.85951542504322</v>
      </c>
    </row>
    <row r="2968" customFormat="false" ht="15" hidden="false" customHeight="false" outlineLevel="0" collapsed="false">
      <c r="A2968" s="57" t="n">
        <v>35975</v>
      </c>
      <c r="B2968" s="56" t="n">
        <v>1998</v>
      </c>
      <c r="C2968" s="56" t="n">
        <v>6</v>
      </c>
      <c r="D2968" s="56" t="n">
        <v>60</v>
      </c>
      <c r="E2968" s="56" t="n">
        <v>19.6</v>
      </c>
      <c r="F2968" s="56" t="n">
        <v>0</v>
      </c>
      <c r="G2968" s="56" t="n">
        <v>10.9</v>
      </c>
      <c r="H2968" s="56" t="n">
        <v>0</v>
      </c>
      <c r="I2968" s="56" t="n">
        <v>15</v>
      </c>
      <c r="J2968" s="56" t="n">
        <v>0</v>
      </c>
      <c r="K2968" s="56" t="n">
        <v>1017.4</v>
      </c>
      <c r="L2968" s="56" t="n">
        <v>0</v>
      </c>
      <c r="M2968" s="56" t="n">
        <v>79</v>
      </c>
      <c r="N2968" s="56" t="n">
        <v>1.3</v>
      </c>
      <c r="O2968" s="56" t="n">
        <f aca="false">IF(D2968=1,"",E2967)</f>
        <v>19</v>
      </c>
      <c r="P2968" s="56" t="n">
        <f aca="false">IF(OR(D2968=1,K2967=""),"",K2967)</f>
        <v>1014.4</v>
      </c>
      <c r="Q2968" s="56" t="n">
        <f aca="false">IF(OR(F2968&lt;&gt;0,AND(I2968&lt;&gt;"",E2968&lt;I2968)),1,0)</f>
        <v>0</v>
      </c>
      <c r="R2968" s="56" t="n">
        <f aca="false">IF(AND(D2968&gt;1,Q2968=0,ISNUMBER(O2968),ISNUMBER(P2968)),IF(Q2967=0,1,0),0)</f>
        <v>1</v>
      </c>
      <c r="S2968" s="56" t="n">
        <f aca="false">R2968*(B2968&gt;=Train_Start)*(B2968&lt;=Train_End)</f>
        <v>1</v>
      </c>
      <c r="T2968" s="84" t="n">
        <f aca="false">IF(AND(ISNUMBER(O2968),ISNUMBER(P2968)),Coef_A+Coef_B1*O2968+Coef_B2*P2968,"")</f>
        <v>19.476041206525</v>
      </c>
      <c r="U2968" s="84" t="n">
        <f aca="false">IF(AND(R2968=1,ISNUMBER(T2968)),E2968-T2968,"")</f>
        <v>0.123958793474969</v>
      </c>
      <c r="V2968" s="84" t="n">
        <f aca="false">IF(ISNUMBER(T2968),T2968,-99)</f>
        <v>19.476041206525</v>
      </c>
      <c r="W2968" s="84" t="n">
        <f aca="false">IF(ISNUMBER(U2968),ABS(U2968),"")</f>
        <v>0.123958793474969</v>
      </c>
    </row>
    <row r="2969" customFormat="false" ht="15" hidden="false" customHeight="false" outlineLevel="0" collapsed="false">
      <c r="A2969" s="57" t="n">
        <v>35976</v>
      </c>
      <c r="B2969" s="56" t="n">
        <v>1998</v>
      </c>
      <c r="C2969" s="56" t="n">
        <v>6</v>
      </c>
      <c r="D2969" s="56" t="n">
        <v>61</v>
      </c>
      <c r="E2969" s="56" t="n">
        <v>19.9</v>
      </c>
      <c r="F2969" s="56" t="n">
        <v>0</v>
      </c>
      <c r="G2969" s="56" t="n">
        <v>13.6</v>
      </c>
      <c r="H2969" s="56" t="n">
        <v>0</v>
      </c>
      <c r="I2969" s="56" t="n">
        <v>16.6</v>
      </c>
      <c r="J2969" s="56" t="n">
        <v>0</v>
      </c>
      <c r="K2969" s="56" t="n">
        <v>1012.8</v>
      </c>
      <c r="L2969" s="56" t="n">
        <v>0</v>
      </c>
      <c r="M2969" s="56" t="n">
        <v>73</v>
      </c>
      <c r="N2969" s="56" t="n">
        <v>5.7</v>
      </c>
      <c r="O2969" s="56" t="n">
        <f aca="false">IF(D2969=1,"",E2968)</f>
        <v>19.6</v>
      </c>
      <c r="P2969" s="56" t="n">
        <f aca="false">IF(OR(D2969=1,K2968=""),"",K2968)</f>
        <v>1017.4</v>
      </c>
      <c r="Q2969" s="56" t="n">
        <f aca="false">IF(OR(F2969&lt;&gt;0,AND(I2969&lt;&gt;"",E2969&lt;I2969)),1,0)</f>
        <v>0</v>
      </c>
      <c r="R2969" s="56" t="n">
        <f aca="false">IF(AND(D2969&gt;1,Q2969=0,ISNUMBER(O2969),ISNUMBER(P2969)),IF(Q2968=0,1,0),0)</f>
        <v>1</v>
      </c>
      <c r="S2969" s="56" t="n">
        <f aca="false">R2969*(B2969&gt;=Train_Start)*(B2969&lt;=Train_End)</f>
        <v>1</v>
      </c>
      <c r="T2969" s="84" t="n">
        <f aca="false">IF(AND(ISNUMBER(O2969),ISNUMBER(P2969)),Coef_A+Coef_B1*O2969+Coef_B2*P2969,"")</f>
        <v>20.0617544062526</v>
      </c>
      <c r="U2969" s="84" t="n">
        <f aca="false">IF(AND(R2969=1,ISNUMBER(T2969)),E2969-T2969,"")</f>
        <v>-0.161754406252598</v>
      </c>
      <c r="V2969" s="84" t="n">
        <f aca="false">IF(ISNUMBER(T2969),T2969,-99)</f>
        <v>20.0617544062526</v>
      </c>
      <c r="W2969" s="84" t="n">
        <f aca="false">IF(ISNUMBER(U2969),ABS(U2969),"")</f>
        <v>0.161754406252598</v>
      </c>
    </row>
    <row r="2970" customFormat="false" ht="15" hidden="false" customHeight="false" outlineLevel="0" collapsed="false">
      <c r="A2970" s="57" t="n">
        <v>35977</v>
      </c>
      <c r="B2970" s="56" t="n">
        <v>1998</v>
      </c>
      <c r="C2970" s="56" t="n">
        <v>7</v>
      </c>
      <c r="D2970" s="56" t="n">
        <v>62</v>
      </c>
      <c r="E2970" s="56" t="n">
        <v>17</v>
      </c>
      <c r="F2970" s="56" t="n">
        <v>0</v>
      </c>
      <c r="G2970" s="56" t="n">
        <v>12.9</v>
      </c>
      <c r="H2970" s="56" t="n">
        <v>0</v>
      </c>
      <c r="I2970" s="56" t="n">
        <v>16.4</v>
      </c>
      <c r="J2970" s="56" t="n">
        <v>0</v>
      </c>
      <c r="K2970" s="56" t="n">
        <v>1015.7</v>
      </c>
      <c r="L2970" s="56" t="n">
        <v>0</v>
      </c>
      <c r="M2970" s="56" t="n">
        <v>67</v>
      </c>
      <c r="N2970" s="56" t="n">
        <v>9.4</v>
      </c>
      <c r="O2970" s="56" t="n">
        <f aca="false">IF(D2970=1,"",E2969)</f>
        <v>19.9</v>
      </c>
      <c r="P2970" s="56" t="n">
        <f aca="false">IF(OR(D2970=1,K2969=""),"",K2969)</f>
        <v>1012.8</v>
      </c>
      <c r="Q2970" s="56" t="n">
        <f aca="false">IF(OR(F2970&lt;&gt;0,AND(I2970&lt;&gt;"",E2970&lt;I2970)),1,0)</f>
        <v>0</v>
      </c>
      <c r="R2970" s="56" t="n">
        <f aca="false">IF(AND(D2970&gt;1,Q2970=0,ISNUMBER(O2970),ISNUMBER(P2970)),IF(Q2969=0,1,0),0)</f>
        <v>1</v>
      </c>
      <c r="S2970" s="56" t="n">
        <f aca="false">R2970*(B2970&gt;=Train_Start)*(B2970&lt;=Train_End)</f>
        <v>1</v>
      </c>
      <c r="T2970" s="84" t="n">
        <f aca="false">IF(AND(ISNUMBER(O2970),ISNUMBER(P2970)),Coef_A+Coef_B1*O2970+Coef_B2*P2970,"")</f>
        <v>20.163254648849</v>
      </c>
      <c r="U2970" s="84" t="n">
        <f aca="false">IF(AND(R2970=1,ISNUMBER(T2970)),E2970-T2970,"")</f>
        <v>-3.16325464884904</v>
      </c>
      <c r="V2970" s="84" t="n">
        <f aca="false">IF(ISNUMBER(T2970),T2970,-99)</f>
        <v>20.163254648849</v>
      </c>
      <c r="W2970" s="84" t="n">
        <f aca="false">IF(ISNUMBER(U2970),ABS(U2970),"")</f>
        <v>3.16325464884904</v>
      </c>
    </row>
    <row r="2971" customFormat="false" ht="15" hidden="false" customHeight="false" outlineLevel="0" collapsed="false">
      <c r="A2971" s="57" t="n">
        <v>35978</v>
      </c>
      <c r="B2971" s="56" t="n">
        <v>1998</v>
      </c>
      <c r="C2971" s="56" t="n">
        <v>7</v>
      </c>
      <c r="D2971" s="56" t="n">
        <v>63</v>
      </c>
      <c r="E2971" s="56" t="n">
        <v>19.6</v>
      </c>
      <c r="F2971" s="56" t="n">
        <v>0</v>
      </c>
      <c r="G2971" s="56" t="n">
        <v>11</v>
      </c>
      <c r="H2971" s="56" t="n">
        <v>0</v>
      </c>
      <c r="I2971" s="56" t="n">
        <v>14</v>
      </c>
      <c r="J2971" s="56" t="n">
        <v>0</v>
      </c>
      <c r="K2971" s="56" t="n">
        <v>1019.4</v>
      </c>
      <c r="L2971" s="56" t="n">
        <v>0</v>
      </c>
      <c r="M2971" s="56" t="n">
        <v>73</v>
      </c>
      <c r="N2971" s="56" t="n">
        <v>0.1</v>
      </c>
      <c r="O2971" s="56" t="n">
        <f aca="false">IF(D2971=1,"",E2970)</f>
        <v>17</v>
      </c>
      <c r="P2971" s="56" t="n">
        <f aca="false">IF(OR(D2971=1,K2970=""),"",K2970)</f>
        <v>1015.7</v>
      </c>
      <c r="Q2971" s="56" t="n">
        <f aca="false">IF(OR(F2971&lt;&gt;0,AND(I2971&lt;&gt;"",E2971&lt;I2971)),1,0)</f>
        <v>0</v>
      </c>
      <c r="R2971" s="56" t="n">
        <f aca="false">IF(AND(D2971&gt;1,Q2971=0,ISNUMBER(O2971),ISNUMBER(P2971)),IF(Q2970=0,1,0),0)</f>
        <v>1</v>
      </c>
      <c r="S2971" s="56" t="n">
        <f aca="false">R2971*(B2971&gt;=Train_Start)*(B2971&lt;=Train_End)</f>
        <v>1</v>
      </c>
      <c r="T2971" s="84" t="n">
        <f aca="false">IF(AND(ISNUMBER(O2971),ISNUMBER(P2971)),Coef_A+Coef_B1*O2971+Coef_B2*P2971,"")</f>
        <v>17.8781436834639</v>
      </c>
      <c r="U2971" s="84" t="n">
        <f aca="false">IF(AND(R2971=1,ISNUMBER(T2971)),E2971-T2971,"")</f>
        <v>1.7218563165361</v>
      </c>
      <c r="V2971" s="84" t="n">
        <f aca="false">IF(ISNUMBER(T2971),T2971,-99)</f>
        <v>17.8781436834639</v>
      </c>
      <c r="W2971" s="84" t="n">
        <f aca="false">IF(ISNUMBER(U2971),ABS(U2971),"")</f>
        <v>1.7218563165361</v>
      </c>
    </row>
    <row r="2972" customFormat="false" ht="15" hidden="false" customHeight="false" outlineLevel="0" collapsed="false">
      <c r="A2972" s="57" t="n">
        <v>35979</v>
      </c>
      <c r="B2972" s="56" t="n">
        <v>1998</v>
      </c>
      <c r="C2972" s="56" t="n">
        <v>7</v>
      </c>
      <c r="D2972" s="56" t="n">
        <v>64</v>
      </c>
      <c r="E2972" s="56" t="n">
        <v>19.1</v>
      </c>
      <c r="F2972" s="56" t="n">
        <v>0</v>
      </c>
      <c r="G2972" s="56" t="n">
        <v>10.1</v>
      </c>
      <c r="H2972" s="56" t="n">
        <v>0</v>
      </c>
      <c r="I2972" s="56" t="n">
        <v>14.8</v>
      </c>
      <c r="J2972" s="56" t="n">
        <v>0</v>
      </c>
      <c r="K2972" s="56" t="n">
        <v>1022.2</v>
      </c>
      <c r="L2972" s="56" t="n">
        <v>0</v>
      </c>
      <c r="M2972" s="56" t="n">
        <v>70</v>
      </c>
      <c r="N2972" s="56" t="n">
        <v>3.7</v>
      </c>
      <c r="O2972" s="56" t="n">
        <f aca="false">IF(D2972=1,"",E2971)</f>
        <v>19.6</v>
      </c>
      <c r="P2972" s="56" t="n">
        <f aca="false">IF(OR(D2972=1,K2971=""),"",K2971)</f>
        <v>1019.4</v>
      </c>
      <c r="Q2972" s="56" t="n">
        <f aca="false">IF(OR(F2972&lt;&gt;0,AND(I2972&lt;&gt;"",E2972&lt;I2972)),1,0)</f>
        <v>0</v>
      </c>
      <c r="R2972" s="56" t="n">
        <f aca="false">IF(AND(D2972&gt;1,Q2972=0,ISNUMBER(O2972),ISNUMBER(P2972)),IF(Q2971=0,1,0),0)</f>
        <v>1</v>
      </c>
      <c r="S2972" s="56" t="n">
        <f aca="false">R2972*(B2972&gt;=Train_Start)*(B2972&lt;=Train_End)</f>
        <v>1</v>
      </c>
      <c r="T2972" s="84" t="n">
        <f aca="false">IF(AND(ISNUMBER(O2972),ISNUMBER(P2972)),Coef_A+Coef_B1*O2972+Coef_B2*P2972,"")</f>
        <v>20.1244941955206</v>
      </c>
      <c r="U2972" s="84" t="n">
        <f aca="false">IF(AND(R2972=1,ISNUMBER(T2972)),E2972-T2972,"")</f>
        <v>-1.02449419552057</v>
      </c>
      <c r="V2972" s="84" t="n">
        <f aca="false">IF(ISNUMBER(T2972),T2972,-99)</f>
        <v>20.1244941955206</v>
      </c>
      <c r="W2972" s="84" t="n">
        <f aca="false">IF(ISNUMBER(U2972),ABS(U2972),"")</f>
        <v>1.02449419552057</v>
      </c>
    </row>
    <row r="2973" customFormat="false" ht="15" hidden="false" customHeight="false" outlineLevel="0" collapsed="false">
      <c r="A2973" s="57" t="n">
        <v>35980</v>
      </c>
      <c r="B2973" s="56" t="n">
        <v>1998</v>
      </c>
      <c r="C2973" s="56" t="n">
        <v>7</v>
      </c>
      <c r="D2973" s="56" t="n">
        <v>65</v>
      </c>
      <c r="E2973" s="56" t="n">
        <v>23.3</v>
      </c>
      <c r="F2973" s="56" t="n">
        <v>0</v>
      </c>
      <c r="G2973" s="56" t="n">
        <v>11.3</v>
      </c>
      <c r="H2973" s="56" t="n">
        <v>0</v>
      </c>
      <c r="I2973" s="56" t="n">
        <v>15.2</v>
      </c>
      <c r="J2973" s="56" t="n">
        <v>0</v>
      </c>
      <c r="K2973" s="56" t="n">
        <v>1023.5</v>
      </c>
      <c r="L2973" s="56" t="n">
        <v>0</v>
      </c>
      <c r="M2973" s="56" t="n">
        <v>75</v>
      </c>
      <c r="N2973" s="56" t="n">
        <v>0.8</v>
      </c>
      <c r="O2973" s="56" t="n">
        <f aca="false">IF(D2973=1,"",E2972)</f>
        <v>19.1</v>
      </c>
      <c r="P2973" s="56" t="n">
        <f aca="false">IF(OR(D2973=1,K2972=""),"",K2972)</f>
        <v>1022.2</v>
      </c>
      <c r="Q2973" s="56" t="n">
        <f aca="false">IF(OR(F2973&lt;&gt;0,AND(I2973&lt;&gt;"",E2973&lt;I2973)),1,0)</f>
        <v>0</v>
      </c>
      <c r="R2973" s="56" t="n">
        <f aca="false">IF(AND(D2973&gt;1,Q2973=0,ISNUMBER(O2973),ISNUMBER(P2973)),IF(Q2972=0,1,0),0)</f>
        <v>1</v>
      </c>
      <c r="S2973" s="56" t="n">
        <f aca="false">R2973*(B2973&gt;=Train_Start)*(B2973&lt;=Train_End)</f>
        <v>1</v>
      </c>
      <c r="T2973" s="84" t="n">
        <f aca="false">IF(AND(ISNUMBER(O2973),ISNUMBER(P2973)),Coef_A+Coef_B1*O2973+Coef_B2*P2973,"")</f>
        <v>19.8026603039744</v>
      </c>
      <c r="U2973" s="84" t="n">
        <f aca="false">IF(AND(R2973=1,ISNUMBER(T2973)),E2973-T2973,"")</f>
        <v>3.49733969602558</v>
      </c>
      <c r="V2973" s="84" t="n">
        <f aca="false">IF(ISNUMBER(T2973),T2973,-99)</f>
        <v>19.8026603039744</v>
      </c>
      <c r="W2973" s="84" t="n">
        <f aca="false">IF(ISNUMBER(U2973),ABS(U2973),"")</f>
        <v>3.49733969602558</v>
      </c>
    </row>
    <row r="2974" customFormat="false" ht="15" hidden="false" customHeight="false" outlineLevel="0" collapsed="false">
      <c r="A2974" s="57" t="n">
        <v>35981</v>
      </c>
      <c r="B2974" s="56" t="n">
        <v>1998</v>
      </c>
      <c r="C2974" s="56" t="n">
        <v>7</v>
      </c>
      <c r="D2974" s="56" t="n">
        <v>66</v>
      </c>
      <c r="E2974" s="56" t="n">
        <v>19.3</v>
      </c>
      <c r="F2974" s="56" t="n">
        <v>0</v>
      </c>
      <c r="G2974" s="56" t="n">
        <v>12.1</v>
      </c>
      <c r="H2974" s="56" t="n">
        <v>0</v>
      </c>
      <c r="I2974" s="56" t="n">
        <v>17.7</v>
      </c>
      <c r="J2974" s="56" t="n">
        <v>0</v>
      </c>
      <c r="K2974" s="56" t="n">
        <v>1018.3</v>
      </c>
      <c r="L2974" s="56" t="n">
        <v>0</v>
      </c>
      <c r="M2974" s="56" t="n">
        <v>72</v>
      </c>
      <c r="N2974" s="56" t="n">
        <v>9.1</v>
      </c>
      <c r="O2974" s="56" t="n">
        <f aca="false">IF(D2974=1,"",E2973)</f>
        <v>23.3</v>
      </c>
      <c r="P2974" s="56" t="n">
        <f aca="false">IF(OR(D2974=1,K2973=""),"",K2973)</f>
        <v>1023.5</v>
      </c>
      <c r="Q2974" s="56" t="n">
        <f aca="false">IF(OR(F2974&lt;&gt;0,AND(I2974&lt;&gt;"",E2974&lt;I2974)),1,0)</f>
        <v>0</v>
      </c>
      <c r="R2974" s="56" t="n">
        <f aca="false">IF(AND(D2974&gt;1,Q2974=0,ISNUMBER(O2974),ISNUMBER(P2974)),IF(Q2973=0,1,0),0)</f>
        <v>1</v>
      </c>
      <c r="S2974" s="56" t="n">
        <f aca="false">R2974*(B2974&gt;=Train_Start)*(B2974&lt;=Train_End)</f>
        <v>1</v>
      </c>
      <c r="T2974" s="84" t="n">
        <f aca="false">IF(AND(ISNUMBER(O2974),ISNUMBER(P2974)),Coef_A+Coef_B1*O2974+Coef_B2*P2974,"")</f>
        <v>23.2846657777778</v>
      </c>
      <c r="U2974" s="84" t="n">
        <f aca="false">IF(AND(R2974=1,ISNUMBER(T2974)),E2974-T2974,"")</f>
        <v>-3.98466577777777</v>
      </c>
      <c r="V2974" s="84" t="n">
        <f aca="false">IF(ISNUMBER(T2974),T2974,-99)</f>
        <v>23.2846657777778</v>
      </c>
      <c r="W2974" s="84" t="n">
        <f aca="false">IF(ISNUMBER(U2974),ABS(U2974),"")</f>
        <v>3.98466577777777</v>
      </c>
    </row>
    <row r="2975" customFormat="false" ht="15" hidden="false" customHeight="false" outlineLevel="0" collapsed="false">
      <c r="A2975" s="57" t="n">
        <v>35982</v>
      </c>
      <c r="B2975" s="56" t="n">
        <v>1998</v>
      </c>
      <c r="C2975" s="56" t="n">
        <v>7</v>
      </c>
      <c r="D2975" s="56" t="n">
        <v>67</v>
      </c>
      <c r="E2975" s="56" t="n">
        <v>20.5</v>
      </c>
      <c r="F2975" s="56" t="n">
        <v>0</v>
      </c>
      <c r="G2975" s="56" t="n">
        <v>15.9</v>
      </c>
      <c r="H2975" s="56" t="n">
        <v>0</v>
      </c>
      <c r="I2975" s="56" t="n">
        <v>17.6</v>
      </c>
      <c r="J2975" s="56" t="n">
        <v>0</v>
      </c>
      <c r="K2975" s="56" t="n">
        <v>1013.7</v>
      </c>
      <c r="L2975" s="56" t="n">
        <v>0</v>
      </c>
      <c r="M2975" s="56" t="n">
        <v>81</v>
      </c>
      <c r="N2975" s="56" t="n">
        <v>0</v>
      </c>
      <c r="O2975" s="56" t="n">
        <f aca="false">IF(D2975=1,"",E2974)</f>
        <v>19.3</v>
      </c>
      <c r="P2975" s="56" t="n">
        <f aca="false">IF(OR(D2975=1,K2974=""),"",K2974)</f>
        <v>1018.3</v>
      </c>
      <c r="Q2975" s="56" t="n">
        <f aca="false">IF(OR(F2975&lt;&gt;0,AND(I2975&lt;&gt;"",E2975&lt;I2975)),1,0)</f>
        <v>0</v>
      </c>
      <c r="R2975" s="56" t="n">
        <f aca="false">IF(AND(D2975&gt;1,Q2975=0,ISNUMBER(O2975),ISNUMBER(P2975)),IF(Q2974=0,1,0),0)</f>
        <v>1</v>
      </c>
      <c r="S2975" s="56" t="n">
        <f aca="false">R2975*(B2975&gt;=Train_Start)*(B2975&lt;=Train_End)</f>
        <v>1</v>
      </c>
      <c r="T2975" s="84" t="n">
        <f aca="false">IF(AND(ISNUMBER(O2975),ISNUMBER(P2975)),Coef_A+Coef_B1*O2975+Coef_B2*P2975,"")</f>
        <v>19.8441855535104</v>
      </c>
      <c r="U2975" s="84" t="n">
        <f aca="false">IF(AND(R2975=1,ISNUMBER(T2975)),E2975-T2975,"")</f>
        <v>0.655814446489615</v>
      </c>
      <c r="V2975" s="84" t="n">
        <f aca="false">IF(ISNUMBER(T2975),T2975,-99)</f>
        <v>19.8441855535104</v>
      </c>
      <c r="W2975" s="84" t="n">
        <f aca="false">IF(ISNUMBER(U2975),ABS(U2975),"")</f>
        <v>0.655814446489615</v>
      </c>
    </row>
    <row r="2976" customFormat="false" ht="15" hidden="false" customHeight="false" outlineLevel="0" collapsed="false">
      <c r="A2976" s="57" t="n">
        <v>35983</v>
      </c>
      <c r="B2976" s="56" t="n">
        <v>1998</v>
      </c>
      <c r="C2976" s="56" t="n">
        <v>7</v>
      </c>
      <c r="D2976" s="56" t="n">
        <v>68</v>
      </c>
      <c r="E2976" s="56" t="n">
        <v>22.7</v>
      </c>
      <c r="F2976" s="56" t="n">
        <v>0</v>
      </c>
      <c r="G2976" s="56" t="n">
        <v>12.6</v>
      </c>
      <c r="H2976" s="56" t="n">
        <v>0</v>
      </c>
      <c r="I2976" s="56" t="n">
        <v>16.6</v>
      </c>
      <c r="J2976" s="56" t="n">
        <v>0</v>
      </c>
      <c r="K2976" s="56" t="n">
        <v>1014.5</v>
      </c>
      <c r="L2976" s="56" t="n">
        <v>0</v>
      </c>
      <c r="M2976" s="56" t="n">
        <v>66</v>
      </c>
      <c r="N2976" s="56" t="n">
        <v>5.2</v>
      </c>
      <c r="O2976" s="56" t="n">
        <f aca="false">IF(D2976=1,"",E2975)</f>
        <v>20.5</v>
      </c>
      <c r="P2976" s="56" t="n">
        <f aca="false">IF(OR(D2976=1,K2975=""),"",K2975)</f>
        <v>1013.7</v>
      </c>
      <c r="Q2976" s="56" t="n">
        <f aca="false">IF(OR(F2976&lt;&gt;0,AND(I2976&lt;&gt;"",E2976&lt;I2976)),1,0)</f>
        <v>0</v>
      </c>
      <c r="R2976" s="56" t="n">
        <f aca="false">IF(AND(D2976&gt;1,Q2976=0,ISNUMBER(O2976),ISNUMBER(P2976)),IF(Q2975=0,1,0),0)</f>
        <v>1</v>
      </c>
      <c r="S2976" s="56" t="n">
        <f aca="false">R2976*(B2976&gt;=Train_Start)*(B2976&lt;=Train_End)</f>
        <v>1</v>
      </c>
      <c r="T2976" s="84" t="n">
        <f aca="false">IF(AND(ISNUMBER(O2976),ISNUMBER(P2976)),Coef_A+Coef_B1*O2976+Coef_B2*P2976,"")</f>
        <v>20.6830910698452</v>
      </c>
      <c r="U2976" s="84" t="n">
        <f aca="false">IF(AND(R2976=1,ISNUMBER(T2976)),E2976-T2976,"")</f>
        <v>2.01690893015477</v>
      </c>
      <c r="V2976" s="84" t="n">
        <f aca="false">IF(ISNUMBER(T2976),T2976,-99)</f>
        <v>20.6830910698452</v>
      </c>
      <c r="W2976" s="84" t="n">
        <f aca="false">IF(ISNUMBER(U2976),ABS(U2976),"")</f>
        <v>2.01690893015477</v>
      </c>
    </row>
    <row r="2977" customFormat="false" ht="15" hidden="false" customHeight="false" outlineLevel="0" collapsed="false">
      <c r="A2977" s="57" t="n">
        <v>35984</v>
      </c>
      <c r="B2977" s="56" t="n">
        <v>1998</v>
      </c>
      <c r="C2977" s="56" t="n">
        <v>7</v>
      </c>
      <c r="D2977" s="56" t="n">
        <v>69</v>
      </c>
      <c r="E2977" s="56" t="n">
        <v>21.9</v>
      </c>
      <c r="F2977" s="56" t="n">
        <v>0</v>
      </c>
      <c r="G2977" s="56" t="n">
        <v>8.9</v>
      </c>
      <c r="H2977" s="56" t="n">
        <v>0</v>
      </c>
      <c r="I2977" s="56" t="n">
        <v>15.8</v>
      </c>
      <c r="J2977" s="56" t="n">
        <v>0</v>
      </c>
      <c r="K2977" s="56" t="n">
        <v>1015.8</v>
      </c>
      <c r="L2977" s="56" t="n">
        <v>0</v>
      </c>
      <c r="M2977" s="56" t="n">
        <v>68</v>
      </c>
      <c r="N2977" s="56" t="n">
        <v>5.9</v>
      </c>
      <c r="O2977" s="56" t="n">
        <f aca="false">IF(D2977=1,"",E2976)</f>
        <v>22.7</v>
      </c>
      <c r="P2977" s="56" t="n">
        <f aca="false">IF(OR(D2977=1,K2976=""),"",K2976)</f>
        <v>1014.5</v>
      </c>
      <c r="Q2977" s="56" t="n">
        <f aca="false">IF(OR(F2977&lt;&gt;0,AND(I2977&lt;&gt;"",E2977&lt;I2977)),1,0)</f>
        <v>0</v>
      </c>
      <c r="R2977" s="56" t="n">
        <f aca="false">IF(AND(D2977&gt;1,Q2977=0,ISNUMBER(O2977),ISNUMBER(P2977)),IF(Q2976=0,1,0),0)</f>
        <v>1</v>
      </c>
      <c r="S2977" s="56" t="n">
        <f aca="false">R2977*(B2977&gt;=Train_Start)*(B2977&lt;=Train_End)</f>
        <v>1</v>
      </c>
      <c r="T2977" s="84" t="n">
        <f aca="false">IF(AND(ISNUMBER(O2977),ISNUMBER(P2977)),Coef_A+Coef_B1*O2977+Coef_B2*P2977,"")</f>
        <v>22.5107332102463</v>
      </c>
      <c r="U2977" s="84" t="n">
        <f aca="false">IF(AND(R2977=1,ISNUMBER(T2977)),E2977-T2977,"")</f>
        <v>-0.610733210246263</v>
      </c>
      <c r="V2977" s="84" t="n">
        <f aca="false">IF(ISNUMBER(T2977),T2977,-99)</f>
        <v>22.5107332102463</v>
      </c>
      <c r="W2977" s="84" t="n">
        <f aca="false">IF(ISNUMBER(U2977),ABS(U2977),"")</f>
        <v>0.610733210246263</v>
      </c>
    </row>
    <row r="2978" customFormat="false" ht="15" hidden="false" customHeight="false" outlineLevel="0" collapsed="false">
      <c r="A2978" s="57" t="n">
        <v>35985</v>
      </c>
      <c r="B2978" s="56" t="n">
        <v>1998</v>
      </c>
      <c r="C2978" s="56" t="n">
        <v>7</v>
      </c>
      <c r="D2978" s="56" t="n">
        <v>70</v>
      </c>
      <c r="E2978" s="56" t="n">
        <v>21</v>
      </c>
      <c r="F2978" s="56" t="n">
        <v>0</v>
      </c>
      <c r="G2978" s="56" t="n">
        <v>14.4</v>
      </c>
      <c r="H2978" s="56" t="n">
        <v>0</v>
      </c>
      <c r="I2978" s="56" t="n">
        <v>18.2</v>
      </c>
      <c r="J2978" s="56" t="n">
        <v>0</v>
      </c>
      <c r="K2978" s="56" t="n">
        <v>1012</v>
      </c>
      <c r="L2978" s="56" t="n">
        <v>0</v>
      </c>
      <c r="M2978" s="56" t="n">
        <v>75</v>
      </c>
      <c r="N2978" s="56" t="n">
        <v>0.4</v>
      </c>
      <c r="O2978" s="56" t="n">
        <f aca="false">IF(D2978=1,"",E2977)</f>
        <v>21.9</v>
      </c>
      <c r="P2978" s="56" t="n">
        <f aca="false">IF(OR(D2978=1,K2977=""),"",K2977)</f>
        <v>1015.8</v>
      </c>
      <c r="Q2978" s="56" t="n">
        <f aca="false">IF(OR(F2978&lt;&gt;0,AND(I2978&lt;&gt;"",E2978&lt;I2978)),1,0)</f>
        <v>0</v>
      </c>
      <c r="R2978" s="56" t="n">
        <f aca="false">IF(AND(D2978&gt;1,Q2978=0,ISNUMBER(O2978),ISNUMBER(P2978)),IF(Q2977=0,1,0),0)</f>
        <v>1</v>
      </c>
      <c r="S2978" s="56" t="n">
        <f aca="false">R2978*(B2978&gt;=Train_Start)*(B2978&lt;=Train_End)</f>
        <v>1</v>
      </c>
      <c r="T2978" s="84" t="n">
        <f aca="false">IF(AND(ISNUMBER(O2978),ISNUMBER(P2978)),Coef_A+Coef_B1*O2978+Coef_B2*P2978,"")</f>
        <v>21.8960427188363</v>
      </c>
      <c r="U2978" s="84" t="n">
        <f aca="false">IF(AND(R2978=1,ISNUMBER(T2978)),E2978-T2978,"")</f>
        <v>-0.896042718836323</v>
      </c>
      <c r="V2978" s="84" t="n">
        <f aca="false">IF(ISNUMBER(T2978),T2978,-99)</f>
        <v>21.8960427188363</v>
      </c>
      <c r="W2978" s="84" t="n">
        <f aca="false">IF(ISNUMBER(U2978),ABS(U2978),"")</f>
        <v>0.896042718836323</v>
      </c>
    </row>
    <row r="2979" customFormat="false" ht="15" hidden="false" customHeight="false" outlineLevel="0" collapsed="false">
      <c r="A2979" s="57" t="n">
        <v>35986</v>
      </c>
      <c r="B2979" s="56" t="n">
        <v>1998</v>
      </c>
      <c r="C2979" s="56" t="n">
        <v>7</v>
      </c>
      <c r="D2979" s="56" t="n">
        <v>71</v>
      </c>
      <c r="E2979" s="56" t="n">
        <v>18.2</v>
      </c>
      <c r="F2979" s="56" t="n">
        <v>1</v>
      </c>
      <c r="G2979" s="56" t="n">
        <v>15.8</v>
      </c>
      <c r="H2979" s="56" t="n">
        <v>0</v>
      </c>
      <c r="I2979" s="56" t="n">
        <v>18.4</v>
      </c>
      <c r="J2979" s="56" t="n">
        <v>1</v>
      </c>
      <c r="K2979" s="56" t="n">
        <v>1011.7</v>
      </c>
      <c r="L2979" s="56" t="n">
        <v>0</v>
      </c>
      <c r="M2979" s="56" t="n">
        <v>71</v>
      </c>
      <c r="N2979" s="56" t="n">
        <v>2.2</v>
      </c>
      <c r="O2979" s="56" t="n">
        <f aca="false">IF(D2979=1,"",E2978)</f>
        <v>21</v>
      </c>
      <c r="P2979" s="56" t="n">
        <f aca="false">IF(OR(D2979=1,K2978=""),"",K2978)</f>
        <v>1012</v>
      </c>
      <c r="Q2979" s="56" t="n">
        <f aca="false">IF(OR(F2979&lt;&gt;0,AND(I2979&lt;&gt;"",E2979&lt;I2979)),1,0)</f>
        <v>1</v>
      </c>
      <c r="R2979" s="56" t="n">
        <f aca="false">IF(AND(D2979&gt;1,Q2979=0,ISNUMBER(O2979),ISNUMBER(P2979)),IF(Q2978=0,1,0),0)</f>
        <v>0</v>
      </c>
      <c r="S2979" s="56" t="n">
        <f aca="false">R2979*(B2979&gt;=Train_Start)*(B2979&lt;=Train_End)</f>
        <v>0</v>
      </c>
      <c r="T2979" s="84" t="n">
        <f aca="false">IF(AND(ISNUMBER(O2979),ISNUMBER(P2979)),Coef_A+Coef_B1*O2979+Coef_B2*P2979,"")</f>
        <v>21.0394318454888</v>
      </c>
      <c r="U2979" s="84" t="str">
        <f aca="false">IF(AND(R2979=1,ISNUMBER(T2979)),E2979-T2979,"")</f>
        <v/>
      </c>
      <c r="V2979" s="84" t="n">
        <f aca="false">IF(ISNUMBER(T2979),T2979,-99)</f>
        <v>21.0394318454888</v>
      </c>
      <c r="W2979" s="84" t="str">
        <f aca="false">IF(ISNUMBER(U2979),ABS(U2979),"")</f>
        <v/>
      </c>
    </row>
    <row r="2980" customFormat="false" ht="15" hidden="false" customHeight="false" outlineLevel="0" collapsed="false">
      <c r="A2980" s="57" t="n">
        <v>35987</v>
      </c>
      <c r="B2980" s="56" t="n">
        <v>1998</v>
      </c>
      <c r="C2980" s="56" t="n">
        <v>7</v>
      </c>
      <c r="D2980" s="56" t="n">
        <v>72</v>
      </c>
      <c r="E2980" s="56" t="n">
        <v>19.1</v>
      </c>
      <c r="F2980" s="56" t="n">
        <v>0</v>
      </c>
      <c r="G2980" s="56" t="n">
        <v>14.6</v>
      </c>
      <c r="H2980" s="56" t="n">
        <v>0</v>
      </c>
      <c r="I2980" s="56" t="n">
        <v>16.4</v>
      </c>
      <c r="J2980" s="56" t="n">
        <v>0</v>
      </c>
      <c r="K2980" s="56" t="n">
        <v>1009.8</v>
      </c>
      <c r="L2980" s="56" t="n">
        <v>0</v>
      </c>
      <c r="M2980" s="56" t="n">
        <v>80</v>
      </c>
      <c r="N2980" s="56" t="n">
        <v>0.1</v>
      </c>
      <c r="O2980" s="56" t="n">
        <f aca="false">IF(D2980=1,"",E2979)</f>
        <v>18.2</v>
      </c>
      <c r="P2980" s="56" t="n">
        <f aca="false">IF(OR(D2980=1,K2979=""),"",K2979)</f>
        <v>1011.7</v>
      </c>
      <c r="Q2980" s="56" t="n">
        <f aca="false">IF(OR(F2980&lt;&gt;0,AND(I2980&lt;&gt;"",E2980&lt;I2980)),1,0)</f>
        <v>0</v>
      </c>
      <c r="R2980" s="56" t="n">
        <f aca="false">IF(AND(D2980&gt;1,Q2980=0,ISNUMBER(O2980),ISNUMBER(P2980)),IF(Q2979=0,1,0),0)</f>
        <v>0</v>
      </c>
      <c r="S2980" s="56" t="n">
        <f aca="false">R2980*(B2980&gt;=Train_Start)*(B2980&lt;=Train_End)</f>
        <v>0</v>
      </c>
      <c r="T2980" s="84" t="n">
        <f aca="false">IF(AND(ISNUMBER(O2980),ISNUMBER(P2980)),Coef_A+Coef_B1*O2980+Coef_B2*P2980,"")</f>
        <v>18.7358711365791</v>
      </c>
      <c r="U2980" s="84" t="str">
        <f aca="false">IF(AND(R2980=1,ISNUMBER(T2980)),E2980-T2980,"")</f>
        <v/>
      </c>
      <c r="V2980" s="84" t="n">
        <f aca="false">IF(ISNUMBER(T2980),T2980,-99)</f>
        <v>18.7358711365791</v>
      </c>
      <c r="W2980" s="84" t="str">
        <f aca="false">IF(ISNUMBER(U2980),ABS(U2980),"")</f>
        <v/>
      </c>
    </row>
    <row r="2981" customFormat="false" ht="15" hidden="false" customHeight="false" outlineLevel="0" collapsed="false">
      <c r="A2981" s="57" t="n">
        <v>35988</v>
      </c>
      <c r="B2981" s="56" t="n">
        <v>1998</v>
      </c>
      <c r="C2981" s="56" t="n">
        <v>7</v>
      </c>
      <c r="D2981" s="56" t="n">
        <v>73</v>
      </c>
      <c r="E2981" s="56" t="n">
        <v>19.8</v>
      </c>
      <c r="F2981" s="56" t="n">
        <v>0</v>
      </c>
      <c r="G2981" s="56" t="n">
        <v>14.6</v>
      </c>
      <c r="H2981" s="56" t="n">
        <v>0</v>
      </c>
      <c r="I2981" s="56" t="n">
        <v>16.8</v>
      </c>
      <c r="J2981" s="56" t="n">
        <v>0</v>
      </c>
      <c r="K2981" s="56" t="n">
        <v>1002.7</v>
      </c>
      <c r="L2981" s="56" t="n">
        <v>0</v>
      </c>
      <c r="M2981" s="56" t="n">
        <v>85</v>
      </c>
      <c r="N2981" s="56" t="n">
        <v>0.4</v>
      </c>
      <c r="O2981" s="56" t="n">
        <f aca="false">IF(D2981=1,"",E2980)</f>
        <v>19.1</v>
      </c>
      <c r="P2981" s="56" t="n">
        <f aca="false">IF(OR(D2981=1,K2980=""),"",K2980)</f>
        <v>1009.8</v>
      </c>
      <c r="Q2981" s="56" t="n">
        <f aca="false">IF(OR(F2981&lt;&gt;0,AND(I2981&lt;&gt;"",E2981&lt;I2981)),1,0)</f>
        <v>0</v>
      </c>
      <c r="R2981" s="56" t="n">
        <f aca="false">IF(AND(D2981&gt;1,Q2981=0,ISNUMBER(O2981),ISNUMBER(P2981)),IF(Q2980=0,1,0),0)</f>
        <v>1</v>
      </c>
      <c r="S2981" s="56" t="n">
        <f aca="false">R2981*(B2981&gt;=Train_Start)*(B2981&lt;=Train_End)</f>
        <v>1</v>
      </c>
      <c r="T2981" s="84" t="n">
        <f aca="false">IF(AND(ISNUMBER(O2981),ISNUMBER(P2981)),Coef_A+Coef_B1*O2981+Coef_B2*P2981,"")</f>
        <v>19.4136736105129</v>
      </c>
      <c r="U2981" s="84" t="n">
        <f aca="false">IF(AND(R2981=1,ISNUMBER(T2981)),E2981-T2981,"")</f>
        <v>0.386326389487056</v>
      </c>
      <c r="V2981" s="84" t="n">
        <f aca="false">IF(ISNUMBER(T2981),T2981,-99)</f>
        <v>19.4136736105129</v>
      </c>
      <c r="W2981" s="84" t="n">
        <f aca="false">IF(ISNUMBER(U2981),ABS(U2981),"")</f>
        <v>0.386326389487056</v>
      </c>
    </row>
    <row r="2982" customFormat="false" ht="15" hidden="false" customHeight="false" outlineLevel="0" collapsed="false">
      <c r="A2982" s="57" t="n">
        <v>35989</v>
      </c>
      <c r="B2982" s="56" t="n">
        <v>1998</v>
      </c>
      <c r="C2982" s="56" t="n">
        <v>7</v>
      </c>
      <c r="D2982" s="56" t="n">
        <v>74</v>
      </c>
      <c r="E2982" s="56" t="n">
        <v>20.2</v>
      </c>
      <c r="F2982" s="56" t="n">
        <v>0</v>
      </c>
      <c r="G2982" s="56" t="n">
        <v>11.6</v>
      </c>
      <c r="H2982" s="56" t="n">
        <v>0</v>
      </c>
      <c r="I2982" s="56" t="n">
        <v>15.7</v>
      </c>
      <c r="J2982" s="56" t="n">
        <v>0</v>
      </c>
      <c r="K2982" s="56" t="n">
        <v>1007.2</v>
      </c>
      <c r="L2982" s="56" t="n">
        <v>0</v>
      </c>
      <c r="M2982" s="56" t="n">
        <v>65</v>
      </c>
      <c r="N2982" s="56" t="n">
        <v>12.8</v>
      </c>
      <c r="O2982" s="56" t="n">
        <f aca="false">IF(D2982=1,"",E2981)</f>
        <v>19.8</v>
      </c>
      <c r="P2982" s="56" t="n">
        <f aca="false">IF(OR(D2982=1,K2981=""),"",K2981)</f>
        <v>1002.7</v>
      </c>
      <c r="Q2982" s="56" t="n">
        <f aca="false">IF(OR(F2982&lt;&gt;0,AND(I2982&lt;&gt;"",E2982&lt;I2982)),1,0)</f>
        <v>0</v>
      </c>
      <c r="R2982" s="56" t="n">
        <f aca="false">IF(AND(D2982&gt;1,Q2982=0,ISNUMBER(O2982),ISNUMBER(P2982)),IF(Q2981=0,1,0),0)</f>
        <v>1</v>
      </c>
      <c r="S2982" s="56" t="n">
        <f aca="false">R2982*(B2982&gt;=Train_Start)*(B2982&lt;=Train_End)</f>
        <v>1</v>
      </c>
      <c r="T2982" s="84" t="n">
        <f aca="false">IF(AND(ISNUMBER(O2982),ISNUMBER(P2982)),Coef_A+Coef_B1*O2982+Coef_B2*P2982,"")</f>
        <v>19.7644847937415</v>
      </c>
      <c r="U2982" s="84" t="n">
        <f aca="false">IF(AND(R2982=1,ISNUMBER(T2982)),E2982-T2982,"")</f>
        <v>0.435515206258515</v>
      </c>
      <c r="V2982" s="84" t="n">
        <f aca="false">IF(ISNUMBER(T2982),T2982,-99)</f>
        <v>19.7644847937415</v>
      </c>
      <c r="W2982" s="84" t="n">
        <f aca="false">IF(ISNUMBER(U2982),ABS(U2982),"")</f>
        <v>0.435515206258515</v>
      </c>
    </row>
    <row r="2983" customFormat="false" ht="15" hidden="false" customHeight="false" outlineLevel="0" collapsed="false">
      <c r="A2983" s="57" t="n">
        <v>35990</v>
      </c>
      <c r="B2983" s="56" t="n">
        <v>1998</v>
      </c>
      <c r="C2983" s="56" t="n">
        <v>7</v>
      </c>
      <c r="D2983" s="56" t="n">
        <v>75</v>
      </c>
      <c r="E2983" s="56" t="n">
        <v>20</v>
      </c>
      <c r="F2983" s="56" t="n">
        <v>0</v>
      </c>
      <c r="G2983" s="56" t="n">
        <v>11.1</v>
      </c>
      <c r="H2983" s="56" t="n">
        <v>0</v>
      </c>
      <c r="I2983" s="56" t="n">
        <v>15.6</v>
      </c>
      <c r="J2983" s="56" t="n">
        <v>0</v>
      </c>
      <c r="K2983" s="56" t="n">
        <v>1012.8</v>
      </c>
      <c r="L2983" s="56" t="n">
        <v>0</v>
      </c>
      <c r="M2983" s="56" t="n">
        <v>67</v>
      </c>
      <c r="N2983" s="56" t="n">
        <v>7.6</v>
      </c>
      <c r="O2983" s="56" t="n">
        <f aca="false">IF(D2983=1,"",E2982)</f>
        <v>20.2</v>
      </c>
      <c r="P2983" s="56" t="n">
        <f aca="false">IF(OR(D2983=1,K2982=""),"",K2982)</f>
        <v>1007.2</v>
      </c>
      <c r="Q2983" s="56" t="n">
        <f aca="false">IF(OR(F2983&lt;&gt;0,AND(I2983&lt;&gt;"",E2983&lt;I2983)),1,0)</f>
        <v>0</v>
      </c>
      <c r="R2983" s="56" t="n">
        <f aca="false">IF(AND(D2983&gt;1,Q2983=0,ISNUMBER(O2983),ISNUMBER(P2983)),IF(Q2982=0,1,0),0)</f>
        <v>1</v>
      </c>
      <c r="S2983" s="56" t="n">
        <f aca="false">R2983*(B2983&gt;=Train_Start)*(B2983&lt;=Train_End)</f>
        <v>1</v>
      </c>
      <c r="T2983" s="84" t="n">
        <f aca="false">IF(AND(ISNUMBER(O2983),ISNUMBER(P2983)),Coef_A+Coef_B1*O2983+Coef_B2*P2983,"")</f>
        <v>20.2333849968115</v>
      </c>
      <c r="U2983" s="84" t="n">
        <f aca="false">IF(AND(R2983=1,ISNUMBER(T2983)),E2983-T2983,"")</f>
        <v>-0.233384996811498</v>
      </c>
      <c r="V2983" s="84" t="n">
        <f aca="false">IF(ISNUMBER(T2983),T2983,-99)</f>
        <v>20.2333849968115</v>
      </c>
      <c r="W2983" s="84" t="n">
        <f aca="false">IF(ISNUMBER(U2983),ABS(U2983),"")</f>
        <v>0.233384996811498</v>
      </c>
    </row>
    <row r="2984" customFormat="false" ht="15" hidden="false" customHeight="false" outlineLevel="0" collapsed="false">
      <c r="A2984" s="57" t="n">
        <v>35991</v>
      </c>
      <c r="B2984" s="56" t="n">
        <v>1998</v>
      </c>
      <c r="C2984" s="56" t="n">
        <v>7</v>
      </c>
      <c r="D2984" s="56" t="n">
        <v>76</v>
      </c>
      <c r="E2984" s="56" t="n">
        <v>22.3</v>
      </c>
      <c r="F2984" s="56" t="n">
        <v>0</v>
      </c>
      <c r="G2984" s="56" t="n">
        <v>12.3</v>
      </c>
      <c r="H2984" s="56" t="n">
        <v>0</v>
      </c>
      <c r="I2984" s="56" t="n">
        <v>16.2</v>
      </c>
      <c r="J2984" s="56" t="n">
        <v>0</v>
      </c>
      <c r="K2984" s="56" t="n">
        <v>1013</v>
      </c>
      <c r="L2984" s="56" t="n">
        <v>0</v>
      </c>
      <c r="M2984" s="56" t="n">
        <v>71</v>
      </c>
      <c r="N2984" s="56" t="n">
        <v>3.4</v>
      </c>
      <c r="O2984" s="56" t="n">
        <f aca="false">IF(D2984=1,"",E2983)</f>
        <v>20</v>
      </c>
      <c r="P2984" s="56" t="n">
        <f aca="false">IF(OR(D2984=1,K2983=""),"",K2983)</f>
        <v>1012.8</v>
      </c>
      <c r="Q2984" s="56" t="n">
        <f aca="false">IF(OR(F2984&lt;&gt;0,AND(I2984&lt;&gt;"",E2984&lt;I2984)),1,0)</f>
        <v>0</v>
      </c>
      <c r="R2984" s="56" t="n">
        <f aca="false">IF(AND(D2984&gt;1,Q2984=0,ISNUMBER(O2984),ISNUMBER(P2984)),IF(Q2983=0,1,0),0)</f>
        <v>1</v>
      </c>
      <c r="S2984" s="56" t="n">
        <f aca="false">R2984*(B2984&gt;=Train_Start)*(B2984&lt;=Train_End)</f>
        <v>1</v>
      </c>
      <c r="T2984" s="84" t="n">
        <f aca="false">IF(AND(ISNUMBER(O2984),ISNUMBER(P2984)),Coef_A+Coef_B1*O2984+Coef_B2*P2984,"")</f>
        <v>20.2451885681533</v>
      </c>
      <c r="U2984" s="84" t="n">
        <f aca="false">IF(AND(R2984=1,ISNUMBER(T2984)),E2984-T2984,"")</f>
        <v>2.0548114318467</v>
      </c>
      <c r="V2984" s="84" t="n">
        <f aca="false">IF(ISNUMBER(T2984),T2984,-99)</f>
        <v>20.2451885681533</v>
      </c>
      <c r="W2984" s="84" t="n">
        <f aca="false">IF(ISNUMBER(U2984),ABS(U2984),"")</f>
        <v>2.0548114318467</v>
      </c>
    </row>
    <row r="2985" customFormat="false" ht="15" hidden="false" customHeight="false" outlineLevel="0" collapsed="false">
      <c r="A2985" s="57" t="n">
        <v>35992</v>
      </c>
      <c r="B2985" s="56" t="n">
        <v>1998</v>
      </c>
      <c r="C2985" s="56" t="n">
        <v>7</v>
      </c>
      <c r="D2985" s="56" t="n">
        <v>77</v>
      </c>
      <c r="E2985" s="56" t="n">
        <v>22.8</v>
      </c>
      <c r="F2985" s="56" t="n">
        <v>0</v>
      </c>
      <c r="G2985" s="56" t="n">
        <v>13.1</v>
      </c>
      <c r="H2985" s="56" t="n">
        <v>0</v>
      </c>
      <c r="I2985" s="56" t="n">
        <v>17.7</v>
      </c>
      <c r="J2985" s="56" t="n">
        <v>0</v>
      </c>
      <c r="K2985" s="56" t="n">
        <v>1011.3</v>
      </c>
      <c r="L2985" s="56" t="n">
        <v>0</v>
      </c>
      <c r="M2985" s="56" t="n">
        <v>74</v>
      </c>
      <c r="N2985" s="56" t="n">
        <v>5.9</v>
      </c>
      <c r="O2985" s="56" t="n">
        <f aca="false">IF(D2985=1,"",E2984)</f>
        <v>22.3</v>
      </c>
      <c r="P2985" s="56" t="n">
        <f aca="false">IF(OR(D2985=1,K2984=""),"",K2984)</f>
        <v>1013</v>
      </c>
      <c r="Q2985" s="56" t="n">
        <f aca="false">IF(OR(F2985&lt;&gt;0,AND(I2985&lt;&gt;"",E2985&lt;I2985)),1,0)</f>
        <v>0</v>
      </c>
      <c r="R2985" s="56" t="n">
        <f aca="false">IF(AND(D2985&gt;1,Q2985=0,ISNUMBER(O2985),ISNUMBER(P2985)),IF(Q2984=0,1,0),0)</f>
        <v>1</v>
      </c>
      <c r="S2985" s="56" t="n">
        <f aca="false">R2985*(B2985&gt;=Train_Start)*(B2985&lt;=Train_End)</f>
        <v>1</v>
      </c>
      <c r="T2985" s="84" t="n">
        <f aca="false">IF(AND(ISNUMBER(O2985),ISNUMBER(P2985)),Coef_A+Coef_B1*O2985+Coef_B2*P2985,"")</f>
        <v>22.1359426910782</v>
      </c>
      <c r="U2985" s="84" t="n">
        <f aca="false">IF(AND(R2985=1,ISNUMBER(T2985)),E2985-T2985,"")</f>
        <v>0.664057308921784</v>
      </c>
      <c r="V2985" s="84" t="n">
        <f aca="false">IF(ISNUMBER(T2985),T2985,-99)</f>
        <v>22.1359426910782</v>
      </c>
      <c r="W2985" s="84" t="n">
        <f aca="false">IF(ISNUMBER(U2985),ABS(U2985),"")</f>
        <v>0.664057308921784</v>
      </c>
    </row>
    <row r="2986" customFormat="false" ht="15" hidden="false" customHeight="false" outlineLevel="0" collapsed="false">
      <c r="A2986" s="57" t="n">
        <v>35993</v>
      </c>
      <c r="B2986" s="56" t="n">
        <v>1998</v>
      </c>
      <c r="C2986" s="56" t="n">
        <v>7</v>
      </c>
      <c r="D2986" s="56" t="n">
        <v>78</v>
      </c>
      <c r="E2986" s="56" t="n">
        <v>21.9</v>
      </c>
      <c r="F2986" s="56" t="n">
        <v>0</v>
      </c>
      <c r="G2986" s="56" t="n">
        <v>14</v>
      </c>
      <c r="H2986" s="56" t="n">
        <v>0</v>
      </c>
      <c r="I2986" s="56" t="n">
        <v>18.4</v>
      </c>
      <c r="J2986" s="56" t="n">
        <v>0</v>
      </c>
      <c r="K2986" s="56" t="n">
        <v>1009.2</v>
      </c>
      <c r="L2986" s="56" t="n">
        <v>0</v>
      </c>
      <c r="M2986" s="56" t="n">
        <v>69</v>
      </c>
      <c r="N2986" s="56" t="n">
        <v>8.1</v>
      </c>
      <c r="O2986" s="56" t="n">
        <f aca="false">IF(D2986=1,"",E2985)</f>
        <v>22.8</v>
      </c>
      <c r="P2986" s="56" t="n">
        <f aca="false">IF(OR(D2986=1,K2985=""),"",K2985)</f>
        <v>1011.3</v>
      </c>
      <c r="Q2986" s="56" t="n">
        <f aca="false">IF(OR(F2986&lt;&gt;0,AND(I2986&lt;&gt;"",E2986&lt;I2986)),1,0)</f>
        <v>0</v>
      </c>
      <c r="R2986" s="56" t="n">
        <f aca="false">IF(AND(D2986&gt;1,Q2986=0,ISNUMBER(O2986),ISNUMBER(P2986)),IF(Q2985=0,1,0),0)</f>
        <v>1</v>
      </c>
      <c r="S2986" s="56" t="n">
        <f aca="false">R2986*(B2986&gt;=Train_Start)*(B2986&lt;=Train_End)</f>
        <v>1</v>
      </c>
      <c r="T2986" s="84" t="n">
        <f aca="false">IF(AND(ISNUMBER(O2986),ISNUMBER(P2986)),Coef_A+Coef_B1*O2986+Coef_B2*P2986,"")</f>
        <v>22.4922834667218</v>
      </c>
      <c r="U2986" s="84" t="n">
        <f aca="false">IF(AND(R2986=1,ISNUMBER(T2986)),E2986-T2986,"")</f>
        <v>-0.592283466721764</v>
      </c>
      <c r="V2986" s="84" t="n">
        <f aca="false">IF(ISNUMBER(T2986),T2986,-99)</f>
        <v>22.4922834667218</v>
      </c>
      <c r="W2986" s="84" t="n">
        <f aca="false">IF(ISNUMBER(U2986),ABS(U2986),"")</f>
        <v>0.592283466721764</v>
      </c>
    </row>
    <row r="2987" customFormat="false" ht="15" hidden="false" customHeight="false" outlineLevel="0" collapsed="false">
      <c r="A2987" s="57" t="n">
        <v>35994</v>
      </c>
      <c r="B2987" s="56" t="n">
        <v>1998</v>
      </c>
      <c r="C2987" s="56" t="n">
        <v>7</v>
      </c>
      <c r="D2987" s="56" t="n">
        <v>79</v>
      </c>
      <c r="E2987" s="56" t="n">
        <v>23.2</v>
      </c>
      <c r="F2987" s="56" t="n">
        <v>0</v>
      </c>
      <c r="G2987" s="56" t="n">
        <v>13.1</v>
      </c>
      <c r="H2987" s="56" t="n">
        <v>0</v>
      </c>
      <c r="I2987" s="56" t="n">
        <v>17.5</v>
      </c>
      <c r="J2987" s="56" t="n">
        <v>0</v>
      </c>
      <c r="K2987" s="56" t="n">
        <v>1012</v>
      </c>
      <c r="L2987" s="56" t="n">
        <v>0</v>
      </c>
      <c r="M2987" s="56" t="n">
        <v>60</v>
      </c>
      <c r="N2987" s="56" t="n">
        <v>10.3</v>
      </c>
      <c r="O2987" s="56" t="n">
        <f aca="false">IF(D2987=1,"",E2986)</f>
        <v>21.9</v>
      </c>
      <c r="P2987" s="56" t="n">
        <f aca="false">IF(OR(D2987=1,K2986=""),"",K2986)</f>
        <v>1009.2</v>
      </c>
      <c r="Q2987" s="56" t="n">
        <f aca="false">IF(OR(F2987&lt;&gt;0,AND(I2987&lt;&gt;"",E2987&lt;I2987)),1,0)</f>
        <v>0</v>
      </c>
      <c r="R2987" s="56" t="n">
        <f aca="false">IF(AND(D2987&gt;1,Q2987=0,ISNUMBER(O2987),ISNUMBER(P2987)),IF(Q2986=0,1,0),0)</f>
        <v>1</v>
      </c>
      <c r="S2987" s="56" t="n">
        <f aca="false">R2987*(B2987&gt;=Train_Start)*(B2987&lt;=Train_End)</f>
        <v>1</v>
      </c>
      <c r="T2987" s="84" t="n">
        <f aca="false">IF(AND(ISNUMBER(O2987),ISNUMBER(P2987)),Coef_A+Coef_B1*O2987+Coef_B2*P2987,"")</f>
        <v>21.689001414252</v>
      </c>
      <c r="U2987" s="84" t="n">
        <f aca="false">IF(AND(R2987=1,ISNUMBER(T2987)),E2987-T2987,"")</f>
        <v>1.510998585748</v>
      </c>
      <c r="V2987" s="84" t="n">
        <f aca="false">IF(ISNUMBER(T2987),T2987,-99)</f>
        <v>21.689001414252</v>
      </c>
      <c r="W2987" s="84" t="n">
        <f aca="false">IF(ISNUMBER(U2987),ABS(U2987),"")</f>
        <v>1.510998585748</v>
      </c>
    </row>
    <row r="2988" customFormat="false" ht="15" hidden="false" customHeight="false" outlineLevel="0" collapsed="false">
      <c r="A2988" s="57" t="n">
        <v>35995</v>
      </c>
      <c r="B2988" s="56" t="n">
        <v>1998</v>
      </c>
      <c r="C2988" s="56" t="n">
        <v>7</v>
      </c>
      <c r="D2988" s="56" t="n">
        <v>80</v>
      </c>
      <c r="E2988" s="56" t="n">
        <v>26.3</v>
      </c>
      <c r="F2988" s="56" t="n">
        <v>0</v>
      </c>
      <c r="G2988" s="56" t="n">
        <v>11.6</v>
      </c>
      <c r="H2988" s="56" t="n">
        <v>0</v>
      </c>
      <c r="I2988" s="56" t="n">
        <v>17.4</v>
      </c>
      <c r="J2988" s="56" t="n">
        <v>0</v>
      </c>
      <c r="K2988" s="56" t="n">
        <v>1012.7</v>
      </c>
      <c r="L2988" s="56" t="n">
        <v>0</v>
      </c>
      <c r="M2988" s="56" t="n">
        <v>64</v>
      </c>
      <c r="N2988" s="56" t="n">
        <v>9.2</v>
      </c>
      <c r="O2988" s="56" t="n">
        <f aca="false">IF(D2988=1,"",E2987)</f>
        <v>23.2</v>
      </c>
      <c r="P2988" s="56" t="n">
        <f aca="false">IF(OR(D2988=1,K2987=""),"",K2987)</f>
        <v>1012</v>
      </c>
      <c r="Q2988" s="56" t="n">
        <f aca="false">IF(OR(F2988&lt;&gt;0,AND(I2988&lt;&gt;"",E2988&lt;I2988)),1,0)</f>
        <v>0</v>
      </c>
      <c r="R2988" s="56" t="n">
        <f aca="false">IF(AND(D2988&gt;1,Q2988=0,ISNUMBER(O2988),ISNUMBER(P2988)),IF(Q2987=0,1,0),0)</f>
        <v>1</v>
      </c>
      <c r="S2988" s="56" t="n">
        <f aca="false">R2988*(B2988&gt;=Train_Start)*(B2988&lt;=Train_End)</f>
        <v>1</v>
      </c>
      <c r="T2988" s="84" t="n">
        <f aca="false">IF(AND(ISNUMBER(O2988),ISNUMBER(P2988)),Coef_A+Coef_B1*O2988+Coef_B2*P2988,"")</f>
        <v>22.8419780701826</v>
      </c>
      <c r="U2988" s="84" t="n">
        <f aca="false">IF(AND(R2988=1,ISNUMBER(T2988)),E2988-T2988,"")</f>
        <v>3.45802192981738</v>
      </c>
      <c r="V2988" s="84" t="n">
        <f aca="false">IF(ISNUMBER(T2988),T2988,-99)</f>
        <v>22.8419780701826</v>
      </c>
      <c r="W2988" s="84" t="n">
        <f aca="false">IF(ISNUMBER(U2988),ABS(U2988),"")</f>
        <v>3.45802192981738</v>
      </c>
    </row>
    <row r="2989" customFormat="false" ht="15" hidden="false" customHeight="false" outlineLevel="0" collapsed="false">
      <c r="A2989" s="57" t="n">
        <v>35996</v>
      </c>
      <c r="B2989" s="56" t="n">
        <v>1998</v>
      </c>
      <c r="C2989" s="56" t="n">
        <v>7</v>
      </c>
      <c r="D2989" s="56" t="n">
        <v>81</v>
      </c>
      <c r="E2989" s="56" t="n">
        <v>21.8</v>
      </c>
      <c r="F2989" s="56" t="n">
        <v>0</v>
      </c>
      <c r="G2989" s="56" t="n">
        <v>14.4</v>
      </c>
      <c r="H2989" s="56" t="n">
        <v>0</v>
      </c>
      <c r="I2989" s="56" t="n">
        <v>20.4</v>
      </c>
      <c r="J2989" s="56" t="n">
        <v>0</v>
      </c>
      <c r="K2989" s="56" t="n">
        <v>1006.7</v>
      </c>
      <c r="L2989" s="56" t="n">
        <v>0</v>
      </c>
      <c r="M2989" s="56" t="n">
        <v>68</v>
      </c>
      <c r="N2989" s="56" t="n">
        <v>10.6</v>
      </c>
      <c r="O2989" s="56" t="n">
        <f aca="false">IF(D2989=1,"",E2988)</f>
        <v>26.3</v>
      </c>
      <c r="P2989" s="56" t="n">
        <f aca="false">IF(OR(D2989=1,K2988=""),"",K2988)</f>
        <v>1012.7</v>
      </c>
      <c r="Q2989" s="56" t="n">
        <f aca="false">IF(OR(F2989&lt;&gt;0,AND(I2989&lt;&gt;"",E2989&lt;I2989)),1,0)</f>
        <v>0</v>
      </c>
      <c r="R2989" s="56" t="n">
        <f aca="false">IF(AND(D2989&gt;1,Q2989=0,ISNUMBER(O2989),ISNUMBER(P2989)),IF(Q2988=0,1,0),0)</f>
        <v>1</v>
      </c>
      <c r="S2989" s="56" t="n">
        <f aca="false">R2989*(B2989&gt;=Train_Start)*(B2989&lt;=Train_End)</f>
        <v>1</v>
      </c>
      <c r="T2989" s="84" t="n">
        <f aca="false">IF(AND(ISNUMBER(O2989),ISNUMBER(P2989)),Coef_A+Coef_B1*O2989+Coef_B2*P2989,"")</f>
        <v>25.4038884948587</v>
      </c>
      <c r="U2989" s="84" t="n">
        <f aca="false">IF(AND(R2989=1,ISNUMBER(T2989)),E2989-T2989,"")</f>
        <v>-3.60388849485865</v>
      </c>
      <c r="V2989" s="84" t="n">
        <f aca="false">IF(ISNUMBER(T2989),T2989,-99)</f>
        <v>25.4038884948587</v>
      </c>
      <c r="W2989" s="84" t="n">
        <f aca="false">IF(ISNUMBER(U2989),ABS(U2989),"")</f>
        <v>3.60388849485865</v>
      </c>
    </row>
    <row r="2990" customFormat="false" ht="15" hidden="false" customHeight="false" outlineLevel="0" collapsed="false">
      <c r="A2990" s="57" t="n">
        <v>35997</v>
      </c>
      <c r="B2990" s="56" t="n">
        <v>1998</v>
      </c>
      <c r="C2990" s="56" t="n">
        <v>7</v>
      </c>
      <c r="D2990" s="56" t="n">
        <v>82</v>
      </c>
      <c r="E2990" s="56" t="n">
        <v>22.5</v>
      </c>
      <c r="F2990" s="56" t="n">
        <v>0</v>
      </c>
      <c r="G2990" s="56" t="n">
        <v>15.8</v>
      </c>
      <c r="H2990" s="56" t="n">
        <v>0</v>
      </c>
      <c r="I2990" s="56" t="n">
        <v>18.8</v>
      </c>
      <c r="J2990" s="56" t="n">
        <v>0</v>
      </c>
      <c r="K2990" s="56" t="n">
        <v>1007.4</v>
      </c>
      <c r="L2990" s="56" t="n">
        <v>0</v>
      </c>
      <c r="M2990" s="56" t="n">
        <v>66</v>
      </c>
      <c r="N2990" s="56" t="n">
        <v>8.5</v>
      </c>
      <c r="O2990" s="56" t="n">
        <f aca="false">IF(D2990=1,"",E2989)</f>
        <v>21.8</v>
      </c>
      <c r="P2990" s="56" t="n">
        <f aca="false">IF(OR(D2990=1,K2989=""),"",K2989)</f>
        <v>1006.7</v>
      </c>
      <c r="Q2990" s="56" t="n">
        <f aca="false">IF(OR(F2990&lt;&gt;0,AND(I2990&lt;&gt;"",E2990&lt;I2990)),1,0)</f>
        <v>0</v>
      </c>
      <c r="R2990" s="56" t="n">
        <f aca="false">IF(AND(D2990&gt;1,Q2990=0,ISNUMBER(O2990),ISNUMBER(P2990)),IF(Q2989=0,1,0),0)</f>
        <v>1</v>
      </c>
      <c r="S2990" s="56" t="n">
        <f aca="false">R2990*(B2990&gt;=Train_Start)*(B2990&lt;=Train_End)</f>
        <v>1</v>
      </c>
      <c r="T2990" s="84" t="n">
        <f aca="false">IF(AND(ISNUMBER(O2990),ISNUMBER(P2990)),Coef_A+Coef_B1*O2990+Coef_B2*P2990,"")</f>
        <v>21.5286427583628</v>
      </c>
      <c r="U2990" s="84" t="n">
        <f aca="false">IF(AND(R2990=1,ISNUMBER(T2990)),E2990-T2990,"")</f>
        <v>0.971357241637243</v>
      </c>
      <c r="V2990" s="84" t="n">
        <f aca="false">IF(ISNUMBER(T2990),T2990,-99)</f>
        <v>21.5286427583628</v>
      </c>
      <c r="W2990" s="84" t="n">
        <f aca="false">IF(ISNUMBER(U2990),ABS(U2990),"")</f>
        <v>0.971357241637243</v>
      </c>
    </row>
    <row r="2991" customFormat="false" ht="15" hidden="false" customHeight="false" outlineLevel="0" collapsed="false">
      <c r="A2991" s="57" t="n">
        <v>35998</v>
      </c>
      <c r="B2991" s="56" t="n">
        <v>1998</v>
      </c>
      <c r="C2991" s="56" t="n">
        <v>7</v>
      </c>
      <c r="D2991" s="56" t="n">
        <v>83</v>
      </c>
      <c r="E2991" s="56" t="n">
        <v>23.5</v>
      </c>
      <c r="F2991" s="56" t="n">
        <v>0</v>
      </c>
      <c r="G2991" s="56" t="n">
        <v>13</v>
      </c>
      <c r="H2991" s="56" t="n">
        <v>0</v>
      </c>
      <c r="I2991" s="56" t="n">
        <v>17.8</v>
      </c>
      <c r="J2991" s="56" t="n">
        <v>0</v>
      </c>
      <c r="K2991" s="56" t="n">
        <v>1014</v>
      </c>
      <c r="L2991" s="56" t="n">
        <v>0</v>
      </c>
      <c r="M2991" s="56" t="n">
        <v>70</v>
      </c>
      <c r="N2991" s="56" t="n">
        <v>9.3</v>
      </c>
      <c r="O2991" s="56" t="n">
        <f aca="false">IF(D2991=1,"",E2990)</f>
        <v>22.5</v>
      </c>
      <c r="P2991" s="56" t="n">
        <f aca="false">IF(OR(D2991=1,K2990=""),"",K2990)</f>
        <v>1007.4</v>
      </c>
      <c r="Q2991" s="56" t="n">
        <f aca="false">IF(OR(F2991&lt;&gt;0,AND(I2991&lt;&gt;"",E2991&lt;I2991)),1,0)</f>
        <v>0</v>
      </c>
      <c r="R2991" s="56" t="n">
        <f aca="false">IF(AND(D2991&gt;1,Q2991=0,ISNUMBER(O2991),ISNUMBER(P2991)),IF(Q2990=0,1,0),0)</f>
        <v>1</v>
      </c>
      <c r="S2991" s="56" t="n">
        <f aca="false">R2991*(B2991&gt;=Train_Start)*(B2991&lt;=Train_End)</f>
        <v>1</v>
      </c>
      <c r="T2991" s="84" t="n">
        <f aca="false">IF(AND(ISNUMBER(O2991),ISNUMBER(P2991)),Coef_A+Coef_B1*O2991+Coef_B2*P2991,"")</f>
        <v>22.1241391197364</v>
      </c>
      <c r="U2991" s="84" t="n">
        <f aca="false">IF(AND(R2991=1,ISNUMBER(T2991)),E2991-T2991,"")</f>
        <v>1.37586088026359</v>
      </c>
      <c r="V2991" s="84" t="n">
        <f aca="false">IF(ISNUMBER(T2991),T2991,-99)</f>
        <v>22.1241391197364</v>
      </c>
      <c r="W2991" s="84" t="n">
        <f aca="false">IF(ISNUMBER(U2991),ABS(U2991),"")</f>
        <v>1.37586088026359</v>
      </c>
    </row>
    <row r="2992" customFormat="false" ht="15" hidden="false" customHeight="false" outlineLevel="0" collapsed="false">
      <c r="A2992" s="57" t="n">
        <v>35999</v>
      </c>
      <c r="B2992" s="56" t="n">
        <v>1998</v>
      </c>
      <c r="C2992" s="56" t="n">
        <v>7</v>
      </c>
      <c r="D2992" s="56" t="n">
        <v>84</v>
      </c>
      <c r="E2992" s="56" t="n">
        <v>21.9</v>
      </c>
      <c r="F2992" s="56" t="n">
        <v>0</v>
      </c>
      <c r="G2992" s="56" t="n">
        <v>14.8</v>
      </c>
      <c r="H2992" s="56" t="n">
        <v>0</v>
      </c>
      <c r="I2992" s="56" t="n">
        <v>19.2</v>
      </c>
      <c r="J2992" s="56" t="n">
        <v>0</v>
      </c>
      <c r="K2992" s="56" t="n">
        <v>1012.7</v>
      </c>
      <c r="L2992" s="56" t="n">
        <v>0</v>
      </c>
      <c r="M2992" s="56" t="n">
        <v>70</v>
      </c>
      <c r="N2992" s="56" t="n">
        <v>8.6</v>
      </c>
      <c r="O2992" s="56" t="n">
        <f aca="false">IF(D2992=1,"",E2991)</f>
        <v>23.5</v>
      </c>
      <c r="P2992" s="56" t="n">
        <f aca="false">IF(OR(D2992=1,K2991=""),"",K2991)</f>
        <v>1014</v>
      </c>
      <c r="Q2992" s="56" t="n">
        <f aca="false">IF(OR(F2992&lt;&gt;0,AND(I2992&lt;&gt;"",E2992&lt;I2992)),1,0)</f>
        <v>0</v>
      </c>
      <c r="R2992" s="56" t="n">
        <f aca="false">IF(AND(D2992&gt;1,Q2992=0,ISNUMBER(O2992),ISNUMBER(P2992)),IF(Q2991=0,1,0),0)</f>
        <v>1</v>
      </c>
      <c r="S2992" s="56" t="n">
        <f aca="false">R2992*(B2992&gt;=Train_Start)*(B2992&lt;=Train_End)</f>
        <v>1</v>
      </c>
      <c r="T2992" s="84" t="n">
        <f aca="false">IF(AND(ISNUMBER(O2992),ISNUMBER(P2992)),Coef_A+Coef_B1*O2992+Coef_B2*P2992,"")</f>
        <v>23.1505196173634</v>
      </c>
      <c r="U2992" s="84" t="n">
        <f aca="false">IF(AND(R2992=1,ISNUMBER(T2992)),E2992-T2992,"")</f>
        <v>-1.25051961736339</v>
      </c>
      <c r="V2992" s="84" t="n">
        <f aca="false">IF(ISNUMBER(T2992),T2992,-99)</f>
        <v>23.1505196173634</v>
      </c>
      <c r="W2992" s="84" t="n">
        <f aca="false">IF(ISNUMBER(U2992),ABS(U2992),"")</f>
        <v>1.25051961736339</v>
      </c>
    </row>
    <row r="2993" customFormat="false" ht="15" hidden="false" customHeight="false" outlineLevel="0" collapsed="false">
      <c r="A2993" s="57" t="n">
        <v>36000</v>
      </c>
      <c r="B2993" s="56" t="n">
        <v>1998</v>
      </c>
      <c r="C2993" s="56" t="n">
        <v>7</v>
      </c>
      <c r="D2993" s="56" t="n">
        <v>85</v>
      </c>
      <c r="E2993" s="56" t="n">
        <v>22.7</v>
      </c>
      <c r="F2993" s="56" t="n">
        <v>0</v>
      </c>
      <c r="G2993" s="56" t="n">
        <v>11.4</v>
      </c>
      <c r="H2993" s="56" t="n">
        <v>0</v>
      </c>
      <c r="I2993" s="56" t="n">
        <v>16.6</v>
      </c>
      <c r="J2993" s="56" t="n">
        <v>0</v>
      </c>
      <c r="K2993" s="56" t="n">
        <v>1022.2</v>
      </c>
      <c r="L2993" s="56" t="n">
        <v>0</v>
      </c>
      <c r="M2993" s="56" t="n">
        <v>58</v>
      </c>
      <c r="N2993" s="56" t="n">
        <v>11.5</v>
      </c>
      <c r="O2993" s="56" t="n">
        <f aca="false">IF(D2993=1,"",E2992)</f>
        <v>21.9</v>
      </c>
      <c r="P2993" s="56" t="n">
        <f aca="false">IF(OR(D2993=1,K2992=""),"",K2992)</f>
        <v>1012.7</v>
      </c>
      <c r="Q2993" s="56" t="n">
        <f aca="false">IF(OR(F2993&lt;&gt;0,AND(I2993&lt;&gt;"",E2993&lt;I2993)),1,0)</f>
        <v>0</v>
      </c>
      <c r="R2993" s="56" t="n">
        <f aca="false">IF(AND(D2993&gt;1,Q2993=0,ISNUMBER(O2993),ISNUMBER(P2993)),IF(Q2992=0,1,0),0)</f>
        <v>1</v>
      </c>
      <c r="S2993" s="56" t="n">
        <f aca="false">R2993*(B2993&gt;=Train_Start)*(B2993&lt;=Train_End)</f>
        <v>1</v>
      </c>
      <c r="T2993" s="84" t="n">
        <f aca="false">IF(AND(ISNUMBER(O2993),ISNUMBER(P2993)),Coef_A+Coef_B1*O2993+Coef_B2*P2993,"")</f>
        <v>21.798796045471</v>
      </c>
      <c r="U2993" s="84" t="n">
        <f aca="false">IF(AND(R2993=1,ISNUMBER(T2993)),E2993-T2993,"")</f>
        <v>0.901203954529041</v>
      </c>
      <c r="V2993" s="84" t="n">
        <f aca="false">IF(ISNUMBER(T2993),T2993,-99)</f>
        <v>21.798796045471</v>
      </c>
      <c r="W2993" s="84" t="n">
        <f aca="false">IF(ISNUMBER(U2993),ABS(U2993),"")</f>
        <v>0.901203954529041</v>
      </c>
    </row>
    <row r="2994" customFormat="false" ht="15" hidden="false" customHeight="false" outlineLevel="0" collapsed="false">
      <c r="A2994" s="57" t="n">
        <v>36001</v>
      </c>
      <c r="B2994" s="56" t="n">
        <v>1998</v>
      </c>
      <c r="C2994" s="56" t="n">
        <v>7</v>
      </c>
      <c r="D2994" s="56" t="n">
        <v>86</v>
      </c>
      <c r="E2994" s="56" t="n">
        <v>21</v>
      </c>
      <c r="F2994" s="56" t="n">
        <v>0</v>
      </c>
      <c r="G2994" s="56" t="n">
        <v>12</v>
      </c>
      <c r="H2994" s="56" t="n">
        <v>0</v>
      </c>
      <c r="I2994" s="56" t="n">
        <v>17.4</v>
      </c>
      <c r="J2994" s="56" t="n">
        <v>0</v>
      </c>
      <c r="K2994" s="56" t="n">
        <v>1023</v>
      </c>
      <c r="L2994" s="56" t="n">
        <v>0</v>
      </c>
      <c r="M2994" s="56" t="n">
        <v>53</v>
      </c>
      <c r="N2994" s="56" t="n">
        <v>10.6</v>
      </c>
      <c r="O2994" s="56" t="n">
        <f aca="false">IF(D2994=1,"",E2993)</f>
        <v>22.7</v>
      </c>
      <c r="P2994" s="56" t="n">
        <f aca="false">IF(OR(D2994=1,K2993=""),"",K2993)</f>
        <v>1022.2</v>
      </c>
      <c r="Q2994" s="56" t="n">
        <f aca="false">IF(OR(F2994&lt;&gt;0,AND(I2994&lt;&gt;"",E2994&lt;I2994)),1,0)</f>
        <v>0</v>
      </c>
      <c r="R2994" s="56" t="n">
        <f aca="false">IF(AND(D2994&gt;1,Q2994=0,ISNUMBER(O2994),ISNUMBER(P2994)),IF(Q2993=0,1,0),0)</f>
        <v>1</v>
      </c>
      <c r="S2994" s="56" t="n">
        <f aca="false">R2994*(B2994&gt;=Train_Start)*(B2994&lt;=Train_End)</f>
        <v>1</v>
      </c>
      <c r="T2994" s="84" t="n">
        <f aca="false">IF(AND(ISNUMBER(O2994),ISNUMBER(P2994)),Coef_A+Coef_B1*O2994+Coef_B2*P2994,"")</f>
        <v>22.752281398928</v>
      </c>
      <c r="U2994" s="84" t="n">
        <f aca="false">IF(AND(R2994=1,ISNUMBER(T2994)),E2994-T2994,"")</f>
        <v>-1.75228139892798</v>
      </c>
      <c r="V2994" s="84" t="n">
        <f aca="false">IF(ISNUMBER(T2994),T2994,-99)</f>
        <v>22.752281398928</v>
      </c>
      <c r="W2994" s="84" t="n">
        <f aca="false">IF(ISNUMBER(U2994),ABS(U2994),"")</f>
        <v>1.75228139892798</v>
      </c>
    </row>
    <row r="2995" customFormat="false" ht="15" hidden="false" customHeight="false" outlineLevel="0" collapsed="false">
      <c r="A2995" s="57" t="n">
        <v>36002</v>
      </c>
      <c r="B2995" s="56" t="n">
        <v>1998</v>
      </c>
      <c r="C2995" s="56" t="n">
        <v>7</v>
      </c>
      <c r="D2995" s="56" t="n">
        <v>87</v>
      </c>
      <c r="E2995" s="56" t="n">
        <v>23.1</v>
      </c>
      <c r="F2995" s="56" t="n">
        <v>0</v>
      </c>
      <c r="G2995" s="56" t="n">
        <v>12.1</v>
      </c>
      <c r="H2995" s="56" t="n">
        <v>0</v>
      </c>
      <c r="I2995" s="56" t="n">
        <v>16.6</v>
      </c>
      <c r="J2995" s="56" t="n">
        <v>0</v>
      </c>
      <c r="K2995" s="56" t="n">
        <v>1015.4</v>
      </c>
      <c r="L2995" s="56" t="n">
        <v>0</v>
      </c>
      <c r="M2995" s="56" t="n">
        <v>65</v>
      </c>
      <c r="N2995" s="56" t="n">
        <v>5.6</v>
      </c>
      <c r="O2995" s="56" t="n">
        <f aca="false">IF(D2995=1,"",E2994)</f>
        <v>21</v>
      </c>
      <c r="P2995" s="56" t="n">
        <f aca="false">IF(OR(D2995=1,K2994=""),"",K2994)</f>
        <v>1023</v>
      </c>
      <c r="Q2995" s="56" t="n">
        <f aca="false">IF(OR(F2995&lt;&gt;0,AND(I2995&lt;&gt;"",E2995&lt;I2995)),1,0)</f>
        <v>0</v>
      </c>
      <c r="R2995" s="56" t="n">
        <f aca="false">IF(AND(D2995&gt;1,Q2995=0,ISNUMBER(O2995),ISNUMBER(P2995)),IF(Q2994=0,1,0),0)</f>
        <v>1</v>
      </c>
      <c r="S2995" s="56" t="n">
        <f aca="false">R2995*(B2995&gt;=Train_Start)*(B2995&lt;=Train_End)</f>
        <v>1</v>
      </c>
      <c r="T2995" s="84" t="n">
        <f aca="false">IF(AND(ISNUMBER(O2995),ISNUMBER(P2995)),Coef_A+Coef_B1*O2995+Coef_B2*P2995,"")</f>
        <v>21.3845006864627</v>
      </c>
      <c r="U2995" s="84" t="n">
        <f aca="false">IF(AND(R2995=1,ISNUMBER(T2995)),E2995-T2995,"")</f>
        <v>1.71549931353735</v>
      </c>
      <c r="V2995" s="84" t="n">
        <f aca="false">IF(ISNUMBER(T2995),T2995,-99)</f>
        <v>21.3845006864627</v>
      </c>
      <c r="W2995" s="84" t="n">
        <f aca="false">IF(ISNUMBER(U2995),ABS(U2995),"")</f>
        <v>1.71549931353735</v>
      </c>
    </row>
    <row r="2996" customFormat="false" ht="15" hidden="false" customHeight="false" outlineLevel="0" collapsed="false">
      <c r="A2996" s="57" t="n">
        <v>36003</v>
      </c>
      <c r="B2996" s="56" t="n">
        <v>1998</v>
      </c>
      <c r="C2996" s="56" t="n">
        <v>7</v>
      </c>
      <c r="D2996" s="56" t="n">
        <v>88</v>
      </c>
      <c r="E2996" s="56" t="n">
        <v>21.7</v>
      </c>
      <c r="F2996" s="56" t="n">
        <v>0</v>
      </c>
      <c r="G2996" s="56" t="n">
        <v>13.1</v>
      </c>
      <c r="H2996" s="56" t="n">
        <v>0</v>
      </c>
      <c r="I2996" s="56" t="n">
        <v>18.1</v>
      </c>
      <c r="J2996" s="56" t="n">
        <v>0</v>
      </c>
      <c r="K2996" s="56" t="n">
        <v>1011.7</v>
      </c>
      <c r="L2996" s="56" t="n">
        <v>0</v>
      </c>
      <c r="M2996" s="56" t="n">
        <v>72</v>
      </c>
      <c r="N2996" s="56" t="n">
        <v>4.5</v>
      </c>
      <c r="O2996" s="56" t="n">
        <f aca="false">IF(D2996=1,"",E2995)</f>
        <v>23.1</v>
      </c>
      <c r="P2996" s="56" t="n">
        <f aca="false">IF(OR(D2996=1,K2995=""),"",K2995)</f>
        <v>1015.4</v>
      </c>
      <c r="Q2996" s="56" t="n">
        <f aca="false">IF(OR(F2996&lt;&gt;0,AND(I2996&lt;&gt;"",E2996&lt;I2996)),1,0)</f>
        <v>0</v>
      </c>
      <c r="R2996" s="56" t="n">
        <f aca="false">IF(AND(D2996&gt;1,Q2996=0,ISNUMBER(O2996),ISNUMBER(P2996)),IF(Q2995=0,1,0),0)</f>
        <v>1</v>
      </c>
      <c r="S2996" s="56" t="n">
        <f aca="false">R2996*(B2996&gt;=Train_Start)*(B2996&lt;=Train_End)</f>
        <v>1</v>
      </c>
      <c r="T2996" s="84" t="n">
        <f aca="false">IF(AND(ISNUMBER(O2996),ISNUMBER(P2996)),Coef_A+Coef_B1*O2996+Coef_B2*P2996,"")</f>
        <v>22.8667017926339</v>
      </c>
      <c r="U2996" s="84" t="n">
        <f aca="false">IF(AND(R2996=1,ISNUMBER(T2996)),E2996-T2996,"")</f>
        <v>-1.16670179263392</v>
      </c>
      <c r="V2996" s="84" t="n">
        <f aca="false">IF(ISNUMBER(T2996),T2996,-99)</f>
        <v>22.8667017926339</v>
      </c>
      <c r="W2996" s="84" t="n">
        <f aca="false">IF(ISNUMBER(U2996),ABS(U2996),"")</f>
        <v>1.16670179263392</v>
      </c>
    </row>
    <row r="2997" customFormat="false" ht="15" hidden="false" customHeight="false" outlineLevel="0" collapsed="false">
      <c r="A2997" s="57" t="n">
        <v>36004</v>
      </c>
      <c r="B2997" s="56" t="n">
        <v>1998</v>
      </c>
      <c r="C2997" s="56" t="n">
        <v>7</v>
      </c>
      <c r="D2997" s="56" t="n">
        <v>89</v>
      </c>
      <c r="E2997" s="56" t="n">
        <v>22.3</v>
      </c>
      <c r="F2997" s="56" t="n">
        <v>0</v>
      </c>
      <c r="G2997" s="56" t="n">
        <v>13.9</v>
      </c>
      <c r="H2997" s="56" t="n">
        <v>0</v>
      </c>
      <c r="I2997" s="56" t="n">
        <v>17.8</v>
      </c>
      <c r="J2997" s="56" t="n">
        <v>0</v>
      </c>
      <c r="K2997" s="56" t="n">
        <v>1010.4</v>
      </c>
      <c r="L2997" s="56" t="n">
        <v>0</v>
      </c>
      <c r="M2997" s="56" t="n">
        <v>75</v>
      </c>
      <c r="N2997" s="56" t="n">
        <v>1.8</v>
      </c>
      <c r="O2997" s="56" t="n">
        <f aca="false">IF(D2997=1,"",E2996)</f>
        <v>21.7</v>
      </c>
      <c r="P2997" s="56" t="n">
        <f aca="false">IF(OR(D2997=1,K2996=""),"",K2996)</f>
        <v>1011.7</v>
      </c>
      <c r="Q2997" s="56" t="n">
        <f aca="false">IF(OR(F2997&lt;&gt;0,AND(I2997&lt;&gt;"",E2997&lt;I2997)),1,0)</f>
        <v>0</v>
      </c>
      <c r="R2997" s="56" t="n">
        <f aca="false">IF(AND(D2997&gt;1,Q2997=0,ISNUMBER(O2997),ISNUMBER(P2997)),IF(Q2996=0,1,0),0)</f>
        <v>1</v>
      </c>
      <c r="S2997" s="56" t="n">
        <f aca="false">R2997*(B2997&gt;=Train_Start)*(B2997&lt;=Train_End)</f>
        <v>1</v>
      </c>
      <c r="T2997" s="84" t="n">
        <f aca="false">IF(AND(ISNUMBER(O2997),ISNUMBER(P2997)),Coef_A+Coef_B1*O2997+Coef_B2*P2997,"")</f>
        <v>21.6035583122284</v>
      </c>
      <c r="U2997" s="84" t="n">
        <f aca="false">IF(AND(R2997=1,ISNUMBER(T2997)),E2997-T2997,"")</f>
        <v>0.696441687771564</v>
      </c>
      <c r="V2997" s="84" t="n">
        <f aca="false">IF(ISNUMBER(T2997),T2997,-99)</f>
        <v>21.6035583122284</v>
      </c>
      <c r="W2997" s="84" t="n">
        <f aca="false">IF(ISNUMBER(U2997),ABS(U2997),"")</f>
        <v>0.696441687771564</v>
      </c>
    </row>
    <row r="2998" customFormat="false" ht="15" hidden="false" customHeight="false" outlineLevel="0" collapsed="false">
      <c r="A2998" s="57" t="n">
        <v>36005</v>
      </c>
      <c r="B2998" s="56" t="n">
        <v>1998</v>
      </c>
      <c r="C2998" s="56" t="n">
        <v>7</v>
      </c>
      <c r="D2998" s="56" t="n">
        <v>90</v>
      </c>
      <c r="E2998" s="56" t="n">
        <v>22.5</v>
      </c>
      <c r="F2998" s="56" t="n">
        <v>0</v>
      </c>
      <c r="G2998" s="56" t="n">
        <v>15</v>
      </c>
      <c r="H2998" s="56" t="n">
        <v>0</v>
      </c>
      <c r="I2998" s="56" t="n">
        <v>18.6</v>
      </c>
      <c r="J2998" s="56" t="n">
        <v>0</v>
      </c>
      <c r="K2998" s="56" t="n">
        <v>1006.3</v>
      </c>
      <c r="L2998" s="56" t="n">
        <v>0</v>
      </c>
      <c r="M2998" s="56" t="n">
        <v>77</v>
      </c>
      <c r="N2998" s="56" t="n">
        <v>3.1</v>
      </c>
      <c r="O2998" s="56" t="n">
        <f aca="false">IF(D2998=1,"",E2997)</f>
        <v>22.3</v>
      </c>
      <c r="P2998" s="56" t="n">
        <f aca="false">IF(OR(D2998=1,K2997=""),"",K2997)</f>
        <v>1010.4</v>
      </c>
      <c r="Q2998" s="56" t="n">
        <f aca="false">IF(OR(F2998&lt;&gt;0,AND(I2998&lt;&gt;"",E2998&lt;I2998)),1,0)</f>
        <v>0</v>
      </c>
      <c r="R2998" s="56" t="n">
        <f aca="false">IF(AND(D2998&gt;1,Q2998=0,ISNUMBER(O2998),ISNUMBER(P2998)),IF(Q2997=0,1,0),0)</f>
        <v>1</v>
      </c>
      <c r="S2998" s="56" t="n">
        <f aca="false">R2998*(B2998&gt;=Train_Start)*(B2998&lt;=Train_End)</f>
        <v>1</v>
      </c>
      <c r="T2998" s="84" t="n">
        <f aca="false">IF(AND(ISNUMBER(O2998),ISNUMBER(P2998)),Coef_A+Coef_B1*O2998+Coef_B2*P2998,"")</f>
        <v>22.0543809650298</v>
      </c>
      <c r="U2998" s="84" t="n">
        <f aca="false">IF(AND(R2998=1,ISNUMBER(T2998)),E2998-T2998,"")</f>
        <v>0.445619034970157</v>
      </c>
      <c r="V2998" s="84" t="n">
        <f aca="false">IF(ISNUMBER(T2998),T2998,-99)</f>
        <v>22.0543809650298</v>
      </c>
      <c r="W2998" s="84" t="n">
        <f aca="false">IF(ISNUMBER(U2998),ABS(U2998),"")</f>
        <v>0.445619034970157</v>
      </c>
    </row>
    <row r="2999" customFormat="false" ht="15" hidden="false" customHeight="false" outlineLevel="0" collapsed="false">
      <c r="A2999" s="57" t="n">
        <v>36006</v>
      </c>
      <c r="B2999" s="56" t="n">
        <v>1998</v>
      </c>
      <c r="C2999" s="56" t="n">
        <v>7</v>
      </c>
      <c r="D2999" s="56" t="n">
        <v>91</v>
      </c>
      <c r="E2999" s="56" t="n">
        <v>22.6</v>
      </c>
      <c r="F2999" s="56" t="n">
        <v>0</v>
      </c>
      <c r="G2999" s="56" t="n">
        <v>13.1</v>
      </c>
      <c r="H2999" s="56" t="n">
        <v>0</v>
      </c>
      <c r="I2999" s="56" t="n">
        <v>17.8</v>
      </c>
      <c r="J2999" s="56" t="n">
        <v>0</v>
      </c>
      <c r="K2999" s="56" t="n">
        <v>1006.4</v>
      </c>
      <c r="L2999" s="56" t="n">
        <v>0</v>
      </c>
      <c r="M2999" s="56" t="n">
        <v>70</v>
      </c>
      <c r="N2999" s="56" t="n">
        <v>8.5</v>
      </c>
      <c r="O2999" s="56" t="n">
        <f aca="false">IF(D2999=1,"",E2998)</f>
        <v>22.5</v>
      </c>
      <c r="P2999" s="56" t="n">
        <f aca="false">IF(OR(D2999=1,K2998=""),"",K2998)</f>
        <v>1006.3</v>
      </c>
      <c r="Q2999" s="56" t="n">
        <f aca="false">IF(OR(F2999&lt;&gt;0,AND(I2999&lt;&gt;"",E2999&lt;I2999)),1,0)</f>
        <v>0</v>
      </c>
      <c r="R2999" s="56" t="n">
        <f aca="false">IF(AND(D2999&gt;1,Q2999=0,ISNUMBER(O2999),ISNUMBER(P2999)),IF(Q2998=0,1,0),0)</f>
        <v>1</v>
      </c>
      <c r="S2999" s="56" t="n">
        <f aca="false">R2999*(B2999&gt;=Train_Start)*(B2999&lt;=Train_End)</f>
        <v>1</v>
      </c>
      <c r="T2999" s="84" t="n">
        <f aca="false">IF(AND(ISNUMBER(O2999),ISNUMBER(P2999)),Coef_A+Coef_B1*O2999+Coef_B2*P2999,"")</f>
        <v>22.089632235639</v>
      </c>
      <c r="U2999" s="84" t="n">
        <f aca="false">IF(AND(R2999=1,ISNUMBER(T2999)),E2999-T2999,"")</f>
        <v>0.510367764360982</v>
      </c>
      <c r="V2999" s="84" t="n">
        <f aca="false">IF(ISNUMBER(T2999),T2999,-99)</f>
        <v>22.089632235639</v>
      </c>
      <c r="W2999" s="84" t="n">
        <f aca="false">IF(ISNUMBER(U2999),ABS(U2999),"")</f>
        <v>0.510367764360982</v>
      </c>
    </row>
    <row r="3000" customFormat="false" ht="15" hidden="false" customHeight="false" outlineLevel="0" collapsed="false">
      <c r="A3000" s="57" t="n">
        <v>36007</v>
      </c>
      <c r="B3000" s="56" t="n">
        <v>1998</v>
      </c>
      <c r="C3000" s="56" t="n">
        <v>7</v>
      </c>
      <c r="D3000" s="56" t="n">
        <v>92</v>
      </c>
      <c r="E3000" s="56" t="n">
        <v>21.9</v>
      </c>
      <c r="F3000" s="56" t="n">
        <v>0</v>
      </c>
      <c r="G3000" s="56" t="n">
        <v>12.8</v>
      </c>
      <c r="H3000" s="56" t="n">
        <v>0</v>
      </c>
      <c r="I3000" s="56" t="n">
        <v>17.7</v>
      </c>
      <c r="J3000" s="56" t="n">
        <v>0</v>
      </c>
      <c r="K3000" s="56" t="n">
        <v>1013.4</v>
      </c>
      <c r="L3000" s="56" t="n">
        <v>0</v>
      </c>
      <c r="M3000" s="56" t="n">
        <v>70</v>
      </c>
      <c r="N3000" s="56" t="n">
        <v>7.1</v>
      </c>
      <c r="O3000" s="56" t="n">
        <f aca="false">IF(D3000=1,"",E2999)</f>
        <v>22.6</v>
      </c>
      <c r="P3000" s="56" t="n">
        <f aca="false">IF(OR(D3000=1,K2999=""),"",K2999)</f>
        <v>1006.4</v>
      </c>
      <c r="Q3000" s="56" t="n">
        <f aca="false">IF(OR(F3000&lt;&gt;0,AND(I3000&lt;&gt;"",E3000&lt;I3000)),1,0)</f>
        <v>0</v>
      </c>
      <c r="R3000" s="56" t="n">
        <f aca="false">IF(AND(D3000&gt;1,Q3000=0,ISNUMBER(O3000),ISNUMBER(P3000)),IF(Q2999=0,1,0),0)</f>
        <v>1</v>
      </c>
      <c r="S3000" s="56" t="n">
        <f aca="false">R3000*(B3000&gt;=Train_Start)*(B3000&lt;=Train_End)</f>
        <v>1</v>
      </c>
      <c r="T3000" s="84" t="n">
        <f aca="false">IF(AND(ISNUMBER(O3000),ISNUMBER(P3000)),Coef_A+Coef_B1*O3000+Coef_B2*P3000,"")</f>
        <v>22.1747031444067</v>
      </c>
      <c r="U3000" s="84" t="n">
        <f aca="false">IF(AND(R3000=1,ISNUMBER(T3000)),E3000-T3000,"")</f>
        <v>-0.274703144406686</v>
      </c>
      <c r="V3000" s="84" t="n">
        <f aca="false">IF(ISNUMBER(T3000),T3000,-99)</f>
        <v>22.1747031444067</v>
      </c>
      <c r="W3000" s="84" t="n">
        <f aca="false">IF(ISNUMBER(U3000),ABS(U3000),"")</f>
        <v>0.274703144406686</v>
      </c>
    </row>
    <row r="3001" customFormat="false" ht="15" hidden="false" customHeight="false" outlineLevel="0" collapsed="false">
      <c r="A3001" s="57" t="n">
        <v>36008</v>
      </c>
      <c r="B3001" s="56" t="n">
        <v>1998</v>
      </c>
      <c r="C3001" s="56" t="n">
        <v>8</v>
      </c>
      <c r="D3001" s="56" t="n">
        <v>93</v>
      </c>
      <c r="E3001" s="56" t="n">
        <v>20.8</v>
      </c>
      <c r="F3001" s="56" t="n">
        <v>0</v>
      </c>
      <c r="G3001" s="56" t="n">
        <v>11.8</v>
      </c>
      <c r="H3001" s="56" t="n">
        <v>0</v>
      </c>
      <c r="I3001" s="56" t="n">
        <v>16.8</v>
      </c>
      <c r="J3001" s="56" t="n">
        <v>0</v>
      </c>
      <c r="K3001" s="56" t="n">
        <v>1017.9</v>
      </c>
      <c r="L3001" s="56" t="n">
        <v>0</v>
      </c>
      <c r="M3001" s="56" t="n">
        <v>78</v>
      </c>
      <c r="N3001" s="56" t="n">
        <v>6.4</v>
      </c>
      <c r="O3001" s="56" t="n">
        <f aca="false">IF(D3001=1,"",E3000)</f>
        <v>21.9</v>
      </c>
      <c r="P3001" s="56" t="n">
        <f aca="false">IF(OR(D3001=1,K3000=""),"",K3000)</f>
        <v>1013.4</v>
      </c>
      <c r="Q3001" s="56" t="n">
        <f aca="false">IF(OR(F3001&lt;&gt;0,AND(I3001&lt;&gt;"",E3001&lt;I3001)),1,0)</f>
        <v>0</v>
      </c>
      <c r="R3001" s="56" t="n">
        <f aca="false">IF(AND(D3001&gt;1,Q3001=0,ISNUMBER(O3001),ISNUMBER(P3001)),IF(Q3000=0,1,0),0)</f>
        <v>1</v>
      </c>
      <c r="S3001" s="56" t="n">
        <f aca="false">R3001*(B3001&gt;=Train_Start)*(B3001&lt;=Train_End)</f>
        <v>1</v>
      </c>
      <c r="T3001" s="84" t="n">
        <f aca="false">IF(AND(ISNUMBER(O3001),ISNUMBER(P3001)),Coef_A+Coef_B1*O3001+Coef_B2*P3001,"")</f>
        <v>21.8207549717148</v>
      </c>
      <c r="U3001" s="84" t="n">
        <f aca="false">IF(AND(R3001=1,ISNUMBER(T3001)),E3001-T3001,"")</f>
        <v>-1.02075497171475</v>
      </c>
      <c r="V3001" s="84" t="n">
        <f aca="false">IF(ISNUMBER(T3001),T3001,-99)</f>
        <v>21.8207549717148</v>
      </c>
      <c r="W3001" s="84" t="n">
        <f aca="false">IF(ISNUMBER(U3001),ABS(U3001),"")</f>
        <v>1.02075497171475</v>
      </c>
    </row>
    <row r="3002" customFormat="false" ht="15" hidden="false" customHeight="false" outlineLevel="0" collapsed="false">
      <c r="A3002" s="57" t="n">
        <v>36009</v>
      </c>
      <c r="B3002" s="56" t="n">
        <v>1998</v>
      </c>
      <c r="C3002" s="56" t="n">
        <v>8</v>
      </c>
      <c r="D3002" s="56" t="n">
        <v>94</v>
      </c>
      <c r="E3002" s="56" t="n">
        <v>18.4</v>
      </c>
      <c r="F3002" s="56" t="n">
        <v>0</v>
      </c>
      <c r="G3002" s="56" t="n">
        <v>11.9</v>
      </c>
      <c r="H3002" s="56" t="n">
        <v>0</v>
      </c>
      <c r="I3002" s="56" t="n">
        <v>16.4</v>
      </c>
      <c r="J3002" s="56" t="n">
        <v>0</v>
      </c>
      <c r="K3002" s="56" t="n">
        <v>1022.9</v>
      </c>
      <c r="L3002" s="56" t="n">
        <v>0</v>
      </c>
      <c r="M3002" s="56" t="n">
        <v>65</v>
      </c>
      <c r="N3002" s="56" t="n">
        <v>8.1</v>
      </c>
      <c r="O3002" s="56" t="n">
        <f aca="false">IF(D3002=1,"",E3001)</f>
        <v>20.8</v>
      </c>
      <c r="P3002" s="56" t="n">
        <f aca="false">IF(OR(D3002=1,K3001=""),"",K3001)</f>
        <v>1017.9</v>
      </c>
      <c r="Q3002" s="56" t="n">
        <f aca="false">IF(OR(F3002&lt;&gt;0,AND(I3002&lt;&gt;"",E3002&lt;I3002)),1,0)</f>
        <v>0</v>
      </c>
      <c r="R3002" s="56" t="n">
        <f aca="false">IF(AND(D3002&gt;1,Q3002=0,ISNUMBER(O3002),ISNUMBER(P3002)),IF(Q3001=0,1,0),0)</f>
        <v>1</v>
      </c>
      <c r="S3002" s="56" t="n">
        <f aca="false">R3002*(B3002&gt;=Train_Start)*(B3002&lt;=Train_End)</f>
        <v>1</v>
      </c>
      <c r="T3002" s="84" t="n">
        <f aca="false">IF(AND(ISNUMBER(O3002),ISNUMBER(P3002)),Coef_A+Coef_B1*O3002+Coef_B2*P3002,"")</f>
        <v>21.0606463852208</v>
      </c>
      <c r="U3002" s="84" t="n">
        <f aca="false">IF(AND(R3002=1,ISNUMBER(T3002)),E3002-T3002,"")</f>
        <v>-2.66064638522078</v>
      </c>
      <c r="V3002" s="84" t="n">
        <f aca="false">IF(ISNUMBER(T3002),T3002,-99)</f>
        <v>21.0606463852208</v>
      </c>
      <c r="W3002" s="84" t="n">
        <f aca="false">IF(ISNUMBER(U3002),ABS(U3002),"")</f>
        <v>2.66064638522078</v>
      </c>
    </row>
    <row r="3003" customFormat="false" ht="15" hidden="false" customHeight="false" outlineLevel="0" collapsed="false">
      <c r="A3003" s="57" t="n">
        <v>36010</v>
      </c>
      <c r="B3003" s="56" t="n">
        <v>1998</v>
      </c>
      <c r="C3003" s="56" t="n">
        <v>8</v>
      </c>
      <c r="D3003" s="56" t="n">
        <v>95</v>
      </c>
      <c r="E3003" s="56" t="n">
        <v>23.1</v>
      </c>
      <c r="F3003" s="56" t="n">
        <v>0</v>
      </c>
      <c r="G3003" s="56" t="n">
        <v>11.5</v>
      </c>
      <c r="H3003" s="56" t="n">
        <v>0</v>
      </c>
      <c r="I3003" s="56" t="n">
        <v>15</v>
      </c>
      <c r="J3003" s="56" t="n">
        <v>0</v>
      </c>
      <c r="K3003" s="56" t="n">
        <v>1020.2</v>
      </c>
      <c r="L3003" s="56" t="n">
        <v>0</v>
      </c>
      <c r="M3003" s="56" t="n">
        <v>82</v>
      </c>
      <c r="N3003" s="56" t="n">
        <v>0</v>
      </c>
      <c r="O3003" s="56" t="n">
        <f aca="false">IF(D3003=1,"",E3002)</f>
        <v>18.4</v>
      </c>
      <c r="P3003" s="56" t="n">
        <f aca="false">IF(OR(D3003=1,K3002=""),"",K3002)</f>
        <v>1022.9</v>
      </c>
      <c r="Q3003" s="56" t="n">
        <f aca="false">IF(OR(F3003&lt;&gt;0,AND(I3003&lt;&gt;"",E3003&lt;I3003)),1,0)</f>
        <v>0</v>
      </c>
      <c r="R3003" s="56" t="n">
        <f aca="false">IF(AND(D3003&gt;1,Q3003=0,ISNUMBER(O3003),ISNUMBER(P3003)),IF(Q3002=0,1,0),0)</f>
        <v>1</v>
      </c>
      <c r="S3003" s="56" t="n">
        <f aca="false">R3003*(B3003&gt;=Train_Start)*(B3003&lt;=Train_End)</f>
        <v>1</v>
      </c>
      <c r="T3003" s="84" t="n">
        <f aca="false">IF(AND(ISNUMBER(O3003),ISNUMBER(P3003)),Coef_A+Coef_B1*O3003+Coef_B2*P3003,"")</f>
        <v>19.2510817950883</v>
      </c>
      <c r="U3003" s="84" t="n">
        <f aca="false">IF(AND(R3003=1,ISNUMBER(T3003)),E3003-T3003,"")</f>
        <v>3.84891820491166</v>
      </c>
      <c r="V3003" s="84" t="n">
        <f aca="false">IF(ISNUMBER(T3003),T3003,-99)</f>
        <v>19.2510817950883</v>
      </c>
      <c r="W3003" s="84" t="n">
        <f aca="false">IF(ISNUMBER(U3003),ABS(U3003),"")</f>
        <v>3.84891820491166</v>
      </c>
    </row>
    <row r="3004" customFormat="false" ht="15" hidden="false" customHeight="false" outlineLevel="0" collapsed="false">
      <c r="A3004" s="57" t="n">
        <v>36011</v>
      </c>
      <c r="B3004" s="56" t="n">
        <v>1998</v>
      </c>
      <c r="C3004" s="56" t="n">
        <v>8</v>
      </c>
      <c r="D3004" s="56" t="n">
        <v>96</v>
      </c>
      <c r="E3004" s="56" t="n">
        <v>26.6</v>
      </c>
      <c r="F3004" s="56" t="n">
        <v>0</v>
      </c>
      <c r="G3004" s="56" t="n">
        <v>13.9</v>
      </c>
      <c r="H3004" s="56" t="n">
        <v>0</v>
      </c>
      <c r="I3004" s="56" t="n">
        <v>18.5</v>
      </c>
      <c r="J3004" s="56" t="n">
        <v>0</v>
      </c>
      <c r="K3004" s="56" t="n">
        <v>1025.3</v>
      </c>
      <c r="L3004" s="56" t="n">
        <v>0</v>
      </c>
      <c r="M3004" s="56" t="n">
        <v>61</v>
      </c>
      <c r="N3004" s="56" t="n">
        <v>14.3</v>
      </c>
      <c r="O3004" s="56" t="n">
        <f aca="false">IF(D3004=1,"",E3003)</f>
        <v>23.1</v>
      </c>
      <c r="P3004" s="56" t="n">
        <f aca="false">IF(OR(D3004=1,K3003=""),"",K3003)</f>
        <v>1020.2</v>
      </c>
      <c r="Q3004" s="56" t="n">
        <f aca="false">IF(OR(F3004&lt;&gt;0,AND(I3004&lt;&gt;"",E3004&lt;I3004)),1,0)</f>
        <v>0</v>
      </c>
      <c r="R3004" s="56" t="n">
        <f aca="false">IF(AND(D3004&gt;1,Q3004=0,ISNUMBER(O3004),ISNUMBER(P3004)),IF(Q3003=0,1,0),0)</f>
        <v>1</v>
      </c>
      <c r="S3004" s="56" t="n">
        <f aca="false">R3004*(B3004&gt;=Train_Start)*(B3004&lt;=Train_End)</f>
        <v>1</v>
      </c>
      <c r="T3004" s="84" t="n">
        <f aca="false">IF(AND(ISNUMBER(O3004),ISNUMBER(P3004)),Coef_A+Coef_B1*O3004+Coef_B2*P3004,"")</f>
        <v>23.0172772868771</v>
      </c>
      <c r="U3004" s="84" t="n">
        <f aca="false">IF(AND(R3004=1,ISNUMBER(T3004)),E3004-T3004,"")</f>
        <v>3.58272271312293</v>
      </c>
      <c r="V3004" s="84" t="n">
        <f aca="false">IF(ISNUMBER(T3004),T3004,-99)</f>
        <v>23.0172772868771</v>
      </c>
      <c r="W3004" s="84" t="n">
        <f aca="false">IF(ISNUMBER(U3004),ABS(U3004),"")</f>
        <v>3.58272271312293</v>
      </c>
    </row>
    <row r="3005" customFormat="false" ht="15" hidden="false" customHeight="false" outlineLevel="0" collapsed="false">
      <c r="A3005" s="57" t="n">
        <v>36012</v>
      </c>
      <c r="B3005" s="56" t="n">
        <v>1998</v>
      </c>
      <c r="C3005" s="56" t="n">
        <v>8</v>
      </c>
      <c r="D3005" s="56" t="n">
        <v>97</v>
      </c>
      <c r="E3005" s="56" t="n">
        <v>27.2</v>
      </c>
      <c r="F3005" s="56" t="n">
        <v>0</v>
      </c>
      <c r="G3005" s="56" t="n">
        <v>12.3</v>
      </c>
      <c r="H3005" s="56" t="n">
        <v>0</v>
      </c>
      <c r="I3005" s="56" t="n">
        <v>19.4</v>
      </c>
      <c r="J3005" s="56" t="n">
        <v>0</v>
      </c>
      <c r="K3005" s="56" t="n">
        <v>1029.1</v>
      </c>
      <c r="L3005" s="56" t="n">
        <v>0</v>
      </c>
      <c r="M3005" s="56" t="n">
        <v>56</v>
      </c>
      <c r="N3005" s="56" t="n">
        <v>14.2</v>
      </c>
      <c r="O3005" s="56" t="n">
        <f aca="false">IF(D3005=1,"",E3004)</f>
        <v>26.6</v>
      </c>
      <c r="P3005" s="56" t="n">
        <f aca="false">IF(OR(D3005=1,K3004=""),"",K3004)</f>
        <v>1025.3</v>
      </c>
      <c r="Q3005" s="56" t="n">
        <f aca="false">IF(OR(F3005&lt;&gt;0,AND(I3005&lt;&gt;"",E3005&lt;I3005)),1,0)</f>
        <v>0</v>
      </c>
      <c r="R3005" s="56" t="n">
        <f aca="false">IF(AND(D3005&gt;1,Q3005=0,ISNUMBER(O3005),ISNUMBER(P3005)),IF(Q3004=0,1,0),0)</f>
        <v>1</v>
      </c>
      <c r="S3005" s="56" t="n">
        <f aca="false">R3005*(B3005&gt;=Train_Start)*(B3005&lt;=Train_End)</f>
        <v>1</v>
      </c>
      <c r="T3005" s="84" t="n">
        <f aca="false">IF(AND(ISNUMBER(O3005),ISNUMBER(P3005)),Coef_A+Coef_B1*O3005+Coef_B2*P3005,"")</f>
        <v>26.0449509251597</v>
      </c>
      <c r="U3005" s="84" t="n">
        <f aca="false">IF(AND(R3005=1,ISNUMBER(T3005)),E3005-T3005,"")</f>
        <v>1.15504907484029</v>
      </c>
      <c r="V3005" s="84" t="n">
        <f aca="false">IF(ISNUMBER(T3005),T3005,-99)</f>
        <v>26.0449509251597</v>
      </c>
      <c r="W3005" s="84" t="n">
        <f aca="false">IF(ISNUMBER(U3005),ABS(U3005),"")</f>
        <v>1.15504907484029</v>
      </c>
    </row>
    <row r="3006" customFormat="false" ht="15" hidden="false" customHeight="false" outlineLevel="0" collapsed="false">
      <c r="A3006" s="57" t="n">
        <v>36013</v>
      </c>
      <c r="B3006" s="56" t="n">
        <v>1998</v>
      </c>
      <c r="C3006" s="56" t="n">
        <v>8</v>
      </c>
      <c r="D3006" s="56" t="n">
        <v>98</v>
      </c>
      <c r="E3006" s="56" t="n">
        <v>29.2</v>
      </c>
      <c r="F3006" s="56" t="n">
        <v>0</v>
      </c>
      <c r="G3006" s="56" t="n">
        <v>11.1</v>
      </c>
      <c r="H3006" s="56" t="n">
        <v>0</v>
      </c>
      <c r="I3006" s="56" t="n">
        <v>19.2</v>
      </c>
      <c r="J3006" s="56" t="n">
        <v>0</v>
      </c>
      <c r="K3006" s="56" t="n">
        <v>1025.3</v>
      </c>
      <c r="L3006" s="56" t="n">
        <v>0</v>
      </c>
      <c r="M3006" s="56" t="n">
        <v>62</v>
      </c>
      <c r="N3006" s="56" t="n">
        <v>13.4</v>
      </c>
      <c r="O3006" s="56" t="n">
        <f aca="false">IF(D3006=1,"",E3005)</f>
        <v>27.2</v>
      </c>
      <c r="P3006" s="56" t="n">
        <f aca="false">IF(OR(D3006=1,K3005=""),"",K3005)</f>
        <v>1029.1</v>
      </c>
      <c r="Q3006" s="56" t="n">
        <f aca="false">IF(OR(F3006&lt;&gt;0,AND(I3006&lt;&gt;"",E3006&lt;I3006)),1,0)</f>
        <v>0</v>
      </c>
      <c r="R3006" s="56" t="n">
        <f aca="false">IF(AND(D3006&gt;1,Q3006=0,ISNUMBER(O3006),ISNUMBER(P3006)),IF(Q3005=0,1,0),0)</f>
        <v>1</v>
      </c>
      <c r="S3006" s="56" t="n">
        <f aca="false">R3006*(B3006&gt;=Train_Start)*(B3006&lt;=Train_End)</f>
        <v>1</v>
      </c>
      <c r="T3006" s="84" t="n">
        <f aca="false">IF(AND(ISNUMBER(O3006),ISNUMBER(P3006)),Coef_A+Coef_B1*O3006+Coef_B2*P3006,"")</f>
        <v>26.6557600405945</v>
      </c>
      <c r="U3006" s="84" t="n">
        <f aca="false">IF(AND(R3006=1,ISNUMBER(T3006)),E3006-T3006,"")</f>
        <v>2.54423995940554</v>
      </c>
      <c r="V3006" s="84" t="n">
        <f aca="false">IF(ISNUMBER(T3006),T3006,-99)</f>
        <v>26.6557600405945</v>
      </c>
      <c r="W3006" s="84" t="n">
        <f aca="false">IF(ISNUMBER(U3006),ABS(U3006),"")</f>
        <v>2.54423995940554</v>
      </c>
    </row>
    <row r="3007" customFormat="false" ht="15" hidden="false" customHeight="false" outlineLevel="0" collapsed="false">
      <c r="A3007" s="57" t="n">
        <v>36014</v>
      </c>
      <c r="B3007" s="56" t="n">
        <v>1998</v>
      </c>
      <c r="C3007" s="56" t="n">
        <v>8</v>
      </c>
      <c r="D3007" s="56" t="n">
        <v>99</v>
      </c>
      <c r="E3007" s="56" t="n">
        <v>29.9</v>
      </c>
      <c r="F3007" s="56" t="n">
        <v>0</v>
      </c>
      <c r="G3007" s="56" t="n">
        <v>12.4</v>
      </c>
      <c r="H3007" s="56" t="n">
        <v>0</v>
      </c>
      <c r="I3007" s="56" t="n">
        <v>20.8</v>
      </c>
      <c r="J3007" s="56" t="n">
        <v>0</v>
      </c>
      <c r="K3007" s="56" t="n">
        <v>1022.4</v>
      </c>
      <c r="L3007" s="56" t="n">
        <v>0</v>
      </c>
      <c r="M3007" s="56" t="n">
        <v>62</v>
      </c>
      <c r="N3007" s="56" t="n">
        <v>13.7</v>
      </c>
      <c r="O3007" s="56" t="n">
        <f aca="false">IF(D3007=1,"",E3006)</f>
        <v>29.2</v>
      </c>
      <c r="P3007" s="56" t="n">
        <f aca="false">IF(OR(D3007=1,K3006=""),"",K3006)</f>
        <v>1025.3</v>
      </c>
      <c r="Q3007" s="56" t="n">
        <f aca="false">IF(OR(F3007&lt;&gt;0,AND(I3007&lt;&gt;"",E3007&lt;I3007)),1,0)</f>
        <v>0</v>
      </c>
      <c r="R3007" s="56" t="n">
        <f aca="false">IF(AND(D3007&gt;1,Q3007=0,ISNUMBER(O3007),ISNUMBER(P3007)),IF(Q3006=0,1,0),0)</f>
        <v>1</v>
      </c>
      <c r="S3007" s="56" t="n">
        <f aca="false">R3007*(B3007&gt;=Train_Start)*(B3007&lt;=Train_End)</f>
        <v>1</v>
      </c>
      <c r="T3007" s="84" t="n">
        <f aca="false">IF(AND(ISNUMBER(O3007),ISNUMBER(P3007)),Coef_A+Coef_B1*O3007+Coef_B2*P3007,"")</f>
        <v>28.1752328270706</v>
      </c>
      <c r="U3007" s="84" t="n">
        <f aca="false">IF(AND(R3007=1,ISNUMBER(T3007)),E3007-T3007,"")</f>
        <v>1.72476717292938</v>
      </c>
      <c r="V3007" s="84" t="n">
        <f aca="false">IF(ISNUMBER(T3007),T3007,-99)</f>
        <v>28.1752328270706</v>
      </c>
      <c r="W3007" s="84" t="n">
        <f aca="false">IF(ISNUMBER(U3007),ABS(U3007),"")</f>
        <v>1.72476717292938</v>
      </c>
    </row>
    <row r="3008" customFormat="false" ht="15" hidden="false" customHeight="false" outlineLevel="0" collapsed="false">
      <c r="A3008" s="57" t="n">
        <v>36015</v>
      </c>
      <c r="B3008" s="56" t="n">
        <v>1998</v>
      </c>
      <c r="C3008" s="56" t="n">
        <v>8</v>
      </c>
      <c r="D3008" s="56" t="n">
        <v>100</v>
      </c>
      <c r="E3008" s="56" t="n">
        <v>26</v>
      </c>
      <c r="F3008" s="56" t="n">
        <v>0</v>
      </c>
      <c r="G3008" s="56" t="n">
        <v>13.9</v>
      </c>
      <c r="H3008" s="56" t="n">
        <v>0</v>
      </c>
      <c r="I3008" s="56" t="n">
        <v>21.9</v>
      </c>
      <c r="J3008" s="56" t="n">
        <v>0</v>
      </c>
      <c r="K3008" s="56" t="n">
        <v>1018.7</v>
      </c>
      <c r="L3008" s="56" t="n">
        <v>0</v>
      </c>
      <c r="M3008" s="56" t="n">
        <v>50</v>
      </c>
      <c r="N3008" s="56" t="n">
        <v>13.9</v>
      </c>
      <c r="O3008" s="56" t="n">
        <f aca="false">IF(D3008=1,"",E3007)</f>
        <v>29.9</v>
      </c>
      <c r="P3008" s="56" t="n">
        <f aca="false">IF(OR(D3008=1,K3007=""),"",K3007)</f>
        <v>1022.4</v>
      </c>
      <c r="Q3008" s="56" t="n">
        <f aca="false">IF(OR(F3008&lt;&gt;0,AND(I3008&lt;&gt;"",E3008&lt;I3008)),1,0)</f>
        <v>0</v>
      </c>
      <c r="R3008" s="56" t="n">
        <f aca="false">IF(AND(D3008&gt;1,Q3008=0,ISNUMBER(O3008),ISNUMBER(P3008)),IF(Q3007=0,1,0),0)</f>
        <v>1</v>
      </c>
      <c r="S3008" s="56" t="n">
        <f aca="false">R3008*(B3008&gt;=Train_Start)*(B3008&lt;=Train_End)</f>
        <v>1</v>
      </c>
      <c r="T3008" s="84" t="n">
        <f aca="false">IF(AND(ISNUMBER(O3008),ISNUMBER(P3008)),Coef_A+Coef_B1*O3008+Coef_B2*P3008,"")</f>
        <v>28.6577975677619</v>
      </c>
      <c r="U3008" s="84" t="n">
        <f aca="false">IF(AND(R3008=1,ISNUMBER(T3008)),E3008-T3008,"")</f>
        <v>-2.65779756776191</v>
      </c>
      <c r="V3008" s="84" t="n">
        <f aca="false">IF(ISNUMBER(T3008),T3008,-99)</f>
        <v>28.6577975677619</v>
      </c>
      <c r="W3008" s="84" t="n">
        <f aca="false">IF(ISNUMBER(U3008),ABS(U3008),"")</f>
        <v>2.65779756776191</v>
      </c>
    </row>
    <row r="3009" customFormat="false" ht="15" hidden="false" customHeight="false" outlineLevel="0" collapsed="false">
      <c r="A3009" s="57" t="n">
        <v>36016</v>
      </c>
      <c r="B3009" s="56" t="n">
        <v>1998</v>
      </c>
      <c r="C3009" s="56" t="n">
        <v>8</v>
      </c>
      <c r="D3009" s="56" t="n">
        <v>101</v>
      </c>
      <c r="E3009" s="56" t="n">
        <v>31.2</v>
      </c>
      <c r="F3009" s="56" t="n">
        <v>0</v>
      </c>
      <c r="G3009" s="56" t="n">
        <v>16.4</v>
      </c>
      <c r="H3009" s="56" t="n">
        <v>0</v>
      </c>
      <c r="I3009" s="56" t="n">
        <v>21.2</v>
      </c>
      <c r="J3009" s="56" t="n">
        <v>0</v>
      </c>
      <c r="K3009" s="56" t="n">
        <v>1019.1</v>
      </c>
      <c r="L3009" s="56" t="n">
        <v>0</v>
      </c>
      <c r="M3009" s="56" t="n">
        <v>66</v>
      </c>
      <c r="N3009" s="56" t="n">
        <v>8.1</v>
      </c>
      <c r="O3009" s="56" t="n">
        <f aca="false">IF(D3009=1,"",E3008)</f>
        <v>26</v>
      </c>
      <c r="P3009" s="56" t="n">
        <f aca="false">IF(OR(D3009=1,K3008=""),"",K3008)</f>
        <v>1018.7</v>
      </c>
      <c r="Q3009" s="56" t="n">
        <f aca="false">IF(OR(F3009&lt;&gt;0,AND(I3009&lt;&gt;"",E3009&lt;I3009)),1,0)</f>
        <v>0</v>
      </c>
      <c r="R3009" s="56" t="n">
        <f aca="false">IF(AND(D3009&gt;1,Q3009=0,ISNUMBER(O3009),ISNUMBER(P3009)),IF(Q3008=0,1,0),0)</f>
        <v>1</v>
      </c>
      <c r="S3009" s="56" t="n">
        <f aca="false">R3009*(B3009&gt;=Train_Start)*(B3009&lt;=Train_End)</f>
        <v>1</v>
      </c>
      <c r="T3009" s="84" t="n">
        <f aca="false">IF(AND(ISNUMBER(O3009),ISNUMBER(P3009)),Coef_A+Coef_B1*O3009+Coef_B2*P3009,"")</f>
        <v>25.3463061047498</v>
      </c>
      <c r="U3009" s="84" t="n">
        <f aca="false">IF(AND(R3009=1,ISNUMBER(T3009)),E3009-T3009,"")</f>
        <v>5.85369389525021</v>
      </c>
      <c r="V3009" s="84" t="n">
        <f aca="false">IF(ISNUMBER(T3009),T3009,-99)</f>
        <v>25.3463061047498</v>
      </c>
      <c r="W3009" s="84" t="n">
        <f aca="false">IF(ISNUMBER(U3009),ABS(U3009),"")</f>
        <v>5.85369389525021</v>
      </c>
    </row>
    <row r="3010" customFormat="false" ht="15" hidden="false" customHeight="false" outlineLevel="0" collapsed="false">
      <c r="A3010" s="57" t="n">
        <v>36017</v>
      </c>
      <c r="B3010" s="56" t="n">
        <v>1998</v>
      </c>
      <c r="C3010" s="56" t="n">
        <v>8</v>
      </c>
      <c r="D3010" s="56" t="n">
        <v>102</v>
      </c>
      <c r="E3010" s="56" t="n">
        <v>29.7</v>
      </c>
      <c r="F3010" s="56" t="n">
        <v>0</v>
      </c>
      <c r="G3010" s="56" t="n">
        <v>15.5</v>
      </c>
      <c r="H3010" s="56" t="n">
        <v>0</v>
      </c>
      <c r="I3010" s="56" t="n">
        <v>23.4</v>
      </c>
      <c r="J3010" s="56" t="n">
        <v>0</v>
      </c>
      <c r="K3010" s="56" t="n">
        <v>1015.4</v>
      </c>
      <c r="L3010" s="56" t="n">
        <v>0</v>
      </c>
      <c r="M3010" s="56" t="n">
        <v>64</v>
      </c>
      <c r="N3010" s="56" t="n">
        <v>11.9</v>
      </c>
      <c r="O3010" s="56" t="n">
        <f aca="false">IF(D3010=1,"",E3009)</f>
        <v>31.2</v>
      </c>
      <c r="P3010" s="56" t="n">
        <f aca="false">IF(OR(D3010=1,K3009=""),"",K3009)</f>
        <v>1019.1</v>
      </c>
      <c r="Q3010" s="56" t="n">
        <f aca="false">IF(OR(F3010&lt;&gt;0,AND(I3010&lt;&gt;"",E3010&lt;I3010)),1,0)</f>
        <v>0</v>
      </c>
      <c r="R3010" s="56" t="n">
        <f aca="false">IF(AND(D3010&gt;1,Q3010=0,ISNUMBER(O3010),ISNUMBER(P3010)),IF(Q3009=0,1,0),0)</f>
        <v>1</v>
      </c>
      <c r="S3010" s="56" t="n">
        <f aca="false">R3010*(B3010&gt;=Train_Start)*(B3010&lt;=Train_End)</f>
        <v>1</v>
      </c>
      <c r="T3010" s="84" t="n">
        <f aca="false">IF(AND(ISNUMBER(O3010),ISNUMBER(P3010)),Coef_A+Coef_B1*O3010+Coef_B2*P3010,"")</f>
        <v>29.6194178664252</v>
      </c>
      <c r="U3010" s="84" t="n">
        <f aca="false">IF(AND(R3010=1,ISNUMBER(T3010)),E3010-T3010,"")</f>
        <v>0.0805821335747972</v>
      </c>
      <c r="V3010" s="84" t="n">
        <f aca="false">IF(ISNUMBER(T3010),T3010,-99)</f>
        <v>29.6194178664252</v>
      </c>
      <c r="W3010" s="84" t="n">
        <f aca="false">IF(ISNUMBER(U3010),ABS(U3010),"")</f>
        <v>0.0805821335747972</v>
      </c>
    </row>
    <row r="3011" customFormat="false" ht="15" hidden="false" customHeight="false" outlineLevel="0" collapsed="false">
      <c r="A3011" s="57" t="n">
        <v>36018</v>
      </c>
      <c r="B3011" s="56" t="n">
        <v>1998</v>
      </c>
      <c r="C3011" s="56" t="n">
        <v>8</v>
      </c>
      <c r="D3011" s="56" t="n">
        <v>103</v>
      </c>
      <c r="E3011" s="56" t="n">
        <v>23.8</v>
      </c>
      <c r="F3011" s="56" t="n">
        <v>0</v>
      </c>
      <c r="G3011" s="56" t="n">
        <v>15.7</v>
      </c>
      <c r="H3011" s="56" t="n">
        <v>0</v>
      </c>
      <c r="I3011" s="56" t="n">
        <v>22.7</v>
      </c>
      <c r="J3011" s="56" t="n">
        <v>0</v>
      </c>
      <c r="K3011" s="56" t="n">
        <v>1017.1</v>
      </c>
      <c r="L3011" s="56" t="n">
        <v>0</v>
      </c>
      <c r="M3011" s="56" t="n">
        <v>56</v>
      </c>
      <c r="N3011" s="56" t="n">
        <v>13.6</v>
      </c>
      <c r="O3011" s="56" t="n">
        <f aca="false">IF(D3011=1,"",E3010)</f>
        <v>29.7</v>
      </c>
      <c r="P3011" s="56" t="n">
        <f aca="false">IF(OR(D3011=1,K3010=""),"",K3010)</f>
        <v>1015.4</v>
      </c>
      <c r="Q3011" s="56" t="n">
        <f aca="false">IF(OR(F3011&lt;&gt;0,AND(I3011&lt;&gt;"",E3011&lt;I3011)),1,0)</f>
        <v>0</v>
      </c>
      <c r="R3011" s="56" t="n">
        <f aca="false">IF(AND(D3011&gt;1,Q3011=0,ISNUMBER(O3011),ISNUMBER(P3011)),IF(Q3010=0,1,0),0)</f>
        <v>1</v>
      </c>
      <c r="S3011" s="56" t="n">
        <f aca="false">R3011*(B3011&gt;=Train_Start)*(B3011&lt;=Train_End)</f>
        <v>1</v>
      </c>
      <c r="T3011" s="84" t="n">
        <f aca="false">IF(AND(ISNUMBER(O3011),ISNUMBER(P3011)),Coef_A+Coef_B1*O3011+Coef_B2*P3011,"")</f>
        <v>28.2743404667155</v>
      </c>
      <c r="U3011" s="84" t="n">
        <f aca="false">IF(AND(R3011=1,ISNUMBER(T3011)),E3011-T3011,"")</f>
        <v>-4.47434046671545</v>
      </c>
      <c r="V3011" s="84" t="n">
        <f aca="false">IF(ISNUMBER(T3011),T3011,-99)</f>
        <v>28.2743404667155</v>
      </c>
      <c r="W3011" s="84" t="n">
        <f aca="false">IF(ISNUMBER(U3011),ABS(U3011),"")</f>
        <v>4.47434046671545</v>
      </c>
    </row>
    <row r="3012" customFormat="false" ht="15" hidden="false" customHeight="false" outlineLevel="0" collapsed="false">
      <c r="A3012" s="57" t="n">
        <v>36019</v>
      </c>
      <c r="B3012" s="56" t="n">
        <v>1998</v>
      </c>
      <c r="C3012" s="56" t="n">
        <v>8</v>
      </c>
      <c r="D3012" s="56" t="n">
        <v>104</v>
      </c>
      <c r="E3012" s="56" t="n">
        <v>22</v>
      </c>
      <c r="F3012" s="56" t="n">
        <v>0</v>
      </c>
      <c r="G3012" s="56" t="n">
        <v>15</v>
      </c>
      <c r="H3012" s="56" t="n">
        <v>0</v>
      </c>
      <c r="I3012" s="56" t="n">
        <v>19.4</v>
      </c>
      <c r="J3012" s="56" t="n">
        <v>0</v>
      </c>
      <c r="K3012" s="56" t="n">
        <v>1017</v>
      </c>
      <c r="L3012" s="56" t="n">
        <v>0</v>
      </c>
      <c r="M3012" s="56" t="n">
        <v>58</v>
      </c>
      <c r="N3012" s="56" t="n">
        <v>12</v>
      </c>
      <c r="O3012" s="56" t="n">
        <f aca="false">IF(D3012=1,"",E3011)</f>
        <v>23.8</v>
      </c>
      <c r="P3012" s="56" t="n">
        <f aca="false">IF(OR(D3012=1,K3011=""),"",K3011)</f>
        <v>1017.1</v>
      </c>
      <c r="Q3012" s="56" t="n">
        <f aca="false">IF(OR(F3012&lt;&gt;0,AND(I3012&lt;&gt;"",E3012&lt;I3012)),1,0)</f>
        <v>0</v>
      </c>
      <c r="R3012" s="56" t="n">
        <f aca="false">IF(AND(D3012&gt;1,Q3012=0,ISNUMBER(O3012),ISNUMBER(P3012)),IF(Q3011=0,1,0),0)</f>
        <v>1</v>
      </c>
      <c r="S3012" s="56" t="n">
        <f aca="false">R3012*(B3012&gt;=Train_Start)*(B3012&lt;=Train_End)</f>
        <v>1</v>
      </c>
      <c r="T3012" s="84" t="n">
        <f aca="false">IF(AND(ISNUMBER(O3012),ISNUMBER(P3012)),Coef_A+Coef_B1*O3012+Coef_B2*P3012,"")</f>
        <v>23.4935680486416</v>
      </c>
      <c r="U3012" s="84" t="n">
        <f aca="false">IF(AND(R3012=1,ISNUMBER(T3012)),E3012-T3012,"")</f>
        <v>-1.49356804864156</v>
      </c>
      <c r="V3012" s="84" t="n">
        <f aca="false">IF(ISNUMBER(T3012),T3012,-99)</f>
        <v>23.4935680486416</v>
      </c>
      <c r="W3012" s="84" t="n">
        <f aca="false">IF(ISNUMBER(U3012),ABS(U3012),"")</f>
        <v>1.49356804864156</v>
      </c>
    </row>
    <row r="3013" customFormat="false" ht="15" hidden="false" customHeight="false" outlineLevel="0" collapsed="false">
      <c r="A3013" s="57" t="n">
        <v>36020</v>
      </c>
      <c r="B3013" s="56" t="n">
        <v>1998</v>
      </c>
      <c r="C3013" s="56" t="n">
        <v>8</v>
      </c>
      <c r="D3013" s="56" t="n">
        <v>105</v>
      </c>
      <c r="E3013" s="56" t="n">
        <v>26.7</v>
      </c>
      <c r="F3013" s="56" t="n">
        <v>0</v>
      </c>
      <c r="G3013" s="56" t="n">
        <v>11.7</v>
      </c>
      <c r="H3013" s="56" t="n">
        <v>0</v>
      </c>
      <c r="I3013" s="56" t="n">
        <v>16.8</v>
      </c>
      <c r="J3013" s="56" t="n">
        <v>0</v>
      </c>
      <c r="K3013" s="56" t="n">
        <v>1018.2</v>
      </c>
      <c r="L3013" s="56" t="n">
        <v>0</v>
      </c>
      <c r="M3013" s="56" t="n">
        <v>64</v>
      </c>
      <c r="N3013" s="56" t="n">
        <v>8</v>
      </c>
      <c r="O3013" s="56" t="n">
        <f aca="false">IF(D3013=1,"",E3012)</f>
        <v>22</v>
      </c>
      <c r="P3013" s="56" t="n">
        <f aca="false">IF(OR(D3013=1,K3012=""),"",K3012)</f>
        <v>1017</v>
      </c>
      <c r="Q3013" s="56" t="n">
        <f aca="false">IF(OR(F3013&lt;&gt;0,AND(I3013&lt;&gt;"",E3013&lt;I3013)),1,0)</f>
        <v>0</v>
      </c>
      <c r="R3013" s="56" t="n">
        <f aca="false">IF(AND(D3013&gt;1,Q3013=0,ISNUMBER(O3013),ISNUMBER(P3013)),IF(Q3012=0,1,0),0)</f>
        <v>1</v>
      </c>
      <c r="S3013" s="56" t="n">
        <f aca="false">R3013*(B3013&gt;=Train_Start)*(B3013&lt;=Train_End)</f>
        <v>1</v>
      </c>
      <c r="T3013" s="84" t="n">
        <f aca="false">IF(AND(ISNUMBER(O3013),ISNUMBER(P3013)),Coef_A+Coef_B1*O3013+Coef_B2*P3013,"")</f>
        <v>22.0156205117014</v>
      </c>
      <c r="U3013" s="84" t="n">
        <f aca="false">IF(AND(R3013=1,ISNUMBER(T3013)),E3013-T3013,"")</f>
        <v>4.68437948829862</v>
      </c>
      <c r="V3013" s="84" t="n">
        <f aca="false">IF(ISNUMBER(T3013),T3013,-99)</f>
        <v>22.0156205117014</v>
      </c>
      <c r="W3013" s="84" t="n">
        <f aca="false">IF(ISNUMBER(U3013),ABS(U3013),"")</f>
        <v>4.68437948829862</v>
      </c>
    </row>
    <row r="3014" customFormat="false" ht="15" hidden="false" customHeight="false" outlineLevel="0" collapsed="false">
      <c r="A3014" s="57" t="n">
        <v>36021</v>
      </c>
      <c r="B3014" s="56" t="n">
        <v>1998</v>
      </c>
      <c r="C3014" s="56" t="n">
        <v>8</v>
      </c>
      <c r="D3014" s="56" t="n">
        <v>106</v>
      </c>
      <c r="E3014" s="56" t="n">
        <v>22.6</v>
      </c>
      <c r="F3014" s="56" t="n">
        <v>0</v>
      </c>
      <c r="G3014" s="56" t="n">
        <v>15.1</v>
      </c>
      <c r="H3014" s="56" t="n">
        <v>0</v>
      </c>
      <c r="I3014" s="56" t="n">
        <v>20.9</v>
      </c>
      <c r="J3014" s="56" t="n">
        <v>0</v>
      </c>
      <c r="K3014" s="56" t="n">
        <v>1013.6</v>
      </c>
      <c r="L3014" s="56" t="n">
        <v>0</v>
      </c>
      <c r="M3014" s="56" t="n">
        <v>67</v>
      </c>
      <c r="N3014" s="56" t="n">
        <v>8</v>
      </c>
      <c r="O3014" s="56" t="n">
        <f aca="false">IF(D3014=1,"",E3013)</f>
        <v>26.7</v>
      </c>
      <c r="P3014" s="56" t="n">
        <f aca="false">IF(OR(D3014=1,K3013=""),"",K3013)</f>
        <v>1018.2</v>
      </c>
      <c r="Q3014" s="56" t="n">
        <f aca="false">IF(OR(F3014&lt;&gt;0,AND(I3014&lt;&gt;"",E3014&lt;I3014)),1,0)</f>
        <v>0</v>
      </c>
      <c r="R3014" s="56" t="n">
        <f aca="false">IF(AND(D3014&gt;1,Q3014=0,ISNUMBER(O3014),ISNUMBER(P3014)),IF(Q3013=0,1,0),0)</f>
        <v>1</v>
      </c>
      <c r="S3014" s="56" t="n">
        <f aca="false">R3014*(B3014&gt;=Train_Start)*(B3014&lt;=Train_End)</f>
        <v>1</v>
      </c>
      <c r="T3014" s="84" t="n">
        <f aca="false">IF(AND(ISNUMBER(O3014),ISNUMBER(P3014)),Coef_A+Coef_B1*O3014+Coef_B2*P3014,"")</f>
        <v>25.9041585925627</v>
      </c>
      <c r="U3014" s="84" t="n">
        <f aca="false">IF(AND(R3014=1,ISNUMBER(T3014)),E3014-T3014,"")</f>
        <v>-3.30415859256265</v>
      </c>
      <c r="V3014" s="84" t="n">
        <f aca="false">IF(ISNUMBER(T3014),T3014,-99)</f>
        <v>25.9041585925627</v>
      </c>
      <c r="W3014" s="84" t="n">
        <f aca="false">IF(ISNUMBER(U3014),ABS(U3014),"")</f>
        <v>3.30415859256265</v>
      </c>
    </row>
    <row r="3015" customFormat="false" ht="15" hidden="false" customHeight="false" outlineLevel="0" collapsed="false">
      <c r="A3015" s="57" t="n">
        <v>36022</v>
      </c>
      <c r="B3015" s="56" t="n">
        <v>1998</v>
      </c>
      <c r="C3015" s="56" t="n">
        <v>8</v>
      </c>
      <c r="D3015" s="56" t="n">
        <v>107</v>
      </c>
      <c r="E3015" s="56" t="n">
        <v>24.7</v>
      </c>
      <c r="F3015" s="56" t="n">
        <v>0</v>
      </c>
      <c r="G3015" s="56" t="n">
        <v>14.2</v>
      </c>
      <c r="H3015" s="56" t="n">
        <v>0</v>
      </c>
      <c r="I3015" s="56" t="n">
        <v>18.4</v>
      </c>
      <c r="J3015" s="56" t="n">
        <v>0</v>
      </c>
      <c r="K3015" s="56" t="n">
        <v>1016.4</v>
      </c>
      <c r="L3015" s="56" t="n">
        <v>0</v>
      </c>
      <c r="M3015" s="56" t="n">
        <v>66</v>
      </c>
      <c r="N3015" s="56" t="n">
        <v>10.1</v>
      </c>
      <c r="O3015" s="56" t="n">
        <f aca="false">IF(D3015=1,"",E3014)</f>
        <v>22.6</v>
      </c>
      <c r="P3015" s="56" t="n">
        <f aca="false">IF(OR(D3015=1,K3014=""),"",K3014)</f>
        <v>1013.6</v>
      </c>
      <c r="Q3015" s="56" t="n">
        <f aca="false">IF(OR(F3015&lt;&gt;0,AND(I3015&lt;&gt;"",E3015&lt;I3015)),1,0)</f>
        <v>0</v>
      </c>
      <c r="R3015" s="56" t="n">
        <f aca="false">IF(AND(D3015&gt;1,Q3015=0,ISNUMBER(O3015),ISNUMBER(P3015)),IF(Q3014=0,1,0),0)</f>
        <v>1</v>
      </c>
      <c r="S3015" s="56" t="n">
        <f aca="false">R3015*(B3015&gt;=Train_Start)*(B3015&lt;=Train_End)</f>
        <v>1</v>
      </c>
      <c r="T3015" s="84" t="n">
        <f aca="false">IF(AND(ISNUMBER(O3015),ISNUMBER(P3015)),Coef_A+Coef_B1*O3015+Coef_B2*P3015,"")</f>
        <v>22.4005663857714</v>
      </c>
      <c r="U3015" s="84" t="n">
        <f aca="false">IF(AND(R3015=1,ISNUMBER(T3015)),E3015-T3015,"")</f>
        <v>2.29943361422859</v>
      </c>
      <c r="V3015" s="84" t="n">
        <f aca="false">IF(ISNUMBER(T3015),T3015,-99)</f>
        <v>22.4005663857714</v>
      </c>
      <c r="W3015" s="84" t="n">
        <f aca="false">IF(ISNUMBER(U3015),ABS(U3015),"")</f>
        <v>2.29943361422859</v>
      </c>
    </row>
    <row r="3016" customFormat="false" ht="15" hidden="false" customHeight="false" outlineLevel="0" collapsed="false">
      <c r="A3016" s="57" t="n">
        <v>36023</v>
      </c>
      <c r="B3016" s="56" t="n">
        <v>1998</v>
      </c>
      <c r="C3016" s="56" t="n">
        <v>8</v>
      </c>
      <c r="D3016" s="56" t="n">
        <v>108</v>
      </c>
      <c r="E3016" s="56" t="n">
        <v>25.3</v>
      </c>
      <c r="F3016" s="56" t="n">
        <v>0</v>
      </c>
      <c r="G3016" s="56" t="n">
        <v>11.4</v>
      </c>
      <c r="H3016" s="56" t="n">
        <v>0</v>
      </c>
      <c r="I3016" s="56" t="n">
        <v>18</v>
      </c>
      <c r="J3016" s="56" t="n">
        <v>0</v>
      </c>
      <c r="K3016" s="56" t="n">
        <v>1021.2</v>
      </c>
      <c r="L3016" s="56" t="n">
        <v>0</v>
      </c>
      <c r="M3016" s="56" t="n">
        <v>61</v>
      </c>
      <c r="N3016" s="56" t="n">
        <v>11.3</v>
      </c>
      <c r="O3016" s="56" t="n">
        <f aca="false">IF(D3016=1,"",E3015)</f>
        <v>24.7</v>
      </c>
      <c r="P3016" s="56" t="n">
        <f aca="false">IF(OR(D3016=1,K3015=""),"",K3015)</f>
        <v>1016.4</v>
      </c>
      <c r="Q3016" s="56" t="n">
        <f aca="false">IF(OR(F3016&lt;&gt;0,AND(I3016&lt;&gt;"",E3016&lt;I3016)),1,0)</f>
        <v>0</v>
      </c>
      <c r="R3016" s="56" t="n">
        <f aca="false">IF(AND(D3016&gt;1,Q3016=0,ISNUMBER(O3016),ISNUMBER(P3016)),IF(Q3015=0,1,0),0)</f>
        <v>1</v>
      </c>
      <c r="S3016" s="56" t="n">
        <f aca="false">R3016*(B3016&gt;=Train_Start)*(B3016&lt;=Train_End)</f>
        <v>1</v>
      </c>
      <c r="T3016" s="84" t="n">
        <f aca="false">IF(AND(ISNUMBER(O3016),ISNUMBER(P3016)),Coef_A+Coef_B1*O3016+Coef_B2*P3016,"")</f>
        <v>24.2090143961362</v>
      </c>
      <c r="U3016" s="84" t="n">
        <f aca="false">IF(AND(R3016=1,ISNUMBER(T3016)),E3016-T3016,"")</f>
        <v>1.09098560386384</v>
      </c>
      <c r="V3016" s="84" t="n">
        <f aca="false">IF(ISNUMBER(T3016),T3016,-99)</f>
        <v>24.2090143961362</v>
      </c>
      <c r="W3016" s="84" t="n">
        <f aca="false">IF(ISNUMBER(U3016),ABS(U3016),"")</f>
        <v>1.09098560386384</v>
      </c>
    </row>
    <row r="3017" customFormat="false" ht="15" hidden="false" customHeight="false" outlineLevel="0" collapsed="false">
      <c r="A3017" s="57" t="n">
        <v>36024</v>
      </c>
      <c r="B3017" s="56" t="n">
        <v>1998</v>
      </c>
      <c r="C3017" s="56" t="n">
        <v>8</v>
      </c>
      <c r="D3017" s="56" t="n">
        <v>109</v>
      </c>
      <c r="E3017" s="56" t="n">
        <v>22.6</v>
      </c>
      <c r="F3017" s="56" t="n">
        <v>0</v>
      </c>
      <c r="G3017" s="56" t="n">
        <v>14.3</v>
      </c>
      <c r="H3017" s="56" t="n">
        <v>0</v>
      </c>
      <c r="I3017" s="56" t="n">
        <v>19.8</v>
      </c>
      <c r="J3017" s="56" t="n">
        <v>0</v>
      </c>
      <c r="K3017" s="56" t="n">
        <v>1016.8</v>
      </c>
      <c r="L3017" s="56" t="n">
        <v>0</v>
      </c>
      <c r="M3017" s="56" t="n">
        <v>67</v>
      </c>
      <c r="N3017" s="56" t="n">
        <v>6.6</v>
      </c>
      <c r="O3017" s="56" t="n">
        <f aca="false">IF(D3017=1,"",E3016)</f>
        <v>25.3</v>
      </c>
      <c r="P3017" s="56" t="n">
        <f aca="false">IF(OR(D3017=1,K3016=""),"",K3016)</f>
        <v>1021.2</v>
      </c>
      <c r="Q3017" s="56" t="n">
        <f aca="false">IF(OR(F3017&lt;&gt;0,AND(I3017&lt;&gt;"",E3017&lt;I3017)),1,0)</f>
        <v>0</v>
      </c>
      <c r="R3017" s="56" t="n">
        <f aca="false">IF(AND(D3017&gt;1,Q3017=0,ISNUMBER(O3017),ISNUMBER(P3017)),IF(Q3016=0,1,0),0)</f>
        <v>1</v>
      </c>
      <c r="S3017" s="56" t="n">
        <f aca="false">R3017*(B3017&gt;=Train_Start)*(B3017&lt;=Train_End)</f>
        <v>1</v>
      </c>
      <c r="T3017" s="84" t="n">
        <f aca="false">IF(AND(ISNUMBER(O3017),ISNUMBER(P3017)),Coef_A+Coef_B1*O3017+Coef_B2*P3017,"")</f>
        <v>24.8511934062049</v>
      </c>
      <c r="U3017" s="84" t="n">
        <f aca="false">IF(AND(R3017=1,ISNUMBER(T3017)),E3017-T3017,"")</f>
        <v>-2.2511934062049</v>
      </c>
      <c r="V3017" s="84" t="n">
        <f aca="false">IF(ISNUMBER(T3017),T3017,-99)</f>
        <v>24.8511934062049</v>
      </c>
      <c r="W3017" s="84" t="n">
        <f aca="false">IF(ISNUMBER(U3017),ABS(U3017),"")</f>
        <v>2.2511934062049</v>
      </c>
    </row>
    <row r="3018" customFormat="false" ht="15" hidden="false" customHeight="false" outlineLevel="0" collapsed="false">
      <c r="A3018" s="57" t="n">
        <v>36025</v>
      </c>
      <c r="B3018" s="56" t="n">
        <v>1998</v>
      </c>
      <c r="C3018" s="56" t="n">
        <v>8</v>
      </c>
      <c r="D3018" s="56" t="n">
        <v>110</v>
      </c>
      <c r="E3018" s="56" t="n">
        <v>25</v>
      </c>
      <c r="F3018" s="56" t="n">
        <v>0</v>
      </c>
      <c r="G3018" s="56" t="n">
        <v>15.4</v>
      </c>
      <c r="H3018" s="56" t="n">
        <v>0</v>
      </c>
      <c r="I3018" s="56" t="n">
        <v>19</v>
      </c>
      <c r="J3018" s="56" t="n">
        <v>0</v>
      </c>
      <c r="K3018" s="56" t="n">
        <v>1019.9</v>
      </c>
      <c r="L3018" s="56" t="n">
        <v>0</v>
      </c>
      <c r="M3018" s="56" t="n">
        <v>58</v>
      </c>
      <c r="N3018" s="56" t="n">
        <v>7.2</v>
      </c>
      <c r="O3018" s="56" t="n">
        <f aca="false">IF(D3018=1,"",E3017)</f>
        <v>22.6</v>
      </c>
      <c r="P3018" s="56" t="n">
        <f aca="false">IF(OR(D3018=1,K3017=""),"",K3017)</f>
        <v>1016.8</v>
      </c>
      <c r="Q3018" s="56" t="n">
        <f aca="false">IF(OR(F3018&lt;&gt;0,AND(I3018&lt;&gt;"",E3018&lt;I3018)),1,0)</f>
        <v>0</v>
      </c>
      <c r="R3018" s="56" t="n">
        <f aca="false">IF(AND(D3018&gt;1,Q3018=0,ISNUMBER(O3018),ISNUMBER(P3018)),IF(Q3017=0,1,0),0)</f>
        <v>1</v>
      </c>
      <c r="S3018" s="56" t="n">
        <f aca="false">R3018*(B3018&gt;=Train_Start)*(B3018&lt;=Train_End)</f>
        <v>1</v>
      </c>
      <c r="T3018" s="84" t="n">
        <f aca="false">IF(AND(ISNUMBER(O3018),ISNUMBER(P3018)),Coef_A+Coef_B1*O3018+Coef_B2*P3018,"")</f>
        <v>22.5009500486002</v>
      </c>
      <c r="U3018" s="84" t="n">
        <f aca="false">IF(AND(R3018=1,ISNUMBER(T3018)),E3018-T3018,"")</f>
        <v>2.49904995139983</v>
      </c>
      <c r="V3018" s="84" t="n">
        <f aca="false">IF(ISNUMBER(T3018),T3018,-99)</f>
        <v>22.5009500486002</v>
      </c>
      <c r="W3018" s="84" t="n">
        <f aca="false">IF(ISNUMBER(U3018),ABS(U3018),"")</f>
        <v>2.49904995139983</v>
      </c>
    </row>
    <row r="3019" customFormat="false" ht="15" hidden="false" customHeight="false" outlineLevel="0" collapsed="false">
      <c r="A3019" s="57" t="n">
        <v>36026</v>
      </c>
      <c r="B3019" s="56" t="n">
        <v>1998</v>
      </c>
      <c r="C3019" s="56" t="n">
        <v>8</v>
      </c>
      <c r="D3019" s="56" t="n">
        <v>111</v>
      </c>
      <c r="E3019" s="56" t="n">
        <v>22.2</v>
      </c>
      <c r="F3019" s="56" t="n">
        <v>0</v>
      </c>
      <c r="G3019" s="56" t="n">
        <v>10.9</v>
      </c>
      <c r="H3019" s="56" t="n">
        <v>0</v>
      </c>
      <c r="I3019" s="56" t="n">
        <v>18</v>
      </c>
      <c r="J3019" s="56" t="n">
        <v>0</v>
      </c>
      <c r="K3019" s="56" t="n">
        <v>1020.5</v>
      </c>
      <c r="L3019" s="56" t="n">
        <v>0</v>
      </c>
      <c r="M3019" s="56" t="n">
        <v>62</v>
      </c>
      <c r="N3019" s="56" t="n">
        <v>10.9</v>
      </c>
      <c r="O3019" s="56" t="n">
        <f aca="false">IF(D3019=1,"",E3018)</f>
        <v>25</v>
      </c>
      <c r="P3019" s="56" t="n">
        <f aca="false">IF(OR(D3019=1,K3018=""),"",K3018)</f>
        <v>1019.9</v>
      </c>
      <c r="Q3019" s="56" t="n">
        <f aca="false">IF(OR(F3019&lt;&gt;0,AND(I3019&lt;&gt;"",E3019&lt;I3019)),1,0)</f>
        <v>0</v>
      </c>
      <c r="R3019" s="56" t="n">
        <f aca="false">IF(AND(D3019&gt;1,Q3019=0,ISNUMBER(O3019),ISNUMBER(P3019)),IF(Q3018=0,1,0),0)</f>
        <v>1</v>
      </c>
      <c r="S3019" s="56" t="n">
        <f aca="false">R3019*(B3019&gt;=Train_Start)*(B3019&lt;=Train_End)</f>
        <v>1</v>
      </c>
      <c r="T3019" s="84" t="n">
        <f aca="false">IF(AND(ISNUMBER(O3019),ISNUMBER(P3019)),Coef_A+Coef_B1*O3019+Coef_B2*P3019,"")</f>
        <v>24.5646107852679</v>
      </c>
      <c r="U3019" s="84" t="n">
        <f aca="false">IF(AND(R3019=1,ISNUMBER(T3019)),E3019-T3019,"")</f>
        <v>-2.36461078526792</v>
      </c>
      <c r="V3019" s="84" t="n">
        <f aca="false">IF(ISNUMBER(T3019),T3019,-99)</f>
        <v>24.5646107852679</v>
      </c>
      <c r="W3019" s="84" t="n">
        <f aca="false">IF(ISNUMBER(U3019),ABS(U3019),"")</f>
        <v>2.36461078526792</v>
      </c>
    </row>
    <row r="3020" customFormat="false" ht="15" hidden="false" customHeight="false" outlineLevel="0" collapsed="false">
      <c r="A3020" s="57" t="n">
        <v>36027</v>
      </c>
      <c r="B3020" s="56" t="n">
        <v>1998</v>
      </c>
      <c r="C3020" s="56" t="n">
        <v>8</v>
      </c>
      <c r="D3020" s="56" t="n">
        <v>112</v>
      </c>
      <c r="E3020" s="56" t="n">
        <v>22.7</v>
      </c>
      <c r="F3020" s="56" t="n">
        <v>0</v>
      </c>
      <c r="G3020" s="56" t="n">
        <v>12.7</v>
      </c>
      <c r="H3020" s="56" t="n">
        <v>0</v>
      </c>
      <c r="I3020" s="56" t="n">
        <v>17.4</v>
      </c>
      <c r="J3020" s="56" t="n">
        <v>0</v>
      </c>
      <c r="K3020" s="56" t="n">
        <v>1014.7</v>
      </c>
      <c r="L3020" s="56" t="n">
        <v>0</v>
      </c>
      <c r="M3020" s="56" t="n">
        <v>66</v>
      </c>
      <c r="N3020" s="56" t="n">
        <v>5.2</v>
      </c>
      <c r="O3020" s="56" t="n">
        <f aca="false">IF(D3020=1,"",E3019)</f>
        <v>22.2</v>
      </c>
      <c r="P3020" s="56" t="n">
        <f aca="false">IF(OR(D3020=1,K3019=""),"",K3019)</f>
        <v>1020.5</v>
      </c>
      <c r="Q3020" s="56" t="n">
        <f aca="false">IF(OR(F3020&lt;&gt;0,AND(I3020&lt;&gt;"",E3020&lt;I3020)),1,0)</f>
        <v>0</v>
      </c>
      <c r="R3020" s="56" t="n">
        <f aca="false">IF(AND(D3020&gt;1,Q3020=0,ISNUMBER(O3020),ISNUMBER(P3020)),IF(Q3019=0,1,0),0)</f>
        <v>1</v>
      </c>
      <c r="S3020" s="56" t="n">
        <f aca="false">R3020*(B3020&gt;=Train_Start)*(B3020&lt;=Train_End)</f>
        <v>1</v>
      </c>
      <c r="T3020" s="84" t="n">
        <f aca="false">IF(AND(ISNUMBER(O3020),ISNUMBER(P3020)),Coef_A+Coef_B1*O3020+Coef_B2*P3020,"")</f>
        <v>22.2892829815289</v>
      </c>
      <c r="U3020" s="84" t="n">
        <f aca="false">IF(AND(R3020=1,ISNUMBER(T3020)),E3020-T3020,"")</f>
        <v>0.410717018471125</v>
      </c>
      <c r="V3020" s="84" t="n">
        <f aca="false">IF(ISNUMBER(T3020),T3020,-99)</f>
        <v>22.2892829815289</v>
      </c>
      <c r="W3020" s="84" t="n">
        <f aca="false">IF(ISNUMBER(U3020),ABS(U3020),"")</f>
        <v>0.410717018471125</v>
      </c>
    </row>
    <row r="3021" customFormat="false" ht="15" hidden="false" customHeight="false" outlineLevel="0" collapsed="false">
      <c r="A3021" s="57" t="n">
        <v>36028</v>
      </c>
      <c r="B3021" s="56" t="n">
        <v>1998</v>
      </c>
      <c r="C3021" s="56" t="n">
        <v>8</v>
      </c>
      <c r="D3021" s="56" t="n">
        <v>113</v>
      </c>
      <c r="E3021" s="56" t="n">
        <v>20.4</v>
      </c>
      <c r="F3021" s="56" t="n">
        <v>0</v>
      </c>
      <c r="G3021" s="56" t="n">
        <v>16</v>
      </c>
      <c r="H3021" s="56" t="n">
        <v>0</v>
      </c>
      <c r="I3021" s="56" t="n">
        <v>19.4</v>
      </c>
      <c r="J3021" s="56" t="n">
        <v>0</v>
      </c>
      <c r="K3021" s="56" t="n">
        <v>1005.3</v>
      </c>
      <c r="L3021" s="56" t="n">
        <v>0</v>
      </c>
      <c r="M3021" s="56" t="n">
        <v>61</v>
      </c>
      <c r="N3021" s="56" t="n">
        <v>8</v>
      </c>
      <c r="O3021" s="56" t="n">
        <f aca="false">IF(D3021=1,"",E3020)</f>
        <v>22.7</v>
      </c>
      <c r="P3021" s="56" t="n">
        <f aca="false">IF(OR(D3021=1,K3020=""),"",K3020)</f>
        <v>1014.7</v>
      </c>
      <c r="Q3021" s="56" t="n">
        <f aca="false">IF(OR(F3021&lt;&gt;0,AND(I3021&lt;&gt;"",E3021&lt;I3021)),1,0)</f>
        <v>0</v>
      </c>
      <c r="R3021" s="56" t="n">
        <f aca="false">IF(AND(D3021&gt;1,Q3021=0,ISNUMBER(O3021),ISNUMBER(P3021)),IF(Q3020=0,1,0),0)</f>
        <v>1</v>
      </c>
      <c r="S3021" s="56" t="n">
        <f aca="false">R3021*(B3021&gt;=Train_Start)*(B3021&lt;=Train_End)</f>
        <v>1</v>
      </c>
      <c r="T3021" s="84" t="n">
        <f aca="false">IF(AND(ISNUMBER(O3021),ISNUMBER(P3021)),Coef_A+Coef_B1*O3021+Coef_B2*P3021,"")</f>
        <v>22.5170071891731</v>
      </c>
      <c r="U3021" s="84" t="n">
        <f aca="false">IF(AND(R3021=1,ISNUMBER(T3021)),E3021-T3021,"")</f>
        <v>-2.11700718917306</v>
      </c>
      <c r="V3021" s="84" t="n">
        <f aca="false">IF(ISNUMBER(T3021),T3021,-99)</f>
        <v>22.5170071891731</v>
      </c>
      <c r="W3021" s="84" t="n">
        <f aca="false">IF(ISNUMBER(U3021),ABS(U3021),"")</f>
        <v>2.11700718917306</v>
      </c>
    </row>
    <row r="3022" customFormat="false" ht="15" hidden="false" customHeight="false" outlineLevel="0" collapsed="false">
      <c r="A3022" s="57" t="n">
        <v>36029</v>
      </c>
      <c r="B3022" s="56" t="n">
        <v>1998</v>
      </c>
      <c r="C3022" s="56" t="n">
        <v>8</v>
      </c>
      <c r="D3022" s="56" t="n">
        <v>114</v>
      </c>
      <c r="E3022" s="56" t="n">
        <v>19.4</v>
      </c>
      <c r="F3022" s="56" t="n">
        <v>0</v>
      </c>
      <c r="G3022" s="56" t="n">
        <v>11.8</v>
      </c>
      <c r="H3022" s="56" t="n">
        <v>0</v>
      </c>
      <c r="I3022" s="56" t="n">
        <v>16.1</v>
      </c>
      <c r="J3022" s="56" t="n">
        <v>0</v>
      </c>
      <c r="K3022" s="56" t="n">
        <v>1011.5</v>
      </c>
      <c r="L3022" s="56" t="n">
        <v>0</v>
      </c>
      <c r="M3022" s="56" t="n">
        <v>64</v>
      </c>
      <c r="N3022" s="56" t="n">
        <v>7.5</v>
      </c>
      <c r="O3022" s="56" t="n">
        <f aca="false">IF(D3022=1,"",E3021)</f>
        <v>20.4</v>
      </c>
      <c r="P3022" s="56" t="n">
        <f aca="false">IF(OR(D3022=1,K3021=""),"",K3021)</f>
        <v>1005.3</v>
      </c>
      <c r="Q3022" s="56" t="n">
        <f aca="false">IF(OR(F3022&lt;&gt;0,AND(I3022&lt;&gt;"",E3022&lt;I3022)),1,0)</f>
        <v>0</v>
      </c>
      <c r="R3022" s="56" t="n">
        <f aca="false">IF(AND(D3022&gt;1,Q3022=0,ISNUMBER(O3022),ISNUMBER(P3022)),IF(Q3021=0,1,0),0)</f>
        <v>1</v>
      </c>
      <c r="S3022" s="56" t="n">
        <f aca="false">R3022*(B3022&gt;=Train_Start)*(B3022&lt;=Train_End)</f>
        <v>1</v>
      </c>
      <c r="T3022" s="84" t="n">
        <f aca="false">IF(AND(ISNUMBER(O3022),ISNUMBER(P3022)),Coef_A+Coef_B1*O3022+Coef_B2*P3022,"")</f>
        <v>20.3376500356154</v>
      </c>
      <c r="U3022" s="84" t="n">
        <f aca="false">IF(AND(R3022=1,ISNUMBER(T3022)),E3022-T3022,"")</f>
        <v>-0.937650035615448</v>
      </c>
      <c r="V3022" s="84" t="n">
        <f aca="false">IF(ISNUMBER(T3022),T3022,-99)</f>
        <v>20.3376500356154</v>
      </c>
      <c r="W3022" s="84" t="n">
        <f aca="false">IF(ISNUMBER(U3022),ABS(U3022),"")</f>
        <v>0.937650035615448</v>
      </c>
    </row>
    <row r="3023" customFormat="false" ht="15" hidden="false" customHeight="false" outlineLevel="0" collapsed="false">
      <c r="A3023" s="57" t="n">
        <v>36030</v>
      </c>
      <c r="B3023" s="56" t="n">
        <v>1998</v>
      </c>
      <c r="C3023" s="56" t="n">
        <v>8</v>
      </c>
      <c r="D3023" s="56" t="n">
        <v>115</v>
      </c>
      <c r="E3023" s="56" t="n">
        <v>19</v>
      </c>
      <c r="F3023" s="56" t="n">
        <v>0</v>
      </c>
      <c r="G3023" s="56" t="n">
        <v>9</v>
      </c>
      <c r="H3023" s="56" t="n">
        <v>0</v>
      </c>
      <c r="I3023" s="56" t="n">
        <v>14.2</v>
      </c>
      <c r="J3023" s="56" t="n">
        <v>0</v>
      </c>
      <c r="K3023" s="56" t="n">
        <v>1011</v>
      </c>
      <c r="L3023" s="56" t="n">
        <v>0</v>
      </c>
      <c r="M3023" s="56" t="n">
        <v>87</v>
      </c>
      <c r="N3023" s="56" t="n">
        <v>0</v>
      </c>
      <c r="O3023" s="56" t="n">
        <f aca="false">IF(D3023=1,"",E3022)</f>
        <v>19.4</v>
      </c>
      <c r="P3023" s="56" t="n">
        <f aca="false">IF(OR(D3023=1,K3022=""),"",K3022)</f>
        <v>1011.5</v>
      </c>
      <c r="Q3023" s="56" t="n">
        <f aca="false">IF(OR(F3023&lt;&gt;0,AND(I3023&lt;&gt;"",E3023&lt;I3023)),1,0)</f>
        <v>0</v>
      </c>
      <c r="R3023" s="56" t="n">
        <f aca="false">IF(AND(D3023&gt;1,Q3023=0,ISNUMBER(O3023),ISNUMBER(P3023)),IF(Q3022=0,1,0),0)</f>
        <v>1</v>
      </c>
      <c r="S3023" s="56" t="n">
        <f aca="false">R3023*(B3023&gt;=Train_Start)*(B3023&lt;=Train_End)</f>
        <v>1</v>
      </c>
      <c r="T3023" s="84" t="n">
        <f aca="false">IF(AND(ISNUMBER(O3023),ISNUMBER(P3023)),Coef_A+Coef_B1*O3023+Coef_B2*P3023,"")</f>
        <v>19.7128041893035</v>
      </c>
      <c r="U3023" s="84" t="n">
        <f aca="false">IF(AND(R3023=1,ISNUMBER(T3023)),E3023-T3023,"")</f>
        <v>-0.712804189303522</v>
      </c>
      <c r="V3023" s="84" t="n">
        <f aca="false">IF(ISNUMBER(T3023),T3023,-99)</f>
        <v>19.7128041893035</v>
      </c>
      <c r="W3023" s="84" t="n">
        <f aca="false">IF(ISNUMBER(U3023),ABS(U3023),"")</f>
        <v>0.712804189303522</v>
      </c>
    </row>
    <row r="3024" customFormat="false" ht="15" hidden="false" customHeight="false" outlineLevel="0" collapsed="false">
      <c r="A3024" s="57" t="n">
        <v>36031</v>
      </c>
      <c r="B3024" s="56" t="n">
        <v>1998</v>
      </c>
      <c r="C3024" s="56" t="n">
        <v>8</v>
      </c>
      <c r="D3024" s="56" t="n">
        <v>116</v>
      </c>
      <c r="E3024" s="56" t="n">
        <v>22.1</v>
      </c>
      <c r="F3024" s="56" t="n">
        <v>0</v>
      </c>
      <c r="G3024" s="56" t="n">
        <v>11.6</v>
      </c>
      <c r="H3024" s="56" t="n">
        <v>0</v>
      </c>
      <c r="I3024" s="56" t="n">
        <v>15.3</v>
      </c>
      <c r="J3024" s="56" t="n">
        <v>0</v>
      </c>
      <c r="K3024" s="56" t="n">
        <v>1014.1</v>
      </c>
      <c r="L3024" s="56" t="n">
        <v>0</v>
      </c>
      <c r="M3024" s="56" t="n">
        <v>77</v>
      </c>
      <c r="N3024" s="56" t="n">
        <v>3.1</v>
      </c>
      <c r="O3024" s="56" t="n">
        <f aca="false">IF(D3024=1,"",E3023)</f>
        <v>19</v>
      </c>
      <c r="P3024" s="56" t="n">
        <f aca="false">IF(OR(D3024=1,K3023=""),"",K3023)</f>
        <v>1011</v>
      </c>
      <c r="Q3024" s="56" t="n">
        <f aca="false">IF(OR(F3024&lt;&gt;0,AND(I3024&lt;&gt;"",E3024&lt;I3024)),1,0)</f>
        <v>0</v>
      </c>
      <c r="R3024" s="56" t="n">
        <f aca="false">IF(AND(D3024&gt;1,Q3024=0,ISNUMBER(O3024),ISNUMBER(P3024)),IF(Q3023=0,1,0),0)</f>
        <v>1</v>
      </c>
      <c r="S3024" s="56" t="n">
        <f aca="false">R3024*(B3024&gt;=Train_Start)*(B3024&lt;=Train_End)</f>
        <v>1</v>
      </c>
      <c r="T3024" s="84" t="n">
        <f aca="false">IF(AND(ISNUMBER(O3024),ISNUMBER(P3024)),Coef_A+Coef_B1*O3024+Coef_B2*P3024,"")</f>
        <v>19.3693835647695</v>
      </c>
      <c r="U3024" s="84" t="n">
        <f aca="false">IF(AND(R3024=1,ISNUMBER(T3024)),E3024-T3024,"")</f>
        <v>2.73061643523054</v>
      </c>
      <c r="V3024" s="84" t="n">
        <f aca="false">IF(ISNUMBER(T3024),T3024,-99)</f>
        <v>19.3693835647695</v>
      </c>
      <c r="W3024" s="84" t="n">
        <f aca="false">IF(ISNUMBER(U3024),ABS(U3024),"")</f>
        <v>2.73061643523054</v>
      </c>
    </row>
    <row r="3025" customFormat="false" ht="15" hidden="false" customHeight="false" outlineLevel="0" collapsed="false">
      <c r="A3025" s="57" t="n">
        <v>36032</v>
      </c>
      <c r="B3025" s="56" t="n">
        <v>1998</v>
      </c>
      <c r="C3025" s="56" t="n">
        <v>8</v>
      </c>
      <c r="D3025" s="56" t="n">
        <v>117</v>
      </c>
      <c r="E3025" s="56" t="n">
        <v>17.8</v>
      </c>
      <c r="F3025" s="56" t="n">
        <v>0</v>
      </c>
      <c r="G3025" s="56" t="n">
        <v>9.8</v>
      </c>
      <c r="H3025" s="56" t="n">
        <v>0</v>
      </c>
      <c r="I3025" s="56" t="n">
        <v>16</v>
      </c>
      <c r="J3025" s="56" t="n">
        <v>0</v>
      </c>
      <c r="K3025" s="56" t="n">
        <v>1018.9</v>
      </c>
      <c r="L3025" s="56" t="n">
        <v>0</v>
      </c>
      <c r="M3025" s="56" t="n">
        <v>68</v>
      </c>
      <c r="N3025" s="56" t="n">
        <v>8.4</v>
      </c>
      <c r="O3025" s="56" t="n">
        <f aca="false">IF(D3025=1,"",E3024)</f>
        <v>22.1</v>
      </c>
      <c r="P3025" s="56" t="n">
        <f aca="false">IF(OR(D3025=1,K3024=""),"",K3024)</f>
        <v>1014.1</v>
      </c>
      <c r="Q3025" s="56" t="n">
        <f aca="false">IF(OR(F3025&lt;&gt;0,AND(I3025&lt;&gt;"",E3025&lt;I3025)),1,0)</f>
        <v>0</v>
      </c>
      <c r="R3025" s="56" t="n">
        <f aca="false">IF(AND(D3025&gt;1,Q3025=0,ISNUMBER(O3025),ISNUMBER(P3025)),IF(Q3024=0,1,0),0)</f>
        <v>1</v>
      </c>
      <c r="S3025" s="56" t="n">
        <f aca="false">R3025*(B3025&gt;=Train_Start)*(B3025&lt;=Train_End)</f>
        <v>1</v>
      </c>
      <c r="T3025" s="84" t="n">
        <f aca="false">IF(AND(ISNUMBER(O3025),ISNUMBER(P3025)),Coef_A+Coef_B1*O3025+Coef_B2*P3025,"")</f>
        <v>22.0065817365671</v>
      </c>
      <c r="U3025" s="84" t="n">
        <f aca="false">IF(AND(R3025=1,ISNUMBER(T3025)),E3025-T3025,"")</f>
        <v>-4.20658173656707</v>
      </c>
      <c r="V3025" s="84" t="n">
        <f aca="false">IF(ISNUMBER(T3025),T3025,-99)</f>
        <v>22.0065817365671</v>
      </c>
      <c r="W3025" s="84" t="n">
        <f aca="false">IF(ISNUMBER(U3025),ABS(U3025),"")</f>
        <v>4.20658173656707</v>
      </c>
    </row>
    <row r="3026" customFormat="false" ht="15" hidden="false" customHeight="false" outlineLevel="0" collapsed="false">
      <c r="A3026" s="57" t="n">
        <v>36033</v>
      </c>
      <c r="B3026" s="56" t="n">
        <v>1998</v>
      </c>
      <c r="C3026" s="56" t="n">
        <v>8</v>
      </c>
      <c r="D3026" s="56" t="n">
        <v>118</v>
      </c>
      <c r="E3026" s="56" t="n">
        <v>20.3</v>
      </c>
      <c r="F3026" s="56" t="n">
        <v>0</v>
      </c>
      <c r="G3026" s="56" t="n">
        <v>15.7</v>
      </c>
      <c r="H3026" s="56" t="n">
        <v>0</v>
      </c>
      <c r="I3026" s="56" t="n">
        <v>16.8</v>
      </c>
      <c r="J3026" s="56" t="n">
        <v>0</v>
      </c>
      <c r="K3026" s="56" t="n">
        <v>1017.2</v>
      </c>
      <c r="L3026" s="56" t="n">
        <v>0</v>
      </c>
      <c r="M3026" s="56" t="n">
        <v>79</v>
      </c>
      <c r="N3026" s="56" t="n">
        <v>0.1</v>
      </c>
      <c r="O3026" s="56" t="n">
        <f aca="false">IF(D3026=1,"",E3025)</f>
        <v>17.8</v>
      </c>
      <c r="P3026" s="56" t="n">
        <f aca="false">IF(OR(D3026=1,K3025=""),"",K3025)</f>
        <v>1018.9</v>
      </c>
      <c r="Q3026" s="56" t="n">
        <f aca="false">IF(OR(F3026&lt;&gt;0,AND(I3026&lt;&gt;"",E3026&lt;I3026)),1,0)</f>
        <v>0</v>
      </c>
      <c r="R3026" s="56" t="n">
        <f aca="false">IF(AND(D3026&gt;1,Q3026=0,ISNUMBER(O3026),ISNUMBER(P3026)),IF(Q3025=0,1,0),0)</f>
        <v>1</v>
      </c>
      <c r="S3026" s="56" t="n">
        <f aca="false">R3026*(B3026&gt;=Train_Start)*(B3026&lt;=Train_End)</f>
        <v>1</v>
      </c>
      <c r="T3026" s="84" t="n">
        <f aca="false">IF(AND(ISNUMBER(O3026),ISNUMBER(P3026)),Coef_A+Coef_B1*O3026+Coef_B2*P3026,"")</f>
        <v>18.6339987007268</v>
      </c>
      <c r="U3026" s="84" t="n">
        <f aca="false">IF(AND(R3026=1,ISNUMBER(T3026)),E3026-T3026,"")</f>
        <v>1.66600129927321</v>
      </c>
      <c r="V3026" s="84" t="n">
        <f aca="false">IF(ISNUMBER(T3026),T3026,-99)</f>
        <v>18.6339987007268</v>
      </c>
      <c r="W3026" s="84" t="n">
        <f aca="false">IF(ISNUMBER(U3026),ABS(U3026),"")</f>
        <v>1.66600129927321</v>
      </c>
    </row>
    <row r="3027" customFormat="false" ht="15" hidden="false" customHeight="false" outlineLevel="0" collapsed="false">
      <c r="A3027" s="57" t="n">
        <v>36034</v>
      </c>
      <c r="B3027" s="56" t="n">
        <v>1998</v>
      </c>
      <c r="C3027" s="56" t="n">
        <v>8</v>
      </c>
      <c r="D3027" s="56" t="n">
        <v>119</v>
      </c>
      <c r="E3027" s="56" t="n">
        <v>20.1</v>
      </c>
      <c r="F3027" s="56" t="n">
        <v>0</v>
      </c>
      <c r="G3027" s="56" t="n">
        <v>9.2</v>
      </c>
      <c r="H3027" s="56" t="n">
        <v>0</v>
      </c>
      <c r="I3027" s="56" t="n">
        <v>14.8</v>
      </c>
      <c r="J3027" s="56" t="n">
        <v>0</v>
      </c>
      <c r="K3027" s="56" t="n">
        <v>1023.7</v>
      </c>
      <c r="L3027" s="56" t="n">
        <v>0</v>
      </c>
      <c r="M3027" s="56" t="n">
        <v>54</v>
      </c>
      <c r="N3027" s="56" t="n">
        <v>10.9</v>
      </c>
      <c r="O3027" s="56" t="n">
        <f aca="false">IF(D3027=1,"",E3026)</f>
        <v>20.3</v>
      </c>
      <c r="P3027" s="56" t="n">
        <f aca="false">IF(OR(D3027=1,K3026=""),"",K3026)</f>
        <v>1017.2</v>
      </c>
      <c r="Q3027" s="56" t="n">
        <f aca="false">IF(OR(F3027&lt;&gt;0,AND(I3027&lt;&gt;"",E3027&lt;I3027)),1,0)</f>
        <v>0</v>
      </c>
      <c r="R3027" s="56" t="n">
        <f aca="false">IF(AND(D3027&gt;1,Q3027=0,ISNUMBER(O3027),ISNUMBER(P3027)),IF(Q3026=0,1,0),0)</f>
        <v>1</v>
      </c>
      <c r="S3027" s="56" t="n">
        <f aca="false">R3027*(B3027&gt;=Train_Start)*(B3027&lt;=Train_End)</f>
        <v>1</v>
      </c>
      <c r="T3027" s="84" t="n">
        <f aca="false">IF(AND(ISNUMBER(O3027),ISNUMBER(P3027)),Coef_A+Coef_B1*O3027+Coef_B2*P3027,"")</f>
        <v>20.6290178624557</v>
      </c>
      <c r="U3027" s="84" t="n">
        <f aca="false">IF(AND(R3027=1,ISNUMBER(T3027)),E3027-T3027,"")</f>
        <v>-0.529017862455657</v>
      </c>
      <c r="V3027" s="84" t="n">
        <f aca="false">IF(ISNUMBER(T3027),T3027,-99)</f>
        <v>20.6290178624557</v>
      </c>
      <c r="W3027" s="84" t="n">
        <f aca="false">IF(ISNUMBER(U3027),ABS(U3027),"")</f>
        <v>0.529017862455657</v>
      </c>
    </row>
    <row r="3028" customFormat="false" ht="15" hidden="false" customHeight="false" outlineLevel="0" collapsed="false">
      <c r="A3028" s="57" t="n">
        <v>36035</v>
      </c>
      <c r="B3028" s="56" t="n">
        <v>1998</v>
      </c>
      <c r="C3028" s="56" t="n">
        <v>8</v>
      </c>
      <c r="D3028" s="56" t="n">
        <v>120</v>
      </c>
      <c r="E3028" s="56" t="n">
        <v>22.7</v>
      </c>
      <c r="F3028" s="56" t="n">
        <v>0</v>
      </c>
      <c r="G3028" s="56" t="n">
        <v>8.6</v>
      </c>
      <c r="H3028" s="56" t="n">
        <v>0</v>
      </c>
      <c r="I3028" s="56" t="n">
        <v>14.4</v>
      </c>
      <c r="J3028" s="56" t="n">
        <v>0</v>
      </c>
      <c r="K3028" s="56" t="n">
        <v>1024.3</v>
      </c>
      <c r="L3028" s="56" t="n">
        <v>0</v>
      </c>
      <c r="M3028" s="56" t="n">
        <v>65</v>
      </c>
      <c r="N3028" s="56" t="n">
        <v>6.8</v>
      </c>
      <c r="O3028" s="56" t="n">
        <f aca="false">IF(D3028=1,"",E3027)</f>
        <v>20.1</v>
      </c>
      <c r="P3028" s="56" t="n">
        <f aca="false">IF(OR(D3028=1,K3027=""),"",K3027)</f>
        <v>1023.7</v>
      </c>
      <c r="Q3028" s="56" t="n">
        <f aca="false">IF(OR(F3028&lt;&gt;0,AND(I3028&lt;&gt;"",E3028&lt;I3028)),1,0)</f>
        <v>0</v>
      </c>
      <c r="R3028" s="56" t="n">
        <f aca="false">IF(AND(D3028&gt;1,Q3028=0,ISNUMBER(O3028),ISNUMBER(P3028)),IF(Q3027=0,1,0),0)</f>
        <v>1</v>
      </c>
      <c r="S3028" s="56" t="n">
        <f aca="false">R3028*(B3028&gt;=Train_Start)*(B3028&lt;=Train_End)</f>
        <v>1</v>
      </c>
      <c r="T3028" s="84" t="n">
        <f aca="false">IF(AND(ISNUMBER(O3028),ISNUMBER(P3028)),Coef_A+Coef_B1*O3028+Coef_B2*P3028,"")</f>
        <v>20.6690543389681</v>
      </c>
      <c r="U3028" s="84" t="n">
        <f aca="false">IF(AND(R3028=1,ISNUMBER(T3028)),E3028-T3028,"")</f>
        <v>2.03094566103194</v>
      </c>
      <c r="V3028" s="84" t="n">
        <f aca="false">IF(ISNUMBER(T3028),T3028,-99)</f>
        <v>20.6690543389681</v>
      </c>
      <c r="W3028" s="84" t="n">
        <f aca="false">IF(ISNUMBER(U3028),ABS(U3028),"")</f>
        <v>2.03094566103194</v>
      </c>
    </row>
    <row r="3029" customFormat="false" ht="15" hidden="false" customHeight="false" outlineLevel="0" collapsed="false">
      <c r="A3029" s="57" t="n">
        <v>36036</v>
      </c>
      <c r="B3029" s="56" t="n">
        <v>1998</v>
      </c>
      <c r="C3029" s="56" t="n">
        <v>8</v>
      </c>
      <c r="D3029" s="56" t="n">
        <v>121</v>
      </c>
      <c r="E3029" s="56" t="n">
        <v>21.7</v>
      </c>
      <c r="F3029" s="56" t="n">
        <v>0</v>
      </c>
      <c r="G3029" s="56" t="n">
        <v>9.5</v>
      </c>
      <c r="H3029" s="56" t="n">
        <v>0</v>
      </c>
      <c r="I3029" s="56" t="n">
        <v>16.1</v>
      </c>
      <c r="J3029" s="56" t="n">
        <v>0</v>
      </c>
      <c r="K3029" s="56" t="n">
        <v>1022.1</v>
      </c>
      <c r="L3029" s="56" t="n">
        <v>0</v>
      </c>
      <c r="M3029" s="56" t="n">
        <v>64</v>
      </c>
      <c r="N3029" s="56" t="n">
        <v>9.9</v>
      </c>
      <c r="O3029" s="56" t="n">
        <f aca="false">IF(D3029=1,"",E3028)</f>
        <v>22.7</v>
      </c>
      <c r="P3029" s="56" t="n">
        <f aca="false">IF(OR(D3029=1,K3028=""),"",K3028)</f>
        <v>1024.3</v>
      </c>
      <c r="Q3029" s="56" t="n">
        <f aca="false">IF(OR(F3029&lt;&gt;0,AND(I3029&lt;&gt;"",E3029&lt;I3029)),1,0)</f>
        <v>0</v>
      </c>
      <c r="R3029" s="56" t="n">
        <f aca="false">IF(AND(D3029&gt;1,Q3029=0,ISNUMBER(O3029),ISNUMBER(P3029)),IF(Q3028=0,1,0),0)</f>
        <v>1</v>
      </c>
      <c r="S3029" s="56" t="n">
        <f aca="false">R3029*(B3029&gt;=Train_Start)*(B3029&lt;=Train_End)</f>
        <v>1</v>
      </c>
      <c r="T3029" s="84" t="n">
        <f aca="false">IF(AND(ISNUMBER(O3029),ISNUMBER(P3029)),Coef_A+Coef_B1*O3029+Coef_B2*P3029,"")</f>
        <v>22.8181581776594</v>
      </c>
      <c r="U3029" s="84" t="n">
        <f aca="false">IF(AND(R3029=1,ISNUMBER(T3029)),E3029-T3029,"")</f>
        <v>-1.11815817765935</v>
      </c>
      <c r="V3029" s="84" t="n">
        <f aca="false">IF(ISNUMBER(T3029),T3029,-99)</f>
        <v>22.8181581776594</v>
      </c>
      <c r="W3029" s="84" t="n">
        <f aca="false">IF(ISNUMBER(U3029),ABS(U3029),"")</f>
        <v>1.11815817765935</v>
      </c>
    </row>
    <row r="3030" customFormat="false" ht="15" hidden="false" customHeight="false" outlineLevel="0" collapsed="false">
      <c r="A3030" s="57" t="n">
        <v>36037</v>
      </c>
      <c r="B3030" s="56" t="n">
        <v>1998</v>
      </c>
      <c r="C3030" s="56" t="n">
        <v>8</v>
      </c>
      <c r="D3030" s="56" t="n">
        <v>122</v>
      </c>
      <c r="E3030" s="56" t="n">
        <v>22.7</v>
      </c>
      <c r="F3030" s="56" t="n">
        <v>0</v>
      </c>
      <c r="G3030" s="56" t="n">
        <v>13.2</v>
      </c>
      <c r="H3030" s="56" t="n">
        <v>0</v>
      </c>
      <c r="I3030" s="56" t="n">
        <v>17.4</v>
      </c>
      <c r="J3030" s="56" t="n">
        <v>0</v>
      </c>
      <c r="K3030" s="56" t="n">
        <v>1020</v>
      </c>
      <c r="L3030" s="56" t="n">
        <v>0</v>
      </c>
      <c r="M3030" s="56" t="n">
        <v>69</v>
      </c>
      <c r="N3030" s="56" t="n">
        <v>3.3</v>
      </c>
      <c r="O3030" s="56" t="n">
        <f aca="false">IF(D3030=1,"",E3029)</f>
        <v>21.7</v>
      </c>
      <c r="P3030" s="56" t="n">
        <f aca="false">IF(OR(D3030=1,K3029=""),"",K3029)</f>
        <v>1022.1</v>
      </c>
      <c r="Q3030" s="56" t="n">
        <f aca="false">IF(OR(F3030&lt;&gt;0,AND(I3030&lt;&gt;"",E3030&lt;I3030)),1,0)</f>
        <v>0</v>
      </c>
      <c r="R3030" s="56" t="n">
        <f aca="false">IF(AND(D3030&gt;1,Q3030=0,ISNUMBER(O3030),ISNUMBER(P3030)),IF(Q3029=0,1,0),0)</f>
        <v>1</v>
      </c>
      <c r="S3030" s="56" t="n">
        <f aca="false">R3030*(B3030&gt;=Train_Start)*(B3030&lt;=Train_End)</f>
        <v>1</v>
      </c>
      <c r="T3030" s="84" t="n">
        <f aca="false">IF(AND(ISNUMBER(O3030),ISNUMBER(P3030)),Coef_A+Coef_B1*O3030+Coef_B2*P3030,"")</f>
        <v>21.9298052164219</v>
      </c>
      <c r="U3030" s="84" t="n">
        <f aca="false">IF(AND(R3030=1,ISNUMBER(T3030)),E3030-T3030,"")</f>
        <v>0.770194783578074</v>
      </c>
      <c r="V3030" s="84" t="n">
        <f aca="false">IF(ISNUMBER(T3030),T3030,-99)</f>
        <v>21.9298052164219</v>
      </c>
      <c r="W3030" s="84" t="n">
        <f aca="false">IF(ISNUMBER(U3030),ABS(U3030),"")</f>
        <v>0.770194783578074</v>
      </c>
    </row>
    <row r="3031" customFormat="false" ht="15" hidden="false" customHeight="false" outlineLevel="0" collapsed="false">
      <c r="A3031" s="57" t="n">
        <v>36038</v>
      </c>
      <c r="B3031" s="56" t="n">
        <v>1998</v>
      </c>
      <c r="C3031" s="56" t="n">
        <v>8</v>
      </c>
      <c r="D3031" s="56" t="n">
        <v>123</v>
      </c>
      <c r="E3031" s="56" t="n">
        <v>25.9</v>
      </c>
      <c r="F3031" s="56" t="n">
        <v>0</v>
      </c>
      <c r="G3031" s="56" t="n">
        <v>11.2</v>
      </c>
      <c r="H3031" s="56" t="n">
        <v>0</v>
      </c>
      <c r="I3031" s="56" t="n">
        <v>17</v>
      </c>
      <c r="J3031" s="56" t="n">
        <v>0</v>
      </c>
      <c r="K3031" s="56" t="n">
        <v>1015.9</v>
      </c>
      <c r="L3031" s="56" t="n">
        <v>0</v>
      </c>
      <c r="M3031" s="56" t="n">
        <v>68</v>
      </c>
      <c r="N3031" s="56" t="n">
        <v>7.7</v>
      </c>
      <c r="O3031" s="56" t="n">
        <f aca="false">IF(D3031=1,"",E3030)</f>
        <v>22.7</v>
      </c>
      <c r="P3031" s="56" t="n">
        <f aca="false">IF(OR(D3031=1,K3030=""),"",K3030)</f>
        <v>1020</v>
      </c>
      <c r="Q3031" s="56" t="n">
        <f aca="false">IF(OR(F3031&lt;&gt;0,AND(I3031&lt;&gt;"",E3031&lt;I3031)),1,0)</f>
        <v>0</v>
      </c>
      <c r="R3031" s="56" t="n">
        <f aca="false">IF(AND(D3031&gt;1,Q3031=0,ISNUMBER(O3031),ISNUMBER(P3031)),IF(Q3030=0,1,0),0)</f>
        <v>1</v>
      </c>
      <c r="S3031" s="56" t="n">
        <f aca="false">R3031*(B3031&gt;=Train_Start)*(B3031&lt;=Train_End)</f>
        <v>1</v>
      </c>
      <c r="T3031" s="84" t="n">
        <f aca="false">IF(AND(ISNUMBER(O3031),ISNUMBER(P3031)),Coef_A+Coef_B1*O3031+Coef_B2*P3031,"")</f>
        <v>22.6832676307332</v>
      </c>
      <c r="U3031" s="84" t="n">
        <f aca="false">IF(AND(R3031=1,ISNUMBER(T3031)),E3031-T3031,"")</f>
        <v>3.2167323692668</v>
      </c>
      <c r="V3031" s="84" t="n">
        <f aca="false">IF(ISNUMBER(T3031),T3031,-99)</f>
        <v>22.6832676307332</v>
      </c>
      <c r="W3031" s="84" t="n">
        <f aca="false">IF(ISNUMBER(U3031),ABS(U3031),"")</f>
        <v>3.2167323692668</v>
      </c>
    </row>
    <row r="3032" customFormat="false" ht="15" hidden="false" customHeight="false" outlineLevel="0" collapsed="false">
      <c r="A3032" s="57" t="n">
        <v>36039</v>
      </c>
      <c r="B3032" s="56" t="n">
        <v>1998</v>
      </c>
      <c r="C3032" s="56" t="n">
        <v>9</v>
      </c>
      <c r="D3032" s="56" t="n">
        <v>124</v>
      </c>
      <c r="E3032" s="56" t="n">
        <v>23.3</v>
      </c>
      <c r="F3032" s="56" t="n">
        <v>0</v>
      </c>
      <c r="G3032" s="56" t="n">
        <v>15.5</v>
      </c>
      <c r="H3032" s="56" t="n">
        <v>0</v>
      </c>
      <c r="I3032" s="56" t="n">
        <v>20.7</v>
      </c>
      <c r="J3032" s="56" t="n">
        <v>0</v>
      </c>
      <c r="K3032" s="56" t="n">
        <v>1010.7</v>
      </c>
      <c r="L3032" s="56" t="n">
        <v>0</v>
      </c>
      <c r="M3032" s="56" t="n">
        <v>66</v>
      </c>
      <c r="N3032" s="56" t="n">
        <v>5.6</v>
      </c>
      <c r="O3032" s="56" t="n">
        <f aca="false">IF(D3032=1,"",E3031)</f>
        <v>25.9</v>
      </c>
      <c r="P3032" s="56" t="n">
        <f aca="false">IF(OR(D3032=1,K3031=""),"",K3031)</f>
        <v>1015.9</v>
      </c>
      <c r="Q3032" s="56" t="n">
        <f aca="false">IF(OR(F3032&lt;&gt;0,AND(I3032&lt;&gt;"",E3032&lt;I3032)),1,0)</f>
        <v>0</v>
      </c>
      <c r="R3032" s="56" t="n">
        <f aca="false">IF(AND(D3032&gt;1,Q3032=0,ISNUMBER(O3032),ISNUMBER(P3032)),IF(Q3031=0,1,0),0)</f>
        <v>1</v>
      </c>
      <c r="S3032" s="56" t="n">
        <f aca="false">R3032*(B3032&gt;=Train_Start)*(B3032&lt;=Train_End)</f>
        <v>1</v>
      </c>
      <c r="T3032" s="84" t="n">
        <f aca="false">IF(AND(ISNUMBER(O3032),ISNUMBER(P3032)),Coef_A+Coef_B1*O3032+Coef_B2*P3032,"")</f>
        <v>25.1765364804704</v>
      </c>
      <c r="U3032" s="84" t="n">
        <f aca="false">IF(AND(R3032=1,ISNUMBER(T3032)),E3032-T3032,"")</f>
        <v>-1.87653648047035</v>
      </c>
      <c r="V3032" s="84" t="n">
        <f aca="false">IF(ISNUMBER(T3032),T3032,-99)</f>
        <v>25.1765364804704</v>
      </c>
      <c r="W3032" s="84" t="n">
        <f aca="false">IF(ISNUMBER(U3032),ABS(U3032),"")</f>
        <v>1.87653648047035</v>
      </c>
    </row>
    <row r="3033" customFormat="false" ht="15" hidden="false" customHeight="false" outlineLevel="0" collapsed="false">
      <c r="A3033" s="57" t="n">
        <v>36040</v>
      </c>
      <c r="B3033" s="56" t="n">
        <v>1998</v>
      </c>
      <c r="C3033" s="56" t="n">
        <v>9</v>
      </c>
      <c r="D3033" s="56" t="n">
        <v>125</v>
      </c>
      <c r="E3033" s="56" t="n">
        <v>22.4</v>
      </c>
      <c r="F3033" s="56" t="n">
        <v>0</v>
      </c>
      <c r="G3033" s="56" t="n">
        <v>13.7</v>
      </c>
      <c r="H3033" s="56" t="n">
        <v>0</v>
      </c>
      <c r="I3033" s="56" t="n">
        <v>18.5</v>
      </c>
      <c r="J3033" s="56" t="n">
        <v>0</v>
      </c>
      <c r="K3033" s="56" t="n">
        <v>1012.5</v>
      </c>
      <c r="L3033" s="56" t="n">
        <v>0</v>
      </c>
      <c r="M3033" s="56" t="n">
        <v>74</v>
      </c>
      <c r="N3033" s="56" t="n">
        <v>2.1</v>
      </c>
      <c r="O3033" s="56" t="n">
        <f aca="false">IF(D3033=1,"",E3032)</f>
        <v>23.3</v>
      </c>
      <c r="P3033" s="56" t="n">
        <f aca="false">IF(OR(D3033=1,K3032=""),"",K3032)</f>
        <v>1010.7</v>
      </c>
      <c r="Q3033" s="56" t="n">
        <f aca="false">IF(OR(F3033&lt;&gt;0,AND(I3033&lt;&gt;"",E3033&lt;I3033)),1,0)</f>
        <v>0</v>
      </c>
      <c r="R3033" s="56" t="n">
        <f aca="false">IF(AND(D3033&gt;1,Q3033=0,ISNUMBER(O3033),ISNUMBER(P3033)),IF(Q3032=0,1,0),0)</f>
        <v>1</v>
      </c>
      <c r="S3033" s="56" t="n">
        <f aca="false">R3033*(B3033&gt;=Train_Start)*(B3033&lt;=Train_End)</f>
        <v>1</v>
      </c>
      <c r="T3033" s="84" t="n">
        <f aca="false">IF(AND(ISNUMBER(O3033),ISNUMBER(P3033)),Coef_A+Coef_B1*O3033+Coef_B2*P3033,"")</f>
        <v>22.8831311264627</v>
      </c>
      <c r="U3033" s="84" t="n">
        <f aca="false">IF(AND(R3033=1,ISNUMBER(T3033)),E3033-T3033,"")</f>
        <v>-0.483131126462702</v>
      </c>
      <c r="V3033" s="84" t="n">
        <f aca="false">IF(ISNUMBER(T3033),T3033,-99)</f>
        <v>22.8831311264627</v>
      </c>
      <c r="W3033" s="84" t="n">
        <f aca="false">IF(ISNUMBER(U3033),ABS(U3033),"")</f>
        <v>0.483131126462702</v>
      </c>
    </row>
    <row r="3034" customFormat="false" ht="15" hidden="false" customHeight="false" outlineLevel="0" collapsed="false">
      <c r="A3034" s="57" t="n">
        <v>36041</v>
      </c>
      <c r="B3034" s="56" t="n">
        <v>1998</v>
      </c>
      <c r="C3034" s="56" t="n">
        <v>9</v>
      </c>
      <c r="D3034" s="56" t="n">
        <v>126</v>
      </c>
      <c r="E3034" s="56" t="n">
        <v>20.2</v>
      </c>
      <c r="F3034" s="56" t="n">
        <v>0</v>
      </c>
      <c r="G3034" s="56" t="n">
        <v>15.1</v>
      </c>
      <c r="H3034" s="56" t="n">
        <v>0</v>
      </c>
      <c r="I3034" s="56" t="n">
        <v>18.8</v>
      </c>
      <c r="J3034" s="56" t="n">
        <v>0</v>
      </c>
      <c r="K3034" s="56" t="n">
        <v>1011.6</v>
      </c>
      <c r="L3034" s="56" t="n">
        <v>0</v>
      </c>
      <c r="M3034" s="56" t="n">
        <v>77</v>
      </c>
      <c r="N3034" s="56" t="n">
        <v>6.3</v>
      </c>
      <c r="O3034" s="56" t="n">
        <f aca="false">IF(D3034=1,"",E3033)</f>
        <v>22.4</v>
      </c>
      <c r="P3034" s="56" t="n">
        <f aca="false">IF(OR(D3034=1,K3033=""),"",K3033)</f>
        <v>1012.5</v>
      </c>
      <c r="Q3034" s="56" t="n">
        <f aca="false">IF(OR(F3034&lt;&gt;0,AND(I3034&lt;&gt;"",E3034&lt;I3034)),1,0)</f>
        <v>0</v>
      </c>
      <c r="R3034" s="56" t="n">
        <f aca="false">IF(AND(D3034&gt;1,Q3034=0,ISNUMBER(O3034),ISNUMBER(P3034)),IF(Q3033=0,1,0),0)</f>
        <v>1</v>
      </c>
      <c r="S3034" s="56" t="n">
        <f aca="false">R3034*(B3034&gt;=Train_Start)*(B3034&lt;=Train_End)</f>
        <v>1</v>
      </c>
      <c r="T3034" s="84" t="n">
        <f aca="false">IF(AND(ISNUMBER(O3034),ISNUMBER(P3034)),Coef_A+Coef_B1*O3034+Coef_B2*P3034,"")</f>
        <v>22.2021916630655</v>
      </c>
      <c r="U3034" s="84" t="n">
        <f aca="false">IF(AND(R3034=1,ISNUMBER(T3034)),E3034-T3034,"")</f>
        <v>-2.00219166306549</v>
      </c>
      <c r="V3034" s="84" t="n">
        <f aca="false">IF(ISNUMBER(T3034),T3034,-99)</f>
        <v>22.2021916630655</v>
      </c>
      <c r="W3034" s="84" t="n">
        <f aca="false">IF(ISNUMBER(U3034),ABS(U3034),"")</f>
        <v>2.00219166306549</v>
      </c>
    </row>
    <row r="3035" customFormat="false" ht="15" hidden="false" customHeight="false" outlineLevel="0" collapsed="false">
      <c r="A3035" s="57" t="n">
        <v>36042</v>
      </c>
      <c r="B3035" s="56" t="n">
        <v>1998</v>
      </c>
      <c r="C3035" s="56" t="n">
        <v>9</v>
      </c>
      <c r="D3035" s="56" t="n">
        <v>127</v>
      </c>
      <c r="E3035" s="56" t="n">
        <v>20</v>
      </c>
      <c r="F3035" s="56" t="n">
        <v>0</v>
      </c>
      <c r="G3035" s="56" t="n">
        <v>12</v>
      </c>
      <c r="H3035" s="56" t="n">
        <v>0</v>
      </c>
      <c r="I3035" s="56" t="n">
        <v>16.1</v>
      </c>
      <c r="J3035" s="56" t="n">
        <v>0</v>
      </c>
      <c r="K3035" s="56" t="n">
        <v>1006.8</v>
      </c>
      <c r="L3035" s="56" t="n">
        <v>0</v>
      </c>
      <c r="M3035" s="56" t="n">
        <v>81</v>
      </c>
      <c r="N3035" s="56" t="n">
        <v>1</v>
      </c>
      <c r="O3035" s="56" t="n">
        <f aca="false">IF(D3035=1,"",E3034)</f>
        <v>20.2</v>
      </c>
      <c r="P3035" s="56" t="n">
        <f aca="false">IF(OR(D3035=1,K3034=""),"",K3034)</f>
        <v>1011.6</v>
      </c>
      <c r="Q3035" s="56" t="n">
        <f aca="false">IF(OR(F3035&lt;&gt;0,AND(I3035&lt;&gt;"",E3035&lt;I3035)),1,0)</f>
        <v>0</v>
      </c>
      <c r="R3035" s="56" t="n">
        <f aca="false">IF(AND(D3035&gt;1,Q3035=0,ISNUMBER(O3035),ISNUMBER(P3035)),IF(Q3034=0,1,0),0)</f>
        <v>1</v>
      </c>
      <c r="S3035" s="56" t="n">
        <f aca="false">R3035*(B3035&gt;=Train_Start)*(B3035&lt;=Train_End)</f>
        <v>1</v>
      </c>
      <c r="T3035" s="84" t="n">
        <f aca="false">IF(AND(ISNUMBER(O3035),ISNUMBER(P3035)),Coef_A+Coef_B1*O3035+Coef_B2*P3035,"")</f>
        <v>20.3714125332011</v>
      </c>
      <c r="U3035" s="84" t="n">
        <f aca="false">IF(AND(R3035=1,ISNUMBER(T3035)),E3035-T3035,"")</f>
        <v>-0.371412533201049</v>
      </c>
      <c r="V3035" s="84" t="n">
        <f aca="false">IF(ISNUMBER(T3035),T3035,-99)</f>
        <v>20.3714125332011</v>
      </c>
      <c r="W3035" s="84" t="n">
        <f aca="false">IF(ISNUMBER(U3035),ABS(U3035),"")</f>
        <v>0.371412533201049</v>
      </c>
    </row>
    <row r="3036" customFormat="false" ht="15" hidden="false" customHeight="false" outlineLevel="0" collapsed="false">
      <c r="A3036" s="57" t="n">
        <v>36043</v>
      </c>
      <c r="B3036" s="56" t="n">
        <v>1998</v>
      </c>
      <c r="C3036" s="56" t="n">
        <v>9</v>
      </c>
      <c r="D3036" s="56" t="n">
        <v>128</v>
      </c>
      <c r="E3036" s="56" t="n">
        <v>21.7</v>
      </c>
      <c r="F3036" s="56" t="n">
        <v>0</v>
      </c>
      <c r="G3036" s="56" t="n">
        <v>14.9</v>
      </c>
      <c r="H3036" s="56" t="n">
        <v>0</v>
      </c>
      <c r="I3036" s="56" t="n">
        <v>17.4</v>
      </c>
      <c r="J3036" s="56" t="n">
        <v>0</v>
      </c>
      <c r="K3036" s="56" t="n">
        <v>1002.7</v>
      </c>
      <c r="L3036" s="56" t="n">
        <v>0</v>
      </c>
      <c r="M3036" s="56" t="n">
        <v>88</v>
      </c>
      <c r="N3036" s="56" t="n">
        <v>2.8</v>
      </c>
      <c r="O3036" s="56" t="n">
        <f aca="false">IF(D3036=1,"",E3035)</f>
        <v>20</v>
      </c>
      <c r="P3036" s="56" t="n">
        <f aca="false">IF(OR(D3036=1,K3035=""),"",K3035)</f>
        <v>1006.8</v>
      </c>
      <c r="Q3036" s="56" t="n">
        <f aca="false">IF(OR(F3036&lt;&gt;0,AND(I3036&lt;&gt;"",E3036&lt;I3036)),1,0)</f>
        <v>0</v>
      </c>
      <c r="R3036" s="56" t="n">
        <f aca="false">IF(AND(D3036&gt;1,Q3036=0,ISNUMBER(O3036),ISNUMBER(P3036)),IF(Q3035=0,1,0),0)</f>
        <v>1</v>
      </c>
      <c r="S3036" s="56" t="n">
        <f aca="false">R3036*(B3036&gt;=Train_Start)*(B3036&lt;=Train_End)</f>
        <v>1</v>
      </c>
      <c r="T3036" s="84" t="n">
        <f aca="false">IF(AND(ISNUMBER(O3036),ISNUMBER(P3036)),Coef_A+Coef_B1*O3036+Coef_B2*P3036,"")</f>
        <v>20.0569692003494</v>
      </c>
      <c r="U3036" s="84" t="n">
        <f aca="false">IF(AND(R3036=1,ISNUMBER(T3036)),E3036-T3036,"")</f>
        <v>1.64303079965063</v>
      </c>
      <c r="V3036" s="84" t="n">
        <f aca="false">IF(ISNUMBER(T3036),T3036,-99)</f>
        <v>20.0569692003494</v>
      </c>
      <c r="W3036" s="84" t="n">
        <f aca="false">IF(ISNUMBER(U3036),ABS(U3036),"")</f>
        <v>1.64303079965063</v>
      </c>
    </row>
    <row r="3037" customFormat="false" ht="15" hidden="false" customHeight="false" outlineLevel="0" collapsed="false">
      <c r="A3037" s="57" t="n">
        <v>36044</v>
      </c>
      <c r="B3037" s="56" t="n">
        <v>1998</v>
      </c>
      <c r="C3037" s="56" t="n">
        <v>9</v>
      </c>
      <c r="D3037" s="56" t="n">
        <v>129</v>
      </c>
      <c r="E3037" s="56" t="n">
        <v>23.3</v>
      </c>
      <c r="F3037" s="56" t="n">
        <v>0</v>
      </c>
      <c r="G3037" s="56" t="n">
        <v>13</v>
      </c>
      <c r="H3037" s="56" t="n">
        <v>0</v>
      </c>
      <c r="I3037" s="56" t="n">
        <v>17.4</v>
      </c>
      <c r="J3037" s="56" t="n">
        <v>0</v>
      </c>
      <c r="K3037" s="56" t="n">
        <v>1007</v>
      </c>
      <c r="L3037" s="56" t="n">
        <v>0</v>
      </c>
      <c r="M3037" s="56" t="n">
        <v>80</v>
      </c>
      <c r="N3037" s="56" t="n">
        <v>3.1</v>
      </c>
      <c r="O3037" s="56" t="n">
        <f aca="false">IF(D3037=1,"",E3036)</f>
        <v>21.7</v>
      </c>
      <c r="P3037" s="56" t="n">
        <f aca="false">IF(OR(D3037=1,K3036=""),"",K3036)</f>
        <v>1002.7</v>
      </c>
      <c r="Q3037" s="56" t="n">
        <f aca="false">IF(OR(F3037&lt;&gt;0,AND(I3037&lt;&gt;"",E3037&lt;I3037)),1,0)</f>
        <v>0</v>
      </c>
      <c r="R3037" s="56" t="n">
        <f aca="false">IF(AND(D3037&gt;1,Q3037=0,ISNUMBER(O3037),ISNUMBER(P3037)),IF(Q3036=0,1,0),0)</f>
        <v>1</v>
      </c>
      <c r="S3037" s="56" t="n">
        <f aca="false">R3037*(B3037&gt;=Train_Start)*(B3037&lt;=Train_End)</f>
        <v>1</v>
      </c>
      <c r="T3037" s="84" t="n">
        <f aca="false">IF(AND(ISNUMBER(O3037),ISNUMBER(P3037)),Coef_A+Coef_B1*O3037+Coef_B2*P3037,"")</f>
        <v>21.3212292605225</v>
      </c>
      <c r="U3037" s="84" t="n">
        <f aca="false">IF(AND(R3037=1,ISNUMBER(T3037)),E3037-T3037,"")</f>
        <v>1.97877073947747</v>
      </c>
      <c r="V3037" s="84" t="n">
        <f aca="false">IF(ISNUMBER(T3037),T3037,-99)</f>
        <v>21.3212292605225</v>
      </c>
      <c r="W3037" s="84" t="n">
        <f aca="false">IF(ISNUMBER(U3037),ABS(U3037),"")</f>
        <v>1.97877073947747</v>
      </c>
    </row>
    <row r="3038" customFormat="false" ht="15" hidden="false" customHeight="false" outlineLevel="0" collapsed="false">
      <c r="A3038" s="57" t="n">
        <v>36045</v>
      </c>
      <c r="B3038" s="56" t="n">
        <v>1998</v>
      </c>
      <c r="C3038" s="56" t="n">
        <v>9</v>
      </c>
      <c r="D3038" s="56" t="n">
        <v>130</v>
      </c>
      <c r="E3038" s="56" t="n">
        <v>23.3</v>
      </c>
      <c r="F3038" s="56" t="n">
        <v>0</v>
      </c>
      <c r="G3038" s="56" t="n">
        <v>15.8</v>
      </c>
      <c r="H3038" s="56" t="n">
        <v>0</v>
      </c>
      <c r="I3038" s="56" t="n">
        <v>19.6</v>
      </c>
      <c r="J3038" s="56" t="n">
        <v>0</v>
      </c>
      <c r="K3038" s="56" t="n">
        <v>1001.6</v>
      </c>
      <c r="L3038" s="56" t="n">
        <v>0</v>
      </c>
      <c r="M3038" s="56" t="n">
        <v>73</v>
      </c>
      <c r="N3038" s="56" t="n">
        <v>9.6</v>
      </c>
      <c r="O3038" s="56" t="n">
        <f aca="false">IF(D3038=1,"",E3037)</f>
        <v>23.3</v>
      </c>
      <c r="P3038" s="56" t="n">
        <f aca="false">IF(OR(D3038=1,K3037=""),"",K3037)</f>
        <v>1007</v>
      </c>
      <c r="Q3038" s="56" t="n">
        <f aca="false">IF(OR(F3038&lt;&gt;0,AND(I3038&lt;&gt;"",E3038&lt;I3038)),1,0)</f>
        <v>0</v>
      </c>
      <c r="R3038" s="56" t="n">
        <f aca="false">IF(AND(D3038&gt;1,Q3038=0,ISNUMBER(O3038),ISNUMBER(P3038)),IF(Q3037=0,1,0),0)</f>
        <v>1</v>
      </c>
      <c r="S3038" s="56" t="n">
        <f aca="false">R3038*(B3038&gt;=Train_Start)*(B3038&lt;=Train_End)</f>
        <v>1</v>
      </c>
      <c r="T3038" s="84" t="n">
        <f aca="false">IF(AND(ISNUMBER(O3038),ISNUMBER(P3038)),Coef_A+Coef_B1*O3038+Coef_B2*P3038,"")</f>
        <v>22.7670625163169</v>
      </c>
      <c r="U3038" s="84" t="n">
        <f aca="false">IF(AND(R3038=1,ISNUMBER(T3038)),E3038-T3038,"")</f>
        <v>0.53293748368306</v>
      </c>
      <c r="V3038" s="84" t="n">
        <f aca="false">IF(ISNUMBER(T3038),T3038,-99)</f>
        <v>22.7670625163169</v>
      </c>
      <c r="W3038" s="84" t="n">
        <f aca="false">IF(ISNUMBER(U3038),ABS(U3038),"")</f>
        <v>0.53293748368306</v>
      </c>
    </row>
    <row r="3039" customFormat="false" ht="15" hidden="false" customHeight="false" outlineLevel="0" collapsed="false">
      <c r="A3039" s="57" t="n">
        <v>36046</v>
      </c>
      <c r="B3039" s="56" t="n">
        <v>1998</v>
      </c>
      <c r="C3039" s="56" t="n">
        <v>9</v>
      </c>
      <c r="D3039" s="56" t="n">
        <v>131</v>
      </c>
      <c r="E3039" s="56" t="n">
        <v>21.5</v>
      </c>
      <c r="F3039" s="56" t="n">
        <v>0</v>
      </c>
      <c r="G3039" s="56" t="n">
        <v>15.6</v>
      </c>
      <c r="H3039" s="56" t="n">
        <v>0</v>
      </c>
      <c r="I3039" s="56" t="n">
        <v>19.4</v>
      </c>
      <c r="J3039" s="56" t="n">
        <v>0</v>
      </c>
      <c r="K3039" s="56" t="n">
        <v>1000.7</v>
      </c>
      <c r="L3039" s="56" t="n">
        <v>0</v>
      </c>
      <c r="M3039" s="56" t="n">
        <v>77</v>
      </c>
      <c r="N3039" s="56" t="n">
        <v>5.1</v>
      </c>
      <c r="O3039" s="56" t="n">
        <f aca="false">IF(D3039=1,"",E3038)</f>
        <v>23.3</v>
      </c>
      <c r="P3039" s="56" t="n">
        <f aca="false">IF(OR(D3039=1,K3038=""),"",K3038)</f>
        <v>1001.6</v>
      </c>
      <c r="Q3039" s="56" t="n">
        <f aca="false">IF(OR(F3039&lt;&gt;0,AND(I3039&lt;&gt;"",E3039&lt;I3039)),1,0)</f>
        <v>0</v>
      </c>
      <c r="R3039" s="56" t="n">
        <f aca="false">IF(AND(D3039&gt;1,Q3039=0,ISNUMBER(O3039),ISNUMBER(P3039)),IF(Q3038=0,1,0),0)</f>
        <v>1</v>
      </c>
      <c r="S3039" s="56" t="n">
        <f aca="false">R3039*(B3039&gt;=Train_Start)*(B3039&lt;=Train_End)</f>
        <v>1</v>
      </c>
      <c r="T3039" s="84" t="n">
        <f aca="false">IF(AND(ISNUMBER(O3039),ISNUMBER(P3039)),Coef_A+Coef_B1*O3039+Coef_B2*P3039,"")</f>
        <v>22.5976650852934</v>
      </c>
      <c r="U3039" s="84" t="n">
        <f aca="false">IF(AND(R3039=1,ISNUMBER(T3039)),E3039-T3039,"")</f>
        <v>-1.0976650852934</v>
      </c>
      <c r="V3039" s="84" t="n">
        <f aca="false">IF(ISNUMBER(T3039),T3039,-99)</f>
        <v>22.5976650852934</v>
      </c>
      <c r="W3039" s="84" t="n">
        <f aca="false">IF(ISNUMBER(U3039),ABS(U3039),"")</f>
        <v>1.0976650852934</v>
      </c>
    </row>
    <row r="3040" customFormat="false" ht="15" hidden="false" customHeight="false" outlineLevel="0" collapsed="false">
      <c r="A3040" s="57" t="n">
        <v>36047</v>
      </c>
      <c r="B3040" s="56" t="n">
        <v>1998</v>
      </c>
      <c r="C3040" s="56" t="n">
        <v>9</v>
      </c>
      <c r="D3040" s="56" t="n">
        <v>132</v>
      </c>
      <c r="E3040" s="56" t="n">
        <v>21</v>
      </c>
      <c r="F3040" s="56" t="n">
        <v>0</v>
      </c>
      <c r="G3040" s="56" t="n">
        <v>16</v>
      </c>
      <c r="H3040" s="56" t="n">
        <v>0</v>
      </c>
      <c r="I3040" s="56" t="n">
        <v>18.8</v>
      </c>
      <c r="J3040" s="56" t="n">
        <v>0</v>
      </c>
      <c r="K3040" s="56" t="n">
        <v>996.1</v>
      </c>
      <c r="L3040" s="56" t="n">
        <v>0</v>
      </c>
      <c r="M3040" s="56" t="n">
        <v>75</v>
      </c>
      <c r="N3040" s="56" t="n">
        <v>4.7</v>
      </c>
      <c r="O3040" s="56" t="n">
        <f aca="false">IF(D3040=1,"",E3039)</f>
        <v>21.5</v>
      </c>
      <c r="P3040" s="56" t="n">
        <f aca="false">IF(OR(D3040=1,K3039=""),"",K3039)</f>
        <v>1000.7</v>
      </c>
      <c r="Q3040" s="56" t="n">
        <f aca="false">IF(OR(F3040&lt;&gt;0,AND(I3040&lt;&gt;"",E3040&lt;I3040)),1,0)</f>
        <v>0</v>
      </c>
      <c r="R3040" s="56" t="n">
        <f aca="false">IF(AND(D3040&gt;1,Q3040=0,ISNUMBER(O3040),ISNUMBER(P3040)),IF(Q3039=0,1,0),0)</f>
        <v>1</v>
      </c>
      <c r="S3040" s="56" t="n">
        <f aca="false">R3040*(B3040&gt;=Train_Start)*(B3040&lt;=Train_End)</f>
        <v>1</v>
      </c>
      <c r="T3040" s="84" t="n">
        <f aca="false">IF(AND(ISNUMBER(O3040),ISNUMBER(P3040)),Coef_A+Coef_B1*O3040+Coef_B2*P3040,"")</f>
        <v>21.094621632646</v>
      </c>
      <c r="U3040" s="84" t="n">
        <f aca="false">IF(AND(R3040=1,ISNUMBER(T3040)),E3040-T3040,"")</f>
        <v>-0.094621632646021</v>
      </c>
      <c r="V3040" s="84" t="n">
        <f aca="false">IF(ISNUMBER(T3040),T3040,-99)</f>
        <v>21.094621632646</v>
      </c>
      <c r="W3040" s="84" t="n">
        <f aca="false">IF(ISNUMBER(U3040),ABS(U3040),"")</f>
        <v>0.094621632646021</v>
      </c>
    </row>
    <row r="3041" customFormat="false" ht="15" hidden="false" customHeight="false" outlineLevel="0" collapsed="false">
      <c r="A3041" s="57" t="n">
        <v>36048</v>
      </c>
      <c r="B3041" s="56" t="n">
        <v>1998</v>
      </c>
      <c r="C3041" s="56" t="n">
        <v>9</v>
      </c>
      <c r="D3041" s="56" t="n">
        <v>133</v>
      </c>
      <c r="E3041" s="56" t="n">
        <v>18.2</v>
      </c>
      <c r="F3041" s="56" t="n">
        <v>0</v>
      </c>
      <c r="G3041" s="56" t="n">
        <v>15.1</v>
      </c>
      <c r="H3041" s="56" t="n">
        <v>0</v>
      </c>
      <c r="I3041" s="56" t="n">
        <v>18</v>
      </c>
      <c r="J3041" s="56" t="n">
        <v>0</v>
      </c>
      <c r="K3041" s="56" t="n">
        <v>999.6</v>
      </c>
      <c r="L3041" s="56" t="n">
        <v>0</v>
      </c>
      <c r="M3041" s="56" t="n">
        <v>72</v>
      </c>
      <c r="N3041" s="56" t="n">
        <v>7.8</v>
      </c>
      <c r="O3041" s="56" t="n">
        <f aca="false">IF(D3041=1,"",E3040)</f>
        <v>21</v>
      </c>
      <c r="P3041" s="56" t="n">
        <f aca="false">IF(OR(D3041=1,K3040=""),"",K3040)</f>
        <v>996.1</v>
      </c>
      <c r="Q3041" s="56" t="n">
        <f aca="false">IF(OR(F3041&lt;&gt;0,AND(I3041&lt;&gt;"",E3041&lt;I3041)),1,0)</f>
        <v>0</v>
      </c>
      <c r="R3041" s="56" t="n">
        <f aca="false">IF(AND(D3041&gt;1,Q3041=0,ISNUMBER(O3041),ISNUMBER(P3041)),IF(Q3040=0,1,0),0)</f>
        <v>1</v>
      </c>
      <c r="S3041" s="56" t="n">
        <f aca="false">R3041*(B3041&gt;=Train_Start)*(B3041&lt;=Train_End)</f>
        <v>1</v>
      </c>
      <c r="T3041" s="84" t="n">
        <f aca="false">IF(AND(ISNUMBER(O3041),ISNUMBER(P3041)),Coef_A+Coef_B1*O3041+Coef_B2*P3041,"")</f>
        <v>20.5406505208083</v>
      </c>
      <c r="U3041" s="84" t="n">
        <f aca="false">IF(AND(R3041=1,ISNUMBER(T3041)),E3041-T3041,"")</f>
        <v>-2.34065052080834</v>
      </c>
      <c r="V3041" s="84" t="n">
        <f aca="false">IF(ISNUMBER(T3041),T3041,-99)</f>
        <v>20.5406505208083</v>
      </c>
      <c r="W3041" s="84" t="n">
        <f aca="false">IF(ISNUMBER(U3041),ABS(U3041),"")</f>
        <v>2.34065052080834</v>
      </c>
    </row>
    <row r="3042" customFormat="false" ht="15" hidden="false" customHeight="false" outlineLevel="0" collapsed="false">
      <c r="A3042" s="57" t="n">
        <v>36049</v>
      </c>
      <c r="B3042" s="56" t="n">
        <v>1998</v>
      </c>
      <c r="C3042" s="56" t="n">
        <v>9</v>
      </c>
      <c r="D3042" s="56" t="n">
        <v>134</v>
      </c>
      <c r="E3042" s="56" t="n">
        <v>14.8</v>
      </c>
      <c r="F3042" s="56" t="n">
        <v>0</v>
      </c>
      <c r="G3042" s="56" t="n">
        <v>11.2</v>
      </c>
      <c r="H3042" s="56" t="n">
        <v>0</v>
      </c>
      <c r="I3042" s="56" t="n">
        <v>14.7</v>
      </c>
      <c r="J3042" s="56" t="n">
        <v>0</v>
      </c>
      <c r="K3042" s="56" t="n">
        <v>1001.4</v>
      </c>
      <c r="L3042" s="56" t="n">
        <v>0</v>
      </c>
      <c r="M3042" s="56" t="n">
        <v>67</v>
      </c>
      <c r="N3042" s="56" t="n">
        <v>6.6</v>
      </c>
      <c r="O3042" s="56" t="n">
        <f aca="false">IF(D3042=1,"",E3041)</f>
        <v>18.2</v>
      </c>
      <c r="P3042" s="56" t="n">
        <f aca="false">IF(OR(D3042=1,K3041=""),"",K3041)</f>
        <v>999.6</v>
      </c>
      <c r="Q3042" s="56" t="n">
        <f aca="false">IF(OR(F3042&lt;&gt;0,AND(I3042&lt;&gt;"",E3042&lt;I3042)),1,0)</f>
        <v>0</v>
      </c>
      <c r="R3042" s="56" t="n">
        <f aca="false">IF(AND(D3042&gt;1,Q3042=0,ISNUMBER(O3042),ISNUMBER(P3042)),IF(Q3041=0,1,0),0)</f>
        <v>1</v>
      </c>
      <c r="S3042" s="56" t="n">
        <f aca="false">R3042*(B3042&gt;=Train_Start)*(B3042&lt;=Train_End)</f>
        <v>1</v>
      </c>
      <c r="T3042" s="84" t="n">
        <f aca="false">IF(AND(ISNUMBER(O3042),ISNUMBER(P3042)),Coef_A+Coef_B1*O3042+Coef_B2*P3042,"")</f>
        <v>18.3562954115079</v>
      </c>
      <c r="U3042" s="84" t="n">
        <f aca="false">IF(AND(R3042=1,ISNUMBER(T3042)),E3042-T3042,"")</f>
        <v>-3.55629541150786</v>
      </c>
      <c r="V3042" s="84" t="n">
        <f aca="false">IF(ISNUMBER(T3042),T3042,-99)</f>
        <v>18.3562954115079</v>
      </c>
      <c r="W3042" s="84" t="n">
        <f aca="false">IF(ISNUMBER(U3042),ABS(U3042),"")</f>
        <v>3.55629541150786</v>
      </c>
    </row>
    <row r="3043" customFormat="false" ht="15" hidden="false" customHeight="false" outlineLevel="0" collapsed="false">
      <c r="A3043" s="57" t="n">
        <v>36050</v>
      </c>
      <c r="B3043" s="56" t="n">
        <v>1998</v>
      </c>
      <c r="C3043" s="56" t="n">
        <v>9</v>
      </c>
      <c r="D3043" s="56" t="n">
        <v>135</v>
      </c>
      <c r="E3043" s="56" t="n">
        <v>15.9</v>
      </c>
      <c r="F3043" s="56" t="n">
        <v>0</v>
      </c>
      <c r="G3043" s="56" t="n">
        <v>6.9</v>
      </c>
      <c r="H3043" s="56" t="n">
        <v>0</v>
      </c>
      <c r="I3043" s="56" t="n">
        <v>10.8</v>
      </c>
      <c r="J3043" s="56" t="n">
        <v>0</v>
      </c>
      <c r="K3043" s="56" t="n">
        <v>998.4</v>
      </c>
      <c r="L3043" s="56" t="n">
        <v>0</v>
      </c>
      <c r="M3043" s="56" t="n">
        <v>79</v>
      </c>
      <c r="N3043" s="56" t="n">
        <v>5.3</v>
      </c>
      <c r="O3043" s="56" t="n">
        <f aca="false">IF(D3043=1,"",E3042)</f>
        <v>14.8</v>
      </c>
      <c r="P3043" s="56" t="n">
        <f aca="false">IF(OR(D3043=1,K3042=""),"",K3042)</f>
        <v>1001.4</v>
      </c>
      <c r="Q3043" s="56" t="n">
        <f aca="false">IF(OR(F3043&lt;&gt;0,AND(I3043&lt;&gt;"",E3043&lt;I3043)),1,0)</f>
        <v>0</v>
      </c>
      <c r="R3043" s="56" t="n">
        <f aca="false">IF(AND(D3043&gt;1,Q3043=0,ISNUMBER(O3043),ISNUMBER(P3043)),IF(Q3042=0,1,0),0)</f>
        <v>1</v>
      </c>
      <c r="S3043" s="56" t="n">
        <f aca="false">R3043*(B3043&gt;=Train_Start)*(B3043&lt;=Train_End)</f>
        <v>1</v>
      </c>
      <c r="T3043" s="84" t="n">
        <f aca="false">IF(AND(ISNUMBER(O3043),ISNUMBER(P3043)),Coef_A+Coef_B1*O3043+Coef_B2*P3043,"")</f>
        <v>15.627007965504</v>
      </c>
      <c r="U3043" s="84" t="n">
        <f aca="false">IF(AND(R3043=1,ISNUMBER(T3043)),E3043-T3043,"")</f>
        <v>0.272992034495994</v>
      </c>
      <c r="V3043" s="84" t="n">
        <f aca="false">IF(ISNUMBER(T3043),T3043,-99)</f>
        <v>15.627007965504</v>
      </c>
      <c r="W3043" s="84" t="n">
        <f aca="false">IF(ISNUMBER(U3043),ABS(U3043),"")</f>
        <v>0.272992034495994</v>
      </c>
    </row>
    <row r="3044" customFormat="false" ht="15" hidden="false" customHeight="false" outlineLevel="0" collapsed="false">
      <c r="A3044" s="57" t="n">
        <v>36051</v>
      </c>
      <c r="B3044" s="56" t="n">
        <v>1998</v>
      </c>
      <c r="C3044" s="56" t="n">
        <v>9</v>
      </c>
      <c r="D3044" s="56" t="n">
        <v>136</v>
      </c>
      <c r="E3044" s="56" t="n">
        <v>17.6</v>
      </c>
      <c r="F3044" s="56" t="n">
        <v>0</v>
      </c>
      <c r="G3044" s="56" t="n">
        <v>7.1</v>
      </c>
      <c r="H3044" s="56" t="n">
        <v>0</v>
      </c>
      <c r="I3044" s="56" t="n">
        <v>11.5</v>
      </c>
      <c r="J3044" s="56" t="n">
        <v>0</v>
      </c>
      <c r="K3044" s="56" t="n">
        <v>998.5</v>
      </c>
      <c r="L3044" s="56" t="n">
        <v>0</v>
      </c>
      <c r="M3044" s="56" t="n">
        <v>68</v>
      </c>
      <c r="N3044" s="56" t="n">
        <v>7.7</v>
      </c>
      <c r="O3044" s="56" t="n">
        <f aca="false">IF(D3044=1,"",E3043)</f>
        <v>15.9</v>
      </c>
      <c r="P3044" s="56" t="n">
        <f aca="false">IF(OR(D3044=1,K3043=""),"",K3043)</f>
        <v>998.4</v>
      </c>
      <c r="Q3044" s="56" t="n">
        <f aca="false">IF(OR(F3044&lt;&gt;0,AND(I3044&lt;&gt;"",E3044&lt;I3044)),1,0)</f>
        <v>0</v>
      </c>
      <c r="R3044" s="56" t="n">
        <f aca="false">IF(AND(D3044&gt;1,Q3044=0,ISNUMBER(O3044),ISNUMBER(P3044)),IF(Q3043=0,1,0),0)</f>
        <v>1</v>
      </c>
      <c r="S3044" s="56" t="n">
        <f aca="false">R3044*(B3044&gt;=Train_Start)*(B3044&lt;=Train_End)</f>
        <v>1</v>
      </c>
      <c r="T3044" s="84" t="n">
        <f aca="false">IF(AND(ISNUMBER(O3044),ISNUMBER(P3044)),Coef_A+Coef_B1*O3044+Coef_B2*P3044,"")</f>
        <v>16.434171393949</v>
      </c>
      <c r="U3044" s="84" t="n">
        <f aca="false">IF(AND(R3044=1,ISNUMBER(T3044)),E3044-T3044,"")</f>
        <v>1.16582860605104</v>
      </c>
      <c r="V3044" s="84" t="n">
        <f aca="false">IF(ISNUMBER(T3044),T3044,-99)</f>
        <v>16.434171393949</v>
      </c>
      <c r="W3044" s="84" t="n">
        <f aca="false">IF(ISNUMBER(U3044),ABS(U3044),"")</f>
        <v>1.16582860605104</v>
      </c>
    </row>
    <row r="3045" customFormat="false" ht="15" hidden="false" customHeight="false" outlineLevel="0" collapsed="false">
      <c r="A3045" s="57" t="n">
        <v>36052</v>
      </c>
      <c r="B3045" s="56" t="n">
        <v>1998</v>
      </c>
      <c r="C3045" s="56" t="n">
        <v>9</v>
      </c>
      <c r="D3045" s="56" t="n">
        <v>137</v>
      </c>
      <c r="E3045" s="56" t="n">
        <v>18.7</v>
      </c>
      <c r="F3045" s="56" t="n">
        <v>0</v>
      </c>
      <c r="G3045" s="56" t="n">
        <v>7.8</v>
      </c>
      <c r="H3045" s="56" t="n">
        <v>0</v>
      </c>
      <c r="I3045" s="56" t="n">
        <v>12.7</v>
      </c>
      <c r="J3045" s="56" t="n">
        <v>0</v>
      </c>
      <c r="K3045" s="56" t="n">
        <v>1003.2</v>
      </c>
      <c r="L3045" s="56" t="n">
        <v>0</v>
      </c>
      <c r="M3045" s="56" t="n">
        <v>66</v>
      </c>
      <c r="N3045" s="56" t="n">
        <v>8.8</v>
      </c>
      <c r="O3045" s="56" t="n">
        <f aca="false">IF(D3045=1,"",E3044)</f>
        <v>17.6</v>
      </c>
      <c r="P3045" s="56" t="n">
        <f aca="false">IF(OR(D3045=1,K3044=""),"",K3044)</f>
        <v>998.5</v>
      </c>
      <c r="Q3045" s="56" t="n">
        <f aca="false">IF(OR(F3045&lt;&gt;0,AND(I3045&lt;&gt;"",E3045&lt;I3045)),1,0)</f>
        <v>0</v>
      </c>
      <c r="R3045" s="56" t="n">
        <f aca="false">IF(AND(D3045&gt;1,Q3045=0,ISNUMBER(O3045),ISNUMBER(P3045)),IF(Q3044=0,1,0),0)</f>
        <v>1</v>
      </c>
      <c r="S3045" s="56" t="n">
        <f aca="false">R3045*(B3045&gt;=Train_Start)*(B3045&lt;=Train_End)</f>
        <v>1</v>
      </c>
      <c r="T3045" s="84" t="n">
        <f aca="false">IF(AND(ISNUMBER(O3045),ISNUMBER(P3045)),Coef_A+Coef_B1*O3045+Coef_B2*P3045,"")</f>
        <v>17.8301850115849</v>
      </c>
      <c r="U3045" s="84" t="n">
        <f aca="false">IF(AND(R3045=1,ISNUMBER(T3045)),E3045-T3045,"")</f>
        <v>0.869814988415119</v>
      </c>
      <c r="V3045" s="84" t="n">
        <f aca="false">IF(ISNUMBER(T3045),T3045,-99)</f>
        <v>17.8301850115849</v>
      </c>
      <c r="W3045" s="84" t="n">
        <f aca="false">IF(ISNUMBER(U3045),ABS(U3045),"")</f>
        <v>0.869814988415119</v>
      </c>
    </row>
    <row r="3046" customFormat="false" ht="15" hidden="false" customHeight="false" outlineLevel="0" collapsed="false">
      <c r="A3046" s="57" t="n">
        <v>36053</v>
      </c>
      <c r="B3046" s="56" t="n">
        <v>1998</v>
      </c>
      <c r="C3046" s="56" t="n">
        <v>9</v>
      </c>
      <c r="D3046" s="56" t="n">
        <v>138</v>
      </c>
      <c r="E3046" s="56" t="n">
        <v>18.6</v>
      </c>
      <c r="F3046" s="56" t="n">
        <v>0</v>
      </c>
      <c r="G3046" s="56" t="n">
        <v>8.7</v>
      </c>
      <c r="H3046" s="56" t="n">
        <v>0</v>
      </c>
      <c r="I3046" s="56" t="n">
        <v>13.7</v>
      </c>
      <c r="J3046" s="56" t="n">
        <v>0</v>
      </c>
      <c r="K3046" s="56" t="n">
        <v>1005.7</v>
      </c>
      <c r="L3046" s="56" t="n">
        <v>0</v>
      </c>
      <c r="M3046" s="56" t="n">
        <v>81</v>
      </c>
      <c r="N3046" s="56" t="n">
        <v>0.9</v>
      </c>
      <c r="O3046" s="56" t="n">
        <f aca="false">IF(D3046=1,"",E3045)</f>
        <v>18.7</v>
      </c>
      <c r="P3046" s="56" t="n">
        <f aca="false">IF(OR(D3046=1,K3045=""),"",K3045)</f>
        <v>1003.2</v>
      </c>
      <c r="Q3046" s="56" t="n">
        <f aca="false">IF(OR(F3046&lt;&gt;0,AND(I3046&lt;&gt;"",E3046&lt;I3046)),1,0)</f>
        <v>0</v>
      </c>
      <c r="R3046" s="56" t="n">
        <f aca="false">IF(AND(D3046&gt;1,Q3046=0,ISNUMBER(O3046),ISNUMBER(P3046)),IF(Q3045=0,1,0),0)</f>
        <v>1</v>
      </c>
      <c r="S3046" s="56" t="n">
        <f aca="false">R3046*(B3046&gt;=Train_Start)*(B3046&lt;=Train_End)</f>
        <v>1</v>
      </c>
      <c r="T3046" s="84" t="n">
        <f aca="false">IF(AND(ISNUMBER(O3046),ISNUMBER(P3046)),Coef_A+Coef_B1*O3046+Coef_B2*P3046,"")</f>
        <v>18.8788966287116</v>
      </c>
      <c r="U3046" s="84" t="n">
        <f aca="false">IF(AND(R3046=1,ISNUMBER(T3046)),E3046-T3046,"")</f>
        <v>-0.27889662871155</v>
      </c>
      <c r="V3046" s="84" t="n">
        <f aca="false">IF(ISNUMBER(T3046),T3046,-99)</f>
        <v>18.8788966287116</v>
      </c>
      <c r="W3046" s="84" t="n">
        <f aca="false">IF(ISNUMBER(U3046),ABS(U3046),"")</f>
        <v>0.27889662871155</v>
      </c>
    </row>
    <row r="3047" customFormat="false" ht="15" hidden="false" customHeight="false" outlineLevel="0" collapsed="false">
      <c r="A3047" s="57" t="n">
        <v>36054</v>
      </c>
      <c r="B3047" s="56" t="n">
        <v>1998</v>
      </c>
      <c r="C3047" s="56" t="n">
        <v>9</v>
      </c>
      <c r="D3047" s="56" t="n">
        <v>139</v>
      </c>
      <c r="E3047" s="56" t="n">
        <v>18.4</v>
      </c>
      <c r="F3047" s="56" t="n">
        <v>0</v>
      </c>
      <c r="G3047" s="56" t="n">
        <v>8.4</v>
      </c>
      <c r="H3047" s="56" t="n">
        <v>0</v>
      </c>
      <c r="I3047" s="56" t="n">
        <v>13.5</v>
      </c>
      <c r="J3047" s="56" t="n">
        <v>0</v>
      </c>
      <c r="K3047" s="56" t="n">
        <v>1009.4</v>
      </c>
      <c r="L3047" s="56" t="n">
        <v>0</v>
      </c>
      <c r="M3047" s="56" t="n">
        <v>64</v>
      </c>
      <c r="N3047" s="56" t="n">
        <v>8.6</v>
      </c>
      <c r="O3047" s="56" t="n">
        <f aca="false">IF(D3047=1,"",E3046)</f>
        <v>18.6</v>
      </c>
      <c r="P3047" s="56" t="n">
        <f aca="false">IF(OR(D3047=1,K3046=""),"",K3046)</f>
        <v>1005.7</v>
      </c>
      <c r="Q3047" s="56" t="n">
        <f aca="false">IF(OR(F3047&lt;&gt;0,AND(I3047&lt;&gt;"",E3047&lt;I3047)),1,0)</f>
        <v>0</v>
      </c>
      <c r="R3047" s="56" t="n">
        <f aca="false">IF(AND(D3047&gt;1,Q3047=0,ISNUMBER(O3047),ISNUMBER(P3047)),IF(Q3046=0,1,0),0)</f>
        <v>1</v>
      </c>
      <c r="S3047" s="56" t="n">
        <f aca="false">R3047*(B3047&gt;=Train_Start)*(B3047&lt;=Train_End)</f>
        <v>1</v>
      </c>
      <c r="T3047" s="84" t="n">
        <f aca="false">IF(AND(ISNUMBER(O3047),ISNUMBER(P3047)),Coef_A+Coef_B1*O3047+Coef_B2*P3047,"")</f>
        <v>18.8753874459923</v>
      </c>
      <c r="U3047" s="84" t="n">
        <f aca="false">IF(AND(R3047=1,ISNUMBER(T3047)),E3047-T3047,"")</f>
        <v>-0.475387445992265</v>
      </c>
      <c r="V3047" s="84" t="n">
        <f aca="false">IF(ISNUMBER(T3047),T3047,-99)</f>
        <v>18.8753874459923</v>
      </c>
      <c r="W3047" s="84" t="n">
        <f aca="false">IF(ISNUMBER(U3047),ABS(U3047),"")</f>
        <v>0.475387445992265</v>
      </c>
    </row>
    <row r="3048" customFormat="false" ht="15" hidden="false" customHeight="false" outlineLevel="0" collapsed="false">
      <c r="A3048" s="57" t="n">
        <v>36055</v>
      </c>
      <c r="B3048" s="56" t="n">
        <v>1998</v>
      </c>
      <c r="C3048" s="56" t="n">
        <v>9</v>
      </c>
      <c r="D3048" s="56" t="n">
        <v>140</v>
      </c>
      <c r="E3048" s="56" t="n">
        <v>21.6</v>
      </c>
      <c r="F3048" s="56" t="n">
        <v>0</v>
      </c>
      <c r="G3048" s="56" t="n">
        <v>8.2</v>
      </c>
      <c r="H3048" s="56" t="n">
        <v>0</v>
      </c>
      <c r="I3048" s="56" t="n">
        <v>13.3</v>
      </c>
      <c r="J3048" s="56" t="n">
        <v>0</v>
      </c>
      <c r="K3048" s="56" t="n">
        <v>1016.2</v>
      </c>
      <c r="L3048" s="56" t="n">
        <v>0</v>
      </c>
      <c r="M3048" s="56" t="n">
        <v>65</v>
      </c>
      <c r="N3048" s="56" t="n">
        <v>7.9</v>
      </c>
      <c r="O3048" s="56" t="n">
        <f aca="false">IF(D3048=1,"",E3047)</f>
        <v>18.4</v>
      </c>
      <c r="P3048" s="56" t="n">
        <f aca="false">IF(OR(D3048=1,K3047=""),"",K3047)</f>
        <v>1009.4</v>
      </c>
      <c r="Q3048" s="56" t="n">
        <f aca="false">IF(OR(F3048&lt;&gt;0,AND(I3048&lt;&gt;"",E3048&lt;I3048)),1,0)</f>
        <v>0</v>
      </c>
      <c r="R3048" s="56" t="n">
        <f aca="false">IF(AND(D3048&gt;1,Q3048=0,ISNUMBER(O3048),ISNUMBER(P3048)),IF(Q3047=0,1,0),0)</f>
        <v>1</v>
      </c>
      <c r="S3048" s="56" t="n">
        <f aca="false">R3048*(B3048&gt;=Train_Start)*(B3048&lt;=Train_End)</f>
        <v>1</v>
      </c>
      <c r="T3048" s="84" t="n">
        <f aca="false">IF(AND(ISNUMBER(O3048),ISNUMBER(P3048)),Coef_A+Coef_B1*O3048+Coef_B2*P3048,"")</f>
        <v>18.8275882175295</v>
      </c>
      <c r="U3048" s="84" t="n">
        <f aca="false">IF(AND(R3048=1,ISNUMBER(T3048)),E3048-T3048,"")</f>
        <v>2.77241178247051</v>
      </c>
      <c r="V3048" s="84" t="n">
        <f aca="false">IF(ISNUMBER(T3048),T3048,-99)</f>
        <v>18.8275882175295</v>
      </c>
      <c r="W3048" s="84" t="n">
        <f aca="false">IF(ISNUMBER(U3048),ABS(U3048),"")</f>
        <v>2.77241178247051</v>
      </c>
    </row>
    <row r="3049" customFormat="false" ht="15" hidden="false" customHeight="false" outlineLevel="0" collapsed="false">
      <c r="A3049" s="57" t="n">
        <v>36056</v>
      </c>
      <c r="B3049" s="56" t="n">
        <v>1998</v>
      </c>
      <c r="C3049" s="56" t="n">
        <v>9</v>
      </c>
      <c r="D3049" s="56" t="n">
        <v>141</v>
      </c>
      <c r="E3049" s="56" t="n">
        <v>23.6</v>
      </c>
      <c r="F3049" s="56" t="n">
        <v>0</v>
      </c>
      <c r="G3049" s="56" t="n">
        <v>11.4</v>
      </c>
      <c r="H3049" s="56" t="n">
        <v>0</v>
      </c>
      <c r="I3049" s="56" t="n">
        <v>16.5</v>
      </c>
      <c r="J3049" s="56" t="n">
        <v>0</v>
      </c>
      <c r="K3049" s="56" t="n">
        <v>1022.7</v>
      </c>
      <c r="L3049" s="56" t="n">
        <v>0</v>
      </c>
      <c r="M3049" s="56" t="n">
        <v>83</v>
      </c>
      <c r="N3049" s="56" t="n">
        <v>0.9</v>
      </c>
      <c r="O3049" s="56" t="n">
        <f aca="false">IF(D3049=1,"",E3048)</f>
        <v>21.6</v>
      </c>
      <c r="P3049" s="56" t="n">
        <f aca="false">IF(OR(D3049=1,K3048=""),"",K3048)</f>
        <v>1016.2</v>
      </c>
      <c r="Q3049" s="56" t="n">
        <f aca="false">IF(OR(F3049&lt;&gt;0,AND(I3049&lt;&gt;"",E3049&lt;I3049)),1,0)</f>
        <v>0</v>
      </c>
      <c r="R3049" s="56" t="n">
        <f aca="false">IF(AND(D3049&gt;1,Q3049=0,ISNUMBER(O3049),ISNUMBER(P3049)),IF(Q3048=0,1,0),0)</f>
        <v>1</v>
      </c>
      <c r="S3049" s="56" t="n">
        <f aca="false">R3049*(B3049&gt;=Train_Start)*(B3049&lt;=Train_End)</f>
        <v>1</v>
      </c>
      <c r="T3049" s="84" t="n">
        <f aca="false">IF(AND(ISNUMBER(O3049),ISNUMBER(P3049)),Coef_A+Coef_B1*O3049+Coef_B2*P3049,"")</f>
        <v>21.6627889187771</v>
      </c>
      <c r="U3049" s="84" t="n">
        <f aca="false">IF(AND(R3049=1,ISNUMBER(T3049)),E3049-T3049,"")</f>
        <v>1.93721108122288</v>
      </c>
      <c r="V3049" s="84" t="n">
        <f aca="false">IF(ISNUMBER(T3049),T3049,-99)</f>
        <v>21.6627889187771</v>
      </c>
      <c r="W3049" s="84" t="n">
        <f aca="false">IF(ISNUMBER(U3049),ABS(U3049),"")</f>
        <v>1.93721108122288</v>
      </c>
    </row>
    <row r="3050" customFormat="false" ht="15" hidden="false" customHeight="false" outlineLevel="0" collapsed="false">
      <c r="A3050" s="57" t="n">
        <v>36057</v>
      </c>
      <c r="B3050" s="56" t="n">
        <v>1998</v>
      </c>
      <c r="C3050" s="56" t="n">
        <v>9</v>
      </c>
      <c r="D3050" s="56" t="n">
        <v>142</v>
      </c>
      <c r="E3050" s="56" t="n">
        <v>21.4</v>
      </c>
      <c r="F3050" s="56" t="n">
        <v>0</v>
      </c>
      <c r="G3050" s="56" t="n">
        <v>15.1</v>
      </c>
      <c r="H3050" s="56" t="n">
        <v>0</v>
      </c>
      <c r="I3050" s="56" t="n">
        <v>19.4</v>
      </c>
      <c r="J3050" s="56" t="n">
        <v>0</v>
      </c>
      <c r="K3050" s="56" t="n">
        <v>1029.7</v>
      </c>
      <c r="L3050" s="56" t="n">
        <v>0</v>
      </c>
      <c r="M3050" s="56" t="n">
        <v>73</v>
      </c>
      <c r="N3050" s="56" t="n">
        <v>5</v>
      </c>
      <c r="O3050" s="56" t="n">
        <f aca="false">IF(D3050=1,"",E3049)</f>
        <v>23.6</v>
      </c>
      <c r="P3050" s="56" t="n">
        <f aca="false">IF(OR(D3050=1,K3049=""),"",K3049)</f>
        <v>1022.7</v>
      </c>
      <c r="Q3050" s="56" t="n">
        <f aca="false">IF(OR(F3050&lt;&gt;0,AND(I3050&lt;&gt;"",E3050&lt;I3050)),1,0)</f>
        <v>0</v>
      </c>
      <c r="R3050" s="56" t="n">
        <f aca="false">IF(AND(D3050&gt;1,Q3050=0,ISNUMBER(O3050),ISNUMBER(P3050)),IF(Q3049=0,1,0),0)</f>
        <v>1</v>
      </c>
      <c r="S3050" s="56" t="n">
        <f aca="false">R3050*(B3050&gt;=Train_Start)*(B3050&lt;=Train_End)</f>
        <v>1</v>
      </c>
      <c r="T3050" s="84" t="n">
        <f aca="false">IF(AND(ISNUMBER(O3050),ISNUMBER(P3050)),Coef_A+Coef_B1*O3050+Coef_B2*P3050,"")</f>
        <v>23.5053716199834</v>
      </c>
      <c r="U3050" s="84" t="n">
        <f aca="false">IF(AND(R3050=1,ISNUMBER(T3050)),E3050-T3050,"")</f>
        <v>-2.10537161998338</v>
      </c>
      <c r="V3050" s="84" t="n">
        <f aca="false">IF(ISNUMBER(T3050),T3050,-99)</f>
        <v>23.5053716199834</v>
      </c>
      <c r="W3050" s="84" t="n">
        <f aca="false">IF(ISNUMBER(U3050),ABS(U3050),"")</f>
        <v>2.10537161998338</v>
      </c>
    </row>
    <row r="3051" customFormat="false" ht="15" hidden="false" customHeight="false" outlineLevel="0" collapsed="false">
      <c r="A3051" s="57" t="n">
        <v>36058</v>
      </c>
      <c r="B3051" s="56" t="n">
        <v>1998</v>
      </c>
      <c r="C3051" s="56" t="n">
        <v>9</v>
      </c>
      <c r="D3051" s="56" t="n">
        <v>143</v>
      </c>
      <c r="E3051" s="56" t="n">
        <v>21.6</v>
      </c>
      <c r="F3051" s="56" t="n">
        <v>0</v>
      </c>
      <c r="G3051" s="56" t="n">
        <v>13.3</v>
      </c>
      <c r="H3051" s="56" t="n">
        <v>0</v>
      </c>
      <c r="I3051" s="56" t="n">
        <v>17.4</v>
      </c>
      <c r="J3051" s="56" t="n">
        <v>0</v>
      </c>
      <c r="K3051" s="56" t="n">
        <v>1033.5</v>
      </c>
      <c r="L3051" s="56" t="n">
        <v>0</v>
      </c>
      <c r="M3051" s="56" t="n">
        <v>79</v>
      </c>
      <c r="N3051" s="56" t="n">
        <v>8.3</v>
      </c>
      <c r="O3051" s="56" t="n">
        <f aca="false">IF(D3051=1,"",E3050)</f>
        <v>21.4</v>
      </c>
      <c r="P3051" s="56" t="n">
        <f aca="false">IF(OR(D3051=1,K3050=""),"",K3050)</f>
        <v>1029.7</v>
      </c>
      <c r="Q3051" s="56" t="n">
        <f aca="false">IF(OR(F3051&lt;&gt;0,AND(I3051&lt;&gt;"",E3051&lt;I3051)),1,0)</f>
        <v>0</v>
      </c>
      <c r="R3051" s="56" t="n">
        <f aca="false">IF(AND(D3051&gt;1,Q3051=0,ISNUMBER(O3051),ISNUMBER(P3051)),IF(Q3050=0,1,0),0)</f>
        <v>1</v>
      </c>
      <c r="S3051" s="56" t="n">
        <f aca="false">R3051*(B3051&gt;=Train_Start)*(B3051&lt;=Train_End)</f>
        <v>1</v>
      </c>
      <c r="T3051" s="84" t="n">
        <f aca="false">IF(AND(ISNUMBER(O3051),ISNUMBER(P3051)),Coef_A+Coef_B1*O3051+Coef_B2*P3051,"")</f>
        <v>21.9224146577274</v>
      </c>
      <c r="U3051" s="84" t="n">
        <f aca="false">IF(AND(R3051=1,ISNUMBER(T3051)),E3051-T3051,"")</f>
        <v>-0.322414657727446</v>
      </c>
      <c r="V3051" s="84" t="n">
        <f aca="false">IF(ISNUMBER(T3051),T3051,-99)</f>
        <v>21.9224146577274</v>
      </c>
      <c r="W3051" s="84" t="n">
        <f aca="false">IF(ISNUMBER(U3051),ABS(U3051),"")</f>
        <v>0.322414657727446</v>
      </c>
    </row>
    <row r="3052" customFormat="false" ht="15" hidden="false" customHeight="false" outlineLevel="0" collapsed="false">
      <c r="A3052" s="57" t="n">
        <v>36059</v>
      </c>
      <c r="B3052" s="56" t="n">
        <v>1998</v>
      </c>
      <c r="C3052" s="56" t="n">
        <v>9</v>
      </c>
      <c r="D3052" s="56" t="n">
        <v>144</v>
      </c>
      <c r="E3052" s="56" t="n">
        <v>18.4</v>
      </c>
      <c r="F3052" s="56" t="n">
        <v>0</v>
      </c>
      <c r="G3052" s="56" t="n">
        <v>14.1</v>
      </c>
      <c r="H3052" s="56" t="n">
        <v>0</v>
      </c>
      <c r="I3052" s="56" t="n">
        <v>17.8</v>
      </c>
      <c r="J3052" s="56" t="n">
        <v>0</v>
      </c>
      <c r="K3052" s="56" t="n">
        <v>1032.2</v>
      </c>
      <c r="L3052" s="56" t="n">
        <v>0</v>
      </c>
      <c r="M3052" s="56" t="n">
        <v>71</v>
      </c>
      <c r="N3052" s="56" t="n">
        <v>7.5</v>
      </c>
      <c r="O3052" s="56" t="n">
        <f aca="false">IF(D3052=1,"",E3051)</f>
        <v>21.6</v>
      </c>
      <c r="P3052" s="56" t="n">
        <f aca="false">IF(OR(D3052=1,K3051=""),"",K3051)</f>
        <v>1033.5</v>
      </c>
      <c r="Q3052" s="56" t="n">
        <f aca="false">IF(OR(F3052&lt;&gt;0,AND(I3052&lt;&gt;"",E3052&lt;I3052)),1,0)</f>
        <v>0</v>
      </c>
      <c r="R3052" s="56" t="n">
        <f aca="false">IF(AND(D3052&gt;1,Q3052=0,ISNUMBER(O3052),ISNUMBER(P3052)),IF(Q3051=0,1,0),0)</f>
        <v>1</v>
      </c>
      <c r="S3052" s="56" t="n">
        <f aca="false">R3052*(B3052&gt;=Train_Start)*(B3052&lt;=Train_End)</f>
        <v>1</v>
      </c>
      <c r="T3052" s="84" t="n">
        <f aca="false">IF(AND(ISNUMBER(O3052),ISNUMBER(P3052)),Coef_A+Coef_B1*O3052+Coef_B2*P3052,"")</f>
        <v>22.2054880959451</v>
      </c>
      <c r="U3052" s="84" t="n">
        <f aca="false">IF(AND(R3052=1,ISNUMBER(T3052)),E3052-T3052,"")</f>
        <v>-3.80548809594514</v>
      </c>
      <c r="V3052" s="84" t="n">
        <f aca="false">IF(ISNUMBER(T3052),T3052,-99)</f>
        <v>22.2054880959451</v>
      </c>
      <c r="W3052" s="84" t="n">
        <f aca="false">IF(ISNUMBER(U3052),ABS(U3052),"")</f>
        <v>3.80548809594514</v>
      </c>
    </row>
    <row r="3053" customFormat="false" ht="15" hidden="false" customHeight="false" outlineLevel="0" collapsed="false">
      <c r="A3053" s="57" t="n">
        <v>36060</v>
      </c>
      <c r="B3053" s="56" t="n">
        <v>1998</v>
      </c>
      <c r="C3053" s="56" t="n">
        <v>9</v>
      </c>
      <c r="D3053" s="56" t="n">
        <v>145</v>
      </c>
      <c r="E3053" s="56" t="n">
        <v>21.5</v>
      </c>
      <c r="F3053" s="56" t="n">
        <v>0</v>
      </c>
      <c r="G3053" s="56" t="n">
        <v>13.8</v>
      </c>
      <c r="H3053" s="56" t="n">
        <v>0</v>
      </c>
      <c r="I3053" s="56" t="n">
        <v>16.1</v>
      </c>
      <c r="J3053" s="56" t="n">
        <v>0</v>
      </c>
      <c r="K3053" s="56" t="n">
        <v>1026</v>
      </c>
      <c r="L3053" s="56" t="n">
        <v>0</v>
      </c>
      <c r="M3053" s="56" t="n">
        <v>76</v>
      </c>
      <c r="N3053" s="56" t="n">
        <v>0.8</v>
      </c>
      <c r="O3053" s="56" t="n">
        <f aca="false">IF(D3053=1,"",E3052)</f>
        <v>18.4</v>
      </c>
      <c r="P3053" s="56" t="n">
        <f aca="false">IF(OR(D3053=1,K3052=""),"",K3052)</f>
        <v>1032.2</v>
      </c>
      <c r="Q3053" s="56" t="n">
        <f aca="false">IF(OR(F3053&lt;&gt;0,AND(I3053&lt;&gt;"",E3053&lt;I3053)),1,0)</f>
        <v>0</v>
      </c>
      <c r="R3053" s="56" t="n">
        <f aca="false">IF(AND(D3053&gt;1,Q3053=0,ISNUMBER(O3053),ISNUMBER(P3053)),IF(Q3052=0,1,0),0)</f>
        <v>1</v>
      </c>
      <c r="S3053" s="56" t="n">
        <f aca="false">R3053*(B3053&gt;=Train_Start)*(B3053&lt;=Train_End)</f>
        <v>1</v>
      </c>
      <c r="T3053" s="84" t="n">
        <f aca="false">IF(AND(ISNUMBER(O3053),ISNUMBER(P3053)),Coef_A+Coef_B1*O3053+Coef_B2*P3053,"")</f>
        <v>19.5428218151845</v>
      </c>
      <c r="U3053" s="84" t="n">
        <f aca="false">IF(AND(R3053=1,ISNUMBER(T3053)),E3053-T3053,"")</f>
        <v>1.95717818481555</v>
      </c>
      <c r="V3053" s="84" t="n">
        <f aca="false">IF(ISNUMBER(T3053),T3053,-99)</f>
        <v>19.5428218151845</v>
      </c>
      <c r="W3053" s="84" t="n">
        <f aca="false">IF(ISNUMBER(U3053),ABS(U3053),"")</f>
        <v>1.95717818481555</v>
      </c>
    </row>
    <row r="3054" customFormat="false" ht="15" hidden="false" customHeight="false" outlineLevel="0" collapsed="false">
      <c r="A3054" s="57" t="n">
        <v>36061</v>
      </c>
      <c r="B3054" s="56" t="n">
        <v>1998</v>
      </c>
      <c r="C3054" s="56" t="n">
        <v>9</v>
      </c>
      <c r="D3054" s="56" t="n">
        <v>146</v>
      </c>
      <c r="E3054" s="56" t="n">
        <v>22</v>
      </c>
      <c r="F3054" s="56" t="n">
        <v>0</v>
      </c>
      <c r="G3054" s="56" t="n">
        <v>12</v>
      </c>
      <c r="H3054" s="56" t="n">
        <v>0</v>
      </c>
      <c r="I3054" s="56" t="n">
        <v>16.8</v>
      </c>
      <c r="J3054" s="56" t="n">
        <v>0</v>
      </c>
      <c r="K3054" s="56" t="n">
        <v>1020.4</v>
      </c>
      <c r="L3054" s="56" t="n">
        <v>0</v>
      </c>
      <c r="M3054" s="56" t="n">
        <v>76</v>
      </c>
      <c r="N3054" s="56" t="n">
        <v>10</v>
      </c>
      <c r="O3054" s="56" t="n">
        <f aca="false">IF(D3054=1,"",E3053)</f>
        <v>21.5</v>
      </c>
      <c r="P3054" s="56" t="n">
        <f aca="false">IF(OR(D3054=1,K3053=""),"",K3053)</f>
        <v>1026</v>
      </c>
      <c r="Q3054" s="56" t="n">
        <f aca="false">IF(OR(F3054&lt;&gt;0,AND(I3054&lt;&gt;"",E3054&lt;I3054)),1,0)</f>
        <v>0</v>
      </c>
      <c r="R3054" s="56" t="n">
        <f aca="false">IF(AND(D3054&gt;1,Q3054=0,ISNUMBER(O3054),ISNUMBER(P3054)),IF(Q3053=0,1,0),0)</f>
        <v>1</v>
      </c>
      <c r="S3054" s="56" t="n">
        <f aca="false">R3054*(B3054&gt;=Train_Start)*(B3054&lt;=Train_End)</f>
        <v>1</v>
      </c>
      <c r="T3054" s="84" t="n">
        <f aca="false">IF(AND(ISNUMBER(O3054),ISNUMBER(P3054)),Coef_A+Coef_B1*O3054+Coef_B2*P3054,"")</f>
        <v>21.888279966886</v>
      </c>
      <c r="U3054" s="84" t="n">
        <f aca="false">IF(AND(R3054=1,ISNUMBER(T3054)),E3054-T3054,"")</f>
        <v>0.111720033114047</v>
      </c>
      <c r="V3054" s="84" t="n">
        <f aca="false">IF(ISNUMBER(T3054),T3054,-99)</f>
        <v>21.888279966886</v>
      </c>
      <c r="W3054" s="84" t="n">
        <f aca="false">IF(ISNUMBER(U3054),ABS(U3054),"")</f>
        <v>0.111720033114047</v>
      </c>
    </row>
    <row r="3055" customFormat="false" ht="15" hidden="false" customHeight="false" outlineLevel="0" collapsed="false">
      <c r="A3055" s="57" t="n">
        <v>36062</v>
      </c>
      <c r="B3055" s="56" t="n">
        <v>1998</v>
      </c>
      <c r="C3055" s="56" t="n">
        <v>9</v>
      </c>
      <c r="D3055" s="56" t="n">
        <v>147</v>
      </c>
      <c r="E3055" s="56" t="n">
        <v>23</v>
      </c>
      <c r="F3055" s="56" t="n">
        <v>0</v>
      </c>
      <c r="G3055" s="56" t="n">
        <v>13</v>
      </c>
      <c r="H3055" s="56" t="n">
        <v>0</v>
      </c>
      <c r="I3055" s="56" t="n">
        <v>17.5</v>
      </c>
      <c r="J3055" s="56" t="n">
        <v>0</v>
      </c>
      <c r="K3055" s="56" t="n">
        <v>1014.8</v>
      </c>
      <c r="L3055" s="56" t="n">
        <v>0</v>
      </c>
      <c r="M3055" s="56" t="n">
        <v>77</v>
      </c>
      <c r="N3055" s="56" t="n">
        <v>6.9</v>
      </c>
      <c r="O3055" s="56" t="n">
        <f aca="false">IF(D3055=1,"",E3054)</f>
        <v>22</v>
      </c>
      <c r="P3055" s="56" t="n">
        <f aca="false">IF(OR(D3055=1,K3054=""),"",K3054)</f>
        <v>1020.4</v>
      </c>
      <c r="Q3055" s="56" t="n">
        <f aca="false">IF(OR(F3055&lt;&gt;0,AND(I3055&lt;&gt;"",E3055&lt;I3055)),1,0)</f>
        <v>0</v>
      </c>
      <c r="R3055" s="56" t="n">
        <f aca="false">IF(AND(D3055&gt;1,Q3055=0,ISNUMBER(O3055),ISNUMBER(P3055)),IF(Q3054=0,1,0),0)</f>
        <v>1</v>
      </c>
      <c r="S3055" s="56" t="n">
        <f aca="false">R3055*(B3055&gt;=Train_Start)*(B3055&lt;=Train_End)</f>
        <v>1</v>
      </c>
      <c r="T3055" s="84" t="n">
        <f aca="false">IF(AND(ISNUMBER(O3055),ISNUMBER(P3055)),Coef_A+Coef_B1*O3055+Coef_B2*P3055,"")</f>
        <v>22.1222781534569</v>
      </c>
      <c r="U3055" s="84" t="n">
        <f aca="false">IF(AND(R3055=1,ISNUMBER(T3055)),E3055-T3055,"")</f>
        <v>0.877721846543057</v>
      </c>
      <c r="V3055" s="84" t="n">
        <f aca="false">IF(ISNUMBER(T3055),T3055,-99)</f>
        <v>22.1222781534569</v>
      </c>
      <c r="W3055" s="84" t="n">
        <f aca="false">IF(ISNUMBER(U3055),ABS(U3055),"")</f>
        <v>0.877721846543057</v>
      </c>
    </row>
    <row r="3056" customFormat="false" ht="15" hidden="false" customHeight="false" outlineLevel="0" collapsed="false">
      <c r="A3056" s="57" t="n">
        <v>36063</v>
      </c>
      <c r="B3056" s="56" t="n">
        <v>1998</v>
      </c>
      <c r="C3056" s="56" t="n">
        <v>9</v>
      </c>
      <c r="D3056" s="56" t="n">
        <v>148</v>
      </c>
      <c r="E3056" s="56" t="n">
        <v>22.2</v>
      </c>
      <c r="F3056" s="56" t="n">
        <v>0</v>
      </c>
      <c r="G3056" s="56" t="n">
        <v>13.2</v>
      </c>
      <c r="H3056" s="56" t="n">
        <v>0</v>
      </c>
      <c r="I3056" s="56" t="n">
        <v>18.1</v>
      </c>
      <c r="J3056" s="56" t="n">
        <v>0</v>
      </c>
      <c r="K3056" s="56" t="n">
        <v>1008.8</v>
      </c>
      <c r="L3056" s="56" t="n">
        <v>0</v>
      </c>
      <c r="M3056" s="56" t="n">
        <v>77</v>
      </c>
      <c r="N3056" s="56" t="n">
        <v>6.8</v>
      </c>
      <c r="O3056" s="56" t="n">
        <f aca="false">IF(D3056=1,"",E3055)</f>
        <v>23</v>
      </c>
      <c r="P3056" s="56" t="n">
        <f aca="false">IF(OR(D3056=1,K3055=""),"",K3055)</f>
        <v>1014.8</v>
      </c>
      <c r="Q3056" s="56" t="n">
        <f aca="false">IF(OR(F3056&lt;&gt;0,AND(I3056&lt;&gt;"",E3056&lt;I3056)),1,0)</f>
        <v>0</v>
      </c>
      <c r="R3056" s="56" t="n">
        <f aca="false">IF(AND(D3056&gt;1,Q3056=0,ISNUMBER(O3056),ISNUMBER(P3056)),IF(Q3055=0,1,0),0)</f>
        <v>1</v>
      </c>
      <c r="S3056" s="56" t="n">
        <f aca="false">R3056*(B3056&gt;=Train_Start)*(B3056&lt;=Train_End)</f>
        <v>1</v>
      </c>
      <c r="T3056" s="84" t="n">
        <f aca="false">IF(AND(ISNUMBER(O3056),ISNUMBER(P3056)),Coef_A+Coef_B1*O3056+Coef_B2*P3056,"")</f>
        <v>22.7659459365493</v>
      </c>
      <c r="U3056" s="84" t="n">
        <f aca="false">IF(AND(R3056=1,ISNUMBER(T3056)),E3056-T3056,"")</f>
        <v>-0.565945936549259</v>
      </c>
      <c r="V3056" s="84" t="n">
        <f aca="false">IF(ISNUMBER(T3056),T3056,-99)</f>
        <v>22.7659459365493</v>
      </c>
      <c r="W3056" s="84" t="n">
        <f aca="false">IF(ISNUMBER(U3056),ABS(U3056),"")</f>
        <v>0.565945936549259</v>
      </c>
    </row>
    <row r="3057" customFormat="false" ht="15" hidden="false" customHeight="false" outlineLevel="0" collapsed="false">
      <c r="A3057" s="57" t="n">
        <v>36064</v>
      </c>
      <c r="B3057" s="56" t="n">
        <v>1998</v>
      </c>
      <c r="C3057" s="56" t="n">
        <v>9</v>
      </c>
      <c r="D3057" s="56" t="n">
        <v>149</v>
      </c>
      <c r="E3057" s="56" t="n">
        <v>19.2</v>
      </c>
      <c r="F3057" s="56" t="n">
        <v>0</v>
      </c>
      <c r="G3057" s="56" t="n">
        <v>14.7</v>
      </c>
      <c r="H3057" s="56" t="n">
        <v>0</v>
      </c>
      <c r="I3057" s="56" t="n">
        <v>18.4</v>
      </c>
      <c r="J3057" s="56" t="n">
        <v>0</v>
      </c>
      <c r="K3057" s="56" t="n">
        <v>1000.5</v>
      </c>
      <c r="L3057" s="56" t="n">
        <v>0</v>
      </c>
      <c r="M3057" s="56" t="n">
        <v>85</v>
      </c>
      <c r="N3057" s="56" t="n">
        <v>0.8</v>
      </c>
      <c r="O3057" s="56" t="n">
        <f aca="false">IF(D3057=1,"",E3056)</f>
        <v>22.2</v>
      </c>
      <c r="P3057" s="56" t="n">
        <f aca="false">IF(OR(D3057=1,K3056=""),"",K3056)</f>
        <v>1008.8</v>
      </c>
      <c r="Q3057" s="56" t="n">
        <f aca="false">IF(OR(F3057&lt;&gt;0,AND(I3057&lt;&gt;"",E3057&lt;I3057)),1,0)</f>
        <v>0</v>
      </c>
      <c r="R3057" s="56" t="n">
        <f aca="false">IF(AND(D3057&gt;1,Q3057=0,ISNUMBER(O3057),ISNUMBER(P3057)),IF(Q3056=0,1,0),0)</f>
        <v>1</v>
      </c>
      <c r="S3057" s="56" t="n">
        <f aca="false">R3057*(B3057&gt;=Train_Start)*(B3057&lt;=Train_End)</f>
        <v>1</v>
      </c>
      <c r="T3057" s="84" t="n">
        <f aca="false">IF(AND(ISNUMBER(O3057),ISNUMBER(P3057)),Coef_A+Coef_B1*O3057+Coef_B2*P3057,"")</f>
        <v>21.9222552143112</v>
      </c>
      <c r="U3057" s="84" t="n">
        <f aca="false">IF(AND(R3057=1,ISNUMBER(T3057)),E3057-T3057,"")</f>
        <v>-2.7222552143112</v>
      </c>
      <c r="V3057" s="84" t="n">
        <f aca="false">IF(ISNUMBER(T3057),T3057,-99)</f>
        <v>21.9222552143112</v>
      </c>
      <c r="W3057" s="84" t="n">
        <f aca="false">IF(ISNUMBER(U3057),ABS(U3057),"")</f>
        <v>2.7222552143112</v>
      </c>
    </row>
    <row r="3058" customFormat="false" ht="15" hidden="false" customHeight="false" outlineLevel="0" collapsed="false">
      <c r="A3058" s="57" t="n">
        <v>36065</v>
      </c>
      <c r="B3058" s="56" t="n">
        <v>1998</v>
      </c>
      <c r="C3058" s="56" t="n">
        <v>9</v>
      </c>
      <c r="D3058" s="56" t="n">
        <v>150</v>
      </c>
      <c r="E3058" s="56" t="n">
        <v>18.1</v>
      </c>
      <c r="F3058" s="56" t="n">
        <v>0</v>
      </c>
      <c r="G3058" s="56" t="n">
        <v>14.2</v>
      </c>
      <c r="H3058" s="56" t="n">
        <v>0</v>
      </c>
      <c r="I3058" s="56" t="n">
        <v>16.7</v>
      </c>
      <c r="J3058" s="56" t="n">
        <v>0</v>
      </c>
      <c r="K3058" s="56" t="n">
        <v>998.2</v>
      </c>
      <c r="L3058" s="56" t="n">
        <v>0</v>
      </c>
      <c r="M3058" s="56" t="n">
        <v>89</v>
      </c>
      <c r="N3058" s="56" t="n">
        <v>1.2</v>
      </c>
      <c r="O3058" s="56" t="n">
        <f aca="false">IF(D3058=1,"",E3057)</f>
        <v>19.2</v>
      </c>
      <c r="P3058" s="56" t="n">
        <f aca="false">IF(OR(D3058=1,K3057=""),"",K3057)</f>
        <v>1000.5</v>
      </c>
      <c r="Q3058" s="56" t="n">
        <f aca="false">IF(OR(F3058&lt;&gt;0,AND(I3058&lt;&gt;"",E3058&lt;I3058)),1,0)</f>
        <v>0</v>
      </c>
      <c r="R3058" s="56" t="n">
        <f aca="false">IF(AND(D3058&gt;1,Q3058=0,ISNUMBER(O3058),ISNUMBER(P3058)),IF(Q3057=0,1,0),0)</f>
        <v>1</v>
      </c>
      <c r="S3058" s="56" t="n">
        <f aca="false">R3058*(B3058&gt;=Train_Start)*(B3058&lt;=Train_End)</f>
        <v>1</v>
      </c>
      <c r="T3058" s="84" t="n">
        <f aca="false">IF(AND(ISNUMBER(O3058),ISNUMBER(P3058)),Coef_A+Coef_B1*O3058+Coef_B2*P3058,"")</f>
        <v>19.2038675097211</v>
      </c>
      <c r="U3058" s="84" t="n">
        <f aca="false">IF(AND(R3058=1,ISNUMBER(T3058)),E3058-T3058,"")</f>
        <v>-1.10386750972111</v>
      </c>
      <c r="V3058" s="84" t="n">
        <f aca="false">IF(ISNUMBER(T3058),T3058,-99)</f>
        <v>19.2038675097211</v>
      </c>
      <c r="W3058" s="84" t="n">
        <f aca="false">IF(ISNUMBER(U3058),ABS(U3058),"")</f>
        <v>1.10386750972111</v>
      </c>
    </row>
    <row r="3059" customFormat="false" ht="15" hidden="false" customHeight="false" outlineLevel="0" collapsed="false">
      <c r="A3059" s="57" t="n">
        <v>36066</v>
      </c>
      <c r="B3059" s="56" t="n">
        <v>1998</v>
      </c>
      <c r="C3059" s="56" t="n">
        <v>9</v>
      </c>
      <c r="D3059" s="56" t="n">
        <v>151</v>
      </c>
      <c r="E3059" s="56" t="n">
        <v>16.8</v>
      </c>
      <c r="F3059" s="56" t="n">
        <v>0</v>
      </c>
      <c r="G3059" s="56" t="n">
        <v>15</v>
      </c>
      <c r="H3059" s="56" t="n">
        <v>0</v>
      </c>
      <c r="I3059" s="56" t="n">
        <v>16.6</v>
      </c>
      <c r="J3059" s="56" t="n">
        <v>0</v>
      </c>
      <c r="K3059" s="56" t="n">
        <v>1004.8</v>
      </c>
      <c r="L3059" s="56" t="n">
        <v>0</v>
      </c>
      <c r="M3059" s="56" t="n">
        <v>84</v>
      </c>
      <c r="N3059" s="56" t="n">
        <v>0.2</v>
      </c>
      <c r="O3059" s="56" t="n">
        <f aca="false">IF(D3059=1,"",E3058)</f>
        <v>18.1</v>
      </c>
      <c r="P3059" s="56" t="n">
        <f aca="false">IF(OR(D3059=1,K3058=""),"",K3058)</f>
        <v>998.2</v>
      </c>
      <c r="Q3059" s="56" t="n">
        <f aca="false">IF(OR(F3059&lt;&gt;0,AND(I3059&lt;&gt;"",E3059&lt;I3059)),1,0)</f>
        <v>0</v>
      </c>
      <c r="R3059" s="56" t="n">
        <f aca="false">IF(AND(D3059&gt;1,Q3059=0,ISNUMBER(O3059),ISNUMBER(P3059)),IF(Q3058=0,1,0),0)</f>
        <v>1</v>
      </c>
      <c r="S3059" s="56" t="n">
        <f aca="false">R3059*(B3059&gt;=Train_Start)*(B3059&lt;=Train_End)</f>
        <v>1</v>
      </c>
      <c r="T3059" s="84" t="n">
        <f aca="false">IF(AND(ISNUMBER(O3059),ISNUMBER(P3059)),Coef_A+Coef_B1*O3059+Coef_B2*P3059,"")</f>
        <v>18.230443639716</v>
      </c>
      <c r="U3059" s="84" t="n">
        <f aca="false">IF(AND(R3059=1,ISNUMBER(T3059)),E3059-T3059,"")</f>
        <v>-1.43044363971601</v>
      </c>
      <c r="V3059" s="84" t="n">
        <f aca="false">IF(ISNUMBER(T3059),T3059,-99)</f>
        <v>18.230443639716</v>
      </c>
      <c r="W3059" s="84" t="n">
        <f aca="false">IF(ISNUMBER(U3059),ABS(U3059),"")</f>
        <v>1.43044363971601</v>
      </c>
    </row>
    <row r="3060" customFormat="false" ht="15" hidden="false" customHeight="false" outlineLevel="0" collapsed="false">
      <c r="A3060" s="57" t="n">
        <v>36067</v>
      </c>
      <c r="B3060" s="56" t="n">
        <v>1998</v>
      </c>
      <c r="C3060" s="56" t="n">
        <v>9</v>
      </c>
      <c r="D3060" s="56" t="n">
        <v>152</v>
      </c>
      <c r="E3060" s="56" t="n">
        <v>18.4</v>
      </c>
      <c r="F3060" s="56" t="n">
        <v>0</v>
      </c>
      <c r="G3060" s="56" t="n">
        <v>13.3</v>
      </c>
      <c r="H3060" s="56" t="n">
        <v>0</v>
      </c>
      <c r="I3060" s="56" t="n">
        <v>15</v>
      </c>
      <c r="J3060" s="56" t="n">
        <v>0</v>
      </c>
      <c r="K3060" s="56" t="n">
        <v>1004.6</v>
      </c>
      <c r="L3060" s="56" t="n">
        <v>0</v>
      </c>
      <c r="M3060" s="56" t="n">
        <v>82</v>
      </c>
      <c r="N3060" s="56" t="n">
        <v>0</v>
      </c>
      <c r="O3060" s="56" t="n">
        <f aca="false">IF(D3060=1,"",E3059)</f>
        <v>16.8</v>
      </c>
      <c r="P3060" s="56" t="n">
        <f aca="false">IF(OR(D3060=1,K3059=""),"",K3059)</f>
        <v>1004.8</v>
      </c>
      <c r="Q3060" s="56" t="n">
        <f aca="false">IF(OR(F3060&lt;&gt;0,AND(I3060&lt;&gt;"",E3060&lt;I3060)),1,0)</f>
        <v>0</v>
      </c>
      <c r="R3060" s="56" t="n">
        <f aca="false">IF(AND(D3060&gt;1,Q3060=0,ISNUMBER(O3060),ISNUMBER(P3060)),IF(Q3059=0,1,0),0)</f>
        <v>1</v>
      </c>
      <c r="S3060" s="56" t="n">
        <f aca="false">R3060*(B3060&gt;=Train_Start)*(B3060&lt;=Train_End)</f>
        <v>1</v>
      </c>
      <c r="T3060" s="84" t="n">
        <f aca="false">IF(AND(ISNUMBER(O3060),ISNUMBER(P3060)),Coef_A+Coef_B1*O3060+Coef_B2*P3060,"")</f>
        <v>17.3723439933449</v>
      </c>
      <c r="U3060" s="84" t="n">
        <f aca="false">IF(AND(R3060=1,ISNUMBER(T3060)),E3060-T3060,"")</f>
        <v>1.02765600665511</v>
      </c>
      <c r="V3060" s="84" t="n">
        <f aca="false">IF(ISNUMBER(T3060),T3060,-99)</f>
        <v>17.3723439933449</v>
      </c>
      <c r="W3060" s="84" t="n">
        <f aca="false">IF(ISNUMBER(U3060),ABS(U3060),"")</f>
        <v>1.02765600665511</v>
      </c>
    </row>
    <row r="3061" customFormat="false" ht="15" hidden="false" customHeight="false" outlineLevel="0" collapsed="false">
      <c r="A3061" s="57" t="n">
        <v>36068</v>
      </c>
      <c r="B3061" s="56" t="n">
        <v>1998</v>
      </c>
      <c r="C3061" s="56" t="n">
        <v>9</v>
      </c>
      <c r="D3061" s="56" t="n">
        <v>153</v>
      </c>
      <c r="E3061" s="56" t="n">
        <v>17.8</v>
      </c>
      <c r="F3061" s="56" t="n">
        <v>0</v>
      </c>
      <c r="G3061" s="56" t="n">
        <v>13.6</v>
      </c>
      <c r="H3061" s="56" t="n">
        <v>0</v>
      </c>
      <c r="I3061" s="56" t="n">
        <v>16</v>
      </c>
      <c r="J3061" s="56" t="n">
        <v>0</v>
      </c>
      <c r="K3061" s="56" t="n">
        <v>995.4</v>
      </c>
      <c r="L3061" s="56" t="n">
        <v>0</v>
      </c>
      <c r="M3061" s="56" t="n">
        <v>81</v>
      </c>
      <c r="N3061" s="56" t="n">
        <v>6.8</v>
      </c>
      <c r="O3061" s="56" t="n">
        <f aca="false">IF(D3061=1,"",E3060)</f>
        <v>18.4</v>
      </c>
      <c r="P3061" s="56" t="n">
        <f aca="false">IF(OR(D3061=1,K3060=""),"",K3060)</f>
        <v>1004.6</v>
      </c>
      <c r="Q3061" s="56" t="n">
        <f aca="false">IF(OR(F3061&lt;&gt;0,AND(I3061&lt;&gt;"",E3061&lt;I3061)),1,0)</f>
        <v>0</v>
      </c>
      <c r="R3061" s="56" t="n">
        <f aca="false">IF(AND(D3061&gt;1,Q3061=0,ISNUMBER(O3061),ISNUMBER(P3061)),IF(Q3060=0,1,0),0)</f>
        <v>1</v>
      </c>
      <c r="S3061" s="56" t="n">
        <f aca="false">R3061*(B3061&gt;=Train_Start)*(B3061&lt;=Train_End)</f>
        <v>1</v>
      </c>
      <c r="T3061" s="84" t="n">
        <f aca="false">IF(AND(ISNUMBER(O3061),ISNUMBER(P3061)),Coef_A+Coef_B1*O3061+Coef_B2*P3061,"")</f>
        <v>18.6770127232863</v>
      </c>
      <c r="U3061" s="84" t="n">
        <f aca="false">IF(AND(R3061=1,ISNUMBER(T3061)),E3061-T3061,"")</f>
        <v>-0.877012723286338</v>
      </c>
      <c r="V3061" s="84" t="n">
        <f aca="false">IF(ISNUMBER(T3061),T3061,-99)</f>
        <v>18.6770127232863</v>
      </c>
      <c r="W3061" s="84" t="n">
        <f aca="false">IF(ISNUMBER(U3061),ABS(U3061),"")</f>
        <v>0.877012723286338</v>
      </c>
    </row>
    <row r="3062" customFormat="false" ht="15" hidden="false" customHeight="false" outlineLevel="0" collapsed="false">
      <c r="A3062" s="57" t="n">
        <v>36281</v>
      </c>
      <c r="B3062" s="56" t="n">
        <v>1999</v>
      </c>
      <c r="C3062" s="56" t="n">
        <v>5</v>
      </c>
      <c r="D3062" s="56" t="n">
        <v>1</v>
      </c>
      <c r="E3062" s="56" t="n">
        <v>20.3</v>
      </c>
      <c r="F3062" s="56" t="n">
        <v>0</v>
      </c>
      <c r="G3062" s="56" t="n">
        <v>7.4</v>
      </c>
      <c r="H3062" s="56" t="n">
        <v>0</v>
      </c>
      <c r="I3062" s="56" t="n">
        <v>13.6</v>
      </c>
      <c r="J3062" s="56" t="n">
        <v>0</v>
      </c>
      <c r="K3062" s="56" t="n">
        <v>1018.1</v>
      </c>
      <c r="L3062" s="56" t="n">
        <v>0</v>
      </c>
      <c r="M3062" s="56" t="n">
        <v>63</v>
      </c>
      <c r="N3062" s="56" t="n">
        <v>8.3</v>
      </c>
      <c r="O3062" s="56" t="str">
        <f aca="false">IF(D3062=1,"",E3061)</f>
        <v/>
      </c>
      <c r="P3062" s="56" t="str">
        <f aca="false">IF(OR(D3062=1,K3061=""),"",K3061)</f>
        <v/>
      </c>
      <c r="Q3062" s="56" t="n">
        <f aca="false">IF(OR(F3062&lt;&gt;0,AND(I3062&lt;&gt;"",E3062&lt;I3062)),1,0)</f>
        <v>0</v>
      </c>
      <c r="R3062" s="56" t="n">
        <f aca="false">IF(AND(D3062&gt;1,Q3062=0,ISNUMBER(O3062),ISNUMBER(P3062)),IF(Q3061=0,1,0),0)</f>
        <v>0</v>
      </c>
      <c r="S3062" s="56" t="n">
        <f aca="false">R3062*(B3062&gt;=Train_Start)*(B3062&lt;=Train_End)</f>
        <v>0</v>
      </c>
      <c r="T3062" s="84" t="str">
        <f aca="false">IF(AND(ISNUMBER(O3062),ISNUMBER(P3062)),Coef_A+Coef_B1*O3062+Coef_B2*P3062,"")</f>
        <v/>
      </c>
      <c r="U3062" s="84" t="str">
        <f aca="false">IF(AND(R3062=1,ISNUMBER(T3062)),E3062-T3062,"")</f>
        <v/>
      </c>
      <c r="V3062" s="84" t="n">
        <f aca="false">IF(ISNUMBER(T3062),T3062,-99)</f>
        <v>-99</v>
      </c>
      <c r="W3062" s="84" t="str">
        <f aca="false">IF(ISNUMBER(U3062),ABS(U3062),"")</f>
        <v/>
      </c>
    </row>
    <row r="3063" customFormat="false" ht="15" hidden="false" customHeight="false" outlineLevel="0" collapsed="false">
      <c r="A3063" s="57" t="n">
        <v>36282</v>
      </c>
      <c r="B3063" s="56" t="n">
        <v>1999</v>
      </c>
      <c r="C3063" s="56" t="n">
        <v>5</v>
      </c>
      <c r="D3063" s="56" t="n">
        <v>2</v>
      </c>
      <c r="E3063" s="56" t="n">
        <v>22.4</v>
      </c>
      <c r="F3063" s="56" t="n">
        <v>0</v>
      </c>
      <c r="G3063" s="56" t="n">
        <v>11.1</v>
      </c>
      <c r="H3063" s="56" t="n">
        <v>0</v>
      </c>
      <c r="I3063" s="56" t="n">
        <v>15.7</v>
      </c>
      <c r="J3063" s="56" t="n">
        <v>0</v>
      </c>
      <c r="K3063" s="56" t="n">
        <v>1020.7</v>
      </c>
      <c r="L3063" s="56" t="n">
        <v>0</v>
      </c>
      <c r="M3063" s="56" t="n">
        <v>64</v>
      </c>
      <c r="N3063" s="56" t="n">
        <v>6.1</v>
      </c>
      <c r="O3063" s="56" t="n">
        <f aca="false">IF(D3063=1,"",E3062)</f>
        <v>20.3</v>
      </c>
      <c r="P3063" s="56" t="n">
        <f aca="false">IF(OR(D3063=1,K3062=""),"",K3062)</f>
        <v>1018.1</v>
      </c>
      <c r="Q3063" s="56" t="n">
        <f aca="false">IF(OR(F3063&lt;&gt;0,AND(I3063&lt;&gt;"",E3063&lt;I3063)),1,0)</f>
        <v>0</v>
      </c>
      <c r="R3063" s="56" t="n">
        <f aca="false">IF(AND(D3063&gt;1,Q3063=0,ISNUMBER(O3063),ISNUMBER(P3063)),IF(Q3062=0,1,0),0)</f>
        <v>1</v>
      </c>
      <c r="S3063" s="56" t="n">
        <f aca="false">R3063*(B3063&gt;=Train_Start)*(B3063&lt;=Train_End)</f>
        <v>0</v>
      </c>
      <c r="T3063" s="84" t="n">
        <f aca="false">IF(AND(ISNUMBER(O3063),ISNUMBER(P3063)),Coef_A+Coef_B1*O3063+Coef_B2*P3063,"")</f>
        <v>20.6572507676263</v>
      </c>
      <c r="U3063" s="84" t="n">
        <f aca="false">IF(AND(R3063=1,ISNUMBER(T3063)),E3063-T3063,"")</f>
        <v>1.74274923237375</v>
      </c>
      <c r="V3063" s="84" t="n">
        <f aca="false">IF(ISNUMBER(T3063),T3063,-99)</f>
        <v>20.6572507676263</v>
      </c>
      <c r="W3063" s="84" t="n">
        <f aca="false">IF(ISNUMBER(U3063),ABS(U3063),"")</f>
        <v>1.74274923237375</v>
      </c>
    </row>
    <row r="3064" customFormat="false" ht="15" hidden="false" customHeight="false" outlineLevel="0" collapsed="false">
      <c r="A3064" s="57" t="n">
        <v>36283</v>
      </c>
      <c r="B3064" s="56" t="n">
        <v>1999</v>
      </c>
      <c r="C3064" s="56" t="n">
        <v>5</v>
      </c>
      <c r="D3064" s="56" t="n">
        <v>3</v>
      </c>
      <c r="E3064" s="56" t="n">
        <v>18.1</v>
      </c>
      <c r="F3064" s="56" t="n">
        <v>0</v>
      </c>
      <c r="G3064" s="56" t="n">
        <v>9.2</v>
      </c>
      <c r="H3064" s="56" t="n">
        <v>0</v>
      </c>
      <c r="I3064" s="56" t="n">
        <v>15.8</v>
      </c>
      <c r="J3064" s="56" t="n">
        <v>0</v>
      </c>
      <c r="K3064" s="56" t="n">
        <v>1020.3</v>
      </c>
      <c r="L3064" s="56" t="n">
        <v>0</v>
      </c>
      <c r="M3064" s="56" t="n">
        <v>59</v>
      </c>
      <c r="N3064" s="56" t="n">
        <v>10</v>
      </c>
      <c r="O3064" s="56" t="n">
        <f aca="false">IF(D3064=1,"",E3063)</f>
        <v>22.4</v>
      </c>
      <c r="P3064" s="56" t="n">
        <f aca="false">IF(OR(D3064=1,K3063=""),"",K3063)</f>
        <v>1020.7</v>
      </c>
      <c r="Q3064" s="56" t="n">
        <f aca="false">IF(OR(F3064&lt;&gt;0,AND(I3064&lt;&gt;"",E3064&lt;I3064)),1,0)</f>
        <v>0</v>
      </c>
      <c r="R3064" s="56" t="n">
        <f aca="false">IF(AND(D3064&gt;1,Q3064=0,ISNUMBER(O3064),ISNUMBER(P3064)),IF(Q3063=0,1,0),0)</f>
        <v>1</v>
      </c>
      <c r="S3064" s="56" t="n">
        <f aca="false">R3064*(B3064&gt;=Train_Start)*(B3064&lt;=Train_End)</f>
        <v>0</v>
      </c>
      <c r="T3064" s="84" t="n">
        <f aca="false">IF(AND(ISNUMBER(O3064),ISNUMBER(P3064)),Coef_A+Coef_B1*O3064+Coef_B2*P3064,"")</f>
        <v>22.4594247990642</v>
      </c>
      <c r="U3064" s="84" t="n">
        <f aca="false">IF(AND(R3064=1,ISNUMBER(T3064)),E3064-T3064,"")</f>
        <v>-4.3594247990642</v>
      </c>
      <c r="V3064" s="84" t="n">
        <f aca="false">IF(ISNUMBER(T3064),T3064,-99)</f>
        <v>22.4594247990642</v>
      </c>
      <c r="W3064" s="84" t="n">
        <f aca="false">IF(ISNUMBER(U3064),ABS(U3064),"")</f>
        <v>4.3594247990642</v>
      </c>
    </row>
    <row r="3065" customFormat="false" ht="15" hidden="false" customHeight="false" outlineLevel="0" collapsed="false">
      <c r="A3065" s="57" t="n">
        <v>36284</v>
      </c>
      <c r="B3065" s="56" t="n">
        <v>1999</v>
      </c>
      <c r="C3065" s="56" t="n">
        <v>5</v>
      </c>
      <c r="D3065" s="56" t="n">
        <v>4</v>
      </c>
      <c r="E3065" s="56" t="n">
        <v>18.1</v>
      </c>
      <c r="F3065" s="56" t="n">
        <v>0</v>
      </c>
      <c r="G3065" s="56" t="n">
        <v>10.7</v>
      </c>
      <c r="H3065" s="56" t="n">
        <v>0</v>
      </c>
      <c r="I3065" s="56" t="n">
        <v>14.4</v>
      </c>
      <c r="J3065" s="56" t="n">
        <v>0</v>
      </c>
      <c r="K3065" s="56" t="n">
        <v>1015.6</v>
      </c>
      <c r="L3065" s="56" t="n">
        <v>0</v>
      </c>
      <c r="M3065" s="56" t="n">
        <v>59</v>
      </c>
      <c r="N3065" s="56" t="n">
        <v>4.5</v>
      </c>
      <c r="O3065" s="56" t="n">
        <f aca="false">IF(D3065=1,"",E3064)</f>
        <v>18.1</v>
      </c>
      <c r="P3065" s="56" t="n">
        <f aca="false">IF(OR(D3065=1,K3064=""),"",K3064)</f>
        <v>1020.3</v>
      </c>
      <c r="Q3065" s="56" t="n">
        <f aca="false">IF(OR(F3065&lt;&gt;0,AND(I3065&lt;&gt;"",E3065&lt;I3065)),1,0)</f>
        <v>0</v>
      </c>
      <c r="R3065" s="56" t="n">
        <f aca="false">IF(AND(D3065&gt;1,Q3065=0,ISNUMBER(O3065),ISNUMBER(P3065)),IF(Q3064=0,1,0),0)</f>
        <v>1</v>
      </c>
      <c r="S3065" s="56" t="n">
        <f aca="false">R3065*(B3065&gt;=Train_Start)*(B3065&lt;=Train_End)</f>
        <v>0</v>
      </c>
      <c r="T3065" s="84" t="n">
        <f aca="false">IF(AND(ISNUMBER(O3065),ISNUMBER(P3065)),Coef_A+Coef_B1*O3065+Coef_B2*P3065,"")</f>
        <v>18.9237183111272</v>
      </c>
      <c r="U3065" s="84" t="n">
        <f aca="false">IF(AND(R3065=1,ISNUMBER(T3065)),E3065-T3065,"")</f>
        <v>-0.823718311127177</v>
      </c>
      <c r="V3065" s="84" t="n">
        <f aca="false">IF(ISNUMBER(T3065),T3065,-99)</f>
        <v>18.9237183111272</v>
      </c>
      <c r="W3065" s="84" t="n">
        <f aca="false">IF(ISNUMBER(U3065),ABS(U3065),"")</f>
        <v>0.823718311127177</v>
      </c>
    </row>
    <row r="3066" customFormat="false" ht="15" hidden="false" customHeight="false" outlineLevel="0" collapsed="false">
      <c r="A3066" s="57" t="n">
        <v>36285</v>
      </c>
      <c r="B3066" s="56" t="n">
        <v>1999</v>
      </c>
      <c r="C3066" s="56" t="n">
        <v>5</v>
      </c>
      <c r="D3066" s="56" t="n">
        <v>5</v>
      </c>
      <c r="E3066" s="56" t="n">
        <v>17.6</v>
      </c>
      <c r="F3066" s="56" t="n">
        <v>0</v>
      </c>
      <c r="G3066" s="56" t="n">
        <v>10.1</v>
      </c>
      <c r="H3066" s="56" t="n">
        <v>0</v>
      </c>
      <c r="I3066" s="56" t="n">
        <v>14.1</v>
      </c>
      <c r="J3066" s="56" t="n">
        <v>0</v>
      </c>
      <c r="K3066" s="56" t="n">
        <v>1010.4</v>
      </c>
      <c r="L3066" s="56" t="n">
        <v>0</v>
      </c>
      <c r="M3066" s="56" t="n">
        <v>74</v>
      </c>
      <c r="N3066" s="56" t="n">
        <v>3.7</v>
      </c>
      <c r="O3066" s="56" t="n">
        <f aca="false">IF(D3066=1,"",E3065)</f>
        <v>18.1</v>
      </c>
      <c r="P3066" s="56" t="n">
        <f aca="false">IF(OR(D3066=1,K3065=""),"",K3065)</f>
        <v>1015.6</v>
      </c>
      <c r="Q3066" s="56" t="n">
        <f aca="false">IF(OR(F3066&lt;&gt;0,AND(I3066&lt;&gt;"",E3066&lt;I3066)),1,0)</f>
        <v>0</v>
      </c>
      <c r="R3066" s="56" t="n">
        <f aca="false">IF(AND(D3066&gt;1,Q3066=0,ISNUMBER(O3066),ISNUMBER(P3066)),IF(Q3065=0,1,0),0)</f>
        <v>1</v>
      </c>
      <c r="S3066" s="56" t="n">
        <f aca="false">R3066*(B3066&gt;=Train_Start)*(B3066&lt;=Train_End)</f>
        <v>0</v>
      </c>
      <c r="T3066" s="84" t="n">
        <f aca="false">IF(AND(ISNUMBER(O3066),ISNUMBER(P3066)),Coef_A+Coef_B1*O3066+Coef_B2*P3066,"")</f>
        <v>18.7762798063474</v>
      </c>
      <c r="U3066" s="84" t="n">
        <f aca="false">IF(AND(R3066=1,ISNUMBER(T3066)),E3066-T3066,"")</f>
        <v>-1.17627980634743</v>
      </c>
      <c r="V3066" s="84" t="n">
        <f aca="false">IF(ISNUMBER(T3066),T3066,-99)</f>
        <v>18.7762798063474</v>
      </c>
      <c r="W3066" s="84" t="n">
        <f aca="false">IF(ISNUMBER(U3066),ABS(U3066),"")</f>
        <v>1.17627980634743</v>
      </c>
    </row>
    <row r="3067" customFormat="false" ht="15" hidden="false" customHeight="false" outlineLevel="0" collapsed="false">
      <c r="A3067" s="57" t="n">
        <v>36286</v>
      </c>
      <c r="B3067" s="56" t="n">
        <v>1999</v>
      </c>
      <c r="C3067" s="56" t="n">
        <v>5</v>
      </c>
      <c r="D3067" s="56" t="n">
        <v>6</v>
      </c>
      <c r="E3067" s="56" t="n">
        <v>16.7</v>
      </c>
      <c r="F3067" s="56" t="n">
        <v>0</v>
      </c>
      <c r="G3067" s="56" t="n">
        <v>8.8</v>
      </c>
      <c r="H3067" s="56" t="n">
        <v>0</v>
      </c>
      <c r="I3067" s="56" t="n">
        <v>13.2</v>
      </c>
      <c r="J3067" s="56" t="n">
        <v>0</v>
      </c>
      <c r="K3067" s="56" t="n">
        <v>1012.7</v>
      </c>
      <c r="L3067" s="56" t="n">
        <v>0</v>
      </c>
      <c r="M3067" s="56" t="n">
        <v>76</v>
      </c>
      <c r="N3067" s="56" t="n">
        <v>5.2</v>
      </c>
      <c r="O3067" s="56" t="n">
        <f aca="false">IF(D3067=1,"",E3066)</f>
        <v>17.6</v>
      </c>
      <c r="P3067" s="56" t="n">
        <f aca="false">IF(OR(D3067=1,K3066=""),"",K3066)</f>
        <v>1010.4</v>
      </c>
      <c r="Q3067" s="56" t="n">
        <f aca="false">IF(OR(F3067&lt;&gt;0,AND(I3067&lt;&gt;"",E3067&lt;I3067)),1,0)</f>
        <v>0</v>
      </c>
      <c r="R3067" s="56" t="n">
        <f aca="false">IF(AND(D3067&gt;1,Q3067=0,ISNUMBER(O3067),ISNUMBER(P3067)),IF(Q3066=0,1,0),0)</f>
        <v>1</v>
      </c>
      <c r="S3067" s="56" t="n">
        <f aca="false">R3067*(B3067&gt;=Train_Start)*(B3067&lt;=Train_End)</f>
        <v>0</v>
      </c>
      <c r="T3067" s="84" t="n">
        <f aca="false">IF(AND(ISNUMBER(O3067),ISNUMBER(P3067)),Coef_A+Coef_B1*O3067+Coef_B2*P3067,"")</f>
        <v>18.2034867577294</v>
      </c>
      <c r="U3067" s="84" t="n">
        <f aca="false">IF(AND(R3067=1,ISNUMBER(T3067)),E3067-T3067,"")</f>
        <v>-1.50348675772935</v>
      </c>
      <c r="V3067" s="84" t="n">
        <f aca="false">IF(ISNUMBER(T3067),T3067,-99)</f>
        <v>18.2034867577294</v>
      </c>
      <c r="W3067" s="84" t="n">
        <f aca="false">IF(ISNUMBER(U3067),ABS(U3067),"")</f>
        <v>1.50348675772935</v>
      </c>
    </row>
    <row r="3068" customFormat="false" ht="15" hidden="false" customHeight="false" outlineLevel="0" collapsed="false">
      <c r="A3068" s="57" t="n">
        <v>36287</v>
      </c>
      <c r="B3068" s="56" t="n">
        <v>1999</v>
      </c>
      <c r="C3068" s="56" t="n">
        <v>5</v>
      </c>
      <c r="D3068" s="56" t="n">
        <v>7</v>
      </c>
      <c r="E3068" s="56" t="n">
        <v>16.5</v>
      </c>
      <c r="F3068" s="56" t="n">
        <v>0</v>
      </c>
      <c r="G3068" s="56" t="n">
        <v>8.5</v>
      </c>
      <c r="H3068" s="56" t="n">
        <v>0</v>
      </c>
      <c r="I3068" s="56" t="n">
        <v>12.6</v>
      </c>
      <c r="J3068" s="56" t="n">
        <v>0</v>
      </c>
      <c r="K3068" s="56" t="n">
        <v>1008.5</v>
      </c>
      <c r="L3068" s="56" t="n">
        <v>0</v>
      </c>
      <c r="M3068" s="56" t="n">
        <v>87</v>
      </c>
      <c r="N3068" s="56" t="n">
        <v>0.6</v>
      </c>
      <c r="O3068" s="56" t="n">
        <f aca="false">IF(D3068=1,"",E3067)</f>
        <v>16.7</v>
      </c>
      <c r="P3068" s="56" t="n">
        <f aca="false">IF(OR(D3068=1,K3067=""),"",K3067)</f>
        <v>1012.7</v>
      </c>
      <c r="Q3068" s="56" t="n">
        <f aca="false">IF(OR(F3068&lt;&gt;0,AND(I3068&lt;&gt;"",E3068&lt;I3068)),1,0)</f>
        <v>0</v>
      </c>
      <c r="R3068" s="56" t="n">
        <f aca="false">IF(AND(D3068&gt;1,Q3068=0,ISNUMBER(O3068),ISNUMBER(P3068)),IF(Q3067=0,1,0),0)</f>
        <v>1</v>
      </c>
      <c r="S3068" s="56" t="n">
        <f aca="false">R3068*(B3068&gt;=Train_Start)*(B3068&lt;=Train_End)</f>
        <v>0</v>
      </c>
      <c r="T3068" s="84" t="n">
        <f aca="false">IF(AND(ISNUMBER(O3068),ISNUMBER(P3068)),Coef_A+Coef_B1*O3068+Coef_B2*P3068,"")</f>
        <v>17.5382322416491</v>
      </c>
      <c r="U3068" s="84" t="n">
        <f aca="false">IF(AND(R3068=1,ISNUMBER(T3068)),E3068-T3068,"")</f>
        <v>-1.03823224164914</v>
      </c>
      <c r="V3068" s="84" t="n">
        <f aca="false">IF(ISNUMBER(T3068),T3068,-99)</f>
        <v>17.5382322416491</v>
      </c>
      <c r="W3068" s="84" t="n">
        <f aca="false">IF(ISNUMBER(U3068),ABS(U3068),"")</f>
        <v>1.03823224164914</v>
      </c>
    </row>
    <row r="3069" customFormat="false" ht="15" hidden="false" customHeight="false" outlineLevel="0" collapsed="false">
      <c r="A3069" s="57" t="n">
        <v>36288</v>
      </c>
      <c r="B3069" s="56" t="n">
        <v>1999</v>
      </c>
      <c r="C3069" s="56" t="n">
        <v>5</v>
      </c>
      <c r="D3069" s="56" t="n">
        <v>8</v>
      </c>
      <c r="E3069" s="56" t="n">
        <v>20.5</v>
      </c>
      <c r="F3069" s="56" t="n">
        <v>0</v>
      </c>
      <c r="G3069" s="56" t="n">
        <v>8.6</v>
      </c>
      <c r="H3069" s="56" t="n">
        <v>0</v>
      </c>
      <c r="I3069" s="56" t="n">
        <v>12.6</v>
      </c>
      <c r="J3069" s="56" t="n">
        <v>0</v>
      </c>
      <c r="K3069" s="56" t="n">
        <v>1009.9</v>
      </c>
      <c r="L3069" s="56" t="n">
        <v>0</v>
      </c>
      <c r="M3069" s="56" t="n">
        <v>79</v>
      </c>
      <c r="N3069" s="56" t="n">
        <v>2.9</v>
      </c>
      <c r="O3069" s="56" t="n">
        <f aca="false">IF(D3069=1,"",E3068)</f>
        <v>16.5</v>
      </c>
      <c r="P3069" s="56" t="n">
        <f aca="false">IF(OR(D3069=1,K3068=""),"",K3068)</f>
        <v>1008.5</v>
      </c>
      <c r="Q3069" s="56" t="n">
        <f aca="false">IF(OR(F3069&lt;&gt;0,AND(I3069&lt;&gt;"",E3069&lt;I3069)),1,0)</f>
        <v>0</v>
      </c>
      <c r="R3069" s="56" t="n">
        <f aca="false">IF(AND(D3069&gt;1,Q3069=0,ISNUMBER(O3069),ISNUMBER(P3069)),IF(Q3068=0,1,0),0)</f>
        <v>1</v>
      </c>
      <c r="S3069" s="56" t="n">
        <f aca="false">R3069*(B3069&gt;=Train_Start)*(B3069&lt;=Train_End)</f>
        <v>0</v>
      </c>
      <c r="T3069" s="84" t="n">
        <f aca="false">IF(AND(ISNUMBER(O3069),ISNUMBER(P3069)),Coef_A+Coef_B1*O3069+Coef_B2*P3069,"")</f>
        <v>17.2426108455779</v>
      </c>
      <c r="U3069" s="84" t="n">
        <f aca="false">IF(AND(R3069=1,ISNUMBER(T3069)),E3069-T3069,"")</f>
        <v>3.25738915442215</v>
      </c>
      <c r="V3069" s="84" t="n">
        <f aca="false">IF(ISNUMBER(T3069),T3069,-99)</f>
        <v>17.2426108455779</v>
      </c>
      <c r="W3069" s="84" t="n">
        <f aca="false">IF(ISNUMBER(U3069),ABS(U3069),"")</f>
        <v>3.25738915442215</v>
      </c>
    </row>
    <row r="3070" customFormat="false" ht="15" hidden="false" customHeight="false" outlineLevel="0" collapsed="false">
      <c r="A3070" s="57" t="n">
        <v>36289</v>
      </c>
      <c r="B3070" s="56" t="n">
        <v>1999</v>
      </c>
      <c r="C3070" s="56" t="n">
        <v>5</v>
      </c>
      <c r="D3070" s="56" t="n">
        <v>9</v>
      </c>
      <c r="E3070" s="56" t="n">
        <v>18.4</v>
      </c>
      <c r="F3070" s="56" t="n">
        <v>0</v>
      </c>
      <c r="G3070" s="56" t="n">
        <v>12.7</v>
      </c>
      <c r="H3070" s="56" t="n">
        <v>0</v>
      </c>
      <c r="I3070" s="56" t="n">
        <v>16.6</v>
      </c>
      <c r="J3070" s="56" t="n">
        <v>0</v>
      </c>
      <c r="K3070" s="56" t="n">
        <v>1012.3</v>
      </c>
      <c r="L3070" s="56" t="n">
        <v>0</v>
      </c>
      <c r="M3070" s="56" t="n">
        <v>66</v>
      </c>
      <c r="N3070" s="56" t="n">
        <v>6.1</v>
      </c>
      <c r="O3070" s="56" t="n">
        <f aca="false">IF(D3070=1,"",E3069)</f>
        <v>20.5</v>
      </c>
      <c r="P3070" s="56" t="n">
        <f aca="false">IF(OR(D3070=1,K3069=""),"",K3069)</f>
        <v>1009.9</v>
      </c>
      <c r="Q3070" s="56" t="n">
        <f aca="false">IF(OR(F3070&lt;&gt;0,AND(I3070&lt;&gt;"",E3070&lt;I3070)),1,0)</f>
        <v>0</v>
      </c>
      <c r="R3070" s="56" t="n">
        <f aca="false">IF(AND(D3070&gt;1,Q3070=0,ISNUMBER(O3070),ISNUMBER(P3070)),IF(Q3069=0,1,0),0)</f>
        <v>1</v>
      </c>
      <c r="S3070" s="56" t="n">
        <f aca="false">R3070*(B3070&gt;=Train_Start)*(B3070&lt;=Train_End)</f>
        <v>0</v>
      </c>
      <c r="T3070" s="84" t="n">
        <f aca="false">IF(AND(ISNUMBER(O3070),ISNUMBER(P3070)),Coef_A+Coef_B1*O3070+Coef_B2*P3070,"")</f>
        <v>20.5638854702361</v>
      </c>
      <c r="U3070" s="84" t="n">
        <f aca="false">IF(AND(R3070=1,ISNUMBER(T3070)),E3070-T3070,"")</f>
        <v>-2.16388547023606</v>
      </c>
      <c r="V3070" s="84" t="n">
        <f aca="false">IF(ISNUMBER(T3070),T3070,-99)</f>
        <v>20.5638854702361</v>
      </c>
      <c r="W3070" s="84" t="n">
        <f aca="false">IF(ISNUMBER(U3070),ABS(U3070),"")</f>
        <v>2.16388547023606</v>
      </c>
    </row>
    <row r="3071" customFormat="false" ht="15" hidden="false" customHeight="false" outlineLevel="0" collapsed="false">
      <c r="A3071" s="57" t="n">
        <v>36290</v>
      </c>
      <c r="B3071" s="56" t="n">
        <v>1999</v>
      </c>
      <c r="C3071" s="56" t="n">
        <v>5</v>
      </c>
      <c r="D3071" s="56" t="n">
        <v>10</v>
      </c>
      <c r="E3071" s="56" t="n">
        <v>19</v>
      </c>
      <c r="F3071" s="56" t="n">
        <v>0</v>
      </c>
      <c r="G3071" s="56" t="n">
        <v>12.4</v>
      </c>
      <c r="H3071" s="56" t="n">
        <v>0</v>
      </c>
      <c r="I3071" s="56" t="n">
        <v>15.4</v>
      </c>
      <c r="J3071" s="56" t="n">
        <v>0</v>
      </c>
      <c r="K3071" s="56" t="n">
        <v>1009</v>
      </c>
      <c r="L3071" s="56" t="n">
        <v>0</v>
      </c>
      <c r="M3071" s="56" t="n">
        <v>72</v>
      </c>
      <c r="N3071" s="56" t="n">
        <v>10.6</v>
      </c>
      <c r="O3071" s="56" t="n">
        <f aca="false">IF(D3071=1,"",E3070)</f>
        <v>18.4</v>
      </c>
      <c r="P3071" s="56" t="n">
        <f aca="false">IF(OR(D3071=1,K3070=""),"",K3070)</f>
        <v>1012.3</v>
      </c>
      <c r="Q3071" s="56" t="n">
        <f aca="false">IF(OR(F3071&lt;&gt;0,AND(I3071&lt;&gt;"",E3071&lt;I3071)),1,0)</f>
        <v>0</v>
      </c>
      <c r="R3071" s="56" t="n">
        <f aca="false">IF(AND(D3071&gt;1,Q3071=0,ISNUMBER(O3071),ISNUMBER(P3071)),IF(Q3070=0,1,0),0)</f>
        <v>1</v>
      </c>
      <c r="S3071" s="56" t="n">
        <f aca="false">R3071*(B3071&gt;=Train_Start)*(B3071&lt;=Train_End)</f>
        <v>0</v>
      </c>
      <c r="T3071" s="84" t="n">
        <f aca="false">IF(AND(ISNUMBER(O3071),ISNUMBER(P3071)),Coef_A+Coef_B1*O3071+Coef_B2*P3071,"")</f>
        <v>18.9185609119681</v>
      </c>
      <c r="U3071" s="84" t="n">
        <f aca="false">IF(AND(R3071=1,ISNUMBER(T3071)),E3071-T3071,"")</f>
        <v>0.0814390880319422</v>
      </c>
      <c r="V3071" s="84" t="n">
        <f aca="false">IF(ISNUMBER(T3071),T3071,-99)</f>
        <v>18.9185609119681</v>
      </c>
      <c r="W3071" s="84" t="n">
        <f aca="false">IF(ISNUMBER(U3071),ABS(U3071),"")</f>
        <v>0.0814390880319422</v>
      </c>
    </row>
    <row r="3072" customFormat="false" ht="15" hidden="false" customHeight="false" outlineLevel="0" collapsed="false">
      <c r="A3072" s="57" t="n">
        <v>36291</v>
      </c>
      <c r="B3072" s="56" t="n">
        <v>1999</v>
      </c>
      <c r="C3072" s="56" t="n">
        <v>5</v>
      </c>
      <c r="D3072" s="56" t="n">
        <v>11</v>
      </c>
      <c r="E3072" s="56" t="n">
        <v>17.8</v>
      </c>
      <c r="F3072" s="56" t="n">
        <v>0</v>
      </c>
      <c r="G3072" s="56" t="n">
        <v>11.3</v>
      </c>
      <c r="H3072" s="56" t="n">
        <v>0</v>
      </c>
      <c r="I3072" s="56" t="n">
        <v>15.2</v>
      </c>
      <c r="J3072" s="56" t="n">
        <v>0</v>
      </c>
      <c r="K3072" s="56" t="n">
        <v>1009.1</v>
      </c>
      <c r="L3072" s="56" t="n">
        <v>0</v>
      </c>
      <c r="M3072" s="56" t="n">
        <v>69</v>
      </c>
      <c r="N3072" s="56" t="n">
        <v>10.1</v>
      </c>
      <c r="O3072" s="56" t="n">
        <f aca="false">IF(D3072=1,"",E3071)</f>
        <v>19</v>
      </c>
      <c r="P3072" s="56" t="n">
        <f aca="false">IF(OR(D3072=1,K3071=""),"",K3071)</f>
        <v>1009</v>
      </c>
      <c r="Q3072" s="56" t="n">
        <f aca="false">IF(OR(F3072&lt;&gt;0,AND(I3072&lt;&gt;"",E3072&lt;I3072)),1,0)</f>
        <v>0</v>
      </c>
      <c r="R3072" s="56" t="n">
        <f aca="false">IF(AND(D3072&gt;1,Q3072=0,ISNUMBER(O3072),ISNUMBER(P3072)),IF(Q3071=0,1,0),0)</f>
        <v>1</v>
      </c>
      <c r="S3072" s="56" t="n">
        <f aca="false">R3072*(B3072&gt;=Train_Start)*(B3072&lt;=Train_End)</f>
        <v>0</v>
      </c>
      <c r="T3072" s="84" t="n">
        <f aca="false">IF(AND(ISNUMBER(O3072),ISNUMBER(P3072)),Coef_A+Coef_B1*O3072+Coef_B2*P3072,"")</f>
        <v>19.3066437755015</v>
      </c>
      <c r="U3072" s="84" t="n">
        <f aca="false">IF(AND(R3072=1,ISNUMBER(T3072)),E3072-T3072,"")</f>
        <v>-1.50664377550149</v>
      </c>
      <c r="V3072" s="84" t="n">
        <f aca="false">IF(ISNUMBER(T3072),T3072,-99)</f>
        <v>19.3066437755015</v>
      </c>
      <c r="W3072" s="84" t="n">
        <f aca="false">IF(ISNUMBER(U3072),ABS(U3072),"")</f>
        <v>1.50664377550149</v>
      </c>
    </row>
    <row r="3073" customFormat="false" ht="15" hidden="false" customHeight="false" outlineLevel="0" collapsed="false">
      <c r="A3073" s="57" t="n">
        <v>36292</v>
      </c>
      <c r="B3073" s="56" t="n">
        <v>1999</v>
      </c>
      <c r="C3073" s="56" t="n">
        <v>5</v>
      </c>
      <c r="D3073" s="56" t="n">
        <v>12</v>
      </c>
      <c r="E3073" s="56" t="n">
        <v>19.1</v>
      </c>
      <c r="F3073" s="56" t="n">
        <v>0</v>
      </c>
      <c r="G3073" s="56" t="n">
        <v>10.4</v>
      </c>
      <c r="H3073" s="56" t="n">
        <v>0</v>
      </c>
      <c r="I3073" s="56" t="n">
        <v>14.1</v>
      </c>
      <c r="J3073" s="56" t="n">
        <v>0</v>
      </c>
      <c r="K3073" s="56" t="n">
        <v>1009.3</v>
      </c>
      <c r="L3073" s="56" t="n">
        <v>0</v>
      </c>
      <c r="M3073" s="56" t="n">
        <v>75</v>
      </c>
      <c r="N3073" s="56" t="n">
        <v>4.4</v>
      </c>
      <c r="O3073" s="56" t="n">
        <f aca="false">IF(D3073=1,"",E3072)</f>
        <v>17.8</v>
      </c>
      <c r="P3073" s="56" t="n">
        <f aca="false">IF(OR(D3073=1,K3072=""),"",K3072)</f>
        <v>1009.1</v>
      </c>
      <c r="Q3073" s="56" t="n">
        <f aca="false">IF(OR(F3073&lt;&gt;0,AND(I3073&lt;&gt;"",E3073&lt;I3073)),1,0)</f>
        <v>0</v>
      </c>
      <c r="R3073" s="56" t="n">
        <f aca="false">IF(AND(D3073&gt;1,Q3073=0,ISNUMBER(O3073),ISNUMBER(P3073)),IF(Q3072=0,1,0),0)</f>
        <v>1</v>
      </c>
      <c r="S3073" s="56" t="n">
        <f aca="false">R3073*(B3073&gt;=Train_Start)*(B3073&lt;=Train_End)</f>
        <v>0</v>
      </c>
      <c r="T3073" s="84" t="n">
        <f aca="false">IF(AND(ISNUMBER(O3073),ISNUMBER(P3073)),Coef_A+Coef_B1*O3073+Coef_B2*P3073,"")</f>
        <v>18.3265737333137</v>
      </c>
      <c r="U3073" s="84" t="n">
        <f aca="false">IF(AND(R3073=1,ISNUMBER(T3073)),E3073-T3073,"")</f>
        <v>0.7734262666863</v>
      </c>
      <c r="V3073" s="84" t="n">
        <f aca="false">IF(ISNUMBER(T3073),T3073,-99)</f>
        <v>18.3265737333137</v>
      </c>
      <c r="W3073" s="84" t="n">
        <f aca="false">IF(ISNUMBER(U3073),ABS(U3073),"")</f>
        <v>0.7734262666863</v>
      </c>
    </row>
    <row r="3074" customFormat="false" ht="15" hidden="false" customHeight="false" outlineLevel="0" collapsed="false">
      <c r="A3074" s="57" t="n">
        <v>36293</v>
      </c>
      <c r="B3074" s="56" t="n">
        <v>1999</v>
      </c>
      <c r="C3074" s="56" t="n">
        <v>5</v>
      </c>
      <c r="D3074" s="56" t="n">
        <v>13</v>
      </c>
      <c r="E3074" s="56" t="n">
        <v>17.2</v>
      </c>
      <c r="F3074" s="56" t="n">
        <v>0</v>
      </c>
      <c r="G3074" s="56" t="n">
        <v>10.3</v>
      </c>
      <c r="H3074" s="56" t="n">
        <v>0</v>
      </c>
      <c r="I3074" s="56" t="n">
        <v>14.7</v>
      </c>
      <c r="J3074" s="56" t="n">
        <v>0</v>
      </c>
      <c r="K3074" s="56" t="n">
        <v>1009.5</v>
      </c>
      <c r="L3074" s="56" t="n">
        <v>0</v>
      </c>
      <c r="M3074" s="56" t="n">
        <v>79</v>
      </c>
      <c r="N3074" s="56" t="n">
        <v>4.4</v>
      </c>
      <c r="O3074" s="56" t="n">
        <f aca="false">IF(D3074=1,"",E3073)</f>
        <v>19.1</v>
      </c>
      <c r="P3074" s="56" t="n">
        <f aca="false">IF(OR(D3074=1,K3073=""),"",K3073)</f>
        <v>1009.3</v>
      </c>
      <c r="Q3074" s="56" t="n">
        <f aca="false">IF(OR(F3074&lt;&gt;0,AND(I3074&lt;&gt;"",E3074&lt;I3074)),1,0)</f>
        <v>0</v>
      </c>
      <c r="R3074" s="56" t="n">
        <f aca="false">IF(AND(D3074&gt;1,Q3074=0,ISNUMBER(O3074),ISNUMBER(P3074)),IF(Q3073=0,1,0),0)</f>
        <v>1</v>
      </c>
      <c r="S3074" s="56" t="n">
        <f aca="false">R3074*(B3074&gt;=Train_Start)*(B3074&lt;=Train_End)</f>
        <v>0</v>
      </c>
      <c r="T3074" s="84" t="n">
        <f aca="false">IF(AND(ISNUMBER(O3074),ISNUMBER(P3074)),Coef_A+Coef_B1*O3074+Coef_B2*P3074,"")</f>
        <v>19.397988663196</v>
      </c>
      <c r="U3074" s="84" t="n">
        <f aca="false">IF(AND(R3074=1,ISNUMBER(T3074)),E3074-T3074,"")</f>
        <v>-2.19798866319595</v>
      </c>
      <c r="V3074" s="84" t="n">
        <f aca="false">IF(ISNUMBER(T3074),T3074,-99)</f>
        <v>19.397988663196</v>
      </c>
      <c r="W3074" s="84" t="n">
        <f aca="false">IF(ISNUMBER(U3074),ABS(U3074),"")</f>
        <v>2.19798866319595</v>
      </c>
    </row>
    <row r="3075" customFormat="false" ht="15" hidden="false" customHeight="false" outlineLevel="0" collapsed="false">
      <c r="A3075" s="57" t="n">
        <v>36294</v>
      </c>
      <c r="B3075" s="56" t="n">
        <v>1999</v>
      </c>
      <c r="C3075" s="56" t="n">
        <v>5</v>
      </c>
      <c r="D3075" s="56" t="n">
        <v>14</v>
      </c>
      <c r="E3075" s="56" t="n">
        <v>15</v>
      </c>
      <c r="F3075" s="56" t="n">
        <v>0</v>
      </c>
      <c r="G3075" s="56" t="n">
        <v>10.7</v>
      </c>
      <c r="H3075" s="56" t="n">
        <v>0</v>
      </c>
      <c r="I3075" s="56" t="n">
        <v>14</v>
      </c>
      <c r="J3075" s="56" t="n">
        <v>0</v>
      </c>
      <c r="K3075" s="56" t="n">
        <v>1010.5</v>
      </c>
      <c r="L3075" s="56" t="n">
        <v>0</v>
      </c>
      <c r="M3075" s="56" t="n">
        <v>77</v>
      </c>
      <c r="N3075" s="56" t="n">
        <v>6.9</v>
      </c>
      <c r="O3075" s="56" t="n">
        <f aca="false">IF(D3075=1,"",E3074)</f>
        <v>17.2</v>
      </c>
      <c r="P3075" s="56" t="n">
        <f aca="false">IF(OR(D3075=1,K3074=""),"",K3074)</f>
        <v>1009.5</v>
      </c>
      <c r="Q3075" s="56" t="n">
        <f aca="false">IF(OR(F3075&lt;&gt;0,AND(I3075&lt;&gt;"",E3075&lt;I3075)),1,0)</f>
        <v>0</v>
      </c>
      <c r="R3075" s="56" t="n">
        <f aca="false">IF(AND(D3075&gt;1,Q3075=0,ISNUMBER(O3075),ISNUMBER(P3075)),IF(Q3074=0,1,0),0)</f>
        <v>1</v>
      </c>
      <c r="S3075" s="56" t="n">
        <f aca="false">R3075*(B3075&gt;=Train_Start)*(B3075&lt;=Train_End)</f>
        <v>0</v>
      </c>
      <c r="T3075" s="84" t="n">
        <f aca="false">IF(AND(ISNUMBER(O3075),ISNUMBER(P3075)),Coef_A+Coef_B1*O3075+Coef_B2*P3075,"")</f>
        <v>17.8475181753417</v>
      </c>
      <c r="U3075" s="84" t="n">
        <f aca="false">IF(AND(R3075=1,ISNUMBER(T3075)),E3075-T3075,"")</f>
        <v>-2.8475181753417</v>
      </c>
      <c r="V3075" s="84" t="n">
        <f aca="false">IF(ISNUMBER(T3075),T3075,-99)</f>
        <v>17.8475181753417</v>
      </c>
      <c r="W3075" s="84" t="n">
        <f aca="false">IF(ISNUMBER(U3075),ABS(U3075),"")</f>
        <v>2.8475181753417</v>
      </c>
    </row>
    <row r="3076" customFormat="false" ht="15" hidden="false" customHeight="false" outlineLevel="0" collapsed="false">
      <c r="A3076" s="57" t="n">
        <v>36295</v>
      </c>
      <c r="B3076" s="56" t="n">
        <v>1999</v>
      </c>
      <c r="C3076" s="56" t="n">
        <v>5</v>
      </c>
      <c r="D3076" s="56" t="n">
        <v>15</v>
      </c>
      <c r="E3076" s="56" t="n">
        <v>16.5</v>
      </c>
      <c r="F3076" s="56" t="n">
        <v>0</v>
      </c>
      <c r="G3076" s="56" t="n">
        <v>9.3</v>
      </c>
      <c r="H3076" s="56" t="n">
        <v>0</v>
      </c>
      <c r="I3076" s="56" t="n">
        <v>12.2</v>
      </c>
      <c r="J3076" s="56" t="n">
        <v>0</v>
      </c>
      <c r="K3076" s="56" t="n">
        <v>1018.7</v>
      </c>
      <c r="L3076" s="56" t="n">
        <v>0</v>
      </c>
      <c r="M3076" s="56" t="n">
        <v>74</v>
      </c>
      <c r="N3076" s="56" t="n">
        <v>1.6</v>
      </c>
      <c r="O3076" s="56" t="n">
        <f aca="false">IF(D3076=1,"",E3075)</f>
        <v>15</v>
      </c>
      <c r="P3076" s="56" t="n">
        <f aca="false">IF(OR(D3076=1,K3075=""),"",K3075)</f>
        <v>1010.5</v>
      </c>
      <c r="Q3076" s="56" t="n">
        <f aca="false">IF(OR(F3076&lt;&gt;0,AND(I3076&lt;&gt;"",E3076&lt;I3076)),1,0)</f>
        <v>0</v>
      </c>
      <c r="R3076" s="56" t="n">
        <f aca="false">IF(AND(D3076&gt;1,Q3076=0,ISNUMBER(O3076),ISNUMBER(P3076)),IF(Q3075=0,1,0),0)</f>
        <v>1</v>
      </c>
      <c r="S3076" s="56" t="n">
        <f aca="false">R3076*(B3076&gt;=Train_Start)*(B3076&lt;=Train_End)</f>
        <v>0</v>
      </c>
      <c r="T3076" s="84" t="n">
        <f aca="false">IF(AND(ISNUMBER(O3076),ISNUMBER(P3076)),Coef_A+Coef_B1*O3076+Coef_B2*P3076,"")</f>
        <v>16.0763418452818</v>
      </c>
      <c r="U3076" s="84" t="n">
        <f aca="false">IF(AND(R3076=1,ISNUMBER(T3076)),E3076-T3076,"")</f>
        <v>0.423658154718158</v>
      </c>
      <c r="V3076" s="84" t="n">
        <f aca="false">IF(ISNUMBER(T3076),T3076,-99)</f>
        <v>16.0763418452818</v>
      </c>
      <c r="W3076" s="84" t="n">
        <f aca="false">IF(ISNUMBER(U3076),ABS(U3076),"")</f>
        <v>0.423658154718158</v>
      </c>
    </row>
    <row r="3077" customFormat="false" ht="15" hidden="false" customHeight="false" outlineLevel="0" collapsed="false">
      <c r="A3077" s="57" t="n">
        <v>36296</v>
      </c>
      <c r="B3077" s="56" t="n">
        <v>1999</v>
      </c>
      <c r="C3077" s="56" t="n">
        <v>5</v>
      </c>
      <c r="D3077" s="56" t="n">
        <v>16</v>
      </c>
      <c r="E3077" s="56" t="n">
        <v>15.8</v>
      </c>
      <c r="F3077" s="56" t="n">
        <v>0</v>
      </c>
      <c r="G3077" s="56" t="n">
        <v>6.6</v>
      </c>
      <c r="H3077" s="56" t="n">
        <v>0</v>
      </c>
      <c r="I3077" s="56" t="n">
        <v>11.6</v>
      </c>
      <c r="J3077" s="56" t="n">
        <v>0</v>
      </c>
      <c r="K3077" s="56" t="n">
        <v>1022.3</v>
      </c>
      <c r="L3077" s="56" t="n">
        <v>0</v>
      </c>
      <c r="M3077" s="56" t="n">
        <v>61</v>
      </c>
      <c r="N3077" s="56" t="n">
        <v>7.9</v>
      </c>
      <c r="O3077" s="56" t="n">
        <f aca="false">IF(D3077=1,"",E3076)</f>
        <v>16.5</v>
      </c>
      <c r="P3077" s="56" t="n">
        <f aca="false">IF(OR(D3077=1,K3076=""),"",K3076)</f>
        <v>1018.7</v>
      </c>
      <c r="Q3077" s="56" t="n">
        <f aca="false">IF(OR(F3077&lt;&gt;0,AND(I3077&lt;&gt;"",E3077&lt;I3077)),1,0)</f>
        <v>0</v>
      </c>
      <c r="R3077" s="56" t="n">
        <f aca="false">IF(AND(D3077&gt;1,Q3077=0,ISNUMBER(O3077),ISNUMBER(P3077)),IF(Q3076=0,1,0),0)</f>
        <v>1</v>
      </c>
      <c r="S3077" s="56" t="n">
        <f aca="false">R3077*(B3077&gt;=Train_Start)*(B3077&lt;=Train_End)</f>
        <v>0</v>
      </c>
      <c r="T3077" s="84" t="n">
        <f aca="false">IF(AND(ISNUMBER(O3077),ISNUMBER(P3077)),Coef_A+Coef_B1*O3077+Coef_B2*P3077,"")</f>
        <v>17.5625837708445</v>
      </c>
      <c r="U3077" s="84" t="n">
        <f aca="false">IF(AND(R3077=1,ISNUMBER(T3077)),E3077-T3077,"")</f>
        <v>-1.76258377084455</v>
      </c>
      <c r="V3077" s="84" t="n">
        <f aca="false">IF(ISNUMBER(T3077),T3077,-99)</f>
        <v>17.5625837708445</v>
      </c>
      <c r="W3077" s="84" t="n">
        <f aca="false">IF(ISNUMBER(U3077),ABS(U3077),"")</f>
        <v>1.76258377084455</v>
      </c>
    </row>
    <row r="3078" customFormat="false" ht="15" hidden="false" customHeight="false" outlineLevel="0" collapsed="false">
      <c r="A3078" s="57" t="n">
        <v>36297</v>
      </c>
      <c r="B3078" s="56" t="n">
        <v>1999</v>
      </c>
      <c r="C3078" s="56" t="n">
        <v>5</v>
      </c>
      <c r="D3078" s="56" t="n">
        <v>17</v>
      </c>
      <c r="E3078" s="56" t="n">
        <v>16.5</v>
      </c>
      <c r="F3078" s="56" t="n">
        <v>0</v>
      </c>
      <c r="G3078" s="56" t="n">
        <v>7.7</v>
      </c>
      <c r="H3078" s="56" t="n">
        <v>0</v>
      </c>
      <c r="I3078" s="56" t="n">
        <v>11.8</v>
      </c>
      <c r="J3078" s="56" t="n">
        <v>0</v>
      </c>
      <c r="K3078" s="56" t="n">
        <v>1018.9</v>
      </c>
      <c r="L3078" s="56" t="n">
        <v>0</v>
      </c>
      <c r="M3078" s="56" t="n">
        <v>62</v>
      </c>
      <c r="N3078" s="56" t="n">
        <v>6.6</v>
      </c>
      <c r="O3078" s="56" t="n">
        <f aca="false">IF(D3078=1,"",E3077)</f>
        <v>15.8</v>
      </c>
      <c r="P3078" s="56" t="n">
        <f aca="false">IF(OR(D3078=1,K3077=""),"",K3077)</f>
        <v>1022.3</v>
      </c>
      <c r="Q3078" s="56" t="n">
        <f aca="false">IF(OR(F3078&lt;&gt;0,AND(I3078&lt;&gt;"",E3078&lt;I3078)),1,0)</f>
        <v>0</v>
      </c>
      <c r="R3078" s="56" t="n">
        <f aca="false">IF(AND(D3078&gt;1,Q3078=0,ISNUMBER(O3078),ISNUMBER(P3078)),IF(Q3077=0,1,0),0)</f>
        <v>1</v>
      </c>
      <c r="S3078" s="56" t="n">
        <f aca="false">R3078*(B3078&gt;=Train_Start)*(B3078&lt;=Train_End)</f>
        <v>0</v>
      </c>
      <c r="T3078" s="84" t="n">
        <f aca="false">IF(AND(ISNUMBER(O3078),ISNUMBER(P3078)),Coef_A+Coef_B1*O3078+Coef_B2*P3078,"")</f>
        <v>17.101977956397</v>
      </c>
      <c r="U3078" s="84" t="n">
        <f aca="false">IF(AND(R3078=1,ISNUMBER(T3078)),E3078-T3078,"")</f>
        <v>-0.601977956397043</v>
      </c>
      <c r="V3078" s="84" t="n">
        <f aca="false">IF(ISNUMBER(T3078),T3078,-99)</f>
        <v>17.101977956397</v>
      </c>
      <c r="W3078" s="84" t="n">
        <f aca="false">IF(ISNUMBER(U3078),ABS(U3078),"")</f>
        <v>0.601977956397043</v>
      </c>
    </row>
    <row r="3079" customFormat="false" ht="15" hidden="false" customHeight="false" outlineLevel="0" collapsed="false">
      <c r="A3079" s="57" t="n">
        <v>36298</v>
      </c>
      <c r="B3079" s="56" t="n">
        <v>1999</v>
      </c>
      <c r="C3079" s="56" t="n">
        <v>5</v>
      </c>
      <c r="D3079" s="56" t="n">
        <v>18</v>
      </c>
      <c r="E3079" s="56" t="n">
        <v>22.8</v>
      </c>
      <c r="F3079" s="56" t="n">
        <v>0</v>
      </c>
      <c r="G3079" s="56" t="n">
        <v>10.9</v>
      </c>
      <c r="H3079" s="56" t="n">
        <v>0</v>
      </c>
      <c r="I3079" s="56" t="n">
        <v>13.7</v>
      </c>
      <c r="J3079" s="56" t="n">
        <v>0</v>
      </c>
      <c r="K3079" s="56" t="n">
        <v>1013.3</v>
      </c>
      <c r="L3079" s="56" t="n">
        <v>0</v>
      </c>
      <c r="M3079" s="56" t="n">
        <v>76</v>
      </c>
      <c r="N3079" s="56" t="n">
        <v>0</v>
      </c>
      <c r="O3079" s="56" t="n">
        <f aca="false">IF(D3079=1,"",E3078)</f>
        <v>16.5</v>
      </c>
      <c r="P3079" s="56" t="n">
        <f aca="false">IF(OR(D3079=1,K3078=""),"",K3078)</f>
        <v>1018.9</v>
      </c>
      <c r="Q3079" s="56" t="n">
        <f aca="false">IF(OR(F3079&lt;&gt;0,AND(I3079&lt;&gt;"",E3079&lt;I3079)),1,0)</f>
        <v>0</v>
      </c>
      <c r="R3079" s="56" t="n">
        <f aca="false">IF(AND(D3079&gt;1,Q3079=0,ISNUMBER(O3079),ISNUMBER(P3079)),IF(Q3078=0,1,0),0)</f>
        <v>1</v>
      </c>
      <c r="S3079" s="56" t="n">
        <f aca="false">R3079*(B3079&gt;=Train_Start)*(B3079&lt;=Train_End)</f>
        <v>0</v>
      </c>
      <c r="T3079" s="84" t="n">
        <f aca="false">IF(AND(ISNUMBER(O3079),ISNUMBER(P3079)),Coef_A+Coef_B1*O3079+Coef_B2*P3079,"")</f>
        <v>17.5688577497713</v>
      </c>
      <c r="U3079" s="84" t="n">
        <f aca="false">IF(AND(R3079=1,ISNUMBER(T3079)),E3079-T3079,"")</f>
        <v>5.23114225022866</v>
      </c>
      <c r="V3079" s="84" t="n">
        <f aca="false">IF(ISNUMBER(T3079),T3079,-99)</f>
        <v>17.5688577497713</v>
      </c>
      <c r="W3079" s="84" t="n">
        <f aca="false">IF(ISNUMBER(U3079),ABS(U3079),"")</f>
        <v>5.23114225022866</v>
      </c>
    </row>
    <row r="3080" customFormat="false" ht="15" hidden="false" customHeight="false" outlineLevel="0" collapsed="false">
      <c r="A3080" s="57" t="n">
        <v>36299</v>
      </c>
      <c r="B3080" s="56" t="n">
        <v>1999</v>
      </c>
      <c r="C3080" s="56" t="n">
        <v>5</v>
      </c>
      <c r="D3080" s="56" t="n">
        <v>19</v>
      </c>
      <c r="E3080" s="56" t="n">
        <v>22</v>
      </c>
      <c r="F3080" s="56" t="n">
        <v>0</v>
      </c>
      <c r="G3080" s="56" t="n">
        <v>10</v>
      </c>
      <c r="H3080" s="56" t="n">
        <v>0</v>
      </c>
      <c r="I3080" s="56" t="n">
        <v>16.4</v>
      </c>
      <c r="J3080" s="56" t="n">
        <v>0</v>
      </c>
      <c r="K3080" s="56" t="n">
        <v>1010.8</v>
      </c>
      <c r="L3080" s="56" t="n">
        <v>0</v>
      </c>
      <c r="M3080" s="56" t="n">
        <v>73</v>
      </c>
      <c r="N3080" s="56" t="n">
        <v>8.2</v>
      </c>
      <c r="O3080" s="56" t="n">
        <f aca="false">IF(D3080=1,"",E3079)</f>
        <v>22.8</v>
      </c>
      <c r="P3080" s="56" t="n">
        <f aca="false">IF(OR(D3080=1,K3079=""),"",K3079)</f>
        <v>1013.3</v>
      </c>
      <c r="Q3080" s="56" t="n">
        <f aca="false">IF(OR(F3080&lt;&gt;0,AND(I3080&lt;&gt;"",E3080&lt;I3080)),1,0)</f>
        <v>0</v>
      </c>
      <c r="R3080" s="56" t="n">
        <f aca="false">IF(AND(D3080&gt;1,Q3080=0,ISNUMBER(O3080),ISNUMBER(P3080)),IF(Q3079=0,1,0),0)</f>
        <v>1</v>
      </c>
      <c r="S3080" s="56" t="n">
        <f aca="false">R3080*(B3080&gt;=Train_Start)*(B3080&lt;=Train_End)</f>
        <v>0</v>
      </c>
      <c r="T3080" s="84" t="n">
        <f aca="false">IF(AND(ISNUMBER(O3080),ISNUMBER(P3080)),Coef_A+Coef_B1*O3080+Coef_B2*P3080,"")</f>
        <v>22.5550232559897</v>
      </c>
      <c r="U3080" s="84" t="n">
        <f aca="false">IF(AND(R3080=1,ISNUMBER(T3080)),E3080-T3080,"")</f>
        <v>-0.555023255989742</v>
      </c>
      <c r="V3080" s="84" t="n">
        <f aca="false">IF(ISNUMBER(T3080),T3080,-99)</f>
        <v>22.5550232559897</v>
      </c>
      <c r="W3080" s="84" t="n">
        <f aca="false">IF(ISNUMBER(U3080),ABS(U3080),"")</f>
        <v>0.555023255989742</v>
      </c>
    </row>
    <row r="3081" customFormat="false" ht="15" hidden="false" customHeight="false" outlineLevel="0" collapsed="false">
      <c r="A3081" s="57" t="n">
        <v>36300</v>
      </c>
      <c r="B3081" s="56" t="n">
        <v>1999</v>
      </c>
      <c r="C3081" s="56" t="n">
        <v>5</v>
      </c>
      <c r="D3081" s="56" t="n">
        <v>20</v>
      </c>
      <c r="E3081" s="56" t="n">
        <v>18.6</v>
      </c>
      <c r="F3081" s="56" t="n">
        <v>0</v>
      </c>
      <c r="G3081" s="56" t="n">
        <v>11.3</v>
      </c>
      <c r="H3081" s="56" t="n">
        <v>0</v>
      </c>
      <c r="I3081" s="56" t="n">
        <v>16.6</v>
      </c>
      <c r="J3081" s="56" t="n">
        <v>0</v>
      </c>
      <c r="K3081" s="56" t="n">
        <v>1011.8</v>
      </c>
      <c r="L3081" s="56" t="n">
        <v>0</v>
      </c>
      <c r="M3081" s="56" t="n">
        <v>71</v>
      </c>
      <c r="N3081" s="56" t="n">
        <v>6.8</v>
      </c>
      <c r="O3081" s="56" t="n">
        <f aca="false">IF(D3081=1,"",E3080)</f>
        <v>22</v>
      </c>
      <c r="P3081" s="56" t="n">
        <f aca="false">IF(OR(D3081=1,K3080=""),"",K3080)</f>
        <v>1010.8</v>
      </c>
      <c r="Q3081" s="56" t="n">
        <f aca="false">IF(OR(F3081&lt;&gt;0,AND(I3081&lt;&gt;"",E3081&lt;I3081)),1,0)</f>
        <v>0</v>
      </c>
      <c r="R3081" s="56" t="n">
        <f aca="false">IF(AND(D3081&gt;1,Q3081=0,ISNUMBER(O3081),ISNUMBER(P3081)),IF(Q3080=0,1,0),0)</f>
        <v>1</v>
      </c>
      <c r="S3081" s="56" t="n">
        <f aca="false">R3081*(B3081&gt;=Train_Start)*(B3081&lt;=Train_End)</f>
        <v>0</v>
      </c>
      <c r="T3081" s="84" t="n">
        <f aca="false">IF(AND(ISNUMBER(O3081),ISNUMBER(P3081)),Coef_A+Coef_B1*O3081+Coef_B2*P3081,"")</f>
        <v>21.8211271649706</v>
      </c>
      <c r="U3081" s="84" t="n">
        <f aca="false">IF(AND(R3081=1,ISNUMBER(T3081)),E3081-T3081,"")</f>
        <v>-3.22112716497064</v>
      </c>
      <c r="V3081" s="84" t="n">
        <f aca="false">IF(ISNUMBER(T3081),T3081,-99)</f>
        <v>21.8211271649706</v>
      </c>
      <c r="W3081" s="84" t="n">
        <f aca="false">IF(ISNUMBER(U3081),ABS(U3081),"")</f>
        <v>3.22112716497064</v>
      </c>
    </row>
    <row r="3082" customFormat="false" ht="15" hidden="false" customHeight="false" outlineLevel="0" collapsed="false">
      <c r="A3082" s="57" t="n">
        <v>36301</v>
      </c>
      <c r="B3082" s="56" t="n">
        <v>1999</v>
      </c>
      <c r="C3082" s="56" t="n">
        <v>5</v>
      </c>
      <c r="D3082" s="56" t="n">
        <v>21</v>
      </c>
      <c r="E3082" s="56" t="n">
        <v>17.6</v>
      </c>
      <c r="F3082" s="56" t="n">
        <v>0</v>
      </c>
      <c r="G3082" s="56" t="n">
        <v>9.5</v>
      </c>
      <c r="H3082" s="56" t="n">
        <v>0</v>
      </c>
      <c r="I3082" s="56" t="n">
        <v>14</v>
      </c>
      <c r="J3082" s="56" t="n">
        <v>0</v>
      </c>
      <c r="K3082" s="56" t="n">
        <v>1014</v>
      </c>
      <c r="L3082" s="56" t="n">
        <v>0</v>
      </c>
      <c r="M3082" s="56" t="n">
        <v>72</v>
      </c>
      <c r="N3082" s="56" t="n">
        <v>5.2</v>
      </c>
      <c r="O3082" s="56" t="n">
        <f aca="false">IF(D3082=1,"",E3081)</f>
        <v>18.6</v>
      </c>
      <c r="P3082" s="56" t="n">
        <f aca="false">IF(OR(D3082=1,K3081=""),"",K3081)</f>
        <v>1011.8</v>
      </c>
      <c r="Q3082" s="56" t="n">
        <f aca="false">IF(OR(F3082&lt;&gt;0,AND(I3082&lt;&gt;"",E3082&lt;I3082)),1,0)</f>
        <v>0</v>
      </c>
      <c r="R3082" s="56" t="n">
        <f aca="false">IF(AND(D3082&gt;1,Q3082=0,ISNUMBER(O3082),ISNUMBER(P3082)),IF(Q3081=0,1,0),0)</f>
        <v>1</v>
      </c>
      <c r="S3082" s="56" t="n">
        <f aca="false">R3082*(B3082&gt;=Train_Start)*(B3082&lt;=Train_End)</f>
        <v>0</v>
      </c>
      <c r="T3082" s="84" t="n">
        <f aca="false">IF(AND(ISNUMBER(O3082),ISNUMBER(P3082)),Coef_A+Coef_B1*O3082+Coef_B2*P3082,"")</f>
        <v>19.0667438032596</v>
      </c>
      <c r="U3082" s="84" t="n">
        <f aca="false">IF(AND(R3082=1,ISNUMBER(T3082)),E3082-T3082,"")</f>
        <v>-1.46674380325959</v>
      </c>
      <c r="V3082" s="84" t="n">
        <f aca="false">IF(ISNUMBER(T3082),T3082,-99)</f>
        <v>19.0667438032596</v>
      </c>
      <c r="W3082" s="84" t="n">
        <f aca="false">IF(ISNUMBER(U3082),ABS(U3082),"")</f>
        <v>1.46674380325959</v>
      </c>
    </row>
    <row r="3083" customFormat="false" ht="15" hidden="false" customHeight="false" outlineLevel="0" collapsed="false">
      <c r="A3083" s="57" t="n">
        <v>36302</v>
      </c>
      <c r="B3083" s="56" t="n">
        <v>1999</v>
      </c>
      <c r="C3083" s="56" t="n">
        <v>5</v>
      </c>
      <c r="D3083" s="56" t="n">
        <v>22</v>
      </c>
      <c r="E3083" s="56" t="n">
        <v>19.7</v>
      </c>
      <c r="F3083" s="56" t="n">
        <v>0</v>
      </c>
      <c r="G3083" s="56" t="n">
        <v>7.9</v>
      </c>
      <c r="H3083" s="56" t="n">
        <v>0</v>
      </c>
      <c r="I3083" s="56" t="n">
        <v>12.8</v>
      </c>
      <c r="J3083" s="56" t="n">
        <v>0</v>
      </c>
      <c r="K3083" s="56" t="n">
        <v>1017.8</v>
      </c>
      <c r="L3083" s="56" t="n">
        <v>0</v>
      </c>
      <c r="M3083" s="56" t="n">
        <v>58</v>
      </c>
      <c r="N3083" s="56" t="n">
        <v>12.9</v>
      </c>
      <c r="O3083" s="56" t="n">
        <f aca="false">IF(D3083=1,"",E3082)</f>
        <v>17.6</v>
      </c>
      <c r="P3083" s="56" t="n">
        <f aca="false">IF(OR(D3083=1,K3082=""),"",K3082)</f>
        <v>1014</v>
      </c>
      <c r="Q3083" s="56" t="n">
        <f aca="false">IF(OR(F3083&lt;&gt;0,AND(I3083&lt;&gt;"",E3083&lt;I3083)),1,0)</f>
        <v>0</v>
      </c>
      <c r="R3083" s="56" t="n">
        <f aca="false">IF(AND(D3083&gt;1,Q3083=0,ISNUMBER(O3083),ISNUMBER(P3083)),IF(Q3082=0,1,0),0)</f>
        <v>1</v>
      </c>
      <c r="S3083" s="56" t="n">
        <f aca="false">R3083*(B3083&gt;=Train_Start)*(B3083&lt;=Train_End)</f>
        <v>0</v>
      </c>
      <c r="T3083" s="84" t="n">
        <f aca="false">IF(AND(ISNUMBER(O3083),ISNUMBER(P3083)),Coef_A+Coef_B1*O3083+Coef_B2*P3083,"")</f>
        <v>18.3164183784117</v>
      </c>
      <c r="U3083" s="84" t="n">
        <f aca="false">IF(AND(R3083=1,ISNUMBER(T3083)),E3083-T3083,"")</f>
        <v>1.38358162158828</v>
      </c>
      <c r="V3083" s="84" t="n">
        <f aca="false">IF(ISNUMBER(T3083),T3083,-99)</f>
        <v>18.3164183784117</v>
      </c>
      <c r="W3083" s="84" t="n">
        <f aca="false">IF(ISNUMBER(U3083),ABS(U3083),"")</f>
        <v>1.38358162158828</v>
      </c>
    </row>
    <row r="3084" customFormat="false" ht="15" hidden="false" customHeight="false" outlineLevel="0" collapsed="false">
      <c r="A3084" s="57" t="n">
        <v>36303</v>
      </c>
      <c r="B3084" s="56" t="n">
        <v>1999</v>
      </c>
      <c r="C3084" s="56" t="n">
        <v>5</v>
      </c>
      <c r="D3084" s="56" t="n">
        <v>23</v>
      </c>
      <c r="E3084" s="56" t="n">
        <v>18.9</v>
      </c>
      <c r="F3084" s="56" t="n">
        <v>0</v>
      </c>
      <c r="G3084" s="56" t="n">
        <v>10.3</v>
      </c>
      <c r="H3084" s="56" t="n">
        <v>0</v>
      </c>
      <c r="I3084" s="56" t="n">
        <v>15</v>
      </c>
      <c r="J3084" s="56" t="n">
        <v>0</v>
      </c>
      <c r="K3084" s="56" t="n">
        <v>1019.6</v>
      </c>
      <c r="L3084" s="56" t="n">
        <v>0</v>
      </c>
      <c r="M3084" s="56" t="n">
        <v>70</v>
      </c>
      <c r="N3084" s="56" t="n">
        <v>1.3</v>
      </c>
      <c r="O3084" s="56" t="n">
        <f aca="false">IF(D3084=1,"",E3083)</f>
        <v>19.7</v>
      </c>
      <c r="P3084" s="56" t="n">
        <f aca="false">IF(OR(D3084=1,K3083=""),"",K3083)</f>
        <v>1017.8</v>
      </c>
      <c r="Q3084" s="56" t="n">
        <f aca="false">IF(OR(F3084&lt;&gt;0,AND(I3084&lt;&gt;"",E3084&lt;I3084)),1,0)</f>
        <v>0</v>
      </c>
      <c r="R3084" s="56" t="n">
        <f aca="false">IF(AND(D3084&gt;1,Q3084=0,ISNUMBER(O3084),ISNUMBER(P3084)),IF(Q3083=0,1,0),0)</f>
        <v>1</v>
      </c>
      <c r="S3084" s="56" t="n">
        <f aca="false">R3084*(B3084&gt;=Train_Start)*(B3084&lt;=Train_End)</f>
        <v>0</v>
      </c>
      <c r="T3084" s="84" t="n">
        <f aca="false">IF(AND(ISNUMBER(O3084),ISNUMBER(P3084)),Coef_A+Coef_B1*O3084+Coef_B2*P3084,"")</f>
        <v>20.1562362834105</v>
      </c>
      <c r="U3084" s="84" t="n">
        <f aca="false">IF(AND(R3084=1,ISNUMBER(T3084)),E3084-T3084,"")</f>
        <v>-1.25623628341046</v>
      </c>
      <c r="V3084" s="84" t="n">
        <f aca="false">IF(ISNUMBER(T3084),T3084,-99)</f>
        <v>20.1562362834105</v>
      </c>
      <c r="W3084" s="84" t="n">
        <f aca="false">IF(ISNUMBER(U3084),ABS(U3084),"")</f>
        <v>1.25623628341046</v>
      </c>
    </row>
    <row r="3085" customFormat="false" ht="15" hidden="false" customHeight="false" outlineLevel="0" collapsed="false">
      <c r="A3085" s="57" t="n">
        <v>36304</v>
      </c>
      <c r="B3085" s="56" t="n">
        <v>1999</v>
      </c>
      <c r="C3085" s="56" t="n">
        <v>5</v>
      </c>
      <c r="D3085" s="56" t="n">
        <v>24</v>
      </c>
      <c r="E3085" s="56" t="n">
        <v>18.4</v>
      </c>
      <c r="F3085" s="56" t="n">
        <v>0</v>
      </c>
      <c r="G3085" s="56" t="n">
        <v>11.9</v>
      </c>
      <c r="H3085" s="56" t="n">
        <v>0</v>
      </c>
      <c r="I3085" s="56" t="n">
        <v>15.4</v>
      </c>
      <c r="J3085" s="56" t="n">
        <v>0</v>
      </c>
      <c r="K3085" s="56" t="n">
        <v>1018.7</v>
      </c>
      <c r="L3085" s="56" t="n">
        <v>0</v>
      </c>
      <c r="M3085" s="56" t="n">
        <v>70</v>
      </c>
      <c r="N3085" s="56" t="n">
        <v>0.3</v>
      </c>
      <c r="O3085" s="56" t="n">
        <f aca="false">IF(D3085=1,"",E3084)</f>
        <v>18.9</v>
      </c>
      <c r="P3085" s="56" t="n">
        <f aca="false">IF(OR(D3085=1,K3084=""),"",K3084)</f>
        <v>1019.6</v>
      </c>
      <c r="Q3085" s="56" t="n">
        <f aca="false">IF(OR(F3085&lt;&gt;0,AND(I3085&lt;&gt;"",E3085&lt;I3085)),1,0)</f>
        <v>0</v>
      </c>
      <c r="R3085" s="56" t="n">
        <f aca="false">IF(AND(D3085&gt;1,Q3085=0,ISNUMBER(O3085),ISNUMBER(P3085)),IF(Q3084=0,1,0),0)</f>
        <v>1</v>
      </c>
      <c r="S3085" s="56" t="n">
        <f aca="false">R3085*(B3085&gt;=Train_Start)*(B3085&lt;=Train_End)</f>
        <v>0</v>
      </c>
      <c r="T3085" s="84" t="n">
        <f aca="false">IF(AND(ISNUMBER(O3085),ISNUMBER(P3085)),Coef_A+Coef_B1*O3085+Coef_B2*P3085,"")</f>
        <v>19.5572307393175</v>
      </c>
      <c r="U3085" s="84" t="n">
        <f aca="false">IF(AND(R3085=1,ISNUMBER(T3085)),E3085-T3085,"")</f>
        <v>-1.15723073931751</v>
      </c>
      <c r="V3085" s="84" t="n">
        <f aca="false">IF(ISNUMBER(T3085),T3085,-99)</f>
        <v>19.5572307393175</v>
      </c>
      <c r="W3085" s="84" t="n">
        <f aca="false">IF(ISNUMBER(U3085),ABS(U3085),"")</f>
        <v>1.15723073931751</v>
      </c>
    </row>
    <row r="3086" customFormat="false" ht="15" hidden="false" customHeight="false" outlineLevel="0" collapsed="false">
      <c r="A3086" s="57" t="n">
        <v>36305</v>
      </c>
      <c r="B3086" s="56" t="n">
        <v>1999</v>
      </c>
      <c r="C3086" s="56" t="n">
        <v>5</v>
      </c>
      <c r="D3086" s="56" t="n">
        <v>25</v>
      </c>
      <c r="E3086" s="56" t="n">
        <v>21.7</v>
      </c>
      <c r="F3086" s="56" t="n">
        <v>0</v>
      </c>
      <c r="G3086" s="56" t="n">
        <v>7.3</v>
      </c>
      <c r="H3086" s="56" t="n">
        <v>0</v>
      </c>
      <c r="I3086" s="56" t="n">
        <v>12.8</v>
      </c>
      <c r="J3086" s="56" t="n">
        <v>0</v>
      </c>
      <c r="K3086" s="56" t="n">
        <v>1020.2</v>
      </c>
      <c r="L3086" s="56" t="n">
        <v>0</v>
      </c>
      <c r="M3086" s="56" t="n">
        <v>61</v>
      </c>
      <c r="N3086" s="56" t="n">
        <v>14.2</v>
      </c>
      <c r="O3086" s="56" t="n">
        <f aca="false">IF(D3086=1,"",E3085)</f>
        <v>18.4</v>
      </c>
      <c r="P3086" s="56" t="n">
        <f aca="false">IF(OR(D3086=1,K3085=""),"",K3085)</f>
        <v>1018.7</v>
      </c>
      <c r="Q3086" s="56" t="n">
        <f aca="false">IF(OR(F3086&lt;&gt;0,AND(I3086&lt;&gt;"",E3086&lt;I3086)),1,0)</f>
        <v>0</v>
      </c>
      <c r="R3086" s="56" t="n">
        <f aca="false">IF(AND(D3086&gt;1,Q3086=0,ISNUMBER(O3086),ISNUMBER(P3086)),IF(Q3085=0,1,0),0)</f>
        <v>1</v>
      </c>
      <c r="S3086" s="56" t="n">
        <f aca="false">R3086*(B3086&gt;=Train_Start)*(B3086&lt;=Train_End)</f>
        <v>0</v>
      </c>
      <c r="T3086" s="84" t="n">
        <f aca="false">IF(AND(ISNUMBER(O3086),ISNUMBER(P3086)),Coef_A+Coef_B1*O3086+Coef_B2*P3086,"")</f>
        <v>19.1193282376256</v>
      </c>
      <c r="U3086" s="84" t="n">
        <f aca="false">IF(AND(R3086=1,ISNUMBER(T3086)),E3086-T3086,"")</f>
        <v>2.5806717623744</v>
      </c>
      <c r="V3086" s="84" t="n">
        <f aca="false">IF(ISNUMBER(T3086),T3086,-99)</f>
        <v>19.1193282376256</v>
      </c>
      <c r="W3086" s="84" t="n">
        <f aca="false">IF(ISNUMBER(U3086),ABS(U3086),"")</f>
        <v>2.5806717623744</v>
      </c>
    </row>
    <row r="3087" customFormat="false" ht="15" hidden="false" customHeight="false" outlineLevel="0" collapsed="false">
      <c r="A3087" s="57" t="n">
        <v>36306</v>
      </c>
      <c r="B3087" s="56" t="n">
        <v>1999</v>
      </c>
      <c r="C3087" s="56" t="n">
        <v>5</v>
      </c>
      <c r="D3087" s="56" t="n">
        <v>26</v>
      </c>
      <c r="E3087" s="56" t="n">
        <v>26.4</v>
      </c>
      <c r="F3087" s="56" t="n">
        <v>0</v>
      </c>
      <c r="G3087" s="56" t="n">
        <v>8.3</v>
      </c>
      <c r="H3087" s="56" t="n">
        <v>0</v>
      </c>
      <c r="I3087" s="56" t="n">
        <v>15</v>
      </c>
      <c r="J3087" s="56" t="n">
        <v>0</v>
      </c>
      <c r="K3087" s="56" t="n">
        <v>1018.3</v>
      </c>
      <c r="L3087" s="56" t="n">
        <v>0</v>
      </c>
      <c r="M3087" s="56" t="n">
        <v>66</v>
      </c>
      <c r="N3087" s="56" t="n">
        <v>6.9</v>
      </c>
      <c r="O3087" s="56" t="n">
        <f aca="false">IF(D3087=1,"",E3086)</f>
        <v>21.7</v>
      </c>
      <c r="P3087" s="56" t="n">
        <f aca="false">IF(OR(D3087=1,K3086=""),"",K3086)</f>
        <v>1020.2</v>
      </c>
      <c r="Q3087" s="56" t="n">
        <f aca="false">IF(OR(F3087&lt;&gt;0,AND(I3087&lt;&gt;"",E3087&lt;I3087)),1,0)</f>
        <v>0</v>
      </c>
      <c r="R3087" s="56" t="n">
        <f aca="false">IF(AND(D3087&gt;1,Q3087=0,ISNUMBER(O3087),ISNUMBER(P3087)),IF(Q3086=0,1,0),0)</f>
        <v>1</v>
      </c>
      <c r="S3087" s="56" t="n">
        <f aca="false">R3087*(B3087&gt;=Train_Start)*(B3087&lt;=Train_End)</f>
        <v>0</v>
      </c>
      <c r="T3087" s="84" t="n">
        <f aca="false">IF(AND(ISNUMBER(O3087),ISNUMBER(P3087)),Coef_A+Coef_B1*O3087+Coef_B2*P3087,"")</f>
        <v>21.8702024166173</v>
      </c>
      <c r="U3087" s="84" t="n">
        <f aca="false">IF(AND(R3087=1,ISNUMBER(T3087)),E3087-T3087,"")</f>
        <v>4.52979758338265</v>
      </c>
      <c r="V3087" s="84" t="n">
        <f aca="false">IF(ISNUMBER(T3087),T3087,-99)</f>
        <v>21.8702024166173</v>
      </c>
      <c r="W3087" s="84" t="n">
        <f aca="false">IF(ISNUMBER(U3087),ABS(U3087),"")</f>
        <v>4.52979758338265</v>
      </c>
    </row>
    <row r="3088" customFormat="false" ht="15" hidden="false" customHeight="false" outlineLevel="0" collapsed="false">
      <c r="A3088" s="57" t="n">
        <v>36307</v>
      </c>
      <c r="B3088" s="56" t="n">
        <v>1999</v>
      </c>
      <c r="C3088" s="56" t="n">
        <v>5</v>
      </c>
      <c r="D3088" s="56" t="n">
        <v>27</v>
      </c>
      <c r="E3088" s="56" t="n">
        <v>22.5</v>
      </c>
      <c r="F3088" s="56" t="n">
        <v>0</v>
      </c>
      <c r="G3088" s="56" t="n">
        <v>11.2</v>
      </c>
      <c r="H3088" s="56" t="n">
        <v>0</v>
      </c>
      <c r="I3088" s="56" t="n">
        <v>18.8</v>
      </c>
      <c r="J3088" s="56" t="n">
        <v>0</v>
      </c>
      <c r="K3088" s="56" t="n">
        <v>1014.6</v>
      </c>
      <c r="L3088" s="56" t="n">
        <v>0</v>
      </c>
      <c r="M3088" s="56" t="n">
        <v>57</v>
      </c>
      <c r="N3088" s="56" t="n">
        <v>10.8</v>
      </c>
      <c r="O3088" s="56" t="n">
        <f aca="false">IF(D3088=1,"",E3087)</f>
        <v>26.4</v>
      </c>
      <c r="P3088" s="56" t="n">
        <f aca="false">IF(OR(D3088=1,K3087=""),"",K3087)</f>
        <v>1018.3</v>
      </c>
      <c r="Q3088" s="56" t="n">
        <f aca="false">IF(OR(F3088&lt;&gt;0,AND(I3088&lt;&gt;"",E3088&lt;I3088)),1,0)</f>
        <v>0</v>
      </c>
      <c r="R3088" s="56" t="n">
        <f aca="false">IF(AND(D3088&gt;1,Q3088=0,ISNUMBER(O3088),ISNUMBER(P3088)),IF(Q3087=0,1,0),0)</f>
        <v>1</v>
      </c>
      <c r="S3088" s="56" t="n">
        <f aca="false">R3088*(B3088&gt;=Train_Start)*(B3088&lt;=Train_End)</f>
        <v>0</v>
      </c>
      <c r="T3088" s="84" t="n">
        <f aca="false">IF(AND(ISNUMBER(O3088),ISNUMBER(P3088)),Coef_A+Coef_B1*O3088+Coef_B2*P3088,"")</f>
        <v>25.6614938241133</v>
      </c>
      <c r="U3088" s="84" t="n">
        <f aca="false">IF(AND(R3088=1,ISNUMBER(T3088)),E3088-T3088,"")</f>
        <v>-3.16149382411325</v>
      </c>
      <c r="V3088" s="84" t="n">
        <f aca="false">IF(ISNUMBER(T3088),T3088,-99)</f>
        <v>25.6614938241133</v>
      </c>
      <c r="W3088" s="84" t="n">
        <f aca="false">IF(ISNUMBER(U3088),ABS(U3088),"")</f>
        <v>3.16149382411325</v>
      </c>
    </row>
    <row r="3089" customFormat="false" ht="15" hidden="false" customHeight="false" outlineLevel="0" collapsed="false">
      <c r="A3089" s="57" t="n">
        <v>36308</v>
      </c>
      <c r="B3089" s="56" t="n">
        <v>1999</v>
      </c>
      <c r="C3089" s="56" t="n">
        <v>5</v>
      </c>
      <c r="D3089" s="56" t="n">
        <v>28</v>
      </c>
      <c r="E3089" s="56" t="n">
        <v>25</v>
      </c>
      <c r="F3089" s="56" t="n">
        <v>0</v>
      </c>
      <c r="G3089" s="56" t="n">
        <v>15.6</v>
      </c>
      <c r="H3089" s="56" t="n">
        <v>0</v>
      </c>
      <c r="I3089" s="56" t="n">
        <v>19</v>
      </c>
      <c r="J3089" s="56" t="n">
        <v>0</v>
      </c>
      <c r="K3089" s="56" t="n">
        <v>1017.2</v>
      </c>
      <c r="L3089" s="56" t="n">
        <v>0</v>
      </c>
      <c r="M3089" s="56" t="n">
        <v>67</v>
      </c>
      <c r="N3089" s="56" t="n">
        <v>8.4</v>
      </c>
      <c r="O3089" s="56" t="n">
        <f aca="false">IF(D3089=1,"",E3088)</f>
        <v>22.5</v>
      </c>
      <c r="P3089" s="56" t="n">
        <f aca="false">IF(OR(D3089=1,K3088=""),"",K3088)</f>
        <v>1014.6</v>
      </c>
      <c r="Q3089" s="56" t="n">
        <f aca="false">IF(OR(F3089&lt;&gt;0,AND(I3089&lt;&gt;"",E3089&lt;I3089)),1,0)</f>
        <v>0</v>
      </c>
      <c r="R3089" s="56" t="n">
        <f aca="false">IF(AND(D3089&gt;1,Q3089=0,ISNUMBER(O3089),ISNUMBER(P3089)),IF(Q3088=0,1,0),0)</f>
        <v>1</v>
      </c>
      <c r="S3089" s="56" t="n">
        <f aca="false">R3089*(B3089&gt;=Train_Start)*(B3089&lt;=Train_End)</f>
        <v>0</v>
      </c>
      <c r="T3089" s="84" t="n">
        <f aca="false">IF(AND(ISNUMBER(O3089),ISNUMBER(P3089)),Coef_A+Coef_B1*O3089+Coef_B2*P3089,"")</f>
        <v>22.3500023611011</v>
      </c>
      <c r="U3089" s="84" t="n">
        <f aca="false">IF(AND(R3089=1,ISNUMBER(T3089)),E3089-T3089,"")</f>
        <v>2.64999763889887</v>
      </c>
      <c r="V3089" s="84" t="n">
        <f aca="false">IF(ISNUMBER(T3089),T3089,-99)</f>
        <v>22.3500023611011</v>
      </c>
      <c r="W3089" s="84" t="n">
        <f aca="false">IF(ISNUMBER(U3089),ABS(U3089),"")</f>
        <v>2.64999763889887</v>
      </c>
    </row>
    <row r="3090" customFormat="false" ht="15" hidden="false" customHeight="false" outlineLevel="0" collapsed="false">
      <c r="A3090" s="57" t="n">
        <v>36309</v>
      </c>
      <c r="B3090" s="56" t="n">
        <v>1999</v>
      </c>
      <c r="C3090" s="56" t="n">
        <v>5</v>
      </c>
      <c r="D3090" s="56" t="n">
        <v>29</v>
      </c>
      <c r="E3090" s="56" t="n">
        <v>15.4</v>
      </c>
      <c r="F3090" s="56" t="n">
        <v>1</v>
      </c>
      <c r="G3090" s="56" t="n">
        <v>12.1</v>
      </c>
      <c r="H3090" s="56" t="n">
        <v>0</v>
      </c>
      <c r="I3090" s="56" t="n">
        <v>18.6</v>
      </c>
      <c r="J3090" s="56" t="n">
        <v>1</v>
      </c>
      <c r="K3090" s="56" t="n">
        <v>1016.2</v>
      </c>
      <c r="L3090" s="56" t="n">
        <v>0</v>
      </c>
      <c r="M3090" s="56" t="n">
        <v>69</v>
      </c>
      <c r="N3090" s="56" t="n">
        <v>8.9</v>
      </c>
      <c r="O3090" s="56" t="n">
        <f aca="false">IF(D3090=1,"",E3089)</f>
        <v>25</v>
      </c>
      <c r="P3090" s="56" t="n">
        <f aca="false">IF(OR(D3090=1,K3089=""),"",K3089)</f>
        <v>1017.2</v>
      </c>
      <c r="Q3090" s="56" t="n">
        <f aca="false">IF(OR(F3090&lt;&gt;0,AND(I3090&lt;&gt;"",E3090&lt;I3090)),1,0)</f>
        <v>1</v>
      </c>
      <c r="R3090" s="56" t="n">
        <f aca="false">IF(AND(D3090&gt;1,Q3090=0,ISNUMBER(O3090),ISNUMBER(P3090)),IF(Q3089=0,1,0),0)</f>
        <v>0</v>
      </c>
      <c r="S3090" s="56" t="n">
        <f aca="false">R3090*(B3090&gt;=Train_Start)*(B3090&lt;=Train_End)</f>
        <v>0</v>
      </c>
      <c r="T3090" s="84" t="n">
        <f aca="false">IF(AND(ISNUMBER(O3090),ISNUMBER(P3090)),Coef_A+Coef_B1*O3090+Coef_B2*P3090,"")</f>
        <v>24.4799120697562</v>
      </c>
      <c r="U3090" s="84" t="str">
        <f aca="false">IF(AND(R3090=1,ISNUMBER(T3090)),E3090-T3090,"")</f>
        <v/>
      </c>
      <c r="V3090" s="84" t="n">
        <f aca="false">IF(ISNUMBER(T3090),T3090,-99)</f>
        <v>24.4799120697562</v>
      </c>
      <c r="W3090" s="84" t="str">
        <f aca="false">IF(ISNUMBER(U3090),ABS(U3090),"")</f>
        <v/>
      </c>
    </row>
    <row r="3091" customFormat="false" ht="15" hidden="false" customHeight="false" outlineLevel="0" collapsed="false">
      <c r="A3091" s="57" t="n">
        <v>36310</v>
      </c>
      <c r="B3091" s="56" t="n">
        <v>1999</v>
      </c>
      <c r="C3091" s="56" t="n">
        <v>5</v>
      </c>
      <c r="D3091" s="56" t="n">
        <v>30</v>
      </c>
      <c r="E3091" s="56" t="n">
        <v>17.7</v>
      </c>
      <c r="F3091" s="56" t="n">
        <v>0</v>
      </c>
      <c r="G3091" s="56" t="n">
        <v>13.5</v>
      </c>
      <c r="H3091" s="56" t="n">
        <v>0</v>
      </c>
      <c r="I3091" s="56" t="n">
        <v>14.4</v>
      </c>
      <c r="J3091" s="56" t="n">
        <v>0</v>
      </c>
      <c r="K3091" s="56" t="n">
        <v>1017.8</v>
      </c>
      <c r="L3091" s="56" t="n">
        <v>0</v>
      </c>
      <c r="M3091" s="56" t="n">
        <v>87</v>
      </c>
      <c r="N3091" s="56" t="n">
        <v>0</v>
      </c>
      <c r="O3091" s="56" t="n">
        <f aca="false">IF(D3091=1,"",E3090)</f>
        <v>15.4</v>
      </c>
      <c r="P3091" s="56" t="n">
        <f aca="false">IF(OR(D3091=1,K3090=""),"",K3090)</f>
        <v>1016.2</v>
      </c>
      <c r="Q3091" s="56" t="n">
        <f aca="false">IF(OR(F3091&lt;&gt;0,AND(I3091&lt;&gt;"",E3091&lt;I3091)),1,0)</f>
        <v>0</v>
      </c>
      <c r="R3091" s="56" t="n">
        <f aca="false">IF(AND(D3091&gt;1,Q3091=0,ISNUMBER(O3091),ISNUMBER(P3091)),IF(Q3090=0,1,0),0)</f>
        <v>0</v>
      </c>
      <c r="S3091" s="56" t="n">
        <f aca="false">R3091*(B3091&gt;=Train_Start)*(B3091&lt;=Train_End)</f>
        <v>0</v>
      </c>
      <c r="T3091" s="84" t="n">
        <f aca="false">IF(AND(ISNUMBER(O3091),ISNUMBER(P3091)),Coef_A+Coef_B1*O3091+Coef_B2*P3091,"")</f>
        <v>16.5828859219127</v>
      </c>
      <c r="U3091" s="84" t="str">
        <f aca="false">IF(AND(R3091=1,ISNUMBER(T3091)),E3091-T3091,"")</f>
        <v/>
      </c>
      <c r="V3091" s="84" t="n">
        <f aca="false">IF(ISNUMBER(T3091),T3091,-99)</f>
        <v>16.5828859219127</v>
      </c>
      <c r="W3091" s="84" t="str">
        <f aca="false">IF(ISNUMBER(U3091),ABS(U3091),"")</f>
        <v/>
      </c>
    </row>
    <row r="3092" customFormat="false" ht="15" hidden="false" customHeight="false" outlineLevel="0" collapsed="false">
      <c r="A3092" s="57" t="n">
        <v>36311</v>
      </c>
      <c r="B3092" s="56" t="n">
        <v>1999</v>
      </c>
      <c r="C3092" s="56" t="n">
        <v>5</v>
      </c>
      <c r="D3092" s="56" t="n">
        <v>31</v>
      </c>
      <c r="E3092" s="56" t="n">
        <v>22.7</v>
      </c>
      <c r="F3092" s="56" t="n">
        <v>0</v>
      </c>
      <c r="G3092" s="56" t="n">
        <v>9.9</v>
      </c>
      <c r="H3092" s="56" t="n">
        <v>0</v>
      </c>
      <c r="I3092" s="56" t="n">
        <v>13.8</v>
      </c>
      <c r="J3092" s="56" t="n">
        <v>0</v>
      </c>
      <c r="K3092" s="56" t="n">
        <v>1023.1</v>
      </c>
      <c r="L3092" s="56" t="n">
        <v>0</v>
      </c>
      <c r="M3092" s="56" t="n">
        <v>72</v>
      </c>
      <c r="N3092" s="56" t="n">
        <v>1.1</v>
      </c>
      <c r="O3092" s="56" t="n">
        <f aca="false">IF(D3092=1,"",E3091)</f>
        <v>17.7</v>
      </c>
      <c r="P3092" s="56" t="n">
        <f aca="false">IF(OR(D3092=1,K3091=""),"",K3091)</f>
        <v>1017.8</v>
      </c>
      <c r="Q3092" s="56" t="n">
        <f aca="false">IF(OR(F3092&lt;&gt;0,AND(I3092&lt;&gt;"",E3092&lt;I3092)),1,0)</f>
        <v>0</v>
      </c>
      <c r="R3092" s="56" t="n">
        <f aca="false">IF(AND(D3092&gt;1,Q3092=0,ISNUMBER(O3092),ISNUMBER(P3092)),IF(Q3091=0,1,0),0)</f>
        <v>1</v>
      </c>
      <c r="S3092" s="56" t="n">
        <f aca="false">R3092*(B3092&gt;=Train_Start)*(B3092&lt;=Train_End)</f>
        <v>0</v>
      </c>
      <c r="T3092" s="84" t="n">
        <f aca="false">IF(AND(ISNUMBER(O3092),ISNUMBER(P3092)),Coef_A+Coef_B1*O3092+Coef_B2*P3092,"")</f>
        <v>18.5175578973251</v>
      </c>
      <c r="U3092" s="84" t="n">
        <f aca="false">IF(AND(R3092=1,ISNUMBER(T3092)),E3092-T3092,"")</f>
        <v>4.18244210267486</v>
      </c>
      <c r="V3092" s="84" t="n">
        <f aca="false">IF(ISNUMBER(T3092),T3092,-99)</f>
        <v>18.5175578973251</v>
      </c>
      <c r="W3092" s="84" t="n">
        <f aca="false">IF(ISNUMBER(U3092),ABS(U3092),"")</f>
        <v>4.18244210267486</v>
      </c>
    </row>
    <row r="3093" customFormat="false" ht="15" hidden="false" customHeight="false" outlineLevel="0" collapsed="false">
      <c r="A3093" s="57" t="n">
        <v>36312</v>
      </c>
      <c r="B3093" s="56" t="n">
        <v>1999</v>
      </c>
      <c r="C3093" s="56" t="n">
        <v>6</v>
      </c>
      <c r="D3093" s="56" t="n">
        <v>32</v>
      </c>
      <c r="E3093" s="56" t="n">
        <v>20.7</v>
      </c>
      <c r="F3093" s="56" t="n">
        <v>0</v>
      </c>
      <c r="G3093" s="56" t="n">
        <v>10.3</v>
      </c>
      <c r="H3093" s="56" t="n">
        <v>0</v>
      </c>
      <c r="I3093" s="56" t="n">
        <v>16.5</v>
      </c>
      <c r="J3093" s="56" t="n">
        <v>0</v>
      </c>
      <c r="K3093" s="56" t="n">
        <v>1019.4</v>
      </c>
      <c r="L3093" s="56" t="n">
        <v>0</v>
      </c>
      <c r="M3093" s="56" t="n">
        <v>63</v>
      </c>
      <c r="N3093" s="56" t="n">
        <v>13.2</v>
      </c>
      <c r="O3093" s="56" t="n">
        <f aca="false">IF(D3093=1,"",E3092)</f>
        <v>22.7</v>
      </c>
      <c r="P3093" s="56" t="n">
        <f aca="false">IF(OR(D3093=1,K3092=""),"",K3092)</f>
        <v>1023.1</v>
      </c>
      <c r="Q3093" s="56" t="n">
        <f aca="false">IF(OR(F3093&lt;&gt;0,AND(I3093&lt;&gt;"",E3093&lt;I3093)),1,0)</f>
        <v>0</v>
      </c>
      <c r="R3093" s="56" t="n">
        <f aca="false">IF(AND(D3093&gt;1,Q3093=0,ISNUMBER(O3093),ISNUMBER(P3093)),IF(Q3092=0,1,0),0)</f>
        <v>1</v>
      </c>
      <c r="S3093" s="56" t="n">
        <f aca="false">R3093*(B3093&gt;=Train_Start)*(B3093&lt;=Train_End)</f>
        <v>0</v>
      </c>
      <c r="T3093" s="84" t="n">
        <f aca="false">IF(AND(ISNUMBER(O3093),ISNUMBER(P3093)),Coef_A+Coef_B1*O3093+Coef_B2*P3093,"")</f>
        <v>22.7805143040986</v>
      </c>
      <c r="U3093" s="84" t="n">
        <f aca="false">IF(AND(R3093=1,ISNUMBER(T3093)),E3093-T3093,"")</f>
        <v>-2.08051430409857</v>
      </c>
      <c r="V3093" s="84" t="n">
        <f aca="false">IF(ISNUMBER(T3093),T3093,-99)</f>
        <v>22.7805143040986</v>
      </c>
      <c r="W3093" s="84" t="n">
        <f aca="false">IF(ISNUMBER(U3093),ABS(U3093),"")</f>
        <v>2.08051430409857</v>
      </c>
    </row>
    <row r="3094" customFormat="false" ht="15" hidden="false" customHeight="false" outlineLevel="0" collapsed="false">
      <c r="A3094" s="57" t="n">
        <v>36313</v>
      </c>
      <c r="B3094" s="56" t="n">
        <v>1999</v>
      </c>
      <c r="C3094" s="56" t="n">
        <v>6</v>
      </c>
      <c r="D3094" s="56" t="n">
        <v>33</v>
      </c>
      <c r="E3094" s="56" t="n">
        <v>17.7</v>
      </c>
      <c r="F3094" s="56" t="n">
        <v>0</v>
      </c>
      <c r="G3094" s="56" t="n">
        <v>13</v>
      </c>
      <c r="H3094" s="56" t="n">
        <v>0</v>
      </c>
      <c r="I3094" s="56" t="n">
        <v>16.8</v>
      </c>
      <c r="J3094" s="56" t="n">
        <v>0</v>
      </c>
      <c r="K3094" s="56" t="n">
        <v>1005.3</v>
      </c>
      <c r="L3094" s="56" t="n">
        <v>0</v>
      </c>
      <c r="M3094" s="56" t="n">
        <v>83</v>
      </c>
      <c r="N3094" s="56" t="n">
        <v>1.9</v>
      </c>
      <c r="O3094" s="56" t="n">
        <f aca="false">IF(D3094=1,"",E3093)</f>
        <v>20.7</v>
      </c>
      <c r="P3094" s="56" t="n">
        <f aca="false">IF(OR(D3094=1,K3093=""),"",K3093)</f>
        <v>1019.4</v>
      </c>
      <c r="Q3094" s="56" t="n">
        <f aca="false">IF(OR(F3094&lt;&gt;0,AND(I3094&lt;&gt;"",E3094&lt;I3094)),1,0)</f>
        <v>0</v>
      </c>
      <c r="R3094" s="56" t="n">
        <f aca="false">IF(AND(D3094&gt;1,Q3094=0,ISNUMBER(O3094),ISNUMBER(P3094)),IF(Q3093=0,1,0),0)</f>
        <v>1</v>
      </c>
      <c r="S3094" s="56" t="n">
        <f aca="false">R3094*(B3094&gt;=Train_Start)*(B3094&lt;=Train_End)</f>
        <v>0</v>
      </c>
      <c r="T3094" s="84" t="n">
        <f aca="false">IF(AND(ISNUMBER(O3094),ISNUMBER(P3094)),Coef_A+Coef_B1*O3094+Coef_B2*P3094,"")</f>
        <v>21.0257673078675</v>
      </c>
      <c r="U3094" s="84" t="n">
        <f aca="false">IF(AND(R3094=1,ISNUMBER(T3094)),E3094-T3094,"")</f>
        <v>-3.32576730786749</v>
      </c>
      <c r="V3094" s="84" t="n">
        <f aca="false">IF(ISNUMBER(T3094),T3094,-99)</f>
        <v>21.0257673078675</v>
      </c>
      <c r="W3094" s="84" t="n">
        <f aca="false">IF(ISNUMBER(U3094),ABS(U3094),"")</f>
        <v>3.32576730786749</v>
      </c>
    </row>
    <row r="3095" customFormat="false" ht="15" hidden="false" customHeight="false" outlineLevel="0" collapsed="false">
      <c r="A3095" s="57" t="n">
        <v>36314</v>
      </c>
      <c r="B3095" s="56" t="n">
        <v>1999</v>
      </c>
      <c r="C3095" s="56" t="n">
        <v>6</v>
      </c>
      <c r="D3095" s="56" t="n">
        <v>34</v>
      </c>
      <c r="E3095" s="56" t="n">
        <v>17.9</v>
      </c>
      <c r="F3095" s="56" t="n">
        <v>0</v>
      </c>
      <c r="G3095" s="56" t="n">
        <v>12.2</v>
      </c>
      <c r="H3095" s="56" t="n">
        <v>0</v>
      </c>
      <c r="I3095" s="56" t="n">
        <v>15</v>
      </c>
      <c r="J3095" s="56" t="n">
        <v>0</v>
      </c>
      <c r="K3095" s="56" t="n">
        <v>1005.5</v>
      </c>
      <c r="L3095" s="56" t="n">
        <v>0</v>
      </c>
      <c r="M3095" s="56" t="n">
        <v>79</v>
      </c>
      <c r="N3095" s="56" t="n">
        <v>3.4</v>
      </c>
      <c r="O3095" s="56" t="n">
        <f aca="false">IF(D3095=1,"",E3094)</f>
        <v>17.7</v>
      </c>
      <c r="P3095" s="56" t="n">
        <f aca="false">IF(OR(D3095=1,K3094=""),"",K3094)</f>
        <v>1005.3</v>
      </c>
      <c r="Q3095" s="56" t="n">
        <f aca="false">IF(OR(F3095&lt;&gt;0,AND(I3095&lt;&gt;"",E3095&lt;I3095)),1,0)</f>
        <v>0</v>
      </c>
      <c r="R3095" s="56" t="n">
        <f aca="false">IF(AND(D3095&gt;1,Q3095=0,ISNUMBER(O3095),ISNUMBER(P3095)),IF(Q3094=0,1,0),0)</f>
        <v>1</v>
      </c>
      <c r="S3095" s="56" t="n">
        <f aca="false">R3095*(B3095&gt;=Train_Start)*(B3095&lt;=Train_End)</f>
        <v>0</v>
      </c>
      <c r="T3095" s="84" t="n">
        <f aca="false">IF(AND(ISNUMBER(O3095),ISNUMBER(P3095)),Coef_A+Coef_B1*O3095+Coef_B2*P3095,"")</f>
        <v>18.1254342144003</v>
      </c>
      <c r="U3095" s="84" t="n">
        <f aca="false">IF(AND(R3095=1,ISNUMBER(T3095)),E3095-T3095,"")</f>
        <v>-0.225434214400273</v>
      </c>
      <c r="V3095" s="84" t="n">
        <f aca="false">IF(ISNUMBER(T3095),T3095,-99)</f>
        <v>18.1254342144003</v>
      </c>
      <c r="W3095" s="84" t="n">
        <f aca="false">IF(ISNUMBER(U3095),ABS(U3095),"")</f>
        <v>0.225434214400273</v>
      </c>
    </row>
    <row r="3096" customFormat="false" ht="15" hidden="false" customHeight="false" outlineLevel="0" collapsed="false">
      <c r="A3096" s="57" t="n">
        <v>36315</v>
      </c>
      <c r="B3096" s="56" t="n">
        <v>1999</v>
      </c>
      <c r="C3096" s="56" t="n">
        <v>6</v>
      </c>
      <c r="D3096" s="56" t="n">
        <v>35</v>
      </c>
      <c r="E3096" s="56" t="n">
        <v>18</v>
      </c>
      <c r="F3096" s="56" t="n">
        <v>0</v>
      </c>
      <c r="G3096" s="56" t="n">
        <v>11.2</v>
      </c>
      <c r="H3096" s="56" t="n">
        <v>0</v>
      </c>
      <c r="I3096" s="56" t="n">
        <v>14.6</v>
      </c>
      <c r="J3096" s="56" t="n">
        <v>0</v>
      </c>
      <c r="K3096" s="56" t="n">
        <v>1004.3</v>
      </c>
      <c r="L3096" s="56" t="n">
        <v>0</v>
      </c>
      <c r="M3096" s="56" t="n">
        <v>71</v>
      </c>
      <c r="N3096" s="56" t="n">
        <v>3.8</v>
      </c>
      <c r="O3096" s="56" t="n">
        <f aca="false">IF(D3096=1,"",E3095)</f>
        <v>17.9</v>
      </c>
      <c r="P3096" s="56" t="n">
        <f aca="false">IF(OR(D3096=1,K3095=""),"",K3095)</f>
        <v>1005.5</v>
      </c>
      <c r="Q3096" s="56" t="n">
        <f aca="false">IF(OR(F3096&lt;&gt;0,AND(I3096&lt;&gt;"",E3096&lt;I3096)),1,0)</f>
        <v>0</v>
      </c>
      <c r="R3096" s="56" t="n">
        <f aca="false">IF(AND(D3096&gt;1,Q3096=0,ISNUMBER(O3096),ISNUMBER(P3096)),IF(Q3095=0,1,0),0)</f>
        <v>1</v>
      </c>
      <c r="S3096" s="56" t="n">
        <f aca="false">R3096*(B3096&gt;=Train_Start)*(B3096&lt;=Train_End)</f>
        <v>0</v>
      </c>
      <c r="T3096" s="84" t="n">
        <f aca="false">IF(AND(ISNUMBER(O3096),ISNUMBER(P3096)),Coef_A+Coef_B1*O3096+Coef_B2*P3096,"")</f>
        <v>18.2955760319356</v>
      </c>
      <c r="U3096" s="84" t="n">
        <f aca="false">IF(AND(R3096=1,ISNUMBER(T3096)),E3096-T3096,"")</f>
        <v>-0.295576031935603</v>
      </c>
      <c r="V3096" s="84" t="n">
        <f aca="false">IF(ISNUMBER(T3096),T3096,-99)</f>
        <v>18.2955760319356</v>
      </c>
      <c r="W3096" s="84" t="n">
        <f aca="false">IF(ISNUMBER(U3096),ABS(U3096),"")</f>
        <v>0.295576031935603</v>
      </c>
    </row>
    <row r="3097" customFormat="false" ht="15" hidden="false" customHeight="false" outlineLevel="0" collapsed="false">
      <c r="A3097" s="57" t="n">
        <v>36316</v>
      </c>
      <c r="B3097" s="56" t="n">
        <v>1999</v>
      </c>
      <c r="C3097" s="56" t="n">
        <v>6</v>
      </c>
      <c r="D3097" s="56" t="n">
        <v>36</v>
      </c>
      <c r="E3097" s="56" t="n">
        <v>19.7</v>
      </c>
      <c r="F3097" s="56" t="n">
        <v>0</v>
      </c>
      <c r="G3097" s="56" t="n">
        <v>8.7</v>
      </c>
      <c r="H3097" s="56" t="n">
        <v>0</v>
      </c>
      <c r="I3097" s="56" t="n">
        <v>13.4</v>
      </c>
      <c r="J3097" s="56" t="n">
        <v>0</v>
      </c>
      <c r="K3097" s="56" t="n">
        <v>1000.6</v>
      </c>
      <c r="L3097" s="56" t="n">
        <v>0</v>
      </c>
      <c r="M3097" s="56" t="n">
        <v>74</v>
      </c>
      <c r="N3097" s="56" t="n">
        <v>8.7</v>
      </c>
      <c r="O3097" s="56" t="n">
        <f aca="false">IF(D3097=1,"",E3096)</f>
        <v>18</v>
      </c>
      <c r="P3097" s="56" t="n">
        <f aca="false">IF(OR(D3097=1,K3096=""),"",K3096)</f>
        <v>1004.3</v>
      </c>
      <c r="Q3097" s="56" t="n">
        <f aca="false">IF(OR(F3097&lt;&gt;0,AND(I3097&lt;&gt;"",E3097&lt;I3097)),1,0)</f>
        <v>0</v>
      </c>
      <c r="R3097" s="56" t="n">
        <f aca="false">IF(AND(D3097&gt;1,Q3097=0,ISNUMBER(O3097),ISNUMBER(P3097)),IF(Q3096=0,1,0),0)</f>
        <v>1</v>
      </c>
      <c r="S3097" s="56" t="n">
        <f aca="false">R3097*(B3097&gt;=Train_Start)*(B3097&lt;=Train_End)</f>
        <v>0</v>
      </c>
      <c r="T3097" s="84" t="n">
        <f aca="false">IF(AND(ISNUMBER(O3097),ISNUMBER(P3097)),Coef_A+Coef_B1*O3097+Coef_B2*P3097,"")</f>
        <v>18.3398660776791</v>
      </c>
      <c r="U3097" s="84" t="n">
        <f aca="false">IF(AND(R3097=1,ISNUMBER(T3097)),E3097-T3097,"")</f>
        <v>1.36013392232092</v>
      </c>
      <c r="V3097" s="84" t="n">
        <f aca="false">IF(ISNUMBER(T3097),T3097,-99)</f>
        <v>18.3398660776791</v>
      </c>
      <c r="W3097" s="84" t="n">
        <f aca="false">IF(ISNUMBER(U3097),ABS(U3097),"")</f>
        <v>1.36013392232092</v>
      </c>
    </row>
    <row r="3098" customFormat="false" ht="15" hidden="false" customHeight="false" outlineLevel="0" collapsed="false">
      <c r="A3098" s="57" t="n">
        <v>36317</v>
      </c>
      <c r="B3098" s="56" t="n">
        <v>1999</v>
      </c>
      <c r="C3098" s="56" t="n">
        <v>6</v>
      </c>
      <c r="D3098" s="56" t="n">
        <v>37</v>
      </c>
      <c r="E3098" s="56" t="n">
        <v>17.6</v>
      </c>
      <c r="F3098" s="56" t="n">
        <v>0</v>
      </c>
      <c r="G3098" s="56" t="n">
        <v>9.6</v>
      </c>
      <c r="H3098" s="56" t="n">
        <v>0</v>
      </c>
      <c r="I3098" s="56" t="n">
        <v>14.6</v>
      </c>
      <c r="J3098" s="56" t="n">
        <v>0</v>
      </c>
      <c r="K3098" s="56" t="n">
        <v>1003.2</v>
      </c>
      <c r="L3098" s="56" t="n">
        <v>0</v>
      </c>
      <c r="M3098" s="56" t="n">
        <v>69</v>
      </c>
      <c r="N3098" s="56" t="n">
        <v>7.8</v>
      </c>
      <c r="O3098" s="56" t="n">
        <f aca="false">IF(D3098=1,"",E3097)</f>
        <v>19.7</v>
      </c>
      <c r="P3098" s="56" t="n">
        <f aca="false">IF(OR(D3098=1,K3097=""),"",K3097)</f>
        <v>1000.6</v>
      </c>
      <c r="Q3098" s="56" t="n">
        <f aca="false">IF(OR(F3098&lt;&gt;0,AND(I3098&lt;&gt;"",E3098&lt;I3098)),1,0)</f>
        <v>0</v>
      </c>
      <c r="R3098" s="56" t="n">
        <f aca="false">IF(AND(D3098&gt;1,Q3098=0,ISNUMBER(O3098),ISNUMBER(P3098)),IF(Q3097=0,1,0),0)</f>
        <v>1</v>
      </c>
      <c r="S3098" s="56" t="n">
        <f aca="false">R3098*(B3098&gt;=Train_Start)*(B3098&lt;=Train_End)</f>
        <v>0</v>
      </c>
      <c r="T3098" s="84" t="n">
        <f aca="false">IF(AND(ISNUMBER(O3098),ISNUMBER(P3098)),Coef_A+Coef_B1*O3098+Coef_B2*P3098,"")</f>
        <v>19.6166740957058</v>
      </c>
      <c r="U3098" s="84" t="n">
        <f aca="false">IF(AND(R3098=1,ISNUMBER(T3098)),E3098-T3098,"")</f>
        <v>-2.01667409570583</v>
      </c>
      <c r="V3098" s="84" t="n">
        <f aca="false">IF(ISNUMBER(T3098),T3098,-99)</f>
        <v>19.6166740957058</v>
      </c>
      <c r="W3098" s="84" t="n">
        <f aca="false">IF(ISNUMBER(U3098),ABS(U3098),"")</f>
        <v>2.01667409570583</v>
      </c>
    </row>
    <row r="3099" customFormat="false" ht="15" hidden="false" customHeight="false" outlineLevel="0" collapsed="false">
      <c r="A3099" s="57" t="n">
        <v>36318</v>
      </c>
      <c r="B3099" s="56" t="n">
        <v>1999</v>
      </c>
      <c r="C3099" s="56" t="n">
        <v>6</v>
      </c>
      <c r="D3099" s="56" t="n">
        <v>38</v>
      </c>
      <c r="E3099" s="56" t="n">
        <v>18.3</v>
      </c>
      <c r="F3099" s="56" t="n">
        <v>0</v>
      </c>
      <c r="G3099" s="56" t="n">
        <v>9.8</v>
      </c>
      <c r="H3099" s="56" t="n">
        <v>0</v>
      </c>
      <c r="I3099" s="56" t="n">
        <v>13.7</v>
      </c>
      <c r="J3099" s="56" t="n">
        <v>0</v>
      </c>
      <c r="K3099" s="56" t="n">
        <v>1009.9</v>
      </c>
      <c r="L3099" s="56" t="n">
        <v>0</v>
      </c>
      <c r="M3099" s="56" t="n">
        <v>79</v>
      </c>
      <c r="N3099" s="56" t="n">
        <v>4.7</v>
      </c>
      <c r="O3099" s="56" t="n">
        <f aca="false">IF(D3099=1,"",E3098)</f>
        <v>17.6</v>
      </c>
      <c r="P3099" s="56" t="n">
        <f aca="false">IF(OR(D3099=1,K3098=""),"",K3098)</f>
        <v>1003.2</v>
      </c>
      <c r="Q3099" s="56" t="n">
        <f aca="false">IF(OR(F3099&lt;&gt;0,AND(I3099&lt;&gt;"",E3099&lt;I3099)),1,0)</f>
        <v>0</v>
      </c>
      <c r="R3099" s="56" t="n">
        <f aca="false">IF(AND(D3099&gt;1,Q3099=0,ISNUMBER(O3099),ISNUMBER(P3099)),IF(Q3098=0,1,0),0)</f>
        <v>1</v>
      </c>
      <c r="S3099" s="56" t="n">
        <f aca="false">R3099*(B3099&gt;=Train_Start)*(B3099&lt;=Train_End)</f>
        <v>0</v>
      </c>
      <c r="T3099" s="84" t="n">
        <f aca="false">IF(AND(ISNUMBER(O3099),ISNUMBER(P3099)),Coef_A+Coef_B1*O3099+Coef_B2*P3099,"")</f>
        <v>17.9776235163646</v>
      </c>
      <c r="U3099" s="84" t="n">
        <f aca="false">IF(AND(R3099=1,ISNUMBER(T3099)),E3099-T3099,"")</f>
        <v>0.32237648363537</v>
      </c>
      <c r="V3099" s="84" t="n">
        <f aca="false">IF(ISNUMBER(T3099),T3099,-99)</f>
        <v>17.9776235163646</v>
      </c>
      <c r="W3099" s="84" t="n">
        <f aca="false">IF(ISNUMBER(U3099),ABS(U3099),"")</f>
        <v>0.32237648363537</v>
      </c>
    </row>
    <row r="3100" customFormat="false" ht="15" hidden="false" customHeight="false" outlineLevel="0" collapsed="false">
      <c r="A3100" s="57" t="n">
        <v>36319</v>
      </c>
      <c r="B3100" s="56" t="n">
        <v>1999</v>
      </c>
      <c r="C3100" s="56" t="n">
        <v>6</v>
      </c>
      <c r="D3100" s="56" t="n">
        <v>39</v>
      </c>
      <c r="E3100" s="56" t="n">
        <v>19.1</v>
      </c>
      <c r="F3100" s="56" t="n">
        <v>0</v>
      </c>
      <c r="G3100" s="56" t="n">
        <v>5.7</v>
      </c>
      <c r="H3100" s="56" t="n">
        <v>0</v>
      </c>
      <c r="I3100" s="56" t="n">
        <v>12</v>
      </c>
      <c r="J3100" s="56" t="n">
        <v>0</v>
      </c>
      <c r="K3100" s="56" t="n">
        <v>1019.5</v>
      </c>
      <c r="L3100" s="56" t="n">
        <v>0</v>
      </c>
      <c r="M3100" s="56" t="n">
        <v>63</v>
      </c>
      <c r="N3100" s="56" t="n">
        <v>11.6</v>
      </c>
      <c r="O3100" s="56" t="n">
        <f aca="false">IF(D3100=1,"",E3099)</f>
        <v>18.3</v>
      </c>
      <c r="P3100" s="56" t="n">
        <f aca="false">IF(OR(D3100=1,K3099=""),"",K3099)</f>
        <v>1009.9</v>
      </c>
      <c r="Q3100" s="56" t="n">
        <f aca="false">IF(OR(F3100&lt;&gt;0,AND(I3100&lt;&gt;"",E3100&lt;I3100)),1,0)</f>
        <v>0</v>
      </c>
      <c r="R3100" s="56" t="n">
        <f aca="false">IF(AND(D3100&gt;1,Q3100=0,ISNUMBER(O3100),ISNUMBER(P3100)),IF(Q3099=0,1,0),0)</f>
        <v>1</v>
      </c>
      <c r="S3100" s="56" t="n">
        <f aca="false">R3100*(B3100&gt;=Train_Start)*(B3100&lt;=Train_End)</f>
        <v>0</v>
      </c>
      <c r="T3100" s="84" t="n">
        <f aca="false">IF(AND(ISNUMBER(O3100),ISNUMBER(P3100)),Coef_A+Coef_B1*O3100+Coef_B2*P3100,"")</f>
        <v>18.7613392455422</v>
      </c>
      <c r="U3100" s="84" t="n">
        <f aca="false">IF(AND(R3100=1,ISNUMBER(T3100)),E3100-T3100,"")</f>
        <v>0.338660754457784</v>
      </c>
      <c r="V3100" s="84" t="n">
        <f aca="false">IF(ISNUMBER(T3100),T3100,-99)</f>
        <v>18.7613392455422</v>
      </c>
      <c r="W3100" s="84" t="n">
        <f aca="false">IF(ISNUMBER(U3100),ABS(U3100),"")</f>
        <v>0.338660754457784</v>
      </c>
    </row>
    <row r="3101" customFormat="false" ht="15" hidden="false" customHeight="false" outlineLevel="0" collapsed="false">
      <c r="A3101" s="57" t="n">
        <v>36320</v>
      </c>
      <c r="B3101" s="56" t="n">
        <v>1999</v>
      </c>
      <c r="C3101" s="56" t="n">
        <v>6</v>
      </c>
      <c r="D3101" s="56" t="n">
        <v>40</v>
      </c>
      <c r="E3101" s="56" t="n">
        <v>18</v>
      </c>
      <c r="F3101" s="56" t="n">
        <v>0</v>
      </c>
      <c r="G3101" s="56" t="n">
        <v>6.7</v>
      </c>
      <c r="H3101" s="56" t="n">
        <v>0</v>
      </c>
      <c r="I3101" s="56" t="n">
        <v>12.9</v>
      </c>
      <c r="J3101" s="56" t="n">
        <v>0</v>
      </c>
      <c r="K3101" s="56" t="n">
        <v>1024.7</v>
      </c>
      <c r="L3101" s="56" t="n">
        <v>0</v>
      </c>
      <c r="M3101" s="56" t="n">
        <v>63</v>
      </c>
      <c r="N3101" s="56" t="n">
        <v>14.2</v>
      </c>
      <c r="O3101" s="56" t="n">
        <f aca="false">IF(D3101=1,"",E3100)</f>
        <v>19.1</v>
      </c>
      <c r="P3101" s="56" t="n">
        <f aca="false">IF(OR(D3101=1,K3100=""),"",K3100)</f>
        <v>1019.5</v>
      </c>
      <c r="Q3101" s="56" t="n">
        <f aca="false">IF(OR(F3101&lt;&gt;0,AND(I3101&lt;&gt;"",E3101&lt;I3101)),1,0)</f>
        <v>0</v>
      </c>
      <c r="R3101" s="56" t="n">
        <f aca="false">IF(AND(D3101&gt;1,Q3101=0,ISNUMBER(O3101),ISNUMBER(P3101)),IF(Q3100=0,1,0),0)</f>
        <v>1</v>
      </c>
      <c r="S3101" s="56" t="n">
        <f aca="false">R3101*(B3101&gt;=Train_Start)*(B3101&lt;=Train_End)</f>
        <v>0</v>
      </c>
      <c r="T3101" s="84" t="n">
        <f aca="false">IF(AND(ISNUMBER(O3101),ISNUMBER(P3101)),Coef_A+Coef_B1*O3101+Coef_B2*P3101,"")</f>
        <v>19.7179615884626</v>
      </c>
      <c r="U3101" s="84" t="n">
        <f aca="false">IF(AND(R3101=1,ISNUMBER(T3101)),E3101-T3101,"")</f>
        <v>-1.71796158846264</v>
      </c>
      <c r="V3101" s="84" t="n">
        <f aca="false">IF(ISNUMBER(T3101),T3101,-99)</f>
        <v>19.7179615884626</v>
      </c>
      <c r="W3101" s="84" t="n">
        <f aca="false">IF(ISNUMBER(U3101),ABS(U3101),"")</f>
        <v>1.71796158846264</v>
      </c>
    </row>
    <row r="3102" customFormat="false" ht="15" hidden="false" customHeight="false" outlineLevel="0" collapsed="false">
      <c r="A3102" s="57" t="n">
        <v>36321</v>
      </c>
      <c r="B3102" s="56" t="n">
        <v>1999</v>
      </c>
      <c r="C3102" s="56" t="n">
        <v>6</v>
      </c>
      <c r="D3102" s="56" t="n">
        <v>41</v>
      </c>
      <c r="E3102" s="56" t="n">
        <v>17.3</v>
      </c>
      <c r="F3102" s="56" t="n">
        <v>0</v>
      </c>
      <c r="G3102" s="56" t="n">
        <v>8.7</v>
      </c>
      <c r="H3102" s="56" t="n">
        <v>0</v>
      </c>
      <c r="I3102" s="56" t="n">
        <v>13.4</v>
      </c>
      <c r="J3102" s="56" t="n">
        <v>0</v>
      </c>
      <c r="K3102" s="56" t="n">
        <v>1026.6</v>
      </c>
      <c r="L3102" s="56" t="n">
        <v>0</v>
      </c>
      <c r="M3102" s="56" t="n">
        <v>67</v>
      </c>
      <c r="N3102" s="56" t="n">
        <v>4.2</v>
      </c>
      <c r="O3102" s="56" t="n">
        <f aca="false">IF(D3102=1,"",E3101)</f>
        <v>18</v>
      </c>
      <c r="P3102" s="56" t="n">
        <f aca="false">IF(OR(D3102=1,K3101=""),"",K3101)</f>
        <v>1024.7</v>
      </c>
      <c r="Q3102" s="56" t="n">
        <f aca="false">IF(OR(F3102&lt;&gt;0,AND(I3102&lt;&gt;"",E3102&lt;I3102)),1,0)</f>
        <v>0</v>
      </c>
      <c r="R3102" s="56" t="n">
        <f aca="false">IF(AND(D3102&gt;1,Q3102=0,ISNUMBER(O3102),ISNUMBER(P3102)),IF(Q3101=0,1,0),0)</f>
        <v>1</v>
      </c>
      <c r="S3102" s="56" t="n">
        <f aca="false">R3102*(B3102&gt;=Train_Start)*(B3102&lt;=Train_End)</f>
        <v>0</v>
      </c>
      <c r="T3102" s="84" t="n">
        <f aca="false">IF(AND(ISNUMBER(O3102),ISNUMBER(P3102)),Coef_A+Coef_B1*O3102+Coef_B2*P3102,"")</f>
        <v>18.9798119282125</v>
      </c>
      <c r="U3102" s="84" t="n">
        <f aca="false">IF(AND(R3102=1,ISNUMBER(T3102)),E3102-T3102,"")</f>
        <v>-1.67981192821246</v>
      </c>
      <c r="V3102" s="84" t="n">
        <f aca="false">IF(ISNUMBER(T3102),T3102,-99)</f>
        <v>18.9798119282125</v>
      </c>
      <c r="W3102" s="84" t="n">
        <f aca="false">IF(ISNUMBER(U3102),ABS(U3102),"")</f>
        <v>1.67981192821246</v>
      </c>
    </row>
    <row r="3103" customFormat="false" ht="15" hidden="false" customHeight="false" outlineLevel="0" collapsed="false">
      <c r="A3103" s="57" t="n">
        <v>36322</v>
      </c>
      <c r="B3103" s="56" t="n">
        <v>1999</v>
      </c>
      <c r="C3103" s="56" t="n">
        <v>6</v>
      </c>
      <c r="D3103" s="56" t="n">
        <v>42</v>
      </c>
      <c r="E3103" s="56" t="n">
        <v>16.5</v>
      </c>
      <c r="F3103" s="56" t="n">
        <v>0</v>
      </c>
      <c r="G3103" s="56" t="n">
        <v>12.3</v>
      </c>
      <c r="H3103" s="56" t="n">
        <v>0</v>
      </c>
      <c r="I3103" s="56" t="n">
        <v>14.8</v>
      </c>
      <c r="J3103" s="56" t="n">
        <v>0</v>
      </c>
      <c r="K3103" s="56" t="n">
        <v>1025.7</v>
      </c>
      <c r="L3103" s="56" t="n">
        <v>0</v>
      </c>
      <c r="M3103" s="56" t="n">
        <v>73</v>
      </c>
      <c r="N3103" s="56" t="n">
        <v>1.5</v>
      </c>
      <c r="O3103" s="56" t="n">
        <f aca="false">IF(D3103=1,"",E3102)</f>
        <v>17.3</v>
      </c>
      <c r="P3103" s="56" t="n">
        <f aca="false">IF(OR(D3103=1,K3102=""),"",K3102)</f>
        <v>1026.6</v>
      </c>
      <c r="Q3103" s="56" t="n">
        <f aca="false">IF(OR(F3103&lt;&gt;0,AND(I3103&lt;&gt;"",E3103&lt;I3103)),1,0)</f>
        <v>0</v>
      </c>
      <c r="R3103" s="56" t="n">
        <f aca="false">IF(AND(D3103&gt;1,Q3103=0,ISNUMBER(O3103),ISNUMBER(P3103)),IF(Q3102=0,1,0),0)</f>
        <v>1</v>
      </c>
      <c r="S3103" s="56" t="n">
        <f aca="false">R3103*(B3103&gt;=Train_Start)*(B3103&lt;=Train_End)</f>
        <v>0</v>
      </c>
      <c r="T3103" s="84" t="n">
        <f aca="false">IF(AND(ISNUMBER(O3103),ISNUMBER(P3103)),Coef_A+Coef_B1*O3103+Coef_B2*P3103,"")</f>
        <v>18.4658772928872</v>
      </c>
      <c r="U3103" s="84" t="n">
        <f aca="false">IF(AND(R3103=1,ISNUMBER(T3103)),E3103-T3103,"")</f>
        <v>-1.96587729288719</v>
      </c>
      <c r="V3103" s="84" t="n">
        <f aca="false">IF(ISNUMBER(T3103),T3103,-99)</f>
        <v>18.4658772928872</v>
      </c>
      <c r="W3103" s="84" t="n">
        <f aca="false">IF(ISNUMBER(U3103),ABS(U3103),"")</f>
        <v>1.96587729288719</v>
      </c>
    </row>
    <row r="3104" customFormat="false" ht="15" hidden="false" customHeight="false" outlineLevel="0" collapsed="false">
      <c r="A3104" s="57" t="n">
        <v>36323</v>
      </c>
      <c r="B3104" s="56" t="n">
        <v>1999</v>
      </c>
      <c r="C3104" s="56" t="n">
        <v>6</v>
      </c>
      <c r="D3104" s="56" t="n">
        <v>43</v>
      </c>
      <c r="E3104" s="56" t="n">
        <v>20.9</v>
      </c>
      <c r="F3104" s="56" t="n">
        <v>0</v>
      </c>
      <c r="G3104" s="56" t="n">
        <v>12.3</v>
      </c>
      <c r="H3104" s="56" t="n">
        <v>0</v>
      </c>
      <c r="I3104" s="56" t="n">
        <v>14.4</v>
      </c>
      <c r="J3104" s="56" t="n">
        <v>0</v>
      </c>
      <c r="K3104" s="56" t="n">
        <v>1021.8</v>
      </c>
      <c r="L3104" s="56" t="n">
        <v>0</v>
      </c>
      <c r="M3104" s="56" t="n">
        <v>79</v>
      </c>
      <c r="N3104" s="56" t="n">
        <v>0.1</v>
      </c>
      <c r="O3104" s="56" t="n">
        <f aca="false">IF(D3104=1,"",E3103)</f>
        <v>16.5</v>
      </c>
      <c r="P3104" s="56" t="n">
        <f aca="false">IF(OR(D3104=1,K3103=""),"",K3103)</f>
        <v>1025.7</v>
      </c>
      <c r="Q3104" s="56" t="n">
        <f aca="false">IF(OR(F3104&lt;&gt;0,AND(I3104&lt;&gt;"",E3104&lt;I3104)),1,0)</f>
        <v>0</v>
      </c>
      <c r="R3104" s="56" t="n">
        <f aca="false">IF(AND(D3104&gt;1,Q3104=0,ISNUMBER(O3104),ISNUMBER(P3104)),IF(Q3103=0,1,0),0)</f>
        <v>1</v>
      </c>
      <c r="S3104" s="56" t="n">
        <f aca="false">R3104*(B3104&gt;=Train_Start)*(B3104&lt;=Train_End)</f>
        <v>0</v>
      </c>
      <c r="T3104" s="84" t="n">
        <f aca="false">IF(AND(ISNUMBER(O3104),ISNUMBER(P3104)),Coef_A+Coef_B1*O3104+Coef_B2*P3104,"")</f>
        <v>17.7821730332825</v>
      </c>
      <c r="U3104" s="84" t="n">
        <f aca="false">IF(AND(R3104=1,ISNUMBER(T3104)),E3104-T3104,"")</f>
        <v>3.11782696671753</v>
      </c>
      <c r="V3104" s="84" t="n">
        <f aca="false">IF(ISNUMBER(T3104),T3104,-99)</f>
        <v>17.7821730332825</v>
      </c>
      <c r="W3104" s="84" t="n">
        <f aca="false">IF(ISNUMBER(U3104),ABS(U3104),"")</f>
        <v>3.11782696671753</v>
      </c>
    </row>
    <row r="3105" customFormat="false" ht="15" hidden="false" customHeight="false" outlineLevel="0" collapsed="false">
      <c r="A3105" s="57" t="n">
        <v>36324</v>
      </c>
      <c r="B3105" s="56" t="n">
        <v>1999</v>
      </c>
      <c r="C3105" s="56" t="n">
        <v>6</v>
      </c>
      <c r="D3105" s="56" t="n">
        <v>44</v>
      </c>
      <c r="E3105" s="56" t="n">
        <v>23</v>
      </c>
      <c r="F3105" s="56" t="n">
        <v>0</v>
      </c>
      <c r="G3105" s="56" t="n">
        <v>9.6</v>
      </c>
      <c r="H3105" s="56" t="n">
        <v>0</v>
      </c>
      <c r="I3105" s="56" t="n">
        <v>15.2</v>
      </c>
      <c r="J3105" s="56" t="n">
        <v>0</v>
      </c>
      <c r="K3105" s="56" t="n">
        <v>1023.1</v>
      </c>
      <c r="L3105" s="56" t="n">
        <v>0</v>
      </c>
      <c r="M3105" s="56" t="n">
        <v>69</v>
      </c>
      <c r="N3105" s="56" t="n">
        <v>10.8</v>
      </c>
      <c r="O3105" s="56" t="n">
        <f aca="false">IF(D3105=1,"",E3104)</f>
        <v>20.9</v>
      </c>
      <c r="P3105" s="56" t="n">
        <f aca="false">IF(OR(D3105=1,K3104=""),"",K3104)</f>
        <v>1021.8</v>
      </c>
      <c r="Q3105" s="56" t="n">
        <f aca="false">IF(OR(F3105&lt;&gt;0,AND(I3105&lt;&gt;"",E3105&lt;I3105)),1,0)</f>
        <v>0</v>
      </c>
      <c r="R3105" s="56" t="n">
        <f aca="false">IF(AND(D3105&gt;1,Q3105=0,ISNUMBER(O3105),ISNUMBER(P3105)),IF(Q3104=0,1,0),0)</f>
        <v>1</v>
      </c>
      <c r="S3105" s="56" t="n">
        <f aca="false">R3105*(B3105&gt;=Train_Start)*(B3105&lt;=Train_End)</f>
        <v>0</v>
      </c>
      <c r="T3105" s="84" t="n">
        <f aca="false">IF(AND(ISNUMBER(O3105),ISNUMBER(P3105)),Coef_A+Coef_B1*O3105+Coef_B2*P3105,"")</f>
        <v>21.2649228935976</v>
      </c>
      <c r="U3105" s="84" t="n">
        <f aca="false">IF(AND(R3105=1,ISNUMBER(T3105)),E3105-T3105,"")</f>
        <v>1.7350771064024</v>
      </c>
      <c r="V3105" s="84" t="n">
        <f aca="false">IF(ISNUMBER(T3105),T3105,-99)</f>
        <v>21.2649228935976</v>
      </c>
      <c r="W3105" s="84" t="n">
        <f aca="false">IF(ISNUMBER(U3105),ABS(U3105),"")</f>
        <v>1.7350771064024</v>
      </c>
    </row>
    <row r="3106" customFormat="false" ht="15" hidden="false" customHeight="false" outlineLevel="0" collapsed="false">
      <c r="A3106" s="57" t="n">
        <v>36325</v>
      </c>
      <c r="B3106" s="56" t="n">
        <v>1999</v>
      </c>
      <c r="C3106" s="56" t="n">
        <v>6</v>
      </c>
      <c r="D3106" s="56" t="n">
        <v>45</v>
      </c>
      <c r="E3106" s="56" t="n">
        <v>24.9</v>
      </c>
      <c r="F3106" s="56" t="n">
        <v>0</v>
      </c>
      <c r="G3106" s="56" t="n">
        <v>11.2</v>
      </c>
      <c r="H3106" s="56" t="n">
        <v>0</v>
      </c>
      <c r="I3106" s="56" t="n">
        <v>17.1</v>
      </c>
      <c r="J3106" s="56" t="n">
        <v>0</v>
      </c>
      <c r="K3106" s="56" t="n">
        <v>1025.2</v>
      </c>
      <c r="L3106" s="56" t="n">
        <v>0</v>
      </c>
      <c r="M3106" s="56" t="n">
        <v>68</v>
      </c>
      <c r="N3106" s="56" t="n">
        <v>7.7</v>
      </c>
      <c r="O3106" s="56" t="n">
        <f aca="false">IF(D3106=1,"",E3105)</f>
        <v>23</v>
      </c>
      <c r="P3106" s="56" t="n">
        <f aca="false">IF(OR(D3106=1,K3105=""),"",K3105)</f>
        <v>1023.1</v>
      </c>
      <c r="Q3106" s="56" t="n">
        <f aca="false">IF(OR(F3106&lt;&gt;0,AND(I3106&lt;&gt;"",E3106&lt;I3106)),1,0)</f>
        <v>0</v>
      </c>
      <c r="R3106" s="56" t="n">
        <f aca="false">IF(AND(D3106&gt;1,Q3106=0,ISNUMBER(O3106),ISNUMBER(P3106)),IF(Q3105=0,1,0),0)</f>
        <v>1</v>
      </c>
      <c r="S3106" s="56" t="n">
        <f aca="false">R3106*(B3106&gt;=Train_Start)*(B3106&lt;=Train_End)</f>
        <v>0</v>
      </c>
      <c r="T3106" s="84" t="n">
        <f aca="false">IF(AND(ISNUMBER(O3106),ISNUMBER(P3106)),Coef_A+Coef_B1*O3106+Coef_B2*P3106,"")</f>
        <v>23.0263160620114</v>
      </c>
      <c r="U3106" s="84" t="n">
        <f aca="false">IF(AND(R3106=1,ISNUMBER(T3106)),E3106-T3106,"")</f>
        <v>1.87368393798863</v>
      </c>
      <c r="V3106" s="84" t="n">
        <f aca="false">IF(ISNUMBER(T3106),T3106,-99)</f>
        <v>23.0263160620114</v>
      </c>
      <c r="W3106" s="84" t="n">
        <f aca="false">IF(ISNUMBER(U3106),ABS(U3106),"")</f>
        <v>1.87368393798863</v>
      </c>
    </row>
    <row r="3107" customFormat="false" ht="15" hidden="false" customHeight="false" outlineLevel="0" collapsed="false">
      <c r="A3107" s="57" t="n">
        <v>36326</v>
      </c>
      <c r="B3107" s="56" t="n">
        <v>1999</v>
      </c>
      <c r="C3107" s="56" t="n">
        <v>6</v>
      </c>
      <c r="D3107" s="56" t="n">
        <v>46</v>
      </c>
      <c r="E3107" s="56" t="n">
        <v>25.5</v>
      </c>
      <c r="F3107" s="56" t="n">
        <v>0</v>
      </c>
      <c r="G3107" s="56" t="n">
        <v>12.4</v>
      </c>
      <c r="H3107" s="56" t="n">
        <v>0</v>
      </c>
      <c r="I3107" s="56" t="n">
        <v>18.6</v>
      </c>
      <c r="J3107" s="56" t="n">
        <v>0</v>
      </c>
      <c r="K3107" s="56" t="n">
        <v>1026.1</v>
      </c>
      <c r="L3107" s="56" t="n">
        <v>0</v>
      </c>
      <c r="M3107" s="56" t="n">
        <v>64</v>
      </c>
      <c r="N3107" s="56" t="n">
        <v>13.7</v>
      </c>
      <c r="O3107" s="56" t="n">
        <f aca="false">IF(D3107=1,"",E3106)</f>
        <v>24.9</v>
      </c>
      <c r="P3107" s="56" t="n">
        <f aca="false">IF(OR(D3107=1,K3106=""),"",K3106)</f>
        <v>1025.2</v>
      </c>
      <c r="Q3107" s="56" t="n">
        <f aca="false">IF(OR(F3107&lt;&gt;0,AND(I3107&lt;&gt;"",E3107&lt;I3107)),1,0)</f>
        <v>0</v>
      </c>
      <c r="R3107" s="56" t="n">
        <f aca="false">IF(AND(D3107&gt;1,Q3107=0,ISNUMBER(O3107),ISNUMBER(P3107)),IF(Q3106=0,1,0),0)</f>
        <v>1</v>
      </c>
      <c r="S3107" s="56" t="n">
        <f aca="false">R3107*(B3107&gt;=Train_Start)*(B3107&lt;=Train_End)</f>
        <v>0</v>
      </c>
      <c r="T3107" s="84" t="n">
        <f aca="false">IF(AND(ISNUMBER(O3107),ISNUMBER(P3107)),Coef_A+Coef_B1*O3107+Coef_B2*P3107,"")</f>
        <v>24.6489373075238</v>
      </c>
      <c r="U3107" s="84" t="n">
        <f aca="false">IF(AND(R3107=1,ISNUMBER(T3107)),E3107-T3107,"")</f>
        <v>0.851062692476202</v>
      </c>
      <c r="V3107" s="84" t="n">
        <f aca="false">IF(ISNUMBER(T3107),T3107,-99)</f>
        <v>24.6489373075238</v>
      </c>
      <c r="W3107" s="84" t="n">
        <f aca="false">IF(ISNUMBER(U3107),ABS(U3107),"")</f>
        <v>0.851062692476202</v>
      </c>
    </row>
    <row r="3108" customFormat="false" ht="15" hidden="false" customHeight="false" outlineLevel="0" collapsed="false">
      <c r="A3108" s="57" t="n">
        <v>36327</v>
      </c>
      <c r="B3108" s="56" t="n">
        <v>1999</v>
      </c>
      <c r="C3108" s="56" t="n">
        <v>6</v>
      </c>
      <c r="D3108" s="56" t="n">
        <v>47</v>
      </c>
      <c r="E3108" s="56" t="n">
        <v>21.4</v>
      </c>
      <c r="F3108" s="56" t="n">
        <v>0</v>
      </c>
      <c r="G3108" s="56" t="n">
        <v>13</v>
      </c>
      <c r="H3108" s="56" t="n">
        <v>0</v>
      </c>
      <c r="I3108" s="56" t="n">
        <v>19.2</v>
      </c>
      <c r="J3108" s="56" t="n">
        <v>0</v>
      </c>
      <c r="K3108" s="56" t="n">
        <v>1023.4</v>
      </c>
      <c r="L3108" s="56" t="n">
        <v>0</v>
      </c>
      <c r="M3108" s="56" t="n">
        <v>62</v>
      </c>
      <c r="N3108" s="56" t="n">
        <v>14.4</v>
      </c>
      <c r="O3108" s="56" t="n">
        <f aca="false">IF(D3108=1,"",E3107)</f>
        <v>25.5</v>
      </c>
      <c r="P3108" s="56" t="n">
        <f aca="false">IF(OR(D3108=1,K3107=""),"",K3107)</f>
        <v>1026.1</v>
      </c>
      <c r="Q3108" s="56" t="n">
        <f aca="false">IF(OR(F3108&lt;&gt;0,AND(I3108&lt;&gt;"",E3108&lt;I3108)),1,0)</f>
        <v>0</v>
      </c>
      <c r="R3108" s="56" t="n">
        <f aca="false">IF(AND(D3108&gt;1,Q3108=0,ISNUMBER(O3108),ISNUMBER(P3108)),IF(Q3107=0,1,0),0)</f>
        <v>1</v>
      </c>
      <c r="S3108" s="56" t="n">
        <f aca="false">R3108*(B3108&gt;=Train_Start)*(B3108&lt;=Train_End)</f>
        <v>0</v>
      </c>
      <c r="T3108" s="84" t="n">
        <f aca="false">IF(AND(ISNUMBER(O3108),ISNUMBER(P3108)),Coef_A+Coef_B1*O3108+Coef_B2*P3108,"")</f>
        <v>25.16877372852</v>
      </c>
      <c r="U3108" s="84" t="n">
        <f aca="false">IF(AND(R3108=1,ISNUMBER(T3108)),E3108-T3108,"")</f>
        <v>-3.76877372851998</v>
      </c>
      <c r="V3108" s="84" t="n">
        <f aca="false">IF(ISNUMBER(T3108),T3108,-99)</f>
        <v>25.16877372852</v>
      </c>
      <c r="W3108" s="84" t="n">
        <f aca="false">IF(ISNUMBER(U3108),ABS(U3108),"")</f>
        <v>3.76877372851998</v>
      </c>
    </row>
    <row r="3109" customFormat="false" ht="15" hidden="false" customHeight="false" outlineLevel="0" collapsed="false">
      <c r="A3109" s="57" t="n">
        <v>36328</v>
      </c>
      <c r="B3109" s="56" t="n">
        <v>1999</v>
      </c>
      <c r="C3109" s="56" t="n">
        <v>6</v>
      </c>
      <c r="D3109" s="56" t="n">
        <v>48</v>
      </c>
      <c r="E3109" s="56" t="n">
        <v>23.2</v>
      </c>
      <c r="F3109" s="56" t="n">
        <v>0</v>
      </c>
      <c r="G3109" s="56" t="n">
        <v>12.6</v>
      </c>
      <c r="H3109" s="56" t="n">
        <v>0</v>
      </c>
      <c r="I3109" s="56" t="n">
        <v>17</v>
      </c>
      <c r="J3109" s="56" t="n">
        <v>0</v>
      </c>
      <c r="K3109" s="56" t="n">
        <v>1023.2</v>
      </c>
      <c r="L3109" s="56" t="n">
        <v>0</v>
      </c>
      <c r="M3109" s="56" t="n">
        <v>66</v>
      </c>
      <c r="N3109" s="56" t="n">
        <v>9</v>
      </c>
      <c r="O3109" s="56" t="n">
        <f aca="false">IF(D3109=1,"",E3108)</f>
        <v>21.4</v>
      </c>
      <c r="P3109" s="56" t="n">
        <f aca="false">IF(OR(D3109=1,K3108=""),"",K3108)</f>
        <v>1023.4</v>
      </c>
      <c r="Q3109" s="56" t="n">
        <f aca="false">IF(OR(F3109&lt;&gt;0,AND(I3109&lt;&gt;"",E3109&lt;I3109)),1,0)</f>
        <v>0</v>
      </c>
      <c r="R3109" s="56" t="n">
        <f aca="false">IF(AND(D3109&gt;1,Q3109=0,ISNUMBER(O3109),ISNUMBER(P3109)),IF(Q3108=0,1,0),0)</f>
        <v>1</v>
      </c>
      <c r="S3109" s="56" t="n">
        <f aca="false">R3109*(B3109&gt;=Train_Start)*(B3109&lt;=Train_End)</f>
        <v>0</v>
      </c>
      <c r="T3109" s="84" t="n">
        <f aca="false">IF(AND(ISNUMBER(O3109),ISNUMBER(P3109)),Coef_A+Coef_B1*O3109+Coef_B2*P3109,"")</f>
        <v>21.7247843215333</v>
      </c>
      <c r="U3109" s="84" t="n">
        <f aca="false">IF(AND(R3109=1,ISNUMBER(T3109)),E3109-T3109,"")</f>
        <v>1.47521567846668</v>
      </c>
      <c r="V3109" s="84" t="n">
        <f aca="false">IF(ISNUMBER(T3109),T3109,-99)</f>
        <v>21.7247843215333</v>
      </c>
      <c r="W3109" s="84" t="n">
        <f aca="false">IF(ISNUMBER(U3109),ABS(U3109),"")</f>
        <v>1.47521567846668</v>
      </c>
    </row>
    <row r="3110" customFormat="false" ht="15" hidden="false" customHeight="false" outlineLevel="0" collapsed="false">
      <c r="A3110" s="57" t="n">
        <v>36329</v>
      </c>
      <c r="B3110" s="56" t="n">
        <v>1999</v>
      </c>
      <c r="C3110" s="56" t="n">
        <v>6</v>
      </c>
      <c r="D3110" s="56" t="n">
        <v>49</v>
      </c>
      <c r="E3110" s="56" t="n">
        <v>21</v>
      </c>
      <c r="F3110" s="56" t="n">
        <v>0</v>
      </c>
      <c r="G3110" s="56" t="n">
        <v>10.9</v>
      </c>
      <c r="H3110" s="56" t="n">
        <v>0</v>
      </c>
      <c r="I3110" s="56" t="n">
        <v>17</v>
      </c>
      <c r="J3110" s="56" t="n">
        <v>0</v>
      </c>
      <c r="K3110" s="56" t="n">
        <v>1025.4</v>
      </c>
      <c r="L3110" s="56" t="n">
        <v>0</v>
      </c>
      <c r="M3110" s="56" t="n">
        <v>58</v>
      </c>
      <c r="N3110" s="56" t="n">
        <v>15.3</v>
      </c>
      <c r="O3110" s="56" t="n">
        <f aca="false">IF(D3110=1,"",E3109)</f>
        <v>23.2</v>
      </c>
      <c r="P3110" s="56" t="n">
        <f aca="false">IF(OR(D3110=1,K3109=""),"",K3109)</f>
        <v>1023.2</v>
      </c>
      <c r="Q3110" s="56" t="n">
        <f aca="false">IF(OR(F3110&lt;&gt;0,AND(I3110&lt;&gt;"",E3110&lt;I3110)),1,0)</f>
        <v>0</v>
      </c>
      <c r="R3110" s="56" t="n">
        <f aca="false">IF(AND(D3110&gt;1,Q3110=0,ISNUMBER(O3110),ISNUMBER(P3110)),IF(Q3109=0,1,0),0)</f>
        <v>1</v>
      </c>
      <c r="S3110" s="56" t="n">
        <f aca="false">R3110*(B3110&gt;=Train_Start)*(B3110&lt;=Train_End)</f>
        <v>0</v>
      </c>
      <c r="T3110" s="84" t="n">
        <f aca="false">IF(AND(ISNUMBER(O3110),ISNUMBER(P3110)),Coef_A+Coef_B1*O3110+Coef_B2*P3110,"")</f>
        <v>23.1933208900833</v>
      </c>
      <c r="U3110" s="84" t="n">
        <f aca="false">IF(AND(R3110=1,ISNUMBER(T3110)),E3110-T3110,"")</f>
        <v>-2.1933208900833</v>
      </c>
      <c r="V3110" s="84" t="n">
        <f aca="false">IF(ISNUMBER(T3110),T3110,-99)</f>
        <v>23.1933208900833</v>
      </c>
      <c r="W3110" s="84" t="n">
        <f aca="false">IF(ISNUMBER(U3110),ABS(U3110),"")</f>
        <v>2.1933208900833</v>
      </c>
    </row>
    <row r="3111" customFormat="false" ht="15" hidden="false" customHeight="false" outlineLevel="0" collapsed="false">
      <c r="A3111" s="57" t="n">
        <v>36330</v>
      </c>
      <c r="B3111" s="56" t="n">
        <v>1999</v>
      </c>
      <c r="C3111" s="56" t="n">
        <v>6</v>
      </c>
      <c r="D3111" s="56" t="n">
        <v>50</v>
      </c>
      <c r="E3111" s="56" t="n">
        <v>18.9</v>
      </c>
      <c r="F3111" s="56" t="n">
        <v>0</v>
      </c>
      <c r="G3111" s="56" t="n">
        <v>11.6</v>
      </c>
      <c r="H3111" s="56" t="n">
        <v>0</v>
      </c>
      <c r="I3111" s="56" t="n">
        <v>16.3</v>
      </c>
      <c r="J3111" s="56" t="n">
        <v>0</v>
      </c>
      <c r="K3111" s="56" t="n">
        <v>1021.1</v>
      </c>
      <c r="L3111" s="56" t="n">
        <v>0</v>
      </c>
      <c r="M3111" s="56" t="n">
        <v>73</v>
      </c>
      <c r="N3111" s="56" t="n">
        <v>6.2</v>
      </c>
      <c r="O3111" s="56" t="n">
        <f aca="false">IF(D3111=1,"",E3110)</f>
        <v>21</v>
      </c>
      <c r="P3111" s="56" t="n">
        <f aca="false">IF(OR(D3111=1,K3110=""),"",K3110)</f>
        <v>1025.4</v>
      </c>
      <c r="Q3111" s="56" t="n">
        <f aca="false">IF(OR(F3111&lt;&gt;0,AND(I3111&lt;&gt;"",E3111&lt;I3111)),1,0)</f>
        <v>0</v>
      </c>
      <c r="R3111" s="56" t="n">
        <f aca="false">IF(AND(D3111&gt;1,Q3111=0,ISNUMBER(O3111),ISNUMBER(P3111)),IF(Q3110=0,1,0),0)</f>
        <v>1</v>
      </c>
      <c r="S3111" s="56" t="n">
        <f aca="false">R3111*(B3111&gt;=Train_Start)*(B3111&lt;=Train_End)</f>
        <v>0</v>
      </c>
      <c r="T3111" s="84" t="n">
        <f aca="false">IF(AND(ISNUMBER(O3111),ISNUMBER(P3111)),Coef_A+Coef_B1*O3111+Coef_B2*P3111,"")</f>
        <v>21.4597884335842</v>
      </c>
      <c r="U3111" s="84" t="n">
        <f aca="false">IF(AND(R3111=1,ISNUMBER(T3111)),E3111-T3111,"")</f>
        <v>-2.55978843358423</v>
      </c>
      <c r="V3111" s="84" t="n">
        <f aca="false">IF(ISNUMBER(T3111),T3111,-99)</f>
        <v>21.4597884335842</v>
      </c>
      <c r="W3111" s="84" t="n">
        <f aca="false">IF(ISNUMBER(U3111),ABS(U3111),"")</f>
        <v>2.55978843358423</v>
      </c>
    </row>
    <row r="3112" customFormat="false" ht="15" hidden="false" customHeight="false" outlineLevel="0" collapsed="false">
      <c r="A3112" s="57" t="n">
        <v>36331</v>
      </c>
      <c r="B3112" s="56" t="n">
        <v>1999</v>
      </c>
      <c r="C3112" s="56" t="n">
        <v>6</v>
      </c>
      <c r="D3112" s="56" t="n">
        <v>51</v>
      </c>
      <c r="E3112" s="56" t="n">
        <v>17</v>
      </c>
      <c r="F3112" s="56" t="n">
        <v>0</v>
      </c>
      <c r="G3112" s="56" t="n">
        <v>14.5</v>
      </c>
      <c r="H3112" s="56" t="n">
        <v>0</v>
      </c>
      <c r="I3112" s="56" t="n">
        <v>16.7</v>
      </c>
      <c r="J3112" s="56" t="n">
        <v>0</v>
      </c>
      <c r="K3112" s="56" t="n">
        <v>1013.2</v>
      </c>
      <c r="L3112" s="56" t="n">
        <v>0</v>
      </c>
      <c r="M3112" s="56" t="n">
        <v>64</v>
      </c>
      <c r="N3112" s="56" t="n">
        <v>9.2</v>
      </c>
      <c r="O3112" s="56" t="n">
        <f aca="false">IF(D3112=1,"",E3111)</f>
        <v>18.9</v>
      </c>
      <c r="P3112" s="56" t="n">
        <f aca="false">IF(OR(D3112=1,K3111=""),"",K3111)</f>
        <v>1021.1</v>
      </c>
      <c r="Q3112" s="56" t="n">
        <f aca="false">IF(OR(F3112&lt;&gt;0,AND(I3112&lt;&gt;"",E3112&lt;I3112)),1,0)</f>
        <v>0</v>
      </c>
      <c r="R3112" s="56" t="n">
        <f aca="false">IF(AND(D3112&gt;1,Q3112=0,ISNUMBER(O3112),ISNUMBER(P3112)),IF(Q3111=0,1,0),0)</f>
        <v>1</v>
      </c>
      <c r="S3112" s="56" t="n">
        <f aca="false">R3112*(B3112&gt;=Train_Start)*(B3112&lt;=Train_End)</f>
        <v>0</v>
      </c>
      <c r="T3112" s="84" t="n">
        <f aca="false">IF(AND(ISNUMBER(O3112),ISNUMBER(P3112)),Coef_A+Coef_B1*O3112+Coef_B2*P3112,"")</f>
        <v>19.6042855812685</v>
      </c>
      <c r="U3112" s="84" t="n">
        <f aca="false">IF(AND(R3112=1,ISNUMBER(T3112)),E3112-T3112,"")</f>
        <v>-2.60428558126849</v>
      </c>
      <c r="V3112" s="84" t="n">
        <f aca="false">IF(ISNUMBER(T3112),T3112,-99)</f>
        <v>19.6042855812685</v>
      </c>
      <c r="W3112" s="84" t="n">
        <f aca="false">IF(ISNUMBER(U3112),ABS(U3112),"")</f>
        <v>2.60428558126849</v>
      </c>
    </row>
    <row r="3113" customFormat="false" ht="15" hidden="false" customHeight="false" outlineLevel="0" collapsed="false">
      <c r="A3113" s="57" t="n">
        <v>36332</v>
      </c>
      <c r="B3113" s="56" t="n">
        <v>1999</v>
      </c>
      <c r="C3113" s="56" t="n">
        <v>6</v>
      </c>
      <c r="D3113" s="56" t="n">
        <v>52</v>
      </c>
      <c r="E3113" s="56" t="n">
        <v>18.4</v>
      </c>
      <c r="F3113" s="56" t="n">
        <v>0</v>
      </c>
      <c r="G3113" s="56" t="n">
        <v>9.4</v>
      </c>
      <c r="H3113" s="56" t="n">
        <v>0</v>
      </c>
      <c r="I3113" s="56" t="n">
        <v>13.2</v>
      </c>
      <c r="J3113" s="56" t="n">
        <v>0</v>
      </c>
      <c r="K3113" s="56" t="n">
        <v>1019.4</v>
      </c>
      <c r="L3113" s="56" t="n">
        <v>0</v>
      </c>
      <c r="M3113" s="56" t="n">
        <v>59</v>
      </c>
      <c r="N3113" s="56" t="n">
        <v>9.6</v>
      </c>
      <c r="O3113" s="56" t="n">
        <f aca="false">IF(D3113=1,"",E3112)</f>
        <v>17</v>
      </c>
      <c r="P3113" s="56" t="n">
        <f aca="false">IF(OR(D3113=1,K3112=""),"",K3112)</f>
        <v>1013.2</v>
      </c>
      <c r="Q3113" s="56" t="n">
        <f aca="false">IF(OR(F3113&lt;&gt;0,AND(I3113&lt;&gt;"",E3113&lt;I3113)),1,0)</f>
        <v>0</v>
      </c>
      <c r="R3113" s="56" t="n">
        <f aca="false">IF(AND(D3113&gt;1,Q3113=0,ISNUMBER(O3113),ISNUMBER(P3113)),IF(Q3112=0,1,0),0)</f>
        <v>1</v>
      </c>
      <c r="S3113" s="56" t="n">
        <f aca="false">R3113*(B3113&gt;=Train_Start)*(B3113&lt;=Train_End)</f>
        <v>0</v>
      </c>
      <c r="T3113" s="84" t="n">
        <f aca="false">IF(AND(ISNUMBER(O3113),ISNUMBER(P3113)),Coef_A+Coef_B1*O3113+Coef_B2*P3113,"")</f>
        <v>17.7997189468789</v>
      </c>
      <c r="U3113" s="84" t="n">
        <f aca="false">IF(AND(R3113=1,ISNUMBER(T3113)),E3113-T3113,"")</f>
        <v>0.600281053121069</v>
      </c>
      <c r="V3113" s="84" t="n">
        <f aca="false">IF(ISNUMBER(T3113),T3113,-99)</f>
        <v>17.7997189468789</v>
      </c>
      <c r="W3113" s="84" t="n">
        <f aca="false">IF(ISNUMBER(U3113),ABS(U3113),"")</f>
        <v>0.600281053121069</v>
      </c>
    </row>
    <row r="3114" customFormat="false" ht="15" hidden="false" customHeight="false" outlineLevel="0" collapsed="false">
      <c r="A3114" s="57" t="n">
        <v>36333</v>
      </c>
      <c r="B3114" s="56" t="n">
        <v>1999</v>
      </c>
      <c r="C3114" s="56" t="n">
        <v>6</v>
      </c>
      <c r="D3114" s="56" t="n">
        <v>53</v>
      </c>
      <c r="E3114" s="56" t="n">
        <v>21.7</v>
      </c>
      <c r="F3114" s="56" t="n">
        <v>0</v>
      </c>
      <c r="G3114" s="56" t="n">
        <v>7.5</v>
      </c>
      <c r="H3114" s="56" t="n">
        <v>0</v>
      </c>
      <c r="I3114" s="56" t="n">
        <v>13</v>
      </c>
      <c r="J3114" s="56" t="n">
        <v>0</v>
      </c>
      <c r="K3114" s="56" t="n">
        <v>1022.9</v>
      </c>
      <c r="L3114" s="56" t="n">
        <v>0</v>
      </c>
      <c r="M3114" s="56" t="n">
        <v>60</v>
      </c>
      <c r="N3114" s="56" t="n">
        <v>7.8</v>
      </c>
      <c r="O3114" s="56" t="n">
        <f aca="false">IF(D3114=1,"",E3113)</f>
        <v>18.4</v>
      </c>
      <c r="P3114" s="56" t="n">
        <f aca="false">IF(OR(D3114=1,K3113=""),"",K3113)</f>
        <v>1019.4</v>
      </c>
      <c r="Q3114" s="56" t="n">
        <f aca="false">IF(OR(F3114&lt;&gt;0,AND(I3114&lt;&gt;"",E3114&lt;I3114)),1,0)</f>
        <v>0</v>
      </c>
      <c r="R3114" s="56" t="n">
        <f aca="false">IF(AND(D3114&gt;1,Q3114=0,ISNUMBER(O3114),ISNUMBER(P3114)),IF(Q3113=0,1,0),0)</f>
        <v>1</v>
      </c>
      <c r="S3114" s="56" t="n">
        <f aca="false">R3114*(B3114&gt;=Train_Start)*(B3114&lt;=Train_End)</f>
        <v>0</v>
      </c>
      <c r="T3114" s="84" t="n">
        <f aca="false">IF(AND(ISNUMBER(O3114),ISNUMBER(P3114)),Coef_A+Coef_B1*O3114+Coef_B2*P3114,"")</f>
        <v>19.1412871638694</v>
      </c>
      <c r="U3114" s="84" t="n">
        <f aca="false">IF(AND(R3114=1,ISNUMBER(T3114)),E3114-T3114,"")</f>
        <v>2.55871283613062</v>
      </c>
      <c r="V3114" s="84" t="n">
        <f aca="false">IF(ISNUMBER(T3114),T3114,-99)</f>
        <v>19.1412871638694</v>
      </c>
      <c r="W3114" s="84" t="n">
        <f aca="false">IF(ISNUMBER(U3114),ABS(U3114),"")</f>
        <v>2.55871283613062</v>
      </c>
    </row>
    <row r="3115" customFormat="false" ht="15" hidden="false" customHeight="false" outlineLevel="0" collapsed="false">
      <c r="A3115" s="57" t="n">
        <v>36334</v>
      </c>
      <c r="B3115" s="56" t="n">
        <v>1999</v>
      </c>
      <c r="C3115" s="56" t="n">
        <v>6</v>
      </c>
      <c r="D3115" s="56" t="n">
        <v>54</v>
      </c>
      <c r="E3115" s="56" t="n">
        <v>23</v>
      </c>
      <c r="F3115" s="56" t="n">
        <v>0</v>
      </c>
      <c r="G3115" s="56" t="n">
        <v>12.1</v>
      </c>
      <c r="H3115" s="56" t="n">
        <v>0</v>
      </c>
      <c r="I3115" s="56" t="n">
        <v>16.9</v>
      </c>
      <c r="J3115" s="56" t="n">
        <v>0</v>
      </c>
      <c r="K3115" s="56" t="n">
        <v>1022.7</v>
      </c>
      <c r="L3115" s="56" t="n">
        <v>0</v>
      </c>
      <c r="M3115" s="56" t="n">
        <v>60</v>
      </c>
      <c r="N3115" s="56" t="n">
        <v>5.9</v>
      </c>
      <c r="O3115" s="56" t="n">
        <f aca="false">IF(D3115=1,"",E3114)</f>
        <v>21.7</v>
      </c>
      <c r="P3115" s="56" t="n">
        <f aca="false">IF(OR(D3115=1,K3114=""),"",K3114)</f>
        <v>1022.9</v>
      </c>
      <c r="Q3115" s="56" t="n">
        <f aca="false">IF(OR(F3115&lt;&gt;0,AND(I3115&lt;&gt;"",E3115&lt;I3115)),1,0)</f>
        <v>0</v>
      </c>
      <c r="R3115" s="56" t="n">
        <f aca="false">IF(AND(D3115&gt;1,Q3115=0,ISNUMBER(O3115),ISNUMBER(P3115)),IF(Q3114=0,1,0),0)</f>
        <v>1</v>
      </c>
      <c r="S3115" s="56" t="n">
        <f aca="false">R3115*(B3115&gt;=Train_Start)*(B3115&lt;=Train_End)</f>
        <v>0</v>
      </c>
      <c r="T3115" s="84" t="n">
        <f aca="false">IF(AND(ISNUMBER(O3115),ISNUMBER(P3115)),Coef_A+Coef_B1*O3115+Coef_B2*P3115,"")</f>
        <v>21.9549011321291</v>
      </c>
      <c r="U3115" s="84" t="n">
        <f aca="false">IF(AND(R3115=1,ISNUMBER(T3115)),E3115-T3115,"")</f>
        <v>1.04509886787088</v>
      </c>
      <c r="V3115" s="84" t="n">
        <f aca="false">IF(ISNUMBER(T3115),T3115,-99)</f>
        <v>21.9549011321291</v>
      </c>
      <c r="W3115" s="84" t="n">
        <f aca="false">IF(ISNUMBER(U3115),ABS(U3115),"")</f>
        <v>1.04509886787088</v>
      </c>
    </row>
    <row r="3116" customFormat="false" ht="15" hidden="false" customHeight="false" outlineLevel="0" collapsed="false">
      <c r="A3116" s="57" t="n">
        <v>36335</v>
      </c>
      <c r="B3116" s="56" t="n">
        <v>1999</v>
      </c>
      <c r="C3116" s="56" t="n">
        <v>6</v>
      </c>
      <c r="D3116" s="56" t="n">
        <v>55</v>
      </c>
      <c r="E3116" s="56" t="n">
        <v>22.3</v>
      </c>
      <c r="F3116" s="56" t="n">
        <v>0</v>
      </c>
      <c r="G3116" s="56" t="n">
        <v>11.4</v>
      </c>
      <c r="H3116" s="56" t="n">
        <v>0</v>
      </c>
      <c r="I3116" s="56" t="n">
        <v>17.2</v>
      </c>
      <c r="J3116" s="56" t="n">
        <v>0</v>
      </c>
      <c r="K3116" s="56" t="n">
        <v>1025.2</v>
      </c>
      <c r="L3116" s="56" t="n">
        <v>0</v>
      </c>
      <c r="M3116" s="56" t="n">
        <v>67</v>
      </c>
      <c r="N3116" s="56" t="n">
        <v>7.4</v>
      </c>
      <c r="O3116" s="56" t="n">
        <f aca="false">IF(D3116=1,"",E3115)</f>
        <v>23</v>
      </c>
      <c r="P3116" s="56" t="n">
        <f aca="false">IF(OR(D3116=1,K3115=""),"",K3115)</f>
        <v>1022.7</v>
      </c>
      <c r="Q3116" s="56" t="n">
        <f aca="false">IF(OR(F3116&lt;&gt;0,AND(I3116&lt;&gt;"",E3116&lt;I3116)),1,0)</f>
        <v>0</v>
      </c>
      <c r="R3116" s="56" t="n">
        <f aca="false">IF(AND(D3116&gt;1,Q3116=0,ISNUMBER(O3116),ISNUMBER(P3116)),IF(Q3115=0,1,0),0)</f>
        <v>1</v>
      </c>
      <c r="S3116" s="56" t="n">
        <f aca="false">R3116*(B3116&gt;=Train_Start)*(B3116&lt;=Train_End)</f>
        <v>0</v>
      </c>
      <c r="T3116" s="84" t="n">
        <f aca="false">IF(AND(ISNUMBER(O3116),ISNUMBER(P3116)),Coef_A+Coef_B1*O3116+Coef_B2*P3116,"")</f>
        <v>23.0137681041578</v>
      </c>
      <c r="U3116" s="84" t="n">
        <f aca="false">IF(AND(R3116=1,ISNUMBER(T3116)),E3116-T3116,"")</f>
        <v>-0.713768104157779</v>
      </c>
      <c r="V3116" s="84" t="n">
        <f aca="false">IF(ISNUMBER(T3116),T3116,-99)</f>
        <v>23.0137681041578</v>
      </c>
      <c r="W3116" s="84" t="n">
        <f aca="false">IF(ISNUMBER(U3116),ABS(U3116),"")</f>
        <v>0.713768104157779</v>
      </c>
    </row>
    <row r="3117" customFormat="false" ht="15" hidden="false" customHeight="false" outlineLevel="0" collapsed="false">
      <c r="A3117" s="57" t="n">
        <v>36336</v>
      </c>
      <c r="B3117" s="56" t="n">
        <v>1999</v>
      </c>
      <c r="C3117" s="56" t="n">
        <v>6</v>
      </c>
      <c r="D3117" s="56" t="n">
        <v>56</v>
      </c>
      <c r="E3117" s="56" t="n">
        <v>26.7</v>
      </c>
      <c r="F3117" s="56" t="n">
        <v>0</v>
      </c>
      <c r="G3117" s="56" t="n">
        <v>11.8</v>
      </c>
      <c r="H3117" s="56" t="n">
        <v>0</v>
      </c>
      <c r="I3117" s="56" t="n">
        <v>17</v>
      </c>
      <c r="J3117" s="56" t="n">
        <v>0</v>
      </c>
      <c r="K3117" s="56" t="n">
        <v>1021.3</v>
      </c>
      <c r="L3117" s="56" t="n">
        <v>0</v>
      </c>
      <c r="M3117" s="56" t="n">
        <v>57</v>
      </c>
      <c r="N3117" s="56" t="n">
        <v>15.5</v>
      </c>
      <c r="O3117" s="56" t="n">
        <f aca="false">IF(D3117=1,"",E3116)</f>
        <v>22.3</v>
      </c>
      <c r="P3117" s="56" t="n">
        <f aca="false">IF(OR(D3117=1,K3116=""),"",K3116)</f>
        <v>1025.2</v>
      </c>
      <c r="Q3117" s="56" t="n">
        <f aca="false">IF(OR(F3117&lt;&gt;0,AND(I3117&lt;&gt;"",E3117&lt;I3117)),1,0)</f>
        <v>0</v>
      </c>
      <c r="R3117" s="56" t="n">
        <f aca="false">IF(AND(D3117&gt;1,Q3117=0,ISNUMBER(O3117),ISNUMBER(P3117)),IF(Q3116=0,1,0),0)</f>
        <v>1</v>
      </c>
      <c r="S3117" s="56" t="n">
        <f aca="false">R3117*(B3117&gt;=Train_Start)*(B3117&lt;=Train_End)</f>
        <v>0</v>
      </c>
      <c r="T3117" s="84" t="n">
        <f aca="false">IF(AND(ISNUMBER(O3117),ISNUMBER(P3117)),Coef_A+Coef_B1*O3117+Coef_B2*P3117,"")</f>
        <v>22.5186554056129</v>
      </c>
      <c r="U3117" s="84" t="n">
        <f aca="false">IF(AND(R3117=1,ISNUMBER(T3117)),E3117-T3117,"")</f>
        <v>4.18134459438711</v>
      </c>
      <c r="V3117" s="84" t="n">
        <f aca="false">IF(ISNUMBER(T3117),T3117,-99)</f>
        <v>22.5186554056129</v>
      </c>
      <c r="W3117" s="84" t="n">
        <f aca="false">IF(ISNUMBER(U3117),ABS(U3117),"")</f>
        <v>4.18134459438711</v>
      </c>
    </row>
    <row r="3118" customFormat="false" ht="15" hidden="false" customHeight="false" outlineLevel="0" collapsed="false">
      <c r="A3118" s="57" t="n">
        <v>36337</v>
      </c>
      <c r="B3118" s="56" t="n">
        <v>1999</v>
      </c>
      <c r="C3118" s="56" t="n">
        <v>6</v>
      </c>
      <c r="D3118" s="56" t="n">
        <v>57</v>
      </c>
      <c r="E3118" s="56" t="n">
        <v>18.9</v>
      </c>
      <c r="F3118" s="56" t="n">
        <v>1</v>
      </c>
      <c r="G3118" s="56" t="n">
        <v>11.9</v>
      </c>
      <c r="H3118" s="56" t="n">
        <v>0</v>
      </c>
      <c r="I3118" s="56" t="n">
        <v>19.3</v>
      </c>
      <c r="J3118" s="56" t="n">
        <v>1</v>
      </c>
      <c r="K3118" s="56" t="n">
        <v>1008</v>
      </c>
      <c r="L3118" s="56" t="n">
        <v>0</v>
      </c>
      <c r="M3118" s="56" t="n">
        <v>64</v>
      </c>
      <c r="N3118" s="56" t="n">
        <v>11</v>
      </c>
      <c r="O3118" s="56" t="n">
        <f aca="false">IF(D3118=1,"",E3117)</f>
        <v>26.7</v>
      </c>
      <c r="P3118" s="56" t="n">
        <f aca="false">IF(OR(D3118=1,K3117=""),"",K3117)</f>
        <v>1021.3</v>
      </c>
      <c r="Q3118" s="56" t="n">
        <f aca="false">IF(OR(F3118&lt;&gt;0,AND(I3118&lt;&gt;"",E3118&lt;I3118)),1,0)</f>
        <v>1</v>
      </c>
      <c r="R3118" s="56" t="n">
        <f aca="false">IF(AND(D3118&gt;1,Q3118=0,ISNUMBER(O3118),ISNUMBER(P3118)),IF(Q3117=0,1,0),0)</f>
        <v>0</v>
      </c>
      <c r="S3118" s="56" t="n">
        <f aca="false">R3118*(B3118&gt;=Train_Start)*(B3118&lt;=Train_End)</f>
        <v>0</v>
      </c>
      <c r="T3118" s="84" t="n">
        <f aca="false">IF(AND(ISNUMBER(O3118),ISNUMBER(P3118)),Coef_A+Coef_B1*O3118+Coef_B2*P3118,"")</f>
        <v>26.001405265928</v>
      </c>
      <c r="U3118" s="84" t="str">
        <f aca="false">IF(AND(R3118=1,ISNUMBER(T3118)),E3118-T3118,"")</f>
        <v/>
      </c>
      <c r="V3118" s="84" t="n">
        <f aca="false">IF(ISNUMBER(T3118),T3118,-99)</f>
        <v>26.001405265928</v>
      </c>
      <c r="W3118" s="84" t="str">
        <f aca="false">IF(ISNUMBER(U3118),ABS(U3118),"")</f>
        <v/>
      </c>
    </row>
    <row r="3119" customFormat="false" ht="15" hidden="false" customHeight="false" outlineLevel="0" collapsed="false">
      <c r="A3119" s="57" t="n">
        <v>36338</v>
      </c>
      <c r="B3119" s="56" t="n">
        <v>1999</v>
      </c>
      <c r="C3119" s="56" t="n">
        <v>6</v>
      </c>
      <c r="D3119" s="56" t="n">
        <v>58</v>
      </c>
      <c r="E3119" s="56" t="n">
        <v>19.5</v>
      </c>
      <c r="F3119" s="56" t="n">
        <v>0</v>
      </c>
      <c r="G3119" s="56" t="n">
        <v>15.5</v>
      </c>
      <c r="H3119" s="56" t="n">
        <v>0</v>
      </c>
      <c r="I3119" s="56" t="n">
        <v>17.2</v>
      </c>
      <c r="J3119" s="56" t="n">
        <v>0</v>
      </c>
      <c r="K3119" s="56" t="n">
        <v>1000.6</v>
      </c>
      <c r="L3119" s="56" t="n">
        <v>0</v>
      </c>
      <c r="M3119" s="56" t="n">
        <v>73</v>
      </c>
      <c r="N3119" s="56" t="n">
        <v>4</v>
      </c>
      <c r="O3119" s="56" t="n">
        <f aca="false">IF(D3119=1,"",E3118)</f>
        <v>18.9</v>
      </c>
      <c r="P3119" s="56" t="n">
        <f aca="false">IF(OR(D3119=1,K3118=""),"",K3118)</f>
        <v>1008</v>
      </c>
      <c r="Q3119" s="56" t="n">
        <f aca="false">IF(OR(F3119&lt;&gt;0,AND(I3119&lt;&gt;"",E3119&lt;I3119)),1,0)</f>
        <v>0</v>
      </c>
      <c r="R3119" s="56" t="n">
        <f aca="false">IF(AND(D3119&gt;1,Q3119=0,ISNUMBER(O3119),ISNUMBER(P3119)),IF(Q3118=0,1,0),0)</f>
        <v>0</v>
      </c>
      <c r="S3119" s="56" t="n">
        <f aca="false">R3119*(B3119&gt;=Train_Start)*(B3119&lt;=Train_End)</f>
        <v>0</v>
      </c>
      <c r="T3119" s="84" t="n">
        <f aca="false">IF(AND(ISNUMBER(O3119),ISNUMBER(P3119)),Coef_A+Coef_B1*O3119+Coef_B2*P3119,"")</f>
        <v>19.1933399615632</v>
      </c>
      <c r="U3119" s="84" t="str">
        <f aca="false">IF(AND(R3119=1,ISNUMBER(T3119)),E3119-T3119,"")</f>
        <v/>
      </c>
      <c r="V3119" s="84" t="n">
        <f aca="false">IF(ISNUMBER(T3119),T3119,-99)</f>
        <v>19.1933399615632</v>
      </c>
      <c r="W3119" s="84" t="str">
        <f aca="false">IF(ISNUMBER(U3119),ABS(U3119),"")</f>
        <v/>
      </c>
    </row>
    <row r="3120" customFormat="false" ht="15" hidden="false" customHeight="false" outlineLevel="0" collapsed="false">
      <c r="A3120" s="57" t="n">
        <v>36339</v>
      </c>
      <c r="B3120" s="56" t="n">
        <v>1999</v>
      </c>
      <c r="C3120" s="56" t="n">
        <v>6</v>
      </c>
      <c r="D3120" s="56" t="n">
        <v>59</v>
      </c>
      <c r="E3120" s="56" t="n">
        <v>17.5</v>
      </c>
      <c r="F3120" s="56" t="n">
        <v>0</v>
      </c>
      <c r="G3120" s="56" t="n">
        <v>10.6</v>
      </c>
      <c r="H3120" s="56" t="n">
        <v>0</v>
      </c>
      <c r="I3120" s="56" t="n">
        <v>15</v>
      </c>
      <c r="J3120" s="56" t="n">
        <v>0</v>
      </c>
      <c r="K3120" s="56" t="n">
        <v>1007.7</v>
      </c>
      <c r="L3120" s="56" t="n">
        <v>0</v>
      </c>
      <c r="M3120" s="56" t="n">
        <v>72</v>
      </c>
      <c r="N3120" s="56" t="n">
        <v>8.5</v>
      </c>
      <c r="O3120" s="56" t="n">
        <f aca="false">IF(D3120=1,"",E3119)</f>
        <v>19.5</v>
      </c>
      <c r="P3120" s="56" t="n">
        <f aca="false">IF(OR(D3120=1,K3119=""),"",K3119)</f>
        <v>1000.6</v>
      </c>
      <c r="Q3120" s="56" t="n">
        <f aca="false">IF(OR(F3120&lt;&gt;0,AND(I3120&lt;&gt;"",E3120&lt;I3120)),1,0)</f>
        <v>0</v>
      </c>
      <c r="R3120" s="56" t="n">
        <f aca="false">IF(AND(D3120&gt;1,Q3120=0,ISNUMBER(O3120),ISNUMBER(P3120)),IF(Q3119=0,1,0),0)</f>
        <v>1</v>
      </c>
      <c r="S3120" s="56" t="n">
        <f aca="false">R3120*(B3120&gt;=Train_Start)*(B3120&lt;=Train_End)</f>
        <v>0</v>
      </c>
      <c r="T3120" s="84" t="n">
        <f aca="false">IF(AND(ISNUMBER(O3120),ISNUMBER(P3120)),Coef_A+Coef_B1*O3120+Coef_B2*P3120,"")</f>
        <v>19.4528062570973</v>
      </c>
      <c r="U3120" s="84" t="n">
        <f aca="false">IF(AND(R3120=1,ISNUMBER(T3120)),E3120-T3120,"")</f>
        <v>-1.95280625709731</v>
      </c>
      <c r="V3120" s="84" t="n">
        <f aca="false">IF(ISNUMBER(T3120),T3120,-99)</f>
        <v>19.4528062570973</v>
      </c>
      <c r="W3120" s="84" t="n">
        <f aca="false">IF(ISNUMBER(U3120),ABS(U3120),"")</f>
        <v>1.95280625709731</v>
      </c>
    </row>
    <row r="3121" customFormat="false" ht="15" hidden="false" customHeight="false" outlineLevel="0" collapsed="false">
      <c r="A3121" s="57" t="n">
        <v>36340</v>
      </c>
      <c r="B3121" s="56" t="n">
        <v>1999</v>
      </c>
      <c r="C3121" s="56" t="n">
        <v>6</v>
      </c>
      <c r="D3121" s="56" t="n">
        <v>60</v>
      </c>
      <c r="E3121" s="56" t="n">
        <v>20.5</v>
      </c>
      <c r="F3121" s="56" t="n">
        <v>0</v>
      </c>
      <c r="G3121" s="56" t="n">
        <v>13.4</v>
      </c>
      <c r="H3121" s="56" t="n">
        <v>0</v>
      </c>
      <c r="I3121" s="56" t="n">
        <v>15.4</v>
      </c>
      <c r="J3121" s="56" t="n">
        <v>0</v>
      </c>
      <c r="K3121" s="56" t="n">
        <v>1009.8</v>
      </c>
      <c r="L3121" s="56" t="n">
        <v>0</v>
      </c>
      <c r="M3121" s="56" t="n">
        <v>96</v>
      </c>
      <c r="N3121" s="56" t="n">
        <v>0</v>
      </c>
      <c r="O3121" s="56" t="n">
        <f aca="false">IF(D3121=1,"",E3120)</f>
        <v>17.5</v>
      </c>
      <c r="P3121" s="56" t="n">
        <f aca="false">IF(OR(D3121=1,K3120=""),"",K3120)</f>
        <v>1007.7</v>
      </c>
      <c r="Q3121" s="56" t="n">
        <f aca="false">IF(OR(F3121&lt;&gt;0,AND(I3121&lt;&gt;"",E3121&lt;I3121)),1,0)</f>
        <v>0</v>
      </c>
      <c r="R3121" s="56" t="n">
        <f aca="false">IF(AND(D3121&gt;1,Q3121=0,ISNUMBER(O3121),ISNUMBER(P3121)),IF(Q3120=0,1,0),0)</f>
        <v>1</v>
      </c>
      <c r="S3121" s="56" t="n">
        <f aca="false">R3121*(B3121&gt;=Train_Start)*(B3121&lt;=Train_End)</f>
        <v>0</v>
      </c>
      <c r="T3121" s="84" t="n">
        <f aca="false">IF(AND(ISNUMBER(O3121),ISNUMBER(P3121)),Coef_A+Coef_B1*O3121+Coef_B2*P3121,"")</f>
        <v>18.0368541229133</v>
      </c>
      <c r="U3121" s="84" t="n">
        <f aca="false">IF(AND(R3121=1,ISNUMBER(T3121)),E3121-T3121,"")</f>
        <v>2.46314587708668</v>
      </c>
      <c r="V3121" s="84" t="n">
        <f aca="false">IF(ISNUMBER(T3121),T3121,-99)</f>
        <v>18.0368541229133</v>
      </c>
      <c r="W3121" s="84" t="n">
        <f aca="false">IF(ISNUMBER(U3121),ABS(U3121),"")</f>
        <v>2.46314587708668</v>
      </c>
    </row>
    <row r="3122" customFormat="false" ht="15" hidden="false" customHeight="false" outlineLevel="0" collapsed="false">
      <c r="A3122" s="57" t="n">
        <v>36341</v>
      </c>
      <c r="B3122" s="56" t="n">
        <v>1999</v>
      </c>
      <c r="C3122" s="56" t="n">
        <v>6</v>
      </c>
      <c r="D3122" s="56" t="n">
        <v>61</v>
      </c>
      <c r="E3122" s="56" t="n">
        <v>21.5</v>
      </c>
      <c r="F3122" s="56" t="n">
        <v>0</v>
      </c>
      <c r="G3122" s="56" t="n">
        <v>11.3</v>
      </c>
      <c r="H3122" s="56" t="n">
        <v>0</v>
      </c>
      <c r="I3122" s="56" t="n">
        <v>15.9</v>
      </c>
      <c r="J3122" s="56" t="n">
        <v>0</v>
      </c>
      <c r="K3122" s="56" t="n">
        <v>1017.9</v>
      </c>
      <c r="L3122" s="56" t="n">
        <v>0</v>
      </c>
      <c r="M3122" s="56" t="n">
        <v>70</v>
      </c>
      <c r="N3122" s="56" t="n">
        <v>8</v>
      </c>
      <c r="O3122" s="56" t="n">
        <f aca="false">IF(D3122=1,"",E3121)</f>
        <v>20.5</v>
      </c>
      <c r="P3122" s="56" t="n">
        <f aca="false">IF(OR(D3122=1,K3121=""),"",K3121)</f>
        <v>1009.8</v>
      </c>
      <c r="Q3122" s="56" t="n">
        <f aca="false">IF(OR(F3122&lt;&gt;0,AND(I3122&lt;&gt;"",E3122&lt;I3122)),1,0)</f>
        <v>0</v>
      </c>
      <c r="R3122" s="56" t="n">
        <f aca="false">IF(AND(D3122&gt;1,Q3122=0,ISNUMBER(O3122),ISNUMBER(P3122)),IF(Q3121=0,1,0),0)</f>
        <v>1</v>
      </c>
      <c r="S3122" s="56" t="n">
        <f aca="false">R3122*(B3122&gt;=Train_Start)*(B3122&lt;=Train_End)</f>
        <v>0</v>
      </c>
      <c r="T3122" s="84" t="n">
        <f aca="false">IF(AND(ISNUMBER(O3122),ISNUMBER(P3122)),Coef_A+Coef_B1*O3122+Coef_B2*P3122,"")</f>
        <v>20.5607484807727</v>
      </c>
      <c r="U3122" s="84" t="n">
        <f aca="false">IF(AND(R3122=1,ISNUMBER(T3122)),E3122-T3122,"")</f>
        <v>0.939251519227337</v>
      </c>
      <c r="V3122" s="84" t="n">
        <f aca="false">IF(ISNUMBER(T3122),T3122,-99)</f>
        <v>20.5607484807727</v>
      </c>
      <c r="W3122" s="84" t="n">
        <f aca="false">IF(ISNUMBER(U3122),ABS(U3122),"")</f>
        <v>0.939251519227337</v>
      </c>
    </row>
    <row r="3123" customFormat="false" ht="15" hidden="false" customHeight="false" outlineLevel="0" collapsed="false">
      <c r="A3123" s="57" t="n">
        <v>36342</v>
      </c>
      <c r="B3123" s="56" t="n">
        <v>1999</v>
      </c>
      <c r="C3123" s="56" t="n">
        <v>7</v>
      </c>
      <c r="D3123" s="56" t="n">
        <v>62</v>
      </c>
      <c r="E3123" s="56" t="n">
        <v>26</v>
      </c>
      <c r="F3123" s="56" t="n">
        <v>0</v>
      </c>
      <c r="G3123" s="56" t="n">
        <v>13.3</v>
      </c>
      <c r="H3123" s="56" t="n">
        <v>0</v>
      </c>
      <c r="I3123" s="56" t="n">
        <v>17.4</v>
      </c>
      <c r="J3123" s="56" t="n">
        <v>0</v>
      </c>
      <c r="K3123" s="56" t="n">
        <v>1015.8</v>
      </c>
      <c r="L3123" s="56" t="n">
        <v>0</v>
      </c>
      <c r="M3123" s="56" t="n">
        <v>81</v>
      </c>
      <c r="N3123" s="56" t="n">
        <v>2.2</v>
      </c>
      <c r="O3123" s="56" t="n">
        <f aca="false">IF(D3123=1,"",E3122)</f>
        <v>21.5</v>
      </c>
      <c r="P3123" s="56" t="n">
        <f aca="false">IF(OR(D3123=1,K3122=""),"",K3122)</f>
        <v>1017.9</v>
      </c>
      <c r="Q3123" s="56" t="n">
        <f aca="false">IF(OR(F3123&lt;&gt;0,AND(I3123&lt;&gt;"",E3123&lt;I3123)),1,0)</f>
        <v>0</v>
      </c>
      <c r="R3123" s="56" t="n">
        <f aca="false">IF(AND(D3123&gt;1,Q3123=0,ISNUMBER(O3123),ISNUMBER(P3123)),IF(Q3122=0,1,0),0)</f>
        <v>1</v>
      </c>
      <c r="S3123" s="56" t="n">
        <f aca="false">R3123*(B3123&gt;=Train_Start)*(B3123&lt;=Train_End)</f>
        <v>0</v>
      </c>
      <c r="T3123" s="84" t="n">
        <f aca="false">IF(AND(ISNUMBER(O3123),ISNUMBER(P3123)),Coef_A+Coef_B1*O3123+Coef_B2*P3123,"")</f>
        <v>21.6341838203506</v>
      </c>
      <c r="U3123" s="84" t="n">
        <f aca="false">IF(AND(R3123=1,ISNUMBER(T3123)),E3123-T3123,"")</f>
        <v>4.36581617964936</v>
      </c>
      <c r="V3123" s="84" t="n">
        <f aca="false">IF(ISNUMBER(T3123),T3123,-99)</f>
        <v>21.6341838203506</v>
      </c>
      <c r="W3123" s="84" t="n">
        <f aca="false">IF(ISNUMBER(U3123),ABS(U3123),"")</f>
        <v>4.36581617964936</v>
      </c>
    </row>
    <row r="3124" customFormat="false" ht="15" hidden="false" customHeight="false" outlineLevel="0" collapsed="false">
      <c r="A3124" s="57" t="n">
        <v>36343</v>
      </c>
      <c r="B3124" s="56" t="n">
        <v>1999</v>
      </c>
      <c r="C3124" s="56" t="n">
        <v>7</v>
      </c>
      <c r="D3124" s="56" t="n">
        <v>63</v>
      </c>
      <c r="E3124" s="56" t="n">
        <v>23.9</v>
      </c>
      <c r="F3124" s="56" t="n">
        <v>0</v>
      </c>
      <c r="G3124" s="56" t="n">
        <v>14</v>
      </c>
      <c r="H3124" s="56" t="n">
        <v>0</v>
      </c>
      <c r="I3124" s="56" t="n">
        <v>20</v>
      </c>
      <c r="J3124" s="56" t="n">
        <v>0</v>
      </c>
      <c r="K3124" s="56" t="n">
        <v>1013.7</v>
      </c>
      <c r="L3124" s="56" t="n">
        <v>0</v>
      </c>
      <c r="M3124" s="56" t="n">
        <v>74</v>
      </c>
      <c r="N3124" s="56" t="n">
        <v>10.8</v>
      </c>
      <c r="O3124" s="56" t="n">
        <f aca="false">IF(D3124=1,"",E3123)</f>
        <v>26</v>
      </c>
      <c r="P3124" s="56" t="n">
        <f aca="false">IF(OR(D3124=1,K3123=""),"",K3123)</f>
        <v>1015.8</v>
      </c>
      <c r="Q3124" s="56" t="n">
        <f aca="false">IF(OR(F3124&lt;&gt;0,AND(I3124&lt;&gt;"",E3124&lt;I3124)),1,0)</f>
        <v>0</v>
      </c>
      <c r="R3124" s="56" t="n">
        <f aca="false">IF(AND(D3124&gt;1,Q3124=0,ISNUMBER(O3124),ISNUMBER(P3124)),IF(Q3123=0,1,0),0)</f>
        <v>1</v>
      </c>
      <c r="S3124" s="56" t="n">
        <f aca="false">R3124*(B3124&gt;=Train_Start)*(B3124&lt;=Train_End)</f>
        <v>0</v>
      </c>
      <c r="T3124" s="84" t="n">
        <f aca="false">IF(AND(ISNUMBER(O3124),ISNUMBER(P3124)),Coef_A+Coef_B1*O3124+Coef_B2*P3124,"")</f>
        <v>25.2553334103112</v>
      </c>
      <c r="U3124" s="84" t="n">
        <f aca="false">IF(AND(R3124=1,ISNUMBER(T3124)),E3124-T3124,"")</f>
        <v>-1.35533341031122</v>
      </c>
      <c r="V3124" s="84" t="n">
        <f aca="false">IF(ISNUMBER(T3124),T3124,-99)</f>
        <v>25.2553334103112</v>
      </c>
      <c r="W3124" s="84" t="n">
        <f aca="false">IF(ISNUMBER(U3124),ABS(U3124),"")</f>
        <v>1.35533341031122</v>
      </c>
    </row>
    <row r="3125" customFormat="false" ht="15" hidden="false" customHeight="false" outlineLevel="0" collapsed="false">
      <c r="A3125" s="57" t="n">
        <v>36344</v>
      </c>
      <c r="B3125" s="56" t="n">
        <v>1999</v>
      </c>
      <c r="C3125" s="56" t="n">
        <v>7</v>
      </c>
      <c r="D3125" s="56" t="n">
        <v>64</v>
      </c>
      <c r="E3125" s="56" t="n">
        <v>21</v>
      </c>
      <c r="F3125" s="56" t="n">
        <v>0</v>
      </c>
      <c r="G3125" s="56" t="n">
        <v>18.2</v>
      </c>
      <c r="H3125" s="56" t="n">
        <v>0</v>
      </c>
      <c r="I3125" s="56" t="n">
        <v>21</v>
      </c>
      <c r="J3125" s="56" t="n">
        <v>0</v>
      </c>
      <c r="K3125" s="56" t="n">
        <v>1007.5</v>
      </c>
      <c r="L3125" s="56" t="n">
        <v>0</v>
      </c>
      <c r="M3125" s="56" t="n">
        <v>75</v>
      </c>
      <c r="N3125" s="56" t="n">
        <v>5</v>
      </c>
      <c r="O3125" s="56" t="n">
        <f aca="false">IF(D3125=1,"",E3124)</f>
        <v>23.9</v>
      </c>
      <c r="P3125" s="56" t="n">
        <f aca="false">IF(OR(D3125=1,K3124=""),"",K3124)</f>
        <v>1013.7</v>
      </c>
      <c r="Q3125" s="56" t="n">
        <f aca="false">IF(OR(F3125&lt;&gt;0,AND(I3125&lt;&gt;"",E3125&lt;I3125)),1,0)</f>
        <v>0</v>
      </c>
      <c r="R3125" s="56" t="n">
        <f aca="false">IF(AND(D3125&gt;1,Q3125=0,ISNUMBER(O3125),ISNUMBER(P3125)),IF(Q3124=0,1,0),0)</f>
        <v>1</v>
      </c>
      <c r="S3125" s="56" t="n">
        <f aca="false">R3125*(B3125&gt;=Train_Start)*(B3125&lt;=Train_End)</f>
        <v>0</v>
      </c>
      <c r="T3125" s="84" t="n">
        <f aca="false">IF(AND(ISNUMBER(O3125),ISNUMBER(P3125)),Coef_A+Coef_B1*O3125+Coef_B2*P3125,"")</f>
        <v>23.4688443261903</v>
      </c>
      <c r="U3125" s="84" t="n">
        <f aca="false">IF(AND(R3125=1,ISNUMBER(T3125)),E3125-T3125,"")</f>
        <v>-2.46884432619026</v>
      </c>
      <c r="V3125" s="84" t="n">
        <f aca="false">IF(ISNUMBER(T3125),T3125,-99)</f>
        <v>23.4688443261903</v>
      </c>
      <c r="W3125" s="84" t="n">
        <f aca="false">IF(ISNUMBER(U3125),ABS(U3125),"")</f>
        <v>2.46884432619026</v>
      </c>
    </row>
    <row r="3126" customFormat="false" ht="15" hidden="false" customHeight="false" outlineLevel="0" collapsed="false">
      <c r="A3126" s="57" t="n">
        <v>36345</v>
      </c>
      <c r="B3126" s="56" t="n">
        <v>1999</v>
      </c>
      <c r="C3126" s="56" t="n">
        <v>7</v>
      </c>
      <c r="D3126" s="56" t="n">
        <v>65</v>
      </c>
      <c r="E3126" s="56" t="n">
        <v>23.2</v>
      </c>
      <c r="F3126" s="56" t="n">
        <v>0</v>
      </c>
      <c r="G3126" s="56" t="n">
        <v>14.3</v>
      </c>
      <c r="H3126" s="56" t="n">
        <v>0</v>
      </c>
      <c r="I3126" s="56" t="n">
        <v>17.6</v>
      </c>
      <c r="J3126" s="56" t="n">
        <v>0</v>
      </c>
      <c r="K3126" s="56" t="n">
        <v>1009.3</v>
      </c>
      <c r="L3126" s="56" t="n">
        <v>0</v>
      </c>
      <c r="M3126" s="56" t="n">
        <v>77</v>
      </c>
      <c r="N3126" s="56" t="n">
        <v>1.6</v>
      </c>
      <c r="O3126" s="56" t="n">
        <f aca="false">IF(D3126=1,"",E3125)</f>
        <v>21</v>
      </c>
      <c r="P3126" s="56" t="n">
        <f aca="false">IF(OR(D3126=1,K3125=""),"",K3125)</f>
        <v>1007.5</v>
      </c>
      <c r="Q3126" s="56" t="n">
        <f aca="false">IF(OR(F3126&lt;&gt;0,AND(I3126&lt;&gt;"",E3126&lt;I3126)),1,0)</f>
        <v>0</v>
      </c>
      <c r="R3126" s="56" t="n">
        <f aca="false">IF(AND(D3126&gt;1,Q3126=0,ISNUMBER(O3126),ISNUMBER(P3126)),IF(Q3125=0,1,0),0)</f>
        <v>1</v>
      </c>
      <c r="S3126" s="56" t="n">
        <f aca="false">R3126*(B3126&gt;=Train_Start)*(B3126&lt;=Train_End)</f>
        <v>0</v>
      </c>
      <c r="T3126" s="84" t="n">
        <f aca="false">IF(AND(ISNUMBER(O3126),ISNUMBER(P3126)),Coef_A+Coef_B1*O3126+Coef_B2*P3126,"")</f>
        <v>20.8982673196358</v>
      </c>
      <c r="U3126" s="84" t="n">
        <f aca="false">IF(AND(R3126=1,ISNUMBER(T3126)),E3126-T3126,"")</f>
        <v>2.30173268036418</v>
      </c>
      <c r="V3126" s="84" t="n">
        <f aca="false">IF(ISNUMBER(T3126),T3126,-99)</f>
        <v>20.8982673196358</v>
      </c>
      <c r="W3126" s="84" t="n">
        <f aca="false">IF(ISNUMBER(U3126),ABS(U3126),"")</f>
        <v>2.30173268036418</v>
      </c>
    </row>
    <row r="3127" customFormat="false" ht="15" hidden="false" customHeight="false" outlineLevel="0" collapsed="false">
      <c r="A3127" s="57" t="n">
        <v>36346</v>
      </c>
      <c r="B3127" s="56" t="n">
        <v>1999</v>
      </c>
      <c r="C3127" s="56" t="n">
        <v>7</v>
      </c>
      <c r="D3127" s="56" t="n">
        <v>66</v>
      </c>
      <c r="E3127" s="56" t="n">
        <v>25.5</v>
      </c>
      <c r="F3127" s="56" t="n">
        <v>0</v>
      </c>
      <c r="G3127" s="56" t="n">
        <v>14.2</v>
      </c>
      <c r="H3127" s="56" t="n">
        <v>0</v>
      </c>
      <c r="I3127" s="56" t="n">
        <v>18.7</v>
      </c>
      <c r="J3127" s="56" t="n">
        <v>0</v>
      </c>
      <c r="K3127" s="56" t="n">
        <v>1009.6</v>
      </c>
      <c r="L3127" s="56" t="n">
        <v>0</v>
      </c>
      <c r="M3127" s="56" t="n">
        <v>78</v>
      </c>
      <c r="N3127" s="56" t="n">
        <v>7.9</v>
      </c>
      <c r="O3127" s="56" t="n">
        <f aca="false">IF(D3127=1,"",E3126)</f>
        <v>23.2</v>
      </c>
      <c r="P3127" s="56" t="n">
        <f aca="false">IF(OR(D3127=1,K3126=""),"",K3126)</f>
        <v>1009.3</v>
      </c>
      <c r="Q3127" s="56" t="n">
        <f aca="false">IF(OR(F3127&lt;&gt;0,AND(I3127&lt;&gt;"",E3127&lt;I3127)),1,0)</f>
        <v>0</v>
      </c>
      <c r="R3127" s="56" t="n">
        <f aca="false">IF(AND(D3127&gt;1,Q3127=0,ISNUMBER(O3127),ISNUMBER(P3127)),IF(Q3126=0,1,0),0)</f>
        <v>1</v>
      </c>
      <c r="S3127" s="56" t="n">
        <f aca="false">R3127*(B3127&gt;=Train_Start)*(B3127&lt;=Train_End)</f>
        <v>0</v>
      </c>
      <c r="T3127" s="84" t="n">
        <f aca="false">IF(AND(ISNUMBER(O3127),ISNUMBER(P3127)),Coef_A+Coef_B1*O3127+Coef_B2*P3127,"")</f>
        <v>22.7572793546708</v>
      </c>
      <c r="U3127" s="84" t="n">
        <f aca="false">IF(AND(R3127=1,ISNUMBER(T3127)),E3127-T3127,"")</f>
        <v>2.74272064532916</v>
      </c>
      <c r="V3127" s="84" t="n">
        <f aca="false">IF(ISNUMBER(T3127),T3127,-99)</f>
        <v>22.7572793546708</v>
      </c>
      <c r="W3127" s="84" t="n">
        <f aca="false">IF(ISNUMBER(U3127),ABS(U3127),"")</f>
        <v>2.74272064532916</v>
      </c>
    </row>
    <row r="3128" customFormat="false" ht="15" hidden="false" customHeight="false" outlineLevel="0" collapsed="false">
      <c r="A3128" s="57" t="n">
        <v>36347</v>
      </c>
      <c r="B3128" s="56" t="n">
        <v>1999</v>
      </c>
      <c r="C3128" s="56" t="n">
        <v>7</v>
      </c>
      <c r="D3128" s="56" t="n">
        <v>67</v>
      </c>
      <c r="E3128" s="56" t="n">
        <v>24.7</v>
      </c>
      <c r="F3128" s="56" t="n">
        <v>0</v>
      </c>
      <c r="G3128" s="56" t="n">
        <v>13.8</v>
      </c>
      <c r="H3128" s="56" t="n">
        <v>0</v>
      </c>
      <c r="I3128" s="56" t="n">
        <v>19.6</v>
      </c>
      <c r="J3128" s="56" t="n">
        <v>0</v>
      </c>
      <c r="K3128" s="56" t="n">
        <v>1015.4</v>
      </c>
      <c r="L3128" s="56" t="n">
        <v>0</v>
      </c>
      <c r="M3128" s="56" t="n">
        <v>72</v>
      </c>
      <c r="N3128" s="56" t="n">
        <v>8.7</v>
      </c>
      <c r="O3128" s="56" t="n">
        <f aca="false">IF(D3128=1,"",E3127)</f>
        <v>25.5</v>
      </c>
      <c r="P3128" s="56" t="n">
        <f aca="false">IF(OR(D3128=1,K3127=""),"",K3127)</f>
        <v>1009.6</v>
      </c>
      <c r="Q3128" s="56" t="n">
        <f aca="false">IF(OR(F3128&lt;&gt;0,AND(I3128&lt;&gt;"",E3128&lt;I3128)),1,0)</f>
        <v>0</v>
      </c>
      <c r="R3128" s="56" t="n">
        <f aca="false">IF(AND(D3128&gt;1,Q3128=0,ISNUMBER(O3128),ISNUMBER(P3128)),IF(Q3127=0,1,0),0)</f>
        <v>1</v>
      </c>
      <c r="S3128" s="56" t="n">
        <f aca="false">R3128*(B3128&gt;=Train_Start)*(B3128&lt;=Train_End)</f>
        <v>0</v>
      </c>
      <c r="T3128" s="84" t="n">
        <f aca="false">IF(AND(ISNUMBER(O3128),ISNUMBER(P3128)),Coef_A+Coef_B1*O3128+Coef_B2*P3128,"")</f>
        <v>24.6511704670592</v>
      </c>
      <c r="U3128" s="84" t="n">
        <f aca="false">IF(AND(R3128=1,ISNUMBER(T3128)),E3128-T3128,"")</f>
        <v>0.048829532940843</v>
      </c>
      <c r="V3128" s="84" t="n">
        <f aca="false">IF(ISNUMBER(T3128),T3128,-99)</f>
        <v>24.6511704670592</v>
      </c>
      <c r="W3128" s="84" t="n">
        <f aca="false">IF(ISNUMBER(U3128),ABS(U3128),"")</f>
        <v>0.048829532940843</v>
      </c>
    </row>
    <row r="3129" customFormat="false" ht="15" hidden="false" customHeight="false" outlineLevel="0" collapsed="false">
      <c r="A3129" s="57" t="n">
        <v>36348</v>
      </c>
      <c r="B3129" s="56" t="n">
        <v>1999</v>
      </c>
      <c r="C3129" s="56" t="n">
        <v>7</v>
      </c>
      <c r="D3129" s="56" t="n">
        <v>68</v>
      </c>
      <c r="E3129" s="56" t="n">
        <v>27.6</v>
      </c>
      <c r="F3129" s="56" t="n">
        <v>0</v>
      </c>
      <c r="G3129" s="56" t="n">
        <v>15.7</v>
      </c>
      <c r="H3129" s="56" t="n">
        <v>0</v>
      </c>
      <c r="I3129" s="56" t="n">
        <v>20.2</v>
      </c>
      <c r="J3129" s="56" t="n">
        <v>0</v>
      </c>
      <c r="K3129" s="56" t="n">
        <v>1023.8</v>
      </c>
      <c r="L3129" s="56" t="n">
        <v>0</v>
      </c>
      <c r="M3129" s="56" t="n">
        <v>66</v>
      </c>
      <c r="N3129" s="56" t="n">
        <v>7.5</v>
      </c>
      <c r="O3129" s="56" t="n">
        <f aca="false">IF(D3129=1,"",E3128)</f>
        <v>24.7</v>
      </c>
      <c r="P3129" s="56" t="n">
        <f aca="false">IF(OR(D3129=1,K3128=""),"",K3128)</f>
        <v>1015.4</v>
      </c>
      <c r="Q3129" s="56" t="n">
        <f aca="false">IF(OR(F3129&lt;&gt;0,AND(I3129&lt;&gt;"",E3129&lt;I3129)),1,0)</f>
        <v>0</v>
      </c>
      <c r="R3129" s="56" t="n">
        <f aca="false">IF(AND(D3129&gt;1,Q3129=0,ISNUMBER(O3129),ISNUMBER(P3129)),IF(Q3128=0,1,0),0)</f>
        <v>1</v>
      </c>
      <c r="S3129" s="56" t="n">
        <f aca="false">R3129*(B3129&gt;=Train_Start)*(B3129&lt;=Train_End)</f>
        <v>0</v>
      </c>
      <c r="T3129" s="84" t="n">
        <f aca="false">IF(AND(ISNUMBER(O3129),ISNUMBER(P3129)),Coef_A+Coef_B1*O3129+Coef_B2*P3129,"")</f>
        <v>24.1776445015022</v>
      </c>
      <c r="U3129" s="84" t="n">
        <f aca="false">IF(AND(R3129=1,ISNUMBER(T3129)),E3129-T3129,"")</f>
        <v>3.42235549849783</v>
      </c>
      <c r="V3129" s="84" t="n">
        <f aca="false">IF(ISNUMBER(T3129),T3129,-99)</f>
        <v>24.1776445015022</v>
      </c>
      <c r="W3129" s="84" t="n">
        <f aca="false">IF(ISNUMBER(U3129),ABS(U3129),"")</f>
        <v>3.42235549849783</v>
      </c>
    </row>
    <row r="3130" customFormat="false" ht="15" hidden="false" customHeight="false" outlineLevel="0" collapsed="false">
      <c r="A3130" s="57" t="n">
        <v>36349</v>
      </c>
      <c r="B3130" s="56" t="n">
        <v>1999</v>
      </c>
      <c r="C3130" s="56" t="n">
        <v>7</v>
      </c>
      <c r="D3130" s="56" t="n">
        <v>69</v>
      </c>
      <c r="E3130" s="56" t="n">
        <v>25.2</v>
      </c>
      <c r="F3130" s="56" t="n">
        <v>0</v>
      </c>
      <c r="G3130" s="56" t="n">
        <v>16.1</v>
      </c>
      <c r="H3130" s="56" t="n">
        <v>0</v>
      </c>
      <c r="I3130" s="56" t="n">
        <v>21.8</v>
      </c>
      <c r="J3130" s="56" t="n">
        <v>0</v>
      </c>
      <c r="K3130" s="56" t="n">
        <v>1029.5</v>
      </c>
      <c r="L3130" s="56" t="n">
        <v>0</v>
      </c>
      <c r="M3130" s="56" t="n">
        <v>64</v>
      </c>
      <c r="N3130" s="56" t="n">
        <v>11.8</v>
      </c>
      <c r="O3130" s="56" t="n">
        <f aca="false">IF(D3130=1,"",E3129)</f>
        <v>27.6</v>
      </c>
      <c r="P3130" s="56" t="n">
        <f aca="false">IF(OR(D3130=1,K3129=""),"",K3129)</f>
        <v>1023.8</v>
      </c>
      <c r="Q3130" s="56" t="n">
        <f aca="false">IF(OR(F3130&lt;&gt;0,AND(I3130&lt;&gt;"",E3130&lt;I3130)),1,0)</f>
        <v>0</v>
      </c>
      <c r="R3130" s="56" t="n">
        <f aca="false">IF(AND(D3130&gt;1,Q3130=0,ISNUMBER(O3130),ISNUMBER(P3130)),IF(Q3129=0,1,0),0)</f>
        <v>1</v>
      </c>
      <c r="S3130" s="56" t="n">
        <f aca="false">R3130*(B3130&gt;=Train_Start)*(B3130&lt;=Train_End)</f>
        <v>0</v>
      </c>
      <c r="T3130" s="84" t="n">
        <f aca="false">IF(AND(ISNUMBER(O3130),ISNUMBER(P3130)),Coef_A+Coef_B1*O3130+Coef_B2*P3130,"")</f>
        <v>26.8172352762514</v>
      </c>
      <c r="U3130" s="84" t="n">
        <f aca="false">IF(AND(R3130=1,ISNUMBER(T3130)),E3130-T3130,"")</f>
        <v>-1.61723527625139</v>
      </c>
      <c r="V3130" s="84" t="n">
        <f aca="false">IF(ISNUMBER(T3130),T3130,-99)</f>
        <v>26.8172352762514</v>
      </c>
      <c r="W3130" s="84" t="n">
        <f aca="false">IF(ISNUMBER(U3130),ABS(U3130),"")</f>
        <v>1.61723527625139</v>
      </c>
    </row>
    <row r="3131" customFormat="false" ht="15" hidden="false" customHeight="false" outlineLevel="0" collapsed="false">
      <c r="A3131" s="57" t="n">
        <v>36350</v>
      </c>
      <c r="B3131" s="56" t="n">
        <v>1999</v>
      </c>
      <c r="C3131" s="56" t="n">
        <v>7</v>
      </c>
      <c r="D3131" s="56" t="n">
        <v>70</v>
      </c>
      <c r="E3131" s="56" t="n">
        <v>26.6</v>
      </c>
      <c r="F3131" s="56" t="n">
        <v>0</v>
      </c>
      <c r="G3131" s="56" t="n">
        <v>18</v>
      </c>
      <c r="H3131" s="56" t="n">
        <v>0</v>
      </c>
      <c r="I3131" s="56" t="n">
        <v>21.6</v>
      </c>
      <c r="J3131" s="56" t="n">
        <v>0</v>
      </c>
      <c r="K3131" s="56" t="n">
        <v>1028.3</v>
      </c>
      <c r="L3131" s="56" t="n">
        <v>0</v>
      </c>
      <c r="M3131" s="56" t="n">
        <v>63</v>
      </c>
      <c r="N3131" s="56" t="n">
        <v>5.5</v>
      </c>
      <c r="O3131" s="56" t="n">
        <f aca="false">IF(D3131=1,"",E3130)</f>
        <v>25.2</v>
      </c>
      <c r="P3131" s="56" t="n">
        <f aca="false">IF(OR(D3131=1,K3130=""),"",K3130)</f>
        <v>1029.5</v>
      </c>
      <c r="Q3131" s="56" t="n">
        <f aca="false">IF(OR(F3131&lt;&gt;0,AND(I3131&lt;&gt;"",E3131&lt;I3131)),1,0)</f>
        <v>0</v>
      </c>
      <c r="R3131" s="56" t="n">
        <f aca="false">IF(AND(D3131&gt;1,Q3131=0,ISNUMBER(O3131),ISNUMBER(P3131)),IF(Q3130=0,1,0),0)</f>
        <v>1</v>
      </c>
      <c r="S3131" s="56" t="n">
        <f aca="false">R3131*(B3131&gt;=Train_Start)*(B3131&lt;=Train_End)</f>
        <v>0</v>
      </c>
      <c r="T3131" s="84" t="n">
        <f aca="false">IF(AND(ISNUMBER(O3131),ISNUMBER(P3131)),Coef_A+Coef_B1*O3131+Coef_B2*P3131,"")</f>
        <v>25.0296296123627</v>
      </c>
      <c r="U3131" s="84" t="n">
        <f aca="false">IF(AND(R3131=1,ISNUMBER(T3131)),E3131-T3131,"")</f>
        <v>1.57037038763725</v>
      </c>
      <c r="V3131" s="84" t="n">
        <f aca="false">IF(ISNUMBER(T3131),T3131,-99)</f>
        <v>25.0296296123627</v>
      </c>
      <c r="W3131" s="84" t="n">
        <f aca="false">IF(ISNUMBER(U3131),ABS(U3131),"")</f>
        <v>1.57037038763725</v>
      </c>
    </row>
    <row r="3132" customFormat="false" ht="15" hidden="false" customHeight="false" outlineLevel="0" collapsed="false">
      <c r="A3132" s="57" t="n">
        <v>36351</v>
      </c>
      <c r="B3132" s="56" t="n">
        <v>1999</v>
      </c>
      <c r="C3132" s="56" t="n">
        <v>7</v>
      </c>
      <c r="D3132" s="56" t="n">
        <v>71</v>
      </c>
      <c r="E3132" s="56" t="n">
        <v>27.2</v>
      </c>
      <c r="F3132" s="56" t="n">
        <v>0</v>
      </c>
      <c r="G3132" s="56" t="n">
        <v>13.2</v>
      </c>
      <c r="H3132" s="56" t="n">
        <v>0</v>
      </c>
      <c r="I3132" s="56" t="n">
        <v>19.9</v>
      </c>
      <c r="J3132" s="56" t="n">
        <v>0</v>
      </c>
      <c r="K3132" s="56" t="n">
        <v>1024</v>
      </c>
      <c r="L3132" s="56" t="n">
        <v>0</v>
      </c>
      <c r="M3132" s="56" t="n">
        <v>63</v>
      </c>
      <c r="N3132" s="56" t="n">
        <v>14</v>
      </c>
      <c r="O3132" s="56" t="n">
        <f aca="false">IF(D3132=1,"",E3131)</f>
        <v>26.6</v>
      </c>
      <c r="P3132" s="56" t="n">
        <f aca="false">IF(OR(D3132=1,K3131=""),"",K3131)</f>
        <v>1028.3</v>
      </c>
      <c r="Q3132" s="56" t="n">
        <f aca="false">IF(OR(F3132&lt;&gt;0,AND(I3132&lt;&gt;"",E3132&lt;I3132)),1,0)</f>
        <v>0</v>
      </c>
      <c r="R3132" s="56" t="n">
        <f aca="false">IF(AND(D3132&gt;1,Q3132=0,ISNUMBER(O3132),ISNUMBER(P3132)),IF(Q3131=0,1,0),0)</f>
        <v>1</v>
      </c>
      <c r="S3132" s="56" t="n">
        <f aca="false">R3132*(B3132&gt;=Train_Start)*(B3132&lt;=Train_End)</f>
        <v>0</v>
      </c>
      <c r="T3132" s="84" t="n">
        <f aca="false">IF(AND(ISNUMBER(O3132),ISNUMBER(P3132)),Coef_A+Coef_B1*O3132+Coef_B2*P3132,"")</f>
        <v>26.1390606090617</v>
      </c>
      <c r="U3132" s="84" t="n">
        <f aca="false">IF(AND(R3132=1,ISNUMBER(T3132)),E3132-T3132,"")</f>
        <v>1.06093939093832</v>
      </c>
      <c r="V3132" s="84" t="n">
        <f aca="false">IF(ISNUMBER(T3132),T3132,-99)</f>
        <v>26.1390606090617</v>
      </c>
      <c r="W3132" s="84" t="n">
        <f aca="false">IF(ISNUMBER(U3132),ABS(U3132),"")</f>
        <v>1.06093939093832</v>
      </c>
    </row>
    <row r="3133" customFormat="false" ht="15" hidden="false" customHeight="false" outlineLevel="0" collapsed="false">
      <c r="A3133" s="57" t="n">
        <v>36352</v>
      </c>
      <c r="B3133" s="56" t="n">
        <v>1999</v>
      </c>
      <c r="C3133" s="56" t="n">
        <v>7</v>
      </c>
      <c r="D3133" s="56" t="n">
        <v>72</v>
      </c>
      <c r="E3133" s="56" t="n">
        <v>24.4</v>
      </c>
      <c r="F3133" s="56" t="n">
        <v>0</v>
      </c>
      <c r="G3133" s="56" t="n">
        <v>14.6</v>
      </c>
      <c r="H3133" s="56" t="n">
        <v>0</v>
      </c>
      <c r="I3133" s="56" t="n">
        <v>20.9</v>
      </c>
      <c r="J3133" s="56" t="n">
        <v>0</v>
      </c>
      <c r="K3133" s="56" t="n">
        <v>1021.6</v>
      </c>
      <c r="L3133" s="56" t="n">
        <v>0</v>
      </c>
      <c r="M3133" s="56" t="n">
        <v>68</v>
      </c>
      <c r="N3133" s="56" t="n">
        <v>14.4</v>
      </c>
      <c r="O3133" s="56" t="n">
        <f aca="false">IF(D3133=1,"",E3132)</f>
        <v>27.2</v>
      </c>
      <c r="P3133" s="56" t="n">
        <f aca="false">IF(OR(D3133=1,K3132=""),"",K3132)</f>
        <v>1024</v>
      </c>
      <c r="Q3133" s="56" t="n">
        <f aca="false">IF(OR(F3133&lt;&gt;0,AND(I3133&lt;&gt;"",E3133&lt;I3133)),1,0)</f>
        <v>0</v>
      </c>
      <c r="R3133" s="56" t="n">
        <f aca="false">IF(AND(D3133&gt;1,Q3133=0,ISNUMBER(O3133),ISNUMBER(P3133)),IF(Q3132=0,1,0),0)</f>
        <v>1</v>
      </c>
      <c r="S3133" s="56" t="n">
        <f aca="false">R3133*(B3133&gt;=Train_Start)*(B3133&lt;=Train_End)</f>
        <v>0</v>
      </c>
      <c r="T3133" s="84" t="n">
        <f aca="false">IF(AND(ISNUMBER(O3133),ISNUMBER(P3133)),Coef_A+Coef_B1*O3133+Coef_B2*P3133,"")</f>
        <v>26.4957735779611</v>
      </c>
      <c r="U3133" s="84" t="n">
        <f aca="false">IF(AND(R3133=1,ISNUMBER(T3133)),E3133-T3133,"")</f>
        <v>-2.09577357796112</v>
      </c>
      <c r="V3133" s="84" t="n">
        <f aca="false">IF(ISNUMBER(T3133),T3133,-99)</f>
        <v>26.4957735779611</v>
      </c>
      <c r="W3133" s="84" t="n">
        <f aca="false">IF(ISNUMBER(U3133),ABS(U3133),"")</f>
        <v>2.09577357796112</v>
      </c>
    </row>
    <row r="3134" customFormat="false" ht="15" hidden="false" customHeight="false" outlineLevel="0" collapsed="false">
      <c r="A3134" s="57" t="n">
        <v>36353</v>
      </c>
      <c r="B3134" s="56" t="n">
        <v>1999</v>
      </c>
      <c r="C3134" s="56" t="n">
        <v>7</v>
      </c>
      <c r="D3134" s="56" t="n">
        <v>73</v>
      </c>
      <c r="E3134" s="56" t="n">
        <v>26.1</v>
      </c>
      <c r="F3134" s="56" t="n">
        <v>0</v>
      </c>
      <c r="G3134" s="56" t="n">
        <v>14.6</v>
      </c>
      <c r="H3134" s="56" t="n">
        <v>0</v>
      </c>
      <c r="I3134" s="56" t="n">
        <v>19.5</v>
      </c>
      <c r="J3134" s="56" t="n">
        <v>0</v>
      </c>
      <c r="K3134" s="56" t="n">
        <v>1017.4</v>
      </c>
      <c r="L3134" s="56" t="n">
        <v>0</v>
      </c>
      <c r="M3134" s="56" t="n">
        <v>72</v>
      </c>
      <c r="N3134" s="56" t="n">
        <v>12.3</v>
      </c>
      <c r="O3134" s="56" t="n">
        <f aca="false">IF(D3134=1,"",E3133)</f>
        <v>24.4</v>
      </c>
      <c r="P3134" s="56" t="n">
        <f aca="false">IF(OR(D3134=1,K3133=""),"",K3133)</f>
        <v>1021.6</v>
      </c>
      <c r="Q3134" s="56" t="n">
        <f aca="false">IF(OR(F3134&lt;&gt;0,AND(I3134&lt;&gt;"",E3134&lt;I3134)),1,0)</f>
        <v>0</v>
      </c>
      <c r="R3134" s="56" t="n">
        <f aca="false">IF(AND(D3134&gt;1,Q3134=0,ISNUMBER(O3134),ISNUMBER(P3134)),IF(Q3133=0,1,0),0)</f>
        <v>1</v>
      </c>
      <c r="S3134" s="56" t="n">
        <f aca="false">R3134*(B3134&gt;=Train_Start)*(B3134&lt;=Train_End)</f>
        <v>0</v>
      </c>
      <c r="T3134" s="84" t="n">
        <f aca="false">IF(AND(ISNUMBER(O3134),ISNUMBER(P3134)),Coef_A+Coef_B1*O3134+Coef_B2*P3134,"")</f>
        <v>24.1263360903201</v>
      </c>
      <c r="U3134" s="84" t="n">
        <f aca="false">IF(AND(R3134=1,ISNUMBER(T3134)),E3134-T3134,"")</f>
        <v>1.97366390967989</v>
      </c>
      <c r="V3134" s="84" t="n">
        <f aca="false">IF(ISNUMBER(T3134),T3134,-99)</f>
        <v>24.1263360903201</v>
      </c>
      <c r="W3134" s="84" t="n">
        <f aca="false">IF(ISNUMBER(U3134),ABS(U3134),"")</f>
        <v>1.97366390967989</v>
      </c>
    </row>
    <row r="3135" customFormat="false" ht="15" hidden="false" customHeight="false" outlineLevel="0" collapsed="false">
      <c r="A3135" s="57" t="n">
        <v>36354</v>
      </c>
      <c r="B3135" s="56" t="n">
        <v>1999</v>
      </c>
      <c r="C3135" s="56" t="n">
        <v>7</v>
      </c>
      <c r="D3135" s="56" t="n">
        <v>74</v>
      </c>
      <c r="E3135" s="56" t="n">
        <v>19.9</v>
      </c>
      <c r="F3135" s="56" t="n">
        <v>0</v>
      </c>
      <c r="G3135" s="56" t="n">
        <v>12.4</v>
      </c>
      <c r="H3135" s="56" t="n">
        <v>0</v>
      </c>
      <c r="I3135" s="56" t="n">
        <v>19.2</v>
      </c>
      <c r="J3135" s="56" t="n">
        <v>0</v>
      </c>
      <c r="K3135" s="56" t="n">
        <v>1009.6</v>
      </c>
      <c r="L3135" s="56" t="n">
        <v>0</v>
      </c>
      <c r="M3135" s="56" t="n">
        <v>67</v>
      </c>
      <c r="N3135" s="56" t="n">
        <v>8.5</v>
      </c>
      <c r="O3135" s="56" t="n">
        <f aca="false">IF(D3135=1,"",E3134)</f>
        <v>26.1</v>
      </c>
      <c r="P3135" s="56" t="n">
        <f aca="false">IF(OR(D3135=1,K3134=""),"",K3134)</f>
        <v>1017.4</v>
      </c>
      <c r="Q3135" s="56" t="n">
        <f aca="false">IF(OR(F3135&lt;&gt;0,AND(I3135&lt;&gt;"",E3135&lt;I3135)),1,0)</f>
        <v>0</v>
      </c>
      <c r="R3135" s="56" t="n">
        <f aca="false">IF(AND(D3135&gt;1,Q3135=0,ISNUMBER(O3135),ISNUMBER(P3135)),IF(Q3134=0,1,0),0)</f>
        <v>1</v>
      </c>
      <c r="S3135" s="56" t="n">
        <f aca="false">R3135*(B3135&gt;=Train_Start)*(B3135&lt;=Train_End)</f>
        <v>0</v>
      </c>
      <c r="T3135" s="84" t="n">
        <f aca="false">IF(AND(ISNUMBER(O3135),ISNUMBER(P3135)),Coef_A+Coef_B1*O3135+Coef_B2*P3135,"")</f>
        <v>25.3874591610299</v>
      </c>
      <c r="U3135" s="84" t="n">
        <f aca="false">IF(AND(R3135=1,ISNUMBER(T3135)),E3135-T3135,"")</f>
        <v>-5.48745916102987</v>
      </c>
      <c r="V3135" s="84" t="n">
        <f aca="false">IF(ISNUMBER(T3135),T3135,-99)</f>
        <v>25.3874591610299</v>
      </c>
      <c r="W3135" s="84" t="n">
        <f aca="false">IF(ISNUMBER(U3135),ABS(U3135),"")</f>
        <v>5.48745916102987</v>
      </c>
    </row>
    <row r="3136" customFormat="false" ht="15" hidden="false" customHeight="false" outlineLevel="0" collapsed="false">
      <c r="A3136" s="57" t="n">
        <v>36355</v>
      </c>
      <c r="B3136" s="56" t="n">
        <v>1999</v>
      </c>
      <c r="C3136" s="56" t="n">
        <v>7</v>
      </c>
      <c r="D3136" s="56" t="n">
        <v>75</v>
      </c>
      <c r="E3136" s="56" t="n">
        <v>21.6</v>
      </c>
      <c r="F3136" s="56" t="n">
        <v>0</v>
      </c>
      <c r="G3136" s="56" t="n">
        <v>13</v>
      </c>
      <c r="H3136" s="56" t="n">
        <v>0</v>
      </c>
      <c r="I3136" s="56" t="n">
        <v>16.4</v>
      </c>
      <c r="J3136" s="56" t="n">
        <v>0</v>
      </c>
      <c r="K3136" s="56" t="n">
        <v>1009.9</v>
      </c>
      <c r="L3136" s="56" t="n">
        <v>0</v>
      </c>
      <c r="M3136" s="56" t="n">
        <v>69</v>
      </c>
      <c r="N3136" s="56" t="n">
        <v>6.9</v>
      </c>
      <c r="O3136" s="56" t="n">
        <f aca="false">IF(D3136=1,"",E3135)</f>
        <v>19.9</v>
      </c>
      <c r="P3136" s="56" t="n">
        <f aca="false">IF(OR(D3136=1,K3135=""),"",K3135)</f>
        <v>1009.6</v>
      </c>
      <c r="Q3136" s="56" t="n">
        <f aca="false">IF(OR(F3136&lt;&gt;0,AND(I3136&lt;&gt;"",E3136&lt;I3136)),1,0)</f>
        <v>0</v>
      </c>
      <c r="R3136" s="56" t="n">
        <f aca="false">IF(AND(D3136&gt;1,Q3136=0,ISNUMBER(O3136),ISNUMBER(P3136)),IF(Q3135=0,1,0),0)</f>
        <v>1</v>
      </c>
      <c r="S3136" s="56" t="n">
        <f aca="false">R3136*(B3136&gt;=Train_Start)*(B3136&lt;=Train_End)</f>
        <v>0</v>
      </c>
      <c r="T3136" s="84" t="n">
        <f aca="false">IF(AND(ISNUMBER(O3136),ISNUMBER(P3136)),Coef_A+Coef_B1*O3136+Coef_B2*P3136,"")</f>
        <v>20.0628709860203</v>
      </c>
      <c r="U3136" s="84" t="n">
        <f aca="false">IF(AND(R3136=1,ISNUMBER(T3136)),E3136-T3136,"")</f>
        <v>1.53712901397973</v>
      </c>
      <c r="V3136" s="84" t="n">
        <f aca="false">IF(ISNUMBER(T3136),T3136,-99)</f>
        <v>20.0628709860203</v>
      </c>
      <c r="W3136" s="84" t="n">
        <f aca="false">IF(ISNUMBER(U3136),ABS(U3136),"")</f>
        <v>1.53712901397973</v>
      </c>
    </row>
    <row r="3137" customFormat="false" ht="15" hidden="false" customHeight="false" outlineLevel="0" collapsed="false">
      <c r="A3137" s="57" t="n">
        <v>36356</v>
      </c>
      <c r="B3137" s="56" t="n">
        <v>1999</v>
      </c>
      <c r="C3137" s="56" t="n">
        <v>7</v>
      </c>
      <c r="D3137" s="56" t="n">
        <v>76</v>
      </c>
      <c r="E3137" s="56" t="n">
        <v>22.1</v>
      </c>
      <c r="F3137" s="56" t="n">
        <v>0</v>
      </c>
      <c r="G3137" s="56" t="n">
        <v>11</v>
      </c>
      <c r="H3137" s="56" t="n">
        <v>0</v>
      </c>
      <c r="I3137" s="56" t="n">
        <v>16.3</v>
      </c>
      <c r="J3137" s="56" t="n">
        <v>0</v>
      </c>
      <c r="K3137" s="56" t="n">
        <v>1013.8</v>
      </c>
      <c r="L3137" s="56" t="n">
        <v>0</v>
      </c>
      <c r="M3137" s="56" t="n">
        <v>65</v>
      </c>
      <c r="N3137" s="56" t="n">
        <v>7.6</v>
      </c>
      <c r="O3137" s="56" t="n">
        <f aca="false">IF(D3137=1,"",E3136)</f>
        <v>21.6</v>
      </c>
      <c r="P3137" s="56" t="n">
        <f aca="false">IF(OR(D3137=1,K3136=""),"",K3136)</f>
        <v>1009.9</v>
      </c>
      <c r="Q3137" s="56" t="n">
        <f aca="false">IF(OR(F3137&lt;&gt;0,AND(I3137&lt;&gt;"",E3137&lt;I3137)),1,0)</f>
        <v>0</v>
      </c>
      <c r="R3137" s="56" t="n">
        <f aca="false">IF(AND(D3137&gt;1,Q3137=0,ISNUMBER(O3137),ISNUMBER(P3137)),IF(Q3136=0,1,0),0)</f>
        <v>1</v>
      </c>
      <c r="S3137" s="56" t="n">
        <f aca="false">R3137*(B3137&gt;=Train_Start)*(B3137&lt;=Train_End)</f>
        <v>0</v>
      </c>
      <c r="T3137" s="84" t="n">
        <f aca="false">IF(AND(ISNUMBER(O3137),ISNUMBER(P3137)),Coef_A+Coef_B1*O3137+Coef_B2*P3137,"")</f>
        <v>21.465158582583</v>
      </c>
      <c r="U3137" s="84" t="n">
        <f aca="false">IF(AND(R3137=1,ISNUMBER(T3137)),E3137-T3137,"")</f>
        <v>0.634841417417015</v>
      </c>
      <c r="V3137" s="84" t="n">
        <f aca="false">IF(ISNUMBER(T3137),T3137,-99)</f>
        <v>21.465158582583</v>
      </c>
      <c r="W3137" s="84" t="n">
        <f aca="false">IF(ISNUMBER(U3137),ABS(U3137),"")</f>
        <v>0.634841417417015</v>
      </c>
    </row>
    <row r="3138" customFormat="false" ht="15" hidden="false" customHeight="false" outlineLevel="0" collapsed="false">
      <c r="A3138" s="57" t="n">
        <v>36357</v>
      </c>
      <c r="B3138" s="56" t="n">
        <v>1999</v>
      </c>
      <c r="C3138" s="56" t="n">
        <v>7</v>
      </c>
      <c r="D3138" s="56" t="n">
        <v>77</v>
      </c>
      <c r="E3138" s="56" t="n">
        <v>25.9</v>
      </c>
      <c r="F3138" s="56" t="n">
        <v>0</v>
      </c>
      <c r="G3138" s="56" t="n">
        <v>11.9</v>
      </c>
      <c r="H3138" s="56" t="n">
        <v>0</v>
      </c>
      <c r="I3138" s="56" t="n">
        <v>17</v>
      </c>
      <c r="J3138" s="56" t="n">
        <v>0</v>
      </c>
      <c r="K3138" s="56" t="n">
        <v>1018.4</v>
      </c>
      <c r="L3138" s="56" t="n">
        <v>0</v>
      </c>
      <c r="M3138" s="56" t="n">
        <v>73</v>
      </c>
      <c r="N3138" s="56" t="n">
        <v>3.7</v>
      </c>
      <c r="O3138" s="56" t="n">
        <f aca="false">IF(D3138=1,"",E3137)</f>
        <v>22.1</v>
      </c>
      <c r="P3138" s="56" t="n">
        <f aca="false">IF(OR(D3138=1,K3137=""),"",K3137)</f>
        <v>1013.8</v>
      </c>
      <c r="Q3138" s="56" t="n">
        <f aca="false">IF(OR(F3138&lt;&gt;0,AND(I3138&lt;&gt;"",E3138&lt;I3138)),1,0)</f>
        <v>0</v>
      </c>
      <c r="R3138" s="56" t="n">
        <f aca="false">IF(AND(D3138&gt;1,Q3138=0,ISNUMBER(O3138),ISNUMBER(P3138)),IF(Q3137=0,1,0),0)</f>
        <v>1</v>
      </c>
      <c r="S3138" s="56" t="n">
        <f aca="false">R3138*(B3138&gt;=Train_Start)*(B3138&lt;=Train_End)</f>
        <v>0</v>
      </c>
      <c r="T3138" s="84" t="n">
        <f aca="false">IF(AND(ISNUMBER(O3138),ISNUMBER(P3138)),Coef_A+Coef_B1*O3138+Coef_B2*P3138,"")</f>
        <v>21.9971707681769</v>
      </c>
      <c r="U3138" s="84" t="n">
        <f aca="false">IF(AND(R3138=1,ISNUMBER(T3138)),E3138-T3138,"")</f>
        <v>3.90282923182312</v>
      </c>
      <c r="V3138" s="84" t="n">
        <f aca="false">IF(ISNUMBER(T3138),T3138,-99)</f>
        <v>21.9971707681769</v>
      </c>
      <c r="W3138" s="84" t="n">
        <f aca="false">IF(ISNUMBER(U3138),ABS(U3138),"")</f>
        <v>3.90282923182312</v>
      </c>
    </row>
    <row r="3139" customFormat="false" ht="15" hidden="false" customHeight="false" outlineLevel="0" collapsed="false">
      <c r="A3139" s="57" t="n">
        <v>36358</v>
      </c>
      <c r="B3139" s="56" t="n">
        <v>1999</v>
      </c>
      <c r="C3139" s="56" t="n">
        <v>7</v>
      </c>
      <c r="D3139" s="56" t="n">
        <v>78</v>
      </c>
      <c r="E3139" s="56" t="n">
        <v>28</v>
      </c>
      <c r="F3139" s="56" t="n">
        <v>0</v>
      </c>
      <c r="G3139" s="56" t="n">
        <v>16.1</v>
      </c>
      <c r="H3139" s="56" t="n">
        <v>0</v>
      </c>
      <c r="I3139" s="56" t="n">
        <v>21</v>
      </c>
      <c r="J3139" s="56" t="n">
        <v>0</v>
      </c>
      <c r="K3139" s="56" t="n">
        <v>1017.6</v>
      </c>
      <c r="L3139" s="56" t="n">
        <v>0</v>
      </c>
      <c r="M3139" s="56" t="n">
        <v>63</v>
      </c>
      <c r="N3139" s="56" t="n">
        <v>8.6</v>
      </c>
      <c r="O3139" s="56" t="n">
        <f aca="false">IF(D3139=1,"",E3138)</f>
        <v>25.9</v>
      </c>
      <c r="P3139" s="56" t="n">
        <f aca="false">IF(OR(D3139=1,K3138=""),"",K3138)</f>
        <v>1018.4</v>
      </c>
      <c r="Q3139" s="56" t="n">
        <f aca="false">IF(OR(F3139&lt;&gt;0,AND(I3139&lt;&gt;"",E3139&lt;I3139)),1,0)</f>
        <v>0</v>
      </c>
      <c r="R3139" s="56" t="n">
        <f aca="false">IF(AND(D3139&gt;1,Q3139=0,ISNUMBER(O3139),ISNUMBER(P3139)),IF(Q3138=0,1,0),0)</f>
        <v>1</v>
      </c>
      <c r="S3139" s="56" t="n">
        <f aca="false">R3139*(B3139&gt;=Train_Start)*(B3139&lt;=Train_End)</f>
        <v>0</v>
      </c>
      <c r="T3139" s="84" t="n">
        <f aca="false">IF(AND(ISNUMBER(O3139),ISNUMBER(P3139)),Coef_A+Coef_B1*O3139+Coef_B2*P3139,"")</f>
        <v>25.2549612170553</v>
      </c>
      <c r="U3139" s="84" t="n">
        <f aca="false">IF(AND(R3139=1,ISNUMBER(T3139)),E3139-T3139,"")</f>
        <v>2.74503878294468</v>
      </c>
      <c r="V3139" s="84" t="n">
        <f aca="false">IF(ISNUMBER(T3139),T3139,-99)</f>
        <v>25.2549612170553</v>
      </c>
      <c r="W3139" s="84" t="n">
        <f aca="false">IF(ISNUMBER(U3139),ABS(U3139),"")</f>
        <v>2.74503878294468</v>
      </c>
    </row>
    <row r="3140" customFormat="false" ht="15" hidden="false" customHeight="false" outlineLevel="0" collapsed="false">
      <c r="A3140" s="57" t="n">
        <v>36359</v>
      </c>
      <c r="B3140" s="56" t="n">
        <v>1999</v>
      </c>
      <c r="C3140" s="56" t="n">
        <v>7</v>
      </c>
      <c r="D3140" s="56" t="n">
        <v>79</v>
      </c>
      <c r="E3140" s="56" t="n">
        <v>26</v>
      </c>
      <c r="F3140" s="56" t="n">
        <v>0</v>
      </c>
      <c r="G3140" s="56" t="n">
        <v>13.5</v>
      </c>
      <c r="H3140" s="56" t="n">
        <v>0</v>
      </c>
      <c r="I3140" s="56" t="n">
        <v>20.8</v>
      </c>
      <c r="J3140" s="56" t="n">
        <v>0</v>
      </c>
      <c r="K3140" s="56" t="n">
        <v>1014.5</v>
      </c>
      <c r="L3140" s="56" t="n">
        <v>0</v>
      </c>
      <c r="M3140" s="56" t="n">
        <v>59</v>
      </c>
      <c r="N3140" s="56" t="n">
        <v>14.9</v>
      </c>
      <c r="O3140" s="56" t="n">
        <f aca="false">IF(D3140=1,"",E3139)</f>
        <v>28</v>
      </c>
      <c r="P3140" s="56" t="n">
        <f aca="false">IF(OR(D3140=1,K3139=""),"",K3139)</f>
        <v>1017.6</v>
      </c>
      <c r="Q3140" s="56" t="n">
        <f aca="false">IF(OR(F3140&lt;&gt;0,AND(I3140&lt;&gt;"",E3140&lt;I3140)),1,0)</f>
        <v>0</v>
      </c>
      <c r="R3140" s="56" t="n">
        <f aca="false">IF(AND(D3140&gt;1,Q3140=0,ISNUMBER(O3140),ISNUMBER(P3140)),IF(Q3139=0,1,0),0)</f>
        <v>1</v>
      </c>
      <c r="S3140" s="56" t="n">
        <f aca="false">R3140*(B3140&gt;=Train_Start)*(B3140&lt;=Train_End)</f>
        <v>0</v>
      </c>
      <c r="T3140" s="84" t="n">
        <f aca="false">IF(AND(ISNUMBER(O3140),ISNUMBER(P3140)),Coef_A+Coef_B1*O3140+Coef_B2*P3140,"")</f>
        <v>26.9504776067377</v>
      </c>
      <c r="U3140" s="84" t="n">
        <f aca="false">IF(AND(R3140=1,ISNUMBER(T3140)),E3140-T3140,"")</f>
        <v>-0.950477606737717</v>
      </c>
      <c r="V3140" s="84" t="n">
        <f aca="false">IF(ISNUMBER(T3140),T3140,-99)</f>
        <v>26.9504776067377</v>
      </c>
      <c r="W3140" s="84" t="n">
        <f aca="false">IF(ISNUMBER(U3140),ABS(U3140),"")</f>
        <v>0.950477606737717</v>
      </c>
    </row>
    <row r="3141" customFormat="false" ht="15" hidden="false" customHeight="false" outlineLevel="0" collapsed="false">
      <c r="A3141" s="57" t="n">
        <v>36360</v>
      </c>
      <c r="B3141" s="56" t="n">
        <v>1999</v>
      </c>
      <c r="C3141" s="56" t="n">
        <v>7</v>
      </c>
      <c r="D3141" s="56" t="n">
        <v>80</v>
      </c>
      <c r="E3141" s="56" t="n">
        <v>24.7</v>
      </c>
      <c r="F3141" s="56" t="n">
        <v>0</v>
      </c>
      <c r="G3141" s="56" t="n">
        <v>16.7</v>
      </c>
      <c r="H3141" s="56" t="n">
        <v>0</v>
      </c>
      <c r="I3141" s="56" t="n">
        <v>21.4</v>
      </c>
      <c r="J3141" s="56" t="n">
        <v>0</v>
      </c>
      <c r="K3141" s="56" t="n">
        <v>1010.3</v>
      </c>
      <c r="L3141" s="56" t="n">
        <v>0</v>
      </c>
      <c r="M3141" s="56" t="n">
        <v>65</v>
      </c>
      <c r="N3141" s="56" t="n">
        <v>7.4</v>
      </c>
      <c r="O3141" s="56" t="n">
        <f aca="false">IF(D3141=1,"",E3140)</f>
        <v>26</v>
      </c>
      <c r="P3141" s="56" t="n">
        <f aca="false">IF(OR(D3141=1,K3140=""),"",K3140)</f>
        <v>1014.5</v>
      </c>
      <c r="Q3141" s="56" t="n">
        <f aca="false">IF(OR(F3141&lt;&gt;0,AND(I3141&lt;&gt;"",E3141&lt;I3141)),1,0)</f>
        <v>0</v>
      </c>
      <c r="R3141" s="56" t="n">
        <f aca="false">IF(AND(D3141&gt;1,Q3141=0,ISNUMBER(O3141),ISNUMBER(P3141)),IF(Q3140=0,1,0),0)</f>
        <v>1</v>
      </c>
      <c r="S3141" s="56" t="n">
        <f aca="false">R3141*(B3141&gt;=Train_Start)*(B3141&lt;=Train_End)</f>
        <v>0</v>
      </c>
      <c r="T3141" s="84" t="n">
        <f aca="false">IF(AND(ISNUMBER(O3141),ISNUMBER(P3141)),Coef_A+Coef_B1*O3141+Coef_B2*P3141,"")</f>
        <v>25.214552547287</v>
      </c>
      <c r="U3141" s="84" t="n">
        <f aca="false">IF(AND(R3141=1,ISNUMBER(T3141)),E3141-T3141,"")</f>
        <v>-0.514552547287035</v>
      </c>
      <c r="V3141" s="84" t="n">
        <f aca="false">IF(ISNUMBER(T3141),T3141,-99)</f>
        <v>25.214552547287</v>
      </c>
      <c r="W3141" s="84" t="n">
        <f aca="false">IF(ISNUMBER(U3141),ABS(U3141),"")</f>
        <v>0.514552547287035</v>
      </c>
    </row>
    <row r="3142" customFormat="false" ht="15" hidden="false" customHeight="false" outlineLevel="0" collapsed="false">
      <c r="A3142" s="57" t="n">
        <v>36361</v>
      </c>
      <c r="B3142" s="56" t="n">
        <v>1999</v>
      </c>
      <c r="C3142" s="56" t="n">
        <v>7</v>
      </c>
      <c r="D3142" s="56" t="n">
        <v>81</v>
      </c>
      <c r="E3142" s="56" t="n">
        <v>20.8</v>
      </c>
      <c r="F3142" s="56" t="n">
        <v>0</v>
      </c>
      <c r="G3142" s="56" t="n">
        <v>16.4</v>
      </c>
      <c r="H3142" s="56" t="n">
        <v>0</v>
      </c>
      <c r="I3142" s="56" t="n">
        <v>20.6</v>
      </c>
      <c r="J3142" s="56" t="n">
        <v>0</v>
      </c>
      <c r="K3142" s="56" t="n">
        <v>1007.6</v>
      </c>
      <c r="L3142" s="56" t="n">
        <v>0</v>
      </c>
      <c r="M3142" s="56" t="n">
        <v>72</v>
      </c>
      <c r="N3142" s="56" t="n">
        <v>7.6</v>
      </c>
      <c r="O3142" s="56" t="n">
        <f aca="false">IF(D3142=1,"",E3141)</f>
        <v>24.7</v>
      </c>
      <c r="P3142" s="56" t="n">
        <f aca="false">IF(OR(D3142=1,K3141=""),"",K3141)</f>
        <v>1010.3</v>
      </c>
      <c r="Q3142" s="56" t="n">
        <f aca="false">IF(OR(F3142&lt;&gt;0,AND(I3142&lt;&gt;"",E3142&lt;I3142)),1,0)</f>
        <v>0</v>
      </c>
      <c r="R3142" s="56" t="n">
        <f aca="false">IF(AND(D3142&gt;1,Q3142=0,ISNUMBER(O3142),ISNUMBER(P3142)),IF(Q3141=0,1,0),0)</f>
        <v>1</v>
      </c>
      <c r="S3142" s="56" t="n">
        <f aca="false">R3142*(B3142&gt;=Train_Start)*(B3142&lt;=Train_End)</f>
        <v>0</v>
      </c>
      <c r="T3142" s="84" t="n">
        <f aca="false">IF(AND(ISNUMBER(O3142),ISNUMBER(P3142)),Coef_A+Coef_B1*O3142+Coef_B2*P3142,"")</f>
        <v>24.0176580388688</v>
      </c>
      <c r="U3142" s="84" t="n">
        <f aca="false">IF(AND(R3142=1,ISNUMBER(T3142)),E3142-T3142,"")</f>
        <v>-3.21765803886882</v>
      </c>
      <c r="V3142" s="84" t="n">
        <f aca="false">IF(ISNUMBER(T3142),T3142,-99)</f>
        <v>24.0176580388688</v>
      </c>
      <c r="W3142" s="84" t="n">
        <f aca="false">IF(ISNUMBER(U3142),ABS(U3142),"")</f>
        <v>3.21765803886882</v>
      </c>
    </row>
    <row r="3143" customFormat="false" ht="15" hidden="false" customHeight="false" outlineLevel="0" collapsed="false">
      <c r="A3143" s="57" t="n">
        <v>36362</v>
      </c>
      <c r="B3143" s="56" t="n">
        <v>1999</v>
      </c>
      <c r="C3143" s="56" t="n">
        <v>7</v>
      </c>
      <c r="D3143" s="56" t="n">
        <v>82</v>
      </c>
      <c r="E3143" s="56" t="n">
        <v>16.8</v>
      </c>
      <c r="F3143" s="56" t="n">
        <v>1</v>
      </c>
      <c r="G3143" s="56" t="n">
        <v>13.6</v>
      </c>
      <c r="H3143" s="56" t="n">
        <v>0</v>
      </c>
      <c r="I3143" s="56" t="n">
        <v>17.2</v>
      </c>
      <c r="J3143" s="56" t="n">
        <v>1</v>
      </c>
      <c r="K3143" s="56" t="n">
        <v>1013.5</v>
      </c>
      <c r="L3143" s="56" t="n">
        <v>0</v>
      </c>
      <c r="M3143" s="56" t="n">
        <v>57</v>
      </c>
      <c r="N3143" s="56" t="n">
        <v>5.9</v>
      </c>
      <c r="O3143" s="56" t="n">
        <f aca="false">IF(D3143=1,"",E3142)</f>
        <v>20.8</v>
      </c>
      <c r="P3143" s="56" t="n">
        <f aca="false">IF(OR(D3143=1,K3142=""),"",K3142)</f>
        <v>1007.6</v>
      </c>
      <c r="Q3143" s="56" t="n">
        <f aca="false">IF(OR(F3143&lt;&gt;0,AND(I3143&lt;&gt;"",E3143&lt;I3143)),1,0)</f>
        <v>1</v>
      </c>
      <c r="R3143" s="56" t="n">
        <f aca="false">IF(AND(D3143&gt;1,Q3143=0,ISNUMBER(O3143),ISNUMBER(P3143)),IF(Q3142=0,1,0),0)</f>
        <v>0</v>
      </c>
      <c r="S3143" s="56" t="n">
        <f aca="false">R3143*(B3143&gt;=Train_Start)*(B3143&lt;=Train_End)</f>
        <v>0</v>
      </c>
      <c r="T3143" s="84" t="n">
        <f aca="false">IF(AND(ISNUMBER(O3143),ISNUMBER(P3143)),Coef_A+Coef_B1*O3143+Coef_B2*P3143,"")</f>
        <v>20.7375364704907</v>
      </c>
      <c r="U3143" s="84" t="str">
        <f aca="false">IF(AND(R3143=1,ISNUMBER(T3143)),E3143-T3143,"")</f>
        <v/>
      </c>
      <c r="V3143" s="84" t="n">
        <f aca="false">IF(ISNUMBER(T3143),T3143,-99)</f>
        <v>20.7375364704907</v>
      </c>
      <c r="W3143" s="84" t="str">
        <f aca="false">IF(ISNUMBER(U3143),ABS(U3143),"")</f>
        <v/>
      </c>
    </row>
    <row r="3144" customFormat="false" ht="15" hidden="false" customHeight="false" outlineLevel="0" collapsed="false">
      <c r="A3144" s="57" t="n">
        <v>36363</v>
      </c>
      <c r="B3144" s="56" t="n">
        <v>1999</v>
      </c>
      <c r="C3144" s="56" t="n">
        <v>7</v>
      </c>
      <c r="D3144" s="56" t="n">
        <v>83</v>
      </c>
      <c r="E3144" s="56" t="n">
        <v>25.5</v>
      </c>
      <c r="F3144" s="56" t="n">
        <v>0</v>
      </c>
      <c r="G3144" s="56" t="n">
        <v>11.2</v>
      </c>
      <c r="H3144" s="56" t="n">
        <v>0</v>
      </c>
      <c r="I3144" s="56" t="n">
        <v>14</v>
      </c>
      <c r="J3144" s="56" t="n">
        <v>0</v>
      </c>
      <c r="K3144" s="56" t="n">
        <v>1020.2</v>
      </c>
      <c r="L3144" s="56" t="n">
        <v>0</v>
      </c>
      <c r="M3144" s="56" t="n">
        <v>75</v>
      </c>
      <c r="N3144" s="56" t="n">
        <v>0.5</v>
      </c>
      <c r="O3144" s="56" t="n">
        <f aca="false">IF(D3144=1,"",E3143)</f>
        <v>16.8</v>
      </c>
      <c r="P3144" s="56" t="n">
        <f aca="false">IF(OR(D3144=1,K3143=""),"",K3143)</f>
        <v>1013.5</v>
      </c>
      <c r="Q3144" s="56" t="n">
        <f aca="false">IF(OR(F3144&lt;&gt;0,AND(I3144&lt;&gt;"",E3144&lt;I3144)),1,0)</f>
        <v>0</v>
      </c>
      <c r="R3144" s="56" t="n">
        <f aca="false">IF(AND(D3144&gt;1,Q3144=0,ISNUMBER(O3144),ISNUMBER(P3144)),IF(Q3143=0,1,0),0)</f>
        <v>0</v>
      </c>
      <c r="S3144" s="56" t="n">
        <f aca="false">R3144*(B3144&gt;=Train_Start)*(B3144&lt;=Train_End)</f>
        <v>0</v>
      </c>
      <c r="T3144" s="84" t="n">
        <f aca="false">IF(AND(ISNUMBER(O3144),ISNUMBER(P3144)),Coef_A+Coef_B1*O3144+Coef_B2*P3144,"")</f>
        <v>17.6452620766606</v>
      </c>
      <c r="U3144" s="84" t="str">
        <f aca="false">IF(AND(R3144=1,ISNUMBER(T3144)),E3144-T3144,"")</f>
        <v/>
      </c>
      <c r="V3144" s="84" t="n">
        <f aca="false">IF(ISNUMBER(T3144),T3144,-99)</f>
        <v>17.6452620766606</v>
      </c>
      <c r="W3144" s="84" t="str">
        <f aca="false">IF(ISNUMBER(U3144),ABS(U3144),"")</f>
        <v/>
      </c>
    </row>
    <row r="3145" customFormat="false" ht="15" hidden="false" customHeight="false" outlineLevel="0" collapsed="false">
      <c r="A3145" s="57" t="n">
        <v>36364</v>
      </c>
      <c r="B3145" s="56" t="n">
        <v>1999</v>
      </c>
      <c r="C3145" s="56" t="n">
        <v>7</v>
      </c>
      <c r="D3145" s="56" t="n">
        <v>84</v>
      </c>
      <c r="E3145" s="56" t="n">
        <v>29.8</v>
      </c>
      <c r="F3145" s="56" t="n">
        <v>0</v>
      </c>
      <c r="G3145" s="56" t="n">
        <v>9.2</v>
      </c>
      <c r="H3145" s="56" t="n">
        <v>0</v>
      </c>
      <c r="I3145" s="56" t="n">
        <v>17.4</v>
      </c>
      <c r="J3145" s="56" t="n">
        <v>0</v>
      </c>
      <c r="K3145" s="56" t="n">
        <v>1025.3</v>
      </c>
      <c r="L3145" s="56" t="n">
        <v>0</v>
      </c>
      <c r="M3145" s="56" t="n">
        <v>61</v>
      </c>
      <c r="N3145" s="56" t="n">
        <v>13.4</v>
      </c>
      <c r="O3145" s="56" t="n">
        <f aca="false">IF(D3145=1,"",E3144)</f>
        <v>25.5</v>
      </c>
      <c r="P3145" s="56" t="n">
        <f aca="false">IF(OR(D3145=1,K3144=""),"",K3144)</f>
        <v>1020.2</v>
      </c>
      <c r="Q3145" s="56" t="n">
        <f aca="false">IF(OR(F3145&lt;&gt;0,AND(I3145&lt;&gt;"",E3145&lt;I3145)),1,0)</f>
        <v>0</v>
      </c>
      <c r="R3145" s="56" t="n">
        <f aca="false">IF(AND(D3145&gt;1,Q3145=0,ISNUMBER(O3145),ISNUMBER(P3145)),IF(Q3144=0,1,0),0)</f>
        <v>1</v>
      </c>
      <c r="S3145" s="56" t="n">
        <f aca="false">R3145*(B3145&gt;=Train_Start)*(B3145&lt;=Train_End)</f>
        <v>0</v>
      </c>
      <c r="T3145" s="84" t="n">
        <f aca="false">IF(AND(ISNUMBER(O3145),ISNUMBER(P3145)),Coef_A+Coef_B1*O3145+Coef_B2*P3145,"")</f>
        <v>24.9836913501794</v>
      </c>
      <c r="U3145" s="84" t="n">
        <f aca="false">IF(AND(R3145=1,ISNUMBER(T3145)),E3145-T3145,"")</f>
        <v>4.81630864982056</v>
      </c>
      <c r="V3145" s="84" t="n">
        <f aca="false">IF(ISNUMBER(T3145),T3145,-99)</f>
        <v>24.9836913501794</v>
      </c>
      <c r="W3145" s="84" t="n">
        <f aca="false">IF(ISNUMBER(U3145),ABS(U3145),"")</f>
        <v>4.81630864982056</v>
      </c>
    </row>
    <row r="3146" customFormat="false" ht="15" hidden="false" customHeight="false" outlineLevel="0" collapsed="false">
      <c r="A3146" s="57" t="n">
        <v>36365</v>
      </c>
      <c r="B3146" s="56" t="n">
        <v>1999</v>
      </c>
      <c r="C3146" s="56" t="n">
        <v>7</v>
      </c>
      <c r="D3146" s="56" t="n">
        <v>85</v>
      </c>
      <c r="E3146" s="56" t="n">
        <v>27.8</v>
      </c>
      <c r="F3146" s="56" t="n">
        <v>0</v>
      </c>
      <c r="G3146" s="56" t="n">
        <v>14.5</v>
      </c>
      <c r="H3146" s="56" t="n">
        <v>0</v>
      </c>
      <c r="I3146" s="56" t="n">
        <v>22.2</v>
      </c>
      <c r="J3146" s="56" t="n">
        <v>0</v>
      </c>
      <c r="K3146" s="56" t="n">
        <v>1022.9</v>
      </c>
      <c r="L3146" s="56" t="n">
        <v>0</v>
      </c>
      <c r="M3146" s="56" t="n">
        <v>57</v>
      </c>
      <c r="N3146" s="56" t="n">
        <v>14.1</v>
      </c>
      <c r="O3146" s="56" t="n">
        <f aca="false">IF(D3146=1,"",E3145)</f>
        <v>29.8</v>
      </c>
      <c r="P3146" s="56" t="n">
        <f aca="false">IF(OR(D3146=1,K3145=""),"",K3145)</f>
        <v>1025.3</v>
      </c>
      <c r="Q3146" s="56" t="n">
        <f aca="false">IF(OR(F3146&lt;&gt;0,AND(I3146&lt;&gt;"",E3146&lt;I3146)),1,0)</f>
        <v>0</v>
      </c>
      <c r="R3146" s="56" t="n">
        <f aca="false">IF(AND(D3146&gt;1,Q3146=0,ISNUMBER(O3146),ISNUMBER(P3146)),IF(Q3145=0,1,0),0)</f>
        <v>1</v>
      </c>
      <c r="S3146" s="56" t="n">
        <f aca="false">R3146*(B3146&gt;=Train_Start)*(B3146&lt;=Train_End)</f>
        <v>0</v>
      </c>
      <c r="T3146" s="84" t="n">
        <f aca="false">IF(AND(ISNUMBER(O3146),ISNUMBER(P3146)),Coef_A+Coef_B1*O3146+Coef_B2*P3146,"")</f>
        <v>28.6668363428962</v>
      </c>
      <c r="U3146" s="84" t="n">
        <f aca="false">IF(AND(R3146=1,ISNUMBER(T3146)),E3146-T3146,"")</f>
        <v>-0.866836342896214</v>
      </c>
      <c r="V3146" s="84" t="n">
        <f aca="false">IF(ISNUMBER(T3146),T3146,-99)</f>
        <v>28.6668363428962</v>
      </c>
      <c r="W3146" s="84" t="n">
        <f aca="false">IF(ISNUMBER(U3146),ABS(U3146),"")</f>
        <v>0.866836342896214</v>
      </c>
    </row>
    <row r="3147" customFormat="false" ht="15" hidden="false" customHeight="false" outlineLevel="0" collapsed="false">
      <c r="A3147" s="57" t="n">
        <v>36366</v>
      </c>
      <c r="B3147" s="56" t="n">
        <v>1999</v>
      </c>
      <c r="C3147" s="56" t="n">
        <v>7</v>
      </c>
      <c r="D3147" s="56" t="n">
        <v>86</v>
      </c>
      <c r="E3147" s="56" t="n">
        <v>23</v>
      </c>
      <c r="F3147" s="56" t="n">
        <v>0</v>
      </c>
      <c r="G3147" s="56" t="n">
        <v>16.7</v>
      </c>
      <c r="H3147" s="56" t="n">
        <v>0</v>
      </c>
      <c r="I3147" s="56" t="n">
        <v>22.2</v>
      </c>
      <c r="J3147" s="56" t="n">
        <v>0</v>
      </c>
      <c r="K3147" s="56" t="n">
        <v>1020.5</v>
      </c>
      <c r="L3147" s="56" t="n">
        <v>0</v>
      </c>
      <c r="M3147" s="56" t="n">
        <v>62</v>
      </c>
      <c r="N3147" s="56" t="n">
        <v>7.4</v>
      </c>
      <c r="O3147" s="56" t="n">
        <f aca="false">IF(D3147=1,"",E3146)</f>
        <v>27.8</v>
      </c>
      <c r="P3147" s="56" t="n">
        <f aca="false">IF(OR(D3147=1,K3146=""),"",K3146)</f>
        <v>1022.9</v>
      </c>
      <c r="Q3147" s="56" t="n">
        <f aca="false">IF(OR(F3147&lt;&gt;0,AND(I3147&lt;&gt;"",E3147&lt;I3147)),1,0)</f>
        <v>0</v>
      </c>
      <c r="R3147" s="56" t="n">
        <f aca="false">IF(AND(D3147&gt;1,Q3147=0,ISNUMBER(O3147),ISNUMBER(P3147)),IF(Q3146=0,1,0),0)</f>
        <v>1</v>
      </c>
      <c r="S3147" s="56" t="n">
        <f aca="false">R3147*(B3147&gt;=Train_Start)*(B3147&lt;=Train_End)</f>
        <v>0</v>
      </c>
      <c r="T3147" s="84" t="n">
        <f aca="false">IF(AND(ISNUMBER(O3147),ISNUMBER(P3147)),Coef_A+Coef_B1*O3147+Coef_B2*P3147,"")</f>
        <v>26.9528702096893</v>
      </c>
      <c r="U3147" s="84" t="n">
        <f aca="false">IF(AND(R3147=1,ISNUMBER(T3147)),E3147-T3147,"")</f>
        <v>-3.95287020968933</v>
      </c>
      <c r="V3147" s="84" t="n">
        <f aca="false">IF(ISNUMBER(T3147),T3147,-99)</f>
        <v>26.9528702096893</v>
      </c>
      <c r="W3147" s="84" t="n">
        <f aca="false">IF(ISNUMBER(U3147),ABS(U3147),"")</f>
        <v>3.95287020968933</v>
      </c>
    </row>
    <row r="3148" customFormat="false" ht="15" hidden="false" customHeight="false" outlineLevel="0" collapsed="false">
      <c r="A3148" s="57" t="n">
        <v>36367</v>
      </c>
      <c r="B3148" s="56" t="n">
        <v>1999</v>
      </c>
      <c r="C3148" s="56" t="n">
        <v>7</v>
      </c>
      <c r="D3148" s="56" t="n">
        <v>87</v>
      </c>
      <c r="E3148" s="56" t="n">
        <v>21.7</v>
      </c>
      <c r="F3148" s="56" t="n">
        <v>0</v>
      </c>
      <c r="G3148" s="56" t="n">
        <v>14.6</v>
      </c>
      <c r="H3148" s="56" t="n">
        <v>0</v>
      </c>
      <c r="I3148" s="56" t="n">
        <v>18.8</v>
      </c>
      <c r="J3148" s="56" t="n">
        <v>0</v>
      </c>
      <c r="K3148" s="56" t="n">
        <v>1024</v>
      </c>
      <c r="L3148" s="56" t="n">
        <v>0</v>
      </c>
      <c r="M3148" s="56" t="n">
        <v>55</v>
      </c>
      <c r="N3148" s="56" t="n">
        <v>8.7</v>
      </c>
      <c r="O3148" s="56" t="n">
        <f aca="false">IF(D3148=1,"",E3147)</f>
        <v>23</v>
      </c>
      <c r="P3148" s="56" t="n">
        <f aca="false">IF(OR(D3148=1,K3147=""),"",K3147)</f>
        <v>1020.5</v>
      </c>
      <c r="Q3148" s="56" t="n">
        <f aca="false">IF(OR(F3148&lt;&gt;0,AND(I3148&lt;&gt;"",E3148&lt;I3148)),1,0)</f>
        <v>0</v>
      </c>
      <c r="R3148" s="56" t="n">
        <f aca="false">IF(AND(D3148&gt;1,Q3148=0,ISNUMBER(O3148),ISNUMBER(P3148)),IF(Q3147=0,1,0),0)</f>
        <v>1</v>
      </c>
      <c r="S3148" s="56" t="n">
        <f aca="false">R3148*(B3148&gt;=Train_Start)*(B3148&lt;=Train_End)</f>
        <v>0</v>
      </c>
      <c r="T3148" s="84" t="n">
        <f aca="false">IF(AND(ISNUMBER(O3148),ISNUMBER(P3148)),Coef_A+Coef_B1*O3148+Coef_B2*P3148,"")</f>
        <v>22.944754335963</v>
      </c>
      <c r="U3148" s="84" t="n">
        <f aca="false">IF(AND(R3148=1,ISNUMBER(T3148)),E3148-T3148,"")</f>
        <v>-1.244754335963</v>
      </c>
      <c r="V3148" s="84" t="n">
        <f aca="false">IF(ISNUMBER(T3148),T3148,-99)</f>
        <v>22.944754335963</v>
      </c>
      <c r="W3148" s="84" t="n">
        <f aca="false">IF(ISNUMBER(U3148),ABS(U3148),"")</f>
        <v>1.244754335963</v>
      </c>
    </row>
    <row r="3149" customFormat="false" ht="15" hidden="false" customHeight="false" outlineLevel="0" collapsed="false">
      <c r="A3149" s="57" t="n">
        <v>36368</v>
      </c>
      <c r="B3149" s="56" t="n">
        <v>1999</v>
      </c>
      <c r="C3149" s="56" t="n">
        <v>7</v>
      </c>
      <c r="D3149" s="56" t="n">
        <v>88</v>
      </c>
      <c r="E3149" s="56" t="n">
        <v>25.3</v>
      </c>
      <c r="F3149" s="56" t="n">
        <v>0</v>
      </c>
      <c r="G3149" s="56" t="n">
        <v>12.6</v>
      </c>
      <c r="H3149" s="56" t="n">
        <v>0</v>
      </c>
      <c r="I3149" s="56" t="n">
        <v>17.2</v>
      </c>
      <c r="J3149" s="56" t="n">
        <v>0</v>
      </c>
      <c r="K3149" s="56" t="n">
        <v>1023.6</v>
      </c>
      <c r="L3149" s="56" t="n">
        <v>0</v>
      </c>
      <c r="M3149" s="56" t="n">
        <v>56</v>
      </c>
      <c r="N3149" s="56" t="n">
        <v>14.6</v>
      </c>
      <c r="O3149" s="56" t="n">
        <f aca="false">IF(D3149=1,"",E3148)</f>
        <v>21.7</v>
      </c>
      <c r="P3149" s="56" t="n">
        <f aca="false">IF(OR(D3149=1,K3148=""),"",K3148)</f>
        <v>1024</v>
      </c>
      <c r="Q3149" s="56" t="n">
        <f aca="false">IF(OR(F3149&lt;&gt;0,AND(I3149&lt;&gt;"",E3149&lt;I3149)),1,0)</f>
        <v>0</v>
      </c>
      <c r="R3149" s="56" t="n">
        <f aca="false">IF(AND(D3149&gt;1,Q3149=0,ISNUMBER(O3149),ISNUMBER(P3149)),IF(Q3148=0,1,0),0)</f>
        <v>1</v>
      </c>
      <c r="S3149" s="56" t="n">
        <f aca="false">R3149*(B3149&gt;=Train_Start)*(B3149&lt;=Train_End)</f>
        <v>0</v>
      </c>
      <c r="T3149" s="84" t="n">
        <f aca="false">IF(AND(ISNUMBER(O3149),ISNUMBER(P3149)),Coef_A+Coef_B1*O3149+Coef_B2*P3149,"")</f>
        <v>21.9894080162265</v>
      </c>
      <c r="U3149" s="84" t="n">
        <f aca="false">IF(AND(R3149=1,ISNUMBER(T3149)),E3149-T3149,"")</f>
        <v>3.3105919837735</v>
      </c>
      <c r="V3149" s="84" t="n">
        <f aca="false">IF(ISNUMBER(T3149),T3149,-99)</f>
        <v>21.9894080162265</v>
      </c>
      <c r="W3149" s="84" t="n">
        <f aca="false">IF(ISNUMBER(U3149),ABS(U3149),"")</f>
        <v>3.3105919837735</v>
      </c>
    </row>
    <row r="3150" customFormat="false" ht="15" hidden="false" customHeight="false" outlineLevel="0" collapsed="false">
      <c r="A3150" s="57" t="n">
        <v>36369</v>
      </c>
      <c r="B3150" s="56" t="n">
        <v>1999</v>
      </c>
      <c r="C3150" s="56" t="n">
        <v>7</v>
      </c>
      <c r="D3150" s="56" t="n">
        <v>89</v>
      </c>
      <c r="E3150" s="56" t="n">
        <v>28.6</v>
      </c>
      <c r="F3150" s="56" t="n">
        <v>0</v>
      </c>
      <c r="G3150" s="56" t="n">
        <v>14.4</v>
      </c>
      <c r="H3150" s="56" t="n">
        <v>0</v>
      </c>
      <c r="I3150" s="56" t="n">
        <v>19.8</v>
      </c>
      <c r="J3150" s="56" t="n">
        <v>0</v>
      </c>
      <c r="K3150" s="56" t="n">
        <v>1022.1</v>
      </c>
      <c r="L3150" s="56" t="n">
        <v>0</v>
      </c>
      <c r="M3150" s="56" t="n">
        <v>58</v>
      </c>
      <c r="N3150" s="56" t="n">
        <v>9.6</v>
      </c>
      <c r="O3150" s="56" t="n">
        <f aca="false">IF(D3150=1,"",E3149)</f>
        <v>25.3</v>
      </c>
      <c r="P3150" s="56" t="n">
        <f aca="false">IF(OR(D3150=1,K3149=""),"",K3149)</f>
        <v>1023.6</v>
      </c>
      <c r="Q3150" s="56" t="n">
        <f aca="false">IF(OR(F3150&lt;&gt;0,AND(I3150&lt;&gt;"",E3150&lt;I3150)),1,0)</f>
        <v>0</v>
      </c>
      <c r="R3150" s="56" t="n">
        <f aca="false">IF(AND(D3150&gt;1,Q3150=0,ISNUMBER(O3150),ISNUMBER(P3150)),IF(Q3149=0,1,0),0)</f>
        <v>1</v>
      </c>
      <c r="S3150" s="56" t="n">
        <f aca="false">R3150*(B3150&gt;=Train_Start)*(B3150&lt;=Train_End)</f>
        <v>0</v>
      </c>
      <c r="T3150" s="84" t="n">
        <f aca="false">IF(AND(ISNUMBER(O3150),ISNUMBER(P3150)),Coef_A+Coef_B1*O3150+Coef_B2*P3150,"")</f>
        <v>24.9264811533265</v>
      </c>
      <c r="U3150" s="84" t="n">
        <f aca="false">IF(AND(R3150=1,ISNUMBER(T3150)),E3150-T3150,"")</f>
        <v>3.67351884667352</v>
      </c>
      <c r="V3150" s="84" t="n">
        <f aca="false">IF(ISNUMBER(T3150),T3150,-99)</f>
        <v>24.9264811533265</v>
      </c>
      <c r="W3150" s="84" t="n">
        <f aca="false">IF(ISNUMBER(U3150),ABS(U3150),"")</f>
        <v>3.67351884667352</v>
      </c>
    </row>
    <row r="3151" customFormat="false" ht="15" hidden="false" customHeight="false" outlineLevel="0" collapsed="false">
      <c r="A3151" s="57" t="n">
        <v>36370</v>
      </c>
      <c r="B3151" s="56" t="n">
        <v>1999</v>
      </c>
      <c r="C3151" s="56" t="n">
        <v>7</v>
      </c>
      <c r="D3151" s="56" t="n">
        <v>90</v>
      </c>
      <c r="E3151" s="56" t="n">
        <v>29.4</v>
      </c>
      <c r="F3151" s="56" t="n">
        <v>0</v>
      </c>
      <c r="G3151" s="56" t="n">
        <v>13.9</v>
      </c>
      <c r="H3151" s="56" t="n">
        <v>0</v>
      </c>
      <c r="I3151" s="56" t="n">
        <v>21.2</v>
      </c>
      <c r="J3151" s="56" t="n">
        <v>0</v>
      </c>
      <c r="K3151" s="56" t="n">
        <v>1020.3</v>
      </c>
      <c r="L3151" s="56" t="n">
        <v>0</v>
      </c>
      <c r="M3151" s="56" t="n">
        <v>61</v>
      </c>
      <c r="N3151" s="56" t="n">
        <v>10.6</v>
      </c>
      <c r="O3151" s="56" t="n">
        <f aca="false">IF(D3151=1,"",E3150)</f>
        <v>28.6</v>
      </c>
      <c r="P3151" s="56" t="n">
        <f aca="false">IF(OR(D3151=1,K3150=""),"",K3150)</f>
        <v>1022.1</v>
      </c>
      <c r="Q3151" s="56" t="n">
        <f aca="false">IF(OR(F3151&lt;&gt;0,AND(I3151&lt;&gt;"",E3151&lt;I3151)),1,0)</f>
        <v>0</v>
      </c>
      <c r="R3151" s="56" t="n">
        <f aca="false">IF(AND(D3151&gt;1,Q3151=0,ISNUMBER(O3151),ISNUMBER(P3151)),IF(Q3150=0,1,0),0)</f>
        <v>1</v>
      </c>
      <c r="S3151" s="56" t="n">
        <f aca="false">R3151*(B3151&gt;=Train_Start)*(B3151&lt;=Train_End)</f>
        <v>0</v>
      </c>
      <c r="T3151" s="84" t="n">
        <f aca="false">IF(AND(ISNUMBER(O3151),ISNUMBER(P3151)),Coef_A+Coef_B1*O3151+Coef_B2*P3151,"")</f>
        <v>27.5832456484163</v>
      </c>
      <c r="U3151" s="84" t="n">
        <f aca="false">IF(AND(R3151=1,ISNUMBER(T3151)),E3151-T3151,"")</f>
        <v>1.81675435158374</v>
      </c>
      <c r="V3151" s="84" t="n">
        <f aca="false">IF(ISNUMBER(T3151),T3151,-99)</f>
        <v>27.5832456484163</v>
      </c>
      <c r="W3151" s="84" t="n">
        <f aca="false">IF(ISNUMBER(U3151),ABS(U3151),"")</f>
        <v>1.81675435158374</v>
      </c>
    </row>
    <row r="3152" customFormat="false" ht="15" hidden="false" customHeight="false" outlineLevel="0" collapsed="false">
      <c r="A3152" s="57" t="n">
        <v>36371</v>
      </c>
      <c r="B3152" s="56" t="n">
        <v>1999</v>
      </c>
      <c r="C3152" s="56" t="n">
        <v>7</v>
      </c>
      <c r="D3152" s="56" t="n">
        <v>91</v>
      </c>
      <c r="E3152" s="56" t="n">
        <v>31.3</v>
      </c>
      <c r="F3152" s="56" t="n">
        <v>0</v>
      </c>
      <c r="G3152" s="56" t="n">
        <v>14.6</v>
      </c>
      <c r="H3152" s="56" t="n">
        <v>0</v>
      </c>
      <c r="I3152" s="56" t="n">
        <v>22</v>
      </c>
      <c r="J3152" s="56" t="n">
        <v>0</v>
      </c>
      <c r="K3152" s="56" t="n">
        <v>1016</v>
      </c>
      <c r="L3152" s="56" t="n">
        <v>0</v>
      </c>
      <c r="M3152" s="56" t="n">
        <v>53</v>
      </c>
      <c r="N3152" s="56" t="n">
        <v>12.5</v>
      </c>
      <c r="O3152" s="56" t="n">
        <f aca="false">IF(D3152=1,"",E3151)</f>
        <v>29.4</v>
      </c>
      <c r="P3152" s="56" t="n">
        <f aca="false">IF(OR(D3152=1,K3151=""),"",K3151)</f>
        <v>1020.3</v>
      </c>
      <c r="Q3152" s="56" t="n">
        <f aca="false">IF(OR(F3152&lt;&gt;0,AND(I3152&lt;&gt;"",E3152&lt;I3152)),1,0)</f>
        <v>0</v>
      </c>
      <c r="R3152" s="56" t="n">
        <f aca="false">IF(AND(D3152&gt;1,Q3152=0,ISNUMBER(O3152),ISNUMBER(P3152)),IF(Q3151=0,1,0),0)</f>
        <v>1</v>
      </c>
      <c r="S3152" s="56" t="n">
        <f aca="false">R3152*(B3152&gt;=Train_Start)*(B3152&lt;=Train_End)</f>
        <v>0</v>
      </c>
      <c r="T3152" s="84" t="n">
        <f aca="false">IF(AND(ISNUMBER(O3152),ISNUMBER(P3152)),Coef_A+Coef_B1*O3152+Coef_B2*P3152,"")</f>
        <v>28.1822511925092</v>
      </c>
      <c r="U3152" s="84" t="n">
        <f aca="false">IF(AND(R3152=1,ISNUMBER(T3152)),E3152-T3152,"")</f>
        <v>3.1177488074908</v>
      </c>
      <c r="V3152" s="84" t="n">
        <f aca="false">IF(ISNUMBER(T3152),T3152,-99)</f>
        <v>28.1822511925092</v>
      </c>
      <c r="W3152" s="84" t="n">
        <f aca="false">IF(ISNUMBER(U3152),ABS(U3152),"")</f>
        <v>3.1177488074908</v>
      </c>
    </row>
    <row r="3153" customFormat="false" ht="15" hidden="false" customHeight="false" outlineLevel="0" collapsed="false">
      <c r="A3153" s="57" t="n">
        <v>36372</v>
      </c>
      <c r="B3153" s="56" t="n">
        <v>1999</v>
      </c>
      <c r="C3153" s="56" t="n">
        <v>7</v>
      </c>
      <c r="D3153" s="56" t="n">
        <v>92</v>
      </c>
      <c r="E3153" s="56" t="n">
        <v>32.7</v>
      </c>
      <c r="F3153" s="56" t="n">
        <v>0</v>
      </c>
      <c r="G3153" s="56" t="n">
        <v>17.1</v>
      </c>
      <c r="H3153" s="56" t="n">
        <v>0</v>
      </c>
      <c r="I3153" s="56" t="n">
        <v>24.2</v>
      </c>
      <c r="J3153" s="56" t="n">
        <v>0</v>
      </c>
      <c r="K3153" s="56" t="n">
        <v>1013.8</v>
      </c>
      <c r="L3153" s="56" t="n">
        <v>0</v>
      </c>
      <c r="M3153" s="56" t="n">
        <v>51</v>
      </c>
      <c r="N3153" s="56" t="n">
        <v>11.7</v>
      </c>
      <c r="O3153" s="56" t="n">
        <f aca="false">IF(D3153=1,"",E3152)</f>
        <v>31.3</v>
      </c>
      <c r="P3153" s="56" t="n">
        <f aca="false">IF(OR(D3153=1,K3152=""),"",K3152)</f>
        <v>1016</v>
      </c>
      <c r="Q3153" s="56" t="n">
        <f aca="false">IF(OR(F3153&lt;&gt;0,AND(I3153&lt;&gt;"",E3153&lt;I3153)),1,0)</f>
        <v>0</v>
      </c>
      <c r="R3153" s="56" t="n">
        <f aca="false">IF(AND(D3153&gt;1,Q3153=0,ISNUMBER(O3153),ISNUMBER(P3153)),IF(Q3152=0,1,0),0)</f>
        <v>1</v>
      </c>
      <c r="S3153" s="56" t="n">
        <f aca="false">R3153*(B3153&gt;=Train_Start)*(B3153&lt;=Train_End)</f>
        <v>0</v>
      </c>
      <c r="T3153" s="84" t="n">
        <f aca="false">IF(AND(ISNUMBER(O3153),ISNUMBER(P3153)),Coef_A+Coef_B1*O3153+Coef_B2*P3153,"")</f>
        <v>29.6041051123641</v>
      </c>
      <c r="U3153" s="84" t="n">
        <f aca="false">IF(AND(R3153=1,ISNUMBER(T3153)),E3153-T3153,"")</f>
        <v>3.0958948876359</v>
      </c>
      <c r="V3153" s="84" t="n">
        <f aca="false">IF(ISNUMBER(T3153),T3153,-99)</f>
        <v>29.6041051123641</v>
      </c>
      <c r="W3153" s="84" t="n">
        <f aca="false">IF(ISNUMBER(U3153),ABS(U3153),"")</f>
        <v>3.0958948876359</v>
      </c>
    </row>
    <row r="3154" customFormat="false" ht="15" hidden="false" customHeight="false" outlineLevel="0" collapsed="false">
      <c r="A3154" s="57" t="n">
        <v>36373</v>
      </c>
      <c r="B3154" s="56" t="n">
        <v>1999</v>
      </c>
      <c r="C3154" s="56" t="n">
        <v>8</v>
      </c>
      <c r="D3154" s="56" t="n">
        <v>93</v>
      </c>
      <c r="E3154" s="56" t="n">
        <v>31.9</v>
      </c>
      <c r="F3154" s="56" t="n">
        <v>0</v>
      </c>
      <c r="G3154" s="56" t="n">
        <v>16.5</v>
      </c>
      <c r="H3154" s="56" t="n">
        <v>0</v>
      </c>
      <c r="I3154" s="56" t="n">
        <v>24.6</v>
      </c>
      <c r="J3154" s="56" t="n">
        <v>0</v>
      </c>
      <c r="K3154" s="56" t="n">
        <v>1014.2</v>
      </c>
      <c r="L3154" s="56" t="n">
        <v>0</v>
      </c>
      <c r="M3154" s="56" t="n">
        <v>49</v>
      </c>
      <c r="N3154" s="56" t="n">
        <v>13.1</v>
      </c>
      <c r="O3154" s="56" t="n">
        <f aca="false">IF(D3154=1,"",E3153)</f>
        <v>32.7</v>
      </c>
      <c r="P3154" s="56" t="n">
        <f aca="false">IF(OR(D3154=1,K3153=""),"",K3153)</f>
        <v>1013.8</v>
      </c>
      <c r="Q3154" s="56" t="n">
        <f aca="false">IF(OR(F3154&lt;&gt;0,AND(I3154&lt;&gt;"",E3154&lt;I3154)),1,0)</f>
        <v>0</v>
      </c>
      <c r="R3154" s="56" t="n">
        <f aca="false">IF(AND(D3154&gt;1,Q3154=0,ISNUMBER(O3154),ISNUMBER(P3154)),IF(Q3153=0,1,0),0)</f>
        <v>1</v>
      </c>
      <c r="S3154" s="56" t="n">
        <f aca="false">R3154*(B3154&gt;=Train_Start)*(B3154&lt;=Train_End)</f>
        <v>0</v>
      </c>
      <c r="T3154" s="84" t="n">
        <f aca="false">IF(AND(ISNUMBER(O3154),ISNUMBER(P3154)),Coef_A+Coef_B1*O3154+Coef_B2*P3154,"")</f>
        <v>30.682166214429</v>
      </c>
      <c r="U3154" s="84" t="n">
        <f aca="false">IF(AND(R3154=1,ISNUMBER(T3154)),E3154-T3154,"")</f>
        <v>1.21783378557095</v>
      </c>
      <c r="V3154" s="84" t="n">
        <f aca="false">IF(ISNUMBER(T3154),T3154,-99)</f>
        <v>30.682166214429</v>
      </c>
      <c r="W3154" s="84" t="n">
        <f aca="false">IF(ISNUMBER(U3154),ABS(U3154),"")</f>
        <v>1.21783378557095</v>
      </c>
    </row>
    <row r="3155" customFormat="false" ht="15" hidden="false" customHeight="false" outlineLevel="0" collapsed="false">
      <c r="A3155" s="57" t="n">
        <v>36374</v>
      </c>
      <c r="B3155" s="56" t="n">
        <v>1999</v>
      </c>
      <c r="C3155" s="56" t="n">
        <v>8</v>
      </c>
      <c r="D3155" s="56" t="n">
        <v>94</v>
      </c>
      <c r="E3155" s="56" t="n">
        <v>23.9</v>
      </c>
      <c r="F3155" s="56" t="n">
        <v>1</v>
      </c>
      <c r="G3155" s="56" t="n">
        <v>18.8</v>
      </c>
      <c r="H3155" s="56" t="n">
        <v>0</v>
      </c>
      <c r="I3155" s="56" t="n">
        <v>25.4</v>
      </c>
      <c r="J3155" s="56" t="n">
        <v>1</v>
      </c>
      <c r="K3155" s="56" t="n">
        <v>1012.2</v>
      </c>
      <c r="L3155" s="56" t="n">
        <v>0</v>
      </c>
      <c r="M3155" s="56" t="n">
        <v>50</v>
      </c>
      <c r="N3155" s="56" t="n">
        <v>9.3</v>
      </c>
      <c r="O3155" s="56" t="n">
        <f aca="false">IF(D3155=1,"",E3154)</f>
        <v>31.9</v>
      </c>
      <c r="P3155" s="56" t="n">
        <f aca="false">IF(OR(D3155=1,K3154=""),"",K3154)</f>
        <v>1014.2</v>
      </c>
      <c r="Q3155" s="56" t="n">
        <f aca="false">IF(OR(F3155&lt;&gt;0,AND(I3155&lt;&gt;"",E3155&lt;I3155)),1,0)</f>
        <v>1</v>
      </c>
      <c r="R3155" s="56" t="n">
        <f aca="false">IF(AND(D3155&gt;1,Q3155=0,ISNUMBER(O3155),ISNUMBER(P3155)),IF(Q3154=0,1,0),0)</f>
        <v>0</v>
      </c>
      <c r="S3155" s="56" t="n">
        <f aca="false">R3155*(B3155&gt;=Train_Start)*(B3155&lt;=Train_End)</f>
        <v>0</v>
      </c>
      <c r="T3155" s="84" t="n">
        <f aca="false">IF(AND(ISNUMBER(O3155),ISNUMBER(P3155)),Coef_A+Coef_B1*O3155+Coef_B2*P3155,"")</f>
        <v>30.0392428178485</v>
      </c>
      <c r="U3155" s="84" t="str">
        <f aca="false">IF(AND(R3155=1,ISNUMBER(T3155)),E3155-T3155,"")</f>
        <v/>
      </c>
      <c r="V3155" s="84" t="n">
        <f aca="false">IF(ISNUMBER(T3155),T3155,-99)</f>
        <v>30.0392428178485</v>
      </c>
      <c r="W3155" s="84" t="str">
        <f aca="false">IF(ISNUMBER(U3155),ABS(U3155),"")</f>
        <v/>
      </c>
    </row>
    <row r="3156" customFormat="false" ht="15" hidden="false" customHeight="false" outlineLevel="0" collapsed="false">
      <c r="A3156" s="57" t="n">
        <v>36375</v>
      </c>
      <c r="B3156" s="56" t="n">
        <v>1999</v>
      </c>
      <c r="C3156" s="56" t="n">
        <v>8</v>
      </c>
      <c r="D3156" s="56" t="n">
        <v>95</v>
      </c>
      <c r="E3156" s="56" t="n">
        <v>27.6</v>
      </c>
      <c r="F3156" s="56" t="n">
        <v>0</v>
      </c>
      <c r="G3156" s="56" t="n">
        <v>18.6</v>
      </c>
      <c r="H3156" s="56" t="n">
        <v>0</v>
      </c>
      <c r="I3156" s="56" t="n">
        <v>21.2</v>
      </c>
      <c r="J3156" s="56" t="n">
        <v>0</v>
      </c>
      <c r="K3156" s="56" t="n">
        <v>1010.5</v>
      </c>
      <c r="L3156" s="56" t="n">
        <v>0</v>
      </c>
      <c r="M3156" s="56" t="n">
        <v>79</v>
      </c>
      <c r="N3156" s="56" t="n">
        <v>2.3</v>
      </c>
      <c r="O3156" s="56" t="n">
        <f aca="false">IF(D3156=1,"",E3155)</f>
        <v>23.9</v>
      </c>
      <c r="P3156" s="56" t="n">
        <f aca="false">IF(OR(D3156=1,K3155=""),"",K3155)</f>
        <v>1012.2</v>
      </c>
      <c r="Q3156" s="56" t="n">
        <f aca="false">IF(OR(F3156&lt;&gt;0,AND(I3156&lt;&gt;"",E3156&lt;I3156)),1,0)</f>
        <v>0</v>
      </c>
      <c r="R3156" s="56" t="n">
        <f aca="false">IF(AND(D3156&gt;1,Q3156=0,ISNUMBER(O3156),ISNUMBER(P3156)),IF(Q3155=0,1,0),0)</f>
        <v>0</v>
      </c>
      <c r="S3156" s="56" t="n">
        <f aca="false">R3156*(B3156&gt;=Train_Start)*(B3156&lt;=Train_End)</f>
        <v>0</v>
      </c>
      <c r="T3156" s="84" t="n">
        <f aca="false">IF(AND(ISNUMBER(O3156),ISNUMBER(P3156)),Coef_A+Coef_B1*O3156+Coef_B2*P3156,"")</f>
        <v>23.4217894842393</v>
      </c>
      <c r="U3156" s="84" t="str">
        <f aca="false">IF(AND(R3156=1,ISNUMBER(T3156)),E3156-T3156,"")</f>
        <v/>
      </c>
      <c r="V3156" s="84" t="n">
        <f aca="false">IF(ISNUMBER(T3156),T3156,-99)</f>
        <v>23.4217894842393</v>
      </c>
      <c r="W3156" s="84" t="str">
        <f aca="false">IF(ISNUMBER(U3156),ABS(U3156),"")</f>
        <v/>
      </c>
    </row>
    <row r="3157" customFormat="false" ht="15" hidden="false" customHeight="false" outlineLevel="0" collapsed="false">
      <c r="A3157" s="57" t="n">
        <v>36376</v>
      </c>
      <c r="B3157" s="56" t="n">
        <v>1999</v>
      </c>
      <c r="C3157" s="56" t="n">
        <v>8</v>
      </c>
      <c r="D3157" s="56" t="n">
        <v>96</v>
      </c>
      <c r="E3157" s="56" t="n">
        <v>26.2</v>
      </c>
      <c r="F3157" s="56" t="n">
        <v>0</v>
      </c>
      <c r="G3157" s="56" t="n">
        <v>15.3</v>
      </c>
      <c r="H3157" s="56" t="n">
        <v>0</v>
      </c>
      <c r="I3157" s="56" t="n">
        <v>21.4</v>
      </c>
      <c r="J3157" s="56" t="n">
        <v>0</v>
      </c>
      <c r="K3157" s="56" t="n">
        <v>1009.8</v>
      </c>
      <c r="L3157" s="56" t="n">
        <v>0</v>
      </c>
      <c r="M3157" s="56" t="n">
        <v>66</v>
      </c>
      <c r="N3157" s="56" t="n">
        <v>6</v>
      </c>
      <c r="O3157" s="56" t="n">
        <f aca="false">IF(D3157=1,"",E3156)</f>
        <v>27.6</v>
      </c>
      <c r="P3157" s="56" t="n">
        <f aca="false">IF(OR(D3157=1,K3156=""),"",K3156)</f>
        <v>1010.5</v>
      </c>
      <c r="Q3157" s="56" t="n">
        <f aca="false">IF(OR(F3157&lt;&gt;0,AND(I3157&lt;&gt;"",E3157&lt;I3157)),1,0)</f>
        <v>0</v>
      </c>
      <c r="R3157" s="56" t="n">
        <f aca="false">IF(AND(D3157&gt;1,Q3157=0,ISNUMBER(O3157),ISNUMBER(P3157)),IF(Q3156=0,1,0),0)</f>
        <v>1</v>
      </c>
      <c r="S3157" s="56" t="n">
        <f aca="false">R3157*(B3157&gt;=Train_Start)*(B3157&lt;=Train_End)</f>
        <v>0</v>
      </c>
      <c r="T3157" s="84" t="n">
        <f aca="false">IF(AND(ISNUMBER(O3157),ISNUMBER(P3157)),Coef_A+Coef_B1*O3157+Coef_B2*P3157,"")</f>
        <v>26.4000156776193</v>
      </c>
      <c r="U3157" s="84" t="n">
        <f aca="false">IF(AND(R3157=1,ISNUMBER(T3157)),E3157-T3157,"")</f>
        <v>-0.20001567761933</v>
      </c>
      <c r="V3157" s="84" t="n">
        <f aca="false">IF(ISNUMBER(T3157),T3157,-99)</f>
        <v>26.4000156776193</v>
      </c>
      <c r="W3157" s="84" t="n">
        <f aca="false">IF(ISNUMBER(U3157),ABS(U3157),"")</f>
        <v>0.20001567761933</v>
      </c>
    </row>
    <row r="3158" customFormat="false" ht="15" hidden="false" customHeight="false" outlineLevel="0" collapsed="false">
      <c r="A3158" s="57" t="n">
        <v>36377</v>
      </c>
      <c r="B3158" s="56" t="n">
        <v>1999</v>
      </c>
      <c r="C3158" s="56" t="n">
        <v>8</v>
      </c>
      <c r="D3158" s="56" t="n">
        <v>97</v>
      </c>
      <c r="E3158" s="56" t="n">
        <v>26.9</v>
      </c>
      <c r="F3158" s="56" t="n">
        <v>0</v>
      </c>
      <c r="G3158" s="56" t="n">
        <v>17.5</v>
      </c>
      <c r="H3158" s="56" t="n">
        <v>0</v>
      </c>
      <c r="I3158" s="56" t="n">
        <v>21.8</v>
      </c>
      <c r="J3158" s="56" t="n">
        <v>0</v>
      </c>
      <c r="K3158" s="56" t="n">
        <v>1009.2</v>
      </c>
      <c r="L3158" s="56" t="n">
        <v>0</v>
      </c>
      <c r="M3158" s="56" t="n">
        <v>71</v>
      </c>
      <c r="N3158" s="56" t="n">
        <v>10.5</v>
      </c>
      <c r="O3158" s="56" t="n">
        <f aca="false">IF(D3158=1,"",E3157)</f>
        <v>26.2</v>
      </c>
      <c r="P3158" s="56" t="n">
        <f aca="false">IF(OR(D3158=1,K3157=""),"",K3157)</f>
        <v>1009.8</v>
      </c>
      <c r="Q3158" s="56" t="n">
        <f aca="false">IF(OR(F3158&lt;&gt;0,AND(I3158&lt;&gt;"",E3158&lt;I3158)),1,0)</f>
        <v>0</v>
      </c>
      <c r="R3158" s="56" t="n">
        <f aca="false">IF(AND(D3158&gt;1,Q3158=0,ISNUMBER(O3158),ISNUMBER(P3158)),IF(Q3157=0,1,0),0)</f>
        <v>1</v>
      </c>
      <c r="S3158" s="56" t="n">
        <f aca="false">R3158*(B3158&gt;=Train_Start)*(B3158&lt;=Train_End)</f>
        <v>0</v>
      </c>
      <c r="T3158" s="84" t="n">
        <f aca="false">IF(AND(ISNUMBER(O3158),ISNUMBER(P3158)),Coef_A+Coef_B1*O3158+Coef_B2*P3158,"")</f>
        <v>25.2309818811158</v>
      </c>
      <c r="U3158" s="84" t="n">
        <f aca="false">IF(AND(R3158=1,ISNUMBER(T3158)),E3158-T3158,"")</f>
        <v>1.66901811888419</v>
      </c>
      <c r="V3158" s="84" t="n">
        <f aca="false">IF(ISNUMBER(T3158),T3158,-99)</f>
        <v>25.2309818811158</v>
      </c>
      <c r="W3158" s="84" t="n">
        <f aca="false">IF(ISNUMBER(U3158),ABS(U3158),"")</f>
        <v>1.66901811888419</v>
      </c>
    </row>
    <row r="3159" customFormat="false" ht="15" hidden="false" customHeight="false" outlineLevel="0" collapsed="false">
      <c r="A3159" s="57" t="n">
        <v>36378</v>
      </c>
      <c r="B3159" s="56" t="n">
        <v>1999</v>
      </c>
      <c r="C3159" s="56" t="n">
        <v>8</v>
      </c>
      <c r="D3159" s="56" t="n">
        <v>98</v>
      </c>
      <c r="E3159" s="56" t="n">
        <v>24.4</v>
      </c>
      <c r="F3159" s="56" t="n">
        <v>0</v>
      </c>
      <c r="G3159" s="56" t="n">
        <v>15.1</v>
      </c>
      <c r="H3159" s="56" t="n">
        <v>0</v>
      </c>
      <c r="I3159" s="56" t="n">
        <v>21</v>
      </c>
      <c r="J3159" s="56" t="n">
        <v>0</v>
      </c>
      <c r="K3159" s="56" t="n">
        <v>1009</v>
      </c>
      <c r="L3159" s="56" t="n">
        <v>0</v>
      </c>
      <c r="M3159" s="56" t="n">
        <v>65</v>
      </c>
      <c r="N3159" s="56" t="n">
        <v>5.3</v>
      </c>
      <c r="O3159" s="56" t="n">
        <f aca="false">IF(D3159=1,"",E3158)</f>
        <v>26.9</v>
      </c>
      <c r="P3159" s="56" t="n">
        <f aca="false">IF(OR(D3159=1,K3158=""),"",K3158)</f>
        <v>1009.2</v>
      </c>
      <c r="Q3159" s="56" t="n">
        <f aca="false">IF(OR(F3159&lt;&gt;0,AND(I3159&lt;&gt;"",E3159&lt;I3159)),1,0)</f>
        <v>0</v>
      </c>
      <c r="R3159" s="56" t="n">
        <f aca="false">IF(AND(D3159&gt;1,Q3159=0,ISNUMBER(O3159),ISNUMBER(P3159)),IF(Q3158=0,1,0),0)</f>
        <v>1</v>
      </c>
      <c r="S3159" s="56" t="n">
        <f aca="false">R3159*(B3159&gt;=Train_Start)*(B3159&lt;=Train_End)</f>
        <v>0</v>
      </c>
      <c r="T3159" s="84" t="n">
        <f aca="false">IF(AND(ISNUMBER(O3159),ISNUMBER(P3159)),Coef_A+Coef_B1*O3159+Coef_B2*P3159,"")</f>
        <v>25.7856973794653</v>
      </c>
      <c r="U3159" s="84" t="n">
        <f aca="false">IF(AND(R3159=1,ISNUMBER(T3159)),E3159-T3159,"")</f>
        <v>-1.38569737946528</v>
      </c>
      <c r="V3159" s="84" t="n">
        <f aca="false">IF(ISNUMBER(T3159),T3159,-99)</f>
        <v>25.7856973794653</v>
      </c>
      <c r="W3159" s="84" t="n">
        <f aca="false">IF(ISNUMBER(U3159),ABS(U3159),"")</f>
        <v>1.38569737946528</v>
      </c>
    </row>
    <row r="3160" customFormat="false" ht="15" hidden="false" customHeight="false" outlineLevel="0" collapsed="false">
      <c r="A3160" s="57" t="n">
        <v>36379</v>
      </c>
      <c r="B3160" s="56" t="n">
        <v>1999</v>
      </c>
      <c r="C3160" s="56" t="n">
        <v>8</v>
      </c>
      <c r="D3160" s="56" t="n">
        <v>99</v>
      </c>
      <c r="E3160" s="56" t="n">
        <v>22.7</v>
      </c>
      <c r="F3160" s="56" t="n">
        <v>0</v>
      </c>
      <c r="G3160" s="56" t="n">
        <v>16.7</v>
      </c>
      <c r="H3160" s="56" t="n">
        <v>0</v>
      </c>
      <c r="I3160" s="56" t="n">
        <v>20.6</v>
      </c>
      <c r="J3160" s="56" t="n">
        <v>0</v>
      </c>
      <c r="K3160" s="56" t="n">
        <v>1003.9</v>
      </c>
      <c r="L3160" s="56" t="n">
        <v>0</v>
      </c>
      <c r="M3160" s="56" t="n">
        <v>85</v>
      </c>
      <c r="N3160" s="56" t="n">
        <v>6</v>
      </c>
      <c r="O3160" s="56" t="n">
        <f aca="false">IF(D3160=1,"",E3159)</f>
        <v>24.4</v>
      </c>
      <c r="P3160" s="56" t="n">
        <f aca="false">IF(OR(D3160=1,K3159=""),"",K3159)</f>
        <v>1009</v>
      </c>
      <c r="Q3160" s="56" t="n">
        <f aca="false">IF(OR(F3160&lt;&gt;0,AND(I3160&lt;&gt;"",E3160&lt;I3160)),1,0)</f>
        <v>0</v>
      </c>
      <c r="R3160" s="56" t="n">
        <f aca="false">IF(AND(D3160&gt;1,Q3160=0,ISNUMBER(O3160),ISNUMBER(P3160)),IF(Q3159=0,1,0),0)</f>
        <v>1</v>
      </c>
      <c r="S3160" s="56" t="n">
        <f aca="false">R3160*(B3160&gt;=Train_Start)*(B3160&lt;=Train_End)</f>
        <v>0</v>
      </c>
      <c r="T3160" s="84" t="n">
        <f aca="false">IF(AND(ISNUMBER(O3160),ISNUMBER(P3160)),Coef_A+Coef_B1*O3160+Coef_B2*P3160,"")</f>
        <v>23.7310754179318</v>
      </c>
      <c r="U3160" s="84" t="n">
        <f aca="false">IF(AND(R3160=1,ISNUMBER(T3160)),E3160-T3160,"")</f>
        <v>-1.03107541793184</v>
      </c>
      <c r="V3160" s="84" t="n">
        <f aca="false">IF(ISNUMBER(T3160),T3160,-99)</f>
        <v>23.7310754179318</v>
      </c>
      <c r="W3160" s="84" t="n">
        <f aca="false">IF(ISNUMBER(U3160),ABS(U3160),"")</f>
        <v>1.03107541793184</v>
      </c>
    </row>
    <row r="3161" customFormat="false" ht="15" hidden="false" customHeight="false" outlineLevel="0" collapsed="false">
      <c r="A3161" s="57" t="n">
        <v>36380</v>
      </c>
      <c r="B3161" s="56" t="n">
        <v>1999</v>
      </c>
      <c r="C3161" s="56" t="n">
        <v>8</v>
      </c>
      <c r="D3161" s="56" t="n">
        <v>100</v>
      </c>
      <c r="E3161" s="56" t="n">
        <v>21.3</v>
      </c>
      <c r="F3161" s="56" t="n">
        <v>0</v>
      </c>
      <c r="G3161" s="56" t="n">
        <v>16.9</v>
      </c>
      <c r="H3161" s="56" t="n">
        <v>0</v>
      </c>
      <c r="I3161" s="56" t="n">
        <v>19.8</v>
      </c>
      <c r="J3161" s="56" t="n">
        <v>0</v>
      </c>
      <c r="K3161" s="56" t="n">
        <v>997.9</v>
      </c>
      <c r="L3161" s="56" t="n">
        <v>0</v>
      </c>
      <c r="M3161" s="56" t="n">
        <v>87</v>
      </c>
      <c r="N3161" s="56" t="n">
        <v>2.5</v>
      </c>
      <c r="O3161" s="56" t="n">
        <f aca="false">IF(D3161=1,"",E3160)</f>
        <v>22.7</v>
      </c>
      <c r="P3161" s="56" t="n">
        <f aca="false">IF(OR(D3161=1,K3160=""),"",K3160)</f>
        <v>1003.9</v>
      </c>
      <c r="Q3161" s="56" t="n">
        <f aca="false">IF(OR(F3161&lt;&gt;0,AND(I3161&lt;&gt;"",E3161&lt;I3161)),1,0)</f>
        <v>0</v>
      </c>
      <c r="R3161" s="56" t="n">
        <f aca="false">IF(AND(D3161&gt;1,Q3161=0,ISNUMBER(O3161),ISNUMBER(P3161)),IF(Q3160=0,1,0),0)</f>
        <v>1</v>
      </c>
      <c r="S3161" s="56" t="n">
        <f aca="false">R3161*(B3161&gt;=Train_Start)*(B3161&lt;=Train_End)</f>
        <v>0</v>
      </c>
      <c r="T3161" s="84" t="n">
        <f aca="false">IF(AND(ISNUMBER(O3161),ISNUMBER(P3161)),Coef_A+Coef_B1*O3161+Coef_B2*P3161,"")</f>
        <v>22.178212327126</v>
      </c>
      <c r="U3161" s="84" t="n">
        <f aca="false">IF(AND(R3161=1,ISNUMBER(T3161)),E3161-T3161,"")</f>
        <v>-0.878212327125972</v>
      </c>
      <c r="V3161" s="84" t="n">
        <f aca="false">IF(ISNUMBER(T3161),T3161,-99)</f>
        <v>22.178212327126</v>
      </c>
      <c r="W3161" s="84" t="n">
        <f aca="false">IF(ISNUMBER(U3161),ABS(U3161),"")</f>
        <v>0.878212327125972</v>
      </c>
    </row>
    <row r="3162" customFormat="false" ht="15" hidden="false" customHeight="false" outlineLevel="0" collapsed="false">
      <c r="A3162" s="57" t="n">
        <v>36381</v>
      </c>
      <c r="B3162" s="56" t="n">
        <v>1999</v>
      </c>
      <c r="C3162" s="56" t="n">
        <v>8</v>
      </c>
      <c r="D3162" s="56" t="n">
        <v>101</v>
      </c>
      <c r="E3162" s="56" t="n">
        <v>17.2</v>
      </c>
      <c r="F3162" s="56" t="n">
        <v>1</v>
      </c>
      <c r="G3162" s="56" t="n">
        <v>15.9</v>
      </c>
      <c r="H3162" s="56" t="n">
        <v>0</v>
      </c>
      <c r="I3162" s="56" t="n">
        <v>18.6</v>
      </c>
      <c r="J3162" s="56" t="n">
        <v>1</v>
      </c>
      <c r="K3162" s="56" t="n">
        <v>1001.4</v>
      </c>
      <c r="L3162" s="56" t="n">
        <v>0</v>
      </c>
      <c r="M3162" s="56" t="n">
        <v>87</v>
      </c>
      <c r="N3162" s="56" t="n">
        <v>3.7</v>
      </c>
      <c r="O3162" s="56" t="n">
        <f aca="false">IF(D3162=1,"",E3161)</f>
        <v>21.3</v>
      </c>
      <c r="P3162" s="56" t="n">
        <f aca="false">IF(OR(D3162=1,K3161=""),"",K3161)</f>
        <v>997.9</v>
      </c>
      <c r="Q3162" s="56" t="n">
        <f aca="false">IF(OR(F3162&lt;&gt;0,AND(I3162&lt;&gt;"",E3162&lt;I3162)),1,0)</f>
        <v>1</v>
      </c>
      <c r="R3162" s="56" t="n">
        <f aca="false">IF(AND(D3162&gt;1,Q3162=0,ISNUMBER(O3162),ISNUMBER(P3162)),IF(Q3161=0,1,0),0)</f>
        <v>0</v>
      </c>
      <c r="S3162" s="56" t="n">
        <f aca="false">R3162*(B3162&gt;=Train_Start)*(B3162&lt;=Train_End)</f>
        <v>0</v>
      </c>
      <c r="T3162" s="84" t="n">
        <f aca="false">IF(AND(ISNUMBER(O3162),ISNUMBER(P3162)),Coef_A+Coef_B1*O3162+Coef_B2*P3162,"")</f>
        <v>20.8429180890623</v>
      </c>
      <c r="U3162" s="84" t="str">
        <f aca="false">IF(AND(R3162=1,ISNUMBER(T3162)),E3162-T3162,"")</f>
        <v/>
      </c>
      <c r="V3162" s="84" t="n">
        <f aca="false">IF(ISNUMBER(T3162),T3162,-99)</f>
        <v>20.8429180890623</v>
      </c>
      <c r="W3162" s="84" t="str">
        <f aca="false">IF(ISNUMBER(U3162),ABS(U3162),"")</f>
        <v/>
      </c>
    </row>
    <row r="3163" customFormat="false" ht="15" hidden="false" customHeight="false" outlineLevel="0" collapsed="false">
      <c r="A3163" s="57" t="n">
        <v>36382</v>
      </c>
      <c r="B3163" s="56" t="n">
        <v>1999</v>
      </c>
      <c r="C3163" s="56" t="n">
        <v>8</v>
      </c>
      <c r="D3163" s="56" t="n">
        <v>102</v>
      </c>
      <c r="E3163" s="56" t="n">
        <v>20.5</v>
      </c>
      <c r="F3163" s="56" t="n">
        <v>0</v>
      </c>
      <c r="G3163" s="56" t="n">
        <v>14.4</v>
      </c>
      <c r="H3163" s="56" t="n">
        <v>0</v>
      </c>
      <c r="I3163" s="56" t="n">
        <v>15.8</v>
      </c>
      <c r="J3163" s="56" t="n">
        <v>0</v>
      </c>
      <c r="K3163" s="56" t="n">
        <v>1012.1</v>
      </c>
      <c r="L3163" s="56" t="n">
        <v>0</v>
      </c>
      <c r="M3163" s="56" t="n">
        <v>84</v>
      </c>
      <c r="N3163" s="56" t="n">
        <v>0.1</v>
      </c>
      <c r="O3163" s="56" t="n">
        <f aca="false">IF(D3163=1,"",E3162)</f>
        <v>17.2</v>
      </c>
      <c r="P3163" s="56" t="n">
        <f aca="false">IF(OR(D3163=1,K3162=""),"",K3162)</f>
        <v>1001.4</v>
      </c>
      <c r="Q3163" s="56" t="n">
        <f aca="false">IF(OR(F3163&lt;&gt;0,AND(I3163&lt;&gt;"",E3163&lt;I3163)),1,0)</f>
        <v>0</v>
      </c>
      <c r="R3163" s="56" t="n">
        <f aca="false">IF(AND(D3163&gt;1,Q3163=0,ISNUMBER(O3163),ISNUMBER(P3163)),IF(Q3162=0,1,0),0)</f>
        <v>0</v>
      </c>
      <c r="S3163" s="56" t="n">
        <f aca="false">R3163*(B3163&gt;=Train_Start)*(B3163&lt;=Train_End)</f>
        <v>0</v>
      </c>
      <c r="T3163" s="84" t="n">
        <f aca="false">IF(AND(ISNUMBER(O3163),ISNUMBER(P3163)),Coef_A+Coef_B1*O3163+Coef_B2*P3163,"")</f>
        <v>17.5934220288064</v>
      </c>
      <c r="U3163" s="84" t="str">
        <f aca="false">IF(AND(R3163=1,ISNUMBER(T3163)),E3163-T3163,"")</f>
        <v/>
      </c>
      <c r="V3163" s="84" t="n">
        <f aca="false">IF(ISNUMBER(T3163),T3163,-99)</f>
        <v>17.5934220288064</v>
      </c>
      <c r="W3163" s="84" t="str">
        <f aca="false">IF(ISNUMBER(U3163),ABS(U3163),"")</f>
        <v/>
      </c>
    </row>
    <row r="3164" customFormat="false" ht="15" hidden="false" customHeight="false" outlineLevel="0" collapsed="false">
      <c r="A3164" s="57" t="n">
        <v>36383</v>
      </c>
      <c r="B3164" s="56" t="n">
        <v>1999</v>
      </c>
      <c r="C3164" s="56" t="n">
        <v>8</v>
      </c>
      <c r="D3164" s="56" t="n">
        <v>103</v>
      </c>
      <c r="E3164" s="56" t="n">
        <v>21.7</v>
      </c>
      <c r="F3164" s="56" t="n">
        <v>0</v>
      </c>
      <c r="G3164" s="56" t="n">
        <v>12.2</v>
      </c>
      <c r="H3164" s="56" t="n">
        <v>0</v>
      </c>
      <c r="I3164" s="56" t="n">
        <v>16.4</v>
      </c>
      <c r="J3164" s="56" t="n">
        <v>0</v>
      </c>
      <c r="K3164" s="56" t="n">
        <v>1021.2</v>
      </c>
      <c r="L3164" s="56" t="n">
        <v>0</v>
      </c>
      <c r="M3164" s="56" t="n">
        <v>67</v>
      </c>
      <c r="N3164" s="56" t="n">
        <v>6.7</v>
      </c>
      <c r="O3164" s="56" t="n">
        <f aca="false">IF(D3164=1,"",E3163)</f>
        <v>20.5</v>
      </c>
      <c r="P3164" s="56" t="n">
        <f aca="false">IF(OR(D3164=1,K3163=""),"",K3163)</f>
        <v>1012.1</v>
      </c>
      <c r="Q3164" s="56" t="n">
        <f aca="false">IF(OR(F3164&lt;&gt;0,AND(I3164&lt;&gt;"",E3164&lt;I3164)),1,0)</f>
        <v>0</v>
      </c>
      <c r="R3164" s="56" t="n">
        <f aca="false">IF(AND(D3164&gt;1,Q3164=0,ISNUMBER(O3164),ISNUMBER(P3164)),IF(Q3163=0,1,0),0)</f>
        <v>1</v>
      </c>
      <c r="S3164" s="56" t="n">
        <f aca="false">R3164*(B3164&gt;=Train_Start)*(B3164&lt;=Train_End)</f>
        <v>0</v>
      </c>
      <c r="T3164" s="84" t="n">
        <f aca="false">IF(AND(ISNUMBER(O3164),ISNUMBER(P3164)),Coef_A+Coef_B1*O3164+Coef_B2*P3164,"")</f>
        <v>20.6328992384308</v>
      </c>
      <c r="U3164" s="84" t="n">
        <f aca="false">IF(AND(R3164=1,ISNUMBER(T3164)),E3164-T3164,"")</f>
        <v>1.06710076156916</v>
      </c>
      <c r="V3164" s="84" t="n">
        <f aca="false">IF(ISNUMBER(T3164),T3164,-99)</f>
        <v>20.6328992384308</v>
      </c>
      <c r="W3164" s="84" t="n">
        <f aca="false">IF(ISNUMBER(U3164),ABS(U3164),"")</f>
        <v>1.06710076156916</v>
      </c>
    </row>
    <row r="3165" customFormat="false" ht="15" hidden="false" customHeight="false" outlineLevel="0" collapsed="false">
      <c r="A3165" s="57" t="n">
        <v>36384</v>
      </c>
      <c r="B3165" s="56" t="n">
        <v>1999</v>
      </c>
      <c r="C3165" s="56" t="n">
        <v>8</v>
      </c>
      <c r="D3165" s="56" t="n">
        <v>104</v>
      </c>
      <c r="E3165" s="56" t="n">
        <v>22.4</v>
      </c>
      <c r="F3165" s="56" t="n">
        <v>0</v>
      </c>
      <c r="G3165" s="56" t="n">
        <v>14.2</v>
      </c>
      <c r="H3165" s="56" t="n">
        <v>0</v>
      </c>
      <c r="I3165" s="56" t="n">
        <v>18</v>
      </c>
      <c r="J3165" s="56" t="n">
        <v>0</v>
      </c>
      <c r="K3165" s="56" t="n">
        <v>1020.4</v>
      </c>
      <c r="L3165" s="56" t="n">
        <v>0</v>
      </c>
      <c r="M3165" s="56" t="n">
        <v>61</v>
      </c>
      <c r="N3165" s="56" t="n">
        <v>2</v>
      </c>
      <c r="O3165" s="56" t="n">
        <f aca="false">IF(D3165=1,"",E3164)</f>
        <v>21.7</v>
      </c>
      <c r="P3165" s="56" t="n">
        <f aca="false">IF(OR(D3165=1,K3164=""),"",K3164)</f>
        <v>1021.2</v>
      </c>
      <c r="Q3165" s="56" t="n">
        <f aca="false">IF(OR(F3165&lt;&gt;0,AND(I3165&lt;&gt;"",E3165&lt;I3165)),1,0)</f>
        <v>0</v>
      </c>
      <c r="R3165" s="56" t="n">
        <f aca="false">IF(AND(D3165&gt;1,Q3165=0,ISNUMBER(O3165),ISNUMBER(P3165)),IF(Q3164=0,1,0),0)</f>
        <v>1</v>
      </c>
      <c r="S3165" s="56" t="n">
        <f aca="false">R3165*(B3165&gt;=Train_Start)*(B3165&lt;=Train_End)</f>
        <v>0</v>
      </c>
      <c r="T3165" s="84" t="n">
        <f aca="false">IF(AND(ISNUMBER(O3165),ISNUMBER(P3165)),Coef_A+Coef_B1*O3165+Coef_B2*P3165,"")</f>
        <v>21.9015723112513</v>
      </c>
      <c r="U3165" s="84" t="n">
        <f aca="false">IF(AND(R3165=1,ISNUMBER(T3165)),E3165-T3165,"")</f>
        <v>0.498427688748663</v>
      </c>
      <c r="V3165" s="84" t="n">
        <f aca="false">IF(ISNUMBER(T3165),T3165,-99)</f>
        <v>21.9015723112513</v>
      </c>
      <c r="W3165" s="84" t="n">
        <f aca="false">IF(ISNUMBER(U3165),ABS(U3165),"")</f>
        <v>0.498427688748663</v>
      </c>
    </row>
    <row r="3166" customFormat="false" ht="15" hidden="false" customHeight="false" outlineLevel="0" collapsed="false">
      <c r="A3166" s="57" t="n">
        <v>36385</v>
      </c>
      <c r="B3166" s="56" t="n">
        <v>1999</v>
      </c>
      <c r="C3166" s="56" t="n">
        <v>8</v>
      </c>
      <c r="D3166" s="56" t="n">
        <v>105</v>
      </c>
      <c r="E3166" s="56" t="n">
        <v>22.4</v>
      </c>
      <c r="F3166" s="56" t="n">
        <v>0</v>
      </c>
      <c r="G3166" s="56" t="n">
        <v>13.9</v>
      </c>
      <c r="H3166" s="56" t="n">
        <v>0</v>
      </c>
      <c r="I3166" s="56" t="n">
        <v>18.2</v>
      </c>
      <c r="J3166" s="56" t="n">
        <v>0</v>
      </c>
      <c r="K3166" s="56" t="n">
        <v>1013</v>
      </c>
      <c r="L3166" s="56" t="n">
        <v>0</v>
      </c>
      <c r="M3166" s="56" t="n">
        <v>72</v>
      </c>
      <c r="N3166" s="56" t="n">
        <v>1.4</v>
      </c>
      <c r="O3166" s="56" t="n">
        <f aca="false">IF(D3166=1,"",E3165)</f>
        <v>22.4</v>
      </c>
      <c r="P3166" s="56" t="n">
        <f aca="false">IF(OR(D3166=1,K3165=""),"",K3165)</f>
        <v>1020.4</v>
      </c>
      <c r="Q3166" s="56" t="n">
        <f aca="false">IF(OR(F3166&lt;&gt;0,AND(I3166&lt;&gt;"",E3166&lt;I3166)),1,0)</f>
        <v>0</v>
      </c>
      <c r="R3166" s="56" t="n">
        <f aca="false">IF(AND(D3166&gt;1,Q3166=0,ISNUMBER(O3166),ISNUMBER(P3166)),IF(Q3165=0,1,0),0)</f>
        <v>1</v>
      </c>
      <c r="S3166" s="56" t="n">
        <f aca="false">R3166*(B3166&gt;=Train_Start)*(B3166&lt;=Train_End)</f>
        <v>0</v>
      </c>
      <c r="T3166" s="84" t="n">
        <f aca="false">IF(AND(ISNUMBER(O3166),ISNUMBER(P3166)),Coef_A+Coef_B1*O3166+Coef_B2*P3166,"")</f>
        <v>22.450013830674</v>
      </c>
      <c r="U3166" s="84" t="n">
        <f aca="false">IF(AND(R3166=1,ISNUMBER(T3166)),E3166-T3166,"")</f>
        <v>-0.0500138306740041</v>
      </c>
      <c r="V3166" s="84" t="n">
        <f aca="false">IF(ISNUMBER(T3166),T3166,-99)</f>
        <v>22.450013830674</v>
      </c>
      <c r="W3166" s="84" t="n">
        <f aca="false">IF(ISNUMBER(U3166),ABS(U3166),"")</f>
        <v>0.0500138306740041</v>
      </c>
    </row>
    <row r="3167" customFormat="false" ht="15" hidden="false" customHeight="false" outlineLevel="0" collapsed="false">
      <c r="A3167" s="57" t="n">
        <v>36386</v>
      </c>
      <c r="B3167" s="56" t="n">
        <v>1999</v>
      </c>
      <c r="C3167" s="56" t="n">
        <v>8</v>
      </c>
      <c r="D3167" s="56" t="n">
        <v>106</v>
      </c>
      <c r="E3167" s="56" t="n">
        <v>21.4</v>
      </c>
      <c r="F3167" s="56" t="n">
        <v>0</v>
      </c>
      <c r="G3167" s="56" t="n">
        <v>15.2</v>
      </c>
      <c r="H3167" s="56" t="n">
        <v>0</v>
      </c>
      <c r="I3167" s="56" t="n">
        <v>18.8</v>
      </c>
      <c r="J3167" s="56" t="n">
        <v>0</v>
      </c>
      <c r="K3167" s="56" t="n">
        <v>1002.4</v>
      </c>
      <c r="L3167" s="56" t="n">
        <v>0</v>
      </c>
      <c r="M3167" s="56" t="n">
        <v>74</v>
      </c>
      <c r="N3167" s="56" t="n">
        <v>8.8</v>
      </c>
      <c r="O3167" s="56" t="n">
        <f aca="false">IF(D3167=1,"",E3166)</f>
        <v>22.4</v>
      </c>
      <c r="P3167" s="56" t="n">
        <f aca="false">IF(OR(D3167=1,K3166=""),"",K3166)</f>
        <v>1013</v>
      </c>
      <c r="Q3167" s="56" t="n">
        <f aca="false">IF(OR(F3167&lt;&gt;0,AND(I3167&lt;&gt;"",E3167&lt;I3167)),1,0)</f>
        <v>0</v>
      </c>
      <c r="R3167" s="56" t="n">
        <f aca="false">IF(AND(D3167&gt;1,Q3167=0,ISNUMBER(O3167),ISNUMBER(P3167)),IF(Q3166=0,1,0),0)</f>
        <v>1</v>
      </c>
      <c r="S3167" s="56" t="n">
        <f aca="false">R3167*(B3167&gt;=Train_Start)*(B3167&lt;=Train_End)</f>
        <v>0</v>
      </c>
      <c r="T3167" s="84" t="n">
        <f aca="false">IF(AND(ISNUMBER(O3167),ISNUMBER(P3167)),Coef_A+Coef_B1*O3167+Coef_B2*P3167,"")</f>
        <v>22.2178766103825</v>
      </c>
      <c r="U3167" s="84" t="n">
        <f aca="false">IF(AND(R3167=1,ISNUMBER(T3167)),E3167-T3167,"")</f>
        <v>-0.817876610382481</v>
      </c>
      <c r="V3167" s="84" t="n">
        <f aca="false">IF(ISNUMBER(T3167),T3167,-99)</f>
        <v>22.2178766103825</v>
      </c>
      <c r="W3167" s="84" t="n">
        <f aca="false">IF(ISNUMBER(U3167),ABS(U3167),"")</f>
        <v>0.817876610382481</v>
      </c>
    </row>
    <row r="3168" customFormat="false" ht="15" hidden="false" customHeight="false" outlineLevel="0" collapsed="false">
      <c r="A3168" s="57" t="n">
        <v>36387</v>
      </c>
      <c r="B3168" s="56" t="n">
        <v>1999</v>
      </c>
      <c r="C3168" s="56" t="n">
        <v>8</v>
      </c>
      <c r="D3168" s="56" t="n">
        <v>107</v>
      </c>
      <c r="E3168" s="56" t="n">
        <v>19.1</v>
      </c>
      <c r="F3168" s="56" t="n">
        <v>0</v>
      </c>
      <c r="G3168" s="56" t="n">
        <v>11.5</v>
      </c>
      <c r="H3168" s="56" t="n">
        <v>0</v>
      </c>
      <c r="I3168" s="56" t="n">
        <v>16.4</v>
      </c>
      <c r="J3168" s="56" t="n">
        <v>0</v>
      </c>
      <c r="K3168" s="56" t="n">
        <v>1006.9</v>
      </c>
      <c r="L3168" s="56" t="n">
        <v>0</v>
      </c>
      <c r="M3168" s="56" t="n">
        <v>71</v>
      </c>
      <c r="N3168" s="56" t="n">
        <v>7.3</v>
      </c>
      <c r="O3168" s="56" t="n">
        <f aca="false">IF(D3168=1,"",E3167)</f>
        <v>21.4</v>
      </c>
      <c r="P3168" s="56" t="n">
        <f aca="false">IF(OR(D3168=1,K3167=""),"",K3167)</f>
        <v>1002.4</v>
      </c>
      <c r="Q3168" s="56" t="n">
        <f aca="false">IF(OR(F3168&lt;&gt;0,AND(I3168&lt;&gt;"",E3168&lt;I3168)),1,0)</f>
        <v>0</v>
      </c>
      <c r="R3168" s="56" t="n">
        <f aca="false">IF(AND(D3168&gt;1,Q3168=0,ISNUMBER(O3168),ISNUMBER(P3168)),IF(Q3167=0,1,0),0)</f>
        <v>1</v>
      </c>
      <c r="S3168" s="56" t="n">
        <f aca="false">R3168*(B3168&gt;=Train_Start)*(B3168&lt;=Train_End)</f>
        <v>0</v>
      </c>
      <c r="T3168" s="84" t="n">
        <f aca="false">IF(AND(ISNUMBER(O3168),ISNUMBER(P3168)),Coef_A+Coef_B1*O3168+Coef_B2*P3168,"")</f>
        <v>21.0660165342195</v>
      </c>
      <c r="U3168" s="84" t="n">
        <f aca="false">IF(AND(R3168=1,ISNUMBER(T3168)),E3168-T3168,"")</f>
        <v>-1.96601653421953</v>
      </c>
      <c r="V3168" s="84" t="n">
        <f aca="false">IF(ISNUMBER(T3168),T3168,-99)</f>
        <v>21.0660165342195</v>
      </c>
      <c r="W3168" s="84" t="n">
        <f aca="false">IF(ISNUMBER(U3168),ABS(U3168),"")</f>
        <v>1.96601653421953</v>
      </c>
    </row>
    <row r="3169" customFormat="false" ht="15" hidden="false" customHeight="false" outlineLevel="0" collapsed="false">
      <c r="A3169" s="57" t="n">
        <v>36388</v>
      </c>
      <c r="B3169" s="56" t="n">
        <v>1999</v>
      </c>
      <c r="C3169" s="56" t="n">
        <v>8</v>
      </c>
      <c r="D3169" s="56" t="n">
        <v>108</v>
      </c>
      <c r="E3169" s="56" t="n">
        <v>17</v>
      </c>
      <c r="F3169" s="56" t="n">
        <v>0</v>
      </c>
      <c r="G3169" s="56" t="n">
        <v>10.4</v>
      </c>
      <c r="H3169" s="56" t="n">
        <v>0</v>
      </c>
      <c r="I3169" s="56" t="n">
        <v>14.8</v>
      </c>
      <c r="J3169" s="56" t="n">
        <v>0</v>
      </c>
      <c r="K3169" s="56" t="n">
        <v>1007.5</v>
      </c>
      <c r="L3169" s="56" t="n">
        <v>0</v>
      </c>
      <c r="M3169" s="56" t="n">
        <v>81</v>
      </c>
      <c r="N3169" s="56" t="n">
        <v>5.3</v>
      </c>
      <c r="O3169" s="56" t="n">
        <f aca="false">IF(D3169=1,"",E3168)</f>
        <v>19.1</v>
      </c>
      <c r="P3169" s="56" t="n">
        <f aca="false">IF(OR(D3169=1,K3168=""),"",K3168)</f>
        <v>1006.9</v>
      </c>
      <c r="Q3169" s="56" t="n">
        <f aca="false">IF(OR(F3169&lt;&gt;0,AND(I3169&lt;&gt;"",E3169&lt;I3169)),1,0)</f>
        <v>0</v>
      </c>
      <c r="R3169" s="56" t="n">
        <f aca="false">IF(AND(D3169&gt;1,Q3169=0,ISNUMBER(O3169),ISNUMBER(P3169)),IF(Q3168=0,1,0),0)</f>
        <v>1</v>
      </c>
      <c r="S3169" s="56" t="n">
        <f aca="false">R3169*(B3169&gt;=Train_Start)*(B3169&lt;=Train_End)</f>
        <v>0</v>
      </c>
      <c r="T3169" s="84" t="n">
        <f aca="false">IF(AND(ISNUMBER(O3169),ISNUMBER(P3169)),Coef_A+Coef_B1*O3169+Coef_B2*P3169,"")</f>
        <v>19.3227009160744</v>
      </c>
      <c r="U3169" s="84" t="n">
        <f aca="false">IF(AND(R3169=1,ISNUMBER(T3169)),E3169-T3169,"")</f>
        <v>-2.32270091607438</v>
      </c>
      <c r="V3169" s="84" t="n">
        <f aca="false">IF(ISNUMBER(T3169),T3169,-99)</f>
        <v>19.3227009160744</v>
      </c>
      <c r="W3169" s="84" t="n">
        <f aca="false">IF(ISNUMBER(U3169),ABS(U3169),"")</f>
        <v>2.32270091607438</v>
      </c>
    </row>
    <row r="3170" customFormat="false" ht="15" hidden="false" customHeight="false" outlineLevel="0" collapsed="false">
      <c r="A3170" s="57" t="n">
        <v>36389</v>
      </c>
      <c r="B3170" s="56" t="n">
        <v>1999</v>
      </c>
      <c r="C3170" s="56" t="n">
        <v>8</v>
      </c>
      <c r="D3170" s="56" t="n">
        <v>109</v>
      </c>
      <c r="E3170" s="56" t="n">
        <v>19.9</v>
      </c>
      <c r="F3170" s="56" t="n">
        <v>0</v>
      </c>
      <c r="G3170" s="56" t="n">
        <v>9.5</v>
      </c>
      <c r="H3170" s="56" t="n">
        <v>0</v>
      </c>
      <c r="I3170" s="56" t="n">
        <v>13.2</v>
      </c>
      <c r="J3170" s="56" t="n">
        <v>0</v>
      </c>
      <c r="K3170" s="56" t="n">
        <v>1003.1</v>
      </c>
      <c r="L3170" s="56" t="n">
        <v>0</v>
      </c>
      <c r="M3170" s="56" t="n">
        <v>87</v>
      </c>
      <c r="N3170" s="56" t="n">
        <v>0.2</v>
      </c>
      <c r="O3170" s="56" t="n">
        <f aca="false">IF(D3170=1,"",E3169)</f>
        <v>17</v>
      </c>
      <c r="P3170" s="56" t="n">
        <f aca="false">IF(OR(D3170=1,K3169=""),"",K3169)</f>
        <v>1007.5</v>
      </c>
      <c r="Q3170" s="56" t="n">
        <f aca="false">IF(OR(F3170&lt;&gt;0,AND(I3170&lt;&gt;"",E3170&lt;I3170)),1,0)</f>
        <v>0</v>
      </c>
      <c r="R3170" s="56" t="n">
        <f aca="false">IF(AND(D3170&gt;1,Q3170=0,ISNUMBER(O3170),ISNUMBER(P3170)),IF(Q3169=0,1,0),0)</f>
        <v>1</v>
      </c>
      <c r="S3170" s="56" t="n">
        <f aca="false">R3170*(B3170&gt;=Train_Start)*(B3170&lt;=Train_End)</f>
        <v>0</v>
      </c>
      <c r="T3170" s="84" t="n">
        <f aca="false">IF(AND(ISNUMBER(O3170),ISNUMBER(P3170)),Coef_A+Coef_B1*O3170+Coef_B2*P3170,"")</f>
        <v>17.6209105474652</v>
      </c>
      <c r="U3170" s="84" t="n">
        <f aca="false">IF(AND(R3170=1,ISNUMBER(T3170)),E3170-T3170,"")</f>
        <v>2.27908945253481</v>
      </c>
      <c r="V3170" s="84" t="n">
        <f aca="false">IF(ISNUMBER(T3170),T3170,-99)</f>
        <v>17.6209105474652</v>
      </c>
      <c r="W3170" s="84" t="n">
        <f aca="false">IF(ISNUMBER(U3170),ABS(U3170),"")</f>
        <v>2.27908945253481</v>
      </c>
    </row>
    <row r="3171" customFormat="false" ht="15" hidden="false" customHeight="false" outlineLevel="0" collapsed="false">
      <c r="A3171" s="57" t="n">
        <v>36390</v>
      </c>
      <c r="B3171" s="56" t="n">
        <v>1999</v>
      </c>
      <c r="C3171" s="56" t="n">
        <v>8</v>
      </c>
      <c r="D3171" s="56" t="n">
        <v>110</v>
      </c>
      <c r="E3171" s="56" t="n">
        <v>19.9</v>
      </c>
      <c r="F3171" s="56" t="n">
        <v>0</v>
      </c>
      <c r="G3171" s="56" t="n">
        <v>13.1</v>
      </c>
      <c r="H3171" s="56" t="n">
        <v>0</v>
      </c>
      <c r="I3171" s="56" t="n">
        <v>16.5</v>
      </c>
      <c r="J3171" s="56" t="n">
        <v>0</v>
      </c>
      <c r="K3171" s="56" t="n">
        <v>996.2</v>
      </c>
      <c r="L3171" s="56" t="n">
        <v>0</v>
      </c>
      <c r="M3171" s="56" t="n">
        <v>85</v>
      </c>
      <c r="N3171" s="56" t="n">
        <v>6.2</v>
      </c>
      <c r="O3171" s="56" t="n">
        <f aca="false">IF(D3171=1,"",E3170)</f>
        <v>19.9</v>
      </c>
      <c r="P3171" s="56" t="n">
        <f aca="false">IF(OR(D3171=1,K3170=""),"",K3170)</f>
        <v>1003.1</v>
      </c>
      <c r="Q3171" s="56" t="n">
        <f aca="false">IF(OR(F3171&lt;&gt;0,AND(I3171&lt;&gt;"",E3171&lt;I3171)),1,0)</f>
        <v>0</v>
      </c>
      <c r="R3171" s="56" t="n">
        <f aca="false">IF(AND(D3171&gt;1,Q3171=0,ISNUMBER(O3171),ISNUMBER(P3171)),IF(Q3170=0,1,0),0)</f>
        <v>1</v>
      </c>
      <c r="S3171" s="56" t="n">
        <f aca="false">R3171*(B3171&gt;=Train_Start)*(B3171&lt;=Train_End)</f>
        <v>0</v>
      </c>
      <c r="T3171" s="84" t="n">
        <f aca="false">IF(AND(ISNUMBER(O3171),ISNUMBER(P3171)),Coef_A+Coef_B1*O3171+Coef_B2*P3171,"")</f>
        <v>19.8589666708993</v>
      </c>
      <c r="U3171" s="84" t="n">
        <f aca="false">IF(AND(R3171=1,ISNUMBER(T3171)),E3171-T3171,"")</f>
        <v>0.0410333291006566</v>
      </c>
      <c r="V3171" s="84" t="n">
        <f aca="false">IF(ISNUMBER(T3171),T3171,-99)</f>
        <v>19.8589666708993</v>
      </c>
      <c r="W3171" s="84" t="n">
        <f aca="false">IF(ISNUMBER(U3171),ABS(U3171),"")</f>
        <v>0.0410333291006566</v>
      </c>
    </row>
    <row r="3172" customFormat="false" ht="15" hidden="false" customHeight="false" outlineLevel="0" collapsed="false">
      <c r="A3172" s="57" t="n">
        <v>36391</v>
      </c>
      <c r="B3172" s="56" t="n">
        <v>1999</v>
      </c>
      <c r="C3172" s="56" t="n">
        <v>8</v>
      </c>
      <c r="D3172" s="56" t="n">
        <v>111</v>
      </c>
      <c r="E3172" s="56" t="n">
        <v>21.2</v>
      </c>
      <c r="F3172" s="56" t="n">
        <v>0</v>
      </c>
      <c r="G3172" s="56" t="n">
        <v>12.5</v>
      </c>
      <c r="H3172" s="56" t="n">
        <v>0</v>
      </c>
      <c r="I3172" s="56" t="n">
        <v>16.2</v>
      </c>
      <c r="J3172" s="56" t="n">
        <v>0</v>
      </c>
      <c r="K3172" s="56" t="n">
        <v>1009.2</v>
      </c>
      <c r="L3172" s="56" t="n">
        <v>0</v>
      </c>
      <c r="M3172" s="56" t="n">
        <v>73</v>
      </c>
      <c r="N3172" s="56" t="n">
        <v>9.2</v>
      </c>
      <c r="O3172" s="56" t="n">
        <f aca="false">IF(D3172=1,"",E3171)</f>
        <v>19.9</v>
      </c>
      <c r="P3172" s="56" t="n">
        <f aca="false">IF(OR(D3172=1,K3171=""),"",K3171)</f>
        <v>996.2</v>
      </c>
      <c r="Q3172" s="56" t="n">
        <f aca="false">IF(OR(F3172&lt;&gt;0,AND(I3172&lt;&gt;"",E3172&lt;I3172)),1,0)</f>
        <v>0</v>
      </c>
      <c r="R3172" s="56" t="n">
        <f aca="false">IF(AND(D3172&gt;1,Q3172=0,ISNUMBER(O3172),ISNUMBER(P3172)),IF(Q3171=0,1,0),0)</f>
        <v>1</v>
      </c>
      <c r="S3172" s="56" t="n">
        <f aca="false">R3172*(B3172&gt;=Train_Start)*(B3172&lt;=Train_End)</f>
        <v>0</v>
      </c>
      <c r="T3172" s="84" t="n">
        <f aca="false">IF(AND(ISNUMBER(O3172),ISNUMBER(P3172)),Coef_A+Coef_B1*O3172+Coef_B2*P3172,"")</f>
        <v>19.6425143979248</v>
      </c>
      <c r="U3172" s="84" t="n">
        <f aca="false">IF(AND(R3172=1,ISNUMBER(T3172)),E3172-T3172,"")</f>
        <v>1.55748560207518</v>
      </c>
      <c r="V3172" s="84" t="n">
        <f aca="false">IF(ISNUMBER(T3172),T3172,-99)</f>
        <v>19.6425143979248</v>
      </c>
      <c r="W3172" s="84" t="n">
        <f aca="false">IF(ISNUMBER(U3172),ABS(U3172),"")</f>
        <v>1.55748560207518</v>
      </c>
    </row>
    <row r="3173" customFormat="false" ht="15" hidden="false" customHeight="false" outlineLevel="0" collapsed="false">
      <c r="A3173" s="57" t="n">
        <v>36392</v>
      </c>
      <c r="B3173" s="56" t="n">
        <v>1999</v>
      </c>
      <c r="C3173" s="56" t="n">
        <v>8</v>
      </c>
      <c r="D3173" s="56" t="n">
        <v>112</v>
      </c>
      <c r="E3173" s="56" t="n">
        <v>19.1</v>
      </c>
      <c r="F3173" s="56" t="n">
        <v>0</v>
      </c>
      <c r="G3173" s="56" t="n">
        <v>9.7</v>
      </c>
      <c r="H3173" s="56" t="n">
        <v>0</v>
      </c>
      <c r="I3173" s="56" t="n">
        <v>15.4</v>
      </c>
      <c r="J3173" s="56" t="n">
        <v>0</v>
      </c>
      <c r="K3173" s="56" t="n">
        <v>1021.1</v>
      </c>
      <c r="L3173" s="56" t="n">
        <v>0</v>
      </c>
      <c r="M3173" s="56" t="n">
        <v>70</v>
      </c>
      <c r="N3173" s="56" t="n">
        <v>11.5</v>
      </c>
      <c r="O3173" s="56" t="n">
        <f aca="false">IF(D3173=1,"",E3172)</f>
        <v>21.2</v>
      </c>
      <c r="P3173" s="56" t="n">
        <f aca="false">IF(OR(D3173=1,K3172=""),"",K3172)</f>
        <v>1009.2</v>
      </c>
      <c r="Q3173" s="56" t="n">
        <f aca="false">IF(OR(F3173&lt;&gt;0,AND(I3173&lt;&gt;"",E3173&lt;I3173)),1,0)</f>
        <v>0</v>
      </c>
      <c r="R3173" s="56" t="n">
        <f aca="false">IF(AND(D3173&gt;1,Q3173=0,ISNUMBER(O3173),ISNUMBER(P3173)),IF(Q3172=0,1,0),0)</f>
        <v>1</v>
      </c>
      <c r="S3173" s="56" t="n">
        <f aca="false">R3173*(B3173&gt;=Train_Start)*(B3173&lt;=Train_End)</f>
        <v>0</v>
      </c>
      <c r="T3173" s="84" t="n">
        <f aca="false">IF(AND(ISNUMBER(O3173),ISNUMBER(P3173)),Coef_A+Coef_B1*O3173+Coef_B2*P3173,"")</f>
        <v>21.1154639791221</v>
      </c>
      <c r="U3173" s="84" t="n">
        <f aca="false">IF(AND(R3173=1,ISNUMBER(T3173)),E3173-T3173,"")</f>
        <v>-2.01546397912214</v>
      </c>
      <c r="V3173" s="84" t="n">
        <f aca="false">IF(ISNUMBER(T3173),T3173,-99)</f>
        <v>21.1154639791221</v>
      </c>
      <c r="W3173" s="84" t="n">
        <f aca="false">IF(ISNUMBER(U3173),ABS(U3173),"")</f>
        <v>2.01546397912214</v>
      </c>
    </row>
    <row r="3174" customFormat="false" ht="15" hidden="false" customHeight="false" outlineLevel="0" collapsed="false">
      <c r="A3174" s="57" t="n">
        <v>36393</v>
      </c>
      <c r="B3174" s="56" t="n">
        <v>1999</v>
      </c>
      <c r="C3174" s="56" t="n">
        <v>8</v>
      </c>
      <c r="D3174" s="56" t="n">
        <v>113</v>
      </c>
      <c r="E3174" s="56" t="n">
        <v>19.3</v>
      </c>
      <c r="F3174" s="56" t="n">
        <v>0</v>
      </c>
      <c r="G3174" s="56" t="n">
        <v>9.7</v>
      </c>
      <c r="H3174" s="56" t="n">
        <v>0</v>
      </c>
      <c r="I3174" s="56" t="n">
        <v>14.4</v>
      </c>
      <c r="J3174" s="56" t="n">
        <v>0</v>
      </c>
      <c r="K3174" s="56" t="n">
        <v>1025.3</v>
      </c>
      <c r="L3174" s="56" t="n">
        <v>0</v>
      </c>
      <c r="M3174" s="56" t="n">
        <v>62</v>
      </c>
      <c r="N3174" s="56" t="n">
        <v>13.5</v>
      </c>
      <c r="O3174" s="56" t="n">
        <f aca="false">IF(D3174=1,"",E3173)</f>
        <v>19.1</v>
      </c>
      <c r="P3174" s="56" t="n">
        <f aca="false">IF(OR(D3174=1,K3173=""),"",K3173)</f>
        <v>1021.1</v>
      </c>
      <c r="Q3174" s="56" t="n">
        <f aca="false">IF(OR(F3174&lt;&gt;0,AND(I3174&lt;&gt;"",E3174&lt;I3174)),1,0)</f>
        <v>0</v>
      </c>
      <c r="R3174" s="56" t="n">
        <f aca="false">IF(AND(D3174&gt;1,Q3174=0,ISNUMBER(O3174),ISNUMBER(P3174)),IF(Q3173=0,1,0),0)</f>
        <v>1</v>
      </c>
      <c r="S3174" s="56" t="n">
        <f aca="false">R3174*(B3174&gt;=Train_Start)*(B3174&lt;=Train_End)</f>
        <v>0</v>
      </c>
      <c r="T3174" s="84" t="n">
        <f aca="false">IF(AND(ISNUMBER(O3174),ISNUMBER(P3174)),Coef_A+Coef_B1*O3174+Coef_B2*P3174,"")</f>
        <v>19.768153419877</v>
      </c>
      <c r="U3174" s="84" t="n">
        <f aca="false">IF(AND(R3174=1,ISNUMBER(T3174)),E3174-T3174,"")</f>
        <v>-0.468153419877027</v>
      </c>
      <c r="V3174" s="84" t="n">
        <f aca="false">IF(ISNUMBER(T3174),T3174,-99)</f>
        <v>19.768153419877</v>
      </c>
      <c r="W3174" s="84" t="n">
        <f aca="false">IF(ISNUMBER(U3174),ABS(U3174),"")</f>
        <v>0.468153419877027</v>
      </c>
    </row>
    <row r="3175" customFormat="false" ht="15" hidden="false" customHeight="false" outlineLevel="0" collapsed="false">
      <c r="A3175" s="57" t="n">
        <v>36394</v>
      </c>
      <c r="B3175" s="56" t="n">
        <v>1999</v>
      </c>
      <c r="C3175" s="56" t="n">
        <v>8</v>
      </c>
      <c r="D3175" s="56" t="n">
        <v>114</v>
      </c>
      <c r="E3175" s="56" t="n">
        <v>21.2</v>
      </c>
      <c r="F3175" s="56" t="n">
        <v>0</v>
      </c>
      <c r="G3175" s="56" t="n">
        <v>10.4</v>
      </c>
      <c r="H3175" s="56" t="n">
        <v>0</v>
      </c>
      <c r="I3175" s="56" t="n">
        <v>14.8</v>
      </c>
      <c r="J3175" s="56" t="n">
        <v>0</v>
      </c>
      <c r="K3175" s="56" t="n">
        <v>1022.9</v>
      </c>
      <c r="L3175" s="56" t="n">
        <v>0</v>
      </c>
      <c r="M3175" s="56" t="n">
        <v>67</v>
      </c>
      <c r="N3175" s="56" t="n">
        <v>5.7</v>
      </c>
      <c r="O3175" s="56" t="n">
        <f aca="false">IF(D3175=1,"",E3174)</f>
        <v>19.3</v>
      </c>
      <c r="P3175" s="56" t="n">
        <f aca="false">IF(OR(D3175=1,K3174=""),"",K3174)</f>
        <v>1025.3</v>
      </c>
      <c r="Q3175" s="56" t="n">
        <f aca="false">IF(OR(F3175&lt;&gt;0,AND(I3175&lt;&gt;"",E3175&lt;I3175)),1,0)</f>
        <v>0</v>
      </c>
      <c r="R3175" s="56" t="n">
        <f aca="false">IF(AND(D3175&gt;1,Q3175=0,ISNUMBER(O3175),ISNUMBER(P3175)),IF(Q3174=0,1,0),0)</f>
        <v>1</v>
      </c>
      <c r="S3175" s="56" t="n">
        <f aca="false">R3175*(B3175&gt;=Train_Start)*(B3175&lt;=Train_End)</f>
        <v>0</v>
      </c>
      <c r="T3175" s="84" t="n">
        <f aca="false">IF(AND(ISNUMBER(O3175),ISNUMBER(P3175)),Coef_A+Coef_B1*O3175+Coef_B2*P3175,"")</f>
        <v>20.0637748159483</v>
      </c>
      <c r="U3175" s="84" t="n">
        <f aca="false">IF(AND(R3175=1,ISNUMBER(T3175)),E3175-T3175,"")</f>
        <v>1.13622518405169</v>
      </c>
      <c r="V3175" s="84" t="n">
        <f aca="false">IF(ISNUMBER(T3175),T3175,-99)</f>
        <v>20.0637748159483</v>
      </c>
      <c r="W3175" s="84" t="n">
        <f aca="false">IF(ISNUMBER(U3175),ABS(U3175),"")</f>
        <v>1.13622518405169</v>
      </c>
    </row>
    <row r="3176" customFormat="false" ht="15" hidden="false" customHeight="false" outlineLevel="0" collapsed="false">
      <c r="A3176" s="57" t="n">
        <v>36395</v>
      </c>
      <c r="B3176" s="56" t="n">
        <v>1999</v>
      </c>
      <c r="C3176" s="56" t="n">
        <v>8</v>
      </c>
      <c r="D3176" s="56" t="n">
        <v>115</v>
      </c>
      <c r="E3176" s="56" t="n">
        <v>20.4</v>
      </c>
      <c r="F3176" s="56" t="n">
        <v>0</v>
      </c>
      <c r="G3176" s="56" t="n">
        <v>13.5</v>
      </c>
      <c r="H3176" s="56" t="n">
        <v>0</v>
      </c>
      <c r="I3176" s="56" t="n">
        <v>17.4</v>
      </c>
      <c r="J3176" s="56" t="n">
        <v>0</v>
      </c>
      <c r="K3176" s="56" t="n">
        <v>1018.8</v>
      </c>
      <c r="L3176" s="56" t="n">
        <v>0</v>
      </c>
      <c r="M3176" s="56" t="n">
        <v>62</v>
      </c>
      <c r="N3176" s="56" t="n">
        <v>9.2</v>
      </c>
      <c r="O3176" s="56" t="n">
        <f aca="false">IF(D3176=1,"",E3175)</f>
        <v>21.2</v>
      </c>
      <c r="P3176" s="56" t="n">
        <f aca="false">IF(OR(D3176=1,K3175=""),"",K3175)</f>
        <v>1022.9</v>
      </c>
      <c r="Q3176" s="56" t="n">
        <f aca="false">IF(OR(F3176&lt;&gt;0,AND(I3176&lt;&gt;"",E3176&lt;I3176)),1,0)</f>
        <v>0</v>
      </c>
      <c r="R3176" s="56" t="n">
        <f aca="false">IF(AND(D3176&gt;1,Q3176=0,ISNUMBER(O3176),ISNUMBER(P3176)),IF(Q3175=0,1,0),0)</f>
        <v>1</v>
      </c>
      <c r="S3176" s="56" t="n">
        <f aca="false">R3176*(B3176&gt;=Train_Start)*(B3176&lt;=Train_End)</f>
        <v>0</v>
      </c>
      <c r="T3176" s="84" t="n">
        <f aca="false">IF(AND(ISNUMBER(O3176),ISNUMBER(P3176)),Coef_A+Coef_B1*O3176+Coef_B2*P3176,"")</f>
        <v>21.5452315356078</v>
      </c>
      <c r="U3176" s="84" t="n">
        <f aca="false">IF(AND(R3176=1,ISNUMBER(T3176)),E3176-T3176,"")</f>
        <v>-1.14523153560779</v>
      </c>
      <c r="V3176" s="84" t="n">
        <f aca="false">IF(ISNUMBER(T3176),T3176,-99)</f>
        <v>21.5452315356078</v>
      </c>
      <c r="W3176" s="84" t="n">
        <f aca="false">IF(ISNUMBER(U3176),ABS(U3176),"")</f>
        <v>1.14523153560779</v>
      </c>
    </row>
    <row r="3177" customFormat="false" ht="15" hidden="false" customHeight="false" outlineLevel="0" collapsed="false">
      <c r="A3177" s="57" t="n">
        <v>36396</v>
      </c>
      <c r="B3177" s="56" t="n">
        <v>1999</v>
      </c>
      <c r="C3177" s="56" t="n">
        <v>8</v>
      </c>
      <c r="D3177" s="56" t="n">
        <v>116</v>
      </c>
      <c r="E3177" s="56" t="n">
        <v>25</v>
      </c>
      <c r="F3177" s="56" t="n">
        <v>0</v>
      </c>
      <c r="G3177" s="56" t="n">
        <v>14</v>
      </c>
      <c r="H3177" s="56" t="n">
        <v>0</v>
      </c>
      <c r="I3177" s="56" t="n">
        <v>17.2</v>
      </c>
      <c r="J3177" s="56" t="n">
        <v>0</v>
      </c>
      <c r="K3177" s="56" t="n">
        <v>1016.7</v>
      </c>
      <c r="L3177" s="56" t="n">
        <v>0</v>
      </c>
      <c r="M3177" s="56" t="n">
        <v>78</v>
      </c>
      <c r="N3177" s="56" t="n">
        <v>0</v>
      </c>
      <c r="O3177" s="56" t="n">
        <f aca="false">IF(D3177=1,"",E3176)</f>
        <v>20.4</v>
      </c>
      <c r="P3177" s="56" t="n">
        <f aca="false">IF(OR(D3177=1,K3176=""),"",K3176)</f>
        <v>1018.8</v>
      </c>
      <c r="Q3177" s="56" t="n">
        <f aca="false">IF(OR(F3177&lt;&gt;0,AND(I3177&lt;&gt;"",E3177&lt;I3177)),1,0)</f>
        <v>0</v>
      </c>
      <c r="R3177" s="56" t="n">
        <f aca="false">IF(AND(D3177&gt;1,Q3177=0,ISNUMBER(O3177),ISNUMBER(P3177)),IF(Q3176=0,1,0),0)</f>
        <v>1</v>
      </c>
      <c r="S3177" s="56" t="n">
        <f aca="false">R3177*(B3177&gt;=Train_Start)*(B3177&lt;=Train_End)</f>
        <v>0</v>
      </c>
      <c r="T3177" s="84" t="n">
        <f aca="false">IF(AND(ISNUMBER(O3177),ISNUMBER(P3177)),Coef_A+Coef_B1*O3177+Coef_B2*P3177,"")</f>
        <v>20.7611436131743</v>
      </c>
      <c r="U3177" s="84" t="n">
        <f aca="false">IF(AND(R3177=1,ISNUMBER(T3177)),E3177-T3177,"")</f>
        <v>4.2388563868257</v>
      </c>
      <c r="V3177" s="84" t="n">
        <f aca="false">IF(ISNUMBER(T3177),T3177,-99)</f>
        <v>20.7611436131743</v>
      </c>
      <c r="W3177" s="84" t="n">
        <f aca="false">IF(ISNUMBER(U3177),ABS(U3177),"")</f>
        <v>4.2388563868257</v>
      </c>
    </row>
    <row r="3178" customFormat="false" ht="15" hidden="false" customHeight="false" outlineLevel="0" collapsed="false">
      <c r="A3178" s="57" t="n">
        <v>36397</v>
      </c>
      <c r="B3178" s="56" t="n">
        <v>1999</v>
      </c>
      <c r="C3178" s="56" t="n">
        <v>8</v>
      </c>
      <c r="D3178" s="56" t="n">
        <v>117</v>
      </c>
      <c r="E3178" s="56" t="n">
        <v>24</v>
      </c>
      <c r="F3178" s="56" t="n">
        <v>0</v>
      </c>
      <c r="G3178" s="56" t="n">
        <v>14.8</v>
      </c>
      <c r="H3178" s="56" t="n">
        <v>0</v>
      </c>
      <c r="I3178" s="56" t="n">
        <v>19.9</v>
      </c>
      <c r="J3178" s="56" t="n">
        <v>0</v>
      </c>
      <c r="K3178" s="56" t="n">
        <v>1010.9</v>
      </c>
      <c r="L3178" s="56" t="n">
        <v>0</v>
      </c>
      <c r="M3178" s="56" t="n">
        <v>86</v>
      </c>
      <c r="N3178" s="56" t="n">
        <v>2.2</v>
      </c>
      <c r="O3178" s="56" t="n">
        <f aca="false">IF(D3178=1,"",E3177)</f>
        <v>25</v>
      </c>
      <c r="P3178" s="56" t="n">
        <f aca="false">IF(OR(D3178=1,K3177=""),"",K3177)</f>
        <v>1016.7</v>
      </c>
      <c r="Q3178" s="56" t="n">
        <f aca="false">IF(OR(F3178&lt;&gt;0,AND(I3178&lt;&gt;"",E3178&lt;I3178)),1,0)</f>
        <v>0</v>
      </c>
      <c r="R3178" s="56" t="n">
        <f aca="false">IF(AND(D3178&gt;1,Q3178=0,ISNUMBER(O3178),ISNUMBER(P3178)),IF(Q3177=0,1,0),0)</f>
        <v>1</v>
      </c>
      <c r="S3178" s="56" t="n">
        <f aca="false">R3178*(B3178&gt;=Train_Start)*(B3178&lt;=Train_End)</f>
        <v>0</v>
      </c>
      <c r="T3178" s="84" t="n">
        <f aca="false">IF(AND(ISNUMBER(O3178),ISNUMBER(P3178)),Coef_A+Coef_B1*O3178+Coef_B2*P3178,"")</f>
        <v>24.4642271224392</v>
      </c>
      <c r="U3178" s="84" t="n">
        <f aca="false">IF(AND(R3178=1,ISNUMBER(T3178)),E3178-T3178,"")</f>
        <v>-0.464227122439155</v>
      </c>
      <c r="V3178" s="84" t="n">
        <f aca="false">IF(ISNUMBER(T3178),T3178,-99)</f>
        <v>24.4642271224392</v>
      </c>
      <c r="W3178" s="84" t="n">
        <f aca="false">IF(ISNUMBER(U3178),ABS(U3178),"")</f>
        <v>0.464227122439155</v>
      </c>
    </row>
    <row r="3179" customFormat="false" ht="15" hidden="false" customHeight="false" outlineLevel="0" collapsed="false">
      <c r="A3179" s="57" t="n">
        <v>36398</v>
      </c>
      <c r="B3179" s="56" t="n">
        <v>1999</v>
      </c>
      <c r="C3179" s="56" t="n">
        <v>8</v>
      </c>
      <c r="D3179" s="56" t="n">
        <v>118</v>
      </c>
      <c r="E3179" s="56" t="n">
        <v>22.3</v>
      </c>
      <c r="F3179" s="56" t="n">
        <v>0</v>
      </c>
      <c r="G3179" s="56" t="n">
        <v>17.5</v>
      </c>
      <c r="H3179" s="56" t="n">
        <v>0</v>
      </c>
      <c r="I3179" s="56" t="n">
        <v>20.8</v>
      </c>
      <c r="J3179" s="56" t="n">
        <v>0</v>
      </c>
      <c r="K3179" s="56" t="n">
        <v>1011.3</v>
      </c>
      <c r="L3179" s="56" t="n">
        <v>0</v>
      </c>
      <c r="M3179" s="56" t="n">
        <v>77</v>
      </c>
      <c r="N3179" s="56" t="n">
        <v>6.9</v>
      </c>
      <c r="O3179" s="56" t="n">
        <f aca="false">IF(D3179=1,"",E3178)</f>
        <v>24</v>
      </c>
      <c r="P3179" s="56" t="n">
        <f aca="false">IF(OR(D3179=1,K3178=""),"",K3178)</f>
        <v>1010.9</v>
      </c>
      <c r="Q3179" s="56" t="n">
        <f aca="false">IF(OR(F3179&lt;&gt;0,AND(I3179&lt;&gt;"",E3179&lt;I3179)),1,0)</f>
        <v>0</v>
      </c>
      <c r="R3179" s="56" t="n">
        <f aca="false">IF(AND(D3179&gt;1,Q3179=0,ISNUMBER(O3179),ISNUMBER(P3179)),IF(Q3178=0,1,0),0)</f>
        <v>1</v>
      </c>
      <c r="S3179" s="56" t="n">
        <f aca="false">R3179*(B3179&gt;=Train_Start)*(B3179&lt;=Train_End)</f>
        <v>0</v>
      </c>
      <c r="T3179" s="84" t="n">
        <f aca="false">IF(AND(ISNUMBER(O3179),ISNUMBER(P3179)),Coef_A+Coef_B1*O3179+Coef_B2*P3179,"")</f>
        <v>23.4629425405194</v>
      </c>
      <c r="U3179" s="84" t="n">
        <f aca="false">IF(AND(R3179=1,ISNUMBER(T3179)),E3179-T3179,"")</f>
        <v>-1.16294254051935</v>
      </c>
      <c r="V3179" s="84" t="n">
        <f aca="false">IF(ISNUMBER(T3179),T3179,-99)</f>
        <v>23.4629425405194</v>
      </c>
      <c r="W3179" s="84" t="n">
        <f aca="false">IF(ISNUMBER(U3179),ABS(U3179),"")</f>
        <v>1.16294254051935</v>
      </c>
    </row>
    <row r="3180" customFormat="false" ht="15" hidden="false" customHeight="false" outlineLevel="0" collapsed="false">
      <c r="A3180" s="57" t="n">
        <v>36399</v>
      </c>
      <c r="B3180" s="56" t="n">
        <v>1999</v>
      </c>
      <c r="C3180" s="56" t="n">
        <v>8</v>
      </c>
      <c r="D3180" s="56" t="n">
        <v>119</v>
      </c>
      <c r="E3180" s="56" t="n">
        <v>24.8</v>
      </c>
      <c r="F3180" s="56" t="n">
        <v>0</v>
      </c>
      <c r="G3180" s="56" t="n">
        <v>12.7</v>
      </c>
      <c r="H3180" s="56" t="n">
        <v>0</v>
      </c>
      <c r="I3180" s="56" t="n">
        <v>17.5</v>
      </c>
      <c r="J3180" s="56" t="n">
        <v>0</v>
      </c>
      <c r="K3180" s="56" t="n">
        <v>1018.9</v>
      </c>
      <c r="L3180" s="56" t="n">
        <v>0</v>
      </c>
      <c r="M3180" s="56" t="n">
        <v>73</v>
      </c>
      <c r="N3180" s="56" t="n">
        <v>9.3</v>
      </c>
      <c r="O3180" s="56" t="n">
        <f aca="false">IF(D3180=1,"",E3179)</f>
        <v>22.3</v>
      </c>
      <c r="P3180" s="56" t="n">
        <f aca="false">IF(OR(D3180=1,K3179=""),"",K3179)</f>
        <v>1011.3</v>
      </c>
      <c r="Q3180" s="56" t="n">
        <f aca="false">IF(OR(F3180&lt;&gt;0,AND(I3180&lt;&gt;"",E3180&lt;I3180)),1,0)</f>
        <v>0</v>
      </c>
      <c r="R3180" s="56" t="n">
        <f aca="false">IF(AND(D3180&gt;1,Q3180=0,ISNUMBER(O3180),ISNUMBER(P3180)),IF(Q3179=0,1,0),0)</f>
        <v>1</v>
      </c>
      <c r="S3180" s="56" t="n">
        <f aca="false">R3180*(B3180&gt;=Train_Start)*(B3180&lt;=Train_End)</f>
        <v>0</v>
      </c>
      <c r="T3180" s="84" t="n">
        <f aca="false">IF(AND(ISNUMBER(O3180),ISNUMBER(P3180)),Coef_A+Coef_B1*O3180+Coef_B2*P3180,"")</f>
        <v>22.0826138702004</v>
      </c>
      <c r="U3180" s="84" t="n">
        <f aca="false">IF(AND(R3180=1,ISNUMBER(T3180)),E3180-T3180,"")</f>
        <v>2.71738612979957</v>
      </c>
      <c r="V3180" s="84" t="n">
        <f aca="false">IF(ISNUMBER(T3180),T3180,-99)</f>
        <v>22.0826138702004</v>
      </c>
      <c r="W3180" s="84" t="n">
        <f aca="false">IF(ISNUMBER(U3180),ABS(U3180),"")</f>
        <v>2.71738612979957</v>
      </c>
    </row>
    <row r="3181" customFormat="false" ht="15" hidden="false" customHeight="false" outlineLevel="0" collapsed="false">
      <c r="A3181" s="57" t="n">
        <v>36400</v>
      </c>
      <c r="B3181" s="56" t="n">
        <v>1999</v>
      </c>
      <c r="C3181" s="56" t="n">
        <v>8</v>
      </c>
      <c r="D3181" s="56" t="n">
        <v>120</v>
      </c>
      <c r="E3181" s="56" t="n">
        <v>24</v>
      </c>
      <c r="F3181" s="56" t="n">
        <v>0</v>
      </c>
      <c r="G3181" s="56" t="n">
        <v>12</v>
      </c>
      <c r="H3181" s="56" t="n">
        <v>0</v>
      </c>
      <c r="I3181" s="56" t="n">
        <v>18.4</v>
      </c>
      <c r="J3181" s="56" t="n">
        <v>0</v>
      </c>
      <c r="K3181" s="56" t="n">
        <v>1023.6</v>
      </c>
      <c r="L3181" s="56" t="n">
        <v>0</v>
      </c>
      <c r="M3181" s="56" t="n">
        <v>70</v>
      </c>
      <c r="N3181" s="56" t="n">
        <v>11.5</v>
      </c>
      <c r="O3181" s="56" t="n">
        <f aca="false">IF(D3181=1,"",E3180)</f>
        <v>24.8</v>
      </c>
      <c r="P3181" s="56" t="n">
        <f aca="false">IF(OR(D3181=1,K3180=""),"",K3180)</f>
        <v>1018.9</v>
      </c>
      <c r="Q3181" s="56" t="n">
        <f aca="false">IF(OR(F3181&lt;&gt;0,AND(I3181&lt;&gt;"",E3181&lt;I3181)),1,0)</f>
        <v>0</v>
      </c>
      <c r="R3181" s="56" t="n">
        <f aca="false">IF(AND(D3181&gt;1,Q3181=0,ISNUMBER(O3181),ISNUMBER(P3181)),IF(Q3180=0,1,0),0)</f>
        <v>1</v>
      </c>
      <c r="S3181" s="56" t="n">
        <f aca="false">R3181*(B3181&gt;=Train_Start)*(B3181&lt;=Train_End)</f>
        <v>0</v>
      </c>
      <c r="T3181" s="84" t="n">
        <f aca="false">IF(AND(ISNUMBER(O3181),ISNUMBER(P3181)),Coef_A+Coef_B1*O3181+Coef_B2*P3181,"")</f>
        <v>24.3693730520254</v>
      </c>
      <c r="U3181" s="84" t="n">
        <f aca="false">IF(AND(R3181=1,ISNUMBER(T3181)),E3181-T3181,"")</f>
        <v>-0.369373052025399</v>
      </c>
      <c r="V3181" s="84" t="n">
        <f aca="false">IF(ISNUMBER(T3181),T3181,-99)</f>
        <v>24.3693730520254</v>
      </c>
      <c r="W3181" s="84" t="n">
        <f aca="false">IF(ISNUMBER(U3181),ABS(U3181),"")</f>
        <v>0.369373052025399</v>
      </c>
    </row>
    <row r="3182" customFormat="false" ht="15" hidden="false" customHeight="false" outlineLevel="0" collapsed="false">
      <c r="A3182" s="57" t="n">
        <v>36401</v>
      </c>
      <c r="B3182" s="56" t="n">
        <v>1999</v>
      </c>
      <c r="C3182" s="56" t="n">
        <v>8</v>
      </c>
      <c r="D3182" s="56" t="n">
        <v>121</v>
      </c>
      <c r="E3182" s="56" t="n">
        <v>23</v>
      </c>
      <c r="F3182" s="56" t="n">
        <v>0</v>
      </c>
      <c r="G3182" s="56" t="n">
        <v>13.3</v>
      </c>
      <c r="H3182" s="56" t="n">
        <v>0</v>
      </c>
      <c r="I3182" s="56" t="n">
        <v>18.6</v>
      </c>
      <c r="J3182" s="56" t="n">
        <v>0</v>
      </c>
      <c r="K3182" s="56" t="n">
        <v>1021</v>
      </c>
      <c r="L3182" s="56" t="n">
        <v>0</v>
      </c>
      <c r="M3182" s="56" t="n">
        <v>68</v>
      </c>
      <c r="N3182" s="56" t="n">
        <v>8</v>
      </c>
      <c r="O3182" s="56" t="n">
        <f aca="false">IF(D3182=1,"",E3181)</f>
        <v>24</v>
      </c>
      <c r="P3182" s="56" t="n">
        <f aca="false">IF(OR(D3182=1,K3181=""),"",K3181)</f>
        <v>1023.6</v>
      </c>
      <c r="Q3182" s="56" t="n">
        <f aca="false">IF(OR(F3182&lt;&gt;0,AND(I3182&lt;&gt;"",E3182&lt;I3182)),1,0)</f>
        <v>0</v>
      </c>
      <c r="R3182" s="56" t="n">
        <f aca="false">IF(AND(D3182&gt;1,Q3182=0,ISNUMBER(O3182),ISNUMBER(P3182)),IF(Q3181=0,1,0),0)</f>
        <v>1</v>
      </c>
      <c r="S3182" s="56" t="n">
        <f aca="false">R3182*(B3182&gt;=Train_Start)*(B3182&lt;=Train_End)</f>
        <v>0</v>
      </c>
      <c r="T3182" s="84" t="n">
        <f aca="false">IF(AND(ISNUMBER(O3182),ISNUMBER(P3182)),Coef_A+Coef_B1*O3182+Coef_B2*P3182,"")</f>
        <v>23.861340202371</v>
      </c>
      <c r="U3182" s="84" t="n">
        <f aca="false">IF(AND(R3182=1,ISNUMBER(T3182)),E3182-T3182,"")</f>
        <v>-0.861340202371025</v>
      </c>
      <c r="V3182" s="84" t="n">
        <f aca="false">IF(ISNUMBER(T3182),T3182,-99)</f>
        <v>23.861340202371</v>
      </c>
      <c r="W3182" s="84" t="n">
        <f aca="false">IF(ISNUMBER(U3182),ABS(U3182),"")</f>
        <v>0.861340202371025</v>
      </c>
    </row>
    <row r="3183" customFormat="false" ht="15" hidden="false" customHeight="false" outlineLevel="0" collapsed="false">
      <c r="A3183" s="57" t="n">
        <v>36402</v>
      </c>
      <c r="B3183" s="56" t="n">
        <v>1999</v>
      </c>
      <c r="C3183" s="56" t="n">
        <v>8</v>
      </c>
      <c r="D3183" s="56" t="n">
        <v>122</v>
      </c>
      <c r="E3183" s="56" t="n">
        <v>23</v>
      </c>
      <c r="F3183" s="56" t="n">
        <v>0</v>
      </c>
      <c r="G3183" s="56" t="n">
        <v>14.7</v>
      </c>
      <c r="H3183" s="56" t="n">
        <v>0</v>
      </c>
      <c r="I3183" s="56" t="n">
        <v>18.8</v>
      </c>
      <c r="J3183" s="56" t="n">
        <v>0</v>
      </c>
      <c r="K3183" s="56" t="n">
        <v>1019.5</v>
      </c>
      <c r="L3183" s="56" t="n">
        <v>0</v>
      </c>
      <c r="M3183" s="56" t="n">
        <v>66</v>
      </c>
      <c r="N3183" s="56" t="n">
        <v>10</v>
      </c>
      <c r="O3183" s="56" t="n">
        <f aca="false">IF(D3183=1,"",E3182)</f>
        <v>23</v>
      </c>
      <c r="P3183" s="56" t="n">
        <f aca="false">IF(OR(D3183=1,K3182=""),"",K3182)</f>
        <v>1021</v>
      </c>
      <c r="Q3183" s="56" t="n">
        <f aca="false">IF(OR(F3183&lt;&gt;0,AND(I3183&lt;&gt;"",E3183&lt;I3183)),1,0)</f>
        <v>0</v>
      </c>
      <c r="R3183" s="56" t="n">
        <f aca="false">IF(AND(D3183&gt;1,Q3183=0,ISNUMBER(O3183),ISNUMBER(P3183)),IF(Q3182=0,1,0),0)</f>
        <v>1</v>
      </c>
      <c r="S3183" s="56" t="n">
        <f aca="false">R3183*(B3183&gt;=Train_Start)*(B3183&lt;=Train_End)</f>
        <v>0</v>
      </c>
      <c r="T3183" s="84" t="n">
        <f aca="false">IF(AND(ISNUMBER(O3183),ISNUMBER(P3183)),Coef_A+Coef_B1*O3183+Coef_B2*P3183,"")</f>
        <v>22.96043928328</v>
      </c>
      <c r="U3183" s="84" t="n">
        <f aca="false">IF(AND(R3183=1,ISNUMBER(T3183)),E3183-T3183,"")</f>
        <v>0.0395607167200076</v>
      </c>
      <c r="V3183" s="84" t="n">
        <f aca="false">IF(ISNUMBER(T3183),T3183,-99)</f>
        <v>22.96043928328</v>
      </c>
      <c r="W3183" s="84" t="n">
        <f aca="false">IF(ISNUMBER(U3183),ABS(U3183),"")</f>
        <v>0.0395607167200076</v>
      </c>
    </row>
    <row r="3184" customFormat="false" ht="15" hidden="false" customHeight="false" outlineLevel="0" collapsed="false">
      <c r="A3184" s="57" t="n">
        <v>36403</v>
      </c>
      <c r="B3184" s="56" t="n">
        <v>1999</v>
      </c>
      <c r="C3184" s="56" t="n">
        <v>8</v>
      </c>
      <c r="D3184" s="56" t="n">
        <v>123</v>
      </c>
      <c r="E3184" s="56" t="n">
        <v>24.5</v>
      </c>
      <c r="F3184" s="56" t="n">
        <v>0</v>
      </c>
      <c r="G3184" s="56" t="n">
        <v>13.7</v>
      </c>
      <c r="H3184" s="56" t="n">
        <v>0</v>
      </c>
      <c r="I3184" s="56" t="n">
        <v>18.4</v>
      </c>
      <c r="J3184" s="56" t="n">
        <v>0</v>
      </c>
      <c r="K3184" s="56" t="n">
        <v>1019.6</v>
      </c>
      <c r="L3184" s="56" t="n">
        <v>0</v>
      </c>
      <c r="M3184" s="56" t="n">
        <v>69</v>
      </c>
      <c r="N3184" s="56" t="n">
        <v>6.1</v>
      </c>
      <c r="O3184" s="56" t="n">
        <f aca="false">IF(D3184=1,"",E3183)</f>
        <v>23</v>
      </c>
      <c r="P3184" s="56" t="n">
        <f aca="false">IF(OR(D3184=1,K3183=""),"",K3183)</f>
        <v>1019.5</v>
      </c>
      <c r="Q3184" s="56" t="n">
        <f aca="false">IF(OR(F3184&lt;&gt;0,AND(I3184&lt;&gt;"",E3184&lt;I3184)),1,0)</f>
        <v>0</v>
      </c>
      <c r="R3184" s="56" t="n">
        <f aca="false">IF(AND(D3184&gt;1,Q3184=0,ISNUMBER(O3184),ISNUMBER(P3184)),IF(Q3183=0,1,0),0)</f>
        <v>1</v>
      </c>
      <c r="S3184" s="56" t="n">
        <f aca="false">R3184*(B3184&gt;=Train_Start)*(B3184&lt;=Train_End)</f>
        <v>0</v>
      </c>
      <c r="T3184" s="84" t="n">
        <f aca="false">IF(AND(ISNUMBER(O3184),ISNUMBER(P3184)),Coef_A+Coef_B1*O3184+Coef_B2*P3184,"")</f>
        <v>22.913384441329</v>
      </c>
      <c r="U3184" s="84" t="n">
        <f aca="false">IF(AND(R3184=1,ISNUMBER(T3184)),E3184-T3184,"")</f>
        <v>1.58661555867099</v>
      </c>
      <c r="V3184" s="84" t="n">
        <f aca="false">IF(ISNUMBER(T3184),T3184,-99)</f>
        <v>22.913384441329</v>
      </c>
      <c r="W3184" s="84" t="n">
        <f aca="false">IF(ISNUMBER(U3184),ABS(U3184),"")</f>
        <v>1.58661555867099</v>
      </c>
    </row>
    <row r="3185" customFormat="false" ht="15" hidden="false" customHeight="false" outlineLevel="0" collapsed="false">
      <c r="A3185" s="57" t="n">
        <v>36404</v>
      </c>
      <c r="B3185" s="56" t="n">
        <v>1999</v>
      </c>
      <c r="C3185" s="56" t="n">
        <v>9</v>
      </c>
      <c r="D3185" s="56" t="n">
        <v>124</v>
      </c>
      <c r="E3185" s="56" t="n">
        <v>26.3</v>
      </c>
      <c r="F3185" s="56" t="n">
        <v>0</v>
      </c>
      <c r="G3185" s="56" t="n">
        <v>13</v>
      </c>
      <c r="H3185" s="56" t="n">
        <v>0</v>
      </c>
      <c r="I3185" s="56" t="n">
        <v>18.8</v>
      </c>
      <c r="J3185" s="56" t="n">
        <v>0</v>
      </c>
      <c r="K3185" s="56" t="n">
        <v>1021.8</v>
      </c>
      <c r="L3185" s="56" t="n">
        <v>0</v>
      </c>
      <c r="M3185" s="56" t="n">
        <v>71</v>
      </c>
      <c r="N3185" s="56" t="n">
        <v>8.3</v>
      </c>
      <c r="O3185" s="56" t="n">
        <f aca="false">IF(D3185=1,"",E3184)</f>
        <v>24.5</v>
      </c>
      <c r="P3185" s="56" t="n">
        <f aca="false">IF(OR(D3185=1,K3184=""),"",K3184)</f>
        <v>1019.6</v>
      </c>
      <c r="Q3185" s="56" t="n">
        <f aca="false">IF(OR(F3185&lt;&gt;0,AND(I3185&lt;&gt;"",E3185&lt;I3185)),1,0)</f>
        <v>0</v>
      </c>
      <c r="R3185" s="56" t="n">
        <f aca="false">IF(AND(D3185&gt;1,Q3185=0,ISNUMBER(O3185),ISNUMBER(P3185)),IF(Q3184=0,1,0),0)</f>
        <v>1</v>
      </c>
      <c r="S3185" s="56" t="n">
        <f aca="false">R3185*(B3185&gt;=Train_Start)*(B3185&lt;=Train_End)</f>
        <v>0</v>
      </c>
      <c r="T3185" s="84" t="n">
        <f aca="false">IF(AND(ISNUMBER(O3185),ISNUMBER(P3185)),Coef_A+Coef_B1*O3185+Coef_B2*P3185,"")</f>
        <v>24.1455302203564</v>
      </c>
      <c r="U3185" s="84" t="n">
        <f aca="false">IF(AND(R3185=1,ISNUMBER(T3185)),E3185-T3185,"")</f>
        <v>2.15446977964361</v>
      </c>
      <c r="V3185" s="84" t="n">
        <f aca="false">IF(ISNUMBER(T3185),T3185,-99)</f>
        <v>24.1455302203564</v>
      </c>
      <c r="W3185" s="84" t="n">
        <f aca="false">IF(ISNUMBER(U3185),ABS(U3185),"")</f>
        <v>2.15446977964361</v>
      </c>
    </row>
    <row r="3186" customFormat="false" ht="15" hidden="false" customHeight="false" outlineLevel="0" collapsed="false">
      <c r="A3186" s="57" t="n">
        <v>36405</v>
      </c>
      <c r="B3186" s="56" t="n">
        <v>1999</v>
      </c>
      <c r="C3186" s="56" t="n">
        <v>9</v>
      </c>
      <c r="D3186" s="56" t="n">
        <v>125</v>
      </c>
      <c r="E3186" s="56" t="n">
        <v>26.7</v>
      </c>
      <c r="F3186" s="56" t="n">
        <v>0</v>
      </c>
      <c r="G3186" s="56" t="n">
        <v>14.2</v>
      </c>
      <c r="H3186" s="56" t="n">
        <v>0</v>
      </c>
      <c r="I3186" s="56" t="n">
        <v>20.2</v>
      </c>
      <c r="J3186" s="56" t="n">
        <v>0</v>
      </c>
      <c r="K3186" s="56" t="n">
        <v>1022</v>
      </c>
      <c r="L3186" s="56" t="n">
        <v>0</v>
      </c>
      <c r="M3186" s="56" t="n">
        <v>67</v>
      </c>
      <c r="N3186" s="56" t="n">
        <v>12</v>
      </c>
      <c r="O3186" s="56" t="n">
        <f aca="false">IF(D3186=1,"",E3185)</f>
        <v>26.3</v>
      </c>
      <c r="P3186" s="56" t="n">
        <f aca="false">IF(OR(D3186=1,K3185=""),"",K3185)</f>
        <v>1021.8</v>
      </c>
      <c r="Q3186" s="56" t="n">
        <f aca="false">IF(OR(F3186&lt;&gt;0,AND(I3186&lt;&gt;"",E3186&lt;I3186)),1,0)</f>
        <v>0</v>
      </c>
      <c r="R3186" s="56" t="n">
        <f aca="false">IF(AND(D3186&gt;1,Q3186=0,ISNUMBER(O3186),ISNUMBER(P3186)),IF(Q3185=0,1,0),0)</f>
        <v>1</v>
      </c>
      <c r="S3186" s="56" t="n">
        <f aca="false">R3186*(B3186&gt;=Train_Start)*(B3186&lt;=Train_End)</f>
        <v>0</v>
      </c>
      <c r="T3186" s="84" t="n">
        <f aca="false">IF(AND(ISNUMBER(O3186),ISNUMBER(P3186)),Coef_A+Coef_B1*O3186+Coef_B2*P3186,"")</f>
        <v>25.689354536028</v>
      </c>
      <c r="U3186" s="84" t="n">
        <f aca="false">IF(AND(R3186=1,ISNUMBER(T3186)),E3186-T3186,"")</f>
        <v>1.01064546397205</v>
      </c>
      <c r="V3186" s="84" t="n">
        <f aca="false">IF(ISNUMBER(T3186),T3186,-99)</f>
        <v>25.689354536028</v>
      </c>
      <c r="W3186" s="84" t="n">
        <f aca="false">IF(ISNUMBER(U3186),ABS(U3186),"")</f>
        <v>1.01064546397205</v>
      </c>
    </row>
    <row r="3187" customFormat="false" ht="15" hidden="false" customHeight="false" outlineLevel="0" collapsed="false">
      <c r="A3187" s="57" t="n">
        <v>36406</v>
      </c>
      <c r="B3187" s="56" t="n">
        <v>1999</v>
      </c>
      <c r="C3187" s="56" t="n">
        <v>9</v>
      </c>
      <c r="D3187" s="56" t="n">
        <v>126</v>
      </c>
      <c r="E3187" s="56" t="n">
        <v>27</v>
      </c>
      <c r="F3187" s="56" t="n">
        <v>0</v>
      </c>
      <c r="G3187" s="56" t="n">
        <v>16</v>
      </c>
      <c r="H3187" s="56" t="n">
        <v>0</v>
      </c>
      <c r="I3187" s="56" t="n">
        <v>21.4</v>
      </c>
      <c r="J3187" s="56" t="n">
        <v>0</v>
      </c>
      <c r="K3187" s="56" t="n">
        <v>1019.1</v>
      </c>
      <c r="L3187" s="56" t="n">
        <v>0</v>
      </c>
      <c r="M3187" s="56" t="n">
        <v>60</v>
      </c>
      <c r="N3187" s="56" t="n">
        <v>11.4</v>
      </c>
      <c r="O3187" s="56" t="n">
        <f aca="false">IF(D3187=1,"",E3186)</f>
        <v>26.7</v>
      </c>
      <c r="P3187" s="56" t="n">
        <f aca="false">IF(OR(D3187=1,K3186=""),"",K3186)</f>
        <v>1022</v>
      </c>
      <c r="Q3187" s="56" t="n">
        <f aca="false">IF(OR(F3187&lt;&gt;0,AND(I3187&lt;&gt;"",E3187&lt;I3187)),1,0)</f>
        <v>0</v>
      </c>
      <c r="R3187" s="56" t="n">
        <f aca="false">IF(AND(D3187&gt;1,Q3187=0,ISNUMBER(O3187),ISNUMBER(P3187)),IF(Q3186=0,1,0),0)</f>
        <v>1</v>
      </c>
      <c r="S3187" s="56" t="n">
        <f aca="false">R3187*(B3187&gt;=Train_Start)*(B3187&lt;=Train_End)</f>
        <v>0</v>
      </c>
      <c r="T3187" s="84" t="n">
        <f aca="false">IF(AND(ISNUMBER(O3187),ISNUMBER(P3187)),Coef_A+Coef_B1*O3187+Coef_B2*P3187,"")</f>
        <v>26.0233641921718</v>
      </c>
      <c r="U3187" s="84" t="n">
        <f aca="false">IF(AND(R3187=1,ISNUMBER(T3187)),E3187-T3187,"")</f>
        <v>0.976635807828188</v>
      </c>
      <c r="V3187" s="84" t="n">
        <f aca="false">IF(ISNUMBER(T3187),T3187,-99)</f>
        <v>26.0233641921718</v>
      </c>
      <c r="W3187" s="84" t="n">
        <f aca="false">IF(ISNUMBER(U3187),ABS(U3187),"")</f>
        <v>0.976635807828188</v>
      </c>
    </row>
    <row r="3188" customFormat="false" ht="15" hidden="false" customHeight="false" outlineLevel="0" collapsed="false">
      <c r="A3188" s="57" t="n">
        <v>36407</v>
      </c>
      <c r="B3188" s="56" t="n">
        <v>1999</v>
      </c>
      <c r="C3188" s="56" t="n">
        <v>9</v>
      </c>
      <c r="D3188" s="56" t="n">
        <v>127</v>
      </c>
      <c r="E3188" s="56" t="n">
        <v>27.4</v>
      </c>
      <c r="F3188" s="56" t="n">
        <v>0</v>
      </c>
      <c r="G3188" s="56" t="n">
        <v>13.5</v>
      </c>
      <c r="H3188" s="56" t="n">
        <v>0</v>
      </c>
      <c r="I3188" s="56" t="n">
        <v>20.2</v>
      </c>
      <c r="J3188" s="56" t="n">
        <v>0</v>
      </c>
      <c r="K3188" s="56" t="n">
        <v>1019.2</v>
      </c>
      <c r="L3188" s="56" t="n">
        <v>0</v>
      </c>
      <c r="M3188" s="56" t="n">
        <v>64</v>
      </c>
      <c r="N3188" s="56" t="n">
        <v>9.8</v>
      </c>
      <c r="O3188" s="56" t="n">
        <f aca="false">IF(D3188=1,"",E3187)</f>
        <v>27</v>
      </c>
      <c r="P3188" s="56" t="n">
        <f aca="false">IF(OR(D3188=1,K3187=""),"",K3187)</f>
        <v>1019.1</v>
      </c>
      <c r="Q3188" s="56" t="n">
        <f aca="false">IF(OR(F3188&lt;&gt;0,AND(I3188&lt;&gt;"",E3188&lt;I3188)),1,0)</f>
        <v>0</v>
      </c>
      <c r="R3188" s="56" t="n">
        <f aca="false">IF(AND(D3188&gt;1,Q3188=0,ISNUMBER(O3188),ISNUMBER(P3188)),IF(Q3187=0,1,0),0)</f>
        <v>1</v>
      </c>
      <c r="S3188" s="56" t="n">
        <f aca="false">R3188*(B3188&gt;=Train_Start)*(B3188&lt;=Train_End)</f>
        <v>0</v>
      </c>
      <c r="T3188" s="84" t="n">
        <f aca="false">IF(AND(ISNUMBER(O3188),ISNUMBER(P3188)),Coef_A+Coef_B1*O3188+Coef_B2*P3188,"")</f>
        <v>26.178193255646</v>
      </c>
      <c r="U3188" s="84" t="n">
        <f aca="false">IF(AND(R3188=1,ISNUMBER(T3188)),E3188-T3188,"")</f>
        <v>1.22180674435396</v>
      </c>
      <c r="V3188" s="84" t="n">
        <f aca="false">IF(ISNUMBER(T3188),T3188,-99)</f>
        <v>26.178193255646</v>
      </c>
      <c r="W3188" s="84" t="n">
        <f aca="false">IF(ISNUMBER(U3188),ABS(U3188),"")</f>
        <v>1.22180674435396</v>
      </c>
    </row>
    <row r="3189" customFormat="false" ht="15" hidden="false" customHeight="false" outlineLevel="0" collapsed="false">
      <c r="A3189" s="57" t="n">
        <v>36408</v>
      </c>
      <c r="B3189" s="56" t="n">
        <v>1999</v>
      </c>
      <c r="C3189" s="56" t="n">
        <v>9</v>
      </c>
      <c r="D3189" s="56" t="n">
        <v>128</v>
      </c>
      <c r="E3189" s="56" t="n">
        <v>26.7</v>
      </c>
      <c r="F3189" s="56" t="n">
        <v>0</v>
      </c>
      <c r="G3189" s="56" t="n">
        <v>15.2</v>
      </c>
      <c r="H3189" s="56" t="n">
        <v>0</v>
      </c>
      <c r="I3189" s="56" t="n">
        <v>21.3</v>
      </c>
      <c r="J3189" s="56" t="n">
        <v>0</v>
      </c>
      <c r="K3189" s="56" t="n">
        <v>1014.2</v>
      </c>
      <c r="L3189" s="56" t="n">
        <v>0</v>
      </c>
      <c r="M3189" s="56" t="n">
        <v>72</v>
      </c>
      <c r="N3189" s="56" t="n">
        <v>9</v>
      </c>
      <c r="O3189" s="56" t="n">
        <f aca="false">IF(D3189=1,"",E3188)</f>
        <v>27.4</v>
      </c>
      <c r="P3189" s="56" t="n">
        <f aca="false">IF(OR(D3189=1,K3188=""),"",K3188)</f>
        <v>1019.2</v>
      </c>
      <c r="Q3189" s="56" t="n">
        <f aca="false">IF(OR(F3189&lt;&gt;0,AND(I3189&lt;&gt;"",E3189&lt;I3189)),1,0)</f>
        <v>0</v>
      </c>
      <c r="R3189" s="56" t="n">
        <f aca="false">IF(AND(D3189&gt;1,Q3189=0,ISNUMBER(O3189),ISNUMBER(P3189)),IF(Q3188=0,1,0),0)</f>
        <v>1</v>
      </c>
      <c r="S3189" s="56" t="n">
        <f aca="false">R3189*(B3189&gt;=Train_Start)*(B3189&lt;=Train_End)</f>
        <v>0</v>
      </c>
      <c r="T3189" s="84" t="n">
        <f aca="false">IF(AND(ISNUMBER(O3189),ISNUMBER(P3189)),Coef_A+Coef_B1*O3189+Coef_B2*P3189,"")</f>
        <v>26.5090659223265</v>
      </c>
      <c r="U3189" s="84" t="n">
        <f aca="false">IF(AND(R3189=1,ISNUMBER(T3189)),E3189-T3189,"")</f>
        <v>0.190934077673496</v>
      </c>
      <c r="V3189" s="84" t="n">
        <f aca="false">IF(ISNUMBER(T3189),T3189,-99)</f>
        <v>26.5090659223265</v>
      </c>
      <c r="W3189" s="84" t="n">
        <f aca="false">IF(ISNUMBER(U3189),ABS(U3189),"")</f>
        <v>0.190934077673496</v>
      </c>
    </row>
    <row r="3190" customFormat="false" ht="15" hidden="false" customHeight="false" outlineLevel="0" collapsed="false">
      <c r="A3190" s="57" t="n">
        <v>36409</v>
      </c>
      <c r="B3190" s="56" t="n">
        <v>1999</v>
      </c>
      <c r="C3190" s="56" t="n">
        <v>9</v>
      </c>
      <c r="D3190" s="56" t="n">
        <v>129</v>
      </c>
      <c r="E3190" s="56" t="n">
        <v>23.9</v>
      </c>
      <c r="F3190" s="56" t="n">
        <v>0</v>
      </c>
      <c r="G3190" s="56" t="n">
        <v>14.1</v>
      </c>
      <c r="H3190" s="56" t="n">
        <v>0</v>
      </c>
      <c r="I3190" s="56" t="n">
        <v>20.4</v>
      </c>
      <c r="J3190" s="56" t="n">
        <v>0</v>
      </c>
      <c r="K3190" s="56" t="n">
        <v>1010.1</v>
      </c>
      <c r="L3190" s="56" t="n">
        <v>0</v>
      </c>
      <c r="M3190" s="56" t="n">
        <v>73</v>
      </c>
      <c r="N3190" s="56" t="n">
        <v>10.3</v>
      </c>
      <c r="O3190" s="56" t="n">
        <f aca="false">IF(D3190=1,"",E3189)</f>
        <v>26.7</v>
      </c>
      <c r="P3190" s="56" t="n">
        <f aca="false">IF(OR(D3190=1,K3189=""),"",K3189)</f>
        <v>1014.2</v>
      </c>
      <c r="Q3190" s="56" t="n">
        <f aca="false">IF(OR(F3190&lt;&gt;0,AND(I3190&lt;&gt;"",E3190&lt;I3190)),1,0)</f>
        <v>0</v>
      </c>
      <c r="R3190" s="56" t="n">
        <f aca="false">IF(AND(D3190&gt;1,Q3190=0,ISNUMBER(O3190),ISNUMBER(P3190)),IF(Q3189=0,1,0),0)</f>
        <v>1</v>
      </c>
      <c r="S3190" s="56" t="n">
        <f aca="false">R3190*(B3190&gt;=Train_Start)*(B3190&lt;=Train_End)</f>
        <v>0</v>
      </c>
      <c r="T3190" s="84" t="n">
        <f aca="false">IF(AND(ISNUMBER(O3190),ISNUMBER(P3190)),Coef_A+Coef_B1*O3190+Coef_B2*P3190,"")</f>
        <v>25.7786790140267</v>
      </c>
      <c r="U3190" s="84" t="n">
        <f aca="false">IF(AND(R3190=1,ISNUMBER(T3190)),E3190-T3190,"")</f>
        <v>-1.8786790140267</v>
      </c>
      <c r="V3190" s="84" t="n">
        <f aca="false">IF(ISNUMBER(T3190),T3190,-99)</f>
        <v>25.7786790140267</v>
      </c>
      <c r="W3190" s="84" t="n">
        <f aca="false">IF(ISNUMBER(U3190),ABS(U3190),"")</f>
        <v>1.8786790140267</v>
      </c>
    </row>
    <row r="3191" customFormat="false" ht="15" hidden="false" customHeight="false" outlineLevel="0" collapsed="false">
      <c r="A3191" s="57" t="n">
        <v>36410</v>
      </c>
      <c r="B3191" s="56" t="n">
        <v>1999</v>
      </c>
      <c r="C3191" s="56" t="n">
        <v>9</v>
      </c>
      <c r="D3191" s="56" t="n">
        <v>130</v>
      </c>
      <c r="E3191" s="56" t="n">
        <v>24.3</v>
      </c>
      <c r="F3191" s="56" t="n">
        <v>0</v>
      </c>
      <c r="G3191" s="56" t="n">
        <v>15.7</v>
      </c>
      <c r="H3191" s="56" t="n">
        <v>0</v>
      </c>
      <c r="I3191" s="56" t="n">
        <v>19.8</v>
      </c>
      <c r="J3191" s="56" t="n">
        <v>0</v>
      </c>
      <c r="K3191" s="56" t="n">
        <v>1012.5</v>
      </c>
      <c r="L3191" s="56" t="n">
        <v>0</v>
      </c>
      <c r="M3191" s="56" t="n">
        <v>71</v>
      </c>
      <c r="N3191" s="56" t="n">
        <v>6.4</v>
      </c>
      <c r="O3191" s="56" t="n">
        <f aca="false">IF(D3191=1,"",E3190)</f>
        <v>23.9</v>
      </c>
      <c r="P3191" s="56" t="n">
        <f aca="false">IF(OR(D3191=1,K3190=""),"",K3190)</f>
        <v>1010.1</v>
      </c>
      <c r="Q3191" s="56" t="n">
        <f aca="false">IF(OR(F3191&lt;&gt;0,AND(I3191&lt;&gt;"",E3191&lt;I3191)),1,0)</f>
        <v>0</v>
      </c>
      <c r="R3191" s="56" t="n">
        <f aca="false">IF(AND(D3191&gt;1,Q3191=0,ISNUMBER(O3191),ISNUMBER(P3191)),IF(Q3190=0,1,0),0)</f>
        <v>1</v>
      </c>
      <c r="S3191" s="56" t="n">
        <f aca="false">R3191*(B3191&gt;=Train_Start)*(B3191&lt;=Train_End)</f>
        <v>0</v>
      </c>
      <c r="T3191" s="84" t="n">
        <f aca="false">IF(AND(ISNUMBER(O3191),ISNUMBER(P3191)),Coef_A+Coef_B1*O3191+Coef_B2*P3191,"")</f>
        <v>23.3559127055079</v>
      </c>
      <c r="U3191" s="84" t="n">
        <f aca="false">IF(AND(R3191=1,ISNUMBER(T3191)),E3191-T3191,"")</f>
        <v>0.944087294492103</v>
      </c>
      <c r="V3191" s="84" t="n">
        <f aca="false">IF(ISNUMBER(T3191),T3191,-99)</f>
        <v>23.3559127055079</v>
      </c>
      <c r="W3191" s="84" t="n">
        <f aca="false">IF(ISNUMBER(U3191),ABS(U3191),"")</f>
        <v>0.944087294492103</v>
      </c>
    </row>
    <row r="3192" customFormat="false" ht="15" hidden="false" customHeight="false" outlineLevel="0" collapsed="false">
      <c r="A3192" s="57" t="n">
        <v>36411</v>
      </c>
      <c r="B3192" s="56" t="n">
        <v>1999</v>
      </c>
      <c r="C3192" s="56" t="n">
        <v>9</v>
      </c>
      <c r="D3192" s="56" t="n">
        <v>131</v>
      </c>
      <c r="E3192" s="56" t="n">
        <v>21.6</v>
      </c>
      <c r="F3192" s="56" t="n">
        <v>0</v>
      </c>
      <c r="G3192" s="56" t="n">
        <v>10.9</v>
      </c>
      <c r="H3192" s="56" t="n">
        <v>0</v>
      </c>
      <c r="I3192" s="56" t="n">
        <v>17.6</v>
      </c>
      <c r="J3192" s="56" t="n">
        <v>0</v>
      </c>
      <c r="K3192" s="56" t="n">
        <v>1016.4</v>
      </c>
      <c r="L3192" s="56" t="n">
        <v>0</v>
      </c>
      <c r="M3192" s="56" t="n">
        <v>74</v>
      </c>
      <c r="N3192" s="56" t="n">
        <v>3</v>
      </c>
      <c r="O3192" s="56" t="n">
        <f aca="false">IF(D3192=1,"",E3191)</f>
        <v>24.3</v>
      </c>
      <c r="P3192" s="56" t="n">
        <f aca="false">IF(OR(D3192=1,K3191=""),"",K3191)</f>
        <v>1012.5</v>
      </c>
      <c r="Q3192" s="56" t="n">
        <f aca="false">IF(OR(F3192&lt;&gt;0,AND(I3192&lt;&gt;"",E3192&lt;I3192)),1,0)</f>
        <v>0</v>
      </c>
      <c r="R3192" s="56" t="n">
        <f aca="false">IF(AND(D3192&gt;1,Q3192=0,ISNUMBER(O3192),ISNUMBER(P3192)),IF(Q3191=0,1,0),0)</f>
        <v>1</v>
      </c>
      <c r="S3192" s="56" t="n">
        <f aca="false">R3192*(B3192&gt;=Train_Start)*(B3192&lt;=Train_End)</f>
        <v>0</v>
      </c>
      <c r="T3192" s="84" t="n">
        <f aca="false">IF(AND(ISNUMBER(O3192),ISNUMBER(P3192)),Coef_A+Coef_B1*O3192+Coef_B2*P3192,"")</f>
        <v>23.7589361298465</v>
      </c>
      <c r="U3192" s="84" t="n">
        <f aca="false">IF(AND(R3192=1,ISNUMBER(T3192)),E3192-T3192,"")</f>
        <v>-2.15893612984653</v>
      </c>
      <c r="V3192" s="84" t="n">
        <f aca="false">IF(ISNUMBER(T3192),T3192,-99)</f>
        <v>23.7589361298465</v>
      </c>
      <c r="W3192" s="84" t="n">
        <f aca="false">IF(ISNUMBER(U3192),ABS(U3192),"")</f>
        <v>2.15893612984653</v>
      </c>
    </row>
    <row r="3193" customFormat="false" ht="15" hidden="false" customHeight="false" outlineLevel="0" collapsed="false">
      <c r="A3193" s="57" t="n">
        <v>36412</v>
      </c>
      <c r="B3193" s="56" t="n">
        <v>1999</v>
      </c>
      <c r="C3193" s="56" t="n">
        <v>9</v>
      </c>
      <c r="D3193" s="56" t="n">
        <v>132</v>
      </c>
      <c r="E3193" s="56" t="n">
        <v>24.8</v>
      </c>
      <c r="F3193" s="56" t="n">
        <v>0</v>
      </c>
      <c r="G3193" s="56" t="n">
        <v>13</v>
      </c>
      <c r="H3193" s="56" t="n">
        <v>0</v>
      </c>
      <c r="I3193" s="56" t="n">
        <v>17.3</v>
      </c>
      <c r="J3193" s="56" t="n">
        <v>0</v>
      </c>
      <c r="K3193" s="56" t="n">
        <v>1023.6</v>
      </c>
      <c r="L3193" s="56" t="n">
        <v>0</v>
      </c>
      <c r="M3193" s="56" t="n">
        <v>63</v>
      </c>
      <c r="N3193" s="56" t="n">
        <v>8.3</v>
      </c>
      <c r="O3193" s="56" t="n">
        <f aca="false">IF(D3193=1,"",E3192)</f>
        <v>21.6</v>
      </c>
      <c r="P3193" s="56" t="n">
        <f aca="false">IF(OR(D3193=1,K3192=""),"",K3192)</f>
        <v>1016.4</v>
      </c>
      <c r="Q3193" s="56" t="n">
        <f aca="false">IF(OR(F3193&lt;&gt;0,AND(I3193&lt;&gt;"",E3193&lt;I3193)),1,0)</f>
        <v>0</v>
      </c>
      <c r="R3193" s="56" t="n">
        <f aca="false">IF(AND(D3193&gt;1,Q3193=0,ISNUMBER(O3193),ISNUMBER(P3193)),IF(Q3192=0,1,0),0)</f>
        <v>1</v>
      </c>
      <c r="S3193" s="56" t="n">
        <f aca="false">R3193*(B3193&gt;=Train_Start)*(B3193&lt;=Train_End)</f>
        <v>0</v>
      </c>
      <c r="T3193" s="84" t="n">
        <f aca="false">IF(AND(ISNUMBER(O3193),ISNUMBER(P3193)),Coef_A+Coef_B1*O3193+Coef_B2*P3193,"")</f>
        <v>21.6690628977039</v>
      </c>
      <c r="U3193" s="84" t="n">
        <f aca="false">IF(AND(R3193=1,ISNUMBER(T3193)),E3193-T3193,"")</f>
        <v>3.13093710229608</v>
      </c>
      <c r="V3193" s="84" t="n">
        <f aca="false">IF(ISNUMBER(T3193),T3193,-99)</f>
        <v>21.6690628977039</v>
      </c>
      <c r="W3193" s="84" t="n">
        <f aca="false">IF(ISNUMBER(U3193),ABS(U3193),"")</f>
        <v>3.13093710229608</v>
      </c>
    </row>
    <row r="3194" customFormat="false" ht="15" hidden="false" customHeight="false" outlineLevel="0" collapsed="false">
      <c r="A3194" s="57" t="n">
        <v>36413</v>
      </c>
      <c r="B3194" s="56" t="n">
        <v>1999</v>
      </c>
      <c r="C3194" s="56" t="n">
        <v>9</v>
      </c>
      <c r="D3194" s="56" t="n">
        <v>133</v>
      </c>
      <c r="E3194" s="56" t="n">
        <v>28.5</v>
      </c>
      <c r="F3194" s="56" t="n">
        <v>0</v>
      </c>
      <c r="G3194" s="56" t="n">
        <v>11.5</v>
      </c>
      <c r="H3194" s="56" t="n">
        <v>0</v>
      </c>
      <c r="I3194" s="56" t="n">
        <v>18.2</v>
      </c>
      <c r="J3194" s="56" t="n">
        <v>0</v>
      </c>
      <c r="K3194" s="56" t="n">
        <v>1024.8</v>
      </c>
      <c r="L3194" s="56" t="n">
        <v>0</v>
      </c>
      <c r="M3194" s="56" t="n">
        <v>75</v>
      </c>
      <c r="N3194" s="56" t="n">
        <v>9.5</v>
      </c>
      <c r="O3194" s="56" t="n">
        <f aca="false">IF(D3194=1,"",E3193)</f>
        <v>24.8</v>
      </c>
      <c r="P3194" s="56" t="n">
        <f aca="false">IF(OR(D3194=1,K3193=""),"",K3193)</f>
        <v>1023.6</v>
      </c>
      <c r="Q3194" s="56" t="n">
        <f aca="false">IF(OR(F3194&lt;&gt;0,AND(I3194&lt;&gt;"",E3194&lt;I3194)),1,0)</f>
        <v>0</v>
      </c>
      <c r="R3194" s="56" t="n">
        <f aca="false">IF(AND(D3194&gt;1,Q3194=0,ISNUMBER(O3194),ISNUMBER(P3194)),IF(Q3193=0,1,0),0)</f>
        <v>1</v>
      </c>
      <c r="S3194" s="56" t="n">
        <f aca="false">R3194*(B3194&gt;=Train_Start)*(B3194&lt;=Train_End)</f>
        <v>0</v>
      </c>
      <c r="T3194" s="84" t="n">
        <f aca="false">IF(AND(ISNUMBER(O3194),ISNUMBER(P3194)),Coef_A+Coef_B1*O3194+Coef_B2*P3194,"")</f>
        <v>24.5168115568052</v>
      </c>
      <c r="U3194" s="84" t="n">
        <f aca="false">IF(AND(R3194=1,ISNUMBER(T3194)),E3194-T3194,"")</f>
        <v>3.98318844319485</v>
      </c>
      <c r="V3194" s="84" t="n">
        <f aca="false">IF(ISNUMBER(T3194),T3194,-99)</f>
        <v>24.5168115568052</v>
      </c>
      <c r="W3194" s="84" t="n">
        <f aca="false">IF(ISNUMBER(U3194),ABS(U3194),"")</f>
        <v>3.98318844319485</v>
      </c>
    </row>
    <row r="3195" customFormat="false" ht="15" hidden="false" customHeight="false" outlineLevel="0" collapsed="false">
      <c r="A3195" s="57" t="n">
        <v>36414</v>
      </c>
      <c r="B3195" s="56" t="n">
        <v>1999</v>
      </c>
      <c r="C3195" s="56" t="n">
        <v>9</v>
      </c>
      <c r="D3195" s="56" t="n">
        <v>134</v>
      </c>
      <c r="E3195" s="56" t="n">
        <v>21.7</v>
      </c>
      <c r="F3195" s="56" t="n">
        <v>1</v>
      </c>
      <c r="G3195" s="56" t="n">
        <v>16.5</v>
      </c>
      <c r="H3195" s="56" t="n">
        <v>0</v>
      </c>
      <c r="I3195" s="56" t="n">
        <v>22.5</v>
      </c>
      <c r="J3195" s="56" t="n">
        <v>1</v>
      </c>
      <c r="K3195" s="56" t="n">
        <v>1015.2</v>
      </c>
      <c r="L3195" s="56" t="n">
        <v>0</v>
      </c>
      <c r="M3195" s="56" t="n">
        <v>70</v>
      </c>
      <c r="N3195" s="56" t="n">
        <v>6.5</v>
      </c>
      <c r="O3195" s="56" t="n">
        <f aca="false">IF(D3195=1,"",E3194)</f>
        <v>28.5</v>
      </c>
      <c r="P3195" s="56" t="n">
        <f aca="false">IF(OR(D3195=1,K3194=""),"",K3194)</f>
        <v>1024.8</v>
      </c>
      <c r="Q3195" s="56" t="n">
        <f aca="false">IF(OR(F3195&lt;&gt;0,AND(I3195&lt;&gt;"",E3195&lt;I3195)),1,0)</f>
        <v>1</v>
      </c>
      <c r="R3195" s="56" t="n">
        <f aca="false">IF(AND(D3195&gt;1,Q3195=0,ISNUMBER(O3195),ISNUMBER(P3195)),IF(Q3194=0,1,0),0)</f>
        <v>0</v>
      </c>
      <c r="S3195" s="56" t="n">
        <f aca="false">R3195*(B3195&gt;=Train_Start)*(B3195&lt;=Train_End)</f>
        <v>0</v>
      </c>
      <c r="T3195" s="84" t="n">
        <f aca="false">IF(AND(ISNUMBER(O3195),ISNUMBER(P3195)),Coef_A+Coef_B1*O3195+Coef_B2*P3195,"")</f>
        <v>27.5860104446238</v>
      </c>
      <c r="U3195" s="84" t="str">
        <f aca="false">IF(AND(R3195=1,ISNUMBER(T3195)),E3195-T3195,"")</f>
        <v/>
      </c>
      <c r="V3195" s="84" t="n">
        <f aca="false">IF(ISNUMBER(T3195),T3195,-99)</f>
        <v>27.5860104446238</v>
      </c>
      <c r="W3195" s="84" t="str">
        <f aca="false">IF(ISNUMBER(U3195),ABS(U3195),"")</f>
        <v/>
      </c>
    </row>
    <row r="3196" customFormat="false" ht="15" hidden="false" customHeight="false" outlineLevel="0" collapsed="false">
      <c r="A3196" s="57" t="n">
        <v>36415</v>
      </c>
      <c r="B3196" s="56" t="n">
        <v>1999</v>
      </c>
      <c r="C3196" s="56" t="n">
        <v>9</v>
      </c>
      <c r="D3196" s="56" t="n">
        <v>135</v>
      </c>
      <c r="E3196" s="56" t="n">
        <v>19.7</v>
      </c>
      <c r="F3196" s="56" t="n">
        <v>0</v>
      </c>
      <c r="G3196" s="56" t="n">
        <v>16.7</v>
      </c>
      <c r="H3196" s="56" t="n">
        <v>0</v>
      </c>
      <c r="I3196" s="56" t="n">
        <v>19.2</v>
      </c>
      <c r="J3196" s="56" t="n">
        <v>0</v>
      </c>
      <c r="K3196" s="56" t="n">
        <v>1013.4</v>
      </c>
      <c r="L3196" s="56" t="n">
        <v>0</v>
      </c>
      <c r="M3196" s="56" t="n">
        <v>70</v>
      </c>
      <c r="N3196" s="56" t="n">
        <v>4.4</v>
      </c>
      <c r="O3196" s="56" t="n">
        <f aca="false">IF(D3196=1,"",E3195)</f>
        <v>21.7</v>
      </c>
      <c r="P3196" s="56" t="n">
        <f aca="false">IF(OR(D3196=1,K3195=""),"",K3195)</f>
        <v>1015.2</v>
      </c>
      <c r="Q3196" s="56" t="n">
        <f aca="false">IF(OR(F3196&lt;&gt;0,AND(I3196&lt;&gt;"",E3196&lt;I3196)),1,0)</f>
        <v>0</v>
      </c>
      <c r="R3196" s="56" t="n">
        <f aca="false">IF(AND(D3196&gt;1,Q3196=0,ISNUMBER(O3196),ISNUMBER(P3196)),IF(Q3195=0,1,0),0)</f>
        <v>0</v>
      </c>
      <c r="S3196" s="56" t="n">
        <f aca="false">R3196*(B3196&gt;=Train_Start)*(B3196&lt;=Train_End)</f>
        <v>0</v>
      </c>
      <c r="T3196" s="84" t="n">
        <f aca="false">IF(AND(ISNUMBER(O3196),ISNUMBER(P3196)),Coef_A+Coef_B1*O3196+Coef_B2*P3196,"")</f>
        <v>21.7133529434474</v>
      </c>
      <c r="U3196" s="84" t="str">
        <f aca="false">IF(AND(R3196=1,ISNUMBER(T3196)),E3196-T3196,"")</f>
        <v/>
      </c>
      <c r="V3196" s="84" t="n">
        <f aca="false">IF(ISNUMBER(T3196),T3196,-99)</f>
        <v>21.7133529434474</v>
      </c>
      <c r="W3196" s="84" t="str">
        <f aca="false">IF(ISNUMBER(U3196),ABS(U3196),"")</f>
        <v/>
      </c>
    </row>
    <row r="3197" customFormat="false" ht="15" hidden="false" customHeight="false" outlineLevel="0" collapsed="false">
      <c r="A3197" s="57" t="n">
        <v>36416</v>
      </c>
      <c r="B3197" s="56" t="n">
        <v>1999</v>
      </c>
      <c r="C3197" s="56" t="n">
        <v>9</v>
      </c>
      <c r="D3197" s="56" t="n">
        <v>136</v>
      </c>
      <c r="E3197" s="56" t="n">
        <v>13.7</v>
      </c>
      <c r="F3197" s="56" t="n">
        <v>1</v>
      </c>
      <c r="G3197" s="56" t="n">
        <v>10.2</v>
      </c>
      <c r="H3197" s="56" t="n">
        <v>0</v>
      </c>
      <c r="I3197" s="56" t="n">
        <v>15</v>
      </c>
      <c r="J3197" s="56" t="n">
        <v>1</v>
      </c>
      <c r="K3197" s="56" t="n">
        <v>1012.9</v>
      </c>
      <c r="L3197" s="56" t="n">
        <v>0</v>
      </c>
      <c r="M3197" s="56" t="n">
        <v>71</v>
      </c>
      <c r="N3197" s="56" t="n">
        <v>5.2</v>
      </c>
      <c r="O3197" s="56" t="n">
        <f aca="false">IF(D3197=1,"",E3196)</f>
        <v>19.7</v>
      </c>
      <c r="P3197" s="56" t="n">
        <f aca="false">IF(OR(D3197=1,K3196=""),"",K3196)</f>
        <v>1013.4</v>
      </c>
      <c r="Q3197" s="56" t="n">
        <f aca="false">IF(OR(F3197&lt;&gt;0,AND(I3197&lt;&gt;"",E3197&lt;I3197)),1,0)</f>
        <v>1</v>
      </c>
      <c r="R3197" s="56" t="n">
        <f aca="false">IF(AND(D3197&gt;1,Q3197=0,ISNUMBER(O3197),ISNUMBER(P3197)),IF(Q3196=0,1,0),0)</f>
        <v>0</v>
      </c>
      <c r="S3197" s="56" t="n">
        <f aca="false">R3197*(B3197&gt;=Train_Start)*(B3197&lt;=Train_End)</f>
        <v>0</v>
      </c>
      <c r="T3197" s="84" t="n">
        <f aca="false">IF(AND(ISNUMBER(O3197),ISNUMBER(P3197)),Coef_A+Coef_B1*O3197+Coef_B2*P3197,"")</f>
        <v>20.0182087470209</v>
      </c>
      <c r="U3197" s="84" t="str">
        <f aca="false">IF(AND(R3197=1,ISNUMBER(T3197)),E3197-T3197,"")</f>
        <v/>
      </c>
      <c r="V3197" s="84" t="n">
        <f aca="false">IF(ISNUMBER(T3197),T3197,-99)</f>
        <v>20.0182087470209</v>
      </c>
      <c r="W3197" s="84" t="str">
        <f aca="false">IF(ISNUMBER(U3197),ABS(U3197),"")</f>
        <v/>
      </c>
    </row>
    <row r="3198" customFormat="false" ht="15" hidden="false" customHeight="false" outlineLevel="0" collapsed="false">
      <c r="A3198" s="57" t="n">
        <v>36417</v>
      </c>
      <c r="B3198" s="56" t="n">
        <v>1999</v>
      </c>
      <c r="C3198" s="56" t="n">
        <v>9</v>
      </c>
      <c r="D3198" s="56" t="n">
        <v>137</v>
      </c>
      <c r="E3198" s="56" t="n">
        <v>17.2</v>
      </c>
      <c r="F3198" s="56" t="n">
        <v>0</v>
      </c>
      <c r="G3198" s="56" t="n">
        <v>11.9</v>
      </c>
      <c r="H3198" s="56" t="n">
        <v>0</v>
      </c>
      <c r="I3198" s="56" t="n">
        <v>12.8</v>
      </c>
      <c r="J3198" s="56" t="n">
        <v>0</v>
      </c>
      <c r="K3198" s="56" t="n">
        <v>1014.2</v>
      </c>
      <c r="L3198" s="56" t="n">
        <v>0</v>
      </c>
      <c r="M3198" s="56" t="n">
        <v>85</v>
      </c>
      <c r="N3198" s="56" t="n">
        <v>0</v>
      </c>
      <c r="O3198" s="56" t="n">
        <f aca="false">IF(D3198=1,"",E3197)</f>
        <v>13.7</v>
      </c>
      <c r="P3198" s="56" t="n">
        <f aca="false">IF(OR(D3198=1,K3197=""),"",K3197)</f>
        <v>1012.9</v>
      </c>
      <c r="Q3198" s="56" t="n">
        <f aca="false">IF(OR(F3198&lt;&gt;0,AND(I3198&lt;&gt;"",E3198&lt;I3198)),1,0)</f>
        <v>0</v>
      </c>
      <c r="R3198" s="56" t="n">
        <f aca="false">IF(AND(D3198&gt;1,Q3198=0,ISNUMBER(O3198),ISNUMBER(P3198)),IF(Q3197=0,1,0),0)</f>
        <v>0</v>
      </c>
      <c r="S3198" s="56" t="n">
        <f aca="false">R3198*(B3198&gt;=Train_Start)*(B3198&lt;=Train_End)</f>
        <v>0</v>
      </c>
      <c r="T3198" s="84" t="n">
        <f aca="false">IF(AND(ISNUMBER(O3198),ISNUMBER(P3198)),Coef_A+Coef_B1*O3198+Coef_B2*P3198,"")</f>
        <v>15.086488641448</v>
      </c>
      <c r="U3198" s="84" t="str">
        <f aca="false">IF(AND(R3198=1,ISNUMBER(T3198)),E3198-T3198,"")</f>
        <v/>
      </c>
      <c r="V3198" s="84" t="n">
        <f aca="false">IF(ISNUMBER(T3198),T3198,-99)</f>
        <v>15.086488641448</v>
      </c>
      <c r="W3198" s="84" t="str">
        <f aca="false">IF(ISNUMBER(U3198),ABS(U3198),"")</f>
        <v/>
      </c>
    </row>
    <row r="3199" customFormat="false" ht="15" hidden="false" customHeight="false" outlineLevel="0" collapsed="false">
      <c r="A3199" s="57" t="n">
        <v>36418</v>
      </c>
      <c r="B3199" s="56" t="n">
        <v>1999</v>
      </c>
      <c r="C3199" s="56" t="n">
        <v>9</v>
      </c>
      <c r="D3199" s="56" t="n">
        <v>138</v>
      </c>
      <c r="E3199" s="56" t="n">
        <v>18.9</v>
      </c>
      <c r="F3199" s="56" t="n">
        <v>0</v>
      </c>
      <c r="G3199" s="56" t="n">
        <v>12.3</v>
      </c>
      <c r="H3199" s="56" t="n">
        <v>0</v>
      </c>
      <c r="I3199" s="56" t="n">
        <v>14.8</v>
      </c>
      <c r="J3199" s="56" t="n">
        <v>0</v>
      </c>
      <c r="K3199" s="56" t="n">
        <v>1012.8</v>
      </c>
      <c r="L3199" s="56" t="n">
        <v>0</v>
      </c>
      <c r="M3199" s="56" t="n">
        <v>92</v>
      </c>
      <c r="N3199" s="56" t="n">
        <v>0</v>
      </c>
      <c r="O3199" s="56" t="n">
        <f aca="false">IF(D3199=1,"",E3198)</f>
        <v>17.2</v>
      </c>
      <c r="P3199" s="56" t="n">
        <f aca="false">IF(OR(D3199=1,K3198=""),"",K3198)</f>
        <v>1014.2</v>
      </c>
      <c r="Q3199" s="56" t="n">
        <f aca="false">IF(OR(F3199&lt;&gt;0,AND(I3199&lt;&gt;"",E3199&lt;I3199)),1,0)</f>
        <v>0</v>
      </c>
      <c r="R3199" s="56" t="n">
        <f aca="false">IF(AND(D3199&gt;1,Q3199=0,ISNUMBER(O3199),ISNUMBER(P3199)),IF(Q3198=0,1,0),0)</f>
        <v>1</v>
      </c>
      <c r="S3199" s="56" t="n">
        <f aca="false">R3199*(B3199&gt;=Train_Start)*(B3199&lt;=Train_End)</f>
        <v>0</v>
      </c>
      <c r="T3199" s="84" t="n">
        <f aca="false">IF(AND(ISNUMBER(O3199),ISNUMBER(P3199)),Coef_A+Coef_B1*O3199+Coef_B2*P3199,"")</f>
        <v>17.9949566801215</v>
      </c>
      <c r="U3199" s="84" t="n">
        <f aca="false">IF(AND(R3199=1,ISNUMBER(T3199)),E3199-T3199,"")</f>
        <v>0.905043319878548</v>
      </c>
      <c r="V3199" s="84" t="n">
        <f aca="false">IF(ISNUMBER(T3199),T3199,-99)</f>
        <v>17.9949566801215</v>
      </c>
      <c r="W3199" s="84" t="n">
        <f aca="false">IF(ISNUMBER(U3199),ABS(U3199),"")</f>
        <v>0.905043319878548</v>
      </c>
    </row>
    <row r="3200" customFormat="false" ht="15" hidden="false" customHeight="false" outlineLevel="0" collapsed="false">
      <c r="A3200" s="57" t="n">
        <v>36419</v>
      </c>
      <c r="B3200" s="56" t="n">
        <v>1999</v>
      </c>
      <c r="C3200" s="56" t="n">
        <v>9</v>
      </c>
      <c r="D3200" s="56" t="n">
        <v>139</v>
      </c>
      <c r="E3200" s="56" t="n">
        <v>20.1</v>
      </c>
      <c r="F3200" s="56" t="n">
        <v>0</v>
      </c>
      <c r="G3200" s="56" t="n">
        <v>10.4</v>
      </c>
      <c r="H3200" s="56" t="n">
        <v>0</v>
      </c>
      <c r="I3200" s="56" t="n">
        <v>14.6</v>
      </c>
      <c r="J3200" s="56" t="n">
        <v>0</v>
      </c>
      <c r="K3200" s="56" t="n">
        <v>1007.4</v>
      </c>
      <c r="L3200" s="56" t="n">
        <v>0</v>
      </c>
      <c r="M3200" s="56" t="n">
        <v>83</v>
      </c>
      <c r="N3200" s="56" t="n">
        <v>2.4</v>
      </c>
      <c r="O3200" s="56" t="n">
        <f aca="false">IF(D3200=1,"",E3199)</f>
        <v>18.9</v>
      </c>
      <c r="P3200" s="56" t="n">
        <f aca="false">IF(OR(D3200=1,K3199=""),"",K3199)</f>
        <v>1012.8</v>
      </c>
      <c r="Q3200" s="56" t="n">
        <f aca="false">IF(OR(F3200&lt;&gt;0,AND(I3200&lt;&gt;"",E3200&lt;I3200)),1,0)</f>
        <v>0</v>
      </c>
      <c r="R3200" s="56" t="n">
        <f aca="false">IF(AND(D3200&gt;1,Q3200=0,ISNUMBER(O3200),ISNUMBER(P3200)),IF(Q3199=0,1,0),0)</f>
        <v>1</v>
      </c>
      <c r="S3200" s="56" t="n">
        <f aca="false">R3200*(B3200&gt;=Train_Start)*(B3200&lt;=Train_End)</f>
        <v>0</v>
      </c>
      <c r="T3200" s="84" t="n">
        <f aca="false">IF(AND(ISNUMBER(O3200),ISNUMBER(P3200)),Coef_A+Coef_B1*O3200+Coef_B2*P3200,"")</f>
        <v>19.3439154558064</v>
      </c>
      <c r="U3200" s="84" t="n">
        <f aca="false">IF(AND(R3200=1,ISNUMBER(T3200)),E3200-T3200,"")</f>
        <v>0.75608454419362</v>
      </c>
      <c r="V3200" s="84" t="n">
        <f aca="false">IF(ISNUMBER(T3200),T3200,-99)</f>
        <v>19.3439154558064</v>
      </c>
      <c r="W3200" s="84" t="n">
        <f aca="false">IF(ISNUMBER(U3200),ABS(U3200),"")</f>
        <v>0.75608454419362</v>
      </c>
    </row>
    <row r="3201" customFormat="false" ht="15" hidden="false" customHeight="false" outlineLevel="0" collapsed="false">
      <c r="A3201" s="57" t="n">
        <v>36420</v>
      </c>
      <c r="B3201" s="56" t="n">
        <v>1999</v>
      </c>
      <c r="C3201" s="56" t="n">
        <v>9</v>
      </c>
      <c r="D3201" s="56" t="n">
        <v>140</v>
      </c>
      <c r="E3201" s="56" t="n">
        <v>19</v>
      </c>
      <c r="F3201" s="56" t="n">
        <v>0</v>
      </c>
      <c r="G3201" s="56" t="n">
        <v>9.6</v>
      </c>
      <c r="H3201" s="56" t="n">
        <v>0</v>
      </c>
      <c r="I3201" s="56" t="n">
        <v>14.8</v>
      </c>
      <c r="J3201" s="56" t="n">
        <v>0</v>
      </c>
      <c r="K3201" s="56" t="n">
        <v>1006.1</v>
      </c>
      <c r="L3201" s="56" t="n">
        <v>0</v>
      </c>
      <c r="M3201" s="56" t="n">
        <v>76</v>
      </c>
      <c r="N3201" s="56" t="n">
        <v>8.8</v>
      </c>
      <c r="O3201" s="56" t="n">
        <f aca="false">IF(D3201=1,"",E3200)</f>
        <v>20.1</v>
      </c>
      <c r="P3201" s="56" t="n">
        <f aca="false">IF(OR(D3201=1,K3200=""),"",K3200)</f>
        <v>1007.4</v>
      </c>
      <c r="Q3201" s="56" t="n">
        <f aca="false">IF(OR(F3201&lt;&gt;0,AND(I3201&lt;&gt;"",E3201&lt;I3201)),1,0)</f>
        <v>0</v>
      </c>
      <c r="R3201" s="56" t="n">
        <f aca="false">IF(AND(D3201&gt;1,Q3201=0,ISNUMBER(O3201),ISNUMBER(P3201)),IF(Q3200=0,1,0),0)</f>
        <v>1</v>
      </c>
      <c r="S3201" s="56" t="n">
        <f aca="false">R3201*(B3201&gt;=Train_Start)*(B3201&lt;=Train_End)</f>
        <v>0</v>
      </c>
      <c r="T3201" s="84" t="n">
        <f aca="false">IF(AND(ISNUMBER(O3201),ISNUMBER(P3201)),Coef_A+Coef_B1*O3201+Coef_B2*P3201,"")</f>
        <v>20.157725056434</v>
      </c>
      <c r="U3201" s="84" t="n">
        <f aca="false">IF(AND(R3201=1,ISNUMBER(T3201)),E3201-T3201,"")</f>
        <v>-1.15772505643403</v>
      </c>
      <c r="V3201" s="84" t="n">
        <f aca="false">IF(ISNUMBER(T3201),T3201,-99)</f>
        <v>20.157725056434</v>
      </c>
      <c r="W3201" s="84" t="n">
        <f aca="false">IF(ISNUMBER(U3201),ABS(U3201),"")</f>
        <v>1.15772505643403</v>
      </c>
    </row>
    <row r="3202" customFormat="false" ht="15" hidden="false" customHeight="false" outlineLevel="0" collapsed="false">
      <c r="A3202" s="57" t="n">
        <v>36421</v>
      </c>
      <c r="B3202" s="56" t="n">
        <v>1999</v>
      </c>
      <c r="C3202" s="56" t="n">
        <v>9</v>
      </c>
      <c r="D3202" s="56" t="n">
        <v>141</v>
      </c>
      <c r="E3202" s="56" t="n">
        <v>18.8</v>
      </c>
      <c r="F3202" s="56" t="n">
        <v>0</v>
      </c>
      <c r="G3202" s="56" t="n">
        <v>11.3</v>
      </c>
      <c r="H3202" s="56" t="n">
        <v>0</v>
      </c>
      <c r="I3202" s="56" t="n">
        <v>15.2</v>
      </c>
      <c r="J3202" s="56" t="n">
        <v>0</v>
      </c>
      <c r="K3202" s="56" t="n">
        <v>1002.2</v>
      </c>
      <c r="L3202" s="56" t="n">
        <v>0</v>
      </c>
      <c r="M3202" s="56" t="n">
        <v>82</v>
      </c>
      <c r="N3202" s="56" t="n">
        <v>3.5</v>
      </c>
      <c r="O3202" s="56" t="n">
        <f aca="false">IF(D3202=1,"",E3201)</f>
        <v>19</v>
      </c>
      <c r="P3202" s="56" t="n">
        <f aca="false">IF(OR(D3202=1,K3201=""),"",K3201)</f>
        <v>1006.1</v>
      </c>
      <c r="Q3202" s="56" t="n">
        <f aca="false">IF(OR(F3202&lt;&gt;0,AND(I3202&lt;&gt;"",E3202&lt;I3202)),1,0)</f>
        <v>0</v>
      </c>
      <c r="R3202" s="56" t="n">
        <f aca="false">IF(AND(D3202&gt;1,Q3202=0,ISNUMBER(O3202),ISNUMBER(P3202)),IF(Q3201=0,1,0),0)</f>
        <v>1</v>
      </c>
      <c r="S3202" s="56" t="n">
        <f aca="false">R3202*(B3202&gt;=Train_Start)*(B3202&lt;=Train_End)</f>
        <v>0</v>
      </c>
      <c r="T3202" s="84" t="n">
        <f aca="false">IF(AND(ISNUMBER(O3202),ISNUMBER(P3202)),Coef_A+Coef_B1*O3202+Coef_B2*P3202,"")</f>
        <v>19.2156710810629</v>
      </c>
      <c r="U3202" s="84" t="n">
        <f aca="false">IF(AND(R3202=1,ISNUMBER(T3202)),E3202-T3202,"")</f>
        <v>-0.415671081062921</v>
      </c>
      <c r="V3202" s="84" t="n">
        <f aca="false">IF(ISNUMBER(T3202),T3202,-99)</f>
        <v>19.2156710810629</v>
      </c>
      <c r="W3202" s="84" t="n">
        <f aca="false">IF(ISNUMBER(U3202),ABS(U3202),"")</f>
        <v>0.415671081062921</v>
      </c>
    </row>
    <row r="3203" customFormat="false" ht="15" hidden="false" customHeight="false" outlineLevel="0" collapsed="false">
      <c r="A3203" s="57" t="n">
        <v>36422</v>
      </c>
      <c r="B3203" s="56" t="n">
        <v>1999</v>
      </c>
      <c r="C3203" s="56" t="n">
        <v>9</v>
      </c>
      <c r="D3203" s="56" t="n">
        <v>142</v>
      </c>
      <c r="E3203" s="56" t="n">
        <v>16.7</v>
      </c>
      <c r="F3203" s="56" t="n">
        <v>1</v>
      </c>
      <c r="G3203" s="56" t="n">
        <v>14.9</v>
      </c>
      <c r="H3203" s="56" t="n">
        <v>0</v>
      </c>
      <c r="I3203" s="56" t="n">
        <v>16.8</v>
      </c>
      <c r="J3203" s="56" t="n">
        <v>1</v>
      </c>
      <c r="K3203" s="56" t="n">
        <v>994.1</v>
      </c>
      <c r="L3203" s="56" t="n">
        <v>0</v>
      </c>
      <c r="M3203" s="56" t="n">
        <v>84</v>
      </c>
      <c r="N3203" s="56" t="n">
        <v>0</v>
      </c>
      <c r="O3203" s="56" t="n">
        <f aca="false">IF(D3203=1,"",E3202)</f>
        <v>18.8</v>
      </c>
      <c r="P3203" s="56" t="n">
        <f aca="false">IF(OR(D3203=1,K3202=""),"",K3202)</f>
        <v>1002.2</v>
      </c>
      <c r="Q3203" s="56" t="n">
        <f aca="false">IF(OR(F3203&lt;&gt;0,AND(I3203&lt;&gt;"",E3203&lt;I3203)),1,0)</f>
        <v>1</v>
      </c>
      <c r="R3203" s="56" t="n">
        <f aca="false">IF(AND(D3203&gt;1,Q3203=0,ISNUMBER(O3203),ISNUMBER(P3203)),IF(Q3202=0,1,0),0)</f>
        <v>0</v>
      </c>
      <c r="S3203" s="56" t="n">
        <f aca="false">R3203*(B3203&gt;=Train_Start)*(B3203&lt;=Train_End)</f>
        <v>0</v>
      </c>
      <c r="T3203" s="84" t="n">
        <f aca="false">IF(AND(ISNUMBER(O3203),ISNUMBER(P3203)),Coef_A+Coef_B1*O3203+Coef_B2*P3203,"")</f>
        <v>18.9294606533818</v>
      </c>
      <c r="U3203" s="84" t="str">
        <f aca="false">IF(AND(R3203=1,ISNUMBER(T3203)),E3203-T3203,"")</f>
        <v/>
      </c>
      <c r="V3203" s="84" t="n">
        <f aca="false">IF(ISNUMBER(T3203),T3203,-99)</f>
        <v>18.9294606533818</v>
      </c>
      <c r="W3203" s="84" t="str">
        <f aca="false">IF(ISNUMBER(U3203),ABS(U3203),"")</f>
        <v/>
      </c>
    </row>
    <row r="3204" customFormat="false" ht="15" hidden="false" customHeight="false" outlineLevel="0" collapsed="false">
      <c r="A3204" s="57" t="n">
        <v>36423</v>
      </c>
      <c r="B3204" s="56" t="n">
        <v>1999</v>
      </c>
      <c r="C3204" s="56" t="n">
        <v>9</v>
      </c>
      <c r="D3204" s="56" t="n">
        <v>143</v>
      </c>
      <c r="E3204" s="56" t="n">
        <v>20.5</v>
      </c>
      <c r="F3204" s="56" t="n">
        <v>0</v>
      </c>
      <c r="G3204" s="56" t="n">
        <v>14.6</v>
      </c>
      <c r="H3204" s="56" t="n">
        <v>0</v>
      </c>
      <c r="I3204" s="56" t="n">
        <v>15.6</v>
      </c>
      <c r="J3204" s="56" t="n">
        <v>0</v>
      </c>
      <c r="K3204" s="56" t="n">
        <v>989</v>
      </c>
      <c r="L3204" s="56" t="n">
        <v>0</v>
      </c>
      <c r="M3204" s="56" t="n">
        <v>92</v>
      </c>
      <c r="N3204" s="56" t="n">
        <v>0.1</v>
      </c>
      <c r="O3204" s="56" t="n">
        <f aca="false">IF(D3204=1,"",E3203)</f>
        <v>16.7</v>
      </c>
      <c r="P3204" s="56" t="n">
        <f aca="false">IF(OR(D3204=1,K3203=""),"",K3203)</f>
        <v>994.1</v>
      </c>
      <c r="Q3204" s="56" t="n">
        <f aca="false">IF(OR(F3204&lt;&gt;0,AND(I3204&lt;&gt;"",E3204&lt;I3204)),1,0)</f>
        <v>0</v>
      </c>
      <c r="R3204" s="56" t="n">
        <f aca="false">IF(AND(D3204&gt;1,Q3204=0,ISNUMBER(O3204),ISNUMBER(P3204)),IF(Q3203=0,1,0),0)</f>
        <v>0</v>
      </c>
      <c r="S3204" s="56" t="n">
        <f aca="false">R3204*(B3204&gt;=Train_Start)*(B3204&lt;=Train_End)</f>
        <v>0</v>
      </c>
      <c r="T3204" s="84" t="n">
        <f aca="false">IF(AND(ISNUMBER(O3204),ISNUMBER(P3204)),Coef_A+Coef_B1*O3204+Coef_B2*P3204,"")</f>
        <v>16.9547522014569</v>
      </c>
      <c r="U3204" s="84" t="str">
        <f aca="false">IF(AND(R3204=1,ISNUMBER(T3204)),E3204-T3204,"")</f>
        <v/>
      </c>
      <c r="V3204" s="84" t="n">
        <f aca="false">IF(ISNUMBER(T3204),T3204,-99)</f>
        <v>16.9547522014569</v>
      </c>
      <c r="W3204" s="84" t="str">
        <f aca="false">IF(ISNUMBER(U3204),ABS(U3204),"")</f>
        <v/>
      </c>
    </row>
    <row r="3205" customFormat="false" ht="15" hidden="false" customHeight="false" outlineLevel="0" collapsed="false">
      <c r="A3205" s="57" t="n">
        <v>36424</v>
      </c>
      <c r="B3205" s="56" t="n">
        <v>1999</v>
      </c>
      <c r="C3205" s="56" t="n">
        <v>9</v>
      </c>
      <c r="D3205" s="56" t="n">
        <v>144</v>
      </c>
      <c r="E3205" s="56" t="n">
        <v>21</v>
      </c>
      <c r="F3205" s="56" t="n">
        <v>0</v>
      </c>
      <c r="G3205" s="56" t="n">
        <v>12.3</v>
      </c>
      <c r="H3205" s="56" t="n">
        <v>0</v>
      </c>
      <c r="I3205" s="56" t="n">
        <v>16.4</v>
      </c>
      <c r="J3205" s="56" t="n">
        <v>0</v>
      </c>
      <c r="K3205" s="56" t="n">
        <v>995.4</v>
      </c>
      <c r="L3205" s="56" t="n">
        <v>0</v>
      </c>
      <c r="M3205" s="56" t="n">
        <v>83</v>
      </c>
      <c r="N3205" s="56" t="n">
        <v>7.6</v>
      </c>
      <c r="O3205" s="56" t="n">
        <f aca="false">IF(D3205=1,"",E3204)</f>
        <v>20.5</v>
      </c>
      <c r="P3205" s="56" t="n">
        <f aca="false">IF(OR(D3205=1,K3204=""),"",K3204)</f>
        <v>989</v>
      </c>
      <c r="Q3205" s="56" t="n">
        <f aca="false">IF(OR(F3205&lt;&gt;0,AND(I3205&lt;&gt;"",E3205&lt;I3205)),1,0)</f>
        <v>0</v>
      </c>
      <c r="R3205" s="56" t="n">
        <f aca="false">IF(AND(D3205&gt;1,Q3205=0,ISNUMBER(O3205),ISNUMBER(P3205)),IF(Q3204=0,1,0),0)</f>
        <v>1</v>
      </c>
      <c r="S3205" s="56" t="n">
        <f aca="false">R3205*(B3205&gt;=Train_Start)*(B3205&lt;=Train_End)</f>
        <v>0</v>
      </c>
      <c r="T3205" s="84" t="n">
        <f aca="false">IF(AND(ISNUMBER(O3205),ISNUMBER(P3205)),Coef_A+Coef_B1*O3205+Coef_B2*P3205,"")</f>
        <v>19.9082546723857</v>
      </c>
      <c r="U3205" s="84" t="n">
        <f aca="false">IF(AND(R3205=1,ISNUMBER(T3205)),E3205-T3205,"")</f>
        <v>1.09174532761431</v>
      </c>
      <c r="V3205" s="84" t="n">
        <f aca="false">IF(ISNUMBER(T3205),T3205,-99)</f>
        <v>19.9082546723857</v>
      </c>
      <c r="W3205" s="84" t="n">
        <f aca="false">IF(ISNUMBER(U3205),ABS(U3205),"")</f>
        <v>1.09174532761431</v>
      </c>
    </row>
    <row r="3206" customFormat="false" ht="15" hidden="false" customHeight="false" outlineLevel="0" collapsed="false">
      <c r="A3206" s="57" t="n">
        <v>36425</v>
      </c>
      <c r="B3206" s="56" t="n">
        <v>1999</v>
      </c>
      <c r="C3206" s="56" t="n">
        <v>9</v>
      </c>
      <c r="D3206" s="56" t="n">
        <v>145</v>
      </c>
      <c r="E3206" s="56" t="n">
        <v>20</v>
      </c>
      <c r="F3206" s="56" t="n">
        <v>0</v>
      </c>
      <c r="G3206" s="56" t="n">
        <v>13.4</v>
      </c>
      <c r="H3206" s="56" t="n">
        <v>0</v>
      </c>
      <c r="I3206" s="56" t="n">
        <v>17.2</v>
      </c>
      <c r="J3206" s="56" t="n">
        <v>0</v>
      </c>
      <c r="K3206" s="56" t="n">
        <v>1000</v>
      </c>
      <c r="L3206" s="56" t="n">
        <v>0</v>
      </c>
      <c r="M3206" s="56" t="n">
        <v>89</v>
      </c>
      <c r="N3206" s="56" t="n">
        <v>2.4</v>
      </c>
      <c r="O3206" s="56" t="n">
        <f aca="false">IF(D3206=1,"",E3205)</f>
        <v>21</v>
      </c>
      <c r="P3206" s="56" t="n">
        <f aca="false">IF(OR(D3206=1,K3205=""),"",K3205)</f>
        <v>995.4</v>
      </c>
      <c r="Q3206" s="56" t="n">
        <f aca="false">IF(OR(F3206&lt;&gt;0,AND(I3206&lt;&gt;"",E3206&lt;I3206)),1,0)</f>
        <v>0</v>
      </c>
      <c r="R3206" s="56" t="n">
        <f aca="false">IF(AND(D3206&gt;1,Q3206=0,ISNUMBER(O3206),ISNUMBER(P3206)),IF(Q3205=0,1,0),0)</f>
        <v>1</v>
      </c>
      <c r="S3206" s="56" t="n">
        <f aca="false">R3206*(B3206&gt;=Train_Start)*(B3206&lt;=Train_End)</f>
        <v>0</v>
      </c>
      <c r="T3206" s="84" t="n">
        <f aca="false">IF(AND(ISNUMBER(O3206),ISNUMBER(P3206)),Coef_A+Coef_B1*O3206+Coef_B2*P3206,"")</f>
        <v>20.5186915945645</v>
      </c>
      <c r="U3206" s="84" t="n">
        <f aca="false">IF(AND(R3206=1,ISNUMBER(T3206)),E3206-T3206,"")</f>
        <v>-0.518691594564547</v>
      </c>
      <c r="V3206" s="84" t="n">
        <f aca="false">IF(ISNUMBER(T3206),T3206,-99)</f>
        <v>20.5186915945645</v>
      </c>
      <c r="W3206" s="84" t="n">
        <f aca="false">IF(ISNUMBER(U3206),ABS(U3206),"")</f>
        <v>0.518691594564547</v>
      </c>
    </row>
    <row r="3207" customFormat="false" ht="15" hidden="false" customHeight="false" outlineLevel="0" collapsed="false">
      <c r="A3207" s="57" t="n">
        <v>36426</v>
      </c>
      <c r="B3207" s="56" t="n">
        <v>1999</v>
      </c>
      <c r="C3207" s="56" t="n">
        <v>9</v>
      </c>
      <c r="D3207" s="56" t="n">
        <v>146</v>
      </c>
      <c r="E3207" s="56" t="n">
        <v>20</v>
      </c>
      <c r="F3207" s="56" t="n">
        <v>0</v>
      </c>
      <c r="G3207" s="56" t="n">
        <v>13.9</v>
      </c>
      <c r="H3207" s="56" t="n">
        <v>0</v>
      </c>
      <c r="I3207" s="56" t="n">
        <v>17</v>
      </c>
      <c r="J3207" s="56" t="n">
        <v>0</v>
      </c>
      <c r="K3207" s="56" t="n">
        <v>1003.3</v>
      </c>
      <c r="L3207" s="56" t="n">
        <v>0</v>
      </c>
      <c r="M3207" s="56" t="n">
        <v>85</v>
      </c>
      <c r="N3207" s="56" t="n">
        <v>5.4</v>
      </c>
      <c r="O3207" s="56" t="n">
        <f aca="false">IF(D3207=1,"",E3206)</f>
        <v>20</v>
      </c>
      <c r="P3207" s="56" t="n">
        <f aca="false">IF(OR(D3207=1,K3206=""),"",K3206)</f>
        <v>1000</v>
      </c>
      <c r="Q3207" s="56" t="n">
        <f aca="false">IF(OR(F3207&lt;&gt;0,AND(I3207&lt;&gt;"",E3207&lt;I3207)),1,0)</f>
        <v>0</v>
      </c>
      <c r="R3207" s="56" t="n">
        <f aca="false">IF(AND(D3207&gt;1,Q3207=0,ISNUMBER(O3207),ISNUMBER(P3207)),IF(Q3206=0,1,0),0)</f>
        <v>1</v>
      </c>
      <c r="S3207" s="56" t="n">
        <f aca="false">R3207*(B3207&gt;=Train_Start)*(B3207&lt;=Train_End)</f>
        <v>0</v>
      </c>
      <c r="T3207" s="84" t="n">
        <f aca="false">IF(AND(ISNUMBER(O3207),ISNUMBER(P3207)),Coef_A+Coef_B1*O3207+Coef_B2*P3207,"")</f>
        <v>19.8436539168382</v>
      </c>
      <c r="U3207" s="84" t="n">
        <f aca="false">IF(AND(R3207=1,ISNUMBER(T3207)),E3207-T3207,"")</f>
        <v>0.156346083161761</v>
      </c>
      <c r="V3207" s="84" t="n">
        <f aca="false">IF(ISNUMBER(T3207),T3207,-99)</f>
        <v>19.8436539168382</v>
      </c>
      <c r="W3207" s="84" t="n">
        <f aca="false">IF(ISNUMBER(U3207),ABS(U3207),"")</f>
        <v>0.156346083161761</v>
      </c>
    </row>
    <row r="3208" customFormat="false" ht="15" hidden="false" customHeight="false" outlineLevel="0" collapsed="false">
      <c r="A3208" s="57" t="n">
        <v>36427</v>
      </c>
      <c r="B3208" s="56" t="n">
        <v>1999</v>
      </c>
      <c r="C3208" s="56" t="n">
        <v>9</v>
      </c>
      <c r="D3208" s="56" t="n">
        <v>147</v>
      </c>
      <c r="E3208" s="56" t="n">
        <v>19.9</v>
      </c>
      <c r="F3208" s="56" t="n">
        <v>0</v>
      </c>
      <c r="G3208" s="56" t="n">
        <v>15</v>
      </c>
      <c r="H3208" s="56" t="n">
        <v>0</v>
      </c>
      <c r="I3208" s="56" t="n">
        <v>17.5</v>
      </c>
      <c r="J3208" s="56" t="n">
        <v>0</v>
      </c>
      <c r="K3208" s="56" t="n">
        <v>1008.4</v>
      </c>
      <c r="L3208" s="56" t="n">
        <v>0</v>
      </c>
      <c r="M3208" s="56" t="n">
        <v>84</v>
      </c>
      <c r="N3208" s="56" t="n">
        <v>4</v>
      </c>
      <c r="O3208" s="56" t="n">
        <f aca="false">IF(D3208=1,"",E3207)</f>
        <v>20</v>
      </c>
      <c r="P3208" s="56" t="n">
        <f aca="false">IF(OR(D3208=1,K3207=""),"",K3207)</f>
        <v>1003.3</v>
      </c>
      <c r="Q3208" s="56" t="n">
        <f aca="false">IF(OR(F3208&lt;&gt;0,AND(I3208&lt;&gt;"",E3208&lt;I3208)),1,0)</f>
        <v>0</v>
      </c>
      <c r="R3208" s="56" t="n">
        <f aca="false">IF(AND(D3208&gt;1,Q3208=0,ISNUMBER(O3208),ISNUMBER(P3208)),IF(Q3207=0,1,0),0)</f>
        <v>1</v>
      </c>
      <c r="S3208" s="56" t="n">
        <f aca="false">R3208*(B3208&gt;=Train_Start)*(B3208&lt;=Train_End)</f>
        <v>0</v>
      </c>
      <c r="T3208" s="84" t="n">
        <f aca="false">IF(AND(ISNUMBER(O3208),ISNUMBER(P3208)),Coef_A+Coef_B1*O3208+Coef_B2*P3208,"")</f>
        <v>19.9471745691304</v>
      </c>
      <c r="U3208" s="84" t="n">
        <f aca="false">IF(AND(R3208=1,ISNUMBER(T3208)),E3208-T3208,"")</f>
        <v>-0.0471745691304051</v>
      </c>
      <c r="V3208" s="84" t="n">
        <f aca="false">IF(ISNUMBER(T3208),T3208,-99)</f>
        <v>19.9471745691304</v>
      </c>
      <c r="W3208" s="84" t="n">
        <f aca="false">IF(ISNUMBER(U3208),ABS(U3208),"")</f>
        <v>0.0471745691304051</v>
      </c>
    </row>
    <row r="3209" customFormat="false" ht="15" hidden="false" customHeight="false" outlineLevel="0" collapsed="false">
      <c r="A3209" s="57" t="n">
        <v>36428</v>
      </c>
      <c r="B3209" s="56" t="n">
        <v>1999</v>
      </c>
      <c r="C3209" s="56" t="n">
        <v>9</v>
      </c>
      <c r="D3209" s="56" t="n">
        <v>148</v>
      </c>
      <c r="E3209" s="56" t="n">
        <v>17.9</v>
      </c>
      <c r="F3209" s="56" t="n">
        <v>0</v>
      </c>
      <c r="G3209" s="56" t="n">
        <v>13.8</v>
      </c>
      <c r="H3209" s="56" t="n">
        <v>0</v>
      </c>
      <c r="I3209" s="56" t="n">
        <v>16.8</v>
      </c>
      <c r="J3209" s="56" t="n">
        <v>0</v>
      </c>
      <c r="K3209" s="56" t="n">
        <v>1005.9</v>
      </c>
      <c r="L3209" s="56" t="n">
        <v>0</v>
      </c>
      <c r="M3209" s="56" t="n">
        <v>85</v>
      </c>
      <c r="N3209" s="56" t="n">
        <v>4.9</v>
      </c>
      <c r="O3209" s="56" t="n">
        <f aca="false">IF(D3209=1,"",E3208)</f>
        <v>19.9</v>
      </c>
      <c r="P3209" s="56" t="n">
        <f aca="false">IF(OR(D3209=1,K3208=""),"",K3208)</f>
        <v>1008.4</v>
      </c>
      <c r="Q3209" s="56" t="n">
        <f aca="false">IF(OR(F3209&lt;&gt;0,AND(I3209&lt;&gt;"",E3209&lt;I3209)),1,0)</f>
        <v>0</v>
      </c>
      <c r="R3209" s="56" t="n">
        <f aca="false">IF(AND(D3209&gt;1,Q3209=0,ISNUMBER(O3209),ISNUMBER(P3209)),IF(Q3208=0,1,0),0)</f>
        <v>1</v>
      </c>
      <c r="S3209" s="56" t="n">
        <f aca="false">R3209*(B3209&gt;=Train_Start)*(B3209&lt;=Train_End)</f>
        <v>0</v>
      </c>
      <c r="T3209" s="84" t="n">
        <f aca="false">IF(AND(ISNUMBER(O3209),ISNUMBER(P3209)),Coef_A+Coef_B1*O3209+Coef_B2*P3209,"")</f>
        <v>20.0252271124595</v>
      </c>
      <c r="U3209" s="84" t="n">
        <f aca="false">IF(AND(R3209=1,ISNUMBER(T3209)),E3209-T3209,"")</f>
        <v>-2.12522711245949</v>
      </c>
      <c r="V3209" s="84" t="n">
        <f aca="false">IF(ISNUMBER(T3209),T3209,-99)</f>
        <v>20.0252271124595</v>
      </c>
      <c r="W3209" s="84" t="n">
        <f aca="false">IF(ISNUMBER(U3209),ABS(U3209),"")</f>
        <v>2.12522711245949</v>
      </c>
    </row>
    <row r="3210" customFormat="false" ht="15" hidden="false" customHeight="false" outlineLevel="0" collapsed="false">
      <c r="A3210" s="57" t="n">
        <v>36429</v>
      </c>
      <c r="B3210" s="56" t="n">
        <v>1999</v>
      </c>
      <c r="C3210" s="56" t="n">
        <v>9</v>
      </c>
      <c r="D3210" s="56" t="n">
        <v>149</v>
      </c>
      <c r="E3210" s="56" t="n">
        <v>18.8</v>
      </c>
      <c r="F3210" s="56" t="n">
        <v>0</v>
      </c>
      <c r="G3210" s="56" t="n">
        <v>11.6</v>
      </c>
      <c r="H3210" s="56" t="n">
        <v>0</v>
      </c>
      <c r="I3210" s="56" t="n">
        <v>14.8</v>
      </c>
      <c r="J3210" s="56" t="n">
        <v>0</v>
      </c>
      <c r="K3210" s="56" t="n">
        <v>1003</v>
      </c>
      <c r="L3210" s="56" t="n">
        <v>0</v>
      </c>
      <c r="M3210" s="56" t="n">
        <v>87</v>
      </c>
      <c r="N3210" s="56" t="n">
        <v>4.8</v>
      </c>
      <c r="O3210" s="56" t="n">
        <f aca="false">IF(D3210=1,"",E3209)</f>
        <v>17.9</v>
      </c>
      <c r="P3210" s="56" t="n">
        <f aca="false">IF(OR(D3210=1,K3209=""),"",K3209)</f>
        <v>1005.9</v>
      </c>
      <c r="Q3210" s="56" t="n">
        <f aca="false">IF(OR(F3210&lt;&gt;0,AND(I3210&lt;&gt;"",E3210&lt;I3210)),1,0)</f>
        <v>0</v>
      </c>
      <c r="R3210" s="56" t="n">
        <f aca="false">IF(AND(D3210&gt;1,Q3210=0,ISNUMBER(O3210),ISNUMBER(P3210)),IF(Q3209=0,1,0),0)</f>
        <v>1</v>
      </c>
      <c r="S3210" s="56" t="n">
        <f aca="false">R3210*(B3210&gt;=Train_Start)*(B3210&lt;=Train_End)</f>
        <v>0</v>
      </c>
      <c r="T3210" s="84" t="n">
        <f aca="false">IF(AND(ISNUMBER(O3210),ISNUMBER(P3210)),Coef_A+Coef_B1*O3210+Coef_B2*P3210,"")</f>
        <v>18.3081239897892</v>
      </c>
      <c r="U3210" s="84" t="n">
        <f aca="false">IF(AND(R3210=1,ISNUMBER(T3210)),E3210-T3210,"")</f>
        <v>0.491876010210806</v>
      </c>
      <c r="V3210" s="84" t="n">
        <f aca="false">IF(ISNUMBER(T3210),T3210,-99)</f>
        <v>18.3081239897892</v>
      </c>
      <c r="W3210" s="84" t="n">
        <f aca="false">IF(ISNUMBER(U3210),ABS(U3210),"")</f>
        <v>0.491876010210806</v>
      </c>
    </row>
    <row r="3211" customFormat="false" ht="15" hidden="false" customHeight="false" outlineLevel="0" collapsed="false">
      <c r="A3211" s="57" t="n">
        <v>36430</v>
      </c>
      <c r="B3211" s="56" t="n">
        <v>1999</v>
      </c>
      <c r="C3211" s="56" t="n">
        <v>9</v>
      </c>
      <c r="D3211" s="56" t="n">
        <v>150</v>
      </c>
      <c r="E3211" s="56" t="n">
        <v>18</v>
      </c>
      <c r="F3211" s="56" t="n">
        <v>0</v>
      </c>
      <c r="G3211" s="56" t="n">
        <v>13</v>
      </c>
      <c r="H3211" s="56" t="n">
        <v>0</v>
      </c>
      <c r="I3211" s="56" t="n">
        <v>15.9</v>
      </c>
      <c r="J3211" s="56" t="n">
        <v>0</v>
      </c>
      <c r="K3211" s="56" t="n">
        <v>997.1</v>
      </c>
      <c r="L3211" s="56" t="n">
        <v>0</v>
      </c>
      <c r="M3211" s="56" t="n">
        <v>86</v>
      </c>
      <c r="N3211" s="56" t="n">
        <v>2.8</v>
      </c>
      <c r="O3211" s="56" t="n">
        <f aca="false">IF(D3211=1,"",E3210)</f>
        <v>18.8</v>
      </c>
      <c r="P3211" s="56" t="n">
        <f aca="false">IF(OR(D3211=1,K3210=""),"",K3210)</f>
        <v>1003</v>
      </c>
      <c r="Q3211" s="56" t="n">
        <f aca="false">IF(OR(F3211&lt;&gt;0,AND(I3211&lt;&gt;"",E3211&lt;I3211)),1,0)</f>
        <v>0</v>
      </c>
      <c r="R3211" s="56" t="n">
        <f aca="false">IF(AND(D3211&gt;1,Q3211=0,ISNUMBER(O3211),ISNUMBER(P3211)),IF(Q3210=0,1,0),0)</f>
        <v>1</v>
      </c>
      <c r="S3211" s="56" t="n">
        <f aca="false">R3211*(B3211&gt;=Train_Start)*(B3211&lt;=Train_End)</f>
        <v>0</v>
      </c>
      <c r="T3211" s="84" t="n">
        <f aca="false">IF(AND(ISNUMBER(O3211),ISNUMBER(P3211)),Coef_A+Coef_B1*O3211+Coef_B2*P3211,"")</f>
        <v>18.954556569089</v>
      </c>
      <c r="U3211" s="84" t="n">
        <f aca="false">IF(AND(R3211=1,ISNUMBER(T3211)),E3211-T3211,"")</f>
        <v>-0.954556569089021</v>
      </c>
      <c r="V3211" s="84" t="n">
        <f aca="false">IF(ISNUMBER(T3211),T3211,-99)</f>
        <v>18.954556569089</v>
      </c>
      <c r="W3211" s="84" t="n">
        <f aca="false">IF(ISNUMBER(U3211),ABS(U3211),"")</f>
        <v>0.954556569089021</v>
      </c>
    </row>
    <row r="3212" customFormat="false" ht="15" hidden="false" customHeight="false" outlineLevel="0" collapsed="false">
      <c r="A3212" s="57" t="n">
        <v>36431</v>
      </c>
      <c r="B3212" s="56" t="n">
        <v>1999</v>
      </c>
      <c r="C3212" s="56" t="n">
        <v>9</v>
      </c>
      <c r="D3212" s="56" t="n">
        <v>151</v>
      </c>
      <c r="E3212" s="56" t="n">
        <v>18.5</v>
      </c>
      <c r="F3212" s="56" t="n">
        <v>0</v>
      </c>
      <c r="G3212" s="56" t="n">
        <v>11.3</v>
      </c>
      <c r="H3212" s="56" t="n">
        <v>0</v>
      </c>
      <c r="I3212" s="56" t="n">
        <v>14.6</v>
      </c>
      <c r="J3212" s="56" t="n">
        <v>0</v>
      </c>
      <c r="K3212" s="56" t="n">
        <v>1001.4</v>
      </c>
      <c r="L3212" s="56" t="n">
        <v>0</v>
      </c>
      <c r="M3212" s="56" t="n">
        <v>82</v>
      </c>
      <c r="N3212" s="56" t="n">
        <v>5.5</v>
      </c>
      <c r="O3212" s="56" t="n">
        <f aca="false">IF(D3212=1,"",E3211)</f>
        <v>18</v>
      </c>
      <c r="P3212" s="56" t="n">
        <f aca="false">IF(OR(D3212=1,K3211=""),"",K3211)</f>
        <v>997.1</v>
      </c>
      <c r="Q3212" s="56" t="n">
        <f aca="false">IF(OR(F3212&lt;&gt;0,AND(I3212&lt;&gt;"",E3212&lt;I3212)),1,0)</f>
        <v>0</v>
      </c>
      <c r="R3212" s="56" t="n">
        <f aca="false">IF(AND(D3212&gt;1,Q3212=0,ISNUMBER(O3212),ISNUMBER(P3212)),IF(Q3211=0,1,0),0)</f>
        <v>1</v>
      </c>
      <c r="S3212" s="56" t="n">
        <f aca="false">R3212*(B3212&gt;=Train_Start)*(B3212&lt;=Train_End)</f>
        <v>0</v>
      </c>
      <c r="T3212" s="84" t="n">
        <f aca="false">IF(AND(ISNUMBER(O3212),ISNUMBER(P3212)),Coef_A+Coef_B1*O3212+Coef_B2*P3212,"")</f>
        <v>18.1140028363144</v>
      </c>
      <c r="U3212" s="84" t="n">
        <f aca="false">IF(AND(R3212=1,ISNUMBER(T3212)),E3212-T3212,"")</f>
        <v>0.385997163685641</v>
      </c>
      <c r="V3212" s="84" t="n">
        <f aca="false">IF(ISNUMBER(T3212),T3212,-99)</f>
        <v>18.1140028363144</v>
      </c>
      <c r="W3212" s="84" t="n">
        <f aca="false">IF(ISNUMBER(U3212),ABS(U3212),"")</f>
        <v>0.385997163685641</v>
      </c>
    </row>
    <row r="3213" customFormat="false" ht="15" hidden="false" customHeight="false" outlineLevel="0" collapsed="false">
      <c r="A3213" s="57" t="n">
        <v>36432</v>
      </c>
      <c r="B3213" s="56" t="n">
        <v>1999</v>
      </c>
      <c r="C3213" s="56" t="n">
        <v>9</v>
      </c>
      <c r="D3213" s="56" t="n">
        <v>152</v>
      </c>
      <c r="E3213" s="56" t="n">
        <v>18.1</v>
      </c>
      <c r="F3213" s="56" t="n">
        <v>0</v>
      </c>
      <c r="G3213" s="56" t="n">
        <v>13.8</v>
      </c>
      <c r="H3213" s="56" t="n">
        <v>0</v>
      </c>
      <c r="I3213" s="56" t="n">
        <v>16.2</v>
      </c>
      <c r="J3213" s="56" t="n">
        <v>0</v>
      </c>
      <c r="K3213" s="56" t="n">
        <v>996.4</v>
      </c>
      <c r="L3213" s="56" t="n">
        <v>0</v>
      </c>
      <c r="M3213" s="56" t="n">
        <v>84</v>
      </c>
      <c r="N3213" s="56" t="n">
        <v>4.4</v>
      </c>
      <c r="O3213" s="56" t="n">
        <f aca="false">IF(D3213=1,"",E3212)</f>
        <v>18.5</v>
      </c>
      <c r="P3213" s="56" t="n">
        <f aca="false">IF(OR(D3213=1,K3212=""),"",K3212)</f>
        <v>1001.4</v>
      </c>
      <c r="Q3213" s="56" t="n">
        <f aca="false">IF(OR(F3213&lt;&gt;0,AND(I3213&lt;&gt;"",E3213&lt;I3213)),1,0)</f>
        <v>0</v>
      </c>
      <c r="R3213" s="56" t="n">
        <f aca="false">IF(AND(D3213&gt;1,Q3213=0,ISNUMBER(O3213),ISNUMBER(P3213)),IF(Q3212=0,1,0),0)</f>
        <v>1</v>
      </c>
      <c r="S3213" s="56" t="n">
        <f aca="false">R3213*(B3213&gt;=Train_Start)*(B3213&lt;=Train_End)</f>
        <v>0</v>
      </c>
      <c r="T3213" s="84" t="n">
        <f aca="false">IF(AND(ISNUMBER(O3213),ISNUMBER(P3213)),Coef_A+Coef_B1*O3213+Coef_B2*P3213,"")</f>
        <v>18.6585629797618</v>
      </c>
      <c r="U3213" s="84" t="n">
        <f aca="false">IF(AND(R3213=1,ISNUMBER(T3213)),E3213-T3213,"")</f>
        <v>-0.558562979761838</v>
      </c>
      <c r="V3213" s="84" t="n">
        <f aca="false">IF(ISNUMBER(T3213),T3213,-99)</f>
        <v>18.6585629797618</v>
      </c>
      <c r="W3213" s="84" t="n">
        <f aca="false">IF(ISNUMBER(U3213),ABS(U3213),"")</f>
        <v>0.558562979761838</v>
      </c>
    </row>
    <row r="3214" customFormat="false" ht="15" hidden="false" customHeight="false" outlineLevel="0" collapsed="false">
      <c r="A3214" s="57" t="n">
        <v>36433</v>
      </c>
      <c r="B3214" s="56" t="n">
        <v>1999</v>
      </c>
      <c r="C3214" s="56" t="n">
        <v>9</v>
      </c>
      <c r="D3214" s="56" t="n">
        <v>153</v>
      </c>
      <c r="E3214" s="56" t="n">
        <v>17</v>
      </c>
      <c r="F3214" s="56" t="n">
        <v>0</v>
      </c>
      <c r="G3214" s="56" t="n">
        <v>12.7</v>
      </c>
      <c r="H3214" s="56" t="n">
        <v>0</v>
      </c>
      <c r="I3214" s="56" t="n">
        <v>15.4</v>
      </c>
      <c r="J3214" s="56" t="n">
        <v>0</v>
      </c>
      <c r="K3214" s="56" t="n">
        <v>995.4</v>
      </c>
      <c r="L3214" s="56" t="n">
        <v>0</v>
      </c>
      <c r="M3214" s="56" t="n">
        <v>80</v>
      </c>
      <c r="N3214" s="56" t="n">
        <v>4.3</v>
      </c>
      <c r="O3214" s="56" t="n">
        <f aca="false">IF(D3214=1,"",E3213)</f>
        <v>18.1</v>
      </c>
      <c r="P3214" s="56" t="n">
        <f aca="false">IF(OR(D3214=1,K3213=""),"",K3213)</f>
        <v>996.4</v>
      </c>
      <c r="Q3214" s="56" t="n">
        <f aca="false">IF(OR(F3214&lt;&gt;0,AND(I3214&lt;&gt;"",E3214&lt;I3214)),1,0)</f>
        <v>0</v>
      </c>
      <c r="R3214" s="56" t="n">
        <f aca="false">IF(AND(D3214&gt;1,Q3214=0,ISNUMBER(O3214),ISNUMBER(P3214)),IF(Q3213=0,1,0),0)</f>
        <v>1</v>
      </c>
      <c r="S3214" s="56" t="n">
        <f aca="false">R3214*(B3214&gt;=Train_Start)*(B3214&lt;=Train_End)</f>
        <v>0</v>
      </c>
      <c r="T3214" s="84" t="n">
        <f aca="false">IF(AND(ISNUMBER(O3214),ISNUMBER(P3214)),Coef_A+Coef_B1*O3214+Coef_B2*P3214,"")</f>
        <v>18.1739778293748</v>
      </c>
      <c r="U3214" s="84" t="n">
        <f aca="false">IF(AND(R3214=1,ISNUMBER(T3214)),E3214-T3214,"")</f>
        <v>-1.17397782937483</v>
      </c>
      <c r="V3214" s="84" t="n">
        <f aca="false">IF(ISNUMBER(T3214),T3214,-99)</f>
        <v>18.1739778293748</v>
      </c>
      <c r="W3214" s="84" t="n">
        <f aca="false">IF(ISNUMBER(U3214),ABS(U3214),"")</f>
        <v>1.17397782937483</v>
      </c>
    </row>
    <row r="3215" customFormat="false" ht="15" hidden="false" customHeight="false" outlineLevel="0" collapsed="false">
      <c r="A3215" s="57" t="n">
        <v>36647</v>
      </c>
      <c r="B3215" s="56" t="n">
        <v>2000</v>
      </c>
      <c r="C3215" s="56" t="n">
        <v>5</v>
      </c>
      <c r="D3215" s="56" t="n">
        <v>1</v>
      </c>
      <c r="E3215" s="56" t="n">
        <v>14.6</v>
      </c>
      <c r="F3215" s="56" t="n">
        <v>0</v>
      </c>
      <c r="G3215" s="56" t="n">
        <v>7.5</v>
      </c>
      <c r="H3215" s="56" t="n">
        <v>0</v>
      </c>
      <c r="I3215" s="56" t="n">
        <v>12</v>
      </c>
      <c r="J3215" s="56" t="n">
        <v>0</v>
      </c>
      <c r="K3215" s="56" t="n">
        <v>1024.2</v>
      </c>
      <c r="L3215" s="56" t="n">
        <v>0</v>
      </c>
      <c r="M3215" s="56" t="n">
        <v>74</v>
      </c>
      <c r="N3215" s="56" t="n">
        <v>5</v>
      </c>
      <c r="O3215" s="56" t="str">
        <f aca="false">IF(D3215=1,"",E3214)</f>
        <v/>
      </c>
      <c r="P3215" s="56" t="str">
        <f aca="false">IF(OR(D3215=1,K3214=""),"",K3214)</f>
        <v/>
      </c>
      <c r="Q3215" s="56" t="n">
        <f aca="false">IF(OR(F3215&lt;&gt;0,AND(I3215&lt;&gt;"",E3215&lt;I3215)),1,0)</f>
        <v>0</v>
      </c>
      <c r="R3215" s="56" t="n">
        <f aca="false">IF(AND(D3215&gt;1,Q3215=0,ISNUMBER(O3215),ISNUMBER(P3215)),IF(Q3214=0,1,0),0)</f>
        <v>0</v>
      </c>
      <c r="S3215" s="56" t="n">
        <f aca="false">R3215*(B3215&gt;=Train_Start)*(B3215&lt;=Train_End)</f>
        <v>0</v>
      </c>
      <c r="T3215" s="84" t="str">
        <f aca="false">IF(AND(ISNUMBER(O3215),ISNUMBER(P3215)),Coef_A+Coef_B1*O3215+Coef_B2*P3215,"")</f>
        <v/>
      </c>
      <c r="U3215" s="84" t="str">
        <f aca="false">IF(AND(R3215=1,ISNUMBER(T3215)),E3215-T3215,"")</f>
        <v/>
      </c>
      <c r="V3215" s="84" t="n">
        <f aca="false">IF(ISNUMBER(T3215),T3215,-99)</f>
        <v>-99</v>
      </c>
      <c r="W3215" s="84" t="str">
        <f aca="false">IF(ISNUMBER(U3215),ABS(U3215),"")</f>
        <v/>
      </c>
    </row>
    <row r="3216" customFormat="false" ht="15" hidden="false" customHeight="false" outlineLevel="0" collapsed="false">
      <c r="A3216" s="57" t="n">
        <v>36648</v>
      </c>
      <c r="B3216" s="56" t="n">
        <v>2000</v>
      </c>
      <c r="C3216" s="56" t="n">
        <v>5</v>
      </c>
      <c r="D3216" s="56" t="n">
        <v>2</v>
      </c>
      <c r="E3216" s="56" t="n">
        <v>11.2</v>
      </c>
      <c r="F3216" s="56" t="n">
        <v>1</v>
      </c>
      <c r="G3216" s="56" t="n">
        <v>8.6</v>
      </c>
      <c r="H3216" s="56" t="n">
        <v>0</v>
      </c>
      <c r="I3216" s="56" t="n">
        <v>11.6</v>
      </c>
      <c r="J3216" s="56" t="n">
        <v>1</v>
      </c>
      <c r="K3216" s="56" t="n">
        <v>1025.7</v>
      </c>
      <c r="L3216" s="56" t="n">
        <v>0</v>
      </c>
      <c r="M3216" s="56" t="n">
        <v>73</v>
      </c>
      <c r="N3216" s="56" t="n">
        <v>4</v>
      </c>
      <c r="O3216" s="56" t="n">
        <f aca="false">IF(D3216=1,"",E3215)</f>
        <v>14.6</v>
      </c>
      <c r="P3216" s="56" t="n">
        <f aca="false">IF(OR(D3216=1,K3215=""),"",K3215)</f>
        <v>1024.2</v>
      </c>
      <c r="Q3216" s="56" t="n">
        <f aca="false">IF(OR(F3216&lt;&gt;0,AND(I3216&lt;&gt;"",E3216&lt;I3216)),1,0)</f>
        <v>1</v>
      </c>
      <c r="R3216" s="56" t="n">
        <f aca="false">IF(AND(D3216&gt;1,Q3216=0,ISNUMBER(O3216),ISNUMBER(P3216)),IF(Q3215=0,1,0),0)</f>
        <v>0</v>
      </c>
      <c r="S3216" s="56" t="n">
        <f aca="false">R3216*(B3216&gt;=Train_Start)*(B3216&lt;=Train_End)</f>
        <v>0</v>
      </c>
      <c r="T3216" s="84" t="n">
        <f aca="false">IF(AND(ISNUMBER(O3216),ISNUMBER(P3216)),Coef_A+Coef_B1*O3216+Coef_B2*P3216,"")</f>
        <v>16.1783737245504</v>
      </c>
      <c r="U3216" s="84" t="str">
        <f aca="false">IF(AND(R3216=1,ISNUMBER(T3216)),E3216-T3216,"")</f>
        <v/>
      </c>
      <c r="V3216" s="84" t="n">
        <f aca="false">IF(ISNUMBER(T3216),T3216,-99)</f>
        <v>16.1783737245504</v>
      </c>
      <c r="W3216" s="84" t="str">
        <f aca="false">IF(ISNUMBER(U3216),ABS(U3216),"")</f>
        <v/>
      </c>
    </row>
    <row r="3217" customFormat="false" ht="15" hidden="false" customHeight="false" outlineLevel="0" collapsed="false">
      <c r="A3217" s="57" t="n">
        <v>36649</v>
      </c>
      <c r="B3217" s="56" t="n">
        <v>2000</v>
      </c>
      <c r="C3217" s="56" t="n">
        <v>5</v>
      </c>
      <c r="D3217" s="56" t="n">
        <v>3</v>
      </c>
      <c r="E3217" s="56" t="n">
        <v>12.6</v>
      </c>
      <c r="F3217" s="56" t="n">
        <v>0</v>
      </c>
      <c r="G3217" s="56" t="n">
        <v>8.2</v>
      </c>
      <c r="H3217" s="56" t="n">
        <v>0</v>
      </c>
      <c r="I3217" s="56" t="n">
        <v>9.7</v>
      </c>
      <c r="J3217" s="56" t="n">
        <v>0</v>
      </c>
      <c r="K3217" s="56" t="n">
        <v>1024.3</v>
      </c>
      <c r="L3217" s="56" t="n">
        <v>0</v>
      </c>
      <c r="M3217" s="56" t="n">
        <v>84</v>
      </c>
      <c r="N3217" s="56" t="n">
        <v>0</v>
      </c>
      <c r="O3217" s="56" t="n">
        <f aca="false">IF(D3217=1,"",E3216)</f>
        <v>11.2</v>
      </c>
      <c r="P3217" s="56" t="n">
        <f aca="false">IF(OR(D3217=1,K3216=""),"",K3216)</f>
        <v>1025.7</v>
      </c>
      <c r="Q3217" s="56" t="n">
        <f aca="false">IF(OR(F3217&lt;&gt;0,AND(I3217&lt;&gt;"",E3217&lt;I3217)),1,0)</f>
        <v>0</v>
      </c>
      <c r="R3217" s="56" t="n">
        <f aca="false">IF(AND(D3217&gt;1,Q3217=0,ISNUMBER(O3217),ISNUMBER(P3217)),IF(Q3216=0,1,0),0)</f>
        <v>0</v>
      </c>
      <c r="S3217" s="56" t="n">
        <f aca="false">R3217*(B3217&gt;=Train_Start)*(B3217&lt;=Train_End)</f>
        <v>0</v>
      </c>
      <c r="T3217" s="84" t="n">
        <f aca="false">IF(AND(ISNUMBER(O3217),ISNUMBER(P3217)),Coef_A+Coef_B1*O3217+Coef_B2*P3217,"")</f>
        <v>13.4396753101564</v>
      </c>
      <c r="U3217" s="84" t="str">
        <f aca="false">IF(AND(R3217=1,ISNUMBER(T3217)),E3217-T3217,"")</f>
        <v/>
      </c>
      <c r="V3217" s="84" t="n">
        <f aca="false">IF(ISNUMBER(T3217),T3217,-99)</f>
        <v>13.4396753101564</v>
      </c>
      <c r="W3217" s="84" t="str">
        <f aca="false">IF(ISNUMBER(U3217),ABS(U3217),"")</f>
        <v/>
      </c>
    </row>
    <row r="3218" customFormat="false" ht="15" hidden="false" customHeight="false" outlineLevel="0" collapsed="false">
      <c r="A3218" s="57" t="n">
        <v>36650</v>
      </c>
      <c r="B3218" s="56" t="n">
        <v>2000</v>
      </c>
      <c r="C3218" s="56" t="n">
        <v>5</v>
      </c>
      <c r="D3218" s="56" t="n">
        <v>4</v>
      </c>
      <c r="E3218" s="56" t="n">
        <v>20.5</v>
      </c>
      <c r="F3218" s="56" t="n">
        <v>0</v>
      </c>
      <c r="G3218" s="56" t="n">
        <v>8.2</v>
      </c>
      <c r="H3218" s="56" t="n">
        <v>0</v>
      </c>
      <c r="I3218" s="56" t="n">
        <v>10.4</v>
      </c>
      <c r="J3218" s="56" t="n">
        <v>0</v>
      </c>
      <c r="K3218" s="56" t="n">
        <v>1022.5</v>
      </c>
      <c r="L3218" s="56" t="n">
        <v>0</v>
      </c>
      <c r="M3218" s="56" t="n">
        <v>80</v>
      </c>
      <c r="N3218" s="56" t="n">
        <v>0.1</v>
      </c>
      <c r="O3218" s="56" t="n">
        <f aca="false">IF(D3218=1,"",E3217)</f>
        <v>12.6</v>
      </c>
      <c r="P3218" s="56" t="n">
        <f aca="false">IF(OR(D3218=1,K3217=""),"",K3217)</f>
        <v>1024.3</v>
      </c>
      <c r="Q3218" s="56" t="n">
        <f aca="false">IF(OR(F3218&lt;&gt;0,AND(I3218&lt;&gt;"",E3218&lt;I3218)),1,0)</f>
        <v>0</v>
      </c>
      <c r="R3218" s="56" t="n">
        <f aca="false">IF(AND(D3218&gt;1,Q3218=0,ISNUMBER(O3218),ISNUMBER(P3218)),IF(Q3217=0,1,0),0)</f>
        <v>1</v>
      </c>
      <c r="S3218" s="56" t="n">
        <f aca="false">R3218*(B3218&gt;=Train_Start)*(B3218&lt;=Train_End)</f>
        <v>0</v>
      </c>
      <c r="T3218" s="84" t="n">
        <f aca="false">IF(AND(ISNUMBER(O3218),ISNUMBER(P3218)),Coef_A+Coef_B1*O3218+Coef_B2*P3218,"")</f>
        <v>14.5428323279285</v>
      </c>
      <c r="U3218" s="84" t="n">
        <f aca="false">IF(AND(R3218=1,ISNUMBER(T3218)),E3218-T3218,"")</f>
        <v>5.95716767207149</v>
      </c>
      <c r="V3218" s="84" t="n">
        <f aca="false">IF(ISNUMBER(T3218),T3218,-99)</f>
        <v>14.5428323279285</v>
      </c>
      <c r="W3218" s="84" t="n">
        <f aca="false">IF(ISNUMBER(U3218),ABS(U3218),"")</f>
        <v>5.95716767207149</v>
      </c>
    </row>
    <row r="3219" customFormat="false" ht="15" hidden="false" customHeight="false" outlineLevel="0" collapsed="false">
      <c r="A3219" s="57" t="n">
        <v>36651</v>
      </c>
      <c r="B3219" s="56" t="n">
        <v>2000</v>
      </c>
      <c r="C3219" s="56" t="n">
        <v>5</v>
      </c>
      <c r="D3219" s="56" t="n">
        <v>5</v>
      </c>
      <c r="E3219" s="56" t="n">
        <v>24.1</v>
      </c>
      <c r="F3219" s="56" t="n">
        <v>0</v>
      </c>
      <c r="G3219" s="56" t="n">
        <v>7.4</v>
      </c>
      <c r="H3219" s="56" t="n">
        <v>0</v>
      </c>
      <c r="I3219" s="56" t="n">
        <v>14</v>
      </c>
      <c r="J3219" s="56" t="n">
        <v>0</v>
      </c>
      <c r="K3219" s="56" t="n">
        <v>1016.4</v>
      </c>
      <c r="L3219" s="56" t="n">
        <v>0</v>
      </c>
      <c r="M3219" s="56" t="n">
        <v>74</v>
      </c>
      <c r="N3219" s="56" t="n">
        <v>10</v>
      </c>
      <c r="O3219" s="56" t="n">
        <f aca="false">IF(D3219=1,"",E3218)</f>
        <v>20.5</v>
      </c>
      <c r="P3219" s="56" t="n">
        <f aca="false">IF(OR(D3219=1,K3218=""),"",K3218)</f>
        <v>1022.5</v>
      </c>
      <c r="Q3219" s="56" t="n">
        <f aca="false">IF(OR(F3219&lt;&gt;0,AND(I3219&lt;&gt;"",E3219&lt;I3219)),1,0)</f>
        <v>0</v>
      </c>
      <c r="R3219" s="56" t="n">
        <f aca="false">IF(AND(D3219&gt;1,Q3219=0,ISNUMBER(O3219),ISNUMBER(P3219)),IF(Q3218=0,1,0),0)</f>
        <v>1</v>
      </c>
      <c r="S3219" s="56" t="n">
        <f aca="false">R3219*(B3219&gt;=Train_Start)*(B3219&lt;=Train_End)</f>
        <v>0</v>
      </c>
      <c r="T3219" s="84" t="n">
        <f aca="false">IF(AND(ISNUMBER(O3219),ISNUMBER(P3219)),Coef_A+Coef_B1*O3219+Coef_B2*P3219,"")</f>
        <v>20.9591461426243</v>
      </c>
      <c r="U3219" s="84" t="n">
        <f aca="false">IF(AND(R3219=1,ISNUMBER(T3219)),E3219-T3219,"")</f>
        <v>3.14085385737567</v>
      </c>
      <c r="V3219" s="84" t="n">
        <f aca="false">IF(ISNUMBER(T3219),T3219,-99)</f>
        <v>20.9591461426243</v>
      </c>
      <c r="W3219" s="84" t="n">
        <f aca="false">IF(ISNUMBER(U3219),ABS(U3219),"")</f>
        <v>3.14085385737567</v>
      </c>
    </row>
    <row r="3220" customFormat="false" ht="15" hidden="false" customHeight="false" outlineLevel="0" collapsed="false">
      <c r="A3220" s="57" t="n">
        <v>36652</v>
      </c>
      <c r="B3220" s="56" t="n">
        <v>2000</v>
      </c>
      <c r="C3220" s="56" t="n">
        <v>5</v>
      </c>
      <c r="D3220" s="56" t="n">
        <v>6</v>
      </c>
      <c r="E3220" s="56" t="n">
        <v>23.3</v>
      </c>
      <c r="F3220" s="56" t="n">
        <v>0</v>
      </c>
      <c r="G3220" s="56" t="n">
        <v>8.6</v>
      </c>
      <c r="H3220" s="56" t="n">
        <v>0</v>
      </c>
      <c r="I3220" s="56" t="n">
        <v>16.4</v>
      </c>
      <c r="J3220" s="56" t="n">
        <v>0</v>
      </c>
      <c r="K3220" s="56" t="n">
        <v>1012.5</v>
      </c>
      <c r="L3220" s="56" t="n">
        <v>0</v>
      </c>
      <c r="M3220" s="56" t="n">
        <v>71</v>
      </c>
      <c r="N3220" s="56" t="n">
        <v>11.1</v>
      </c>
      <c r="O3220" s="56" t="n">
        <f aca="false">IF(D3220=1,"",E3219)</f>
        <v>24.1</v>
      </c>
      <c r="P3220" s="56" t="n">
        <f aca="false">IF(OR(D3220=1,K3219=""),"",K3219)</f>
        <v>1016.4</v>
      </c>
      <c r="Q3220" s="56" t="n">
        <f aca="false">IF(OR(F3220&lt;&gt;0,AND(I3220&lt;&gt;"",E3220&lt;I3220)),1,0)</f>
        <v>0</v>
      </c>
      <c r="R3220" s="56" t="n">
        <f aca="false">IF(AND(D3220&gt;1,Q3220=0,ISNUMBER(O3220),ISNUMBER(P3220)),IF(Q3219=0,1,0),0)</f>
        <v>1</v>
      </c>
      <c r="S3220" s="56" t="n">
        <f aca="false">R3220*(B3220&gt;=Train_Start)*(B3220&lt;=Train_End)</f>
        <v>0</v>
      </c>
      <c r="T3220" s="84" t="n">
        <f aca="false">IF(AND(ISNUMBER(O3220),ISNUMBER(P3220)),Coef_A+Coef_B1*O3220+Coef_B2*P3220,"")</f>
        <v>23.7174108803106</v>
      </c>
      <c r="U3220" s="84" t="n">
        <f aca="false">IF(AND(R3220=1,ISNUMBER(T3220)),E3220-T3220,"")</f>
        <v>-0.417410880310566</v>
      </c>
      <c r="V3220" s="84" t="n">
        <f aca="false">IF(ISNUMBER(T3220),T3220,-99)</f>
        <v>23.7174108803106</v>
      </c>
      <c r="W3220" s="84" t="n">
        <f aca="false">IF(ISNUMBER(U3220),ABS(U3220),"")</f>
        <v>0.417410880310566</v>
      </c>
    </row>
    <row r="3221" customFormat="false" ht="15" hidden="false" customHeight="false" outlineLevel="0" collapsed="false">
      <c r="A3221" s="57" t="n">
        <v>36653</v>
      </c>
      <c r="B3221" s="56" t="n">
        <v>2000</v>
      </c>
      <c r="C3221" s="56" t="n">
        <v>5</v>
      </c>
      <c r="D3221" s="56" t="n">
        <v>7</v>
      </c>
      <c r="E3221" s="56" t="n">
        <v>19.4</v>
      </c>
      <c r="F3221" s="56" t="n">
        <v>0</v>
      </c>
      <c r="G3221" s="56" t="n">
        <v>12.7</v>
      </c>
      <c r="H3221" s="56" t="n">
        <v>0</v>
      </c>
      <c r="I3221" s="56" t="n">
        <v>18</v>
      </c>
      <c r="J3221" s="56" t="n">
        <v>0</v>
      </c>
      <c r="K3221" s="56" t="n">
        <v>1014.5</v>
      </c>
      <c r="L3221" s="56" t="n">
        <v>0</v>
      </c>
      <c r="M3221" s="56" t="n">
        <v>72</v>
      </c>
      <c r="N3221" s="56" t="n">
        <v>7.6</v>
      </c>
      <c r="O3221" s="56" t="n">
        <f aca="false">IF(D3221=1,"",E3220)</f>
        <v>23.3</v>
      </c>
      <c r="P3221" s="56" t="n">
        <f aca="false">IF(OR(D3221=1,K3220=""),"",K3220)</f>
        <v>1012.5</v>
      </c>
      <c r="Q3221" s="56" t="n">
        <f aca="false">IF(OR(F3221&lt;&gt;0,AND(I3221&lt;&gt;"",E3221&lt;I3221)),1,0)</f>
        <v>0</v>
      </c>
      <c r="R3221" s="56" t="n">
        <f aca="false">IF(AND(D3221&gt;1,Q3221=0,ISNUMBER(O3221),ISNUMBER(P3221)),IF(Q3220=0,1,0),0)</f>
        <v>1</v>
      </c>
      <c r="S3221" s="56" t="n">
        <f aca="false">R3221*(B3221&gt;=Train_Start)*(B3221&lt;=Train_End)</f>
        <v>0</v>
      </c>
      <c r="T3221" s="84" t="n">
        <f aca="false">IF(AND(ISNUMBER(O3221),ISNUMBER(P3221)),Coef_A+Coef_B1*O3221+Coef_B2*P3221,"")</f>
        <v>22.9395969368039</v>
      </c>
      <c r="U3221" s="84" t="n">
        <f aca="false">IF(AND(R3221=1,ISNUMBER(T3221)),E3221-T3221,"")</f>
        <v>-3.53959693680388</v>
      </c>
      <c r="V3221" s="84" t="n">
        <f aca="false">IF(ISNUMBER(T3221),T3221,-99)</f>
        <v>22.9395969368039</v>
      </c>
      <c r="W3221" s="84" t="n">
        <f aca="false">IF(ISNUMBER(U3221),ABS(U3221),"")</f>
        <v>3.53959693680388</v>
      </c>
    </row>
    <row r="3222" customFormat="false" ht="15" hidden="false" customHeight="false" outlineLevel="0" collapsed="false">
      <c r="A3222" s="57" t="n">
        <v>36654</v>
      </c>
      <c r="B3222" s="56" t="n">
        <v>2000</v>
      </c>
      <c r="C3222" s="56" t="n">
        <v>5</v>
      </c>
      <c r="D3222" s="56" t="n">
        <v>8</v>
      </c>
      <c r="E3222" s="56" t="n">
        <v>23.4</v>
      </c>
      <c r="F3222" s="56" t="n">
        <v>0</v>
      </c>
      <c r="G3222" s="56" t="n">
        <v>10.5</v>
      </c>
      <c r="H3222" s="56" t="n">
        <v>0</v>
      </c>
      <c r="I3222" s="56" t="n">
        <v>15</v>
      </c>
      <c r="J3222" s="56" t="n">
        <v>0</v>
      </c>
      <c r="K3222" s="56" t="n">
        <v>1017.4</v>
      </c>
      <c r="L3222" s="56" t="n">
        <v>0</v>
      </c>
      <c r="M3222" s="56" t="n">
        <v>84</v>
      </c>
      <c r="N3222" s="56" t="n">
        <v>3.9</v>
      </c>
      <c r="O3222" s="56" t="n">
        <f aca="false">IF(D3222=1,"",E3221)</f>
        <v>19.4</v>
      </c>
      <c r="P3222" s="56" t="n">
        <f aca="false">IF(OR(D3222=1,K3221=""),"",K3221)</f>
        <v>1014.5</v>
      </c>
      <c r="Q3222" s="56" t="n">
        <f aca="false">IF(OR(F3222&lt;&gt;0,AND(I3222&lt;&gt;"",E3222&lt;I3222)),1,0)</f>
        <v>0</v>
      </c>
      <c r="R3222" s="56" t="n">
        <f aca="false">IF(AND(D3222&gt;1,Q3222=0,ISNUMBER(O3222),ISNUMBER(P3222)),IF(Q3221=0,1,0),0)</f>
        <v>1</v>
      </c>
      <c r="S3222" s="56" t="n">
        <f aca="false">R3222*(B3222&gt;=Train_Start)*(B3222&lt;=Train_End)</f>
        <v>0</v>
      </c>
      <c r="T3222" s="84" t="n">
        <f aca="false">IF(AND(ISNUMBER(O3222),ISNUMBER(P3222)),Coef_A+Coef_B1*O3222+Coef_B2*P3222,"")</f>
        <v>19.8069138732055</v>
      </c>
      <c r="U3222" s="84" t="n">
        <f aca="false">IF(AND(R3222=1,ISNUMBER(T3222)),E3222-T3222,"")</f>
        <v>3.59308612679451</v>
      </c>
      <c r="V3222" s="84" t="n">
        <f aca="false">IF(ISNUMBER(T3222),T3222,-99)</f>
        <v>19.8069138732055</v>
      </c>
      <c r="W3222" s="84" t="n">
        <f aca="false">IF(ISNUMBER(U3222),ABS(U3222),"")</f>
        <v>3.59308612679451</v>
      </c>
    </row>
    <row r="3223" customFormat="false" ht="15" hidden="false" customHeight="false" outlineLevel="0" collapsed="false">
      <c r="A3223" s="57" t="n">
        <v>36655</v>
      </c>
      <c r="B3223" s="56" t="n">
        <v>2000</v>
      </c>
      <c r="C3223" s="56" t="n">
        <v>5</v>
      </c>
      <c r="D3223" s="56" t="n">
        <v>9</v>
      </c>
      <c r="E3223" s="56" t="n">
        <v>17.9</v>
      </c>
      <c r="F3223" s="56" t="n">
        <v>0</v>
      </c>
      <c r="G3223" s="56" t="n">
        <v>12.3</v>
      </c>
      <c r="H3223" s="56" t="n">
        <v>0</v>
      </c>
      <c r="I3223" s="56" t="n">
        <v>17.8</v>
      </c>
      <c r="J3223" s="56" t="n">
        <v>0</v>
      </c>
      <c r="K3223" s="56" t="n">
        <v>1017.8</v>
      </c>
      <c r="L3223" s="56" t="n">
        <v>0</v>
      </c>
      <c r="M3223" s="56" t="n">
        <v>82</v>
      </c>
      <c r="N3223" s="56" t="n">
        <v>7.3</v>
      </c>
      <c r="O3223" s="56" t="n">
        <f aca="false">IF(D3223=1,"",E3222)</f>
        <v>23.4</v>
      </c>
      <c r="P3223" s="56" t="n">
        <f aca="false">IF(OR(D3223=1,K3222=""),"",K3222)</f>
        <v>1017.4</v>
      </c>
      <c r="Q3223" s="56" t="n">
        <f aca="false">IF(OR(F3223&lt;&gt;0,AND(I3223&lt;&gt;"",E3223&lt;I3223)),1,0)</f>
        <v>0</v>
      </c>
      <c r="R3223" s="56" t="n">
        <f aca="false">IF(AND(D3223&gt;1,Q3223=0,ISNUMBER(O3223),ISNUMBER(P3223)),IF(Q3222=0,1,0),0)</f>
        <v>1</v>
      </c>
      <c r="S3223" s="56" t="n">
        <f aca="false">R3223*(B3223&gt;=Train_Start)*(B3223&lt;=Train_End)</f>
        <v>0</v>
      </c>
      <c r="T3223" s="84" t="n">
        <f aca="false">IF(AND(ISNUMBER(O3223),ISNUMBER(P3223)),Coef_A+Coef_B1*O3223+Coef_B2*P3223,"")</f>
        <v>23.1752433398147</v>
      </c>
      <c r="U3223" s="84" t="n">
        <f aca="false">IF(AND(R3223=1,ISNUMBER(T3223)),E3223-T3223,"")</f>
        <v>-5.27524333981469</v>
      </c>
      <c r="V3223" s="84" t="n">
        <f aca="false">IF(ISNUMBER(T3223),T3223,-99)</f>
        <v>23.1752433398147</v>
      </c>
      <c r="W3223" s="84" t="n">
        <f aca="false">IF(ISNUMBER(U3223),ABS(U3223),"")</f>
        <v>5.27524333981469</v>
      </c>
    </row>
    <row r="3224" customFormat="false" ht="15" hidden="false" customHeight="false" outlineLevel="0" collapsed="false">
      <c r="A3224" s="57" t="n">
        <v>36656</v>
      </c>
      <c r="B3224" s="56" t="n">
        <v>2000</v>
      </c>
      <c r="C3224" s="56" t="n">
        <v>5</v>
      </c>
      <c r="D3224" s="56" t="n">
        <v>10</v>
      </c>
      <c r="E3224" s="56" t="n">
        <v>17.8</v>
      </c>
      <c r="F3224" s="56" t="n">
        <v>0</v>
      </c>
      <c r="G3224" s="56" t="n">
        <v>13</v>
      </c>
      <c r="H3224" s="56" t="n">
        <v>0</v>
      </c>
      <c r="I3224" s="56" t="n">
        <v>15.4</v>
      </c>
      <c r="J3224" s="56" t="n">
        <v>0</v>
      </c>
      <c r="K3224" s="56" t="n">
        <v>1017.8</v>
      </c>
      <c r="L3224" s="56" t="n">
        <v>0</v>
      </c>
      <c r="M3224" s="56" t="n">
        <v>84</v>
      </c>
      <c r="N3224" s="56" t="n">
        <v>0.8</v>
      </c>
      <c r="O3224" s="56" t="n">
        <f aca="false">IF(D3224=1,"",E3223)</f>
        <v>17.9</v>
      </c>
      <c r="P3224" s="56" t="n">
        <f aca="false">IF(OR(D3224=1,K3223=""),"",K3223)</f>
        <v>1017.8</v>
      </c>
      <c r="Q3224" s="56" t="n">
        <f aca="false">IF(OR(F3224&lt;&gt;0,AND(I3224&lt;&gt;"",E3224&lt;I3224)),1,0)</f>
        <v>0</v>
      </c>
      <c r="R3224" s="56" t="n">
        <f aca="false">IF(AND(D3224&gt;1,Q3224=0,ISNUMBER(O3224),ISNUMBER(P3224)),IF(Q3223=0,1,0),0)</f>
        <v>1</v>
      </c>
      <c r="S3224" s="56" t="n">
        <f aca="false">R3224*(B3224&gt;=Train_Start)*(B3224&lt;=Train_End)</f>
        <v>0</v>
      </c>
      <c r="T3224" s="84" t="n">
        <f aca="false">IF(AND(ISNUMBER(O3224),ISNUMBER(P3224)),Coef_A+Coef_B1*O3224+Coef_B2*P3224,"")</f>
        <v>18.6814257359337</v>
      </c>
      <c r="U3224" s="84" t="n">
        <f aca="false">IF(AND(R3224=1,ISNUMBER(T3224)),E3224-T3224,"")</f>
        <v>-0.881425735933672</v>
      </c>
      <c r="V3224" s="84" t="n">
        <f aca="false">IF(ISNUMBER(T3224),T3224,-99)</f>
        <v>18.6814257359337</v>
      </c>
      <c r="W3224" s="84" t="n">
        <f aca="false">IF(ISNUMBER(U3224),ABS(U3224),"")</f>
        <v>0.881425735933672</v>
      </c>
    </row>
    <row r="3225" customFormat="false" ht="15" hidden="false" customHeight="false" outlineLevel="0" collapsed="false">
      <c r="A3225" s="57" t="n">
        <v>36657</v>
      </c>
      <c r="B3225" s="56" t="n">
        <v>2000</v>
      </c>
      <c r="C3225" s="56" t="n">
        <v>5</v>
      </c>
      <c r="D3225" s="56" t="n">
        <v>11</v>
      </c>
      <c r="E3225" s="56" t="n">
        <v>19.5</v>
      </c>
      <c r="F3225" s="56" t="n">
        <v>0</v>
      </c>
      <c r="G3225" s="56" t="n">
        <v>10.9</v>
      </c>
      <c r="H3225" s="56" t="n">
        <v>0</v>
      </c>
      <c r="I3225" s="56" t="n">
        <v>14.4</v>
      </c>
      <c r="J3225" s="56" t="n">
        <v>0</v>
      </c>
      <c r="K3225" s="56" t="n">
        <v>1018.4</v>
      </c>
      <c r="L3225" s="56" t="n">
        <v>0</v>
      </c>
      <c r="M3225" s="56" t="n">
        <v>76</v>
      </c>
      <c r="N3225" s="56" t="n">
        <v>3.7</v>
      </c>
      <c r="O3225" s="56" t="n">
        <f aca="false">IF(D3225=1,"",E3224)</f>
        <v>17.8</v>
      </c>
      <c r="P3225" s="56" t="n">
        <f aca="false">IF(OR(D3225=1,K3224=""),"",K3224)</f>
        <v>1017.8</v>
      </c>
      <c r="Q3225" s="56" t="n">
        <f aca="false">IF(OR(F3225&lt;&gt;0,AND(I3225&lt;&gt;"",E3225&lt;I3225)),1,0)</f>
        <v>0</v>
      </c>
      <c r="R3225" s="56" t="n">
        <f aca="false">IF(AND(D3225&gt;1,Q3225=0,ISNUMBER(O3225),ISNUMBER(P3225)),IF(Q3224=0,1,0),0)</f>
        <v>1</v>
      </c>
      <c r="S3225" s="56" t="n">
        <f aca="false">R3225*(B3225&gt;=Train_Start)*(B3225&lt;=Train_End)</f>
        <v>0</v>
      </c>
      <c r="T3225" s="84" t="n">
        <f aca="false">IF(AND(ISNUMBER(O3225),ISNUMBER(P3225)),Coef_A+Coef_B1*O3225+Coef_B2*P3225,"")</f>
        <v>18.5994918166294</v>
      </c>
      <c r="U3225" s="84" t="n">
        <f aca="false">IF(AND(R3225=1,ISNUMBER(T3225)),E3225-T3225,"")</f>
        <v>0.900508183370594</v>
      </c>
      <c r="V3225" s="84" t="n">
        <f aca="false">IF(ISNUMBER(T3225),T3225,-99)</f>
        <v>18.5994918166294</v>
      </c>
      <c r="W3225" s="84" t="n">
        <f aca="false">IF(ISNUMBER(U3225),ABS(U3225),"")</f>
        <v>0.900508183370594</v>
      </c>
    </row>
    <row r="3226" customFormat="false" ht="15" hidden="false" customHeight="false" outlineLevel="0" collapsed="false">
      <c r="A3226" s="57" t="n">
        <v>36658</v>
      </c>
      <c r="B3226" s="56" t="n">
        <v>2000</v>
      </c>
      <c r="C3226" s="56" t="n">
        <v>5</v>
      </c>
      <c r="D3226" s="56" t="n">
        <v>12</v>
      </c>
      <c r="E3226" s="56" t="n">
        <v>24.9</v>
      </c>
      <c r="F3226" s="56" t="n">
        <v>0</v>
      </c>
      <c r="G3226" s="56" t="n">
        <v>8.5</v>
      </c>
      <c r="H3226" s="56" t="n">
        <v>0</v>
      </c>
      <c r="I3226" s="56" t="n">
        <v>14</v>
      </c>
      <c r="J3226" s="56" t="n">
        <v>0</v>
      </c>
      <c r="K3226" s="56" t="n">
        <v>1020.7</v>
      </c>
      <c r="L3226" s="56" t="n">
        <v>0</v>
      </c>
      <c r="M3226" s="56" t="n">
        <v>77</v>
      </c>
      <c r="N3226" s="56" t="n">
        <v>4.1</v>
      </c>
      <c r="O3226" s="56" t="n">
        <f aca="false">IF(D3226=1,"",E3225)</f>
        <v>19.5</v>
      </c>
      <c r="P3226" s="56" t="n">
        <f aca="false">IF(OR(D3226=1,K3225=""),"",K3225)</f>
        <v>1018.4</v>
      </c>
      <c r="Q3226" s="56" t="n">
        <f aca="false">IF(OR(F3226&lt;&gt;0,AND(I3226&lt;&gt;"",E3226&lt;I3226)),1,0)</f>
        <v>0</v>
      </c>
      <c r="R3226" s="56" t="n">
        <f aca="false">IF(AND(D3226&gt;1,Q3226=0,ISNUMBER(O3226),ISNUMBER(P3226)),IF(Q3225=0,1,0),0)</f>
        <v>1</v>
      </c>
      <c r="S3226" s="56" t="n">
        <f aca="false">R3226*(B3226&gt;=Train_Start)*(B3226&lt;=Train_End)</f>
        <v>0</v>
      </c>
      <c r="T3226" s="84" t="n">
        <f aca="false">IF(AND(ISNUMBER(O3226),ISNUMBER(P3226)),Coef_A+Coef_B1*O3226+Coef_B2*P3226,"")</f>
        <v>20.0111903815823</v>
      </c>
      <c r="U3226" s="84" t="n">
        <f aca="false">IF(AND(R3226=1,ISNUMBER(T3226)),E3226-T3226,"")</f>
        <v>4.88880961841768</v>
      </c>
      <c r="V3226" s="84" t="n">
        <f aca="false">IF(ISNUMBER(T3226),T3226,-99)</f>
        <v>20.0111903815823</v>
      </c>
      <c r="W3226" s="84" t="n">
        <f aca="false">IF(ISNUMBER(U3226),ABS(U3226),"")</f>
        <v>4.88880961841768</v>
      </c>
    </row>
    <row r="3227" customFormat="false" ht="15" hidden="false" customHeight="false" outlineLevel="0" collapsed="false">
      <c r="A3227" s="57" t="n">
        <v>36659</v>
      </c>
      <c r="B3227" s="56" t="n">
        <v>2000</v>
      </c>
      <c r="C3227" s="56" t="n">
        <v>5</v>
      </c>
      <c r="D3227" s="56" t="n">
        <v>13</v>
      </c>
      <c r="E3227" s="56" t="n">
        <v>25.3</v>
      </c>
      <c r="F3227" s="56" t="n">
        <v>0</v>
      </c>
      <c r="G3227" s="56" t="n">
        <v>13</v>
      </c>
      <c r="H3227" s="56" t="n">
        <v>0</v>
      </c>
      <c r="I3227" s="56" t="n">
        <v>19</v>
      </c>
      <c r="J3227" s="56" t="n">
        <v>0</v>
      </c>
      <c r="K3227" s="56" t="n">
        <v>1021.5</v>
      </c>
      <c r="L3227" s="56" t="n">
        <v>0</v>
      </c>
      <c r="M3227" s="56" t="n">
        <v>76</v>
      </c>
      <c r="N3227" s="56" t="n">
        <v>9.3</v>
      </c>
      <c r="O3227" s="56" t="n">
        <f aca="false">IF(D3227=1,"",E3226)</f>
        <v>24.9</v>
      </c>
      <c r="P3227" s="56" t="n">
        <f aca="false">IF(OR(D3227=1,K3226=""),"",K3226)</f>
        <v>1020.7</v>
      </c>
      <c r="Q3227" s="56" t="n">
        <f aca="false">IF(OR(F3227&lt;&gt;0,AND(I3227&lt;&gt;"",E3227&lt;I3227)),1,0)</f>
        <v>0</v>
      </c>
      <c r="R3227" s="56" t="n">
        <f aca="false">IF(AND(D3227&gt;1,Q3227=0,ISNUMBER(O3227),ISNUMBER(P3227)),IF(Q3226=0,1,0),0)</f>
        <v>1</v>
      </c>
      <c r="S3227" s="56" t="n">
        <f aca="false">R3227*(B3227&gt;=Train_Start)*(B3227&lt;=Train_End)</f>
        <v>0</v>
      </c>
      <c r="T3227" s="84" t="n">
        <f aca="false">IF(AND(ISNUMBER(O3227),ISNUMBER(P3227)),Coef_A+Coef_B1*O3227+Coef_B2*P3227,"")</f>
        <v>24.5077727816708</v>
      </c>
      <c r="U3227" s="84" t="n">
        <f aca="false">IF(AND(R3227=1,ISNUMBER(T3227)),E3227-T3227,"")</f>
        <v>0.792227218329153</v>
      </c>
      <c r="V3227" s="84" t="n">
        <f aca="false">IF(ISNUMBER(T3227),T3227,-99)</f>
        <v>24.5077727816708</v>
      </c>
      <c r="W3227" s="84" t="n">
        <f aca="false">IF(ISNUMBER(U3227),ABS(U3227),"")</f>
        <v>0.792227218329153</v>
      </c>
    </row>
    <row r="3228" customFormat="false" ht="15" hidden="false" customHeight="false" outlineLevel="0" collapsed="false">
      <c r="A3228" s="57" t="n">
        <v>36660</v>
      </c>
      <c r="B3228" s="56" t="n">
        <v>2000</v>
      </c>
      <c r="C3228" s="56" t="n">
        <v>5</v>
      </c>
      <c r="D3228" s="56" t="n">
        <v>14</v>
      </c>
      <c r="E3228" s="56" t="n">
        <v>26.6</v>
      </c>
      <c r="F3228" s="56" t="n">
        <v>0</v>
      </c>
      <c r="G3228" s="56" t="n">
        <v>12.5</v>
      </c>
      <c r="H3228" s="56" t="n">
        <v>0</v>
      </c>
      <c r="I3228" s="56" t="n">
        <v>18.9</v>
      </c>
      <c r="J3228" s="56" t="n">
        <v>0</v>
      </c>
      <c r="K3228" s="56" t="n">
        <v>1022.4</v>
      </c>
      <c r="L3228" s="56" t="n">
        <v>0</v>
      </c>
      <c r="M3228" s="56" t="n">
        <v>72</v>
      </c>
      <c r="N3228" s="56" t="n">
        <v>13.4</v>
      </c>
      <c r="O3228" s="56" t="n">
        <f aca="false">IF(D3228=1,"",E3227)</f>
        <v>25.3</v>
      </c>
      <c r="P3228" s="56" t="n">
        <f aca="false">IF(OR(D3228=1,K3227=""),"",K3227)</f>
        <v>1021.5</v>
      </c>
      <c r="Q3228" s="56" t="n">
        <f aca="false">IF(OR(F3228&lt;&gt;0,AND(I3228&lt;&gt;"",E3228&lt;I3228)),1,0)</f>
        <v>0</v>
      </c>
      <c r="R3228" s="56" t="n">
        <f aca="false">IF(AND(D3228&gt;1,Q3228=0,ISNUMBER(O3228),ISNUMBER(P3228)),IF(Q3227=0,1,0),0)</f>
        <v>1</v>
      </c>
      <c r="S3228" s="56" t="n">
        <f aca="false">R3228*(B3228&gt;=Train_Start)*(B3228&lt;=Train_End)</f>
        <v>0</v>
      </c>
      <c r="T3228" s="84" t="n">
        <f aca="false">IF(AND(ISNUMBER(O3228),ISNUMBER(P3228)),Coef_A+Coef_B1*O3228+Coef_B2*P3228,"")</f>
        <v>24.8606043745951</v>
      </c>
      <c r="U3228" s="84" t="n">
        <f aca="false">IF(AND(R3228=1,ISNUMBER(T3228)),E3228-T3228,"")</f>
        <v>1.7393956254049</v>
      </c>
      <c r="V3228" s="84" t="n">
        <f aca="false">IF(ISNUMBER(T3228),T3228,-99)</f>
        <v>24.8606043745951</v>
      </c>
      <c r="W3228" s="84" t="n">
        <f aca="false">IF(ISNUMBER(U3228),ABS(U3228),"")</f>
        <v>1.7393956254049</v>
      </c>
    </row>
    <row r="3229" customFormat="false" ht="15" hidden="false" customHeight="false" outlineLevel="0" collapsed="false">
      <c r="A3229" s="57" t="n">
        <v>36661</v>
      </c>
      <c r="B3229" s="56" t="n">
        <v>2000</v>
      </c>
      <c r="C3229" s="56" t="n">
        <v>5</v>
      </c>
      <c r="D3229" s="56" t="n">
        <v>15</v>
      </c>
      <c r="E3229" s="56" t="n">
        <v>22.5</v>
      </c>
      <c r="F3229" s="56" t="n">
        <v>0</v>
      </c>
      <c r="G3229" s="56" t="n">
        <v>15.4</v>
      </c>
      <c r="H3229" s="56" t="n">
        <v>0</v>
      </c>
      <c r="I3229" s="56" t="n">
        <v>21</v>
      </c>
      <c r="J3229" s="56" t="n">
        <v>0</v>
      </c>
      <c r="K3229" s="56" t="n">
        <v>1017.3</v>
      </c>
      <c r="L3229" s="56" t="n">
        <v>0</v>
      </c>
      <c r="M3229" s="56" t="n">
        <v>67</v>
      </c>
      <c r="N3229" s="56" t="n">
        <v>12.6</v>
      </c>
      <c r="O3229" s="56" t="n">
        <f aca="false">IF(D3229=1,"",E3228)</f>
        <v>26.6</v>
      </c>
      <c r="P3229" s="56" t="n">
        <f aca="false">IF(OR(D3229=1,K3228=""),"",K3228)</f>
        <v>1022.4</v>
      </c>
      <c r="Q3229" s="56" t="n">
        <f aca="false">IF(OR(F3229&lt;&gt;0,AND(I3229&lt;&gt;"",E3229&lt;I3229)),1,0)</f>
        <v>0</v>
      </c>
      <c r="R3229" s="56" t="n">
        <f aca="false">IF(AND(D3229&gt;1,Q3229=0,ISNUMBER(O3229),ISNUMBER(P3229)),IF(Q3228=0,1,0),0)</f>
        <v>1</v>
      </c>
      <c r="S3229" s="56" t="n">
        <f aca="false">R3229*(B3229&gt;=Train_Start)*(B3229&lt;=Train_End)</f>
        <v>0</v>
      </c>
      <c r="T3229" s="84" t="n">
        <f aca="false">IF(AND(ISNUMBER(O3229),ISNUMBER(P3229)),Coef_A+Coef_B1*O3229+Coef_B2*P3229,"")</f>
        <v>25.9539782307211</v>
      </c>
      <c r="U3229" s="84" t="n">
        <f aca="false">IF(AND(R3229=1,ISNUMBER(T3229)),E3229-T3229,"")</f>
        <v>-3.45397823072115</v>
      </c>
      <c r="V3229" s="84" t="n">
        <f aca="false">IF(ISNUMBER(T3229),T3229,-99)</f>
        <v>25.9539782307211</v>
      </c>
      <c r="W3229" s="84" t="n">
        <f aca="false">IF(ISNUMBER(U3229),ABS(U3229),"")</f>
        <v>3.45397823072115</v>
      </c>
    </row>
    <row r="3230" customFormat="false" ht="15" hidden="false" customHeight="false" outlineLevel="0" collapsed="false">
      <c r="A3230" s="57" t="n">
        <v>36662</v>
      </c>
      <c r="B3230" s="56" t="n">
        <v>2000</v>
      </c>
      <c r="C3230" s="56" t="n">
        <v>5</v>
      </c>
      <c r="D3230" s="56" t="n">
        <v>16</v>
      </c>
      <c r="E3230" s="56" t="n">
        <v>15.9</v>
      </c>
      <c r="F3230" s="56" t="n">
        <v>1</v>
      </c>
      <c r="G3230" s="56" t="n">
        <v>15.2</v>
      </c>
      <c r="H3230" s="56" t="n">
        <v>0</v>
      </c>
      <c r="I3230" s="56" t="n">
        <v>18.8</v>
      </c>
      <c r="J3230" s="56" t="n">
        <v>1</v>
      </c>
      <c r="K3230" s="56" t="n">
        <v>1010.4</v>
      </c>
      <c r="L3230" s="56" t="n">
        <v>0</v>
      </c>
      <c r="M3230" s="56" t="n">
        <v>66</v>
      </c>
      <c r="N3230" s="56" t="n">
        <v>11.5</v>
      </c>
      <c r="O3230" s="56" t="n">
        <f aca="false">IF(D3230=1,"",E3229)</f>
        <v>22.5</v>
      </c>
      <c r="P3230" s="56" t="n">
        <f aca="false">IF(OR(D3230=1,K3229=""),"",K3229)</f>
        <v>1017.3</v>
      </c>
      <c r="Q3230" s="56" t="n">
        <f aca="false">IF(OR(F3230&lt;&gt;0,AND(I3230&lt;&gt;"",E3230&lt;I3230)),1,0)</f>
        <v>1</v>
      </c>
      <c r="R3230" s="56" t="n">
        <f aca="false">IF(AND(D3230&gt;1,Q3230=0,ISNUMBER(O3230),ISNUMBER(P3230)),IF(Q3229=0,1,0),0)</f>
        <v>0</v>
      </c>
      <c r="S3230" s="56" t="n">
        <f aca="false">R3230*(B3230&gt;=Train_Start)*(B3230&lt;=Train_End)</f>
        <v>0</v>
      </c>
      <c r="T3230" s="84" t="n">
        <f aca="false">IF(AND(ISNUMBER(O3230),ISNUMBER(P3230)),Coef_A+Coef_B1*O3230+Coef_B2*P3230,"")</f>
        <v>22.4347010766129</v>
      </c>
      <c r="U3230" s="84" t="str">
        <f aca="false">IF(AND(R3230=1,ISNUMBER(T3230)),E3230-T3230,"")</f>
        <v/>
      </c>
      <c r="V3230" s="84" t="n">
        <f aca="false">IF(ISNUMBER(T3230),T3230,-99)</f>
        <v>22.4347010766129</v>
      </c>
      <c r="W3230" s="84" t="str">
        <f aca="false">IF(ISNUMBER(U3230),ABS(U3230),"")</f>
        <v/>
      </c>
    </row>
    <row r="3231" customFormat="false" ht="15" hidden="false" customHeight="false" outlineLevel="0" collapsed="false">
      <c r="A3231" s="57" t="n">
        <v>36663</v>
      </c>
      <c r="B3231" s="56" t="n">
        <v>2000</v>
      </c>
      <c r="C3231" s="56" t="n">
        <v>5</v>
      </c>
      <c r="D3231" s="56" t="n">
        <v>17</v>
      </c>
      <c r="E3231" s="56" t="n">
        <v>15.5</v>
      </c>
      <c r="F3231" s="56" t="n">
        <v>0</v>
      </c>
      <c r="G3231" s="56" t="n">
        <v>11.1</v>
      </c>
      <c r="H3231" s="56" t="n">
        <v>0</v>
      </c>
      <c r="I3231" s="56" t="n">
        <v>13.5</v>
      </c>
      <c r="J3231" s="56" t="n">
        <v>0</v>
      </c>
      <c r="K3231" s="56" t="n">
        <v>1009.1</v>
      </c>
      <c r="L3231" s="56" t="n">
        <v>0</v>
      </c>
      <c r="M3231" s="56" t="n">
        <v>64</v>
      </c>
      <c r="N3231" s="56" t="n">
        <v>4</v>
      </c>
      <c r="O3231" s="56" t="n">
        <f aca="false">IF(D3231=1,"",E3230)</f>
        <v>15.9</v>
      </c>
      <c r="P3231" s="56" t="n">
        <f aca="false">IF(OR(D3231=1,K3230=""),"",K3230)</f>
        <v>1010.4</v>
      </c>
      <c r="Q3231" s="56" t="n">
        <f aca="false">IF(OR(F3231&lt;&gt;0,AND(I3231&lt;&gt;"",E3231&lt;I3231)),1,0)</f>
        <v>0</v>
      </c>
      <c r="R3231" s="56" t="n">
        <f aca="false">IF(AND(D3231&gt;1,Q3231=0,ISNUMBER(O3231),ISNUMBER(P3231)),IF(Q3230=0,1,0),0)</f>
        <v>0</v>
      </c>
      <c r="S3231" s="56" t="n">
        <f aca="false">R3231*(B3231&gt;=Train_Start)*(B3231&lt;=Train_End)</f>
        <v>0</v>
      </c>
      <c r="T3231" s="84" t="n">
        <f aca="false">IF(AND(ISNUMBER(O3231),ISNUMBER(P3231)),Coef_A+Coef_B1*O3231+Coef_B2*P3231,"")</f>
        <v>16.8106101295568</v>
      </c>
      <c r="U3231" s="84" t="str">
        <f aca="false">IF(AND(R3231=1,ISNUMBER(T3231)),E3231-T3231,"")</f>
        <v/>
      </c>
      <c r="V3231" s="84" t="n">
        <f aca="false">IF(ISNUMBER(T3231),T3231,-99)</f>
        <v>16.8106101295568</v>
      </c>
      <c r="W3231" s="84" t="str">
        <f aca="false">IF(ISNUMBER(U3231),ABS(U3231),"")</f>
        <v/>
      </c>
    </row>
    <row r="3232" customFormat="false" ht="15" hidden="false" customHeight="false" outlineLevel="0" collapsed="false">
      <c r="A3232" s="57" t="n">
        <v>36664</v>
      </c>
      <c r="B3232" s="56" t="n">
        <v>2000</v>
      </c>
      <c r="C3232" s="56" t="n">
        <v>5</v>
      </c>
      <c r="D3232" s="56" t="n">
        <v>18</v>
      </c>
      <c r="E3232" s="56" t="n">
        <v>14.3</v>
      </c>
      <c r="F3232" s="56" t="n">
        <v>0</v>
      </c>
      <c r="G3232" s="56" t="n">
        <v>7.2</v>
      </c>
      <c r="H3232" s="56" t="n">
        <v>0</v>
      </c>
      <c r="I3232" s="56" t="n">
        <v>11.4</v>
      </c>
      <c r="J3232" s="56" t="n">
        <v>0</v>
      </c>
      <c r="K3232" s="56" t="n">
        <v>1006.9</v>
      </c>
      <c r="L3232" s="56" t="n">
        <v>0</v>
      </c>
      <c r="M3232" s="56" t="n">
        <v>76</v>
      </c>
      <c r="N3232" s="56" t="n">
        <v>8.2</v>
      </c>
      <c r="O3232" s="56" t="n">
        <f aca="false">IF(D3232=1,"",E3231)</f>
        <v>15.5</v>
      </c>
      <c r="P3232" s="56" t="n">
        <f aca="false">IF(OR(D3232=1,K3231=""),"",K3231)</f>
        <v>1009.1</v>
      </c>
      <c r="Q3232" s="56" t="n">
        <f aca="false">IF(OR(F3232&lt;&gt;0,AND(I3232&lt;&gt;"",E3232&lt;I3232)),1,0)</f>
        <v>0</v>
      </c>
      <c r="R3232" s="56" t="n">
        <f aca="false">IF(AND(D3232&gt;1,Q3232=0,ISNUMBER(O3232),ISNUMBER(P3232)),IF(Q3231=0,1,0),0)</f>
        <v>1</v>
      </c>
      <c r="S3232" s="56" t="n">
        <f aca="false">R3232*(B3232&gt;=Train_Start)*(B3232&lt;=Train_End)</f>
        <v>0</v>
      </c>
      <c r="T3232" s="84" t="n">
        <f aca="false">IF(AND(ISNUMBER(O3232),ISNUMBER(P3232)),Coef_A+Coef_B1*O3232+Coef_B2*P3232,"")</f>
        <v>16.4420935893156</v>
      </c>
      <c r="U3232" s="84" t="n">
        <f aca="false">IF(AND(R3232=1,ISNUMBER(T3232)),E3232-T3232,"")</f>
        <v>-2.14209358931559</v>
      </c>
      <c r="V3232" s="84" t="n">
        <f aca="false">IF(ISNUMBER(T3232),T3232,-99)</f>
        <v>16.4420935893156</v>
      </c>
      <c r="W3232" s="84" t="n">
        <f aca="false">IF(ISNUMBER(U3232),ABS(U3232),"")</f>
        <v>2.14209358931559</v>
      </c>
    </row>
    <row r="3233" customFormat="false" ht="15" hidden="false" customHeight="false" outlineLevel="0" collapsed="false">
      <c r="A3233" s="57" t="n">
        <v>36665</v>
      </c>
      <c r="B3233" s="56" t="n">
        <v>2000</v>
      </c>
      <c r="C3233" s="56" t="n">
        <v>5</v>
      </c>
      <c r="D3233" s="56" t="n">
        <v>19</v>
      </c>
      <c r="E3233" s="56" t="n">
        <v>15.8</v>
      </c>
      <c r="F3233" s="56" t="n">
        <v>0</v>
      </c>
      <c r="G3233" s="56" t="n">
        <v>9.2</v>
      </c>
      <c r="H3233" s="56" t="n">
        <v>0</v>
      </c>
      <c r="I3233" s="56" t="n">
        <v>11.8</v>
      </c>
      <c r="J3233" s="56" t="n">
        <v>0</v>
      </c>
      <c r="K3233" s="56" t="n">
        <v>1008.5</v>
      </c>
      <c r="L3233" s="56" t="n">
        <v>0</v>
      </c>
      <c r="M3233" s="56" t="n">
        <v>71</v>
      </c>
      <c r="N3233" s="56" t="n">
        <v>7.1</v>
      </c>
      <c r="O3233" s="56" t="n">
        <f aca="false">IF(D3233=1,"",E3232)</f>
        <v>14.3</v>
      </c>
      <c r="P3233" s="56" t="n">
        <f aca="false">IF(OR(D3233=1,K3232=""),"",K3232)</f>
        <v>1006.9</v>
      </c>
      <c r="Q3233" s="56" t="n">
        <f aca="false">IF(OR(F3233&lt;&gt;0,AND(I3233&lt;&gt;"",E3233&lt;I3233)),1,0)</f>
        <v>0</v>
      </c>
      <c r="R3233" s="56" t="n">
        <f aca="false">IF(AND(D3233&gt;1,Q3233=0,ISNUMBER(O3233),ISNUMBER(P3233)),IF(Q3232=0,1,0),0)</f>
        <v>1</v>
      </c>
      <c r="S3233" s="56" t="n">
        <f aca="false">R3233*(B3233&gt;=Train_Start)*(B3233&lt;=Train_End)</f>
        <v>0</v>
      </c>
      <c r="T3233" s="84" t="n">
        <f aca="false">IF(AND(ISNUMBER(O3233),ISNUMBER(P3233)),Coef_A+Coef_B1*O3233+Coef_B2*P3233,"")</f>
        <v>15.3898727894696</v>
      </c>
      <c r="U3233" s="84" t="n">
        <f aca="false">IF(AND(R3233=1,ISNUMBER(T3233)),E3233-T3233,"")</f>
        <v>0.41012721053038</v>
      </c>
      <c r="V3233" s="84" t="n">
        <f aca="false">IF(ISNUMBER(T3233),T3233,-99)</f>
        <v>15.3898727894696</v>
      </c>
      <c r="W3233" s="84" t="n">
        <f aca="false">IF(ISNUMBER(U3233),ABS(U3233),"")</f>
        <v>0.41012721053038</v>
      </c>
    </row>
    <row r="3234" customFormat="false" ht="15" hidden="false" customHeight="false" outlineLevel="0" collapsed="false">
      <c r="A3234" s="57" t="n">
        <v>36666</v>
      </c>
      <c r="B3234" s="56" t="n">
        <v>2000</v>
      </c>
      <c r="C3234" s="56" t="n">
        <v>5</v>
      </c>
      <c r="D3234" s="56" t="n">
        <v>20</v>
      </c>
      <c r="E3234" s="56" t="n">
        <v>16</v>
      </c>
      <c r="F3234" s="56" t="n">
        <v>0</v>
      </c>
      <c r="G3234" s="56" t="n">
        <v>5.1</v>
      </c>
      <c r="H3234" s="56" t="n">
        <v>0</v>
      </c>
      <c r="I3234" s="56" t="n">
        <v>10.4</v>
      </c>
      <c r="J3234" s="56" t="n">
        <v>0</v>
      </c>
      <c r="K3234" s="56" t="n">
        <v>1012.2</v>
      </c>
      <c r="L3234" s="56" t="n">
        <v>0</v>
      </c>
      <c r="M3234" s="56" t="n">
        <v>70</v>
      </c>
      <c r="N3234" s="56" t="n">
        <v>6.4</v>
      </c>
      <c r="O3234" s="56" t="n">
        <f aca="false">IF(D3234=1,"",E3233)</f>
        <v>15.8</v>
      </c>
      <c r="P3234" s="56" t="n">
        <f aca="false">IF(OR(D3234=1,K3233=""),"",K3233)</f>
        <v>1008.5</v>
      </c>
      <c r="Q3234" s="56" t="n">
        <f aca="false">IF(OR(F3234&lt;&gt;0,AND(I3234&lt;&gt;"",E3234&lt;I3234)),1,0)</f>
        <v>0</v>
      </c>
      <c r="R3234" s="56" t="n">
        <f aca="false">IF(AND(D3234&gt;1,Q3234=0,ISNUMBER(O3234),ISNUMBER(P3234)),IF(Q3233=0,1,0),0)</f>
        <v>1</v>
      </c>
      <c r="S3234" s="56" t="n">
        <f aca="false">R3234*(B3234&gt;=Train_Start)*(B3234&lt;=Train_End)</f>
        <v>0</v>
      </c>
      <c r="T3234" s="84" t="n">
        <f aca="false">IF(AND(ISNUMBER(O3234),ISNUMBER(P3234)),Coef_A+Coef_B1*O3234+Coef_B2*P3234,"")</f>
        <v>16.669073410448</v>
      </c>
      <c r="U3234" s="84" t="n">
        <f aca="false">IF(AND(R3234=1,ISNUMBER(T3234)),E3234-T3234,"")</f>
        <v>-0.669073410447993</v>
      </c>
      <c r="V3234" s="84" t="n">
        <f aca="false">IF(ISNUMBER(T3234),T3234,-99)</f>
        <v>16.669073410448</v>
      </c>
      <c r="W3234" s="84" t="n">
        <f aca="false">IF(ISNUMBER(U3234),ABS(U3234),"")</f>
        <v>0.669073410447993</v>
      </c>
    </row>
    <row r="3235" customFormat="false" ht="15" hidden="false" customHeight="false" outlineLevel="0" collapsed="false">
      <c r="A3235" s="57" t="n">
        <v>36667</v>
      </c>
      <c r="B3235" s="56" t="n">
        <v>2000</v>
      </c>
      <c r="C3235" s="56" t="n">
        <v>5</v>
      </c>
      <c r="D3235" s="56" t="n">
        <v>21</v>
      </c>
      <c r="E3235" s="56" t="n">
        <v>18.6</v>
      </c>
      <c r="F3235" s="56" t="n">
        <v>0</v>
      </c>
      <c r="G3235" s="56" t="n">
        <v>8.3</v>
      </c>
      <c r="H3235" s="56" t="n">
        <v>0</v>
      </c>
      <c r="I3235" s="56" t="n">
        <v>12.2</v>
      </c>
      <c r="J3235" s="56" t="n">
        <v>0</v>
      </c>
      <c r="K3235" s="56" t="n">
        <v>1007.8</v>
      </c>
      <c r="L3235" s="56" t="n">
        <v>0</v>
      </c>
      <c r="M3235" s="56" t="n">
        <v>77</v>
      </c>
      <c r="N3235" s="56" t="n">
        <v>4.8</v>
      </c>
      <c r="O3235" s="56" t="n">
        <f aca="false">IF(D3235=1,"",E3234)</f>
        <v>16</v>
      </c>
      <c r="P3235" s="56" t="n">
        <f aca="false">IF(OR(D3235=1,K3234=""),"",K3234)</f>
        <v>1012.2</v>
      </c>
      <c r="Q3235" s="56" t="n">
        <f aca="false">IF(OR(F3235&lt;&gt;0,AND(I3235&lt;&gt;"",E3235&lt;I3235)),1,0)</f>
        <v>0</v>
      </c>
      <c r="R3235" s="56" t="n">
        <f aca="false">IF(AND(D3235&gt;1,Q3235=0,ISNUMBER(O3235),ISNUMBER(P3235)),IF(Q3234=0,1,0),0)</f>
        <v>1</v>
      </c>
      <c r="S3235" s="56" t="n">
        <f aca="false">R3235*(B3235&gt;=Train_Start)*(B3235&lt;=Train_End)</f>
        <v>0</v>
      </c>
      <c r="T3235" s="84" t="n">
        <f aca="false">IF(AND(ISNUMBER(O3235),ISNUMBER(P3235)),Coef_A+Coef_B1*O3235+Coef_B2*P3235,"")</f>
        <v>16.9490098592023</v>
      </c>
      <c r="U3235" s="84" t="n">
        <f aca="false">IF(AND(R3235=1,ISNUMBER(T3235)),E3235-T3235,"")</f>
        <v>1.65099014079772</v>
      </c>
      <c r="V3235" s="84" t="n">
        <f aca="false">IF(ISNUMBER(T3235),T3235,-99)</f>
        <v>16.9490098592023</v>
      </c>
      <c r="W3235" s="84" t="n">
        <f aca="false">IF(ISNUMBER(U3235),ABS(U3235),"")</f>
        <v>1.65099014079772</v>
      </c>
    </row>
    <row r="3236" customFormat="false" ht="15" hidden="false" customHeight="false" outlineLevel="0" collapsed="false">
      <c r="A3236" s="57" t="n">
        <v>36668</v>
      </c>
      <c r="B3236" s="56" t="n">
        <v>2000</v>
      </c>
      <c r="C3236" s="56" t="n">
        <v>5</v>
      </c>
      <c r="D3236" s="56" t="n">
        <v>22</v>
      </c>
      <c r="E3236" s="56" t="n">
        <v>14.3</v>
      </c>
      <c r="F3236" s="56" t="n">
        <v>0</v>
      </c>
      <c r="G3236" s="56" t="n">
        <v>7.8</v>
      </c>
      <c r="H3236" s="56" t="n">
        <v>0</v>
      </c>
      <c r="I3236" s="56" t="n">
        <v>13.2</v>
      </c>
      <c r="J3236" s="56" t="n">
        <v>0</v>
      </c>
      <c r="K3236" s="56" t="n">
        <v>1014.9</v>
      </c>
      <c r="L3236" s="56" t="n">
        <v>0</v>
      </c>
      <c r="M3236" s="56" t="n">
        <v>71</v>
      </c>
      <c r="N3236" s="56" t="n">
        <v>12.1</v>
      </c>
      <c r="O3236" s="56" t="n">
        <f aca="false">IF(D3236=1,"",E3235)</f>
        <v>18.6</v>
      </c>
      <c r="P3236" s="56" t="n">
        <f aca="false">IF(OR(D3236=1,K3235=""),"",K3235)</f>
        <v>1007.8</v>
      </c>
      <c r="Q3236" s="56" t="n">
        <f aca="false">IF(OR(F3236&lt;&gt;0,AND(I3236&lt;&gt;"",E3236&lt;I3236)),1,0)</f>
        <v>0</v>
      </c>
      <c r="R3236" s="56" t="n">
        <f aca="false">IF(AND(D3236&gt;1,Q3236=0,ISNUMBER(O3236),ISNUMBER(P3236)),IF(Q3235=0,1,0),0)</f>
        <v>1</v>
      </c>
      <c r="S3236" s="56" t="n">
        <f aca="false">R3236*(B3236&gt;=Train_Start)*(B3236&lt;=Train_End)</f>
        <v>0</v>
      </c>
      <c r="T3236" s="84" t="n">
        <f aca="false">IF(AND(ISNUMBER(O3236),ISNUMBER(P3236)),Coef_A+Coef_B1*O3236+Coef_B2*P3236,"")</f>
        <v>18.9412642247236</v>
      </c>
      <c r="U3236" s="84" t="n">
        <f aca="false">IF(AND(R3236=1,ISNUMBER(T3236)),E3236-T3236,"")</f>
        <v>-4.64126422472364</v>
      </c>
      <c r="V3236" s="84" t="n">
        <f aca="false">IF(ISNUMBER(T3236),T3236,-99)</f>
        <v>18.9412642247236</v>
      </c>
      <c r="W3236" s="84" t="n">
        <f aca="false">IF(ISNUMBER(U3236),ABS(U3236),"")</f>
        <v>4.64126422472364</v>
      </c>
    </row>
    <row r="3237" customFormat="false" ht="15" hidden="false" customHeight="false" outlineLevel="0" collapsed="false">
      <c r="A3237" s="57" t="n">
        <v>36669</v>
      </c>
      <c r="B3237" s="56" t="n">
        <v>2000</v>
      </c>
      <c r="C3237" s="56" t="n">
        <v>5</v>
      </c>
      <c r="D3237" s="56" t="n">
        <v>23</v>
      </c>
      <c r="E3237" s="56" t="n">
        <v>16.2</v>
      </c>
      <c r="F3237" s="56" t="n">
        <v>0</v>
      </c>
      <c r="G3237" s="56" t="n">
        <v>11.6</v>
      </c>
      <c r="H3237" s="56" t="n">
        <v>0</v>
      </c>
      <c r="I3237" s="56" t="n">
        <v>13</v>
      </c>
      <c r="J3237" s="56" t="n">
        <v>0</v>
      </c>
      <c r="K3237" s="56" t="n">
        <v>1013.1</v>
      </c>
      <c r="L3237" s="56" t="n">
        <v>0</v>
      </c>
      <c r="M3237" s="56" t="n">
        <v>85</v>
      </c>
      <c r="N3237" s="56" t="n">
        <v>0</v>
      </c>
      <c r="O3237" s="56" t="n">
        <f aca="false">IF(D3237=1,"",E3236)</f>
        <v>14.3</v>
      </c>
      <c r="P3237" s="56" t="n">
        <f aca="false">IF(OR(D3237=1,K3236=""),"",K3236)</f>
        <v>1014.9</v>
      </c>
      <c r="Q3237" s="56" t="n">
        <f aca="false">IF(OR(F3237&lt;&gt;0,AND(I3237&lt;&gt;"",E3237&lt;I3237)),1,0)</f>
        <v>0</v>
      </c>
      <c r="R3237" s="56" t="n">
        <f aca="false">IF(AND(D3237&gt;1,Q3237=0,ISNUMBER(O3237),ISNUMBER(P3237)),IF(Q3236=0,1,0),0)</f>
        <v>1</v>
      </c>
      <c r="S3237" s="56" t="n">
        <f aca="false">R3237*(B3237&gt;=Train_Start)*(B3237&lt;=Train_End)</f>
        <v>0</v>
      </c>
      <c r="T3237" s="84" t="n">
        <f aca="false">IF(AND(ISNUMBER(O3237),ISNUMBER(P3237)),Coef_A+Coef_B1*O3237+Coef_B2*P3237,"")</f>
        <v>15.6408319465415</v>
      </c>
      <c r="U3237" s="84" t="n">
        <f aca="false">IF(AND(R3237=1,ISNUMBER(T3237)),E3237-T3237,"")</f>
        <v>0.559168053458464</v>
      </c>
      <c r="V3237" s="84" t="n">
        <f aca="false">IF(ISNUMBER(T3237),T3237,-99)</f>
        <v>15.6408319465415</v>
      </c>
      <c r="W3237" s="84" t="n">
        <f aca="false">IF(ISNUMBER(U3237),ABS(U3237),"")</f>
        <v>0.559168053458464</v>
      </c>
    </row>
    <row r="3238" customFormat="false" ht="15" hidden="false" customHeight="false" outlineLevel="0" collapsed="false">
      <c r="A3238" s="57" t="n">
        <v>36670</v>
      </c>
      <c r="B3238" s="56" t="n">
        <v>2000</v>
      </c>
      <c r="C3238" s="56" t="n">
        <v>5</v>
      </c>
      <c r="D3238" s="56" t="n">
        <v>24</v>
      </c>
      <c r="E3238" s="56" t="n">
        <v>16.8</v>
      </c>
      <c r="F3238" s="56" t="n">
        <v>0</v>
      </c>
      <c r="G3238" s="56" t="n">
        <v>9.6</v>
      </c>
      <c r="H3238" s="56" t="n">
        <v>0</v>
      </c>
      <c r="I3238" s="56" t="n">
        <v>12.9</v>
      </c>
      <c r="J3238" s="56" t="n">
        <v>0</v>
      </c>
      <c r="K3238" s="56" t="n">
        <v>1011.9</v>
      </c>
      <c r="L3238" s="56" t="n">
        <v>0</v>
      </c>
      <c r="M3238" s="56" t="n">
        <v>79</v>
      </c>
      <c r="N3238" s="56" t="n">
        <v>3.8</v>
      </c>
      <c r="O3238" s="56" t="n">
        <f aca="false">IF(D3238=1,"",E3237)</f>
        <v>16.2</v>
      </c>
      <c r="P3238" s="56" t="n">
        <f aca="false">IF(OR(D3238=1,K3237=""),"",K3237)</f>
        <v>1013.1</v>
      </c>
      <c r="Q3238" s="56" t="n">
        <f aca="false">IF(OR(F3238&lt;&gt;0,AND(I3238&lt;&gt;"",E3238&lt;I3238)),1,0)</f>
        <v>0</v>
      </c>
      <c r="R3238" s="56" t="n">
        <f aca="false">IF(AND(D3238&gt;1,Q3238=0,ISNUMBER(O3238),ISNUMBER(P3238)),IF(Q3237=0,1,0),0)</f>
        <v>1</v>
      </c>
      <c r="S3238" s="56" t="n">
        <f aca="false">R3238*(B3238&gt;=Train_Start)*(B3238&lt;=Train_End)</f>
        <v>0</v>
      </c>
      <c r="T3238" s="84" t="n">
        <f aca="false">IF(AND(ISNUMBER(O3238),ISNUMBER(P3238)),Coef_A+Coef_B1*O3238+Coef_B2*P3238,"")</f>
        <v>17.1411106029814</v>
      </c>
      <c r="U3238" s="84" t="n">
        <f aca="false">IF(AND(R3238=1,ISNUMBER(T3238)),E3238-T3238,"")</f>
        <v>-0.341110602981406</v>
      </c>
      <c r="V3238" s="84" t="n">
        <f aca="false">IF(ISNUMBER(T3238),T3238,-99)</f>
        <v>17.1411106029814</v>
      </c>
      <c r="W3238" s="84" t="n">
        <f aca="false">IF(ISNUMBER(U3238),ABS(U3238),"")</f>
        <v>0.341110602981406</v>
      </c>
    </row>
    <row r="3239" customFormat="false" ht="15" hidden="false" customHeight="false" outlineLevel="0" collapsed="false">
      <c r="A3239" s="57" t="n">
        <v>36671</v>
      </c>
      <c r="B3239" s="56" t="n">
        <v>2000</v>
      </c>
      <c r="C3239" s="56" t="n">
        <v>5</v>
      </c>
      <c r="D3239" s="56" t="n">
        <v>25</v>
      </c>
      <c r="E3239" s="56" t="n">
        <v>12.8</v>
      </c>
      <c r="F3239" s="56" t="n">
        <v>1</v>
      </c>
      <c r="G3239" s="56" t="n">
        <v>9.2</v>
      </c>
      <c r="H3239" s="56" t="n">
        <v>0</v>
      </c>
      <c r="I3239" s="56" t="n">
        <v>13</v>
      </c>
      <c r="J3239" s="56" t="n">
        <v>1</v>
      </c>
      <c r="K3239" s="56" t="n">
        <v>1010.9</v>
      </c>
      <c r="L3239" s="56" t="n">
        <v>0</v>
      </c>
      <c r="M3239" s="56" t="n">
        <v>67</v>
      </c>
      <c r="N3239" s="56" t="n">
        <v>12.2</v>
      </c>
      <c r="O3239" s="56" t="n">
        <f aca="false">IF(D3239=1,"",E3238)</f>
        <v>16.8</v>
      </c>
      <c r="P3239" s="56" t="n">
        <f aca="false">IF(OR(D3239=1,K3238=""),"",K3238)</f>
        <v>1011.9</v>
      </c>
      <c r="Q3239" s="56" t="n">
        <f aca="false">IF(OR(F3239&lt;&gt;0,AND(I3239&lt;&gt;"",E3239&lt;I3239)),1,0)</f>
        <v>1</v>
      </c>
      <c r="R3239" s="56" t="n">
        <f aca="false">IF(AND(D3239&gt;1,Q3239=0,ISNUMBER(O3239),ISNUMBER(P3239)),IF(Q3238=0,1,0),0)</f>
        <v>0</v>
      </c>
      <c r="S3239" s="56" t="n">
        <f aca="false">R3239*(B3239&gt;=Train_Start)*(B3239&lt;=Train_End)</f>
        <v>0</v>
      </c>
      <c r="T3239" s="84" t="n">
        <f aca="false">IF(AND(ISNUMBER(O3239),ISNUMBER(P3239)),Coef_A+Coef_B1*O3239+Coef_B2*P3239,"")</f>
        <v>17.5950702452462</v>
      </c>
      <c r="U3239" s="84" t="str">
        <f aca="false">IF(AND(R3239=1,ISNUMBER(T3239)),E3239-T3239,"")</f>
        <v/>
      </c>
      <c r="V3239" s="84" t="n">
        <f aca="false">IF(ISNUMBER(T3239),T3239,-99)</f>
        <v>17.5950702452462</v>
      </c>
      <c r="W3239" s="84" t="str">
        <f aca="false">IF(ISNUMBER(U3239),ABS(U3239),"")</f>
        <v/>
      </c>
    </row>
    <row r="3240" customFormat="false" ht="15" hidden="false" customHeight="false" outlineLevel="0" collapsed="false">
      <c r="A3240" s="57" t="n">
        <v>36672</v>
      </c>
      <c r="B3240" s="56" t="n">
        <v>2000</v>
      </c>
      <c r="C3240" s="56" t="n">
        <v>5</v>
      </c>
      <c r="D3240" s="56" t="n">
        <v>26</v>
      </c>
      <c r="E3240" s="56" t="n">
        <v>14.8</v>
      </c>
      <c r="F3240" s="56" t="n">
        <v>0</v>
      </c>
      <c r="G3240" s="56" t="n">
        <v>10.4</v>
      </c>
      <c r="H3240" s="56" t="n">
        <v>0</v>
      </c>
      <c r="I3240" s="56" t="n">
        <v>11.6</v>
      </c>
      <c r="J3240" s="56" t="n">
        <v>0</v>
      </c>
      <c r="K3240" s="56" t="n">
        <v>1008.1</v>
      </c>
      <c r="L3240" s="56" t="n">
        <v>0</v>
      </c>
      <c r="M3240" s="56" t="n">
        <v>86</v>
      </c>
      <c r="N3240" s="56" t="n">
        <v>0</v>
      </c>
      <c r="O3240" s="56" t="n">
        <f aca="false">IF(D3240=1,"",E3239)</f>
        <v>12.8</v>
      </c>
      <c r="P3240" s="56" t="n">
        <f aca="false">IF(OR(D3240=1,K3239=""),"",K3239)</f>
        <v>1010.9</v>
      </c>
      <c r="Q3240" s="56" t="n">
        <f aca="false">IF(OR(F3240&lt;&gt;0,AND(I3240&lt;&gt;"",E3240&lt;I3240)),1,0)</f>
        <v>0</v>
      </c>
      <c r="R3240" s="56" t="n">
        <f aca="false">IF(AND(D3240&gt;1,Q3240=0,ISNUMBER(O3240),ISNUMBER(P3240)),IF(Q3239=0,1,0),0)</f>
        <v>0</v>
      </c>
      <c r="S3240" s="56" t="n">
        <f aca="false">R3240*(B3240&gt;=Train_Start)*(B3240&lt;=Train_End)</f>
        <v>0</v>
      </c>
      <c r="T3240" s="84" t="n">
        <f aca="false">IF(AND(ISNUMBER(O3240),ISNUMBER(P3240)),Coef_A+Coef_B1*O3240+Coef_B2*P3240,"")</f>
        <v>14.2863435784416</v>
      </c>
      <c r="U3240" s="84" t="str">
        <f aca="false">IF(AND(R3240=1,ISNUMBER(T3240)),E3240-T3240,"")</f>
        <v/>
      </c>
      <c r="V3240" s="84" t="n">
        <f aca="false">IF(ISNUMBER(T3240),T3240,-99)</f>
        <v>14.2863435784416</v>
      </c>
      <c r="W3240" s="84" t="str">
        <f aca="false">IF(ISNUMBER(U3240),ABS(U3240),"")</f>
        <v/>
      </c>
    </row>
    <row r="3241" customFormat="false" ht="15" hidden="false" customHeight="false" outlineLevel="0" collapsed="false">
      <c r="A3241" s="57" t="n">
        <v>36673</v>
      </c>
      <c r="B3241" s="56" t="n">
        <v>2000</v>
      </c>
      <c r="C3241" s="56" t="n">
        <v>5</v>
      </c>
      <c r="D3241" s="56" t="n">
        <v>27</v>
      </c>
      <c r="E3241" s="56" t="n">
        <v>15.6</v>
      </c>
      <c r="F3241" s="56" t="n">
        <v>0</v>
      </c>
      <c r="G3241" s="56" t="n">
        <v>7</v>
      </c>
      <c r="H3241" s="56" t="n">
        <v>0</v>
      </c>
      <c r="I3241" s="56" t="n">
        <v>10.9</v>
      </c>
      <c r="J3241" s="56" t="n">
        <v>0</v>
      </c>
      <c r="K3241" s="56" t="n">
        <v>1005.7</v>
      </c>
      <c r="L3241" s="56" t="n">
        <v>0</v>
      </c>
      <c r="M3241" s="56" t="n">
        <v>74</v>
      </c>
      <c r="N3241" s="56" t="n">
        <v>10.2</v>
      </c>
      <c r="O3241" s="56" t="n">
        <f aca="false">IF(D3241=1,"",E3240)</f>
        <v>14.8</v>
      </c>
      <c r="P3241" s="56" t="n">
        <f aca="false">IF(OR(D3241=1,K3240=""),"",K3240)</f>
        <v>1008.1</v>
      </c>
      <c r="Q3241" s="56" t="n">
        <f aca="false">IF(OR(F3241&lt;&gt;0,AND(I3241&lt;&gt;"",E3241&lt;I3241)),1,0)</f>
        <v>0</v>
      </c>
      <c r="R3241" s="56" t="n">
        <f aca="false">IF(AND(D3241&gt;1,Q3241=0,ISNUMBER(O3241),ISNUMBER(P3241)),IF(Q3240=0,1,0),0)</f>
        <v>1</v>
      </c>
      <c r="S3241" s="56" t="n">
        <f aca="false">R3241*(B3241&gt;=Train_Start)*(B3241&lt;=Train_End)</f>
        <v>0</v>
      </c>
      <c r="T3241" s="84" t="n">
        <f aca="false">IF(AND(ISNUMBER(O3241),ISNUMBER(P3241)),Coef_A+Coef_B1*O3241+Coef_B2*P3241,"")</f>
        <v>15.8371862595517</v>
      </c>
      <c r="U3241" s="84" t="n">
        <f aca="false">IF(AND(R3241=1,ISNUMBER(T3241)),E3241-T3241,"")</f>
        <v>-0.23718625955174</v>
      </c>
      <c r="V3241" s="84" t="n">
        <f aca="false">IF(ISNUMBER(T3241),T3241,-99)</f>
        <v>15.8371862595517</v>
      </c>
      <c r="W3241" s="84" t="n">
        <f aca="false">IF(ISNUMBER(U3241),ABS(U3241),"")</f>
        <v>0.23718625955174</v>
      </c>
    </row>
    <row r="3242" customFormat="false" ht="15" hidden="false" customHeight="false" outlineLevel="0" collapsed="false">
      <c r="A3242" s="57" t="n">
        <v>36674</v>
      </c>
      <c r="B3242" s="56" t="n">
        <v>2000</v>
      </c>
      <c r="C3242" s="56" t="n">
        <v>5</v>
      </c>
      <c r="D3242" s="56" t="n">
        <v>28</v>
      </c>
      <c r="E3242" s="56" t="n">
        <v>17.4</v>
      </c>
      <c r="F3242" s="56" t="n">
        <v>0</v>
      </c>
      <c r="G3242" s="56" t="n">
        <v>5.9</v>
      </c>
      <c r="H3242" s="56" t="n">
        <v>0</v>
      </c>
      <c r="I3242" s="56" t="n">
        <v>10.8</v>
      </c>
      <c r="J3242" s="56" t="n">
        <v>0</v>
      </c>
      <c r="K3242" s="56" t="n">
        <v>1001.8</v>
      </c>
      <c r="L3242" s="56" t="n">
        <v>0</v>
      </c>
      <c r="M3242" s="56" t="n">
        <v>77</v>
      </c>
      <c r="N3242" s="56" t="n">
        <v>6.4</v>
      </c>
      <c r="O3242" s="56" t="n">
        <f aca="false">IF(D3242=1,"",E3241)</f>
        <v>15.6</v>
      </c>
      <c r="P3242" s="56" t="n">
        <f aca="false">IF(OR(D3242=1,K3241=""),"",K3241)</f>
        <v>1005.7</v>
      </c>
      <c r="Q3242" s="56" t="n">
        <f aca="false">IF(OR(F3242&lt;&gt;0,AND(I3242&lt;&gt;"",E3242&lt;I3242)),1,0)</f>
        <v>0</v>
      </c>
      <c r="R3242" s="56" t="n">
        <f aca="false">IF(AND(D3242&gt;1,Q3242=0,ISNUMBER(O3242),ISNUMBER(P3242)),IF(Q3241=0,1,0),0)</f>
        <v>1</v>
      </c>
      <c r="S3242" s="56" t="n">
        <f aca="false">R3242*(B3242&gt;=Train_Start)*(B3242&lt;=Train_End)</f>
        <v>0</v>
      </c>
      <c r="T3242" s="84" t="n">
        <f aca="false">IF(AND(ISNUMBER(O3242),ISNUMBER(P3242)),Coef_A+Coef_B1*O3242+Coef_B2*P3242,"")</f>
        <v>16.4173698668643</v>
      </c>
      <c r="U3242" s="84" t="n">
        <f aca="false">IF(AND(R3242=1,ISNUMBER(T3242)),E3242-T3242,"")</f>
        <v>0.982630133135707</v>
      </c>
      <c r="V3242" s="84" t="n">
        <f aca="false">IF(ISNUMBER(T3242),T3242,-99)</f>
        <v>16.4173698668643</v>
      </c>
      <c r="W3242" s="84" t="n">
        <f aca="false">IF(ISNUMBER(U3242),ABS(U3242),"")</f>
        <v>0.982630133135707</v>
      </c>
    </row>
    <row r="3243" customFormat="false" ht="15" hidden="false" customHeight="false" outlineLevel="0" collapsed="false">
      <c r="A3243" s="57" t="n">
        <v>36675</v>
      </c>
      <c r="B3243" s="56" t="n">
        <v>2000</v>
      </c>
      <c r="C3243" s="56" t="n">
        <v>5</v>
      </c>
      <c r="D3243" s="56" t="n">
        <v>29</v>
      </c>
      <c r="E3243" s="56" t="n">
        <v>15.7</v>
      </c>
      <c r="F3243" s="56" t="n">
        <v>0</v>
      </c>
      <c r="G3243" s="56" t="n">
        <v>6.2</v>
      </c>
      <c r="H3243" s="56" t="n">
        <v>0</v>
      </c>
      <c r="I3243" s="56" t="n">
        <v>11.8</v>
      </c>
      <c r="J3243" s="56" t="n">
        <v>0</v>
      </c>
      <c r="K3243" s="56" t="n">
        <v>1013.2</v>
      </c>
      <c r="L3243" s="56" t="n">
        <v>0</v>
      </c>
      <c r="M3243" s="56" t="n">
        <v>68</v>
      </c>
      <c r="N3243" s="56" t="n">
        <v>12.5</v>
      </c>
      <c r="O3243" s="56" t="n">
        <f aca="false">IF(D3243=1,"",E3242)</f>
        <v>17.4</v>
      </c>
      <c r="P3243" s="56" t="n">
        <f aca="false">IF(OR(D3243=1,K3242=""),"",K3242)</f>
        <v>1001.8</v>
      </c>
      <c r="Q3243" s="56" t="n">
        <f aca="false">IF(OR(F3243&lt;&gt;0,AND(I3243&lt;&gt;"",E3243&lt;I3243)),1,0)</f>
        <v>0</v>
      </c>
      <c r="R3243" s="56" t="n">
        <f aca="false">IF(AND(D3243&gt;1,Q3243=0,ISNUMBER(O3243),ISNUMBER(P3243)),IF(Q3242=0,1,0),0)</f>
        <v>1</v>
      </c>
      <c r="S3243" s="56" t="n">
        <f aca="false">R3243*(B3243&gt;=Train_Start)*(B3243&lt;=Train_End)</f>
        <v>0</v>
      </c>
      <c r="T3243" s="84" t="n">
        <f aca="false">IF(AND(ISNUMBER(O3243),ISNUMBER(P3243)),Coef_A+Coef_B1*O3243+Coef_B2*P3243,"")</f>
        <v>17.7698378252685</v>
      </c>
      <c r="U3243" s="84" t="n">
        <f aca="false">IF(AND(R3243=1,ISNUMBER(T3243)),E3243-T3243,"")</f>
        <v>-2.06983782526851</v>
      </c>
      <c r="V3243" s="84" t="n">
        <f aca="false">IF(ISNUMBER(T3243),T3243,-99)</f>
        <v>17.7698378252685</v>
      </c>
      <c r="W3243" s="84" t="n">
        <f aca="false">IF(ISNUMBER(U3243),ABS(U3243),"")</f>
        <v>2.06983782526851</v>
      </c>
    </row>
    <row r="3244" customFormat="false" ht="15" hidden="false" customHeight="false" outlineLevel="0" collapsed="false">
      <c r="A3244" s="57" t="n">
        <v>36676</v>
      </c>
      <c r="B3244" s="56" t="n">
        <v>2000</v>
      </c>
      <c r="C3244" s="56" t="n">
        <v>5</v>
      </c>
      <c r="D3244" s="56" t="n">
        <v>30</v>
      </c>
      <c r="E3244" s="56" t="n">
        <v>19</v>
      </c>
      <c r="F3244" s="56" t="n">
        <v>0</v>
      </c>
      <c r="G3244" s="56" t="n">
        <v>9.3</v>
      </c>
      <c r="H3244" s="56" t="n">
        <v>0</v>
      </c>
      <c r="I3244" s="56" t="n">
        <v>12.5</v>
      </c>
      <c r="J3244" s="56" t="n">
        <v>0</v>
      </c>
      <c r="K3244" s="56" t="n">
        <v>1013.3</v>
      </c>
      <c r="L3244" s="56" t="n">
        <v>0</v>
      </c>
      <c r="M3244" s="56" t="n">
        <v>66</v>
      </c>
      <c r="N3244" s="56" t="n">
        <v>2.3</v>
      </c>
      <c r="O3244" s="56" t="n">
        <f aca="false">IF(D3244=1,"",E3243)</f>
        <v>15.7</v>
      </c>
      <c r="P3244" s="56" t="n">
        <f aca="false">IF(OR(D3244=1,K3243=""),"",K3243)</f>
        <v>1013.2</v>
      </c>
      <c r="Q3244" s="56" t="n">
        <f aca="false">IF(OR(F3244&lt;&gt;0,AND(I3244&lt;&gt;"",E3244&lt;I3244)),1,0)</f>
        <v>0</v>
      </c>
      <c r="R3244" s="56" t="n">
        <f aca="false">IF(AND(D3244&gt;1,Q3244=0,ISNUMBER(O3244),ISNUMBER(P3244)),IF(Q3243=0,1,0),0)</f>
        <v>1</v>
      </c>
      <c r="S3244" s="56" t="n">
        <f aca="false">R3244*(B3244&gt;=Train_Start)*(B3244&lt;=Train_End)</f>
        <v>0</v>
      </c>
      <c r="T3244" s="84" t="n">
        <f aca="false">IF(AND(ISNUMBER(O3244),ISNUMBER(P3244)),Coef_A+Coef_B1*O3244+Coef_B2*P3244,"")</f>
        <v>16.7345779959235</v>
      </c>
      <c r="U3244" s="84" t="n">
        <f aca="false">IF(AND(R3244=1,ISNUMBER(T3244)),E3244-T3244,"")</f>
        <v>2.26542200407653</v>
      </c>
      <c r="V3244" s="84" t="n">
        <f aca="false">IF(ISNUMBER(T3244),T3244,-99)</f>
        <v>16.7345779959235</v>
      </c>
      <c r="W3244" s="84" t="n">
        <f aca="false">IF(ISNUMBER(U3244),ABS(U3244),"")</f>
        <v>2.26542200407653</v>
      </c>
    </row>
    <row r="3245" customFormat="false" ht="15" hidden="false" customHeight="false" outlineLevel="0" collapsed="false">
      <c r="A3245" s="57" t="n">
        <v>36677</v>
      </c>
      <c r="B3245" s="56" t="n">
        <v>2000</v>
      </c>
      <c r="C3245" s="56" t="n">
        <v>5</v>
      </c>
      <c r="D3245" s="56" t="n">
        <v>31</v>
      </c>
      <c r="E3245" s="56" t="n">
        <v>16.8</v>
      </c>
      <c r="F3245" s="56" t="n">
        <v>0</v>
      </c>
      <c r="G3245" s="56" t="n">
        <v>6.3</v>
      </c>
      <c r="H3245" s="56" t="n">
        <v>0</v>
      </c>
      <c r="I3245" s="56" t="n">
        <v>12.6</v>
      </c>
      <c r="J3245" s="56" t="n">
        <v>0</v>
      </c>
      <c r="K3245" s="56" t="n">
        <v>1018.3</v>
      </c>
      <c r="L3245" s="56" t="n">
        <v>0</v>
      </c>
      <c r="M3245" s="56" t="n">
        <v>66</v>
      </c>
      <c r="N3245" s="56" t="n">
        <v>8.5</v>
      </c>
      <c r="O3245" s="56" t="n">
        <f aca="false">IF(D3245=1,"",E3244)</f>
        <v>19</v>
      </c>
      <c r="P3245" s="56" t="n">
        <f aca="false">IF(OR(D3245=1,K3244=""),"",K3244)</f>
        <v>1013.3</v>
      </c>
      <c r="Q3245" s="56" t="n">
        <f aca="false">IF(OR(F3245&lt;&gt;0,AND(I3245&lt;&gt;"",E3245&lt;I3245)),1,0)</f>
        <v>0</v>
      </c>
      <c r="R3245" s="56" t="n">
        <f aca="false">IF(AND(D3245&gt;1,Q3245=0,ISNUMBER(O3245),ISNUMBER(P3245)),IF(Q3244=0,1,0),0)</f>
        <v>1</v>
      </c>
      <c r="S3245" s="56" t="n">
        <f aca="false">R3245*(B3245&gt;=Train_Start)*(B3245&lt;=Train_End)</f>
        <v>0</v>
      </c>
      <c r="T3245" s="84" t="n">
        <f aca="false">IF(AND(ISNUMBER(O3245),ISNUMBER(P3245)),Coef_A+Coef_B1*O3245+Coef_B2*P3245,"")</f>
        <v>19.4415343224276</v>
      </c>
      <c r="U3245" s="84" t="n">
        <f aca="false">IF(AND(R3245=1,ISNUMBER(T3245)),E3245-T3245,"")</f>
        <v>-2.64153432242764</v>
      </c>
      <c r="V3245" s="84" t="n">
        <f aca="false">IF(ISNUMBER(T3245),T3245,-99)</f>
        <v>19.4415343224276</v>
      </c>
      <c r="W3245" s="84" t="n">
        <f aca="false">IF(ISNUMBER(U3245),ABS(U3245),"")</f>
        <v>2.64153432242764</v>
      </c>
    </row>
    <row r="3246" customFormat="false" ht="15" hidden="false" customHeight="false" outlineLevel="0" collapsed="false">
      <c r="A3246" s="57" t="n">
        <v>36678</v>
      </c>
      <c r="B3246" s="56" t="n">
        <v>2000</v>
      </c>
      <c r="C3246" s="56" t="n">
        <v>6</v>
      </c>
      <c r="D3246" s="56" t="n">
        <v>32</v>
      </c>
      <c r="E3246" s="56" t="n">
        <v>18.8</v>
      </c>
      <c r="F3246" s="56" t="n">
        <v>0</v>
      </c>
      <c r="G3246" s="56" t="n">
        <v>12.3</v>
      </c>
      <c r="H3246" s="56" t="n">
        <v>0</v>
      </c>
      <c r="I3246" s="56" t="n">
        <v>14.6</v>
      </c>
      <c r="J3246" s="56" t="n">
        <v>0</v>
      </c>
      <c r="K3246" s="56" t="n">
        <v>1016.3</v>
      </c>
      <c r="L3246" s="56" t="n">
        <v>0</v>
      </c>
      <c r="M3246" s="56" t="n">
        <v>85</v>
      </c>
      <c r="N3246" s="56" t="n">
        <v>3.3</v>
      </c>
      <c r="O3246" s="56" t="n">
        <f aca="false">IF(D3246=1,"",E3245)</f>
        <v>16.8</v>
      </c>
      <c r="P3246" s="56" t="n">
        <f aca="false">IF(OR(D3246=1,K3245=""),"",K3245)</f>
        <v>1018.3</v>
      </c>
      <c r="Q3246" s="56" t="n">
        <f aca="false">IF(OR(F3246&lt;&gt;0,AND(I3246&lt;&gt;"",E3246&lt;I3246)),1,0)</f>
        <v>0</v>
      </c>
      <c r="R3246" s="56" t="n">
        <f aca="false">IF(AND(D3246&gt;1,Q3246=0,ISNUMBER(O3246),ISNUMBER(P3246)),IF(Q3245=0,1,0),0)</f>
        <v>1</v>
      </c>
      <c r="S3246" s="56" t="n">
        <f aca="false">R3246*(B3246&gt;=Train_Start)*(B3246&lt;=Train_End)</f>
        <v>0</v>
      </c>
      <c r="T3246" s="84" t="n">
        <f aca="false">IF(AND(ISNUMBER(O3246),ISNUMBER(P3246)),Coef_A+Coef_B1*O3246+Coef_B2*P3246,"")</f>
        <v>17.7958375709037</v>
      </c>
      <c r="U3246" s="84" t="n">
        <f aca="false">IF(AND(R3246=1,ISNUMBER(T3246)),E3246-T3246,"")</f>
        <v>1.00416242909626</v>
      </c>
      <c r="V3246" s="84" t="n">
        <f aca="false">IF(ISNUMBER(T3246),T3246,-99)</f>
        <v>17.7958375709037</v>
      </c>
      <c r="W3246" s="84" t="n">
        <f aca="false">IF(ISNUMBER(U3246),ABS(U3246),"")</f>
        <v>1.00416242909626</v>
      </c>
    </row>
    <row r="3247" customFormat="false" ht="15" hidden="false" customHeight="false" outlineLevel="0" collapsed="false">
      <c r="A3247" s="57" t="n">
        <v>36679</v>
      </c>
      <c r="B3247" s="56" t="n">
        <v>2000</v>
      </c>
      <c r="C3247" s="56" t="n">
        <v>6</v>
      </c>
      <c r="D3247" s="56" t="n">
        <v>33</v>
      </c>
      <c r="E3247" s="56" t="n">
        <v>22.9</v>
      </c>
      <c r="F3247" s="56" t="n">
        <v>0</v>
      </c>
      <c r="G3247" s="56" t="n">
        <v>12.9</v>
      </c>
      <c r="H3247" s="56" t="n">
        <v>0</v>
      </c>
      <c r="I3247" s="56" t="n">
        <v>15.8</v>
      </c>
      <c r="J3247" s="56" t="n">
        <v>0</v>
      </c>
      <c r="K3247" s="56" t="n">
        <v>1017.7</v>
      </c>
      <c r="L3247" s="56" t="n">
        <v>0</v>
      </c>
      <c r="M3247" s="56" t="n">
        <v>76</v>
      </c>
      <c r="N3247" s="56" t="n">
        <v>0.4</v>
      </c>
      <c r="O3247" s="56" t="n">
        <f aca="false">IF(D3247=1,"",E3246)</f>
        <v>18.8</v>
      </c>
      <c r="P3247" s="56" t="n">
        <f aca="false">IF(OR(D3247=1,K3246=""),"",K3246)</f>
        <v>1016.3</v>
      </c>
      <c r="Q3247" s="56" t="n">
        <f aca="false">IF(OR(F3247&lt;&gt;0,AND(I3247&lt;&gt;"",E3247&lt;I3247)),1,0)</f>
        <v>0</v>
      </c>
      <c r="R3247" s="56" t="n">
        <f aca="false">IF(AND(D3247&gt;1,Q3247=0,ISNUMBER(O3247),ISNUMBER(P3247)),IF(Q3246=0,1,0),0)</f>
        <v>1</v>
      </c>
      <c r="S3247" s="56" t="n">
        <f aca="false">R3247*(B3247&gt;=Train_Start)*(B3247&lt;=Train_End)</f>
        <v>0</v>
      </c>
      <c r="T3247" s="84" t="n">
        <f aca="false">IF(AND(ISNUMBER(O3247),ISNUMBER(P3247)),Coef_A+Coef_B1*O3247+Coef_B2*P3247,"")</f>
        <v>19.3717761677211</v>
      </c>
      <c r="U3247" s="84" t="n">
        <f aca="false">IF(AND(R3247=1,ISNUMBER(T3247)),E3247-T3247,"")</f>
        <v>3.52822383227892</v>
      </c>
      <c r="V3247" s="84" t="n">
        <f aca="false">IF(ISNUMBER(T3247),T3247,-99)</f>
        <v>19.3717761677211</v>
      </c>
      <c r="W3247" s="84" t="n">
        <f aca="false">IF(ISNUMBER(U3247),ABS(U3247),"")</f>
        <v>3.52822383227892</v>
      </c>
    </row>
    <row r="3248" customFormat="false" ht="15" hidden="false" customHeight="false" outlineLevel="0" collapsed="false">
      <c r="A3248" s="57" t="n">
        <v>36680</v>
      </c>
      <c r="B3248" s="56" t="n">
        <v>2000</v>
      </c>
      <c r="C3248" s="56" t="n">
        <v>6</v>
      </c>
      <c r="D3248" s="56" t="n">
        <v>34</v>
      </c>
      <c r="E3248" s="56" t="n">
        <v>18.1</v>
      </c>
      <c r="F3248" s="56" t="n">
        <v>0</v>
      </c>
      <c r="G3248" s="56" t="n">
        <v>12.1</v>
      </c>
      <c r="H3248" s="56" t="n">
        <v>0</v>
      </c>
      <c r="I3248" s="56" t="n">
        <v>17.5</v>
      </c>
      <c r="J3248" s="56" t="n">
        <v>0</v>
      </c>
      <c r="K3248" s="56" t="n">
        <v>1016.6</v>
      </c>
      <c r="L3248" s="56" t="n">
        <v>0</v>
      </c>
      <c r="M3248" s="56" t="n">
        <v>72</v>
      </c>
      <c r="N3248" s="56" t="n">
        <v>8.9</v>
      </c>
      <c r="O3248" s="56" t="n">
        <f aca="false">IF(D3248=1,"",E3247)</f>
        <v>22.9</v>
      </c>
      <c r="P3248" s="56" t="n">
        <f aca="false">IF(OR(D3248=1,K3247=""),"",K3247)</f>
        <v>1017.7</v>
      </c>
      <c r="Q3248" s="56" t="n">
        <f aca="false">IF(OR(F3248&lt;&gt;0,AND(I3248&lt;&gt;"",E3248&lt;I3248)),1,0)</f>
        <v>0</v>
      </c>
      <c r="R3248" s="56" t="n">
        <f aca="false">IF(AND(D3248&gt;1,Q3248=0,ISNUMBER(O3248),ISNUMBER(P3248)),IF(Q3247=0,1,0),0)</f>
        <v>1</v>
      </c>
      <c r="S3248" s="56" t="n">
        <f aca="false">R3248*(B3248&gt;=Train_Start)*(B3248&lt;=Train_End)</f>
        <v>0</v>
      </c>
      <c r="T3248" s="84" t="n">
        <f aca="false">IF(AND(ISNUMBER(O3248),ISNUMBER(P3248)),Coef_A+Coef_B1*O3248+Coef_B2*P3248,"")</f>
        <v>22.7749847116836</v>
      </c>
      <c r="U3248" s="84" t="n">
        <f aca="false">IF(AND(R3248=1,ISNUMBER(T3248)),E3248-T3248,"")</f>
        <v>-4.67498471168356</v>
      </c>
      <c r="V3248" s="84" t="n">
        <f aca="false">IF(ISNUMBER(T3248),T3248,-99)</f>
        <v>22.7749847116836</v>
      </c>
      <c r="W3248" s="84" t="n">
        <f aca="false">IF(ISNUMBER(U3248),ABS(U3248),"")</f>
        <v>4.67498471168356</v>
      </c>
    </row>
    <row r="3249" customFormat="false" ht="15" hidden="false" customHeight="false" outlineLevel="0" collapsed="false">
      <c r="A3249" s="57" t="n">
        <v>36681</v>
      </c>
      <c r="B3249" s="56" t="n">
        <v>2000</v>
      </c>
      <c r="C3249" s="56" t="n">
        <v>6</v>
      </c>
      <c r="D3249" s="56" t="n">
        <v>35</v>
      </c>
      <c r="E3249" s="56" t="n">
        <v>16.1</v>
      </c>
      <c r="F3249" s="56" t="n">
        <v>0</v>
      </c>
      <c r="G3249" s="56" t="n">
        <v>11.3</v>
      </c>
      <c r="H3249" s="56" t="n">
        <v>0</v>
      </c>
      <c r="I3249" s="56" t="n">
        <v>14.7</v>
      </c>
      <c r="J3249" s="56" t="n">
        <v>0</v>
      </c>
      <c r="K3249" s="56" t="n">
        <v>1016.9</v>
      </c>
      <c r="L3249" s="56" t="n">
        <v>0</v>
      </c>
      <c r="M3249" s="56" t="n">
        <v>69</v>
      </c>
      <c r="N3249" s="56" t="n">
        <v>7.4</v>
      </c>
      <c r="O3249" s="56" t="n">
        <f aca="false">IF(D3249=1,"",E3248)</f>
        <v>18.1</v>
      </c>
      <c r="P3249" s="56" t="n">
        <f aca="false">IF(OR(D3249=1,K3248=""),"",K3248)</f>
        <v>1016.6</v>
      </c>
      <c r="Q3249" s="56" t="n">
        <f aca="false">IF(OR(F3249&lt;&gt;0,AND(I3249&lt;&gt;"",E3249&lt;I3249)),1,0)</f>
        <v>0</v>
      </c>
      <c r="R3249" s="56" t="n">
        <f aca="false">IF(AND(D3249&gt;1,Q3249=0,ISNUMBER(O3249),ISNUMBER(P3249)),IF(Q3248=0,1,0),0)</f>
        <v>1</v>
      </c>
      <c r="S3249" s="56" t="n">
        <f aca="false">R3249*(B3249&gt;=Train_Start)*(B3249&lt;=Train_End)</f>
        <v>0</v>
      </c>
      <c r="T3249" s="84" t="n">
        <f aca="false">IF(AND(ISNUMBER(O3249),ISNUMBER(P3249)),Coef_A+Coef_B1*O3249+Coef_B2*P3249,"")</f>
        <v>18.8076497009814</v>
      </c>
      <c r="U3249" s="84" t="n">
        <f aca="false">IF(AND(R3249=1,ISNUMBER(T3249)),E3249-T3249,"")</f>
        <v>-2.70764970098142</v>
      </c>
      <c r="V3249" s="84" t="n">
        <f aca="false">IF(ISNUMBER(T3249),T3249,-99)</f>
        <v>18.8076497009814</v>
      </c>
      <c r="W3249" s="84" t="n">
        <f aca="false">IF(ISNUMBER(U3249),ABS(U3249),"")</f>
        <v>2.70764970098142</v>
      </c>
    </row>
    <row r="3250" customFormat="false" ht="15" hidden="false" customHeight="false" outlineLevel="0" collapsed="false">
      <c r="A3250" s="57" t="n">
        <v>36682</v>
      </c>
      <c r="B3250" s="56" t="n">
        <v>2000</v>
      </c>
      <c r="C3250" s="56" t="n">
        <v>6</v>
      </c>
      <c r="D3250" s="56" t="n">
        <v>36</v>
      </c>
      <c r="E3250" s="56" t="n">
        <v>18.9</v>
      </c>
      <c r="F3250" s="56" t="n">
        <v>0</v>
      </c>
      <c r="G3250" s="56" t="n">
        <v>10.6</v>
      </c>
      <c r="H3250" s="56" t="n">
        <v>0</v>
      </c>
      <c r="I3250" s="56" t="n">
        <v>13.4</v>
      </c>
      <c r="J3250" s="56" t="n">
        <v>0</v>
      </c>
      <c r="K3250" s="56" t="n">
        <v>1019.1</v>
      </c>
      <c r="L3250" s="56" t="n">
        <v>0</v>
      </c>
      <c r="M3250" s="56" t="n">
        <v>81</v>
      </c>
      <c r="N3250" s="56" t="n">
        <v>0.1</v>
      </c>
      <c r="O3250" s="56" t="n">
        <f aca="false">IF(D3250=1,"",E3249)</f>
        <v>16.1</v>
      </c>
      <c r="P3250" s="56" t="n">
        <f aca="false">IF(OR(D3250=1,K3249=""),"",K3249)</f>
        <v>1016.9</v>
      </c>
      <c r="Q3250" s="56" t="n">
        <f aca="false">IF(OR(F3250&lt;&gt;0,AND(I3250&lt;&gt;"",E3250&lt;I3250)),1,0)</f>
        <v>0</v>
      </c>
      <c r="R3250" s="56" t="n">
        <f aca="false">IF(AND(D3250&gt;1,Q3250=0,ISNUMBER(O3250),ISNUMBER(P3250)),IF(Q3249=0,1,0),0)</f>
        <v>1</v>
      </c>
      <c r="S3250" s="56" t="n">
        <f aca="false">R3250*(B3250&gt;=Train_Start)*(B3250&lt;=Train_End)</f>
        <v>0</v>
      </c>
      <c r="T3250" s="84" t="n">
        <f aca="false">IF(AND(ISNUMBER(O3250),ISNUMBER(P3250)),Coef_A+Coef_B1*O3250+Coef_B2*P3250,"")</f>
        <v>17.1783822832863</v>
      </c>
      <c r="U3250" s="84" t="n">
        <f aca="false">IF(AND(R3250=1,ISNUMBER(T3250)),E3250-T3250,"")</f>
        <v>1.7216177167137</v>
      </c>
      <c r="V3250" s="84" t="n">
        <f aca="false">IF(ISNUMBER(T3250),T3250,-99)</f>
        <v>17.1783822832863</v>
      </c>
      <c r="W3250" s="84" t="n">
        <f aca="false">IF(ISNUMBER(U3250),ABS(U3250),"")</f>
        <v>1.7216177167137</v>
      </c>
    </row>
    <row r="3251" customFormat="false" ht="15" hidden="false" customHeight="false" outlineLevel="0" collapsed="false">
      <c r="A3251" s="57" t="n">
        <v>36683</v>
      </c>
      <c r="B3251" s="56" t="n">
        <v>2000</v>
      </c>
      <c r="C3251" s="56" t="n">
        <v>6</v>
      </c>
      <c r="D3251" s="56" t="n">
        <v>37</v>
      </c>
      <c r="E3251" s="56" t="n">
        <v>20.6</v>
      </c>
      <c r="F3251" s="56" t="n">
        <v>0</v>
      </c>
      <c r="G3251" s="56" t="n">
        <v>9.8</v>
      </c>
      <c r="H3251" s="56" t="n">
        <v>0</v>
      </c>
      <c r="I3251" s="56" t="n">
        <v>14.4</v>
      </c>
      <c r="J3251" s="56" t="n">
        <v>0</v>
      </c>
      <c r="K3251" s="56" t="n">
        <v>1020.2</v>
      </c>
      <c r="L3251" s="56" t="n">
        <v>0</v>
      </c>
      <c r="M3251" s="56" t="n">
        <v>72</v>
      </c>
      <c r="N3251" s="56" t="n">
        <v>7.4</v>
      </c>
      <c r="O3251" s="56" t="n">
        <f aca="false">IF(D3251=1,"",E3250)</f>
        <v>18.9</v>
      </c>
      <c r="P3251" s="56" t="n">
        <f aca="false">IF(OR(D3251=1,K3250=""),"",K3250)</f>
        <v>1019.1</v>
      </c>
      <c r="Q3251" s="56" t="n">
        <f aca="false">IF(OR(F3251&lt;&gt;0,AND(I3251&lt;&gt;"",E3251&lt;I3251)),1,0)</f>
        <v>0</v>
      </c>
      <c r="R3251" s="56" t="n">
        <f aca="false">IF(AND(D3251&gt;1,Q3251=0,ISNUMBER(O3251),ISNUMBER(P3251)),IF(Q3250=0,1,0),0)</f>
        <v>1</v>
      </c>
      <c r="S3251" s="56" t="n">
        <f aca="false">R3251*(B3251&gt;=Train_Start)*(B3251&lt;=Train_End)</f>
        <v>0</v>
      </c>
      <c r="T3251" s="84" t="n">
        <f aca="false">IF(AND(ISNUMBER(O3251),ISNUMBER(P3251)),Coef_A+Coef_B1*O3251+Coef_B2*P3251,"")</f>
        <v>19.5415457920005</v>
      </c>
      <c r="U3251" s="84" t="n">
        <f aca="false">IF(AND(R3251=1,ISNUMBER(T3251)),E3251-T3251,"")</f>
        <v>1.05845420799949</v>
      </c>
      <c r="V3251" s="84" t="n">
        <f aca="false">IF(ISNUMBER(T3251),T3251,-99)</f>
        <v>19.5415457920005</v>
      </c>
      <c r="W3251" s="84" t="n">
        <f aca="false">IF(ISNUMBER(U3251),ABS(U3251),"")</f>
        <v>1.05845420799949</v>
      </c>
    </row>
    <row r="3252" customFormat="false" ht="15" hidden="false" customHeight="false" outlineLevel="0" collapsed="false">
      <c r="A3252" s="57" t="n">
        <v>36684</v>
      </c>
      <c r="B3252" s="56" t="n">
        <v>2000</v>
      </c>
      <c r="C3252" s="56" t="n">
        <v>6</v>
      </c>
      <c r="D3252" s="56" t="n">
        <v>38</v>
      </c>
      <c r="E3252" s="56" t="n">
        <v>22.4</v>
      </c>
      <c r="F3252" s="56" t="n">
        <v>0</v>
      </c>
      <c r="G3252" s="56" t="n">
        <v>8.7</v>
      </c>
      <c r="H3252" s="56" t="n">
        <v>0</v>
      </c>
      <c r="I3252" s="56" t="n">
        <v>14.6</v>
      </c>
      <c r="J3252" s="56" t="n">
        <v>0</v>
      </c>
      <c r="K3252" s="56" t="n">
        <v>1023.7</v>
      </c>
      <c r="L3252" s="56" t="n">
        <v>0</v>
      </c>
      <c r="M3252" s="56" t="n">
        <v>58</v>
      </c>
      <c r="N3252" s="56" t="n">
        <v>11.4</v>
      </c>
      <c r="O3252" s="56" t="n">
        <f aca="false">IF(D3252=1,"",E3251)</f>
        <v>20.6</v>
      </c>
      <c r="P3252" s="56" t="n">
        <f aca="false">IF(OR(D3252=1,K3251=""),"",K3251)</f>
        <v>1020.2</v>
      </c>
      <c r="Q3252" s="56" t="n">
        <f aca="false">IF(OR(F3252&lt;&gt;0,AND(I3252&lt;&gt;"",E3252&lt;I3252)),1,0)</f>
        <v>0</v>
      </c>
      <c r="R3252" s="56" t="n">
        <f aca="false">IF(AND(D3252&gt;1,Q3252=0,ISNUMBER(O3252),ISNUMBER(P3252)),IF(Q3251=0,1,0),0)</f>
        <v>1</v>
      </c>
      <c r="S3252" s="56" t="n">
        <f aca="false">R3252*(B3252&gt;=Train_Start)*(B3252&lt;=Train_End)</f>
        <v>0</v>
      </c>
      <c r="T3252" s="84" t="n">
        <f aca="false">IF(AND(ISNUMBER(O3252),ISNUMBER(P3252)),Coef_A+Coef_B1*O3252+Coef_B2*P3252,"")</f>
        <v>20.9689293042704</v>
      </c>
      <c r="U3252" s="84" t="n">
        <f aca="false">IF(AND(R3252=1,ISNUMBER(T3252)),E3252-T3252,"")</f>
        <v>1.43107069572957</v>
      </c>
      <c r="V3252" s="84" t="n">
        <f aca="false">IF(ISNUMBER(T3252),T3252,-99)</f>
        <v>20.9689293042704</v>
      </c>
      <c r="W3252" s="84" t="n">
        <f aca="false">IF(ISNUMBER(U3252),ABS(U3252),"")</f>
        <v>1.43107069572957</v>
      </c>
    </row>
    <row r="3253" customFormat="false" ht="15" hidden="false" customHeight="false" outlineLevel="0" collapsed="false">
      <c r="A3253" s="57" t="n">
        <v>36685</v>
      </c>
      <c r="B3253" s="56" t="n">
        <v>2000</v>
      </c>
      <c r="C3253" s="56" t="n">
        <v>6</v>
      </c>
      <c r="D3253" s="56" t="n">
        <v>39</v>
      </c>
      <c r="E3253" s="56" t="n">
        <v>17.8</v>
      </c>
      <c r="F3253" s="56" t="n">
        <v>0</v>
      </c>
      <c r="G3253" s="56" t="n">
        <v>12.5</v>
      </c>
      <c r="H3253" s="56" t="n">
        <v>0</v>
      </c>
      <c r="I3253" s="56" t="n">
        <v>17.4</v>
      </c>
      <c r="J3253" s="56" t="n">
        <v>0</v>
      </c>
      <c r="K3253" s="56" t="n">
        <v>1014.3</v>
      </c>
      <c r="L3253" s="56" t="n">
        <v>0</v>
      </c>
      <c r="M3253" s="56" t="n">
        <v>54</v>
      </c>
      <c r="N3253" s="56" t="n">
        <v>11</v>
      </c>
      <c r="O3253" s="56" t="n">
        <f aca="false">IF(D3253=1,"",E3252)</f>
        <v>22.4</v>
      </c>
      <c r="P3253" s="56" t="n">
        <f aca="false">IF(OR(D3253=1,K3252=""),"",K3252)</f>
        <v>1023.7</v>
      </c>
      <c r="Q3253" s="56" t="n">
        <f aca="false">IF(OR(F3253&lt;&gt;0,AND(I3253&lt;&gt;"",E3253&lt;I3253)),1,0)</f>
        <v>0</v>
      </c>
      <c r="R3253" s="56" t="n">
        <f aca="false">IF(AND(D3253&gt;1,Q3253=0,ISNUMBER(O3253),ISNUMBER(P3253)),IF(Q3252=0,1,0),0)</f>
        <v>1</v>
      </c>
      <c r="S3253" s="56" t="n">
        <f aca="false">R3253*(B3253&gt;=Train_Start)*(B3253&lt;=Train_End)</f>
        <v>0</v>
      </c>
      <c r="T3253" s="84" t="n">
        <f aca="false">IF(AND(ISNUMBER(O3253),ISNUMBER(P3253)),Coef_A+Coef_B1*O3253+Coef_B2*P3253,"")</f>
        <v>22.5535344829662</v>
      </c>
      <c r="U3253" s="84" t="n">
        <f aca="false">IF(AND(R3253=1,ISNUMBER(T3253)),E3253-T3253,"")</f>
        <v>-4.75353448296617</v>
      </c>
      <c r="V3253" s="84" t="n">
        <f aca="false">IF(ISNUMBER(T3253),T3253,-99)</f>
        <v>22.5535344829662</v>
      </c>
      <c r="W3253" s="84" t="n">
        <f aca="false">IF(ISNUMBER(U3253),ABS(U3253),"")</f>
        <v>4.75353448296617</v>
      </c>
    </row>
    <row r="3254" customFormat="false" ht="15" hidden="false" customHeight="false" outlineLevel="0" collapsed="false">
      <c r="A3254" s="57" t="n">
        <v>36686</v>
      </c>
      <c r="B3254" s="56" t="n">
        <v>2000</v>
      </c>
      <c r="C3254" s="56" t="n">
        <v>6</v>
      </c>
      <c r="D3254" s="56" t="n">
        <v>40</v>
      </c>
      <c r="E3254" s="56" t="n">
        <v>20.3</v>
      </c>
      <c r="F3254" s="56" t="n">
        <v>0</v>
      </c>
      <c r="G3254" s="56" t="n">
        <v>14.4</v>
      </c>
      <c r="H3254" s="56" t="n">
        <v>0</v>
      </c>
      <c r="I3254" s="56" t="n">
        <v>16.1</v>
      </c>
      <c r="J3254" s="56" t="n">
        <v>0</v>
      </c>
      <c r="K3254" s="56" t="n">
        <v>1008.9</v>
      </c>
      <c r="L3254" s="56" t="n">
        <v>0</v>
      </c>
      <c r="M3254" s="56" t="n">
        <v>78</v>
      </c>
      <c r="N3254" s="56" t="n">
        <v>4.1</v>
      </c>
      <c r="O3254" s="56" t="n">
        <f aca="false">IF(D3254=1,"",E3253)</f>
        <v>17.8</v>
      </c>
      <c r="P3254" s="56" t="n">
        <f aca="false">IF(OR(D3254=1,K3253=""),"",K3253)</f>
        <v>1014.3</v>
      </c>
      <c r="Q3254" s="56" t="n">
        <f aca="false">IF(OR(F3254&lt;&gt;0,AND(I3254&lt;&gt;"",E3254&lt;I3254)),1,0)</f>
        <v>0</v>
      </c>
      <c r="R3254" s="56" t="n">
        <f aca="false">IF(AND(D3254&gt;1,Q3254=0,ISNUMBER(O3254),ISNUMBER(P3254)),IF(Q3253=0,1,0),0)</f>
        <v>1</v>
      </c>
      <c r="S3254" s="56" t="n">
        <f aca="false">R3254*(B3254&gt;=Train_Start)*(B3254&lt;=Train_End)</f>
        <v>0</v>
      </c>
      <c r="T3254" s="84" t="n">
        <f aca="false">IF(AND(ISNUMBER(O3254),ISNUMBER(P3254)),Coef_A+Coef_B1*O3254+Coef_B2*P3254,"")</f>
        <v>18.4896971854104</v>
      </c>
      <c r="U3254" s="84" t="n">
        <f aca="false">IF(AND(R3254=1,ISNUMBER(T3254)),E3254-T3254,"")</f>
        <v>1.81030281458956</v>
      </c>
      <c r="V3254" s="84" t="n">
        <f aca="false">IF(ISNUMBER(T3254),T3254,-99)</f>
        <v>18.4896971854104</v>
      </c>
      <c r="W3254" s="84" t="n">
        <f aca="false">IF(ISNUMBER(U3254),ABS(U3254),"")</f>
        <v>1.81030281458956</v>
      </c>
    </row>
    <row r="3255" customFormat="false" ht="15" hidden="false" customHeight="false" outlineLevel="0" collapsed="false">
      <c r="A3255" s="57" t="n">
        <v>36687</v>
      </c>
      <c r="B3255" s="56" t="n">
        <v>2000</v>
      </c>
      <c r="C3255" s="56" t="n">
        <v>6</v>
      </c>
      <c r="D3255" s="56" t="n">
        <v>41</v>
      </c>
      <c r="E3255" s="56" t="n">
        <v>19.3</v>
      </c>
      <c r="F3255" s="56" t="n">
        <v>0</v>
      </c>
      <c r="G3255" s="56" t="n">
        <v>8.6</v>
      </c>
      <c r="H3255" s="56" t="n">
        <v>0</v>
      </c>
      <c r="I3255" s="56" t="n">
        <v>14.4</v>
      </c>
      <c r="J3255" s="56" t="n">
        <v>0</v>
      </c>
      <c r="K3255" s="56" t="n">
        <v>1016.9</v>
      </c>
      <c r="L3255" s="56" t="n">
        <v>0</v>
      </c>
      <c r="M3255" s="56" t="n">
        <v>63</v>
      </c>
      <c r="N3255" s="56" t="n">
        <v>13</v>
      </c>
      <c r="O3255" s="56" t="n">
        <f aca="false">IF(D3255=1,"",E3254)</f>
        <v>20.3</v>
      </c>
      <c r="P3255" s="56" t="n">
        <f aca="false">IF(OR(D3255=1,K3254=""),"",K3254)</f>
        <v>1008.9</v>
      </c>
      <c r="Q3255" s="56" t="n">
        <f aca="false">IF(OR(F3255&lt;&gt;0,AND(I3255&lt;&gt;"",E3255&lt;I3255)),1,0)</f>
        <v>0</v>
      </c>
      <c r="R3255" s="56" t="n">
        <f aca="false">IF(AND(D3255&gt;1,Q3255=0,ISNUMBER(O3255),ISNUMBER(P3255)),IF(Q3254=0,1,0),0)</f>
        <v>1</v>
      </c>
      <c r="S3255" s="56" t="n">
        <f aca="false">R3255*(B3255&gt;=Train_Start)*(B3255&lt;=Train_End)</f>
        <v>0</v>
      </c>
      <c r="T3255" s="84" t="n">
        <f aca="false">IF(AND(ISNUMBER(O3255),ISNUMBER(P3255)),Coef_A+Coef_B1*O3255+Coef_B2*P3255,"")</f>
        <v>20.3686477369935</v>
      </c>
      <c r="U3255" s="84" t="n">
        <f aca="false">IF(AND(R3255=1,ISNUMBER(T3255)),E3255-T3255,"")</f>
        <v>-1.06864773699354</v>
      </c>
      <c r="V3255" s="84" t="n">
        <f aca="false">IF(ISNUMBER(T3255),T3255,-99)</f>
        <v>20.3686477369935</v>
      </c>
      <c r="W3255" s="84" t="n">
        <f aca="false">IF(ISNUMBER(U3255),ABS(U3255),"")</f>
        <v>1.06864773699354</v>
      </c>
    </row>
    <row r="3256" customFormat="false" ht="15" hidden="false" customHeight="false" outlineLevel="0" collapsed="false">
      <c r="A3256" s="57" t="n">
        <v>36688</v>
      </c>
      <c r="B3256" s="56" t="n">
        <v>2000</v>
      </c>
      <c r="C3256" s="56" t="n">
        <v>6</v>
      </c>
      <c r="D3256" s="56" t="n">
        <v>42</v>
      </c>
      <c r="E3256" s="56" t="n">
        <v>25.1</v>
      </c>
      <c r="F3256" s="56" t="n">
        <v>0</v>
      </c>
      <c r="G3256" s="56" t="n">
        <v>11.3</v>
      </c>
      <c r="H3256" s="56" t="n">
        <v>0</v>
      </c>
      <c r="I3256" s="56" t="n">
        <v>15.3</v>
      </c>
      <c r="J3256" s="56" t="n">
        <v>0</v>
      </c>
      <c r="K3256" s="56" t="n">
        <v>1018.4</v>
      </c>
      <c r="L3256" s="56" t="n">
        <v>0</v>
      </c>
      <c r="M3256" s="56" t="n">
        <v>62</v>
      </c>
      <c r="N3256" s="56" t="n">
        <v>8.9</v>
      </c>
      <c r="O3256" s="56" t="n">
        <f aca="false">IF(D3256=1,"",E3255)</f>
        <v>19.3</v>
      </c>
      <c r="P3256" s="56" t="n">
        <f aca="false">IF(OR(D3256=1,K3255=""),"",K3255)</f>
        <v>1016.9</v>
      </c>
      <c r="Q3256" s="56" t="n">
        <f aca="false">IF(OR(F3256&lt;&gt;0,AND(I3256&lt;&gt;"",E3256&lt;I3256)),1,0)</f>
        <v>0</v>
      </c>
      <c r="R3256" s="56" t="n">
        <f aca="false">IF(AND(D3256&gt;1,Q3256=0,ISNUMBER(O3256),ISNUMBER(P3256)),IF(Q3255=0,1,0),0)</f>
        <v>1</v>
      </c>
      <c r="S3256" s="56" t="n">
        <f aca="false">R3256*(B3256&gt;=Train_Start)*(B3256&lt;=Train_End)</f>
        <v>0</v>
      </c>
      <c r="T3256" s="84" t="n">
        <f aca="false">IF(AND(ISNUMBER(O3256),ISNUMBER(P3256)),Coef_A+Coef_B1*O3256+Coef_B2*P3256,"")</f>
        <v>19.8002677010228</v>
      </c>
      <c r="U3256" s="84" t="n">
        <f aca="false">IF(AND(R3256=1,ISNUMBER(T3256)),E3256-T3256,"")</f>
        <v>5.2997322989772</v>
      </c>
      <c r="V3256" s="84" t="n">
        <f aca="false">IF(ISNUMBER(T3256),T3256,-99)</f>
        <v>19.8002677010228</v>
      </c>
      <c r="W3256" s="84" t="n">
        <f aca="false">IF(ISNUMBER(U3256),ABS(U3256),"")</f>
        <v>5.2997322989772</v>
      </c>
    </row>
    <row r="3257" customFormat="false" ht="15" hidden="false" customHeight="false" outlineLevel="0" collapsed="false">
      <c r="A3257" s="57" t="n">
        <v>36689</v>
      </c>
      <c r="B3257" s="56" t="n">
        <v>2000</v>
      </c>
      <c r="C3257" s="56" t="n">
        <v>6</v>
      </c>
      <c r="D3257" s="56" t="n">
        <v>43</v>
      </c>
      <c r="E3257" s="56" t="n">
        <v>22.6</v>
      </c>
      <c r="F3257" s="56" t="n">
        <v>0</v>
      </c>
      <c r="G3257" s="56" t="n">
        <v>12.1</v>
      </c>
      <c r="H3257" s="56" t="n">
        <v>0</v>
      </c>
      <c r="I3257" s="56" t="n">
        <v>18.6</v>
      </c>
      <c r="J3257" s="56" t="n">
        <v>0</v>
      </c>
      <c r="K3257" s="56" t="n">
        <v>1023.7</v>
      </c>
      <c r="L3257" s="56" t="n">
        <v>0</v>
      </c>
      <c r="M3257" s="56" t="n">
        <v>70</v>
      </c>
      <c r="N3257" s="56" t="n">
        <v>12.1</v>
      </c>
      <c r="O3257" s="56" t="n">
        <f aca="false">IF(D3257=1,"",E3256)</f>
        <v>25.1</v>
      </c>
      <c r="P3257" s="56" t="n">
        <f aca="false">IF(OR(D3257=1,K3256=""),"",K3256)</f>
        <v>1018.4</v>
      </c>
      <c r="Q3257" s="56" t="n">
        <f aca="false">IF(OR(F3257&lt;&gt;0,AND(I3257&lt;&gt;"",E3257&lt;I3257)),1,0)</f>
        <v>0</v>
      </c>
      <c r="R3257" s="56" t="n">
        <f aca="false">IF(AND(D3257&gt;1,Q3257=0,ISNUMBER(O3257),ISNUMBER(P3257)),IF(Q3256=0,1,0),0)</f>
        <v>1</v>
      </c>
      <c r="S3257" s="56" t="n">
        <f aca="false">R3257*(B3257&gt;=Train_Start)*(B3257&lt;=Train_End)</f>
        <v>0</v>
      </c>
      <c r="T3257" s="84" t="n">
        <f aca="false">IF(AND(ISNUMBER(O3257),ISNUMBER(P3257)),Coef_A+Coef_B1*O3257+Coef_B2*P3257,"")</f>
        <v>24.5994898626212</v>
      </c>
      <c r="U3257" s="84" t="n">
        <f aca="false">IF(AND(R3257=1,ISNUMBER(T3257)),E3257-T3257,"")</f>
        <v>-1.9994898626212</v>
      </c>
      <c r="V3257" s="84" t="n">
        <f aca="false">IF(ISNUMBER(T3257),T3257,-99)</f>
        <v>24.5994898626212</v>
      </c>
      <c r="W3257" s="84" t="n">
        <f aca="false">IF(ISNUMBER(U3257),ABS(U3257),"")</f>
        <v>1.9994898626212</v>
      </c>
    </row>
    <row r="3258" customFormat="false" ht="15" hidden="false" customHeight="false" outlineLevel="0" collapsed="false">
      <c r="A3258" s="57" t="n">
        <v>36690</v>
      </c>
      <c r="B3258" s="56" t="n">
        <v>2000</v>
      </c>
      <c r="C3258" s="56" t="n">
        <v>6</v>
      </c>
      <c r="D3258" s="56" t="n">
        <v>44</v>
      </c>
      <c r="E3258" s="56" t="n">
        <v>22.5</v>
      </c>
      <c r="F3258" s="56" t="n">
        <v>0</v>
      </c>
      <c r="G3258" s="56" t="n">
        <v>14.4</v>
      </c>
      <c r="H3258" s="56" t="n">
        <v>0</v>
      </c>
      <c r="I3258" s="56" t="n">
        <v>18.5</v>
      </c>
      <c r="J3258" s="56" t="n">
        <v>0</v>
      </c>
      <c r="K3258" s="56" t="n">
        <v>1024.5</v>
      </c>
      <c r="L3258" s="56" t="n">
        <v>0</v>
      </c>
      <c r="M3258" s="56" t="n">
        <v>73</v>
      </c>
      <c r="N3258" s="56" t="n">
        <v>5.8</v>
      </c>
      <c r="O3258" s="56" t="n">
        <f aca="false">IF(D3258=1,"",E3257)</f>
        <v>22.6</v>
      </c>
      <c r="P3258" s="56" t="n">
        <f aca="false">IF(OR(D3258=1,K3257=""),"",K3257)</f>
        <v>1023.7</v>
      </c>
      <c r="Q3258" s="56" t="n">
        <f aca="false">IF(OR(F3258&lt;&gt;0,AND(I3258&lt;&gt;"",E3258&lt;I3258)),1,0)</f>
        <v>0</v>
      </c>
      <c r="R3258" s="56" t="n">
        <f aca="false">IF(AND(D3258&gt;1,Q3258=0,ISNUMBER(O3258),ISNUMBER(P3258)),IF(Q3257=0,1,0),0)</f>
        <v>1</v>
      </c>
      <c r="S3258" s="56" t="n">
        <f aca="false">R3258*(B3258&gt;=Train_Start)*(B3258&lt;=Train_End)</f>
        <v>0</v>
      </c>
      <c r="T3258" s="84" t="n">
        <f aca="false">IF(AND(ISNUMBER(O3258),ISNUMBER(P3258)),Coef_A+Coef_B1*O3258+Coef_B2*P3258,"")</f>
        <v>22.7174023215747</v>
      </c>
      <c r="U3258" s="84" t="n">
        <f aca="false">IF(AND(R3258=1,ISNUMBER(T3258)),E3258-T3258,"")</f>
        <v>-0.217402321574706</v>
      </c>
      <c r="V3258" s="84" t="n">
        <f aca="false">IF(ISNUMBER(T3258),T3258,-99)</f>
        <v>22.7174023215747</v>
      </c>
      <c r="W3258" s="84" t="n">
        <f aca="false">IF(ISNUMBER(U3258),ABS(U3258),"")</f>
        <v>0.217402321574706</v>
      </c>
    </row>
    <row r="3259" customFormat="false" ht="15" hidden="false" customHeight="false" outlineLevel="0" collapsed="false">
      <c r="A3259" s="57" t="n">
        <v>36691</v>
      </c>
      <c r="B3259" s="56" t="n">
        <v>2000</v>
      </c>
      <c r="C3259" s="56" t="n">
        <v>6</v>
      </c>
      <c r="D3259" s="56" t="n">
        <v>45</v>
      </c>
      <c r="E3259" s="56" t="n">
        <v>20.1</v>
      </c>
      <c r="F3259" s="56" t="n">
        <v>0</v>
      </c>
      <c r="G3259" s="56" t="n">
        <v>15.2</v>
      </c>
      <c r="H3259" s="56" t="n">
        <v>0</v>
      </c>
      <c r="I3259" s="56" t="n">
        <v>18.8</v>
      </c>
      <c r="J3259" s="56" t="n">
        <v>0</v>
      </c>
      <c r="K3259" s="56" t="n">
        <v>1023.4</v>
      </c>
      <c r="L3259" s="56" t="n">
        <v>0</v>
      </c>
      <c r="M3259" s="56" t="n">
        <v>77</v>
      </c>
      <c r="N3259" s="56" t="n">
        <v>1.3</v>
      </c>
      <c r="O3259" s="56" t="n">
        <f aca="false">IF(D3259=1,"",E3258)</f>
        <v>22.5</v>
      </c>
      <c r="P3259" s="56" t="n">
        <f aca="false">IF(OR(D3259=1,K3258=""),"",K3258)</f>
        <v>1024.5</v>
      </c>
      <c r="Q3259" s="56" t="n">
        <f aca="false">IF(OR(F3259&lt;&gt;0,AND(I3259&lt;&gt;"",E3259&lt;I3259)),1,0)</f>
        <v>0</v>
      </c>
      <c r="R3259" s="56" t="n">
        <f aca="false">IF(AND(D3259&gt;1,Q3259=0,ISNUMBER(O3259),ISNUMBER(P3259)),IF(Q3258=0,1,0),0)</f>
        <v>1</v>
      </c>
      <c r="S3259" s="56" t="n">
        <f aca="false">R3259*(B3259&gt;=Train_Start)*(B3259&lt;=Train_End)</f>
        <v>0</v>
      </c>
      <c r="T3259" s="84" t="n">
        <f aca="false">IF(AND(ISNUMBER(O3259),ISNUMBER(P3259)),Coef_A+Coef_B1*O3259+Coef_B2*P3259,"")</f>
        <v>22.6605643179776</v>
      </c>
      <c r="U3259" s="84" t="n">
        <f aca="false">IF(AND(R3259=1,ISNUMBER(T3259)),E3259-T3259,"")</f>
        <v>-2.56056431797762</v>
      </c>
      <c r="V3259" s="84" t="n">
        <f aca="false">IF(ISNUMBER(T3259),T3259,-99)</f>
        <v>22.6605643179776</v>
      </c>
      <c r="W3259" s="84" t="n">
        <f aca="false">IF(ISNUMBER(U3259),ABS(U3259),"")</f>
        <v>2.56056431797762</v>
      </c>
    </row>
    <row r="3260" customFormat="false" ht="15" hidden="false" customHeight="false" outlineLevel="0" collapsed="false">
      <c r="A3260" s="57" t="n">
        <v>36692</v>
      </c>
      <c r="B3260" s="56" t="n">
        <v>2000</v>
      </c>
      <c r="C3260" s="56" t="n">
        <v>6</v>
      </c>
      <c r="D3260" s="56" t="n">
        <v>46</v>
      </c>
      <c r="E3260" s="56" t="n">
        <v>22.3</v>
      </c>
      <c r="F3260" s="56" t="n">
        <v>0</v>
      </c>
      <c r="G3260" s="56" t="n">
        <v>15</v>
      </c>
      <c r="H3260" s="56" t="n">
        <v>0</v>
      </c>
      <c r="I3260" s="56" t="n">
        <v>17.6</v>
      </c>
      <c r="J3260" s="56" t="n">
        <v>0</v>
      </c>
      <c r="K3260" s="56" t="n">
        <v>1025.5</v>
      </c>
      <c r="L3260" s="56" t="n">
        <v>0</v>
      </c>
      <c r="M3260" s="56" t="n">
        <v>74</v>
      </c>
      <c r="N3260" s="56" t="n">
        <v>0.8</v>
      </c>
      <c r="O3260" s="56" t="n">
        <f aca="false">IF(D3260=1,"",E3259)</f>
        <v>20.1</v>
      </c>
      <c r="P3260" s="56" t="n">
        <f aca="false">IF(OR(D3260=1,K3259=""),"",K3259)</f>
        <v>1023.4</v>
      </c>
      <c r="Q3260" s="56" t="n">
        <f aca="false">IF(OR(F3260&lt;&gt;0,AND(I3260&lt;&gt;"",E3260&lt;I3260)),1,0)</f>
        <v>0</v>
      </c>
      <c r="R3260" s="56" t="n">
        <f aca="false">IF(AND(D3260&gt;1,Q3260=0,ISNUMBER(O3260),ISNUMBER(P3260)),IF(Q3259=0,1,0),0)</f>
        <v>1</v>
      </c>
      <c r="S3260" s="56" t="n">
        <f aca="false">R3260*(B3260&gt;=Train_Start)*(B3260&lt;=Train_End)</f>
        <v>0</v>
      </c>
      <c r="T3260" s="84" t="n">
        <f aca="false">IF(AND(ISNUMBER(O3260),ISNUMBER(P3260)),Coef_A+Coef_B1*O3260+Coef_B2*P3260,"")</f>
        <v>20.6596433705779</v>
      </c>
      <c r="U3260" s="84" t="n">
        <f aca="false">IF(AND(R3260=1,ISNUMBER(T3260)),E3260-T3260,"")</f>
        <v>1.64035662942214</v>
      </c>
      <c r="V3260" s="84" t="n">
        <f aca="false">IF(ISNUMBER(T3260),T3260,-99)</f>
        <v>20.6596433705779</v>
      </c>
      <c r="W3260" s="84" t="n">
        <f aca="false">IF(ISNUMBER(U3260),ABS(U3260),"")</f>
        <v>1.64035662942214</v>
      </c>
    </row>
    <row r="3261" customFormat="false" ht="15" hidden="false" customHeight="false" outlineLevel="0" collapsed="false">
      <c r="A3261" s="57" t="n">
        <v>36693</v>
      </c>
      <c r="B3261" s="56" t="n">
        <v>2000</v>
      </c>
      <c r="C3261" s="56" t="n">
        <v>6</v>
      </c>
      <c r="D3261" s="56" t="n">
        <v>47</v>
      </c>
      <c r="E3261" s="56" t="n">
        <v>25.9</v>
      </c>
      <c r="F3261" s="56" t="n">
        <v>0</v>
      </c>
      <c r="G3261" s="56" t="n">
        <v>14.3</v>
      </c>
      <c r="H3261" s="56" t="n">
        <v>0</v>
      </c>
      <c r="I3261" s="56" t="n">
        <v>18.3</v>
      </c>
      <c r="J3261" s="56" t="n">
        <v>0</v>
      </c>
      <c r="K3261" s="56" t="n">
        <v>1026.9</v>
      </c>
      <c r="L3261" s="56" t="n">
        <v>0</v>
      </c>
      <c r="M3261" s="56" t="n">
        <v>77</v>
      </c>
      <c r="N3261" s="56" t="n">
        <v>1</v>
      </c>
      <c r="O3261" s="56" t="n">
        <f aca="false">IF(D3261=1,"",E3260)</f>
        <v>22.3</v>
      </c>
      <c r="P3261" s="56" t="n">
        <f aca="false">IF(OR(D3261=1,K3260=""),"",K3260)</f>
        <v>1025.5</v>
      </c>
      <c r="Q3261" s="56" t="n">
        <f aca="false">IF(OR(F3261&lt;&gt;0,AND(I3261&lt;&gt;"",E3261&lt;I3261)),1,0)</f>
        <v>0</v>
      </c>
      <c r="R3261" s="56" t="n">
        <f aca="false">IF(AND(D3261&gt;1,Q3261=0,ISNUMBER(O3261),ISNUMBER(P3261)),IF(Q3260=0,1,0),0)</f>
        <v>1</v>
      </c>
      <c r="S3261" s="56" t="n">
        <f aca="false">R3261*(B3261&gt;=Train_Start)*(B3261&lt;=Train_End)</f>
        <v>0</v>
      </c>
      <c r="T3261" s="84" t="n">
        <f aca="false">IF(AND(ISNUMBER(O3261),ISNUMBER(P3261)),Coef_A+Coef_B1*O3261+Coef_B2*P3261,"")</f>
        <v>22.5280663740031</v>
      </c>
      <c r="U3261" s="84" t="n">
        <f aca="false">IF(AND(R3261=1,ISNUMBER(T3261)),E3261-T3261,"")</f>
        <v>3.37193362599692</v>
      </c>
      <c r="V3261" s="84" t="n">
        <f aca="false">IF(ISNUMBER(T3261),T3261,-99)</f>
        <v>22.5280663740031</v>
      </c>
      <c r="W3261" s="84" t="n">
        <f aca="false">IF(ISNUMBER(U3261),ABS(U3261),"")</f>
        <v>3.37193362599692</v>
      </c>
    </row>
    <row r="3262" customFormat="false" ht="15" hidden="false" customHeight="false" outlineLevel="0" collapsed="false">
      <c r="A3262" s="57" t="n">
        <v>36694</v>
      </c>
      <c r="B3262" s="56" t="n">
        <v>2000</v>
      </c>
      <c r="C3262" s="56" t="n">
        <v>6</v>
      </c>
      <c r="D3262" s="56" t="n">
        <v>48</v>
      </c>
      <c r="E3262" s="56" t="n">
        <v>30.8</v>
      </c>
      <c r="F3262" s="56" t="n">
        <v>0</v>
      </c>
      <c r="G3262" s="56" t="n">
        <v>13.1</v>
      </c>
      <c r="H3262" s="56" t="n">
        <v>0</v>
      </c>
      <c r="I3262" s="56" t="n">
        <v>19.5</v>
      </c>
      <c r="J3262" s="56" t="n">
        <v>0</v>
      </c>
      <c r="K3262" s="56" t="n">
        <v>1026.3</v>
      </c>
      <c r="L3262" s="56" t="n">
        <v>0</v>
      </c>
      <c r="M3262" s="56" t="n">
        <v>59</v>
      </c>
      <c r="N3262" s="56" t="n">
        <v>13.2</v>
      </c>
      <c r="O3262" s="56" t="n">
        <f aca="false">IF(D3262=1,"",E3261)</f>
        <v>25.9</v>
      </c>
      <c r="P3262" s="56" t="n">
        <f aca="false">IF(OR(D3262=1,K3261=""),"",K3261)</f>
        <v>1026.9</v>
      </c>
      <c r="Q3262" s="56" t="n">
        <f aca="false">IF(OR(F3262&lt;&gt;0,AND(I3262&lt;&gt;"",E3262&lt;I3262)),1,0)</f>
        <v>0</v>
      </c>
      <c r="R3262" s="56" t="n">
        <f aca="false">IF(AND(D3262&gt;1,Q3262=0,ISNUMBER(O3262),ISNUMBER(P3262)),IF(Q3261=0,1,0),0)</f>
        <v>1</v>
      </c>
      <c r="S3262" s="56" t="n">
        <f aca="false">R3262*(B3262&gt;=Train_Start)*(B3262&lt;=Train_End)</f>
        <v>0</v>
      </c>
      <c r="T3262" s="84" t="n">
        <f aca="false">IF(AND(ISNUMBER(O3262),ISNUMBER(P3262)),Coef_A+Coef_B1*O3262+Coef_B2*P3262,"")</f>
        <v>25.5216053214442</v>
      </c>
      <c r="U3262" s="84" t="n">
        <f aca="false">IF(AND(R3262=1,ISNUMBER(T3262)),E3262-T3262,"")</f>
        <v>5.27839467855577</v>
      </c>
      <c r="V3262" s="84" t="n">
        <f aca="false">IF(ISNUMBER(T3262),T3262,-99)</f>
        <v>25.5216053214442</v>
      </c>
      <c r="W3262" s="84" t="n">
        <f aca="false">IF(ISNUMBER(U3262),ABS(U3262),"")</f>
        <v>5.27839467855577</v>
      </c>
    </row>
    <row r="3263" customFormat="false" ht="15" hidden="false" customHeight="false" outlineLevel="0" collapsed="false">
      <c r="A3263" s="57" t="n">
        <v>36695</v>
      </c>
      <c r="B3263" s="56" t="n">
        <v>2000</v>
      </c>
      <c r="C3263" s="56" t="n">
        <v>6</v>
      </c>
      <c r="D3263" s="56" t="n">
        <v>49</v>
      </c>
      <c r="E3263" s="56" t="n">
        <v>31.4</v>
      </c>
      <c r="F3263" s="56" t="n">
        <v>0</v>
      </c>
      <c r="G3263" s="56" t="n">
        <v>15.6</v>
      </c>
      <c r="H3263" s="56" t="n">
        <v>0</v>
      </c>
      <c r="I3263" s="56" t="n">
        <v>23.2</v>
      </c>
      <c r="J3263" s="56" t="n">
        <v>0</v>
      </c>
      <c r="K3263" s="56" t="n">
        <v>1021.7</v>
      </c>
      <c r="L3263" s="56" t="n">
        <v>0</v>
      </c>
      <c r="M3263" s="56" t="n">
        <v>45</v>
      </c>
      <c r="N3263" s="56" t="n">
        <v>15.1</v>
      </c>
      <c r="O3263" s="56" t="n">
        <f aca="false">IF(D3263=1,"",E3262)</f>
        <v>30.8</v>
      </c>
      <c r="P3263" s="56" t="n">
        <f aca="false">IF(OR(D3263=1,K3262=""),"",K3262)</f>
        <v>1026.3</v>
      </c>
      <c r="Q3263" s="56" t="n">
        <f aca="false">IF(OR(F3263&lt;&gt;0,AND(I3263&lt;&gt;"",E3263&lt;I3263)),1,0)</f>
        <v>0</v>
      </c>
      <c r="R3263" s="56" t="n">
        <f aca="false">IF(AND(D3263&gt;1,Q3263=0,ISNUMBER(O3263),ISNUMBER(P3263)),IF(Q3262=0,1,0),0)</f>
        <v>1</v>
      </c>
      <c r="S3263" s="56" t="n">
        <f aca="false">R3263*(B3263&gt;=Train_Start)*(B3263&lt;=Train_End)</f>
        <v>0</v>
      </c>
      <c r="T3263" s="84" t="n">
        <f aca="false">IF(AND(ISNUMBER(O3263),ISNUMBER(P3263)),Coef_A+Coef_B1*O3263+Coef_B2*P3263,"")</f>
        <v>29.5175454305729</v>
      </c>
      <c r="U3263" s="84" t="n">
        <f aca="false">IF(AND(R3263=1,ISNUMBER(T3263)),E3263-T3263,"")</f>
        <v>1.88245456942714</v>
      </c>
      <c r="V3263" s="84" t="n">
        <f aca="false">IF(ISNUMBER(T3263),T3263,-99)</f>
        <v>29.5175454305729</v>
      </c>
      <c r="W3263" s="84" t="n">
        <f aca="false">IF(ISNUMBER(U3263),ABS(U3263),"")</f>
        <v>1.88245456942714</v>
      </c>
    </row>
    <row r="3264" customFormat="false" ht="15" hidden="false" customHeight="false" outlineLevel="0" collapsed="false">
      <c r="A3264" s="57" t="n">
        <v>36696</v>
      </c>
      <c r="B3264" s="56" t="n">
        <v>2000</v>
      </c>
      <c r="C3264" s="56" t="n">
        <v>6</v>
      </c>
      <c r="D3264" s="56" t="n">
        <v>50</v>
      </c>
      <c r="E3264" s="56" t="n">
        <v>21.6</v>
      </c>
      <c r="F3264" s="56" t="n">
        <v>1</v>
      </c>
      <c r="G3264" s="56" t="n">
        <v>19.4</v>
      </c>
      <c r="H3264" s="56" t="n">
        <v>0</v>
      </c>
      <c r="I3264" s="56" t="n">
        <v>25.4</v>
      </c>
      <c r="J3264" s="56" t="n">
        <v>1</v>
      </c>
      <c r="K3264" s="56" t="n">
        <v>1014.6</v>
      </c>
      <c r="L3264" s="56" t="n">
        <v>0</v>
      </c>
      <c r="M3264" s="56" t="n">
        <v>51</v>
      </c>
      <c r="N3264" s="56" t="n">
        <v>12.8</v>
      </c>
      <c r="O3264" s="56" t="n">
        <f aca="false">IF(D3264=1,"",E3263)</f>
        <v>31.4</v>
      </c>
      <c r="P3264" s="56" t="n">
        <f aca="false">IF(OR(D3264=1,K3263=""),"",K3263)</f>
        <v>1021.7</v>
      </c>
      <c r="Q3264" s="56" t="n">
        <f aca="false">IF(OR(F3264&lt;&gt;0,AND(I3264&lt;&gt;"",E3264&lt;I3264)),1,0)</f>
        <v>1</v>
      </c>
      <c r="R3264" s="56" t="n">
        <f aca="false">IF(AND(D3264&gt;1,Q3264=0,ISNUMBER(O3264),ISNUMBER(P3264)),IF(Q3263=0,1,0),0)</f>
        <v>0</v>
      </c>
      <c r="S3264" s="56" t="n">
        <f aca="false">R3264*(B3264&gt;=Train_Start)*(B3264&lt;=Train_End)</f>
        <v>0</v>
      </c>
      <c r="T3264" s="84" t="n">
        <f aca="false">IF(AND(ISNUMBER(O3264),ISNUMBER(P3264)),Coef_A+Coef_B1*O3264+Coef_B2*P3264,"")</f>
        <v>29.8648474310821</v>
      </c>
      <c r="U3264" s="84" t="str">
        <f aca="false">IF(AND(R3264=1,ISNUMBER(T3264)),E3264-T3264,"")</f>
        <v/>
      </c>
      <c r="V3264" s="84" t="n">
        <f aca="false">IF(ISNUMBER(T3264),T3264,-99)</f>
        <v>29.8648474310821</v>
      </c>
      <c r="W3264" s="84" t="str">
        <f aca="false">IF(ISNUMBER(U3264),ABS(U3264),"")</f>
        <v/>
      </c>
    </row>
    <row r="3265" customFormat="false" ht="15" hidden="false" customHeight="false" outlineLevel="0" collapsed="false">
      <c r="A3265" s="57" t="n">
        <v>36697</v>
      </c>
      <c r="B3265" s="56" t="n">
        <v>2000</v>
      </c>
      <c r="C3265" s="56" t="n">
        <v>6</v>
      </c>
      <c r="D3265" s="56" t="n">
        <v>51</v>
      </c>
      <c r="E3265" s="56" t="n">
        <v>19.5</v>
      </c>
      <c r="F3265" s="56" t="n">
        <v>0</v>
      </c>
      <c r="G3265" s="56" t="n">
        <v>15.4</v>
      </c>
      <c r="H3265" s="56" t="n">
        <v>0</v>
      </c>
      <c r="I3265" s="56" t="n">
        <v>18.5</v>
      </c>
      <c r="J3265" s="56" t="n">
        <v>0</v>
      </c>
      <c r="K3265" s="56" t="n">
        <v>1012.4</v>
      </c>
      <c r="L3265" s="56" t="n">
        <v>0</v>
      </c>
      <c r="M3265" s="56" t="n">
        <v>82</v>
      </c>
      <c r="N3265" s="56" t="n">
        <v>0.2</v>
      </c>
      <c r="O3265" s="56" t="n">
        <f aca="false">IF(D3265=1,"",E3264)</f>
        <v>21.6</v>
      </c>
      <c r="P3265" s="56" t="n">
        <f aca="false">IF(OR(D3265=1,K3264=""),"",K3264)</f>
        <v>1014.6</v>
      </c>
      <c r="Q3265" s="56" t="n">
        <f aca="false">IF(OR(F3265&lt;&gt;0,AND(I3265&lt;&gt;"",E3265&lt;I3265)),1,0)</f>
        <v>0</v>
      </c>
      <c r="R3265" s="56" t="n">
        <f aca="false">IF(AND(D3265&gt;1,Q3265=0,ISNUMBER(O3265),ISNUMBER(P3265)),IF(Q3264=0,1,0),0)</f>
        <v>0</v>
      </c>
      <c r="S3265" s="56" t="n">
        <f aca="false">R3265*(B3265&gt;=Train_Start)*(B3265&lt;=Train_End)</f>
        <v>0</v>
      </c>
      <c r="T3265" s="84" t="n">
        <f aca="false">IF(AND(ISNUMBER(O3265),ISNUMBER(P3265)),Coef_A+Coef_B1*O3265+Coef_B2*P3265,"")</f>
        <v>21.6125970873627</v>
      </c>
      <c r="U3265" s="84" t="str">
        <f aca="false">IF(AND(R3265=1,ISNUMBER(T3265)),E3265-T3265,"")</f>
        <v/>
      </c>
      <c r="V3265" s="84" t="n">
        <f aca="false">IF(ISNUMBER(T3265),T3265,-99)</f>
        <v>21.6125970873627</v>
      </c>
      <c r="W3265" s="84" t="str">
        <f aca="false">IF(ISNUMBER(U3265),ABS(U3265),"")</f>
        <v/>
      </c>
    </row>
    <row r="3266" customFormat="false" ht="15" hidden="false" customHeight="false" outlineLevel="0" collapsed="false">
      <c r="A3266" s="57" t="n">
        <v>36698</v>
      </c>
      <c r="B3266" s="56" t="n">
        <v>2000</v>
      </c>
      <c r="C3266" s="56" t="n">
        <v>6</v>
      </c>
      <c r="D3266" s="56" t="n">
        <v>52</v>
      </c>
      <c r="E3266" s="56" t="n">
        <v>19</v>
      </c>
      <c r="F3266" s="56" t="n">
        <v>0</v>
      </c>
      <c r="G3266" s="56" t="n">
        <v>15.5</v>
      </c>
      <c r="H3266" s="56" t="n">
        <v>0</v>
      </c>
      <c r="I3266" s="56" t="n">
        <v>17.5</v>
      </c>
      <c r="J3266" s="56" t="n">
        <v>0</v>
      </c>
      <c r="K3266" s="56" t="n">
        <v>1009.4</v>
      </c>
      <c r="L3266" s="56" t="n">
        <v>0</v>
      </c>
      <c r="M3266" s="56" t="n">
        <v>70</v>
      </c>
      <c r="N3266" s="56" t="n">
        <v>5.2</v>
      </c>
      <c r="O3266" s="56" t="n">
        <f aca="false">IF(D3266=1,"",E3265)</f>
        <v>19.5</v>
      </c>
      <c r="P3266" s="56" t="n">
        <f aca="false">IF(OR(D3266=1,K3265=""),"",K3265)</f>
        <v>1012.4</v>
      </c>
      <c r="Q3266" s="56" t="n">
        <f aca="false">IF(OR(F3266&lt;&gt;0,AND(I3266&lt;&gt;"",E3266&lt;I3266)),1,0)</f>
        <v>0</v>
      </c>
      <c r="R3266" s="56" t="n">
        <f aca="false">IF(AND(D3266&gt;1,Q3266=0,ISNUMBER(O3266),ISNUMBER(P3266)),IF(Q3265=0,1,0),0)</f>
        <v>1</v>
      </c>
      <c r="S3266" s="56" t="n">
        <f aca="false">R3266*(B3266&gt;=Train_Start)*(B3266&lt;=Train_End)</f>
        <v>0</v>
      </c>
      <c r="T3266" s="84" t="n">
        <f aca="false">IF(AND(ISNUMBER(O3266),ISNUMBER(P3266)),Coef_A+Coef_B1*O3266+Coef_B2*P3266,"")</f>
        <v>19.8229710137784</v>
      </c>
      <c r="U3266" s="84" t="n">
        <f aca="false">IF(AND(R3266=1,ISNUMBER(T3266)),E3266-T3266,"")</f>
        <v>-0.822971013778378</v>
      </c>
      <c r="V3266" s="84" t="n">
        <f aca="false">IF(ISNUMBER(T3266),T3266,-99)</f>
        <v>19.8229710137784</v>
      </c>
      <c r="W3266" s="84" t="n">
        <f aca="false">IF(ISNUMBER(U3266),ABS(U3266),"")</f>
        <v>0.822971013778378</v>
      </c>
    </row>
    <row r="3267" customFormat="false" ht="15" hidden="false" customHeight="false" outlineLevel="0" collapsed="false">
      <c r="A3267" s="57" t="n">
        <v>36699</v>
      </c>
      <c r="B3267" s="56" t="n">
        <v>2000</v>
      </c>
      <c r="C3267" s="56" t="n">
        <v>6</v>
      </c>
      <c r="D3267" s="56" t="n">
        <v>53</v>
      </c>
      <c r="E3267" s="56" t="n">
        <v>19.7</v>
      </c>
      <c r="F3267" s="56" t="n">
        <v>0</v>
      </c>
      <c r="G3267" s="56" t="n">
        <v>13.4</v>
      </c>
      <c r="H3267" s="56" t="n">
        <v>0</v>
      </c>
      <c r="I3267" s="56" t="n">
        <v>16.2</v>
      </c>
      <c r="J3267" s="56" t="n">
        <v>0</v>
      </c>
      <c r="K3267" s="56" t="n">
        <v>1010.7</v>
      </c>
      <c r="L3267" s="56" t="n">
        <v>0</v>
      </c>
      <c r="M3267" s="56" t="n">
        <v>74</v>
      </c>
      <c r="N3267" s="56" t="n">
        <v>4.4</v>
      </c>
      <c r="O3267" s="56" t="n">
        <f aca="false">IF(D3267=1,"",E3266)</f>
        <v>19</v>
      </c>
      <c r="P3267" s="56" t="n">
        <f aca="false">IF(OR(D3267=1,K3266=""),"",K3266)</f>
        <v>1009.4</v>
      </c>
      <c r="Q3267" s="56" t="n">
        <f aca="false">IF(OR(F3267&lt;&gt;0,AND(I3267&lt;&gt;"",E3267&lt;I3267)),1,0)</f>
        <v>0</v>
      </c>
      <c r="R3267" s="56" t="n">
        <f aca="false">IF(AND(D3267&gt;1,Q3267=0,ISNUMBER(O3267),ISNUMBER(P3267)),IF(Q3266=0,1,0),0)</f>
        <v>1</v>
      </c>
      <c r="S3267" s="56" t="n">
        <f aca="false">R3267*(B3267&gt;=Train_Start)*(B3267&lt;=Train_End)</f>
        <v>0</v>
      </c>
      <c r="T3267" s="84" t="n">
        <f aca="false">IF(AND(ISNUMBER(O3267),ISNUMBER(P3267)),Coef_A+Coef_B1*O3267+Coef_B2*P3267,"")</f>
        <v>19.3191917333551</v>
      </c>
      <c r="U3267" s="84" t="n">
        <f aca="false">IF(AND(R3267=1,ISNUMBER(T3267)),E3267-T3267,"")</f>
        <v>0.380808266644916</v>
      </c>
      <c r="V3267" s="84" t="n">
        <f aca="false">IF(ISNUMBER(T3267),T3267,-99)</f>
        <v>19.3191917333551</v>
      </c>
      <c r="W3267" s="84" t="n">
        <f aca="false">IF(ISNUMBER(U3267),ABS(U3267),"")</f>
        <v>0.380808266644916</v>
      </c>
    </row>
    <row r="3268" customFormat="false" ht="15" hidden="false" customHeight="false" outlineLevel="0" collapsed="false">
      <c r="A3268" s="57" t="n">
        <v>36700</v>
      </c>
      <c r="B3268" s="56" t="n">
        <v>2000</v>
      </c>
      <c r="C3268" s="56" t="n">
        <v>6</v>
      </c>
      <c r="D3268" s="56" t="n">
        <v>54</v>
      </c>
      <c r="E3268" s="56" t="n">
        <v>16.1</v>
      </c>
      <c r="F3268" s="56" t="n">
        <v>1</v>
      </c>
      <c r="G3268" s="56" t="n">
        <v>12.7</v>
      </c>
      <c r="H3268" s="56" t="n">
        <v>0</v>
      </c>
      <c r="I3268" s="56" t="n">
        <v>16.2</v>
      </c>
      <c r="J3268" s="56" t="n">
        <v>1</v>
      </c>
      <c r="K3268" s="56" t="n">
        <v>1016.1</v>
      </c>
      <c r="L3268" s="56" t="n">
        <v>0</v>
      </c>
      <c r="M3268" s="56" t="n">
        <v>70</v>
      </c>
      <c r="N3268" s="56" t="n">
        <v>3.2</v>
      </c>
      <c r="O3268" s="56" t="n">
        <f aca="false">IF(D3268=1,"",E3267)</f>
        <v>19.7</v>
      </c>
      <c r="P3268" s="56" t="n">
        <f aca="false">IF(OR(D3268=1,K3267=""),"",K3267)</f>
        <v>1010.7</v>
      </c>
      <c r="Q3268" s="56" t="n">
        <f aca="false">IF(OR(F3268&lt;&gt;0,AND(I3268&lt;&gt;"",E3268&lt;I3268)),1,0)</f>
        <v>1</v>
      </c>
      <c r="R3268" s="56" t="n">
        <f aca="false">IF(AND(D3268&gt;1,Q3268=0,ISNUMBER(O3268),ISNUMBER(P3268)),IF(Q3267=0,1,0),0)</f>
        <v>0</v>
      </c>
      <c r="S3268" s="56" t="n">
        <f aca="false">R3268*(B3268&gt;=Train_Start)*(B3268&lt;=Train_End)</f>
        <v>0</v>
      </c>
      <c r="T3268" s="84" t="n">
        <f aca="false">IF(AND(ISNUMBER(O3268),ISNUMBER(P3268)),Coef_A+Coef_B1*O3268+Coef_B2*P3268,"")</f>
        <v>19.9335100315091</v>
      </c>
      <c r="U3268" s="84" t="str">
        <f aca="false">IF(AND(R3268=1,ISNUMBER(T3268)),E3268-T3268,"")</f>
        <v/>
      </c>
      <c r="V3268" s="84" t="n">
        <f aca="false">IF(ISNUMBER(T3268),T3268,-99)</f>
        <v>19.9335100315091</v>
      </c>
      <c r="W3268" s="84" t="str">
        <f aca="false">IF(ISNUMBER(U3268),ABS(U3268),"")</f>
        <v/>
      </c>
    </row>
    <row r="3269" customFormat="false" ht="15" hidden="false" customHeight="false" outlineLevel="0" collapsed="false">
      <c r="A3269" s="57" t="n">
        <v>36701</v>
      </c>
      <c r="B3269" s="56" t="n">
        <v>2000</v>
      </c>
      <c r="C3269" s="56" t="n">
        <v>6</v>
      </c>
      <c r="D3269" s="56" t="n">
        <v>55</v>
      </c>
      <c r="E3269" s="56" t="n">
        <v>18</v>
      </c>
      <c r="F3269" s="56" t="n">
        <v>0</v>
      </c>
      <c r="G3269" s="56" t="n">
        <v>8.5</v>
      </c>
      <c r="H3269" s="56" t="n">
        <v>0</v>
      </c>
      <c r="I3269" s="56" t="n">
        <v>12.3</v>
      </c>
      <c r="J3269" s="56" t="n">
        <v>0</v>
      </c>
      <c r="K3269" s="56" t="n">
        <v>1018.3</v>
      </c>
      <c r="L3269" s="56" t="n">
        <v>0</v>
      </c>
      <c r="M3269" s="56" t="n">
        <v>72</v>
      </c>
      <c r="N3269" s="56" t="n">
        <v>0.1</v>
      </c>
      <c r="O3269" s="56" t="n">
        <f aca="false">IF(D3269=1,"",E3268)</f>
        <v>16.1</v>
      </c>
      <c r="P3269" s="56" t="n">
        <f aca="false">IF(OR(D3269=1,K3268=""),"",K3268)</f>
        <v>1016.1</v>
      </c>
      <c r="Q3269" s="56" t="n">
        <f aca="false">IF(OR(F3269&lt;&gt;0,AND(I3269&lt;&gt;"",E3269&lt;I3269)),1,0)</f>
        <v>0</v>
      </c>
      <c r="R3269" s="56" t="n">
        <f aca="false">IF(AND(D3269&gt;1,Q3269=0,ISNUMBER(O3269),ISNUMBER(P3269)),IF(Q3268=0,1,0),0)</f>
        <v>0</v>
      </c>
      <c r="S3269" s="56" t="n">
        <f aca="false">R3269*(B3269&gt;=Train_Start)*(B3269&lt;=Train_End)</f>
        <v>0</v>
      </c>
      <c r="T3269" s="84" t="n">
        <f aca="false">IF(AND(ISNUMBER(O3269),ISNUMBER(P3269)),Coef_A+Coef_B1*O3269+Coef_B2*P3269,"")</f>
        <v>17.1532863675791</v>
      </c>
      <c r="U3269" s="84" t="str">
        <f aca="false">IF(AND(R3269=1,ISNUMBER(T3269)),E3269-T3269,"")</f>
        <v/>
      </c>
      <c r="V3269" s="84" t="n">
        <f aca="false">IF(ISNUMBER(T3269),T3269,-99)</f>
        <v>17.1532863675791</v>
      </c>
      <c r="W3269" s="84" t="str">
        <f aca="false">IF(ISNUMBER(U3269),ABS(U3269),"")</f>
        <v/>
      </c>
    </row>
    <row r="3270" customFormat="false" ht="15" hidden="false" customHeight="false" outlineLevel="0" collapsed="false">
      <c r="A3270" s="57" t="n">
        <v>36702</v>
      </c>
      <c r="B3270" s="56" t="n">
        <v>2000</v>
      </c>
      <c r="C3270" s="56" t="n">
        <v>6</v>
      </c>
      <c r="D3270" s="56" t="n">
        <v>56</v>
      </c>
      <c r="E3270" s="56" t="n">
        <v>19.9</v>
      </c>
      <c r="F3270" s="56" t="n">
        <v>0</v>
      </c>
      <c r="G3270" s="56" t="n">
        <v>10.1</v>
      </c>
      <c r="H3270" s="56" t="n">
        <v>0</v>
      </c>
      <c r="I3270" s="56" t="n">
        <v>14</v>
      </c>
      <c r="J3270" s="56" t="n">
        <v>0</v>
      </c>
      <c r="K3270" s="56" t="n">
        <v>1021.9</v>
      </c>
      <c r="L3270" s="56" t="n">
        <v>0</v>
      </c>
      <c r="M3270" s="56" t="n">
        <v>68</v>
      </c>
      <c r="N3270" s="56" t="n">
        <v>3.2</v>
      </c>
      <c r="O3270" s="56" t="n">
        <f aca="false">IF(D3270=1,"",E3269)</f>
        <v>18</v>
      </c>
      <c r="P3270" s="56" t="n">
        <f aca="false">IF(OR(D3270=1,K3269=""),"",K3269)</f>
        <v>1018.3</v>
      </c>
      <c r="Q3270" s="56" t="n">
        <f aca="false">IF(OR(F3270&lt;&gt;0,AND(I3270&lt;&gt;"",E3270&lt;I3270)),1,0)</f>
        <v>0</v>
      </c>
      <c r="R3270" s="56" t="n">
        <f aca="false">IF(AND(D3270&gt;1,Q3270=0,ISNUMBER(O3270),ISNUMBER(P3270)),IF(Q3269=0,1,0),0)</f>
        <v>1</v>
      </c>
      <c r="S3270" s="56" t="n">
        <f aca="false">R3270*(B3270&gt;=Train_Start)*(B3270&lt;=Train_End)</f>
        <v>0</v>
      </c>
      <c r="T3270" s="84" t="n">
        <f aca="false">IF(AND(ISNUMBER(O3270),ISNUMBER(P3270)),Coef_A+Coef_B1*O3270+Coef_B2*P3270,"")</f>
        <v>18.7790446025549</v>
      </c>
      <c r="U3270" s="84" t="n">
        <f aca="false">IF(AND(R3270=1,ISNUMBER(T3270)),E3270-T3270,"")</f>
        <v>1.12095539744507</v>
      </c>
      <c r="V3270" s="84" t="n">
        <f aca="false">IF(ISNUMBER(T3270),T3270,-99)</f>
        <v>18.7790446025549</v>
      </c>
      <c r="W3270" s="84" t="n">
        <f aca="false">IF(ISNUMBER(U3270),ABS(U3270),"")</f>
        <v>1.12095539744507</v>
      </c>
    </row>
    <row r="3271" customFormat="false" ht="15" hidden="false" customHeight="false" outlineLevel="0" collapsed="false">
      <c r="A3271" s="57" t="n">
        <v>36703</v>
      </c>
      <c r="B3271" s="56" t="n">
        <v>2000</v>
      </c>
      <c r="C3271" s="56" t="n">
        <v>6</v>
      </c>
      <c r="D3271" s="56" t="n">
        <v>57</v>
      </c>
      <c r="E3271" s="56" t="n">
        <v>21.9</v>
      </c>
      <c r="F3271" s="56" t="n">
        <v>0</v>
      </c>
      <c r="G3271" s="56" t="n">
        <v>12.5</v>
      </c>
      <c r="H3271" s="56" t="n">
        <v>0</v>
      </c>
      <c r="I3271" s="56" t="n">
        <v>16.2</v>
      </c>
      <c r="J3271" s="56" t="n">
        <v>0</v>
      </c>
      <c r="K3271" s="56" t="n">
        <v>1024.9</v>
      </c>
      <c r="L3271" s="56" t="n">
        <v>0</v>
      </c>
      <c r="M3271" s="56" t="n">
        <v>69</v>
      </c>
      <c r="N3271" s="56" t="n">
        <v>3.9</v>
      </c>
      <c r="O3271" s="56" t="n">
        <f aca="false">IF(D3271=1,"",E3270)</f>
        <v>19.9</v>
      </c>
      <c r="P3271" s="56" t="n">
        <f aca="false">IF(OR(D3271=1,K3270=""),"",K3270)</f>
        <v>1021.9</v>
      </c>
      <c r="Q3271" s="56" t="n">
        <f aca="false">IF(OR(F3271&lt;&gt;0,AND(I3271&lt;&gt;"",E3271&lt;I3271)),1,0)</f>
        <v>0</v>
      </c>
      <c r="R3271" s="56" t="n">
        <f aca="false">IF(AND(D3271&gt;1,Q3271=0,ISNUMBER(O3271),ISNUMBER(P3271)),IF(Q3270=0,1,0),0)</f>
        <v>1</v>
      </c>
      <c r="S3271" s="56" t="n">
        <f aca="false">R3271*(B3271&gt;=Train_Start)*(B3271&lt;=Train_End)</f>
        <v>0</v>
      </c>
      <c r="T3271" s="84" t="n">
        <f aca="false">IF(AND(ISNUMBER(O3271),ISNUMBER(P3271)),Coef_A+Coef_B1*O3271+Coef_B2*P3271,"")</f>
        <v>20.4487206900183</v>
      </c>
      <c r="U3271" s="84" t="n">
        <f aca="false">IF(AND(R3271=1,ISNUMBER(T3271)),E3271-T3271,"")</f>
        <v>1.45127930998166</v>
      </c>
      <c r="V3271" s="84" t="n">
        <f aca="false">IF(ISNUMBER(T3271),T3271,-99)</f>
        <v>20.4487206900183</v>
      </c>
      <c r="W3271" s="84" t="n">
        <f aca="false">IF(ISNUMBER(U3271),ABS(U3271),"")</f>
        <v>1.45127930998166</v>
      </c>
    </row>
    <row r="3272" customFormat="false" ht="15" hidden="false" customHeight="false" outlineLevel="0" collapsed="false">
      <c r="A3272" s="57" t="n">
        <v>36704</v>
      </c>
      <c r="B3272" s="56" t="n">
        <v>2000</v>
      </c>
      <c r="C3272" s="56" t="n">
        <v>6</v>
      </c>
      <c r="D3272" s="56" t="n">
        <v>58</v>
      </c>
      <c r="E3272" s="56" t="n">
        <v>20.9</v>
      </c>
      <c r="F3272" s="56" t="n">
        <v>0</v>
      </c>
      <c r="G3272" s="56" t="n">
        <v>11.2</v>
      </c>
      <c r="H3272" s="56" t="n">
        <v>0</v>
      </c>
      <c r="I3272" s="56" t="n">
        <v>16.6</v>
      </c>
      <c r="J3272" s="56" t="n">
        <v>0</v>
      </c>
      <c r="K3272" s="56" t="n">
        <v>1023.1</v>
      </c>
      <c r="L3272" s="56" t="n">
        <v>0</v>
      </c>
      <c r="M3272" s="56" t="n">
        <v>62</v>
      </c>
      <c r="N3272" s="56" t="n">
        <v>8.7</v>
      </c>
      <c r="O3272" s="56" t="n">
        <f aca="false">IF(D3272=1,"",E3271)</f>
        <v>21.9</v>
      </c>
      <c r="P3272" s="56" t="n">
        <f aca="false">IF(OR(D3272=1,K3271=""),"",K3271)</f>
        <v>1024.9</v>
      </c>
      <c r="Q3272" s="56" t="n">
        <f aca="false">IF(OR(F3272&lt;&gt;0,AND(I3272&lt;&gt;"",E3272&lt;I3272)),1,0)</f>
        <v>0</v>
      </c>
      <c r="R3272" s="56" t="n">
        <f aca="false">IF(AND(D3272&gt;1,Q3272=0,ISNUMBER(O3272),ISNUMBER(P3272)),IF(Q3271=0,1,0),0)</f>
        <v>1</v>
      </c>
      <c r="S3272" s="56" t="n">
        <f aca="false">R3272*(B3272&gt;=Train_Start)*(B3272&lt;=Train_End)</f>
        <v>0</v>
      </c>
      <c r="T3272" s="84" t="n">
        <f aca="false">IF(AND(ISNUMBER(O3272),ISNUMBER(P3272)),Coef_A+Coef_B1*O3272+Coef_B2*P3272,"")</f>
        <v>22.1815087600056</v>
      </c>
      <c r="U3272" s="84" t="n">
        <f aca="false">IF(AND(R3272=1,ISNUMBER(T3272)),E3272-T3272,"")</f>
        <v>-1.28150876000563</v>
      </c>
      <c r="V3272" s="84" t="n">
        <f aca="false">IF(ISNUMBER(T3272),T3272,-99)</f>
        <v>22.1815087600056</v>
      </c>
      <c r="W3272" s="84" t="n">
        <f aca="false">IF(ISNUMBER(U3272),ABS(U3272),"")</f>
        <v>1.28150876000563</v>
      </c>
    </row>
    <row r="3273" customFormat="false" ht="15" hidden="false" customHeight="false" outlineLevel="0" collapsed="false">
      <c r="A3273" s="57" t="n">
        <v>36705</v>
      </c>
      <c r="B3273" s="56" t="n">
        <v>2000</v>
      </c>
      <c r="C3273" s="56" t="n">
        <v>6</v>
      </c>
      <c r="D3273" s="56" t="n">
        <v>59</v>
      </c>
      <c r="E3273" s="56" t="n">
        <v>20.3</v>
      </c>
      <c r="F3273" s="56" t="n">
        <v>0</v>
      </c>
      <c r="G3273" s="56" t="n">
        <v>13.2</v>
      </c>
      <c r="H3273" s="56" t="n">
        <v>0</v>
      </c>
      <c r="I3273" s="56" t="n">
        <v>17</v>
      </c>
      <c r="J3273" s="56" t="n">
        <v>0</v>
      </c>
      <c r="K3273" s="56" t="n">
        <v>1020.8</v>
      </c>
      <c r="L3273" s="56" t="n">
        <v>0</v>
      </c>
      <c r="M3273" s="56" t="n">
        <v>65</v>
      </c>
      <c r="N3273" s="56" t="n">
        <v>1.4</v>
      </c>
      <c r="O3273" s="56" t="n">
        <f aca="false">IF(D3273=1,"",E3272)</f>
        <v>20.9</v>
      </c>
      <c r="P3273" s="56" t="n">
        <f aca="false">IF(OR(D3273=1,K3272=""),"",K3272)</f>
        <v>1023.1</v>
      </c>
      <c r="Q3273" s="56" t="n">
        <f aca="false">IF(OR(F3273&lt;&gt;0,AND(I3273&lt;&gt;"",E3273&lt;I3273)),1,0)</f>
        <v>0</v>
      </c>
      <c r="R3273" s="56" t="n">
        <f aca="false">IF(AND(D3273&gt;1,Q3273=0,ISNUMBER(O3273),ISNUMBER(P3273)),IF(Q3272=0,1,0),0)</f>
        <v>1</v>
      </c>
      <c r="S3273" s="56" t="n">
        <f aca="false">R3273*(B3273&gt;=Train_Start)*(B3273&lt;=Train_End)</f>
        <v>0</v>
      </c>
      <c r="T3273" s="84" t="n">
        <f aca="false">IF(AND(ISNUMBER(O3273),ISNUMBER(P3273)),Coef_A+Coef_B1*O3273+Coef_B2*P3273,"")</f>
        <v>21.3057037566218</v>
      </c>
      <c r="U3273" s="84" t="n">
        <f aca="false">IF(AND(R3273=1,ISNUMBER(T3273)),E3273-T3273,"")</f>
        <v>-1.00570375662179</v>
      </c>
      <c r="V3273" s="84" t="n">
        <f aca="false">IF(ISNUMBER(T3273),T3273,-99)</f>
        <v>21.3057037566218</v>
      </c>
      <c r="W3273" s="84" t="n">
        <f aca="false">IF(ISNUMBER(U3273),ABS(U3273),"")</f>
        <v>1.00570375662179</v>
      </c>
    </row>
    <row r="3274" customFormat="false" ht="15" hidden="false" customHeight="false" outlineLevel="0" collapsed="false">
      <c r="A3274" s="57" t="n">
        <v>36706</v>
      </c>
      <c r="B3274" s="56" t="n">
        <v>2000</v>
      </c>
      <c r="C3274" s="56" t="n">
        <v>6</v>
      </c>
      <c r="D3274" s="56" t="n">
        <v>60</v>
      </c>
      <c r="E3274" s="56" t="n">
        <v>20.8</v>
      </c>
      <c r="F3274" s="56" t="n">
        <v>0</v>
      </c>
      <c r="G3274" s="56" t="n">
        <v>14.5</v>
      </c>
      <c r="H3274" s="56" t="n">
        <v>0</v>
      </c>
      <c r="I3274" s="56" t="n">
        <v>17.4</v>
      </c>
      <c r="J3274" s="56" t="n">
        <v>0</v>
      </c>
      <c r="K3274" s="56" t="n">
        <v>1020.1</v>
      </c>
      <c r="L3274" s="56" t="n">
        <v>0</v>
      </c>
      <c r="M3274" s="56" t="n">
        <v>71</v>
      </c>
      <c r="N3274" s="56" t="n">
        <v>0.1</v>
      </c>
      <c r="O3274" s="56" t="n">
        <f aca="false">IF(D3274=1,"",E3273)</f>
        <v>20.3</v>
      </c>
      <c r="P3274" s="56" t="n">
        <f aca="false">IF(OR(D3274=1,K3273=""),"",K3273)</f>
        <v>1020.8</v>
      </c>
      <c r="Q3274" s="56" t="n">
        <f aca="false">IF(OR(F3274&lt;&gt;0,AND(I3274&lt;&gt;"",E3274&lt;I3274)),1,0)</f>
        <v>0</v>
      </c>
      <c r="R3274" s="56" t="n">
        <f aca="false">IF(AND(D3274&gt;1,Q3274=0,ISNUMBER(O3274),ISNUMBER(P3274)),IF(Q3273=0,1,0),0)</f>
        <v>1</v>
      </c>
      <c r="S3274" s="56" t="n">
        <f aca="false">R3274*(B3274&gt;=Train_Start)*(B3274&lt;=Train_End)</f>
        <v>0</v>
      </c>
      <c r="T3274" s="84" t="n">
        <f aca="false">IF(AND(ISNUMBER(O3274),ISNUMBER(P3274)),Coef_A+Coef_B1*O3274+Coef_B2*P3274,"")</f>
        <v>20.741949483138</v>
      </c>
      <c r="U3274" s="84" t="n">
        <f aca="false">IF(AND(R3274=1,ISNUMBER(T3274)),E3274-T3274,"")</f>
        <v>0.0580505168619858</v>
      </c>
      <c r="V3274" s="84" t="n">
        <f aca="false">IF(ISNUMBER(T3274),T3274,-99)</f>
        <v>20.741949483138</v>
      </c>
      <c r="W3274" s="84" t="n">
        <f aca="false">IF(ISNUMBER(U3274),ABS(U3274),"")</f>
        <v>0.0580505168619858</v>
      </c>
    </row>
    <row r="3275" customFormat="false" ht="15" hidden="false" customHeight="false" outlineLevel="0" collapsed="false">
      <c r="A3275" s="57" t="n">
        <v>36707</v>
      </c>
      <c r="B3275" s="56" t="n">
        <v>2000</v>
      </c>
      <c r="C3275" s="56" t="n">
        <v>6</v>
      </c>
      <c r="D3275" s="56" t="n">
        <v>61</v>
      </c>
      <c r="E3275" s="56" t="n">
        <v>20.9</v>
      </c>
      <c r="F3275" s="56" t="n">
        <v>0</v>
      </c>
      <c r="G3275" s="56" t="n">
        <v>13.6</v>
      </c>
      <c r="H3275" s="56" t="n">
        <v>0</v>
      </c>
      <c r="I3275" s="56" t="n">
        <v>17.2</v>
      </c>
      <c r="J3275" s="56" t="n">
        <v>0</v>
      </c>
      <c r="K3275" s="56" t="n">
        <v>1014.7</v>
      </c>
      <c r="L3275" s="56" t="n">
        <v>0</v>
      </c>
      <c r="M3275" s="56" t="n">
        <v>86</v>
      </c>
      <c r="N3275" s="56" t="n">
        <v>1.1</v>
      </c>
      <c r="O3275" s="56" t="n">
        <f aca="false">IF(D3275=1,"",E3274)</f>
        <v>20.8</v>
      </c>
      <c r="P3275" s="56" t="n">
        <f aca="false">IF(OR(D3275=1,K3274=""),"",K3274)</f>
        <v>1020.1</v>
      </c>
      <c r="Q3275" s="56" t="n">
        <f aca="false">IF(OR(F3275&lt;&gt;0,AND(I3275&lt;&gt;"",E3275&lt;I3275)),1,0)</f>
        <v>0</v>
      </c>
      <c r="R3275" s="56" t="n">
        <f aca="false">IF(AND(D3275&gt;1,Q3275=0,ISNUMBER(O3275),ISNUMBER(P3275)),IF(Q3274=0,1,0),0)</f>
        <v>1</v>
      </c>
      <c r="S3275" s="56" t="n">
        <f aca="false">R3275*(B3275&gt;=Train_Start)*(B3275&lt;=Train_End)</f>
        <v>0</v>
      </c>
      <c r="T3275" s="84" t="n">
        <f aca="false">IF(AND(ISNUMBER(O3275),ISNUMBER(P3275)),Coef_A+Coef_B1*O3275+Coef_B2*P3275,"")</f>
        <v>21.1296601534156</v>
      </c>
      <c r="U3275" s="84" t="n">
        <f aca="false">IF(AND(R3275=1,ISNUMBER(T3275)),E3275-T3275,"")</f>
        <v>-0.229660153415555</v>
      </c>
      <c r="V3275" s="84" t="n">
        <f aca="false">IF(ISNUMBER(T3275),T3275,-99)</f>
        <v>21.1296601534156</v>
      </c>
      <c r="W3275" s="84" t="n">
        <f aca="false">IF(ISNUMBER(U3275),ABS(U3275),"")</f>
        <v>0.229660153415555</v>
      </c>
    </row>
    <row r="3276" customFormat="false" ht="15" hidden="false" customHeight="false" outlineLevel="0" collapsed="false">
      <c r="A3276" s="57" t="n">
        <v>36708</v>
      </c>
      <c r="B3276" s="56" t="n">
        <v>2000</v>
      </c>
      <c r="C3276" s="56" t="n">
        <v>7</v>
      </c>
      <c r="D3276" s="56" t="n">
        <v>62</v>
      </c>
      <c r="E3276" s="56" t="n">
        <v>22.3</v>
      </c>
      <c r="F3276" s="56" t="n">
        <v>0</v>
      </c>
      <c r="G3276" s="56" t="n">
        <v>14.4</v>
      </c>
      <c r="H3276" s="56" t="n">
        <v>0</v>
      </c>
      <c r="I3276" s="56" t="n">
        <v>17.6</v>
      </c>
      <c r="J3276" s="56" t="n">
        <v>0</v>
      </c>
      <c r="K3276" s="56" t="n">
        <v>1009.3</v>
      </c>
      <c r="L3276" s="56" t="n">
        <v>0</v>
      </c>
      <c r="M3276" s="56" t="n">
        <v>80</v>
      </c>
      <c r="N3276" s="56" t="n">
        <v>3</v>
      </c>
      <c r="O3276" s="56" t="n">
        <f aca="false">IF(D3276=1,"",E3275)</f>
        <v>20.9</v>
      </c>
      <c r="P3276" s="56" t="n">
        <f aca="false">IF(OR(D3276=1,K3275=""),"",K3275)</f>
        <v>1014.7</v>
      </c>
      <c r="Q3276" s="56" t="n">
        <f aca="false">IF(OR(F3276&lt;&gt;0,AND(I3276&lt;&gt;"",E3276&lt;I3276)),1,0)</f>
        <v>0</v>
      </c>
      <c r="R3276" s="56" t="n">
        <f aca="false">IF(AND(D3276&gt;1,Q3276=0,ISNUMBER(O3276),ISNUMBER(P3276)),IF(Q3275=0,1,0),0)</f>
        <v>1</v>
      </c>
      <c r="S3276" s="56" t="n">
        <f aca="false">R3276*(B3276&gt;=Train_Start)*(B3276&lt;=Train_End)</f>
        <v>0</v>
      </c>
      <c r="T3276" s="84" t="n">
        <f aca="false">IF(AND(ISNUMBER(O3276),ISNUMBER(P3276)),Coef_A+Coef_B1*O3276+Coef_B2*P3276,"")</f>
        <v>21.0421966416963</v>
      </c>
      <c r="U3276" s="84" t="n">
        <f aca="false">IF(AND(R3276=1,ISNUMBER(T3276)),E3276-T3276,"")</f>
        <v>1.25780335830372</v>
      </c>
      <c r="V3276" s="84" t="n">
        <f aca="false">IF(ISNUMBER(T3276),T3276,-99)</f>
        <v>21.0421966416963</v>
      </c>
      <c r="W3276" s="84" t="n">
        <f aca="false">IF(ISNUMBER(U3276),ABS(U3276),"")</f>
        <v>1.25780335830372</v>
      </c>
    </row>
    <row r="3277" customFormat="false" ht="15" hidden="false" customHeight="false" outlineLevel="0" collapsed="false">
      <c r="A3277" s="57" t="n">
        <v>36709</v>
      </c>
      <c r="B3277" s="56" t="n">
        <v>2000</v>
      </c>
      <c r="C3277" s="56" t="n">
        <v>7</v>
      </c>
      <c r="D3277" s="56" t="n">
        <v>63</v>
      </c>
      <c r="E3277" s="56" t="n">
        <v>23.3</v>
      </c>
      <c r="F3277" s="56" t="n">
        <v>0</v>
      </c>
      <c r="G3277" s="56" t="n">
        <v>13</v>
      </c>
      <c r="H3277" s="56" t="n">
        <v>0</v>
      </c>
      <c r="I3277" s="56" t="n">
        <v>17.6</v>
      </c>
      <c r="J3277" s="56" t="n">
        <v>0</v>
      </c>
      <c r="K3277" s="56" t="n">
        <v>1010.1</v>
      </c>
      <c r="L3277" s="56" t="n">
        <v>0</v>
      </c>
      <c r="M3277" s="56" t="n">
        <v>78</v>
      </c>
      <c r="N3277" s="56" t="n">
        <v>3</v>
      </c>
      <c r="O3277" s="56" t="n">
        <f aca="false">IF(D3277=1,"",E3276)</f>
        <v>22.3</v>
      </c>
      <c r="P3277" s="56" t="n">
        <f aca="false">IF(OR(D3277=1,K3276=""),"",K3276)</f>
        <v>1009.3</v>
      </c>
      <c r="Q3277" s="56" t="n">
        <f aca="false">IF(OR(F3277&lt;&gt;0,AND(I3277&lt;&gt;"",E3277&lt;I3277)),1,0)</f>
        <v>0</v>
      </c>
      <c r="R3277" s="56" t="n">
        <f aca="false">IF(AND(D3277&gt;1,Q3277=0,ISNUMBER(O3277),ISNUMBER(P3277)),IF(Q3276=0,1,0),0)</f>
        <v>1</v>
      </c>
      <c r="S3277" s="56" t="n">
        <f aca="false">R3277*(B3277&gt;=Train_Start)*(B3277&lt;=Train_End)</f>
        <v>0</v>
      </c>
      <c r="T3277" s="84" t="n">
        <f aca="false">IF(AND(ISNUMBER(O3277),ISNUMBER(P3277)),Coef_A+Coef_B1*O3277+Coef_B2*P3277,"")</f>
        <v>22.0198740809325</v>
      </c>
      <c r="U3277" s="84" t="n">
        <f aca="false">IF(AND(R3277=1,ISNUMBER(T3277)),E3277-T3277,"")</f>
        <v>1.28012591906755</v>
      </c>
      <c r="V3277" s="84" t="n">
        <f aca="false">IF(ISNUMBER(T3277),T3277,-99)</f>
        <v>22.0198740809325</v>
      </c>
      <c r="W3277" s="84" t="n">
        <f aca="false">IF(ISNUMBER(U3277),ABS(U3277),"")</f>
        <v>1.28012591906755</v>
      </c>
    </row>
    <row r="3278" customFormat="false" ht="15" hidden="false" customHeight="false" outlineLevel="0" collapsed="false">
      <c r="A3278" s="57" t="n">
        <v>36710</v>
      </c>
      <c r="B3278" s="56" t="n">
        <v>2000</v>
      </c>
      <c r="C3278" s="56" t="n">
        <v>7</v>
      </c>
      <c r="D3278" s="56" t="n">
        <v>64</v>
      </c>
      <c r="E3278" s="56" t="n">
        <v>18.3</v>
      </c>
      <c r="F3278" s="56" t="n">
        <v>1</v>
      </c>
      <c r="G3278" s="56" t="n">
        <v>14.2</v>
      </c>
      <c r="H3278" s="56" t="n">
        <v>0</v>
      </c>
      <c r="I3278" s="56" t="n">
        <v>18.8</v>
      </c>
      <c r="J3278" s="56" t="n">
        <v>1</v>
      </c>
      <c r="K3278" s="56" t="n">
        <v>1009.4</v>
      </c>
      <c r="L3278" s="56" t="n">
        <v>0</v>
      </c>
      <c r="M3278" s="56" t="n">
        <v>72</v>
      </c>
      <c r="N3278" s="56" t="n">
        <v>5.8</v>
      </c>
      <c r="O3278" s="56" t="n">
        <f aca="false">IF(D3278=1,"",E3277)</f>
        <v>23.3</v>
      </c>
      <c r="P3278" s="56" t="n">
        <f aca="false">IF(OR(D3278=1,K3277=""),"",K3277)</f>
        <v>1010.1</v>
      </c>
      <c r="Q3278" s="56" t="n">
        <f aca="false">IF(OR(F3278&lt;&gt;0,AND(I3278&lt;&gt;"",E3278&lt;I3278)),1,0)</f>
        <v>1</v>
      </c>
      <c r="R3278" s="56" t="n">
        <f aca="false">IF(AND(D3278&gt;1,Q3278=0,ISNUMBER(O3278),ISNUMBER(P3278)),IF(Q3277=0,1,0),0)</f>
        <v>0</v>
      </c>
      <c r="S3278" s="56" t="n">
        <f aca="false">R3278*(B3278&gt;=Train_Start)*(B3278&lt;=Train_End)</f>
        <v>0</v>
      </c>
      <c r="T3278" s="84" t="n">
        <f aca="false">IF(AND(ISNUMBER(O3278),ISNUMBER(P3278)),Coef_A+Coef_B1*O3278+Coef_B2*P3278,"")</f>
        <v>22.8643091896823</v>
      </c>
      <c r="U3278" s="84" t="str">
        <f aca="false">IF(AND(R3278=1,ISNUMBER(T3278)),E3278-T3278,"")</f>
        <v/>
      </c>
      <c r="V3278" s="84" t="n">
        <f aca="false">IF(ISNUMBER(T3278),T3278,-99)</f>
        <v>22.8643091896823</v>
      </c>
      <c r="W3278" s="84" t="str">
        <f aca="false">IF(ISNUMBER(U3278),ABS(U3278),"")</f>
        <v/>
      </c>
    </row>
    <row r="3279" customFormat="false" ht="15" hidden="false" customHeight="false" outlineLevel="0" collapsed="false">
      <c r="A3279" s="57" t="n">
        <v>36711</v>
      </c>
      <c r="B3279" s="56" t="n">
        <v>2000</v>
      </c>
      <c r="C3279" s="56" t="n">
        <v>7</v>
      </c>
      <c r="D3279" s="56" t="n">
        <v>65</v>
      </c>
      <c r="E3279" s="56" t="n">
        <v>17.1</v>
      </c>
      <c r="F3279" s="56" t="n">
        <v>0</v>
      </c>
      <c r="G3279" s="56" t="n">
        <v>15.4</v>
      </c>
      <c r="H3279" s="56" t="n">
        <v>0</v>
      </c>
      <c r="I3279" s="56" t="n">
        <v>16.8</v>
      </c>
      <c r="J3279" s="56" t="n">
        <v>0</v>
      </c>
      <c r="K3279" s="56" t="n">
        <v>1007.4</v>
      </c>
      <c r="L3279" s="56" t="n">
        <v>0</v>
      </c>
      <c r="M3279" s="56" t="n">
        <v>86</v>
      </c>
      <c r="N3279" s="56" t="n">
        <v>0</v>
      </c>
      <c r="O3279" s="56" t="n">
        <f aca="false">IF(D3279=1,"",E3278)</f>
        <v>18.3</v>
      </c>
      <c r="P3279" s="56" t="n">
        <f aca="false">IF(OR(D3279=1,K3278=""),"",K3278)</f>
        <v>1009.4</v>
      </c>
      <c r="Q3279" s="56" t="n">
        <f aca="false">IF(OR(F3279&lt;&gt;0,AND(I3279&lt;&gt;"",E3279&lt;I3279)),1,0)</f>
        <v>0</v>
      </c>
      <c r="R3279" s="56" t="n">
        <f aca="false">IF(AND(D3279&gt;1,Q3279=0,ISNUMBER(O3279),ISNUMBER(P3279)),IF(Q3278=0,1,0),0)</f>
        <v>0</v>
      </c>
      <c r="S3279" s="56" t="n">
        <f aca="false">R3279*(B3279&gt;=Train_Start)*(B3279&lt;=Train_End)</f>
        <v>0</v>
      </c>
      <c r="T3279" s="84" t="n">
        <f aca="false">IF(AND(ISNUMBER(O3279),ISNUMBER(P3279)),Coef_A+Coef_B1*O3279+Coef_B2*P3279,"")</f>
        <v>18.7456542982252</v>
      </c>
      <c r="U3279" s="84" t="str">
        <f aca="false">IF(AND(R3279=1,ISNUMBER(T3279)),E3279-T3279,"")</f>
        <v/>
      </c>
      <c r="V3279" s="84" t="n">
        <f aca="false">IF(ISNUMBER(T3279),T3279,-99)</f>
        <v>18.7456542982252</v>
      </c>
      <c r="W3279" s="84" t="str">
        <f aca="false">IF(ISNUMBER(U3279),ABS(U3279),"")</f>
        <v/>
      </c>
    </row>
    <row r="3280" customFormat="false" ht="15" hidden="false" customHeight="false" outlineLevel="0" collapsed="false">
      <c r="A3280" s="57" t="n">
        <v>36712</v>
      </c>
      <c r="B3280" s="56" t="n">
        <v>2000</v>
      </c>
      <c r="C3280" s="56" t="n">
        <v>7</v>
      </c>
      <c r="D3280" s="56" t="n">
        <v>66</v>
      </c>
      <c r="E3280" s="56" t="n">
        <v>22.7</v>
      </c>
      <c r="F3280" s="56" t="n">
        <v>0</v>
      </c>
      <c r="G3280" s="56" t="n">
        <v>13.7</v>
      </c>
      <c r="H3280" s="56" t="n">
        <v>0</v>
      </c>
      <c r="I3280" s="56" t="n">
        <v>15.4</v>
      </c>
      <c r="J3280" s="56" t="n">
        <v>0</v>
      </c>
      <c r="K3280" s="56" t="n">
        <v>1013.3</v>
      </c>
      <c r="L3280" s="56" t="n">
        <v>0</v>
      </c>
      <c r="M3280" s="56" t="n">
        <v>88</v>
      </c>
      <c r="N3280" s="56" t="n">
        <v>0</v>
      </c>
      <c r="O3280" s="56" t="n">
        <f aca="false">IF(D3280=1,"",E3279)</f>
        <v>17.1</v>
      </c>
      <c r="P3280" s="56" t="n">
        <f aca="false">IF(OR(D3280=1,K3279=""),"",K3279)</f>
        <v>1007.4</v>
      </c>
      <c r="Q3280" s="56" t="n">
        <f aca="false">IF(OR(F3280&lt;&gt;0,AND(I3280&lt;&gt;"",E3280&lt;I3280)),1,0)</f>
        <v>0</v>
      </c>
      <c r="R3280" s="56" t="n">
        <f aca="false">IF(AND(D3280&gt;1,Q3280=0,ISNUMBER(O3280),ISNUMBER(P3280)),IF(Q3279=0,1,0),0)</f>
        <v>1</v>
      </c>
      <c r="S3280" s="56" t="n">
        <f aca="false">R3280*(B3280&gt;=Train_Start)*(B3280&lt;=Train_End)</f>
        <v>0</v>
      </c>
      <c r="T3280" s="84" t="n">
        <f aca="false">IF(AND(ISNUMBER(O3280),ISNUMBER(P3280)),Coef_A+Coef_B1*O3280+Coef_B2*P3280,"")</f>
        <v>17.6997074773061</v>
      </c>
      <c r="U3280" s="84" t="n">
        <f aca="false">IF(AND(R3280=1,ISNUMBER(T3280)),E3280-T3280,"")</f>
        <v>5.00029252269394</v>
      </c>
      <c r="V3280" s="84" t="n">
        <f aca="false">IF(ISNUMBER(T3280),T3280,-99)</f>
        <v>17.6997074773061</v>
      </c>
      <c r="W3280" s="84" t="n">
        <f aca="false">IF(ISNUMBER(U3280),ABS(U3280),"")</f>
        <v>5.00029252269394</v>
      </c>
    </row>
    <row r="3281" customFormat="false" ht="15" hidden="false" customHeight="false" outlineLevel="0" collapsed="false">
      <c r="A3281" s="57" t="n">
        <v>36713</v>
      </c>
      <c r="B3281" s="56" t="n">
        <v>2000</v>
      </c>
      <c r="C3281" s="56" t="n">
        <v>7</v>
      </c>
      <c r="D3281" s="56" t="n">
        <v>67</v>
      </c>
      <c r="E3281" s="56" t="n">
        <v>17.9</v>
      </c>
      <c r="F3281" s="56" t="n">
        <v>0</v>
      </c>
      <c r="G3281" s="56" t="n">
        <v>12.6</v>
      </c>
      <c r="H3281" s="56" t="n">
        <v>0</v>
      </c>
      <c r="I3281" s="56" t="n">
        <v>17.6</v>
      </c>
      <c r="J3281" s="56" t="n">
        <v>0</v>
      </c>
      <c r="K3281" s="56" t="n">
        <v>1018.1</v>
      </c>
      <c r="L3281" s="56" t="n">
        <v>0</v>
      </c>
      <c r="M3281" s="56" t="n">
        <v>78</v>
      </c>
      <c r="N3281" s="56" t="n">
        <v>3.7</v>
      </c>
      <c r="O3281" s="56" t="n">
        <f aca="false">IF(D3281=1,"",E3280)</f>
        <v>22.7</v>
      </c>
      <c r="P3281" s="56" t="n">
        <f aca="false">IF(OR(D3281=1,K3280=""),"",K3280)</f>
        <v>1013.3</v>
      </c>
      <c r="Q3281" s="56" t="n">
        <f aca="false">IF(OR(F3281&lt;&gt;0,AND(I3281&lt;&gt;"",E3281&lt;I3281)),1,0)</f>
        <v>0</v>
      </c>
      <c r="R3281" s="56" t="n">
        <f aca="false">IF(AND(D3281&gt;1,Q3281=0,ISNUMBER(O3281),ISNUMBER(P3281)),IF(Q3280=0,1,0),0)</f>
        <v>1</v>
      </c>
      <c r="S3281" s="56" t="n">
        <f aca="false">R3281*(B3281&gt;=Train_Start)*(B3281&lt;=Train_End)</f>
        <v>0</v>
      </c>
      <c r="T3281" s="84" t="n">
        <f aca="false">IF(AND(ISNUMBER(O3281),ISNUMBER(P3281)),Coef_A+Coef_B1*O3281+Coef_B2*P3281,"")</f>
        <v>22.4730893366855</v>
      </c>
      <c r="U3281" s="84" t="n">
        <f aca="false">IF(AND(R3281=1,ISNUMBER(T3281)),E3281-T3281,"")</f>
        <v>-4.57308933668547</v>
      </c>
      <c r="V3281" s="84" t="n">
        <f aca="false">IF(ISNUMBER(T3281),T3281,-99)</f>
        <v>22.4730893366855</v>
      </c>
      <c r="W3281" s="84" t="n">
        <f aca="false">IF(ISNUMBER(U3281),ABS(U3281),"")</f>
        <v>4.57308933668547</v>
      </c>
    </row>
    <row r="3282" customFormat="false" ht="15" hidden="false" customHeight="false" outlineLevel="0" collapsed="false">
      <c r="A3282" s="57" t="n">
        <v>36714</v>
      </c>
      <c r="B3282" s="56" t="n">
        <v>2000</v>
      </c>
      <c r="C3282" s="56" t="n">
        <v>7</v>
      </c>
      <c r="D3282" s="56" t="n">
        <v>68</v>
      </c>
      <c r="E3282" s="56" t="n">
        <v>17.9</v>
      </c>
      <c r="F3282" s="56" t="n">
        <v>0</v>
      </c>
      <c r="G3282" s="56" t="n">
        <v>13.5</v>
      </c>
      <c r="H3282" s="56" t="n">
        <v>0</v>
      </c>
      <c r="I3282" s="56" t="n">
        <v>15.7</v>
      </c>
      <c r="J3282" s="56" t="n">
        <v>0</v>
      </c>
      <c r="K3282" s="56" t="n">
        <v>1018.7</v>
      </c>
      <c r="L3282" s="56" t="n">
        <v>0</v>
      </c>
      <c r="M3282" s="56" t="n">
        <v>70</v>
      </c>
      <c r="N3282" s="56" t="n">
        <v>4</v>
      </c>
      <c r="O3282" s="56" t="n">
        <f aca="false">IF(D3282=1,"",E3281)</f>
        <v>17.9</v>
      </c>
      <c r="P3282" s="56" t="n">
        <f aca="false">IF(OR(D3282=1,K3281=""),"",K3281)</f>
        <v>1018.1</v>
      </c>
      <c r="Q3282" s="56" t="n">
        <f aca="false">IF(OR(F3282&lt;&gt;0,AND(I3282&lt;&gt;"",E3282&lt;I3282)),1,0)</f>
        <v>0</v>
      </c>
      <c r="R3282" s="56" t="n">
        <f aca="false">IF(AND(D3282&gt;1,Q3282=0,ISNUMBER(O3282),ISNUMBER(P3282)),IF(Q3281=0,1,0),0)</f>
        <v>1</v>
      </c>
      <c r="S3282" s="56" t="n">
        <f aca="false">R3282*(B3282&gt;=Train_Start)*(B3282&lt;=Train_End)</f>
        <v>0</v>
      </c>
      <c r="T3282" s="84" t="n">
        <f aca="false">IF(AND(ISNUMBER(O3282),ISNUMBER(P3282)),Coef_A+Coef_B1*O3282+Coef_B2*P3282,"")</f>
        <v>18.6908367043239</v>
      </c>
      <c r="U3282" s="84" t="n">
        <f aca="false">IF(AND(R3282=1,ISNUMBER(T3282)),E3282-T3282,"")</f>
        <v>-0.790836704323873</v>
      </c>
      <c r="V3282" s="84" t="n">
        <f aca="false">IF(ISNUMBER(T3282),T3282,-99)</f>
        <v>18.6908367043239</v>
      </c>
      <c r="W3282" s="84" t="n">
        <f aca="false">IF(ISNUMBER(U3282),ABS(U3282),"")</f>
        <v>0.790836704323873</v>
      </c>
    </row>
    <row r="3283" customFormat="false" ht="15" hidden="false" customHeight="false" outlineLevel="0" collapsed="false">
      <c r="A3283" s="57" t="n">
        <v>36715</v>
      </c>
      <c r="B3283" s="56" t="n">
        <v>2000</v>
      </c>
      <c r="C3283" s="56" t="n">
        <v>7</v>
      </c>
      <c r="D3283" s="56" t="n">
        <v>69</v>
      </c>
      <c r="E3283" s="56" t="n">
        <v>19.1</v>
      </c>
      <c r="F3283" s="56" t="n">
        <v>0</v>
      </c>
      <c r="G3283" s="56" t="n">
        <v>11.5</v>
      </c>
      <c r="H3283" s="56" t="n">
        <v>0</v>
      </c>
      <c r="I3283" s="56" t="n">
        <v>14.7</v>
      </c>
      <c r="J3283" s="56" t="n">
        <v>0</v>
      </c>
      <c r="K3283" s="56" t="n">
        <v>1016.7</v>
      </c>
      <c r="L3283" s="56" t="n">
        <v>0</v>
      </c>
      <c r="M3283" s="56" t="n">
        <v>74</v>
      </c>
      <c r="N3283" s="56" t="n">
        <v>1.4</v>
      </c>
      <c r="O3283" s="56" t="n">
        <f aca="false">IF(D3283=1,"",E3282)</f>
        <v>17.9</v>
      </c>
      <c r="P3283" s="56" t="n">
        <f aca="false">IF(OR(D3283=1,K3282=""),"",K3282)</f>
        <v>1018.7</v>
      </c>
      <c r="Q3283" s="56" t="n">
        <f aca="false">IF(OR(F3283&lt;&gt;0,AND(I3283&lt;&gt;"",E3283&lt;I3283)),1,0)</f>
        <v>0</v>
      </c>
      <c r="R3283" s="56" t="n">
        <f aca="false">IF(AND(D3283&gt;1,Q3283=0,ISNUMBER(O3283),ISNUMBER(P3283)),IF(Q3282=0,1,0),0)</f>
        <v>1</v>
      </c>
      <c r="S3283" s="56" t="n">
        <f aca="false">R3283*(B3283&gt;=Train_Start)*(B3283&lt;=Train_End)</f>
        <v>0</v>
      </c>
      <c r="T3283" s="84" t="n">
        <f aca="false">IF(AND(ISNUMBER(O3283),ISNUMBER(P3283)),Coef_A+Coef_B1*O3283+Coef_B2*P3283,"")</f>
        <v>18.7096586411043</v>
      </c>
      <c r="U3283" s="84" t="n">
        <f aca="false">IF(AND(R3283=1,ISNUMBER(T3283)),E3283-T3283,"")</f>
        <v>0.390341358895739</v>
      </c>
      <c r="V3283" s="84" t="n">
        <f aca="false">IF(ISNUMBER(T3283),T3283,-99)</f>
        <v>18.7096586411043</v>
      </c>
      <c r="W3283" s="84" t="n">
        <f aca="false">IF(ISNUMBER(U3283),ABS(U3283),"")</f>
        <v>0.390341358895739</v>
      </c>
    </row>
    <row r="3284" customFormat="false" ht="15" hidden="false" customHeight="false" outlineLevel="0" collapsed="false">
      <c r="A3284" s="57" t="n">
        <v>36716</v>
      </c>
      <c r="B3284" s="56" t="n">
        <v>2000</v>
      </c>
      <c r="C3284" s="56" t="n">
        <v>7</v>
      </c>
      <c r="D3284" s="56" t="n">
        <v>70</v>
      </c>
      <c r="E3284" s="56" t="n">
        <v>16.1</v>
      </c>
      <c r="F3284" s="56" t="n">
        <v>1</v>
      </c>
      <c r="G3284" s="56" t="n">
        <v>13.8</v>
      </c>
      <c r="H3284" s="56" t="n">
        <v>0</v>
      </c>
      <c r="I3284" s="56" t="n">
        <v>16.4</v>
      </c>
      <c r="J3284" s="56" t="n">
        <v>1</v>
      </c>
      <c r="K3284" s="56" t="n">
        <v>998.2</v>
      </c>
      <c r="L3284" s="56" t="n">
        <v>0</v>
      </c>
      <c r="M3284" s="56" t="n">
        <v>84</v>
      </c>
      <c r="N3284" s="56" t="n">
        <v>1.1</v>
      </c>
      <c r="O3284" s="56" t="n">
        <f aca="false">IF(D3284=1,"",E3283)</f>
        <v>19.1</v>
      </c>
      <c r="P3284" s="56" t="n">
        <f aca="false">IF(OR(D3284=1,K3283=""),"",K3283)</f>
        <v>1016.7</v>
      </c>
      <c r="Q3284" s="56" t="n">
        <f aca="false">IF(OR(F3284&lt;&gt;0,AND(I3284&lt;&gt;"",E3284&lt;I3284)),1,0)</f>
        <v>1</v>
      </c>
      <c r="R3284" s="56" t="n">
        <f aca="false">IF(AND(D3284&gt;1,Q3284=0,ISNUMBER(O3284),ISNUMBER(P3284)),IF(Q3283=0,1,0),0)</f>
        <v>0</v>
      </c>
      <c r="S3284" s="56" t="n">
        <f aca="false">R3284*(B3284&gt;=Train_Start)*(B3284&lt;=Train_End)</f>
        <v>0</v>
      </c>
      <c r="T3284" s="84" t="n">
        <f aca="false">IF(AND(ISNUMBER(O3284),ISNUMBER(P3284)),Coef_A+Coef_B1*O3284+Coef_B2*P3284,"")</f>
        <v>19.6301258834875</v>
      </c>
      <c r="U3284" s="84" t="str">
        <f aca="false">IF(AND(R3284=1,ISNUMBER(T3284)),E3284-T3284,"")</f>
        <v/>
      </c>
      <c r="V3284" s="84" t="n">
        <f aca="false">IF(ISNUMBER(T3284),T3284,-99)</f>
        <v>19.6301258834875</v>
      </c>
      <c r="W3284" s="84" t="str">
        <f aca="false">IF(ISNUMBER(U3284),ABS(U3284),"")</f>
        <v/>
      </c>
    </row>
    <row r="3285" customFormat="false" ht="15" hidden="false" customHeight="false" outlineLevel="0" collapsed="false">
      <c r="A3285" s="57" t="n">
        <v>36717</v>
      </c>
      <c r="B3285" s="56" t="n">
        <v>2000</v>
      </c>
      <c r="C3285" s="56" t="n">
        <v>7</v>
      </c>
      <c r="D3285" s="56" t="n">
        <v>71</v>
      </c>
      <c r="E3285" s="56" t="n">
        <v>16.3</v>
      </c>
      <c r="F3285" s="56" t="n">
        <v>0</v>
      </c>
      <c r="G3285" s="56" t="n">
        <v>11.8</v>
      </c>
      <c r="H3285" s="56" t="n">
        <v>0</v>
      </c>
      <c r="I3285" s="56" t="n">
        <v>14</v>
      </c>
      <c r="J3285" s="56" t="n">
        <v>0</v>
      </c>
      <c r="K3285" s="56" t="n">
        <v>993.4</v>
      </c>
      <c r="L3285" s="56" t="n">
        <v>0</v>
      </c>
      <c r="M3285" s="56" t="n">
        <v>85</v>
      </c>
      <c r="N3285" s="56" t="n">
        <v>1.3</v>
      </c>
      <c r="O3285" s="56" t="n">
        <f aca="false">IF(D3285=1,"",E3284)</f>
        <v>16.1</v>
      </c>
      <c r="P3285" s="56" t="n">
        <f aca="false">IF(OR(D3285=1,K3284=""),"",K3284)</f>
        <v>998.2</v>
      </c>
      <c r="Q3285" s="56" t="n">
        <f aca="false">IF(OR(F3285&lt;&gt;0,AND(I3285&lt;&gt;"",E3285&lt;I3285)),1,0)</f>
        <v>0</v>
      </c>
      <c r="R3285" s="56" t="n">
        <f aca="false">IF(AND(D3285&gt;1,Q3285=0,ISNUMBER(O3285),ISNUMBER(P3285)),IF(Q3284=0,1,0),0)</f>
        <v>0</v>
      </c>
      <c r="S3285" s="56" t="n">
        <f aca="false">R3285*(B3285&gt;=Train_Start)*(B3285&lt;=Train_End)</f>
        <v>0</v>
      </c>
      <c r="T3285" s="84" t="n">
        <f aca="false">IF(AND(ISNUMBER(O3285),ISNUMBER(P3285)),Coef_A+Coef_B1*O3285+Coef_B2*P3285,"")</f>
        <v>16.5917652536307</v>
      </c>
      <c r="U3285" s="84" t="str">
        <f aca="false">IF(AND(R3285=1,ISNUMBER(T3285)),E3285-T3285,"")</f>
        <v/>
      </c>
      <c r="V3285" s="84" t="n">
        <f aca="false">IF(ISNUMBER(T3285),T3285,-99)</f>
        <v>16.5917652536307</v>
      </c>
      <c r="W3285" s="84" t="str">
        <f aca="false">IF(ISNUMBER(U3285),ABS(U3285),"")</f>
        <v/>
      </c>
    </row>
    <row r="3286" customFormat="false" ht="15" hidden="false" customHeight="false" outlineLevel="0" collapsed="false">
      <c r="A3286" s="57" t="n">
        <v>36718</v>
      </c>
      <c r="B3286" s="56" t="n">
        <v>2000</v>
      </c>
      <c r="C3286" s="56" t="n">
        <v>7</v>
      </c>
      <c r="D3286" s="56" t="n">
        <v>72</v>
      </c>
      <c r="E3286" s="56" t="n">
        <v>18.7</v>
      </c>
      <c r="F3286" s="56" t="n">
        <v>0</v>
      </c>
      <c r="G3286" s="56" t="n">
        <v>9.6</v>
      </c>
      <c r="H3286" s="56" t="n">
        <v>0</v>
      </c>
      <c r="I3286" s="56" t="n">
        <v>13</v>
      </c>
      <c r="J3286" s="56" t="n">
        <v>0</v>
      </c>
      <c r="K3286" s="56" t="n">
        <v>1006.7</v>
      </c>
      <c r="L3286" s="56" t="n">
        <v>0</v>
      </c>
      <c r="M3286" s="56" t="n">
        <v>68</v>
      </c>
      <c r="N3286" s="56" t="n">
        <v>5</v>
      </c>
      <c r="O3286" s="56" t="n">
        <f aca="false">IF(D3286=1,"",E3285)</f>
        <v>16.3</v>
      </c>
      <c r="P3286" s="56" t="n">
        <f aca="false">IF(OR(D3286=1,K3285=""),"",K3285)</f>
        <v>993.4</v>
      </c>
      <c r="Q3286" s="56" t="n">
        <f aca="false">IF(OR(F3286&lt;&gt;0,AND(I3286&lt;&gt;"",E3286&lt;I3286)),1,0)</f>
        <v>0</v>
      </c>
      <c r="R3286" s="56" t="n">
        <f aca="false">IF(AND(D3286&gt;1,Q3286=0,ISNUMBER(O3286),ISNUMBER(P3286)),IF(Q3285=0,1,0),0)</f>
        <v>1</v>
      </c>
      <c r="S3286" s="56" t="n">
        <f aca="false">R3286*(B3286&gt;=Train_Start)*(B3286&lt;=Train_End)</f>
        <v>0</v>
      </c>
      <c r="T3286" s="84" t="n">
        <f aca="false">IF(AND(ISNUMBER(O3286),ISNUMBER(P3286)),Coef_A+Coef_B1*O3286+Coef_B2*P3286,"")</f>
        <v>16.6050575979961</v>
      </c>
      <c r="U3286" s="84" t="n">
        <f aca="false">IF(AND(R3286=1,ISNUMBER(T3286)),E3286-T3286,"")</f>
        <v>2.09494240200392</v>
      </c>
      <c r="V3286" s="84" t="n">
        <f aca="false">IF(ISNUMBER(T3286),T3286,-99)</f>
        <v>16.6050575979961</v>
      </c>
      <c r="W3286" s="84" t="n">
        <f aca="false">IF(ISNUMBER(U3286),ABS(U3286),"")</f>
        <v>2.09494240200392</v>
      </c>
    </row>
    <row r="3287" customFormat="false" ht="15" hidden="false" customHeight="false" outlineLevel="0" collapsed="false">
      <c r="A3287" s="57" t="n">
        <v>36719</v>
      </c>
      <c r="B3287" s="56" t="n">
        <v>2000</v>
      </c>
      <c r="C3287" s="56" t="n">
        <v>7</v>
      </c>
      <c r="D3287" s="56" t="n">
        <v>73</v>
      </c>
      <c r="E3287" s="56" t="n">
        <v>20.9</v>
      </c>
      <c r="F3287" s="56" t="n">
        <v>0</v>
      </c>
      <c r="G3287" s="56" t="n">
        <v>7.5</v>
      </c>
      <c r="H3287" s="56" t="n">
        <v>0</v>
      </c>
      <c r="I3287" s="56" t="n">
        <v>13.1</v>
      </c>
      <c r="J3287" s="56" t="n">
        <v>0</v>
      </c>
      <c r="K3287" s="56" t="n">
        <v>1014.7</v>
      </c>
      <c r="L3287" s="56" t="n">
        <v>0</v>
      </c>
      <c r="M3287" s="56" t="n">
        <v>76</v>
      </c>
      <c r="N3287" s="56" t="n">
        <v>3</v>
      </c>
      <c r="O3287" s="56" t="n">
        <f aca="false">IF(D3287=1,"",E3286)</f>
        <v>18.7</v>
      </c>
      <c r="P3287" s="56" t="n">
        <f aca="false">IF(OR(D3287=1,K3286=""),"",K3286)</f>
        <v>1006.7</v>
      </c>
      <c r="Q3287" s="56" t="n">
        <f aca="false">IF(OR(F3287&lt;&gt;0,AND(I3287&lt;&gt;"",E3287&lt;I3287)),1,0)</f>
        <v>0</v>
      </c>
      <c r="R3287" s="56" t="n">
        <f aca="false">IF(AND(D3287&gt;1,Q3287=0,ISNUMBER(O3287),ISNUMBER(P3287)),IF(Q3286=0,1,0),0)</f>
        <v>1</v>
      </c>
      <c r="S3287" s="56" t="n">
        <f aca="false">R3287*(B3287&gt;=Train_Start)*(B3287&lt;=Train_End)</f>
        <v>0</v>
      </c>
      <c r="T3287" s="84" t="n">
        <f aca="false">IF(AND(ISNUMBER(O3287),ISNUMBER(P3287)),Coef_A+Coef_B1*O3287+Coef_B2*P3287,"")</f>
        <v>18.9886912599305</v>
      </c>
      <c r="U3287" s="84" t="n">
        <f aca="false">IF(AND(R3287=1,ISNUMBER(T3287)),E3287-T3287,"")</f>
        <v>1.91130874006948</v>
      </c>
      <c r="V3287" s="84" t="n">
        <f aca="false">IF(ISNUMBER(T3287),T3287,-99)</f>
        <v>18.9886912599305</v>
      </c>
      <c r="W3287" s="84" t="n">
        <f aca="false">IF(ISNUMBER(U3287),ABS(U3287),"")</f>
        <v>1.91130874006948</v>
      </c>
    </row>
    <row r="3288" customFormat="false" ht="15" hidden="false" customHeight="false" outlineLevel="0" collapsed="false">
      <c r="A3288" s="57" t="n">
        <v>36720</v>
      </c>
      <c r="B3288" s="56" t="n">
        <v>2000</v>
      </c>
      <c r="C3288" s="56" t="n">
        <v>7</v>
      </c>
      <c r="D3288" s="56" t="n">
        <v>74</v>
      </c>
      <c r="E3288" s="56" t="n">
        <v>16.9</v>
      </c>
      <c r="F3288" s="56" t="n">
        <v>1</v>
      </c>
      <c r="G3288" s="56" t="n">
        <v>13.6</v>
      </c>
      <c r="H3288" s="56" t="n">
        <v>0</v>
      </c>
      <c r="I3288" s="56" t="n">
        <v>17.2</v>
      </c>
      <c r="J3288" s="56" t="n">
        <v>1</v>
      </c>
      <c r="K3288" s="56" t="n">
        <v>1011.3</v>
      </c>
      <c r="L3288" s="56" t="n">
        <v>0</v>
      </c>
      <c r="M3288" s="56" t="n">
        <v>82</v>
      </c>
      <c r="N3288" s="56" t="n">
        <v>2.7</v>
      </c>
      <c r="O3288" s="56" t="n">
        <f aca="false">IF(D3288=1,"",E3287)</f>
        <v>20.9</v>
      </c>
      <c r="P3288" s="56" t="n">
        <f aca="false">IF(OR(D3288=1,K3287=""),"",K3287)</f>
        <v>1014.7</v>
      </c>
      <c r="Q3288" s="56" t="n">
        <f aca="false">IF(OR(F3288&lt;&gt;0,AND(I3288&lt;&gt;"",E3288&lt;I3288)),1,0)</f>
        <v>1</v>
      </c>
      <c r="R3288" s="56" t="n">
        <f aca="false">IF(AND(D3288&gt;1,Q3288=0,ISNUMBER(O3288),ISNUMBER(P3288)),IF(Q3287=0,1,0),0)</f>
        <v>0</v>
      </c>
      <c r="S3288" s="56" t="n">
        <f aca="false">R3288*(B3288&gt;=Train_Start)*(B3288&lt;=Train_End)</f>
        <v>0</v>
      </c>
      <c r="T3288" s="84" t="n">
        <f aca="false">IF(AND(ISNUMBER(O3288),ISNUMBER(P3288)),Coef_A+Coef_B1*O3288+Coef_B2*P3288,"")</f>
        <v>21.0421966416963</v>
      </c>
      <c r="U3288" s="84" t="str">
        <f aca="false">IF(AND(R3288=1,ISNUMBER(T3288)),E3288-T3288,"")</f>
        <v/>
      </c>
      <c r="V3288" s="84" t="n">
        <f aca="false">IF(ISNUMBER(T3288),T3288,-99)</f>
        <v>21.0421966416963</v>
      </c>
      <c r="W3288" s="84" t="str">
        <f aca="false">IF(ISNUMBER(U3288),ABS(U3288),"")</f>
        <v/>
      </c>
    </row>
    <row r="3289" customFormat="false" ht="15" hidden="false" customHeight="false" outlineLevel="0" collapsed="false">
      <c r="A3289" s="57" t="n">
        <v>36721</v>
      </c>
      <c r="B3289" s="56" t="n">
        <v>2000</v>
      </c>
      <c r="C3289" s="56" t="n">
        <v>7</v>
      </c>
      <c r="D3289" s="56" t="n">
        <v>75</v>
      </c>
      <c r="E3289" s="56" t="n">
        <v>18.1</v>
      </c>
      <c r="F3289" s="56" t="n">
        <v>0</v>
      </c>
      <c r="G3289" s="56" t="n">
        <v>12.9</v>
      </c>
      <c r="H3289" s="56" t="n">
        <v>0</v>
      </c>
      <c r="I3289" s="56" t="n">
        <v>14.9</v>
      </c>
      <c r="J3289" s="56" t="n">
        <v>0</v>
      </c>
      <c r="K3289" s="56" t="n">
        <v>1011.9</v>
      </c>
      <c r="L3289" s="56" t="n">
        <v>0</v>
      </c>
      <c r="M3289" s="56" t="n">
        <v>73</v>
      </c>
      <c r="N3289" s="56" t="n">
        <v>0.7</v>
      </c>
      <c r="O3289" s="56" t="n">
        <f aca="false">IF(D3289=1,"",E3288)</f>
        <v>16.9</v>
      </c>
      <c r="P3289" s="56" t="n">
        <f aca="false">IF(OR(D3289=1,K3288=""),"",K3288)</f>
        <v>1011.3</v>
      </c>
      <c r="Q3289" s="56" t="n">
        <f aca="false">IF(OR(F3289&lt;&gt;0,AND(I3289&lt;&gt;"",E3289&lt;I3289)),1,0)</f>
        <v>0</v>
      </c>
      <c r="R3289" s="56" t="n">
        <f aca="false">IF(AND(D3289&gt;1,Q3289=0,ISNUMBER(O3289),ISNUMBER(P3289)),IF(Q3288=0,1,0),0)</f>
        <v>0</v>
      </c>
      <c r="S3289" s="56" t="n">
        <f aca="false">R3289*(B3289&gt;=Train_Start)*(B3289&lt;=Train_End)</f>
        <v>0</v>
      </c>
      <c r="T3289" s="84" t="n">
        <f aca="false">IF(AND(ISNUMBER(O3289),ISNUMBER(P3289)),Coef_A+Coef_B1*O3289+Coef_B2*P3289,"")</f>
        <v>17.6581822277701</v>
      </c>
      <c r="U3289" s="84" t="str">
        <f aca="false">IF(AND(R3289=1,ISNUMBER(T3289)),E3289-T3289,"")</f>
        <v/>
      </c>
      <c r="V3289" s="84" t="n">
        <f aca="false">IF(ISNUMBER(T3289),T3289,-99)</f>
        <v>17.6581822277701</v>
      </c>
      <c r="W3289" s="84" t="str">
        <f aca="false">IF(ISNUMBER(U3289),ABS(U3289),"")</f>
        <v/>
      </c>
    </row>
    <row r="3290" customFormat="false" ht="15" hidden="false" customHeight="false" outlineLevel="0" collapsed="false">
      <c r="A3290" s="57" t="n">
        <v>36722</v>
      </c>
      <c r="B3290" s="56" t="n">
        <v>2000</v>
      </c>
      <c r="C3290" s="56" t="n">
        <v>7</v>
      </c>
      <c r="D3290" s="56" t="n">
        <v>76</v>
      </c>
      <c r="E3290" s="56" t="n">
        <v>18.2</v>
      </c>
      <c r="F3290" s="56" t="n">
        <v>0</v>
      </c>
      <c r="G3290" s="56" t="n">
        <v>9.1</v>
      </c>
      <c r="H3290" s="56" t="n">
        <v>0</v>
      </c>
      <c r="I3290" s="56" t="n">
        <v>13.6</v>
      </c>
      <c r="J3290" s="56" t="n">
        <v>0</v>
      </c>
      <c r="K3290" s="56" t="n">
        <v>1016.1</v>
      </c>
      <c r="L3290" s="56" t="n">
        <v>0</v>
      </c>
      <c r="M3290" s="56" t="n">
        <v>68</v>
      </c>
      <c r="N3290" s="56" t="n">
        <v>7.4</v>
      </c>
      <c r="O3290" s="56" t="n">
        <f aca="false">IF(D3290=1,"",E3289)</f>
        <v>18.1</v>
      </c>
      <c r="P3290" s="56" t="n">
        <f aca="false">IF(OR(D3290=1,K3289=""),"",K3289)</f>
        <v>1011.9</v>
      </c>
      <c r="Q3290" s="56" t="n">
        <f aca="false">IF(OR(F3290&lt;&gt;0,AND(I3290&lt;&gt;"",E3290&lt;I3290)),1,0)</f>
        <v>0</v>
      </c>
      <c r="R3290" s="56" t="n">
        <f aca="false">IF(AND(D3290&gt;1,Q3290=0,ISNUMBER(O3290),ISNUMBER(P3290)),IF(Q3289=0,1,0),0)</f>
        <v>1</v>
      </c>
      <c r="S3290" s="56" t="n">
        <f aca="false">R3290*(B3290&gt;=Train_Start)*(B3290&lt;=Train_End)</f>
        <v>0</v>
      </c>
      <c r="T3290" s="84" t="n">
        <f aca="false">IF(AND(ISNUMBER(O3290),ISNUMBER(P3290)),Coef_A+Coef_B1*O3290+Coef_B2*P3290,"")</f>
        <v>18.6602111962017</v>
      </c>
      <c r="U3290" s="84" t="n">
        <f aca="false">IF(AND(R3290=1,ISNUMBER(T3290)),E3290-T3290,"")</f>
        <v>-0.460211196201666</v>
      </c>
      <c r="V3290" s="84" t="n">
        <f aca="false">IF(ISNUMBER(T3290),T3290,-99)</f>
        <v>18.6602111962017</v>
      </c>
      <c r="W3290" s="84" t="n">
        <f aca="false">IF(ISNUMBER(U3290),ABS(U3290),"")</f>
        <v>0.460211196201666</v>
      </c>
    </row>
    <row r="3291" customFormat="false" ht="15" hidden="false" customHeight="false" outlineLevel="0" collapsed="false">
      <c r="A3291" s="57" t="n">
        <v>36723</v>
      </c>
      <c r="B3291" s="56" t="n">
        <v>2000</v>
      </c>
      <c r="C3291" s="56" t="n">
        <v>7</v>
      </c>
      <c r="D3291" s="56" t="n">
        <v>77</v>
      </c>
      <c r="E3291" s="56" t="n">
        <v>22.6</v>
      </c>
      <c r="F3291" s="56" t="n">
        <v>0</v>
      </c>
      <c r="G3291" s="56" t="n">
        <v>9.8</v>
      </c>
      <c r="H3291" s="56" t="n">
        <v>0</v>
      </c>
      <c r="I3291" s="56" t="n">
        <v>14</v>
      </c>
      <c r="J3291" s="56" t="n">
        <v>0</v>
      </c>
      <c r="K3291" s="56" t="n">
        <v>1019.5</v>
      </c>
      <c r="L3291" s="56" t="n">
        <v>0</v>
      </c>
      <c r="M3291" s="56" t="n">
        <v>61</v>
      </c>
      <c r="N3291" s="56" t="n">
        <v>7.6</v>
      </c>
      <c r="O3291" s="56" t="n">
        <f aca="false">IF(D3291=1,"",E3290)</f>
        <v>18.2</v>
      </c>
      <c r="P3291" s="56" t="n">
        <f aca="false">IF(OR(D3291=1,K3290=""),"",K3290)</f>
        <v>1016.1</v>
      </c>
      <c r="Q3291" s="56" t="n">
        <f aca="false">IF(OR(F3291&lt;&gt;0,AND(I3291&lt;&gt;"",E3291&lt;I3291)),1,0)</f>
        <v>0</v>
      </c>
      <c r="R3291" s="56" t="n">
        <f aca="false">IF(AND(D3291&gt;1,Q3291=0,ISNUMBER(O3291),ISNUMBER(P3291)),IF(Q3290=0,1,0),0)</f>
        <v>1</v>
      </c>
      <c r="S3291" s="56" t="n">
        <f aca="false">R3291*(B3291&gt;=Train_Start)*(B3291&lt;=Train_End)</f>
        <v>0</v>
      </c>
      <c r="T3291" s="84" t="n">
        <f aca="false">IF(AND(ISNUMBER(O3291),ISNUMBER(P3291)),Coef_A+Coef_B1*O3291+Coef_B2*P3291,"")</f>
        <v>18.8738986729687</v>
      </c>
      <c r="U3291" s="84" t="n">
        <f aca="false">IF(AND(R3291=1,ISNUMBER(T3291)),E3291-T3291,"")</f>
        <v>3.72610132703132</v>
      </c>
      <c r="V3291" s="84" t="n">
        <f aca="false">IF(ISNUMBER(T3291),T3291,-99)</f>
        <v>18.8738986729687</v>
      </c>
      <c r="W3291" s="84" t="n">
        <f aca="false">IF(ISNUMBER(U3291),ABS(U3291),"")</f>
        <v>3.72610132703132</v>
      </c>
    </row>
    <row r="3292" customFormat="false" ht="15" hidden="false" customHeight="false" outlineLevel="0" collapsed="false">
      <c r="A3292" s="57" t="n">
        <v>36724</v>
      </c>
      <c r="B3292" s="56" t="n">
        <v>2000</v>
      </c>
      <c r="C3292" s="56" t="n">
        <v>7</v>
      </c>
      <c r="D3292" s="56" t="n">
        <v>78</v>
      </c>
      <c r="E3292" s="56" t="n">
        <v>24.7</v>
      </c>
      <c r="F3292" s="56" t="n">
        <v>0</v>
      </c>
      <c r="G3292" s="56" t="n">
        <v>9.8</v>
      </c>
      <c r="H3292" s="56" t="n">
        <v>0</v>
      </c>
      <c r="I3292" s="56" t="n">
        <v>16.2</v>
      </c>
      <c r="J3292" s="56" t="n">
        <v>0</v>
      </c>
      <c r="K3292" s="56" t="n">
        <v>1020</v>
      </c>
      <c r="L3292" s="56" t="n">
        <v>0</v>
      </c>
      <c r="M3292" s="56" t="n">
        <v>58</v>
      </c>
      <c r="N3292" s="56" t="n">
        <v>11.7</v>
      </c>
      <c r="O3292" s="56" t="n">
        <f aca="false">IF(D3292=1,"",E3291)</f>
        <v>22.6</v>
      </c>
      <c r="P3292" s="56" t="n">
        <f aca="false">IF(OR(D3292=1,K3291=""),"",K3291)</f>
        <v>1019.5</v>
      </c>
      <c r="Q3292" s="56" t="n">
        <f aca="false">IF(OR(F3292&lt;&gt;0,AND(I3292&lt;&gt;"",E3292&lt;I3292)),1,0)</f>
        <v>0</v>
      </c>
      <c r="R3292" s="56" t="n">
        <f aca="false">IF(AND(D3292&gt;1,Q3292=0,ISNUMBER(O3292),ISNUMBER(P3292)),IF(Q3291=0,1,0),0)</f>
        <v>1</v>
      </c>
      <c r="S3292" s="56" t="n">
        <f aca="false">R3292*(B3292&gt;=Train_Start)*(B3292&lt;=Train_End)</f>
        <v>0</v>
      </c>
      <c r="T3292" s="84" t="n">
        <f aca="false">IF(AND(ISNUMBER(O3292),ISNUMBER(P3292)),Coef_A+Coef_B1*O3292+Coef_B2*P3292,"")</f>
        <v>22.5856487641119</v>
      </c>
      <c r="U3292" s="84" t="n">
        <f aca="false">IF(AND(R3292=1,ISNUMBER(T3292)),E3292-T3292,"")</f>
        <v>2.11435123588806</v>
      </c>
      <c r="V3292" s="84" t="n">
        <f aca="false">IF(ISNUMBER(T3292),T3292,-99)</f>
        <v>22.5856487641119</v>
      </c>
      <c r="W3292" s="84" t="n">
        <f aca="false">IF(ISNUMBER(U3292),ABS(U3292),"")</f>
        <v>2.11435123588806</v>
      </c>
    </row>
    <row r="3293" customFormat="false" ht="15" hidden="false" customHeight="false" outlineLevel="0" collapsed="false">
      <c r="A3293" s="57" t="n">
        <v>36725</v>
      </c>
      <c r="B3293" s="56" t="n">
        <v>2000</v>
      </c>
      <c r="C3293" s="56" t="n">
        <v>7</v>
      </c>
      <c r="D3293" s="56" t="n">
        <v>79</v>
      </c>
      <c r="E3293" s="56" t="n">
        <v>25.2</v>
      </c>
      <c r="F3293" s="56" t="n">
        <v>0</v>
      </c>
      <c r="G3293" s="56" t="n">
        <v>10.9</v>
      </c>
      <c r="H3293" s="56" t="n">
        <v>0</v>
      </c>
      <c r="I3293" s="56" t="n">
        <v>17.8</v>
      </c>
      <c r="J3293" s="56" t="n">
        <v>0</v>
      </c>
      <c r="K3293" s="56" t="n">
        <v>1020.6</v>
      </c>
      <c r="L3293" s="56" t="n">
        <v>0</v>
      </c>
      <c r="M3293" s="56" t="n">
        <v>63</v>
      </c>
      <c r="N3293" s="56" t="n">
        <v>10.7</v>
      </c>
      <c r="O3293" s="56" t="n">
        <f aca="false">IF(D3293=1,"",E3292)</f>
        <v>24.7</v>
      </c>
      <c r="P3293" s="56" t="n">
        <f aca="false">IF(OR(D3293=1,K3292=""),"",K3292)</f>
        <v>1020</v>
      </c>
      <c r="Q3293" s="56" t="n">
        <f aca="false">IF(OR(F3293&lt;&gt;0,AND(I3293&lt;&gt;"",E3293&lt;I3293)),1,0)</f>
        <v>0</v>
      </c>
      <c r="R3293" s="56" t="n">
        <f aca="false">IF(AND(D3293&gt;1,Q3293=0,ISNUMBER(O3293),ISNUMBER(P3293)),IF(Q3292=0,1,0),0)</f>
        <v>1</v>
      </c>
      <c r="S3293" s="56" t="n">
        <f aca="false">R3293*(B3293&gt;=Train_Start)*(B3293&lt;=Train_End)</f>
        <v>0</v>
      </c>
      <c r="T3293" s="84" t="n">
        <f aca="false">IF(AND(ISNUMBER(O3293),ISNUMBER(P3293)),Coef_A+Coef_B1*O3293+Coef_B2*P3293,"")</f>
        <v>24.3219460168185</v>
      </c>
      <c r="U3293" s="84" t="n">
        <f aca="false">IF(AND(R3293=1,ISNUMBER(T3293)),E3293-T3293,"")</f>
        <v>0.878053983181481</v>
      </c>
      <c r="V3293" s="84" t="n">
        <f aca="false">IF(ISNUMBER(T3293),T3293,-99)</f>
        <v>24.3219460168185</v>
      </c>
      <c r="W3293" s="84" t="n">
        <f aca="false">IF(ISNUMBER(U3293),ABS(U3293),"")</f>
        <v>0.878053983181481</v>
      </c>
    </row>
    <row r="3294" customFormat="false" ht="15" hidden="false" customHeight="false" outlineLevel="0" collapsed="false">
      <c r="A3294" s="57" t="n">
        <v>36726</v>
      </c>
      <c r="B3294" s="56" t="n">
        <v>2000</v>
      </c>
      <c r="C3294" s="56" t="n">
        <v>7</v>
      </c>
      <c r="D3294" s="56" t="n">
        <v>80</v>
      </c>
      <c r="E3294" s="56" t="n">
        <v>25.3</v>
      </c>
      <c r="F3294" s="56" t="n">
        <v>0</v>
      </c>
      <c r="G3294" s="56" t="n">
        <v>13</v>
      </c>
      <c r="H3294" s="56" t="n">
        <v>0</v>
      </c>
      <c r="I3294" s="56" t="n">
        <v>19.1</v>
      </c>
      <c r="J3294" s="56" t="n">
        <v>0</v>
      </c>
      <c r="K3294" s="56" t="n">
        <v>1021</v>
      </c>
      <c r="L3294" s="56" t="n">
        <v>0</v>
      </c>
      <c r="M3294" s="56" t="n">
        <v>61</v>
      </c>
      <c r="N3294" s="56" t="n">
        <v>14.6</v>
      </c>
      <c r="O3294" s="56" t="n">
        <f aca="false">IF(D3294=1,"",E3293)</f>
        <v>25.2</v>
      </c>
      <c r="P3294" s="56" t="n">
        <f aca="false">IF(OR(D3294=1,K3293=""),"",K3293)</f>
        <v>1020.6</v>
      </c>
      <c r="Q3294" s="56" t="n">
        <f aca="false">IF(OR(F3294&lt;&gt;0,AND(I3294&lt;&gt;"",E3294&lt;I3294)),1,0)</f>
        <v>0</v>
      </c>
      <c r="R3294" s="56" t="n">
        <f aca="false">IF(AND(D3294&gt;1,Q3294=0,ISNUMBER(O3294),ISNUMBER(P3294)),IF(Q3293=0,1,0),0)</f>
        <v>1</v>
      </c>
      <c r="S3294" s="56" t="n">
        <f aca="false">R3294*(B3294&gt;=Train_Start)*(B3294&lt;=Train_End)</f>
        <v>0</v>
      </c>
      <c r="T3294" s="84" t="n">
        <f aca="false">IF(AND(ISNUMBER(O3294),ISNUMBER(P3294)),Coef_A+Coef_B1*O3294+Coef_B2*P3294,"")</f>
        <v>24.7504375501202</v>
      </c>
      <c r="U3294" s="84" t="n">
        <f aca="false">IF(AND(R3294=1,ISNUMBER(T3294)),E3294-T3294,"")</f>
        <v>0.549562449879755</v>
      </c>
      <c r="V3294" s="84" t="n">
        <f aca="false">IF(ISNUMBER(T3294),T3294,-99)</f>
        <v>24.7504375501202</v>
      </c>
      <c r="W3294" s="84" t="n">
        <f aca="false">IF(ISNUMBER(U3294),ABS(U3294),"")</f>
        <v>0.549562449879755</v>
      </c>
    </row>
    <row r="3295" customFormat="false" ht="15" hidden="false" customHeight="false" outlineLevel="0" collapsed="false">
      <c r="A3295" s="57" t="n">
        <v>36727</v>
      </c>
      <c r="B3295" s="56" t="n">
        <v>2000</v>
      </c>
      <c r="C3295" s="56" t="n">
        <v>7</v>
      </c>
      <c r="D3295" s="56" t="n">
        <v>81</v>
      </c>
      <c r="E3295" s="56" t="n">
        <v>25.9</v>
      </c>
      <c r="F3295" s="56" t="n">
        <v>0</v>
      </c>
      <c r="G3295" s="56" t="n">
        <v>14.9</v>
      </c>
      <c r="H3295" s="56" t="n">
        <v>0</v>
      </c>
      <c r="I3295" s="56" t="n">
        <v>20.1</v>
      </c>
      <c r="J3295" s="56" t="n">
        <v>0</v>
      </c>
      <c r="K3295" s="56" t="n">
        <v>1022.9</v>
      </c>
      <c r="L3295" s="56" t="n">
        <v>0</v>
      </c>
      <c r="M3295" s="56" t="n">
        <v>57</v>
      </c>
      <c r="N3295" s="56" t="n">
        <v>11.7</v>
      </c>
      <c r="O3295" s="56" t="n">
        <f aca="false">IF(D3295=1,"",E3294)</f>
        <v>25.3</v>
      </c>
      <c r="P3295" s="56" t="n">
        <f aca="false">IF(OR(D3295=1,K3294=""),"",K3294)</f>
        <v>1021</v>
      </c>
      <c r="Q3295" s="56" t="n">
        <f aca="false">IF(OR(F3295&lt;&gt;0,AND(I3295&lt;&gt;"",E3295&lt;I3295)),1,0)</f>
        <v>0</v>
      </c>
      <c r="R3295" s="56" t="n">
        <f aca="false">IF(AND(D3295&gt;1,Q3295=0,ISNUMBER(O3295),ISNUMBER(P3295)),IF(Q3294=0,1,0),0)</f>
        <v>1</v>
      </c>
      <c r="S3295" s="56" t="n">
        <f aca="false">R3295*(B3295&gt;=Train_Start)*(B3295&lt;=Train_End)</f>
        <v>0</v>
      </c>
      <c r="T3295" s="84" t="n">
        <f aca="false">IF(AND(ISNUMBER(O3295),ISNUMBER(P3295)),Coef_A+Coef_B1*O3295+Coef_B2*P3295,"")</f>
        <v>24.8449194272781</v>
      </c>
      <c r="U3295" s="84" t="n">
        <f aca="false">IF(AND(R3295=1,ISNUMBER(T3295)),E3295-T3295,"")</f>
        <v>1.0550805727219</v>
      </c>
      <c r="V3295" s="84" t="n">
        <f aca="false">IF(ISNUMBER(T3295),T3295,-99)</f>
        <v>24.8449194272781</v>
      </c>
      <c r="W3295" s="84" t="n">
        <f aca="false">IF(ISNUMBER(U3295),ABS(U3295),"")</f>
        <v>1.0550805727219</v>
      </c>
    </row>
    <row r="3296" customFormat="false" ht="15" hidden="false" customHeight="false" outlineLevel="0" collapsed="false">
      <c r="A3296" s="57" t="n">
        <v>36728</v>
      </c>
      <c r="B3296" s="56" t="n">
        <v>2000</v>
      </c>
      <c r="C3296" s="56" t="n">
        <v>7</v>
      </c>
      <c r="D3296" s="56" t="n">
        <v>82</v>
      </c>
      <c r="E3296" s="56" t="n">
        <v>21.6</v>
      </c>
      <c r="F3296" s="56" t="n">
        <v>0</v>
      </c>
      <c r="G3296" s="56" t="n">
        <v>14.4</v>
      </c>
      <c r="H3296" s="56" t="n">
        <v>0</v>
      </c>
      <c r="I3296" s="56" t="n">
        <v>20.2</v>
      </c>
      <c r="J3296" s="56" t="n">
        <v>0</v>
      </c>
      <c r="K3296" s="56" t="n">
        <v>1025.1</v>
      </c>
      <c r="L3296" s="56" t="n">
        <v>0</v>
      </c>
      <c r="M3296" s="56" t="n">
        <v>66</v>
      </c>
      <c r="N3296" s="56" t="n">
        <v>14.4</v>
      </c>
      <c r="O3296" s="56" t="n">
        <f aca="false">IF(D3296=1,"",E3295)</f>
        <v>25.9</v>
      </c>
      <c r="P3296" s="56" t="n">
        <f aca="false">IF(OR(D3296=1,K3295=""),"",K3295)</f>
        <v>1022.9</v>
      </c>
      <c r="Q3296" s="56" t="n">
        <f aca="false">IF(OR(F3296&lt;&gt;0,AND(I3296&lt;&gt;"",E3296&lt;I3296)),1,0)</f>
        <v>0</v>
      </c>
      <c r="R3296" s="56" t="n">
        <f aca="false">IF(AND(D3296&gt;1,Q3296=0,ISNUMBER(O3296),ISNUMBER(P3296)),IF(Q3295=0,1,0),0)</f>
        <v>1</v>
      </c>
      <c r="S3296" s="56" t="n">
        <f aca="false">R3296*(B3296&gt;=Train_Start)*(B3296&lt;=Train_End)</f>
        <v>0</v>
      </c>
      <c r="T3296" s="84" t="n">
        <f aca="false">IF(AND(ISNUMBER(O3296),ISNUMBER(P3296)),Coef_A+Coef_B1*O3296+Coef_B2*P3296,"")</f>
        <v>25.3961257429083</v>
      </c>
      <c r="U3296" s="84" t="n">
        <f aca="false">IF(AND(R3296=1,ISNUMBER(T3296)),E3296-T3296,"")</f>
        <v>-3.79612574290827</v>
      </c>
      <c r="V3296" s="84" t="n">
        <f aca="false">IF(ISNUMBER(T3296),T3296,-99)</f>
        <v>25.3961257429083</v>
      </c>
      <c r="W3296" s="84" t="n">
        <f aca="false">IF(ISNUMBER(U3296),ABS(U3296),"")</f>
        <v>3.79612574290827</v>
      </c>
    </row>
    <row r="3297" customFormat="false" ht="15" hidden="false" customHeight="false" outlineLevel="0" collapsed="false">
      <c r="A3297" s="57" t="n">
        <v>36729</v>
      </c>
      <c r="B3297" s="56" t="n">
        <v>2000</v>
      </c>
      <c r="C3297" s="56" t="n">
        <v>7</v>
      </c>
      <c r="D3297" s="56" t="n">
        <v>83</v>
      </c>
      <c r="E3297" s="56" t="n">
        <v>19</v>
      </c>
      <c r="F3297" s="56" t="n">
        <v>0</v>
      </c>
      <c r="G3297" s="56" t="n">
        <v>12.9</v>
      </c>
      <c r="H3297" s="56" t="n">
        <v>0</v>
      </c>
      <c r="I3297" s="56" t="n">
        <v>17.2</v>
      </c>
      <c r="J3297" s="56" t="n">
        <v>0</v>
      </c>
      <c r="K3297" s="56" t="n">
        <v>1022</v>
      </c>
      <c r="L3297" s="56" t="n">
        <v>0</v>
      </c>
      <c r="M3297" s="56" t="n">
        <v>68</v>
      </c>
      <c r="N3297" s="56" t="n">
        <v>9.5</v>
      </c>
      <c r="O3297" s="56" t="n">
        <f aca="false">IF(D3297=1,"",E3296)</f>
        <v>21.6</v>
      </c>
      <c r="P3297" s="56" t="n">
        <f aca="false">IF(OR(D3297=1,K3296=""),"",K3296)</f>
        <v>1025.1</v>
      </c>
      <c r="Q3297" s="56" t="n">
        <f aca="false">IF(OR(F3297&lt;&gt;0,AND(I3297&lt;&gt;"",E3297&lt;I3297)),1,0)</f>
        <v>0</v>
      </c>
      <c r="R3297" s="56" t="n">
        <f aca="false">IF(AND(D3297&gt;1,Q3297=0,ISNUMBER(O3297),ISNUMBER(P3297)),IF(Q3296=0,1,0),0)</f>
        <v>1</v>
      </c>
      <c r="S3297" s="56" t="n">
        <f aca="false">R3297*(B3297&gt;=Train_Start)*(B3297&lt;=Train_End)</f>
        <v>0</v>
      </c>
      <c r="T3297" s="84" t="n">
        <f aca="false">IF(AND(ISNUMBER(O3297),ISNUMBER(P3297)),Coef_A+Coef_B1*O3297+Coef_B2*P3297,"")</f>
        <v>21.9419809810196</v>
      </c>
      <c r="U3297" s="84" t="n">
        <f aca="false">IF(AND(R3297=1,ISNUMBER(T3297)),E3297-T3297,"")</f>
        <v>-2.94198098101962</v>
      </c>
      <c r="V3297" s="84" t="n">
        <f aca="false">IF(ISNUMBER(T3297),T3297,-99)</f>
        <v>21.9419809810196</v>
      </c>
      <c r="W3297" s="84" t="n">
        <f aca="false">IF(ISNUMBER(U3297),ABS(U3297),"")</f>
        <v>2.94198098101962</v>
      </c>
    </row>
    <row r="3298" customFormat="false" ht="15" hidden="false" customHeight="false" outlineLevel="0" collapsed="false">
      <c r="A3298" s="57" t="n">
        <v>36730</v>
      </c>
      <c r="B3298" s="56" t="n">
        <v>2000</v>
      </c>
      <c r="C3298" s="56" t="n">
        <v>7</v>
      </c>
      <c r="D3298" s="56" t="n">
        <v>84</v>
      </c>
      <c r="E3298" s="56" t="n">
        <v>17.2</v>
      </c>
      <c r="F3298" s="56" t="n">
        <v>0</v>
      </c>
      <c r="G3298" s="56" t="n">
        <v>12.8</v>
      </c>
      <c r="H3298" s="56" t="n">
        <v>0</v>
      </c>
      <c r="I3298" s="56" t="n">
        <v>15.9</v>
      </c>
      <c r="J3298" s="56" t="n">
        <v>0</v>
      </c>
      <c r="K3298" s="56" t="n">
        <v>1015.9</v>
      </c>
      <c r="L3298" s="56" t="n">
        <v>0</v>
      </c>
      <c r="M3298" s="56" t="n">
        <v>76</v>
      </c>
      <c r="N3298" s="56" t="n">
        <v>0.8</v>
      </c>
      <c r="O3298" s="56" t="n">
        <f aca="false">IF(D3298=1,"",E3297)</f>
        <v>19</v>
      </c>
      <c r="P3298" s="56" t="n">
        <f aca="false">IF(OR(D3298=1,K3297=""),"",K3297)</f>
        <v>1022</v>
      </c>
      <c r="Q3298" s="56" t="n">
        <f aca="false">IF(OR(F3298&lt;&gt;0,AND(I3298&lt;&gt;"",E3298&lt;I3298)),1,0)</f>
        <v>0</v>
      </c>
      <c r="R3298" s="56" t="n">
        <f aca="false">IF(AND(D3298&gt;1,Q3298=0,ISNUMBER(O3298),ISNUMBER(P3298)),IF(Q3297=0,1,0),0)</f>
        <v>1</v>
      </c>
      <c r="S3298" s="56" t="n">
        <f aca="false">R3298*(B3298&gt;=Train_Start)*(B3298&lt;=Train_End)</f>
        <v>0</v>
      </c>
      <c r="T3298" s="84" t="n">
        <f aca="false">IF(AND(ISNUMBER(O3298),ISNUMBER(P3298)),Coef_A+Coef_B1*O3298+Coef_B2*P3298,"")</f>
        <v>19.7144524057434</v>
      </c>
      <c r="U3298" s="84" t="n">
        <f aca="false">IF(AND(R3298=1,ISNUMBER(T3298)),E3298-T3298,"")</f>
        <v>-2.51445240574335</v>
      </c>
      <c r="V3298" s="84" t="n">
        <f aca="false">IF(ISNUMBER(T3298),T3298,-99)</f>
        <v>19.7144524057434</v>
      </c>
      <c r="W3298" s="84" t="n">
        <f aca="false">IF(ISNUMBER(U3298),ABS(U3298),"")</f>
        <v>2.51445240574335</v>
      </c>
    </row>
    <row r="3299" customFormat="false" ht="15" hidden="false" customHeight="false" outlineLevel="0" collapsed="false">
      <c r="A3299" s="57" t="n">
        <v>36731</v>
      </c>
      <c r="B3299" s="56" t="n">
        <v>2000</v>
      </c>
      <c r="C3299" s="56" t="n">
        <v>7</v>
      </c>
      <c r="D3299" s="56" t="n">
        <v>85</v>
      </c>
      <c r="E3299" s="56" t="n">
        <v>19</v>
      </c>
      <c r="F3299" s="56" t="n">
        <v>0</v>
      </c>
      <c r="G3299" s="56" t="n">
        <v>12.9</v>
      </c>
      <c r="H3299" s="56" t="n">
        <v>0</v>
      </c>
      <c r="I3299" s="56" t="n">
        <v>15</v>
      </c>
      <c r="J3299" s="56" t="n">
        <v>0</v>
      </c>
      <c r="K3299" s="56" t="n">
        <v>1010.2</v>
      </c>
      <c r="L3299" s="56" t="n">
        <v>0</v>
      </c>
      <c r="M3299" s="56" t="n">
        <v>79</v>
      </c>
      <c r="N3299" s="56" t="n">
        <v>0.1</v>
      </c>
      <c r="O3299" s="56" t="n">
        <f aca="false">IF(D3299=1,"",E3298)</f>
        <v>17.2</v>
      </c>
      <c r="P3299" s="56" t="n">
        <f aca="false">IF(OR(D3299=1,K3298=""),"",K3298)</f>
        <v>1015.9</v>
      </c>
      <c r="Q3299" s="56" t="n">
        <f aca="false">IF(OR(F3299&lt;&gt;0,AND(I3299&lt;&gt;"",E3299&lt;I3299)),1,0)</f>
        <v>0</v>
      </c>
      <c r="R3299" s="56" t="n">
        <f aca="false">IF(AND(D3299&gt;1,Q3299=0,ISNUMBER(O3299),ISNUMBER(P3299)),IF(Q3298=0,1,0),0)</f>
        <v>1</v>
      </c>
      <c r="S3299" s="56" t="n">
        <f aca="false">R3299*(B3299&gt;=Train_Start)*(B3299&lt;=Train_End)</f>
        <v>0</v>
      </c>
      <c r="T3299" s="84" t="n">
        <f aca="false">IF(AND(ISNUMBER(O3299),ISNUMBER(P3299)),Coef_A+Coef_B1*O3299+Coef_B2*P3299,"")</f>
        <v>18.0482855009992</v>
      </c>
      <c r="U3299" s="84" t="n">
        <f aca="false">IF(AND(R3299=1,ISNUMBER(T3299)),E3299-T3299,"")</f>
        <v>0.951714499000769</v>
      </c>
      <c r="V3299" s="84" t="n">
        <f aca="false">IF(ISNUMBER(T3299),T3299,-99)</f>
        <v>18.0482855009992</v>
      </c>
      <c r="W3299" s="84" t="n">
        <f aca="false">IF(ISNUMBER(U3299),ABS(U3299),"")</f>
        <v>0.951714499000769</v>
      </c>
    </row>
    <row r="3300" customFormat="false" ht="15" hidden="false" customHeight="false" outlineLevel="0" collapsed="false">
      <c r="A3300" s="57" t="n">
        <v>36732</v>
      </c>
      <c r="B3300" s="56" t="n">
        <v>2000</v>
      </c>
      <c r="C3300" s="56" t="n">
        <v>7</v>
      </c>
      <c r="D3300" s="56" t="n">
        <v>86</v>
      </c>
      <c r="E3300" s="56" t="n">
        <v>23.4</v>
      </c>
      <c r="F3300" s="56" t="n">
        <v>0</v>
      </c>
      <c r="G3300" s="56" t="n">
        <v>12.8</v>
      </c>
      <c r="H3300" s="56" t="n">
        <v>0</v>
      </c>
      <c r="I3300" s="56" t="n">
        <v>15.9</v>
      </c>
      <c r="J3300" s="56" t="n">
        <v>0</v>
      </c>
      <c r="K3300" s="56" t="n">
        <v>1008.2</v>
      </c>
      <c r="L3300" s="56" t="n">
        <v>0</v>
      </c>
      <c r="M3300" s="56" t="n">
        <v>69</v>
      </c>
      <c r="N3300" s="56" t="n">
        <v>0.7</v>
      </c>
      <c r="O3300" s="56" t="n">
        <f aca="false">IF(D3300=1,"",E3299)</f>
        <v>19</v>
      </c>
      <c r="P3300" s="56" t="n">
        <f aca="false">IF(OR(D3300=1,K3299=""),"",K3299)</f>
        <v>1010.2</v>
      </c>
      <c r="Q3300" s="56" t="n">
        <f aca="false">IF(OR(F3300&lt;&gt;0,AND(I3300&lt;&gt;"",E3300&lt;I3300)),1,0)</f>
        <v>0</v>
      </c>
      <c r="R3300" s="56" t="n">
        <f aca="false">IF(AND(D3300&gt;1,Q3300=0,ISNUMBER(O3300),ISNUMBER(P3300)),IF(Q3299=0,1,0),0)</f>
        <v>1</v>
      </c>
      <c r="S3300" s="56" t="n">
        <f aca="false">R3300*(B3300&gt;=Train_Start)*(B3300&lt;=Train_End)</f>
        <v>0</v>
      </c>
      <c r="T3300" s="84" t="n">
        <f aca="false">IF(AND(ISNUMBER(O3300),ISNUMBER(P3300)),Coef_A+Coef_B1*O3300+Coef_B2*P3300,"")</f>
        <v>19.3442876490623</v>
      </c>
      <c r="U3300" s="84" t="n">
        <f aca="false">IF(AND(R3300=1,ISNUMBER(T3300)),E3300-T3300,"")</f>
        <v>4.05571235093773</v>
      </c>
      <c r="V3300" s="84" t="n">
        <f aca="false">IF(ISNUMBER(T3300),T3300,-99)</f>
        <v>19.3442876490623</v>
      </c>
      <c r="W3300" s="84" t="n">
        <f aca="false">IF(ISNUMBER(U3300),ABS(U3300),"")</f>
        <v>4.05571235093773</v>
      </c>
    </row>
    <row r="3301" customFormat="false" ht="15" hidden="false" customHeight="false" outlineLevel="0" collapsed="false">
      <c r="A3301" s="57" t="n">
        <v>36733</v>
      </c>
      <c r="B3301" s="56" t="n">
        <v>2000</v>
      </c>
      <c r="C3301" s="56" t="n">
        <v>7</v>
      </c>
      <c r="D3301" s="56" t="n">
        <v>87</v>
      </c>
      <c r="E3301" s="56" t="n">
        <v>25</v>
      </c>
      <c r="F3301" s="56" t="n">
        <v>0</v>
      </c>
      <c r="G3301" s="56" t="n">
        <v>13.9</v>
      </c>
      <c r="H3301" s="56" t="n">
        <v>0</v>
      </c>
      <c r="I3301" s="56" t="n">
        <v>18.6</v>
      </c>
      <c r="J3301" s="56" t="n">
        <v>0</v>
      </c>
      <c r="K3301" s="56" t="n">
        <v>1010.1</v>
      </c>
      <c r="L3301" s="56" t="n">
        <v>0</v>
      </c>
      <c r="M3301" s="56" t="n">
        <v>63</v>
      </c>
      <c r="N3301" s="56" t="n">
        <v>8.6</v>
      </c>
      <c r="O3301" s="56" t="n">
        <f aca="false">IF(D3301=1,"",E3300)</f>
        <v>23.4</v>
      </c>
      <c r="P3301" s="56" t="n">
        <f aca="false">IF(OR(D3301=1,K3300=""),"",K3300)</f>
        <v>1008.2</v>
      </c>
      <c r="Q3301" s="56" t="n">
        <f aca="false">IF(OR(F3301&lt;&gt;0,AND(I3301&lt;&gt;"",E3301&lt;I3301)),1,0)</f>
        <v>0</v>
      </c>
      <c r="R3301" s="56" t="n">
        <f aca="false">IF(AND(D3301&gt;1,Q3301=0,ISNUMBER(O3301),ISNUMBER(P3301)),IF(Q3300=0,1,0),0)</f>
        <v>1</v>
      </c>
      <c r="S3301" s="56" t="n">
        <f aca="false">R3301*(B3301&gt;=Train_Start)*(B3301&lt;=Train_End)</f>
        <v>0</v>
      </c>
      <c r="T3301" s="84" t="n">
        <f aca="false">IF(AND(ISNUMBER(O3301),ISNUMBER(P3301)),Coef_A+Coef_B1*O3301+Coef_B2*P3301,"")</f>
        <v>22.886640309182</v>
      </c>
      <c r="U3301" s="84" t="n">
        <f aca="false">IF(AND(R3301=1,ISNUMBER(T3301)),E3301-T3301,"")</f>
        <v>2.11335969081801</v>
      </c>
      <c r="V3301" s="84" t="n">
        <f aca="false">IF(ISNUMBER(T3301),T3301,-99)</f>
        <v>22.886640309182</v>
      </c>
      <c r="W3301" s="84" t="n">
        <f aca="false">IF(ISNUMBER(U3301),ABS(U3301),"")</f>
        <v>2.11335969081801</v>
      </c>
    </row>
    <row r="3302" customFormat="false" ht="15" hidden="false" customHeight="false" outlineLevel="0" collapsed="false">
      <c r="A3302" s="57" t="n">
        <v>36734</v>
      </c>
      <c r="B3302" s="56" t="n">
        <v>2000</v>
      </c>
      <c r="C3302" s="56" t="n">
        <v>7</v>
      </c>
      <c r="D3302" s="56" t="n">
        <v>88</v>
      </c>
      <c r="E3302" s="56" t="n">
        <v>20.9</v>
      </c>
      <c r="F3302" s="56" t="n">
        <v>0</v>
      </c>
      <c r="G3302" s="56" t="n">
        <v>15.1</v>
      </c>
      <c r="H3302" s="56" t="n">
        <v>0</v>
      </c>
      <c r="I3302" s="56" t="n">
        <v>20</v>
      </c>
      <c r="J3302" s="56" t="n">
        <v>0</v>
      </c>
      <c r="K3302" s="56" t="n">
        <v>1012.9</v>
      </c>
      <c r="L3302" s="56" t="n">
        <v>0</v>
      </c>
      <c r="M3302" s="56" t="n">
        <v>62</v>
      </c>
      <c r="N3302" s="56" t="n">
        <v>7.5</v>
      </c>
      <c r="O3302" s="56" t="n">
        <f aca="false">IF(D3302=1,"",E3301)</f>
        <v>25</v>
      </c>
      <c r="P3302" s="56" t="n">
        <f aca="false">IF(OR(D3302=1,K3301=""),"",K3301)</f>
        <v>1010.1</v>
      </c>
      <c r="Q3302" s="56" t="n">
        <f aca="false">IF(OR(F3302&lt;&gt;0,AND(I3302&lt;&gt;"",E3302&lt;I3302)),1,0)</f>
        <v>0</v>
      </c>
      <c r="R3302" s="56" t="n">
        <f aca="false">IF(AND(D3302&gt;1,Q3302=0,ISNUMBER(O3302),ISNUMBER(P3302)),IF(Q3301=0,1,0),0)</f>
        <v>1</v>
      </c>
      <c r="S3302" s="56" t="n">
        <f aca="false">R3302*(B3302&gt;=Train_Start)*(B3302&lt;=Train_End)</f>
        <v>0</v>
      </c>
      <c r="T3302" s="84" t="n">
        <f aca="false">IF(AND(ISNUMBER(O3302),ISNUMBER(P3302)),Coef_A+Coef_B1*O3302+Coef_B2*P3302,"")</f>
        <v>24.2571858178548</v>
      </c>
      <c r="U3302" s="84" t="n">
        <f aca="false">IF(AND(R3302=1,ISNUMBER(T3302)),E3302-T3302,"")</f>
        <v>-3.35718581785482</v>
      </c>
      <c r="V3302" s="84" t="n">
        <f aca="false">IF(ISNUMBER(T3302),T3302,-99)</f>
        <v>24.2571858178548</v>
      </c>
      <c r="W3302" s="84" t="n">
        <f aca="false">IF(ISNUMBER(U3302),ABS(U3302),"")</f>
        <v>3.35718581785482</v>
      </c>
    </row>
    <row r="3303" customFormat="false" ht="15" hidden="false" customHeight="false" outlineLevel="0" collapsed="false">
      <c r="A3303" s="57" t="n">
        <v>36735</v>
      </c>
      <c r="B3303" s="56" t="n">
        <v>2000</v>
      </c>
      <c r="C3303" s="56" t="n">
        <v>7</v>
      </c>
      <c r="D3303" s="56" t="n">
        <v>89</v>
      </c>
      <c r="E3303" s="56" t="n">
        <v>24.9</v>
      </c>
      <c r="F3303" s="56" t="n">
        <v>0</v>
      </c>
      <c r="G3303" s="56" t="n">
        <v>14.5</v>
      </c>
      <c r="H3303" s="56" t="n">
        <v>0</v>
      </c>
      <c r="I3303" s="56" t="n">
        <v>17.7</v>
      </c>
      <c r="J3303" s="56" t="n">
        <v>0</v>
      </c>
      <c r="K3303" s="56" t="n">
        <v>1014</v>
      </c>
      <c r="L3303" s="56" t="n">
        <v>0</v>
      </c>
      <c r="M3303" s="56" t="n">
        <v>81</v>
      </c>
      <c r="N3303" s="56" t="n">
        <v>4.5</v>
      </c>
      <c r="O3303" s="56" t="n">
        <f aca="false">IF(D3303=1,"",E3302)</f>
        <v>20.9</v>
      </c>
      <c r="P3303" s="56" t="n">
        <f aca="false">IF(OR(D3303=1,K3302=""),"",K3302)</f>
        <v>1012.9</v>
      </c>
      <c r="Q3303" s="56" t="n">
        <f aca="false">IF(OR(F3303&lt;&gt;0,AND(I3303&lt;&gt;"",E3303&lt;I3303)),1,0)</f>
        <v>0</v>
      </c>
      <c r="R3303" s="56" t="n">
        <f aca="false">IF(AND(D3303&gt;1,Q3303=0,ISNUMBER(O3303),ISNUMBER(P3303)),IF(Q3302=0,1,0),0)</f>
        <v>1</v>
      </c>
      <c r="S3303" s="56" t="n">
        <f aca="false">R3303*(B3303&gt;=Train_Start)*(B3303&lt;=Train_End)</f>
        <v>0</v>
      </c>
      <c r="T3303" s="84" t="n">
        <f aca="false">IF(AND(ISNUMBER(O3303),ISNUMBER(P3303)),Coef_A+Coef_B1*O3303+Coef_B2*P3303,"")</f>
        <v>20.9857308313551</v>
      </c>
      <c r="U3303" s="84" t="n">
        <f aca="false">IF(AND(R3303=1,ISNUMBER(T3303)),E3303-T3303,"")</f>
        <v>3.9142691686449</v>
      </c>
      <c r="V3303" s="84" t="n">
        <f aca="false">IF(ISNUMBER(T3303),T3303,-99)</f>
        <v>20.9857308313551</v>
      </c>
      <c r="W3303" s="84" t="n">
        <f aca="false">IF(ISNUMBER(U3303),ABS(U3303),"")</f>
        <v>3.9142691686449</v>
      </c>
    </row>
    <row r="3304" customFormat="false" ht="15" hidden="false" customHeight="false" outlineLevel="0" collapsed="false">
      <c r="A3304" s="57" t="n">
        <v>36736</v>
      </c>
      <c r="B3304" s="56" t="n">
        <v>2000</v>
      </c>
      <c r="C3304" s="56" t="n">
        <v>7</v>
      </c>
      <c r="D3304" s="56" t="n">
        <v>90</v>
      </c>
      <c r="E3304" s="56" t="n">
        <v>24.8</v>
      </c>
      <c r="F3304" s="56" t="n">
        <v>0</v>
      </c>
      <c r="G3304" s="56" t="n">
        <v>13.4</v>
      </c>
      <c r="H3304" s="56" t="n">
        <v>0</v>
      </c>
      <c r="I3304" s="56" t="n">
        <v>19.2</v>
      </c>
      <c r="J3304" s="56" t="n">
        <v>0</v>
      </c>
      <c r="K3304" s="56" t="n">
        <v>1017</v>
      </c>
      <c r="L3304" s="56" t="n">
        <v>0</v>
      </c>
      <c r="M3304" s="56" t="n">
        <v>73</v>
      </c>
      <c r="N3304" s="56" t="n">
        <v>9</v>
      </c>
      <c r="O3304" s="56" t="n">
        <f aca="false">IF(D3304=1,"",E3303)</f>
        <v>24.9</v>
      </c>
      <c r="P3304" s="56" t="n">
        <f aca="false">IF(OR(D3304=1,K3303=""),"",K3303)</f>
        <v>1014</v>
      </c>
      <c r="Q3304" s="56" t="n">
        <f aca="false">IF(OR(F3304&lt;&gt;0,AND(I3304&lt;&gt;"",E3304&lt;I3304)),1,0)</f>
        <v>0</v>
      </c>
      <c r="R3304" s="56" t="n">
        <f aca="false">IF(AND(D3304&gt;1,Q3304=0,ISNUMBER(O3304),ISNUMBER(P3304)),IF(Q3303=0,1,0),0)</f>
        <v>1</v>
      </c>
      <c r="S3304" s="56" t="n">
        <f aca="false">R3304*(B3304&gt;=Train_Start)*(B3304&lt;=Train_End)</f>
        <v>0</v>
      </c>
      <c r="T3304" s="84" t="n">
        <f aca="false">IF(AND(ISNUMBER(O3304),ISNUMBER(P3304)),Coef_A+Coef_B1*O3304+Coef_B2*P3304,"")</f>
        <v>24.2975944876231</v>
      </c>
      <c r="U3304" s="84" t="n">
        <f aca="false">IF(AND(R3304=1,ISNUMBER(T3304)),E3304-T3304,"")</f>
        <v>0.502405512376885</v>
      </c>
      <c r="V3304" s="84" t="n">
        <f aca="false">IF(ISNUMBER(T3304),T3304,-99)</f>
        <v>24.2975944876231</v>
      </c>
      <c r="W3304" s="84" t="n">
        <f aca="false">IF(ISNUMBER(U3304),ABS(U3304),"")</f>
        <v>0.502405512376885</v>
      </c>
    </row>
    <row r="3305" customFormat="false" ht="15" hidden="false" customHeight="false" outlineLevel="0" collapsed="false">
      <c r="A3305" s="57" t="n">
        <v>36737</v>
      </c>
      <c r="B3305" s="56" t="n">
        <v>2000</v>
      </c>
      <c r="C3305" s="56" t="n">
        <v>7</v>
      </c>
      <c r="D3305" s="56" t="n">
        <v>91</v>
      </c>
      <c r="E3305" s="56" t="n">
        <v>25.3</v>
      </c>
      <c r="F3305" s="56" t="n">
        <v>0</v>
      </c>
      <c r="G3305" s="56" t="n">
        <v>13.7</v>
      </c>
      <c r="H3305" s="56" t="n">
        <v>0</v>
      </c>
      <c r="I3305" s="56" t="n">
        <v>19.2</v>
      </c>
      <c r="J3305" s="56" t="n">
        <v>0</v>
      </c>
      <c r="K3305" s="56" t="n">
        <v>1021.9</v>
      </c>
      <c r="L3305" s="56" t="n">
        <v>0</v>
      </c>
      <c r="M3305" s="56" t="n">
        <v>69</v>
      </c>
      <c r="N3305" s="56" t="n">
        <v>9.5</v>
      </c>
      <c r="O3305" s="56" t="n">
        <f aca="false">IF(D3305=1,"",E3304)</f>
        <v>24.8</v>
      </c>
      <c r="P3305" s="56" t="n">
        <f aca="false">IF(OR(D3305=1,K3304=""),"",K3304)</f>
        <v>1017</v>
      </c>
      <c r="Q3305" s="56" t="n">
        <f aca="false">IF(OR(F3305&lt;&gt;0,AND(I3305&lt;&gt;"",E3305&lt;I3305)),1,0)</f>
        <v>0</v>
      </c>
      <c r="R3305" s="56" t="n">
        <f aca="false">IF(AND(D3305&gt;1,Q3305=0,ISNUMBER(O3305),ISNUMBER(P3305)),IF(Q3304=0,1,0),0)</f>
        <v>1</v>
      </c>
      <c r="S3305" s="56" t="n">
        <f aca="false">R3305*(B3305&gt;=Train_Start)*(B3305&lt;=Train_End)</f>
        <v>0</v>
      </c>
      <c r="T3305" s="84" t="n">
        <f aca="false">IF(AND(ISNUMBER(O3305),ISNUMBER(P3305)),Coef_A+Coef_B1*O3305+Coef_B2*P3305,"")</f>
        <v>24.3097702522208</v>
      </c>
      <c r="U3305" s="84" t="n">
        <f aca="false">IF(AND(R3305=1,ISNUMBER(T3305)),E3305-T3305,"")</f>
        <v>0.990229747779182</v>
      </c>
      <c r="V3305" s="84" t="n">
        <f aca="false">IF(ISNUMBER(T3305),T3305,-99)</f>
        <v>24.3097702522208</v>
      </c>
      <c r="W3305" s="84" t="n">
        <f aca="false">IF(ISNUMBER(U3305),ABS(U3305),"")</f>
        <v>0.990229747779182</v>
      </c>
    </row>
    <row r="3306" customFormat="false" ht="15" hidden="false" customHeight="false" outlineLevel="0" collapsed="false">
      <c r="A3306" s="57" t="n">
        <v>36738</v>
      </c>
      <c r="B3306" s="56" t="n">
        <v>2000</v>
      </c>
      <c r="C3306" s="56" t="n">
        <v>7</v>
      </c>
      <c r="D3306" s="56" t="n">
        <v>92</v>
      </c>
      <c r="E3306" s="56" t="n">
        <v>24.5</v>
      </c>
      <c r="F3306" s="56" t="n">
        <v>0</v>
      </c>
      <c r="G3306" s="56" t="n">
        <v>16.1</v>
      </c>
      <c r="H3306" s="56" t="n">
        <v>0</v>
      </c>
      <c r="I3306" s="56" t="n">
        <v>20.7</v>
      </c>
      <c r="J3306" s="56" t="n">
        <v>0</v>
      </c>
      <c r="K3306" s="56" t="n">
        <v>1021.5</v>
      </c>
      <c r="L3306" s="56" t="n">
        <v>0</v>
      </c>
      <c r="M3306" s="56" t="n">
        <v>61</v>
      </c>
      <c r="N3306" s="56" t="n">
        <v>11.7</v>
      </c>
      <c r="O3306" s="56" t="n">
        <f aca="false">IF(D3306=1,"",E3305)</f>
        <v>25.3</v>
      </c>
      <c r="P3306" s="56" t="n">
        <f aca="false">IF(OR(D3306=1,K3305=""),"",K3305)</f>
        <v>1021.9</v>
      </c>
      <c r="Q3306" s="56" t="n">
        <f aca="false">IF(OR(F3306&lt;&gt;0,AND(I3306&lt;&gt;"",E3306&lt;I3306)),1,0)</f>
        <v>0</v>
      </c>
      <c r="R3306" s="56" t="n">
        <f aca="false">IF(AND(D3306&gt;1,Q3306=0,ISNUMBER(O3306),ISNUMBER(P3306)),IF(Q3305=0,1,0),0)</f>
        <v>1</v>
      </c>
      <c r="S3306" s="56" t="n">
        <f aca="false">R3306*(B3306&gt;=Train_Start)*(B3306&lt;=Train_End)</f>
        <v>0</v>
      </c>
      <c r="T3306" s="84" t="n">
        <f aca="false">IF(AND(ISNUMBER(O3306),ISNUMBER(P3306)),Coef_A+Coef_B1*O3306+Coef_B2*P3306,"")</f>
        <v>24.8731523324487</v>
      </c>
      <c r="U3306" s="84" t="n">
        <f aca="false">IF(AND(R3306=1,ISNUMBER(T3306)),E3306-T3306,"")</f>
        <v>-0.373152332448694</v>
      </c>
      <c r="V3306" s="84" t="n">
        <f aca="false">IF(ISNUMBER(T3306),T3306,-99)</f>
        <v>24.8731523324487</v>
      </c>
      <c r="W3306" s="84" t="n">
        <f aca="false">IF(ISNUMBER(U3306),ABS(U3306),"")</f>
        <v>0.373152332448694</v>
      </c>
    </row>
    <row r="3307" customFormat="false" ht="15" hidden="false" customHeight="false" outlineLevel="0" collapsed="false">
      <c r="A3307" s="57" t="n">
        <v>36739</v>
      </c>
      <c r="B3307" s="56" t="n">
        <v>2000</v>
      </c>
      <c r="C3307" s="56" t="n">
        <v>8</v>
      </c>
      <c r="D3307" s="56" t="n">
        <v>93</v>
      </c>
      <c r="E3307" s="56" t="n">
        <v>23.5</v>
      </c>
      <c r="F3307" s="56" t="n">
        <v>0</v>
      </c>
      <c r="G3307" s="56" t="n">
        <v>14.8</v>
      </c>
      <c r="H3307" s="56" t="n">
        <v>0</v>
      </c>
      <c r="I3307" s="56" t="n">
        <v>19.6</v>
      </c>
      <c r="J3307" s="56" t="n">
        <v>0</v>
      </c>
      <c r="K3307" s="56" t="n">
        <v>1017</v>
      </c>
      <c r="L3307" s="56" t="n">
        <v>0</v>
      </c>
      <c r="M3307" s="56" t="n">
        <v>66</v>
      </c>
      <c r="N3307" s="56" t="n">
        <v>8.8</v>
      </c>
      <c r="O3307" s="56" t="n">
        <f aca="false">IF(D3307=1,"",E3306)</f>
        <v>24.5</v>
      </c>
      <c r="P3307" s="56" t="n">
        <f aca="false">IF(OR(D3307=1,K3306=""),"",K3306)</f>
        <v>1021.5</v>
      </c>
      <c r="Q3307" s="56" t="n">
        <f aca="false">IF(OR(F3307&lt;&gt;0,AND(I3307&lt;&gt;"",E3307&lt;I3307)),1,0)</f>
        <v>0</v>
      </c>
      <c r="R3307" s="56" t="n">
        <f aca="false">IF(AND(D3307&gt;1,Q3307=0,ISNUMBER(O3307),ISNUMBER(P3307)),IF(Q3306=0,1,0),0)</f>
        <v>1</v>
      </c>
      <c r="S3307" s="56" t="n">
        <f aca="false">R3307*(B3307&gt;=Train_Start)*(B3307&lt;=Train_End)</f>
        <v>0</v>
      </c>
      <c r="T3307" s="84" t="n">
        <f aca="false">IF(AND(ISNUMBER(O3307),ISNUMBER(P3307)),Coef_A+Coef_B1*O3307+Coef_B2*P3307,"")</f>
        <v>24.205133020161</v>
      </c>
      <c r="U3307" s="84" t="n">
        <f aca="false">IF(AND(R3307=1,ISNUMBER(T3307)),E3307-T3307,"")</f>
        <v>-0.705133020160975</v>
      </c>
      <c r="V3307" s="84" t="n">
        <f aca="false">IF(ISNUMBER(T3307),T3307,-99)</f>
        <v>24.205133020161</v>
      </c>
      <c r="W3307" s="84" t="n">
        <f aca="false">IF(ISNUMBER(U3307),ABS(U3307),"")</f>
        <v>0.705133020160975</v>
      </c>
    </row>
    <row r="3308" customFormat="false" ht="15" hidden="false" customHeight="false" outlineLevel="0" collapsed="false">
      <c r="A3308" s="57" t="n">
        <v>36740</v>
      </c>
      <c r="B3308" s="56" t="n">
        <v>2000</v>
      </c>
      <c r="C3308" s="56" t="n">
        <v>8</v>
      </c>
      <c r="D3308" s="56" t="n">
        <v>94</v>
      </c>
      <c r="E3308" s="56" t="n">
        <v>19.7</v>
      </c>
      <c r="F3308" s="56" t="n">
        <v>0</v>
      </c>
      <c r="G3308" s="56" t="n">
        <v>13</v>
      </c>
      <c r="H3308" s="56" t="n">
        <v>0</v>
      </c>
      <c r="I3308" s="56" t="n">
        <v>18.2</v>
      </c>
      <c r="J3308" s="56" t="n">
        <v>0</v>
      </c>
      <c r="K3308" s="56" t="n">
        <v>1013.9</v>
      </c>
      <c r="L3308" s="56" t="n">
        <v>0</v>
      </c>
      <c r="M3308" s="56" t="n">
        <v>76</v>
      </c>
      <c r="N3308" s="56" t="n">
        <v>7.8</v>
      </c>
      <c r="O3308" s="56" t="n">
        <f aca="false">IF(D3308=1,"",E3307)</f>
        <v>23.5</v>
      </c>
      <c r="P3308" s="56" t="n">
        <f aca="false">IF(OR(D3308=1,K3307=""),"",K3307)</f>
        <v>1017</v>
      </c>
      <c r="Q3308" s="56" t="n">
        <f aca="false">IF(OR(F3308&lt;&gt;0,AND(I3308&lt;&gt;"",E3308&lt;I3308)),1,0)</f>
        <v>0</v>
      </c>
      <c r="R3308" s="56" t="n">
        <f aca="false">IF(AND(D3308&gt;1,Q3308=0,ISNUMBER(O3308),ISNUMBER(P3308)),IF(Q3307=0,1,0),0)</f>
        <v>1</v>
      </c>
      <c r="S3308" s="56" t="n">
        <f aca="false">R3308*(B3308&gt;=Train_Start)*(B3308&lt;=Train_End)</f>
        <v>0</v>
      </c>
      <c r="T3308" s="84" t="n">
        <f aca="false">IF(AND(ISNUMBER(O3308),ISNUMBER(P3308)),Coef_A+Coef_B1*O3308+Coef_B2*P3308,"")</f>
        <v>23.2446293012654</v>
      </c>
      <c r="U3308" s="84" t="n">
        <f aca="false">IF(AND(R3308=1,ISNUMBER(T3308)),E3308-T3308,"")</f>
        <v>-3.54462930126536</v>
      </c>
      <c r="V3308" s="84" t="n">
        <f aca="false">IF(ISNUMBER(T3308),T3308,-99)</f>
        <v>23.2446293012654</v>
      </c>
      <c r="W3308" s="84" t="n">
        <f aca="false">IF(ISNUMBER(U3308),ABS(U3308),"")</f>
        <v>3.54462930126536</v>
      </c>
    </row>
    <row r="3309" customFormat="false" ht="15" hidden="false" customHeight="false" outlineLevel="0" collapsed="false">
      <c r="A3309" s="57" t="n">
        <v>36741</v>
      </c>
      <c r="B3309" s="56" t="n">
        <v>2000</v>
      </c>
      <c r="C3309" s="56" t="n">
        <v>8</v>
      </c>
      <c r="D3309" s="56" t="n">
        <v>95</v>
      </c>
      <c r="E3309" s="56" t="n">
        <v>22.4</v>
      </c>
      <c r="F3309" s="56" t="n">
        <v>0</v>
      </c>
      <c r="G3309" s="56" t="n">
        <v>15</v>
      </c>
      <c r="H3309" s="56" t="n">
        <v>0</v>
      </c>
      <c r="I3309" s="56" t="n">
        <v>17.4</v>
      </c>
      <c r="J3309" s="56" t="n">
        <v>0</v>
      </c>
      <c r="K3309" s="56" t="n">
        <v>1014.4</v>
      </c>
      <c r="L3309" s="56" t="n">
        <v>0</v>
      </c>
      <c r="M3309" s="56" t="n">
        <v>83</v>
      </c>
      <c r="N3309" s="56" t="n">
        <v>3.1</v>
      </c>
      <c r="O3309" s="56" t="n">
        <f aca="false">IF(D3309=1,"",E3308)</f>
        <v>19.7</v>
      </c>
      <c r="P3309" s="56" t="n">
        <f aca="false">IF(OR(D3309=1,K3308=""),"",K3308)</f>
        <v>1013.9</v>
      </c>
      <c r="Q3309" s="56" t="n">
        <f aca="false">IF(OR(F3309&lt;&gt;0,AND(I3309&lt;&gt;"",E3309&lt;I3309)),1,0)</f>
        <v>0</v>
      </c>
      <c r="R3309" s="56" t="n">
        <f aca="false">IF(AND(D3309&gt;1,Q3309=0,ISNUMBER(O3309),ISNUMBER(P3309)),IF(Q3308=0,1,0),0)</f>
        <v>1</v>
      </c>
      <c r="S3309" s="56" t="n">
        <f aca="false">R3309*(B3309&gt;=Train_Start)*(B3309&lt;=Train_End)</f>
        <v>0</v>
      </c>
      <c r="T3309" s="84" t="n">
        <f aca="false">IF(AND(ISNUMBER(O3309),ISNUMBER(P3309)),Coef_A+Coef_B1*O3309+Coef_B2*P3309,"")</f>
        <v>20.0338936943379</v>
      </c>
      <c r="U3309" s="84" t="n">
        <f aca="false">IF(AND(R3309=1,ISNUMBER(T3309)),E3309-T3309,"")</f>
        <v>2.3661063056621</v>
      </c>
      <c r="V3309" s="84" t="n">
        <f aca="false">IF(ISNUMBER(T3309),T3309,-99)</f>
        <v>20.0338936943379</v>
      </c>
      <c r="W3309" s="84" t="n">
        <f aca="false">IF(ISNUMBER(U3309),ABS(U3309),"")</f>
        <v>2.3661063056621</v>
      </c>
    </row>
    <row r="3310" customFormat="false" ht="15" hidden="false" customHeight="false" outlineLevel="0" collapsed="false">
      <c r="A3310" s="57" t="n">
        <v>36742</v>
      </c>
      <c r="B3310" s="56" t="n">
        <v>2000</v>
      </c>
      <c r="C3310" s="56" t="n">
        <v>8</v>
      </c>
      <c r="D3310" s="56" t="n">
        <v>96</v>
      </c>
      <c r="E3310" s="56" t="n">
        <v>24.2</v>
      </c>
      <c r="F3310" s="56" t="n">
        <v>0</v>
      </c>
      <c r="G3310" s="56" t="n">
        <v>14.6</v>
      </c>
      <c r="H3310" s="56" t="n">
        <v>0</v>
      </c>
      <c r="I3310" s="56" t="n">
        <v>18.5</v>
      </c>
      <c r="J3310" s="56" t="n">
        <v>0</v>
      </c>
      <c r="K3310" s="56" t="n">
        <v>1022.9</v>
      </c>
      <c r="L3310" s="56" t="n">
        <v>0</v>
      </c>
      <c r="M3310" s="56" t="n">
        <v>70</v>
      </c>
      <c r="N3310" s="56" t="n">
        <v>8</v>
      </c>
      <c r="O3310" s="56" t="n">
        <f aca="false">IF(D3310=1,"",E3309)</f>
        <v>22.4</v>
      </c>
      <c r="P3310" s="56" t="n">
        <f aca="false">IF(OR(D3310=1,K3309=""),"",K3309)</f>
        <v>1014.4</v>
      </c>
      <c r="Q3310" s="56" t="n">
        <f aca="false">IF(OR(F3310&lt;&gt;0,AND(I3310&lt;&gt;"",E3310&lt;I3310)),1,0)</f>
        <v>0</v>
      </c>
      <c r="R3310" s="56" t="n">
        <f aca="false">IF(AND(D3310&gt;1,Q3310=0,ISNUMBER(O3310),ISNUMBER(P3310)),IF(Q3309=0,1,0),0)</f>
        <v>1</v>
      </c>
      <c r="S3310" s="56" t="n">
        <f aca="false">R3310*(B3310&gt;=Train_Start)*(B3310&lt;=Train_End)</f>
        <v>0</v>
      </c>
      <c r="T3310" s="84" t="n">
        <f aca="false">IF(AND(ISNUMBER(O3310),ISNUMBER(P3310)),Coef_A+Coef_B1*O3310+Coef_B2*P3310,"")</f>
        <v>22.2617944628701</v>
      </c>
      <c r="U3310" s="84" t="n">
        <f aca="false">IF(AND(R3310=1,ISNUMBER(T3310)),E3310-T3310,"")</f>
        <v>1.93820553712994</v>
      </c>
      <c r="V3310" s="84" t="n">
        <f aca="false">IF(ISNUMBER(T3310),T3310,-99)</f>
        <v>22.2617944628701</v>
      </c>
      <c r="W3310" s="84" t="n">
        <f aca="false">IF(ISNUMBER(U3310),ABS(U3310),"")</f>
        <v>1.93820553712994</v>
      </c>
    </row>
    <row r="3311" customFormat="false" ht="15" hidden="false" customHeight="false" outlineLevel="0" collapsed="false">
      <c r="A3311" s="57" t="n">
        <v>36743</v>
      </c>
      <c r="B3311" s="56" t="n">
        <v>2000</v>
      </c>
      <c r="C3311" s="56" t="n">
        <v>8</v>
      </c>
      <c r="D3311" s="56" t="n">
        <v>97</v>
      </c>
      <c r="E3311" s="56" t="n">
        <v>24.7</v>
      </c>
      <c r="F3311" s="56" t="n">
        <v>0</v>
      </c>
      <c r="G3311" s="56" t="n">
        <v>12.2</v>
      </c>
      <c r="H3311" s="56" t="n">
        <v>0</v>
      </c>
      <c r="I3311" s="56" t="n">
        <v>18.2</v>
      </c>
      <c r="J3311" s="56" t="n">
        <v>0</v>
      </c>
      <c r="K3311" s="56" t="n">
        <v>1024.9</v>
      </c>
      <c r="L3311" s="56" t="n">
        <v>0</v>
      </c>
      <c r="M3311" s="56" t="n">
        <v>67</v>
      </c>
      <c r="N3311" s="56" t="n">
        <v>8.5</v>
      </c>
      <c r="O3311" s="56" t="n">
        <f aca="false">IF(D3311=1,"",E3310)</f>
        <v>24.2</v>
      </c>
      <c r="P3311" s="56" t="n">
        <f aca="false">IF(OR(D3311=1,K3310=""),"",K3310)</f>
        <v>1022.9</v>
      </c>
      <c r="Q3311" s="56" t="n">
        <f aca="false">IF(OR(F3311&lt;&gt;0,AND(I3311&lt;&gt;"",E3311&lt;I3311)),1,0)</f>
        <v>0</v>
      </c>
      <c r="R3311" s="56" t="n">
        <f aca="false">IF(AND(D3311&gt;1,Q3311=0,ISNUMBER(O3311),ISNUMBER(P3311)),IF(Q3310=0,1,0),0)</f>
        <v>1</v>
      </c>
      <c r="S3311" s="56" t="n">
        <f aca="false">R3311*(B3311&gt;=Train_Start)*(B3311&lt;=Train_End)</f>
        <v>0</v>
      </c>
      <c r="T3311" s="84" t="n">
        <f aca="false">IF(AND(ISNUMBER(O3311),ISNUMBER(P3311)),Coef_A+Coef_B1*O3311+Coef_B2*P3311,"")</f>
        <v>24.0032491147358</v>
      </c>
      <c r="U3311" s="84" t="n">
        <f aca="false">IF(AND(R3311=1,ISNUMBER(T3311)),E3311-T3311,"")</f>
        <v>0.69675088526424</v>
      </c>
      <c r="V3311" s="84" t="n">
        <f aca="false">IF(ISNUMBER(T3311),T3311,-99)</f>
        <v>24.0032491147358</v>
      </c>
      <c r="W3311" s="84" t="n">
        <f aca="false">IF(ISNUMBER(U3311),ABS(U3311),"")</f>
        <v>0.69675088526424</v>
      </c>
    </row>
    <row r="3312" customFormat="false" ht="15" hidden="false" customHeight="false" outlineLevel="0" collapsed="false">
      <c r="A3312" s="57" t="n">
        <v>36744</v>
      </c>
      <c r="B3312" s="56" t="n">
        <v>2000</v>
      </c>
      <c r="C3312" s="56" t="n">
        <v>8</v>
      </c>
      <c r="D3312" s="56" t="n">
        <v>98</v>
      </c>
      <c r="E3312" s="56" t="n">
        <v>23</v>
      </c>
      <c r="F3312" s="56" t="n">
        <v>0</v>
      </c>
      <c r="G3312" s="56" t="n">
        <v>16</v>
      </c>
      <c r="H3312" s="56" t="n">
        <v>0</v>
      </c>
      <c r="I3312" s="56" t="n">
        <v>20.4</v>
      </c>
      <c r="J3312" s="56" t="n">
        <v>0</v>
      </c>
      <c r="K3312" s="56" t="n">
        <v>1024.6</v>
      </c>
      <c r="L3312" s="56" t="n">
        <v>0</v>
      </c>
      <c r="M3312" s="56" t="n">
        <v>72</v>
      </c>
      <c r="N3312" s="56" t="n">
        <v>4.1</v>
      </c>
      <c r="O3312" s="56" t="n">
        <f aca="false">IF(D3312=1,"",E3311)</f>
        <v>24.7</v>
      </c>
      <c r="P3312" s="56" t="n">
        <f aca="false">IF(OR(D3312=1,K3311=""),"",K3311)</f>
        <v>1024.9</v>
      </c>
      <c r="Q3312" s="56" t="n">
        <f aca="false">IF(OR(F3312&lt;&gt;0,AND(I3312&lt;&gt;"",E3312&lt;I3312)),1,0)</f>
        <v>0</v>
      </c>
      <c r="R3312" s="56" t="n">
        <f aca="false">IF(AND(D3312&gt;1,Q3312=0,ISNUMBER(O3312),ISNUMBER(P3312)),IF(Q3311=0,1,0),0)</f>
        <v>1</v>
      </c>
      <c r="S3312" s="56" t="n">
        <f aca="false">R3312*(B3312&gt;=Train_Start)*(B3312&lt;=Train_End)</f>
        <v>0</v>
      </c>
      <c r="T3312" s="84" t="n">
        <f aca="false">IF(AND(ISNUMBER(O3312),ISNUMBER(P3312)),Coef_A+Coef_B1*O3312+Coef_B2*P3312,"")</f>
        <v>24.4756585005251</v>
      </c>
      <c r="U3312" s="84" t="n">
        <f aca="false">IF(AND(R3312=1,ISNUMBER(T3312)),E3312-T3312,"")</f>
        <v>-1.47565850052507</v>
      </c>
      <c r="V3312" s="84" t="n">
        <f aca="false">IF(ISNUMBER(T3312),T3312,-99)</f>
        <v>24.4756585005251</v>
      </c>
      <c r="W3312" s="84" t="n">
        <f aca="false">IF(ISNUMBER(U3312),ABS(U3312),"")</f>
        <v>1.47565850052507</v>
      </c>
    </row>
    <row r="3313" customFormat="false" ht="15" hidden="false" customHeight="false" outlineLevel="0" collapsed="false">
      <c r="A3313" s="57" t="n">
        <v>36745</v>
      </c>
      <c r="B3313" s="56" t="n">
        <v>2000</v>
      </c>
      <c r="C3313" s="56" t="n">
        <v>8</v>
      </c>
      <c r="D3313" s="56" t="n">
        <v>99</v>
      </c>
      <c r="E3313" s="56" t="n">
        <v>22.6</v>
      </c>
      <c r="F3313" s="56" t="n">
        <v>0</v>
      </c>
      <c r="G3313" s="56" t="n">
        <v>17.4</v>
      </c>
      <c r="H3313" s="56" t="n">
        <v>0</v>
      </c>
      <c r="I3313" s="56" t="n">
        <v>20.2</v>
      </c>
      <c r="J3313" s="56" t="n">
        <v>0</v>
      </c>
      <c r="K3313" s="56" t="n">
        <v>1024.2</v>
      </c>
      <c r="L3313" s="56" t="n">
        <v>0</v>
      </c>
      <c r="M3313" s="56" t="n">
        <v>74</v>
      </c>
      <c r="N3313" s="56" t="n">
        <v>2</v>
      </c>
      <c r="O3313" s="56" t="n">
        <f aca="false">IF(D3313=1,"",E3312)</f>
        <v>23</v>
      </c>
      <c r="P3313" s="56" t="n">
        <f aca="false">IF(OR(D3313=1,K3312=""),"",K3312)</f>
        <v>1024.6</v>
      </c>
      <c r="Q3313" s="56" t="n">
        <f aca="false">IF(OR(F3313&lt;&gt;0,AND(I3313&lt;&gt;"",E3313&lt;I3313)),1,0)</f>
        <v>0</v>
      </c>
      <c r="R3313" s="56" t="n">
        <f aca="false">IF(AND(D3313&gt;1,Q3313=0,ISNUMBER(O3313),ISNUMBER(P3313)),IF(Q3312=0,1,0),0)</f>
        <v>1</v>
      </c>
      <c r="S3313" s="56" t="n">
        <f aca="false">R3313*(B3313&gt;=Train_Start)*(B3313&lt;=Train_End)</f>
        <v>0</v>
      </c>
      <c r="T3313" s="84" t="n">
        <f aca="false">IF(AND(ISNUMBER(O3313),ISNUMBER(P3313)),Coef_A+Coef_B1*O3313+Coef_B2*P3313,"")</f>
        <v>23.0733709039624</v>
      </c>
      <c r="U3313" s="84" t="n">
        <f aca="false">IF(AND(R3313=1,ISNUMBER(T3313)),E3313-T3313,"")</f>
        <v>-0.473370903962351</v>
      </c>
      <c r="V3313" s="84" t="n">
        <f aca="false">IF(ISNUMBER(T3313),T3313,-99)</f>
        <v>23.0733709039624</v>
      </c>
      <c r="W3313" s="84" t="n">
        <f aca="false">IF(ISNUMBER(U3313),ABS(U3313),"")</f>
        <v>0.473370903962351</v>
      </c>
    </row>
    <row r="3314" customFormat="false" ht="15" hidden="false" customHeight="false" outlineLevel="0" collapsed="false">
      <c r="A3314" s="57" t="n">
        <v>36746</v>
      </c>
      <c r="B3314" s="56" t="n">
        <v>2000</v>
      </c>
      <c r="C3314" s="56" t="n">
        <v>8</v>
      </c>
      <c r="D3314" s="56" t="n">
        <v>100</v>
      </c>
      <c r="E3314" s="56" t="n">
        <v>23.9</v>
      </c>
      <c r="F3314" s="56" t="n">
        <v>0</v>
      </c>
      <c r="G3314" s="56" t="n">
        <v>16.2</v>
      </c>
      <c r="H3314" s="56" t="n">
        <v>0</v>
      </c>
      <c r="I3314" s="56" t="n">
        <v>19.4</v>
      </c>
      <c r="J3314" s="56" t="n">
        <v>0</v>
      </c>
      <c r="K3314" s="56" t="n">
        <v>1021.3</v>
      </c>
      <c r="L3314" s="56" t="n">
        <v>0</v>
      </c>
      <c r="M3314" s="56" t="n">
        <v>78</v>
      </c>
      <c r="N3314" s="56" t="n">
        <v>2.8</v>
      </c>
      <c r="O3314" s="56" t="n">
        <f aca="false">IF(D3314=1,"",E3313)</f>
        <v>22.6</v>
      </c>
      <c r="P3314" s="56" t="n">
        <f aca="false">IF(OR(D3314=1,K3313=""),"",K3313)</f>
        <v>1024.2</v>
      </c>
      <c r="Q3314" s="56" t="n">
        <f aca="false">IF(OR(F3314&lt;&gt;0,AND(I3314&lt;&gt;"",E3314&lt;I3314)),1,0)</f>
        <v>0</v>
      </c>
      <c r="R3314" s="56" t="n">
        <f aca="false">IF(AND(D3314&gt;1,Q3314=0,ISNUMBER(O3314),ISNUMBER(P3314)),IF(Q3313=0,1,0),0)</f>
        <v>1</v>
      </c>
      <c r="S3314" s="56" t="n">
        <f aca="false">R3314*(B3314&gt;=Train_Start)*(B3314&lt;=Train_End)</f>
        <v>0</v>
      </c>
      <c r="T3314" s="84" t="n">
        <f aca="false">IF(AND(ISNUMBER(O3314),ISNUMBER(P3314)),Coef_A+Coef_B1*O3314+Coef_B2*P3314,"")</f>
        <v>22.7330872688917</v>
      </c>
      <c r="U3314" s="84" t="n">
        <f aca="false">IF(AND(R3314=1,ISNUMBER(T3314)),E3314-T3314,"")</f>
        <v>1.1669127311083</v>
      </c>
      <c r="V3314" s="84" t="n">
        <f aca="false">IF(ISNUMBER(T3314),T3314,-99)</f>
        <v>22.7330872688917</v>
      </c>
      <c r="W3314" s="84" t="n">
        <f aca="false">IF(ISNUMBER(U3314),ABS(U3314),"")</f>
        <v>1.1669127311083</v>
      </c>
    </row>
    <row r="3315" customFormat="false" ht="15" hidden="false" customHeight="false" outlineLevel="0" collapsed="false">
      <c r="A3315" s="57" t="n">
        <v>36747</v>
      </c>
      <c r="B3315" s="56" t="n">
        <v>2000</v>
      </c>
      <c r="C3315" s="56" t="n">
        <v>8</v>
      </c>
      <c r="D3315" s="56" t="n">
        <v>101</v>
      </c>
      <c r="E3315" s="56" t="n">
        <v>25.4</v>
      </c>
      <c r="F3315" s="56" t="n">
        <v>0</v>
      </c>
      <c r="G3315" s="56" t="n">
        <v>14.5</v>
      </c>
      <c r="H3315" s="56" t="n">
        <v>0</v>
      </c>
      <c r="I3315" s="56" t="n">
        <v>19.2</v>
      </c>
      <c r="J3315" s="56" t="n">
        <v>0</v>
      </c>
      <c r="K3315" s="56" t="n">
        <v>1018.7</v>
      </c>
      <c r="L3315" s="56" t="n">
        <v>0</v>
      </c>
      <c r="M3315" s="56" t="n">
        <v>78</v>
      </c>
      <c r="N3315" s="56" t="n">
        <v>3.9</v>
      </c>
      <c r="O3315" s="56" t="n">
        <f aca="false">IF(D3315=1,"",E3314)</f>
        <v>23.9</v>
      </c>
      <c r="P3315" s="56" t="n">
        <f aca="false">IF(OR(D3315=1,K3314=""),"",K3314)</f>
        <v>1021.3</v>
      </c>
      <c r="Q3315" s="56" t="n">
        <f aca="false">IF(OR(F3315&lt;&gt;0,AND(I3315&lt;&gt;"",E3315&lt;I3315)),1,0)</f>
        <v>0</v>
      </c>
      <c r="R3315" s="56" t="n">
        <f aca="false">IF(AND(D3315&gt;1,Q3315=0,ISNUMBER(O3315),ISNUMBER(P3315)),IF(Q3314=0,1,0),0)</f>
        <v>1</v>
      </c>
      <c r="S3315" s="56" t="n">
        <f aca="false">R3315*(B3315&gt;=Train_Start)*(B3315&lt;=Train_End)</f>
        <v>0</v>
      </c>
      <c r="T3315" s="84" t="n">
        <f aca="false">IF(AND(ISNUMBER(O3315),ISNUMBER(P3315)),Coef_A+Coef_B1*O3315+Coef_B2*P3315,"")</f>
        <v>23.7072555254086</v>
      </c>
      <c r="U3315" s="84" t="n">
        <f aca="false">IF(AND(R3315=1,ISNUMBER(T3315)),E3315-T3315,"")</f>
        <v>1.69274447459142</v>
      </c>
      <c r="V3315" s="84" t="n">
        <f aca="false">IF(ISNUMBER(T3315),T3315,-99)</f>
        <v>23.7072555254086</v>
      </c>
      <c r="W3315" s="84" t="n">
        <f aca="false">IF(ISNUMBER(U3315),ABS(U3315),"")</f>
        <v>1.69274447459142</v>
      </c>
    </row>
    <row r="3316" customFormat="false" ht="15" hidden="false" customHeight="false" outlineLevel="0" collapsed="false">
      <c r="A3316" s="57" t="n">
        <v>36748</v>
      </c>
      <c r="B3316" s="56" t="n">
        <v>2000</v>
      </c>
      <c r="C3316" s="56" t="n">
        <v>8</v>
      </c>
      <c r="D3316" s="56" t="n">
        <v>102</v>
      </c>
      <c r="E3316" s="56" t="n">
        <v>24.9</v>
      </c>
      <c r="F3316" s="56" t="n">
        <v>0</v>
      </c>
      <c r="G3316" s="56" t="n">
        <v>16.5</v>
      </c>
      <c r="H3316" s="56" t="n">
        <v>0</v>
      </c>
      <c r="I3316" s="56" t="n">
        <v>21</v>
      </c>
      <c r="J3316" s="56" t="n">
        <v>0</v>
      </c>
      <c r="K3316" s="56" t="n">
        <v>1016</v>
      </c>
      <c r="L3316" s="56" t="n">
        <v>0</v>
      </c>
      <c r="M3316" s="56" t="n">
        <v>70</v>
      </c>
      <c r="N3316" s="56" t="n">
        <v>6.1</v>
      </c>
      <c r="O3316" s="56" t="n">
        <f aca="false">IF(D3316=1,"",E3315)</f>
        <v>25.4</v>
      </c>
      <c r="P3316" s="56" t="n">
        <f aca="false">IF(OR(D3316=1,K3315=""),"",K3315)</f>
        <v>1018.7</v>
      </c>
      <c r="Q3316" s="56" t="n">
        <f aca="false">IF(OR(F3316&lt;&gt;0,AND(I3316&lt;&gt;"",E3316&lt;I3316)),1,0)</f>
        <v>0</v>
      </c>
      <c r="R3316" s="56" t="n">
        <f aca="false">IF(AND(D3316&gt;1,Q3316=0,ISNUMBER(O3316),ISNUMBER(P3316)),IF(Q3315=0,1,0),0)</f>
        <v>1</v>
      </c>
      <c r="S3316" s="56" t="n">
        <f aca="false">R3316*(B3316&gt;=Train_Start)*(B3316&lt;=Train_End)</f>
        <v>0</v>
      </c>
      <c r="T3316" s="84" t="n">
        <f aca="false">IF(AND(ISNUMBER(O3316),ISNUMBER(P3316)),Coef_A+Coef_B1*O3316+Coef_B2*P3316,"")</f>
        <v>24.8547025889242</v>
      </c>
      <c r="U3316" s="84" t="n">
        <f aca="false">IF(AND(R3316=1,ISNUMBER(T3316)),E3316-T3316,"")</f>
        <v>0.0452974110758007</v>
      </c>
      <c r="V3316" s="84" t="n">
        <f aca="false">IF(ISNUMBER(T3316),T3316,-99)</f>
        <v>24.8547025889242</v>
      </c>
      <c r="W3316" s="84" t="n">
        <f aca="false">IF(ISNUMBER(U3316),ABS(U3316),"")</f>
        <v>0.0452974110758007</v>
      </c>
    </row>
    <row r="3317" customFormat="false" ht="15" hidden="false" customHeight="false" outlineLevel="0" collapsed="false">
      <c r="A3317" s="57" t="n">
        <v>36749</v>
      </c>
      <c r="B3317" s="56" t="n">
        <v>2000</v>
      </c>
      <c r="C3317" s="56" t="n">
        <v>8</v>
      </c>
      <c r="D3317" s="56" t="n">
        <v>103</v>
      </c>
      <c r="E3317" s="56" t="n">
        <v>27.4</v>
      </c>
      <c r="F3317" s="56" t="n">
        <v>0</v>
      </c>
      <c r="G3317" s="56" t="n">
        <v>15.3</v>
      </c>
      <c r="H3317" s="56" t="n">
        <v>0</v>
      </c>
      <c r="I3317" s="56" t="n">
        <v>20.1</v>
      </c>
      <c r="J3317" s="56" t="n">
        <v>0</v>
      </c>
      <c r="K3317" s="56" t="n">
        <v>1015.6</v>
      </c>
      <c r="L3317" s="56" t="n">
        <v>0</v>
      </c>
      <c r="M3317" s="56" t="n">
        <v>64</v>
      </c>
      <c r="N3317" s="56" t="n">
        <v>7.4</v>
      </c>
      <c r="O3317" s="56" t="n">
        <f aca="false">IF(D3317=1,"",E3316)</f>
        <v>24.9</v>
      </c>
      <c r="P3317" s="56" t="n">
        <f aca="false">IF(OR(D3317=1,K3316=""),"",K3316)</f>
        <v>1016</v>
      </c>
      <c r="Q3317" s="56" t="n">
        <f aca="false">IF(OR(F3317&lt;&gt;0,AND(I3317&lt;&gt;"",E3317&lt;I3317)),1,0)</f>
        <v>0</v>
      </c>
      <c r="R3317" s="56" t="n">
        <f aca="false">IF(AND(D3317&gt;1,Q3317=0,ISNUMBER(O3317),ISNUMBER(P3317)),IF(Q3316=0,1,0),0)</f>
        <v>1</v>
      </c>
      <c r="S3317" s="56" t="n">
        <f aca="false">R3317*(B3317&gt;=Train_Start)*(B3317&lt;=Train_End)</f>
        <v>0</v>
      </c>
      <c r="T3317" s="84" t="n">
        <f aca="false">IF(AND(ISNUMBER(O3317),ISNUMBER(P3317)),Coef_A+Coef_B1*O3317+Coef_B2*P3317,"")</f>
        <v>24.3603342768911</v>
      </c>
      <c r="U3317" s="84" t="n">
        <f aca="false">IF(AND(R3317=1,ISNUMBER(T3317)),E3317-T3317,"")</f>
        <v>3.0396657231089</v>
      </c>
      <c r="V3317" s="84" t="n">
        <f aca="false">IF(ISNUMBER(T3317),T3317,-99)</f>
        <v>24.3603342768911</v>
      </c>
      <c r="W3317" s="84" t="n">
        <f aca="false">IF(ISNUMBER(U3317),ABS(U3317),"")</f>
        <v>3.0396657231089</v>
      </c>
    </row>
    <row r="3318" customFormat="false" ht="15" hidden="false" customHeight="false" outlineLevel="0" collapsed="false">
      <c r="A3318" s="57" t="n">
        <v>36750</v>
      </c>
      <c r="B3318" s="56" t="n">
        <v>2000</v>
      </c>
      <c r="C3318" s="56" t="n">
        <v>8</v>
      </c>
      <c r="D3318" s="56" t="n">
        <v>104</v>
      </c>
      <c r="E3318" s="56" t="n">
        <v>23.6</v>
      </c>
      <c r="F3318" s="56" t="n">
        <v>0</v>
      </c>
      <c r="G3318" s="56" t="n">
        <v>13.4</v>
      </c>
      <c r="H3318" s="56" t="n">
        <v>0</v>
      </c>
      <c r="I3318" s="56" t="n">
        <v>20.4</v>
      </c>
      <c r="J3318" s="56" t="n">
        <v>0</v>
      </c>
      <c r="K3318" s="56" t="n">
        <v>1013.9</v>
      </c>
      <c r="L3318" s="56" t="n">
        <v>0</v>
      </c>
      <c r="M3318" s="56" t="n">
        <v>64</v>
      </c>
      <c r="N3318" s="56" t="n">
        <v>12.8</v>
      </c>
      <c r="O3318" s="56" t="n">
        <f aca="false">IF(D3318=1,"",E3317)</f>
        <v>27.4</v>
      </c>
      <c r="P3318" s="56" t="n">
        <f aca="false">IF(OR(D3318=1,K3317=""),"",K3317)</f>
        <v>1015.6</v>
      </c>
      <c r="Q3318" s="56" t="n">
        <f aca="false">IF(OR(F3318&lt;&gt;0,AND(I3318&lt;&gt;"",E3318&lt;I3318)),1,0)</f>
        <v>0</v>
      </c>
      <c r="R3318" s="56" t="n">
        <f aca="false">IF(AND(D3318&gt;1,Q3318=0,ISNUMBER(O3318),ISNUMBER(P3318)),IF(Q3317=0,1,0),0)</f>
        <v>1</v>
      </c>
      <c r="S3318" s="56" t="n">
        <f aca="false">R3318*(B3318&gt;=Train_Start)*(B3318&lt;=Train_End)</f>
        <v>0</v>
      </c>
      <c r="T3318" s="84" t="n">
        <f aca="false">IF(AND(ISNUMBER(O3318),ISNUMBER(P3318)),Coef_A+Coef_B1*O3318+Coef_B2*P3318,"")</f>
        <v>26.3961343016441</v>
      </c>
      <c r="U3318" s="84" t="n">
        <f aca="false">IF(AND(R3318=1,ISNUMBER(T3318)),E3318-T3318,"")</f>
        <v>-2.79613430164414</v>
      </c>
      <c r="V3318" s="84" t="n">
        <f aca="false">IF(ISNUMBER(T3318),T3318,-99)</f>
        <v>26.3961343016441</v>
      </c>
      <c r="W3318" s="84" t="n">
        <f aca="false">IF(ISNUMBER(U3318),ABS(U3318),"")</f>
        <v>2.79613430164414</v>
      </c>
    </row>
    <row r="3319" customFormat="false" ht="15" hidden="false" customHeight="false" outlineLevel="0" collapsed="false">
      <c r="A3319" s="57" t="n">
        <v>36751</v>
      </c>
      <c r="B3319" s="56" t="n">
        <v>2000</v>
      </c>
      <c r="C3319" s="56" t="n">
        <v>8</v>
      </c>
      <c r="D3319" s="56" t="n">
        <v>105</v>
      </c>
      <c r="E3319" s="56" t="n">
        <v>23.7</v>
      </c>
      <c r="F3319" s="56" t="n">
        <v>0</v>
      </c>
      <c r="G3319" s="56" t="n">
        <v>15.1</v>
      </c>
      <c r="H3319" s="56" t="n">
        <v>0</v>
      </c>
      <c r="I3319" s="56" t="n">
        <v>19.4</v>
      </c>
      <c r="J3319" s="56" t="n">
        <v>0</v>
      </c>
      <c r="K3319" s="56" t="n">
        <v>1015.3</v>
      </c>
      <c r="L3319" s="56" t="n">
        <v>0</v>
      </c>
      <c r="M3319" s="56" t="n">
        <v>78</v>
      </c>
      <c r="N3319" s="56" t="n">
        <v>0.9</v>
      </c>
      <c r="O3319" s="56" t="n">
        <f aca="false">IF(D3319=1,"",E3318)</f>
        <v>23.6</v>
      </c>
      <c r="P3319" s="56" t="n">
        <f aca="false">IF(OR(D3319=1,K3318=""),"",K3318)</f>
        <v>1013.9</v>
      </c>
      <c r="Q3319" s="56" t="n">
        <f aca="false">IF(OR(F3319&lt;&gt;0,AND(I3319&lt;&gt;"",E3319&lt;I3319)),1,0)</f>
        <v>0</v>
      </c>
      <c r="R3319" s="56" t="n">
        <f aca="false">IF(AND(D3319&gt;1,Q3319=0,ISNUMBER(O3319),ISNUMBER(P3319)),IF(Q3318=0,1,0),0)</f>
        <v>1</v>
      </c>
      <c r="S3319" s="56" t="n">
        <f aca="false">R3319*(B3319&gt;=Train_Start)*(B3319&lt;=Train_End)</f>
        <v>0</v>
      </c>
      <c r="T3319" s="84" t="n">
        <f aca="false">IF(AND(ISNUMBER(O3319),ISNUMBER(P3319)),Coef_A+Coef_B1*O3319+Coef_B2*P3319,"")</f>
        <v>23.2293165472043</v>
      </c>
      <c r="U3319" s="84" t="n">
        <f aca="false">IF(AND(R3319=1,ISNUMBER(T3319)),E3319-T3319,"")</f>
        <v>0.470683452795736</v>
      </c>
      <c r="V3319" s="84" t="n">
        <f aca="false">IF(ISNUMBER(T3319),T3319,-99)</f>
        <v>23.2293165472043</v>
      </c>
      <c r="W3319" s="84" t="n">
        <f aca="false">IF(ISNUMBER(U3319),ABS(U3319),"")</f>
        <v>0.470683452795736</v>
      </c>
    </row>
    <row r="3320" customFormat="false" ht="15" hidden="false" customHeight="false" outlineLevel="0" collapsed="false">
      <c r="A3320" s="57" t="n">
        <v>36752</v>
      </c>
      <c r="B3320" s="56" t="n">
        <v>2000</v>
      </c>
      <c r="C3320" s="56" t="n">
        <v>8</v>
      </c>
      <c r="D3320" s="56" t="n">
        <v>106</v>
      </c>
      <c r="E3320" s="56" t="n">
        <v>24.4</v>
      </c>
      <c r="F3320" s="56" t="n">
        <v>0</v>
      </c>
      <c r="G3320" s="56" t="n">
        <v>17.9</v>
      </c>
      <c r="H3320" s="56" t="n">
        <v>0</v>
      </c>
      <c r="I3320" s="56" t="n">
        <v>20.8</v>
      </c>
      <c r="J3320" s="56" t="n">
        <v>0</v>
      </c>
      <c r="K3320" s="56" t="n">
        <v>1015.5</v>
      </c>
      <c r="L3320" s="56" t="n">
        <v>0</v>
      </c>
      <c r="M3320" s="56" t="n">
        <v>80</v>
      </c>
      <c r="N3320" s="56" t="n">
        <v>1.4</v>
      </c>
      <c r="O3320" s="56" t="n">
        <f aca="false">IF(D3320=1,"",E3319)</f>
        <v>23.7</v>
      </c>
      <c r="P3320" s="56" t="n">
        <f aca="false">IF(OR(D3320=1,K3319=""),"",K3319)</f>
        <v>1015.3</v>
      </c>
      <c r="Q3320" s="56" t="n">
        <f aca="false">IF(OR(F3320&lt;&gt;0,AND(I3320&lt;&gt;"",E3320&lt;I3320)),1,0)</f>
        <v>0</v>
      </c>
      <c r="R3320" s="56" t="n">
        <f aca="false">IF(AND(D3320&gt;1,Q3320=0,ISNUMBER(O3320),ISNUMBER(P3320)),IF(Q3319=0,1,0),0)</f>
        <v>1</v>
      </c>
      <c r="S3320" s="56" t="n">
        <f aca="false">R3320*(B3320&gt;=Train_Start)*(B3320&lt;=Train_End)</f>
        <v>0</v>
      </c>
      <c r="T3320" s="84" t="n">
        <f aca="false">IF(AND(ISNUMBER(O3320),ISNUMBER(P3320)),Coef_A+Coef_B1*O3320+Coef_B2*P3320,"")</f>
        <v>23.3551683189961</v>
      </c>
      <c r="U3320" s="84" t="n">
        <f aca="false">IF(AND(R3320=1,ISNUMBER(T3320)),E3320-T3320,"")</f>
        <v>1.04483168100389</v>
      </c>
      <c r="V3320" s="84" t="n">
        <f aca="false">IF(ISNUMBER(T3320),T3320,-99)</f>
        <v>23.3551683189961</v>
      </c>
      <c r="W3320" s="84" t="n">
        <f aca="false">IF(ISNUMBER(U3320),ABS(U3320),"")</f>
        <v>1.04483168100389</v>
      </c>
    </row>
    <row r="3321" customFormat="false" ht="15" hidden="false" customHeight="false" outlineLevel="0" collapsed="false">
      <c r="A3321" s="57" t="n">
        <v>36753</v>
      </c>
      <c r="B3321" s="56" t="n">
        <v>2000</v>
      </c>
      <c r="C3321" s="56" t="n">
        <v>8</v>
      </c>
      <c r="D3321" s="56" t="n">
        <v>107</v>
      </c>
      <c r="E3321" s="56" t="n">
        <v>23.1</v>
      </c>
      <c r="F3321" s="56" t="n">
        <v>0</v>
      </c>
      <c r="G3321" s="56" t="n">
        <v>14.3</v>
      </c>
      <c r="H3321" s="56" t="n">
        <v>0</v>
      </c>
      <c r="I3321" s="56" t="n">
        <v>19.4</v>
      </c>
      <c r="J3321" s="56" t="n">
        <v>0</v>
      </c>
      <c r="K3321" s="56" t="n">
        <v>1018.6</v>
      </c>
      <c r="L3321" s="56" t="n">
        <v>0</v>
      </c>
      <c r="M3321" s="56" t="n">
        <v>66</v>
      </c>
      <c r="N3321" s="56" t="n">
        <v>8.2</v>
      </c>
      <c r="O3321" s="56" t="n">
        <f aca="false">IF(D3321=1,"",E3320)</f>
        <v>24.4</v>
      </c>
      <c r="P3321" s="56" t="n">
        <f aca="false">IF(OR(D3321=1,K3320=""),"",K3320)</f>
        <v>1015.5</v>
      </c>
      <c r="Q3321" s="56" t="n">
        <f aca="false">IF(OR(F3321&lt;&gt;0,AND(I3321&lt;&gt;"",E3321&lt;I3321)),1,0)</f>
        <v>0</v>
      </c>
      <c r="R3321" s="56" t="n">
        <f aca="false">IF(AND(D3321&gt;1,Q3321=0,ISNUMBER(O3321),ISNUMBER(P3321)),IF(Q3320=0,1,0),0)</f>
        <v>1</v>
      </c>
      <c r="S3321" s="56" t="n">
        <f aca="false">R3321*(B3321&gt;=Train_Start)*(B3321&lt;=Train_End)</f>
        <v>0</v>
      </c>
      <c r="T3321" s="84" t="n">
        <f aca="false">IF(AND(ISNUMBER(O3321),ISNUMBER(P3321)),Coef_A+Coef_B1*O3321+Coef_B2*P3321,"")</f>
        <v>23.9349797330528</v>
      </c>
      <c r="U3321" s="84" t="n">
        <f aca="false">IF(AND(R3321=1,ISNUMBER(T3321)),E3321-T3321,"")</f>
        <v>-0.834979733052769</v>
      </c>
      <c r="V3321" s="84" t="n">
        <f aca="false">IF(ISNUMBER(T3321),T3321,-99)</f>
        <v>23.9349797330528</v>
      </c>
      <c r="W3321" s="84" t="n">
        <f aca="false">IF(ISNUMBER(U3321),ABS(U3321),"")</f>
        <v>0.834979733052769</v>
      </c>
    </row>
    <row r="3322" customFormat="false" ht="15" hidden="false" customHeight="false" outlineLevel="0" collapsed="false">
      <c r="A3322" s="57" t="n">
        <v>36754</v>
      </c>
      <c r="B3322" s="56" t="n">
        <v>2000</v>
      </c>
      <c r="C3322" s="56" t="n">
        <v>8</v>
      </c>
      <c r="D3322" s="56" t="n">
        <v>108</v>
      </c>
      <c r="E3322" s="56" t="n">
        <v>23.1</v>
      </c>
      <c r="F3322" s="56" t="n">
        <v>0</v>
      </c>
      <c r="G3322" s="56" t="n">
        <v>14.7</v>
      </c>
      <c r="H3322" s="56" t="n">
        <v>0</v>
      </c>
      <c r="I3322" s="56" t="n">
        <v>18.9</v>
      </c>
      <c r="J3322" s="56" t="n">
        <v>0</v>
      </c>
      <c r="K3322" s="56" t="n">
        <v>1013.6</v>
      </c>
      <c r="L3322" s="56" t="n">
        <v>0</v>
      </c>
      <c r="M3322" s="56" t="n">
        <v>68</v>
      </c>
      <c r="N3322" s="56" t="n">
        <v>7.9</v>
      </c>
      <c r="O3322" s="56" t="n">
        <f aca="false">IF(D3322=1,"",E3321)</f>
        <v>23.1</v>
      </c>
      <c r="P3322" s="56" t="n">
        <f aca="false">IF(OR(D3322=1,K3321=""),"",K3321)</f>
        <v>1018.6</v>
      </c>
      <c r="Q3322" s="56" t="n">
        <f aca="false">IF(OR(F3322&lt;&gt;0,AND(I3322&lt;&gt;"",E3322&lt;I3322)),1,0)</f>
        <v>0</v>
      </c>
      <c r="R3322" s="56" t="n">
        <f aca="false">IF(AND(D3322&gt;1,Q3322=0,ISNUMBER(O3322),ISNUMBER(P3322)),IF(Q3321=0,1,0),0)</f>
        <v>1</v>
      </c>
      <c r="S3322" s="56" t="n">
        <f aca="false">R3322*(B3322&gt;=Train_Start)*(B3322&lt;=Train_End)</f>
        <v>0</v>
      </c>
      <c r="T3322" s="84" t="n">
        <f aca="false">IF(AND(ISNUMBER(O3322),ISNUMBER(P3322)),Coef_A+Coef_B1*O3322+Coef_B2*P3322,"")</f>
        <v>22.9670854554627</v>
      </c>
      <c r="U3322" s="84" t="n">
        <f aca="false">IF(AND(R3322=1,ISNUMBER(T3322)),E3322-T3322,"")</f>
        <v>0.132914544537314</v>
      </c>
      <c r="V3322" s="84" t="n">
        <f aca="false">IF(ISNUMBER(T3322),T3322,-99)</f>
        <v>22.9670854554627</v>
      </c>
      <c r="W3322" s="84" t="n">
        <f aca="false">IF(ISNUMBER(U3322),ABS(U3322),"")</f>
        <v>0.132914544537314</v>
      </c>
    </row>
    <row r="3323" customFormat="false" ht="15" hidden="false" customHeight="false" outlineLevel="0" collapsed="false">
      <c r="A3323" s="57" t="n">
        <v>36755</v>
      </c>
      <c r="B3323" s="56" t="n">
        <v>2000</v>
      </c>
      <c r="C3323" s="56" t="n">
        <v>8</v>
      </c>
      <c r="D3323" s="56" t="n">
        <v>109</v>
      </c>
      <c r="E3323" s="56" t="n">
        <v>19.9</v>
      </c>
      <c r="F3323" s="56" t="n">
        <v>0</v>
      </c>
      <c r="G3323" s="56" t="n">
        <v>14.7</v>
      </c>
      <c r="H3323" s="56" t="n">
        <v>0</v>
      </c>
      <c r="I3323" s="56" t="n">
        <v>18.9</v>
      </c>
      <c r="J3323" s="56" t="n">
        <v>0</v>
      </c>
      <c r="K3323" s="56" t="n">
        <v>1011.6</v>
      </c>
      <c r="L3323" s="56" t="n">
        <v>0</v>
      </c>
      <c r="M3323" s="56" t="n">
        <v>71</v>
      </c>
      <c r="N3323" s="56" t="n">
        <v>8.1</v>
      </c>
      <c r="O3323" s="56" t="n">
        <f aca="false">IF(D3323=1,"",E3322)</f>
        <v>23.1</v>
      </c>
      <c r="P3323" s="56" t="n">
        <f aca="false">IF(OR(D3323=1,K3322=""),"",K3322)</f>
        <v>1013.6</v>
      </c>
      <c r="Q3323" s="56" t="n">
        <f aca="false">IF(OR(F3323&lt;&gt;0,AND(I3323&lt;&gt;"",E3323&lt;I3323)),1,0)</f>
        <v>0</v>
      </c>
      <c r="R3323" s="56" t="n">
        <f aca="false">IF(AND(D3323&gt;1,Q3323=0,ISNUMBER(O3323),ISNUMBER(P3323)),IF(Q3322=0,1,0),0)</f>
        <v>1</v>
      </c>
      <c r="S3323" s="56" t="n">
        <f aca="false">R3323*(B3323&gt;=Train_Start)*(B3323&lt;=Train_End)</f>
        <v>0</v>
      </c>
      <c r="T3323" s="84" t="n">
        <f aca="false">IF(AND(ISNUMBER(O3323),ISNUMBER(P3323)),Coef_A+Coef_B1*O3323+Coef_B2*P3323,"")</f>
        <v>22.8102359822927</v>
      </c>
      <c r="U3323" s="84" t="n">
        <f aca="false">IF(AND(R3323=1,ISNUMBER(T3323)),E3323-T3323,"")</f>
        <v>-2.91023598229274</v>
      </c>
      <c r="V3323" s="84" t="n">
        <f aca="false">IF(ISNUMBER(T3323),T3323,-99)</f>
        <v>22.8102359822927</v>
      </c>
      <c r="W3323" s="84" t="n">
        <f aca="false">IF(ISNUMBER(U3323),ABS(U3323),"")</f>
        <v>2.91023598229274</v>
      </c>
    </row>
    <row r="3324" customFormat="false" ht="15" hidden="false" customHeight="false" outlineLevel="0" collapsed="false">
      <c r="A3324" s="57" t="n">
        <v>36756</v>
      </c>
      <c r="B3324" s="56" t="n">
        <v>2000</v>
      </c>
      <c r="C3324" s="56" t="n">
        <v>8</v>
      </c>
      <c r="D3324" s="56" t="n">
        <v>110</v>
      </c>
      <c r="E3324" s="56" t="n">
        <v>23.2</v>
      </c>
      <c r="F3324" s="56" t="n">
        <v>0</v>
      </c>
      <c r="G3324" s="56" t="n">
        <v>13.2</v>
      </c>
      <c r="H3324" s="56" t="n">
        <v>0</v>
      </c>
      <c r="I3324" s="56" t="n">
        <v>16.6</v>
      </c>
      <c r="J3324" s="56" t="n">
        <v>0</v>
      </c>
      <c r="K3324" s="56" t="n">
        <v>1011.5</v>
      </c>
      <c r="L3324" s="56" t="n">
        <v>0</v>
      </c>
      <c r="M3324" s="56" t="n">
        <v>80</v>
      </c>
      <c r="N3324" s="56" t="n">
        <v>0.1</v>
      </c>
      <c r="O3324" s="56" t="n">
        <f aca="false">IF(D3324=1,"",E3323)</f>
        <v>19.9</v>
      </c>
      <c r="P3324" s="56" t="n">
        <f aca="false">IF(OR(D3324=1,K3323=""),"",K3323)</f>
        <v>1011.6</v>
      </c>
      <c r="Q3324" s="56" t="n">
        <f aca="false">IF(OR(F3324&lt;&gt;0,AND(I3324&lt;&gt;"",E3324&lt;I3324)),1,0)</f>
        <v>0</v>
      </c>
      <c r="R3324" s="56" t="n">
        <f aca="false">IF(AND(D3324&gt;1,Q3324=0,ISNUMBER(O3324),ISNUMBER(P3324)),IF(Q3323=0,1,0),0)</f>
        <v>1</v>
      </c>
      <c r="S3324" s="56" t="n">
        <f aca="false">R3324*(B3324&gt;=Train_Start)*(B3324&lt;=Train_End)</f>
        <v>0</v>
      </c>
      <c r="T3324" s="84" t="n">
        <f aca="false">IF(AND(ISNUMBER(O3324),ISNUMBER(P3324)),Coef_A+Coef_B1*O3324+Coef_B2*P3324,"")</f>
        <v>20.1256107752883</v>
      </c>
      <c r="U3324" s="84" t="n">
        <f aca="false">IF(AND(R3324=1,ISNUMBER(T3324)),E3324-T3324,"")</f>
        <v>3.07438922471175</v>
      </c>
      <c r="V3324" s="84" t="n">
        <f aca="false">IF(ISNUMBER(T3324),T3324,-99)</f>
        <v>20.1256107752883</v>
      </c>
      <c r="W3324" s="84" t="n">
        <f aca="false">IF(ISNUMBER(U3324),ABS(U3324),"")</f>
        <v>3.07438922471175</v>
      </c>
    </row>
    <row r="3325" customFormat="false" ht="15" hidden="false" customHeight="false" outlineLevel="0" collapsed="false">
      <c r="A3325" s="57" t="n">
        <v>36757</v>
      </c>
      <c r="B3325" s="56" t="n">
        <v>2000</v>
      </c>
      <c r="C3325" s="56" t="n">
        <v>8</v>
      </c>
      <c r="D3325" s="56" t="n">
        <v>111</v>
      </c>
      <c r="E3325" s="56" t="n">
        <v>21.7</v>
      </c>
      <c r="F3325" s="56" t="n">
        <v>0</v>
      </c>
      <c r="G3325" s="56" t="n">
        <v>14.2</v>
      </c>
      <c r="H3325" s="56" t="n">
        <v>0</v>
      </c>
      <c r="I3325" s="56" t="n">
        <v>18.7</v>
      </c>
      <c r="J3325" s="56" t="n">
        <v>0</v>
      </c>
      <c r="K3325" s="56" t="n">
        <v>1010.3</v>
      </c>
      <c r="L3325" s="56" t="n">
        <v>0</v>
      </c>
      <c r="M3325" s="56" t="n">
        <v>65</v>
      </c>
      <c r="N3325" s="56" t="n">
        <v>10.7</v>
      </c>
      <c r="O3325" s="56" t="n">
        <f aca="false">IF(D3325=1,"",E3324)</f>
        <v>23.2</v>
      </c>
      <c r="P3325" s="56" t="n">
        <f aca="false">IF(OR(D3325=1,K3324=""),"",K3324)</f>
        <v>1011.5</v>
      </c>
      <c r="Q3325" s="56" t="n">
        <f aca="false">IF(OR(F3325&lt;&gt;0,AND(I3325&lt;&gt;"",E3325&lt;I3325)),1,0)</f>
        <v>0</v>
      </c>
      <c r="R3325" s="56" t="n">
        <f aca="false">IF(AND(D3325&gt;1,Q3325=0,ISNUMBER(O3325),ISNUMBER(P3325)),IF(Q3324=0,1,0),0)</f>
        <v>1</v>
      </c>
      <c r="S3325" s="56" t="n">
        <f aca="false">R3325*(B3325&gt;=Train_Start)*(B3325&lt;=Train_End)</f>
        <v>0</v>
      </c>
      <c r="T3325" s="84" t="n">
        <f aca="false">IF(AND(ISNUMBER(O3325),ISNUMBER(P3325)),Coef_A+Coef_B1*O3325+Coef_B2*P3325,"")</f>
        <v>22.8262931228656</v>
      </c>
      <c r="U3325" s="84" t="n">
        <f aca="false">IF(AND(R3325=1,ISNUMBER(T3325)),E3325-T3325,"")</f>
        <v>-1.12629312286562</v>
      </c>
      <c r="V3325" s="84" t="n">
        <f aca="false">IF(ISNUMBER(T3325),T3325,-99)</f>
        <v>22.8262931228656</v>
      </c>
      <c r="W3325" s="84" t="n">
        <f aca="false">IF(ISNUMBER(U3325),ABS(U3325),"")</f>
        <v>1.12629312286562</v>
      </c>
    </row>
    <row r="3326" customFormat="false" ht="15" hidden="false" customHeight="false" outlineLevel="0" collapsed="false">
      <c r="A3326" s="57" t="n">
        <v>36758</v>
      </c>
      <c r="B3326" s="56" t="n">
        <v>2000</v>
      </c>
      <c r="C3326" s="56" t="n">
        <v>8</v>
      </c>
      <c r="D3326" s="56" t="n">
        <v>112</v>
      </c>
      <c r="E3326" s="56" t="n">
        <v>22.2</v>
      </c>
      <c r="F3326" s="56" t="n">
        <v>0</v>
      </c>
      <c r="G3326" s="56" t="n">
        <v>12.4</v>
      </c>
      <c r="H3326" s="56" t="n">
        <v>0</v>
      </c>
      <c r="I3326" s="56" t="n">
        <v>17</v>
      </c>
      <c r="J3326" s="56" t="n">
        <v>0</v>
      </c>
      <c r="K3326" s="56" t="n">
        <v>1013</v>
      </c>
      <c r="L3326" s="56" t="n">
        <v>0</v>
      </c>
      <c r="M3326" s="56" t="n">
        <v>60</v>
      </c>
      <c r="N3326" s="56" t="n">
        <v>6.4</v>
      </c>
      <c r="O3326" s="56" t="n">
        <f aca="false">IF(D3326=1,"",E3325)</f>
        <v>21.7</v>
      </c>
      <c r="P3326" s="56" t="n">
        <f aca="false">IF(OR(D3326=1,K3325=""),"",K3325)</f>
        <v>1010.3</v>
      </c>
      <c r="Q3326" s="56" t="n">
        <f aca="false">IF(OR(F3326&lt;&gt;0,AND(I3326&lt;&gt;"",E3326&lt;I3326)),1,0)</f>
        <v>0</v>
      </c>
      <c r="R3326" s="56" t="n">
        <f aca="false">IF(AND(D3326&gt;1,Q3326=0,ISNUMBER(O3326),ISNUMBER(P3326)),IF(Q3325=0,1,0),0)</f>
        <v>1</v>
      </c>
      <c r="S3326" s="56" t="n">
        <f aca="false">R3326*(B3326&gt;=Train_Start)*(B3326&lt;=Train_End)</f>
        <v>0</v>
      </c>
      <c r="T3326" s="84" t="n">
        <f aca="false">IF(AND(ISNUMBER(O3326),ISNUMBER(P3326)),Coef_A+Coef_B1*O3326+Coef_B2*P3326,"")</f>
        <v>21.5596404597408</v>
      </c>
      <c r="U3326" s="84" t="n">
        <f aca="false">IF(AND(R3326=1,ISNUMBER(T3326)),E3326-T3326,"")</f>
        <v>0.640359540259151</v>
      </c>
      <c r="V3326" s="84" t="n">
        <f aca="false">IF(ISNUMBER(T3326),T3326,-99)</f>
        <v>21.5596404597408</v>
      </c>
      <c r="W3326" s="84" t="n">
        <f aca="false">IF(ISNUMBER(U3326),ABS(U3326),"")</f>
        <v>0.640359540259151</v>
      </c>
    </row>
    <row r="3327" customFormat="false" ht="15" hidden="false" customHeight="false" outlineLevel="0" collapsed="false">
      <c r="A3327" s="57" t="n">
        <v>36759</v>
      </c>
      <c r="B3327" s="56" t="n">
        <v>2000</v>
      </c>
      <c r="C3327" s="56" t="n">
        <v>8</v>
      </c>
      <c r="D3327" s="56" t="n">
        <v>113</v>
      </c>
      <c r="E3327" s="56" t="n">
        <v>22.7</v>
      </c>
      <c r="F3327" s="56" t="n">
        <v>0</v>
      </c>
      <c r="G3327" s="56" t="n">
        <v>10.3</v>
      </c>
      <c r="H3327" s="56" t="n">
        <v>0</v>
      </c>
      <c r="I3327" s="56" t="n">
        <v>16.2</v>
      </c>
      <c r="J3327" s="56" t="n">
        <v>0</v>
      </c>
      <c r="K3327" s="56" t="n">
        <v>1014.4</v>
      </c>
      <c r="L3327" s="56" t="n">
        <v>0</v>
      </c>
      <c r="M3327" s="56" t="n">
        <v>63</v>
      </c>
      <c r="N3327" s="56" t="n">
        <v>11.6</v>
      </c>
      <c r="O3327" s="56" t="n">
        <f aca="false">IF(D3327=1,"",E3326)</f>
        <v>22.2</v>
      </c>
      <c r="P3327" s="56" t="n">
        <f aca="false">IF(OR(D3327=1,K3326=""),"",K3326)</f>
        <v>1013</v>
      </c>
      <c r="Q3327" s="56" t="n">
        <f aca="false">IF(OR(F3327&lt;&gt;0,AND(I3327&lt;&gt;"",E3327&lt;I3327)),1,0)</f>
        <v>0</v>
      </c>
      <c r="R3327" s="56" t="n">
        <f aca="false">IF(AND(D3327&gt;1,Q3327=0,ISNUMBER(O3327),ISNUMBER(P3327)),IF(Q3326=0,1,0),0)</f>
        <v>1</v>
      </c>
      <c r="S3327" s="56" t="n">
        <f aca="false">R3327*(B3327&gt;=Train_Start)*(B3327&lt;=Train_End)</f>
        <v>0</v>
      </c>
      <c r="T3327" s="84" t="n">
        <f aca="false">IF(AND(ISNUMBER(O3327),ISNUMBER(P3327)),Coef_A+Coef_B1*O3327+Coef_B2*P3327,"")</f>
        <v>22.054008771774</v>
      </c>
      <c r="U3327" s="84" t="n">
        <f aca="false">IF(AND(R3327=1,ISNUMBER(T3327)),E3327-T3327,"")</f>
        <v>0.645991228226048</v>
      </c>
      <c r="V3327" s="84" t="n">
        <f aca="false">IF(ISNUMBER(T3327),T3327,-99)</f>
        <v>22.054008771774</v>
      </c>
      <c r="W3327" s="84" t="n">
        <f aca="false">IF(ISNUMBER(U3327),ABS(U3327),"")</f>
        <v>0.645991228226048</v>
      </c>
    </row>
    <row r="3328" customFormat="false" ht="15" hidden="false" customHeight="false" outlineLevel="0" collapsed="false">
      <c r="A3328" s="57" t="n">
        <v>36760</v>
      </c>
      <c r="B3328" s="56" t="n">
        <v>2000</v>
      </c>
      <c r="C3328" s="56" t="n">
        <v>8</v>
      </c>
      <c r="D3328" s="56" t="n">
        <v>114</v>
      </c>
      <c r="E3328" s="56" t="n">
        <v>23.9</v>
      </c>
      <c r="F3328" s="56" t="n">
        <v>0</v>
      </c>
      <c r="G3328" s="56" t="n">
        <v>10.6</v>
      </c>
      <c r="H3328" s="56" t="n">
        <v>0</v>
      </c>
      <c r="I3328" s="56" t="n">
        <v>16.6</v>
      </c>
      <c r="J3328" s="56" t="n">
        <v>0</v>
      </c>
      <c r="K3328" s="56" t="n">
        <v>1019.3</v>
      </c>
      <c r="L3328" s="56" t="n">
        <v>0</v>
      </c>
      <c r="M3328" s="56" t="n">
        <v>65</v>
      </c>
      <c r="N3328" s="56" t="n">
        <v>8</v>
      </c>
      <c r="O3328" s="56" t="n">
        <f aca="false">IF(D3328=1,"",E3327)</f>
        <v>22.7</v>
      </c>
      <c r="P3328" s="56" t="n">
        <f aca="false">IF(OR(D3328=1,K3327=""),"",K3327)</f>
        <v>1014.4</v>
      </c>
      <c r="Q3328" s="56" t="n">
        <f aca="false">IF(OR(F3328&lt;&gt;0,AND(I3328&lt;&gt;"",E3328&lt;I3328)),1,0)</f>
        <v>0</v>
      </c>
      <c r="R3328" s="56" t="n">
        <f aca="false">IF(AND(D3328&gt;1,Q3328=0,ISNUMBER(O3328),ISNUMBER(P3328)),IF(Q3327=0,1,0),0)</f>
        <v>1</v>
      </c>
      <c r="S3328" s="56" t="n">
        <f aca="false">R3328*(B3328&gt;=Train_Start)*(B3328&lt;=Train_End)</f>
        <v>0</v>
      </c>
      <c r="T3328" s="84" t="n">
        <f aca="false">IF(AND(ISNUMBER(O3328),ISNUMBER(P3328)),Coef_A+Coef_B1*O3328+Coef_B2*P3328,"")</f>
        <v>22.5075962207829</v>
      </c>
      <c r="U3328" s="84" t="n">
        <f aca="false">IF(AND(R3328=1,ISNUMBER(T3328)),E3328-T3328,"")</f>
        <v>1.39240377921714</v>
      </c>
      <c r="V3328" s="84" t="n">
        <f aca="false">IF(ISNUMBER(T3328),T3328,-99)</f>
        <v>22.5075962207829</v>
      </c>
      <c r="W3328" s="84" t="n">
        <f aca="false">IF(ISNUMBER(U3328),ABS(U3328),"")</f>
        <v>1.39240377921714</v>
      </c>
    </row>
    <row r="3329" customFormat="false" ht="15" hidden="false" customHeight="false" outlineLevel="0" collapsed="false">
      <c r="A3329" s="57" t="n">
        <v>36761</v>
      </c>
      <c r="B3329" s="56" t="n">
        <v>2000</v>
      </c>
      <c r="C3329" s="56" t="n">
        <v>8</v>
      </c>
      <c r="D3329" s="56" t="n">
        <v>115</v>
      </c>
      <c r="E3329" s="56" t="n">
        <v>27</v>
      </c>
      <c r="F3329" s="56" t="n">
        <v>0</v>
      </c>
      <c r="G3329" s="56" t="n">
        <v>13.3</v>
      </c>
      <c r="H3329" s="56" t="n">
        <v>0</v>
      </c>
      <c r="I3329" s="56" t="n">
        <v>18.6</v>
      </c>
      <c r="J3329" s="56" t="n">
        <v>0</v>
      </c>
      <c r="K3329" s="56" t="n">
        <v>1023.2</v>
      </c>
      <c r="L3329" s="56" t="n">
        <v>0</v>
      </c>
      <c r="M3329" s="56" t="n">
        <v>62</v>
      </c>
      <c r="N3329" s="56" t="n">
        <v>13.1</v>
      </c>
      <c r="O3329" s="56" t="n">
        <f aca="false">IF(D3329=1,"",E3328)</f>
        <v>23.9</v>
      </c>
      <c r="P3329" s="56" t="n">
        <f aca="false">IF(OR(D3329=1,K3328=""),"",K3328)</f>
        <v>1019.3</v>
      </c>
      <c r="Q3329" s="56" t="n">
        <f aca="false">IF(OR(F3329&lt;&gt;0,AND(I3329&lt;&gt;"",E3329&lt;I3329)),1,0)</f>
        <v>0</v>
      </c>
      <c r="R3329" s="56" t="n">
        <f aca="false">IF(AND(D3329&gt;1,Q3329=0,ISNUMBER(O3329),ISNUMBER(P3329)),IF(Q3328=0,1,0),0)</f>
        <v>1</v>
      </c>
      <c r="S3329" s="56" t="n">
        <f aca="false">R3329*(B3329&gt;=Train_Start)*(B3329&lt;=Train_End)</f>
        <v>0</v>
      </c>
      <c r="T3329" s="84" t="n">
        <f aca="false">IF(AND(ISNUMBER(O3329),ISNUMBER(P3329)),Coef_A+Coef_B1*O3329+Coef_B2*P3329,"")</f>
        <v>23.6445157361406</v>
      </c>
      <c r="U3329" s="84" t="n">
        <f aca="false">IF(AND(R3329=1,ISNUMBER(T3329)),E3329-T3329,"")</f>
        <v>3.3554842638594</v>
      </c>
      <c r="V3329" s="84" t="n">
        <f aca="false">IF(ISNUMBER(T3329),T3329,-99)</f>
        <v>23.6445157361406</v>
      </c>
      <c r="W3329" s="84" t="n">
        <f aca="false">IF(ISNUMBER(U3329),ABS(U3329),"")</f>
        <v>3.3554842638594</v>
      </c>
    </row>
    <row r="3330" customFormat="false" ht="15" hidden="false" customHeight="false" outlineLevel="0" collapsed="false">
      <c r="A3330" s="57" t="n">
        <v>36762</v>
      </c>
      <c r="B3330" s="56" t="n">
        <v>2000</v>
      </c>
      <c r="C3330" s="56" t="n">
        <v>8</v>
      </c>
      <c r="D3330" s="56" t="n">
        <v>116</v>
      </c>
      <c r="E3330" s="56" t="n">
        <v>26.2</v>
      </c>
      <c r="F3330" s="56" t="n">
        <v>0</v>
      </c>
      <c r="G3330" s="56" t="n">
        <v>12.8</v>
      </c>
      <c r="H3330" s="56" t="n">
        <v>0</v>
      </c>
      <c r="I3330" s="56" t="n">
        <v>19.9</v>
      </c>
      <c r="J3330" s="56" t="n">
        <v>0</v>
      </c>
      <c r="K3330" s="56" t="n">
        <v>1023.4</v>
      </c>
      <c r="L3330" s="56" t="n">
        <v>0</v>
      </c>
      <c r="M3330" s="56" t="n">
        <v>61</v>
      </c>
      <c r="N3330" s="56" t="n">
        <v>12.4</v>
      </c>
      <c r="O3330" s="56" t="n">
        <f aca="false">IF(D3330=1,"",E3329)</f>
        <v>27</v>
      </c>
      <c r="P3330" s="56" t="n">
        <f aca="false">IF(OR(D3330=1,K3329=""),"",K3329)</f>
        <v>1023.2</v>
      </c>
      <c r="Q3330" s="56" t="n">
        <f aca="false">IF(OR(F3330&lt;&gt;0,AND(I3330&lt;&gt;"",E3330&lt;I3330)),1,0)</f>
        <v>0</v>
      </c>
      <c r="R3330" s="56" t="n">
        <f aca="false">IF(AND(D3330&gt;1,Q3330=0,ISNUMBER(O3330),ISNUMBER(P3330)),IF(Q3329=0,1,0),0)</f>
        <v>1</v>
      </c>
      <c r="S3330" s="56" t="n">
        <f aca="false">R3330*(B3330&gt;=Train_Start)*(B3330&lt;=Train_End)</f>
        <v>0</v>
      </c>
      <c r="T3330" s="84" t="n">
        <f aca="false">IF(AND(ISNUMBER(O3330),ISNUMBER(P3330)),Coef_A+Coef_B1*O3330+Coef_B2*P3330,"")</f>
        <v>26.3068098236454</v>
      </c>
      <c r="U3330" s="84" t="n">
        <f aca="false">IF(AND(R3330=1,ISNUMBER(T3330)),E3330-T3330,"")</f>
        <v>-0.106809823645399</v>
      </c>
      <c r="V3330" s="84" t="n">
        <f aca="false">IF(ISNUMBER(T3330),T3330,-99)</f>
        <v>26.3068098236454</v>
      </c>
      <c r="W3330" s="84" t="n">
        <f aca="false">IF(ISNUMBER(U3330),ABS(U3330),"")</f>
        <v>0.106809823645399</v>
      </c>
    </row>
    <row r="3331" customFormat="false" ht="15" hidden="false" customHeight="false" outlineLevel="0" collapsed="false">
      <c r="A3331" s="57" t="n">
        <v>36763</v>
      </c>
      <c r="B3331" s="56" t="n">
        <v>2000</v>
      </c>
      <c r="C3331" s="56" t="n">
        <v>8</v>
      </c>
      <c r="D3331" s="56" t="n">
        <v>117</v>
      </c>
      <c r="E3331" s="56" t="n">
        <v>19.7</v>
      </c>
      <c r="F3331" s="56" t="n">
        <v>1</v>
      </c>
      <c r="G3331" s="56" t="n">
        <v>14.7</v>
      </c>
      <c r="H3331" s="56" t="n">
        <v>0</v>
      </c>
      <c r="I3331" s="56" t="n">
        <v>20.4</v>
      </c>
      <c r="J3331" s="56" t="n">
        <v>1</v>
      </c>
      <c r="K3331" s="56" t="n">
        <v>1018.7</v>
      </c>
      <c r="L3331" s="56" t="n">
        <v>0</v>
      </c>
      <c r="M3331" s="56" t="n">
        <v>60</v>
      </c>
      <c r="N3331" s="56" t="n">
        <v>10.9</v>
      </c>
      <c r="O3331" s="56" t="n">
        <f aca="false">IF(D3331=1,"",E3330)</f>
        <v>26.2</v>
      </c>
      <c r="P3331" s="56" t="n">
        <f aca="false">IF(OR(D3331=1,K3330=""),"",K3330)</f>
        <v>1023.4</v>
      </c>
      <c r="Q3331" s="56" t="n">
        <f aca="false">IF(OR(F3331&lt;&gt;0,AND(I3331&lt;&gt;"",E3331&lt;I3331)),1,0)</f>
        <v>1</v>
      </c>
      <c r="R3331" s="56" t="n">
        <f aca="false">IF(AND(D3331&gt;1,Q3331=0,ISNUMBER(O3331),ISNUMBER(P3331)),IF(Q3330=0,1,0),0)</f>
        <v>0</v>
      </c>
      <c r="S3331" s="56" t="n">
        <f aca="false">R3331*(B3331&gt;=Train_Start)*(B3331&lt;=Train_End)</f>
        <v>0</v>
      </c>
      <c r="T3331" s="84" t="n">
        <f aca="false">IF(AND(ISNUMBER(O3331),ISNUMBER(P3331)),Coef_A+Coef_B1*O3331+Coef_B2*P3331,"")</f>
        <v>25.6576124481381</v>
      </c>
      <c r="U3331" s="84" t="str">
        <f aca="false">IF(AND(R3331=1,ISNUMBER(T3331)),E3331-T3331,"")</f>
        <v/>
      </c>
      <c r="V3331" s="84" t="n">
        <f aca="false">IF(ISNUMBER(T3331),T3331,-99)</f>
        <v>25.6576124481381</v>
      </c>
      <c r="W3331" s="84" t="str">
        <f aca="false">IF(ISNUMBER(U3331),ABS(U3331),"")</f>
        <v/>
      </c>
    </row>
    <row r="3332" customFormat="false" ht="15" hidden="false" customHeight="false" outlineLevel="0" collapsed="false">
      <c r="A3332" s="57" t="n">
        <v>36764</v>
      </c>
      <c r="B3332" s="56" t="n">
        <v>2000</v>
      </c>
      <c r="C3332" s="56" t="n">
        <v>8</v>
      </c>
      <c r="D3332" s="56" t="n">
        <v>118</v>
      </c>
      <c r="E3332" s="56" t="n">
        <v>21.8</v>
      </c>
      <c r="F3332" s="56" t="n">
        <v>0</v>
      </c>
      <c r="G3332" s="56" t="n">
        <v>18.3</v>
      </c>
      <c r="H3332" s="56" t="n">
        <v>0</v>
      </c>
      <c r="I3332" s="56" t="n">
        <v>19</v>
      </c>
      <c r="J3332" s="56" t="n">
        <v>0</v>
      </c>
      <c r="K3332" s="56" t="n">
        <v>1009.9</v>
      </c>
      <c r="L3332" s="56" t="n">
        <v>0</v>
      </c>
      <c r="M3332" s="56" t="n">
        <v>84</v>
      </c>
      <c r="N3332" s="56" t="n">
        <v>0</v>
      </c>
      <c r="O3332" s="56" t="n">
        <f aca="false">IF(D3332=1,"",E3331)</f>
        <v>19.7</v>
      </c>
      <c r="P3332" s="56" t="n">
        <f aca="false">IF(OR(D3332=1,K3331=""),"",K3331)</f>
        <v>1018.7</v>
      </c>
      <c r="Q3332" s="56" t="n">
        <f aca="false">IF(OR(F3332&lt;&gt;0,AND(I3332&lt;&gt;"",E3332&lt;I3332)),1,0)</f>
        <v>0</v>
      </c>
      <c r="R3332" s="56" t="n">
        <f aca="false">IF(AND(D3332&gt;1,Q3332=0,ISNUMBER(O3332),ISNUMBER(P3332)),IF(Q3331=0,1,0),0)</f>
        <v>0</v>
      </c>
      <c r="S3332" s="56" t="n">
        <f aca="false">R3332*(B3332&gt;=Train_Start)*(B3332&lt;=Train_End)</f>
        <v>0</v>
      </c>
      <c r="T3332" s="84" t="n">
        <f aca="false">IF(AND(ISNUMBER(O3332),ISNUMBER(P3332)),Coef_A+Coef_B1*O3332+Coef_B2*P3332,"")</f>
        <v>20.184469188581</v>
      </c>
      <c r="U3332" s="84" t="str">
        <f aca="false">IF(AND(R3332=1,ISNUMBER(T3332)),E3332-T3332,"")</f>
        <v/>
      </c>
      <c r="V3332" s="84" t="n">
        <f aca="false">IF(ISNUMBER(T3332),T3332,-99)</f>
        <v>20.184469188581</v>
      </c>
      <c r="W3332" s="84" t="str">
        <f aca="false">IF(ISNUMBER(U3332),ABS(U3332),"")</f>
        <v/>
      </c>
    </row>
    <row r="3333" customFormat="false" ht="15" hidden="false" customHeight="false" outlineLevel="0" collapsed="false">
      <c r="A3333" s="57" t="n">
        <v>36765</v>
      </c>
      <c r="B3333" s="56" t="n">
        <v>2000</v>
      </c>
      <c r="C3333" s="56" t="n">
        <v>8</v>
      </c>
      <c r="D3333" s="56" t="n">
        <v>119</v>
      </c>
      <c r="E3333" s="56" t="n">
        <v>20.1</v>
      </c>
      <c r="F3333" s="56" t="n">
        <v>0</v>
      </c>
      <c r="G3333" s="56" t="n">
        <v>13.2</v>
      </c>
      <c r="H3333" s="56" t="n">
        <v>0</v>
      </c>
      <c r="I3333" s="56" t="n">
        <v>17.5</v>
      </c>
      <c r="J3333" s="56" t="n">
        <v>0</v>
      </c>
      <c r="K3333" s="56" t="n">
        <v>1014.6</v>
      </c>
      <c r="L3333" s="56" t="n">
        <v>0</v>
      </c>
      <c r="M3333" s="56" t="n">
        <v>80</v>
      </c>
      <c r="N3333" s="56" t="n">
        <v>4.5</v>
      </c>
      <c r="O3333" s="56" t="n">
        <f aca="false">IF(D3333=1,"",E3332)</f>
        <v>21.8</v>
      </c>
      <c r="P3333" s="56" t="n">
        <f aca="false">IF(OR(D3333=1,K3332=""),"",K3332)</f>
        <v>1009.9</v>
      </c>
      <c r="Q3333" s="56" t="n">
        <f aca="false">IF(OR(F3333&lt;&gt;0,AND(I3333&lt;&gt;"",E3333&lt;I3333)),1,0)</f>
        <v>0</v>
      </c>
      <c r="R3333" s="56" t="n">
        <f aca="false">IF(AND(D3333&gt;1,Q3333=0,ISNUMBER(O3333),ISNUMBER(P3333)),IF(Q3332=0,1,0),0)</f>
        <v>1</v>
      </c>
      <c r="S3333" s="56" t="n">
        <f aca="false">R3333*(B3333&gt;=Train_Start)*(B3333&lt;=Train_End)</f>
        <v>0</v>
      </c>
      <c r="T3333" s="84" t="n">
        <f aca="false">IF(AND(ISNUMBER(O3333),ISNUMBER(P3333)),Coef_A+Coef_B1*O3333+Coef_B2*P3333,"")</f>
        <v>21.6290264211915</v>
      </c>
      <c r="U3333" s="84" t="n">
        <f aca="false">IF(AND(R3333=1,ISNUMBER(T3333)),E3333-T3333,"")</f>
        <v>-1.52902642119152</v>
      </c>
      <c r="V3333" s="84" t="n">
        <f aca="false">IF(ISNUMBER(T3333),T3333,-99)</f>
        <v>21.6290264211915</v>
      </c>
      <c r="W3333" s="84" t="n">
        <f aca="false">IF(ISNUMBER(U3333),ABS(U3333),"")</f>
        <v>1.52902642119152</v>
      </c>
    </row>
    <row r="3334" customFormat="false" ht="15" hidden="false" customHeight="false" outlineLevel="0" collapsed="false">
      <c r="A3334" s="57" t="n">
        <v>36766</v>
      </c>
      <c r="B3334" s="56" t="n">
        <v>2000</v>
      </c>
      <c r="C3334" s="56" t="n">
        <v>8</v>
      </c>
      <c r="D3334" s="56" t="n">
        <v>120</v>
      </c>
      <c r="E3334" s="56" t="n">
        <v>21.8</v>
      </c>
      <c r="F3334" s="56" t="n">
        <v>0</v>
      </c>
      <c r="G3334" s="56" t="n">
        <v>11.6</v>
      </c>
      <c r="H3334" s="56" t="n">
        <v>0</v>
      </c>
      <c r="I3334" s="56" t="n">
        <v>15.8</v>
      </c>
      <c r="J3334" s="56" t="n">
        <v>0</v>
      </c>
      <c r="K3334" s="56" t="n">
        <v>1017.7</v>
      </c>
      <c r="L3334" s="56" t="n">
        <v>0</v>
      </c>
      <c r="M3334" s="56" t="n">
        <v>73</v>
      </c>
      <c r="N3334" s="56" t="n">
        <v>7.7</v>
      </c>
      <c r="O3334" s="56" t="n">
        <f aca="false">IF(D3334=1,"",E3333)</f>
        <v>20.1</v>
      </c>
      <c r="P3334" s="56" t="n">
        <f aca="false">IF(OR(D3334=1,K3333=""),"",K3333)</f>
        <v>1014.6</v>
      </c>
      <c r="Q3334" s="56" t="n">
        <f aca="false">IF(OR(F3334&lt;&gt;0,AND(I3334&lt;&gt;"",E3334&lt;I3334)),1,0)</f>
        <v>0</v>
      </c>
      <c r="R3334" s="56" t="n">
        <f aca="false">IF(AND(D3334&gt;1,Q3334=0,ISNUMBER(O3334),ISNUMBER(P3334)),IF(Q3333=0,1,0),0)</f>
        <v>1</v>
      </c>
      <c r="S3334" s="56" t="n">
        <f aca="false">R3334*(B3334&gt;=Train_Start)*(B3334&lt;=Train_End)</f>
        <v>0</v>
      </c>
      <c r="T3334" s="84" t="n">
        <f aca="false">IF(AND(ISNUMBER(O3334),ISNUMBER(P3334)),Coef_A+Coef_B1*O3334+Coef_B2*P3334,"")</f>
        <v>20.3835882977988</v>
      </c>
      <c r="U3334" s="84" t="n">
        <f aca="false">IF(AND(R3334=1,ISNUMBER(T3334)),E3334-T3334,"")</f>
        <v>1.41641170220124</v>
      </c>
      <c r="V3334" s="84" t="n">
        <f aca="false">IF(ISNUMBER(T3334),T3334,-99)</f>
        <v>20.3835882977988</v>
      </c>
      <c r="W3334" s="84" t="n">
        <f aca="false">IF(ISNUMBER(U3334),ABS(U3334),"")</f>
        <v>1.41641170220124</v>
      </c>
    </row>
    <row r="3335" customFormat="false" ht="15" hidden="false" customHeight="false" outlineLevel="0" collapsed="false">
      <c r="A3335" s="57" t="n">
        <v>36767</v>
      </c>
      <c r="B3335" s="56" t="n">
        <v>2000</v>
      </c>
      <c r="C3335" s="56" t="n">
        <v>8</v>
      </c>
      <c r="D3335" s="56" t="n">
        <v>121</v>
      </c>
      <c r="E3335" s="56" t="n">
        <v>22.2</v>
      </c>
      <c r="F3335" s="56" t="n">
        <v>0</v>
      </c>
      <c r="G3335" s="56" t="n">
        <v>10.3</v>
      </c>
      <c r="H3335" s="56" t="n">
        <v>0</v>
      </c>
      <c r="I3335" s="56" t="n">
        <v>16</v>
      </c>
      <c r="J3335" s="56" t="n">
        <v>0</v>
      </c>
      <c r="K3335" s="56" t="n">
        <v>1019.7</v>
      </c>
      <c r="L3335" s="56" t="n">
        <v>0</v>
      </c>
      <c r="M3335" s="56" t="n">
        <v>67</v>
      </c>
      <c r="N3335" s="56" t="n">
        <v>8.4</v>
      </c>
      <c r="O3335" s="56" t="n">
        <f aca="false">IF(D3335=1,"",E3334)</f>
        <v>21.8</v>
      </c>
      <c r="P3335" s="56" t="n">
        <f aca="false">IF(OR(D3335=1,K3334=""),"",K3334)</f>
        <v>1017.7</v>
      </c>
      <c r="Q3335" s="56" t="n">
        <f aca="false">IF(OR(F3335&lt;&gt;0,AND(I3335&lt;&gt;"",E3335&lt;I3335)),1,0)</f>
        <v>0</v>
      </c>
      <c r="R3335" s="56" t="n">
        <f aca="false">IF(AND(D3335&gt;1,Q3335=0,ISNUMBER(O3335),ISNUMBER(P3335)),IF(Q3334=0,1,0),0)</f>
        <v>1</v>
      </c>
      <c r="S3335" s="56" t="n">
        <f aca="false">R3335*(B3335&gt;=Train_Start)*(B3335&lt;=Train_End)</f>
        <v>0</v>
      </c>
      <c r="T3335" s="84" t="n">
        <f aca="false">IF(AND(ISNUMBER(O3335),ISNUMBER(P3335)),Coef_A+Coef_B1*O3335+Coef_B2*P3335,"")</f>
        <v>21.8737115993366</v>
      </c>
      <c r="U3335" s="84" t="n">
        <f aca="false">IF(AND(R3335=1,ISNUMBER(T3335)),E3335-T3335,"")</f>
        <v>0.326288400663358</v>
      </c>
      <c r="V3335" s="84" t="n">
        <f aca="false">IF(ISNUMBER(T3335),T3335,-99)</f>
        <v>21.8737115993366</v>
      </c>
      <c r="W3335" s="84" t="n">
        <f aca="false">IF(ISNUMBER(U3335),ABS(U3335),"")</f>
        <v>0.326288400663358</v>
      </c>
    </row>
    <row r="3336" customFormat="false" ht="15" hidden="false" customHeight="false" outlineLevel="0" collapsed="false">
      <c r="A3336" s="57" t="n">
        <v>36768</v>
      </c>
      <c r="B3336" s="56" t="n">
        <v>2000</v>
      </c>
      <c r="C3336" s="56" t="n">
        <v>8</v>
      </c>
      <c r="D3336" s="56" t="n">
        <v>122</v>
      </c>
      <c r="E3336" s="56" t="n">
        <v>22.6</v>
      </c>
      <c r="F3336" s="56" t="n">
        <v>0</v>
      </c>
      <c r="G3336" s="56" t="n">
        <v>13</v>
      </c>
      <c r="H3336" s="56" t="n">
        <v>0</v>
      </c>
      <c r="I3336" s="56" t="n">
        <v>17.6</v>
      </c>
      <c r="J3336" s="56" t="n">
        <v>0</v>
      </c>
      <c r="K3336" s="56" t="n">
        <v>1019</v>
      </c>
      <c r="L3336" s="56" t="n">
        <v>0</v>
      </c>
      <c r="M3336" s="56" t="n">
        <v>64</v>
      </c>
      <c r="N3336" s="56" t="n">
        <v>9.5</v>
      </c>
      <c r="O3336" s="56" t="n">
        <f aca="false">IF(D3336=1,"",E3335)</f>
        <v>22.2</v>
      </c>
      <c r="P3336" s="56" t="n">
        <f aca="false">IF(OR(D3336=1,K3335=""),"",K3335)</f>
        <v>1019.7</v>
      </c>
      <c r="Q3336" s="56" t="n">
        <f aca="false">IF(OR(F3336&lt;&gt;0,AND(I3336&lt;&gt;"",E3336&lt;I3336)),1,0)</f>
        <v>0</v>
      </c>
      <c r="R3336" s="56" t="n">
        <f aca="false">IF(AND(D3336&gt;1,Q3336=0,ISNUMBER(O3336),ISNUMBER(P3336)),IF(Q3335=0,1,0),0)</f>
        <v>1</v>
      </c>
      <c r="S3336" s="56" t="n">
        <f aca="false">R3336*(B3336&gt;=Train_Start)*(B3336&lt;=Train_End)</f>
        <v>0</v>
      </c>
      <c r="T3336" s="84" t="n">
        <f aca="false">IF(AND(ISNUMBER(O3336),ISNUMBER(P3336)),Coef_A+Coef_B1*O3336+Coef_B2*P3336,"")</f>
        <v>22.2641870658217</v>
      </c>
      <c r="U3336" s="84" t="n">
        <f aca="false">IF(AND(R3336=1,ISNUMBER(T3336)),E3336-T3336,"")</f>
        <v>0.335812934178321</v>
      </c>
      <c r="V3336" s="84" t="n">
        <f aca="false">IF(ISNUMBER(T3336),T3336,-99)</f>
        <v>22.2641870658217</v>
      </c>
      <c r="W3336" s="84" t="n">
        <f aca="false">IF(ISNUMBER(U3336),ABS(U3336),"")</f>
        <v>0.335812934178321</v>
      </c>
    </row>
    <row r="3337" customFormat="false" ht="15" hidden="false" customHeight="false" outlineLevel="0" collapsed="false">
      <c r="A3337" s="57" t="n">
        <v>36769</v>
      </c>
      <c r="B3337" s="56" t="n">
        <v>2000</v>
      </c>
      <c r="C3337" s="56" t="n">
        <v>8</v>
      </c>
      <c r="D3337" s="56" t="n">
        <v>123</v>
      </c>
      <c r="E3337" s="56" t="n">
        <v>18.9</v>
      </c>
      <c r="F3337" s="56" t="n">
        <v>0</v>
      </c>
      <c r="G3337" s="56" t="n">
        <v>10.5</v>
      </c>
      <c r="H3337" s="56" t="n">
        <v>0</v>
      </c>
      <c r="I3337" s="56" t="n">
        <v>16.6</v>
      </c>
      <c r="J3337" s="56" t="n">
        <v>0</v>
      </c>
      <c r="K3337" s="56" t="n">
        <v>1010.7</v>
      </c>
      <c r="L3337" s="56" t="n">
        <v>0</v>
      </c>
      <c r="M3337" s="56" t="n">
        <v>73</v>
      </c>
      <c r="N3337" s="56" t="n">
        <v>6.3</v>
      </c>
      <c r="O3337" s="56" t="n">
        <f aca="false">IF(D3337=1,"",E3336)</f>
        <v>22.6</v>
      </c>
      <c r="P3337" s="56" t="n">
        <f aca="false">IF(OR(D3337=1,K3336=""),"",K3336)</f>
        <v>1019</v>
      </c>
      <c r="Q3337" s="56" t="n">
        <f aca="false">IF(OR(F3337&lt;&gt;0,AND(I3337&lt;&gt;"",E3337&lt;I3337)),1,0)</f>
        <v>0</v>
      </c>
      <c r="R3337" s="56" t="n">
        <f aca="false">IF(AND(D3337&gt;1,Q3337=0,ISNUMBER(O3337),ISNUMBER(P3337)),IF(Q3336=0,1,0),0)</f>
        <v>1</v>
      </c>
      <c r="S3337" s="56" t="n">
        <f aca="false">R3337*(B3337&gt;=Train_Start)*(B3337&lt;=Train_End)</f>
        <v>0</v>
      </c>
      <c r="T3337" s="84" t="n">
        <f aca="false">IF(AND(ISNUMBER(O3337),ISNUMBER(P3337)),Coef_A+Coef_B1*O3337+Coef_B2*P3337,"")</f>
        <v>22.569963816795</v>
      </c>
      <c r="U3337" s="84" t="n">
        <f aca="false">IF(AND(R3337=1,ISNUMBER(T3337)),E3337-T3337,"")</f>
        <v>-3.66996381679495</v>
      </c>
      <c r="V3337" s="84" t="n">
        <f aca="false">IF(ISNUMBER(T3337),T3337,-99)</f>
        <v>22.569963816795</v>
      </c>
      <c r="W3337" s="84" t="n">
        <f aca="false">IF(ISNUMBER(U3337),ABS(U3337),"")</f>
        <v>3.66996381679495</v>
      </c>
    </row>
    <row r="3338" customFormat="false" ht="15" hidden="false" customHeight="false" outlineLevel="0" collapsed="false">
      <c r="A3338" s="57" t="n">
        <v>36770</v>
      </c>
      <c r="B3338" s="56" t="n">
        <v>2000</v>
      </c>
      <c r="C3338" s="56" t="n">
        <v>9</v>
      </c>
      <c r="D3338" s="56" t="n">
        <v>124</v>
      </c>
      <c r="E3338" s="56" t="n">
        <v>19.9</v>
      </c>
      <c r="F3338" s="56" t="n">
        <v>0</v>
      </c>
      <c r="G3338" s="56" t="n">
        <v>13</v>
      </c>
      <c r="H3338" s="56" t="n">
        <v>0</v>
      </c>
      <c r="I3338" s="56" t="n">
        <v>16</v>
      </c>
      <c r="J3338" s="56" t="n">
        <v>0</v>
      </c>
      <c r="K3338" s="56" t="n">
        <v>1001.4</v>
      </c>
      <c r="L3338" s="56" t="n">
        <v>0</v>
      </c>
      <c r="M3338" s="56" t="n">
        <v>85</v>
      </c>
      <c r="N3338" s="56" t="n">
        <v>2.7</v>
      </c>
      <c r="O3338" s="56" t="n">
        <f aca="false">IF(D3338=1,"",E3337)</f>
        <v>18.9</v>
      </c>
      <c r="P3338" s="56" t="n">
        <f aca="false">IF(OR(D3338=1,K3337=""),"",K3337)</f>
        <v>1010.7</v>
      </c>
      <c r="Q3338" s="56" t="n">
        <f aca="false">IF(OR(F3338&lt;&gt;0,AND(I3338&lt;&gt;"",E3338&lt;I3338)),1,0)</f>
        <v>0</v>
      </c>
      <c r="R3338" s="56" t="n">
        <f aca="false">IF(AND(D3338&gt;1,Q3338=0,ISNUMBER(O3338),ISNUMBER(P3338)),IF(Q3337=0,1,0),0)</f>
        <v>1</v>
      </c>
      <c r="S3338" s="56" t="n">
        <f aca="false">R3338*(B3338&gt;=Train_Start)*(B3338&lt;=Train_End)</f>
        <v>0</v>
      </c>
      <c r="T3338" s="84" t="n">
        <f aca="false">IF(AND(ISNUMBER(O3338),ISNUMBER(P3338)),Coef_A+Coef_B1*O3338+Coef_B2*P3338,"")</f>
        <v>19.278038677075</v>
      </c>
      <c r="U3338" s="84" t="n">
        <f aca="false">IF(AND(R3338=1,ISNUMBER(T3338)),E3338-T3338,"")</f>
        <v>0.621961322924996</v>
      </c>
      <c r="V3338" s="84" t="n">
        <f aca="false">IF(ISNUMBER(T3338),T3338,-99)</f>
        <v>19.278038677075</v>
      </c>
      <c r="W3338" s="84" t="n">
        <f aca="false">IF(ISNUMBER(U3338),ABS(U3338),"")</f>
        <v>0.621961322924996</v>
      </c>
    </row>
    <row r="3339" customFormat="false" ht="15" hidden="false" customHeight="false" outlineLevel="0" collapsed="false">
      <c r="A3339" s="57" t="n">
        <v>36771</v>
      </c>
      <c r="B3339" s="56" t="n">
        <v>2000</v>
      </c>
      <c r="C3339" s="56" t="n">
        <v>9</v>
      </c>
      <c r="D3339" s="56" t="n">
        <v>125</v>
      </c>
      <c r="E3339" s="56" t="n">
        <v>18.6</v>
      </c>
      <c r="F3339" s="56" t="n">
        <v>0</v>
      </c>
      <c r="G3339" s="56" t="n">
        <v>11.7</v>
      </c>
      <c r="H3339" s="56" t="n">
        <v>0</v>
      </c>
      <c r="I3339" s="56" t="n">
        <v>15.8</v>
      </c>
      <c r="J3339" s="56" t="n">
        <v>0</v>
      </c>
      <c r="K3339" s="56" t="n">
        <v>1007.7</v>
      </c>
      <c r="L3339" s="56" t="n">
        <v>0</v>
      </c>
      <c r="M3339" s="56" t="n">
        <v>78</v>
      </c>
      <c r="N3339" s="56" t="n">
        <v>4.2</v>
      </c>
      <c r="O3339" s="56" t="n">
        <f aca="false">IF(D3339=1,"",E3338)</f>
        <v>19.9</v>
      </c>
      <c r="P3339" s="56" t="n">
        <f aca="false">IF(OR(D3339=1,K3338=""),"",K3338)</f>
        <v>1001.4</v>
      </c>
      <c r="Q3339" s="56" t="n">
        <f aca="false">IF(OR(F3339&lt;&gt;0,AND(I3339&lt;&gt;"",E3339&lt;I3339)),1,0)</f>
        <v>0</v>
      </c>
      <c r="R3339" s="56" t="n">
        <f aca="false">IF(AND(D3339&gt;1,Q3339=0,ISNUMBER(O3339),ISNUMBER(P3339)),IF(Q3338=0,1,0),0)</f>
        <v>1</v>
      </c>
      <c r="S3339" s="56" t="n">
        <f aca="false">R3339*(B3339&gt;=Train_Start)*(B3339&lt;=Train_End)</f>
        <v>0</v>
      </c>
      <c r="T3339" s="84" t="n">
        <f aca="false">IF(AND(ISNUMBER(O3339),ISNUMBER(P3339)),Coef_A+Coef_B1*O3339+Coef_B2*P3339,"")</f>
        <v>19.8056378500216</v>
      </c>
      <c r="U3339" s="84" t="n">
        <f aca="false">IF(AND(R3339=1,ISNUMBER(T3339)),E3339-T3339,"")</f>
        <v>-1.20563785002156</v>
      </c>
      <c r="V3339" s="84" t="n">
        <f aca="false">IF(ISNUMBER(T3339),T3339,-99)</f>
        <v>19.8056378500216</v>
      </c>
      <c r="W3339" s="84" t="n">
        <f aca="false">IF(ISNUMBER(U3339),ABS(U3339),"")</f>
        <v>1.20563785002156</v>
      </c>
    </row>
    <row r="3340" customFormat="false" ht="15" hidden="false" customHeight="false" outlineLevel="0" collapsed="false">
      <c r="A3340" s="57" t="n">
        <v>36772</v>
      </c>
      <c r="B3340" s="56" t="n">
        <v>2000</v>
      </c>
      <c r="C3340" s="56" t="n">
        <v>9</v>
      </c>
      <c r="D3340" s="56" t="n">
        <v>126</v>
      </c>
      <c r="E3340" s="56" t="n">
        <v>20.5</v>
      </c>
      <c r="F3340" s="56" t="n">
        <v>0</v>
      </c>
      <c r="G3340" s="56" t="n">
        <v>9.4</v>
      </c>
      <c r="H3340" s="56" t="n">
        <v>0</v>
      </c>
      <c r="I3340" s="56" t="n">
        <v>14</v>
      </c>
      <c r="J3340" s="56" t="n">
        <v>0</v>
      </c>
      <c r="K3340" s="56" t="n">
        <v>1019.7</v>
      </c>
      <c r="L3340" s="56" t="n">
        <v>0</v>
      </c>
      <c r="M3340" s="56" t="n">
        <v>64</v>
      </c>
      <c r="N3340" s="56" t="n">
        <v>9.8</v>
      </c>
      <c r="O3340" s="56" t="n">
        <f aca="false">IF(D3340=1,"",E3339)</f>
        <v>18.6</v>
      </c>
      <c r="P3340" s="56" t="n">
        <f aca="false">IF(OR(D3340=1,K3339=""),"",K3339)</f>
        <v>1007.7</v>
      </c>
      <c r="Q3340" s="56" t="n">
        <f aca="false">IF(OR(F3340&lt;&gt;0,AND(I3340&lt;&gt;"",E3340&lt;I3340)),1,0)</f>
        <v>0</v>
      </c>
      <c r="R3340" s="56" t="n">
        <f aca="false">IF(AND(D3340&gt;1,Q3340=0,ISNUMBER(O3340),ISNUMBER(P3340)),IF(Q3339=0,1,0),0)</f>
        <v>1</v>
      </c>
      <c r="S3340" s="56" t="n">
        <f aca="false">R3340*(B3340&gt;=Train_Start)*(B3340&lt;=Train_End)</f>
        <v>0</v>
      </c>
      <c r="T3340" s="84" t="n">
        <f aca="false">IF(AND(ISNUMBER(O3340),ISNUMBER(P3340)),Coef_A+Coef_B1*O3340+Coef_B2*P3340,"")</f>
        <v>18.9381272352602</v>
      </c>
      <c r="U3340" s="84" t="n">
        <f aca="false">IF(AND(R3340=1,ISNUMBER(T3340)),E3340-T3340,"")</f>
        <v>1.56187276473976</v>
      </c>
      <c r="V3340" s="84" t="n">
        <f aca="false">IF(ISNUMBER(T3340),T3340,-99)</f>
        <v>18.9381272352602</v>
      </c>
      <c r="W3340" s="84" t="n">
        <f aca="false">IF(ISNUMBER(U3340),ABS(U3340),"")</f>
        <v>1.56187276473976</v>
      </c>
    </row>
    <row r="3341" customFormat="false" ht="15" hidden="false" customHeight="false" outlineLevel="0" collapsed="false">
      <c r="A3341" s="57" t="n">
        <v>36773</v>
      </c>
      <c r="B3341" s="56" t="n">
        <v>2000</v>
      </c>
      <c r="C3341" s="56" t="n">
        <v>9</v>
      </c>
      <c r="D3341" s="56" t="n">
        <v>127</v>
      </c>
      <c r="E3341" s="56" t="n">
        <v>20.4</v>
      </c>
      <c r="F3341" s="56" t="n">
        <v>0</v>
      </c>
      <c r="G3341" s="56" t="n">
        <v>6.9</v>
      </c>
      <c r="H3341" s="56" t="n">
        <v>0</v>
      </c>
      <c r="I3341" s="56" t="n">
        <v>13.7</v>
      </c>
      <c r="J3341" s="56" t="n">
        <v>0</v>
      </c>
      <c r="K3341" s="56" t="n">
        <v>1023.8</v>
      </c>
      <c r="L3341" s="56" t="n">
        <v>0</v>
      </c>
      <c r="M3341" s="56" t="n">
        <v>67</v>
      </c>
      <c r="N3341" s="56" t="n">
        <v>11</v>
      </c>
      <c r="O3341" s="56" t="n">
        <f aca="false">IF(D3341=1,"",E3340)</f>
        <v>20.5</v>
      </c>
      <c r="P3341" s="56" t="n">
        <f aca="false">IF(OR(D3341=1,K3340=""),"",K3340)</f>
        <v>1019.7</v>
      </c>
      <c r="Q3341" s="56" t="n">
        <f aca="false">IF(OR(F3341&lt;&gt;0,AND(I3341&lt;&gt;"",E3341&lt;I3341)),1,0)</f>
        <v>0</v>
      </c>
      <c r="R3341" s="56" t="n">
        <f aca="false">IF(AND(D3341&gt;1,Q3341=0,ISNUMBER(O3341),ISNUMBER(P3341)),IF(Q3340=0,1,0),0)</f>
        <v>1</v>
      </c>
      <c r="S3341" s="56" t="n">
        <f aca="false">R3341*(B3341&gt;=Train_Start)*(B3341&lt;=Train_End)</f>
        <v>0</v>
      </c>
      <c r="T3341" s="84" t="n">
        <f aca="false">IF(AND(ISNUMBER(O3341),ISNUMBER(P3341)),Coef_A+Coef_B1*O3341+Coef_B2*P3341,"")</f>
        <v>20.8713104376492</v>
      </c>
      <c r="U3341" s="84" t="n">
        <f aca="false">IF(AND(R3341=1,ISNUMBER(T3341)),E3341-T3341,"")</f>
        <v>-0.471310437649162</v>
      </c>
      <c r="V3341" s="84" t="n">
        <f aca="false">IF(ISNUMBER(T3341),T3341,-99)</f>
        <v>20.8713104376492</v>
      </c>
      <c r="W3341" s="84" t="n">
        <f aca="false">IF(ISNUMBER(U3341),ABS(U3341),"")</f>
        <v>0.471310437649162</v>
      </c>
    </row>
    <row r="3342" customFormat="false" ht="15" hidden="false" customHeight="false" outlineLevel="0" collapsed="false">
      <c r="A3342" s="57" t="n">
        <v>36774</v>
      </c>
      <c r="B3342" s="56" t="n">
        <v>2000</v>
      </c>
      <c r="C3342" s="56" t="n">
        <v>9</v>
      </c>
      <c r="D3342" s="56" t="n">
        <v>128</v>
      </c>
      <c r="E3342" s="56" t="n">
        <v>20.7</v>
      </c>
      <c r="F3342" s="56" t="n">
        <v>0</v>
      </c>
      <c r="G3342" s="56" t="n">
        <v>10.9</v>
      </c>
      <c r="H3342" s="56" t="n">
        <v>0</v>
      </c>
      <c r="I3342" s="56" t="n">
        <v>15.6</v>
      </c>
      <c r="J3342" s="56" t="n">
        <v>0</v>
      </c>
      <c r="K3342" s="56" t="n">
        <v>1020.3</v>
      </c>
      <c r="L3342" s="56" t="n">
        <v>0</v>
      </c>
      <c r="M3342" s="56" t="n">
        <v>78</v>
      </c>
      <c r="N3342" s="56" t="n">
        <v>1.6</v>
      </c>
      <c r="O3342" s="56" t="n">
        <f aca="false">IF(D3342=1,"",E3341)</f>
        <v>20.4</v>
      </c>
      <c r="P3342" s="56" t="n">
        <f aca="false">IF(OR(D3342=1,K3341=""),"",K3341)</f>
        <v>1023.8</v>
      </c>
      <c r="Q3342" s="56" t="n">
        <f aca="false">IF(OR(F3342&lt;&gt;0,AND(I3342&lt;&gt;"",E3342&lt;I3342)),1,0)</f>
        <v>0</v>
      </c>
      <c r="R3342" s="56" t="n">
        <f aca="false">IF(AND(D3342&gt;1,Q3342=0,ISNUMBER(O3342),ISNUMBER(P3342)),IF(Q3341=0,1,0),0)</f>
        <v>1</v>
      </c>
      <c r="S3342" s="56" t="n">
        <f aca="false">R3342*(B3342&gt;=Train_Start)*(B3342&lt;=Train_End)</f>
        <v>0</v>
      </c>
      <c r="T3342" s="84" t="n">
        <f aca="false">IF(AND(ISNUMBER(O3342),ISNUMBER(P3342)),Coef_A+Coef_B1*O3342+Coef_B2*P3342,"")</f>
        <v>20.9179930863443</v>
      </c>
      <c r="U3342" s="84" t="n">
        <f aca="false">IF(AND(R3342=1,ISNUMBER(T3342)),E3342-T3342,"")</f>
        <v>-0.217993086344251</v>
      </c>
      <c r="V3342" s="84" t="n">
        <f aca="false">IF(ISNUMBER(T3342),T3342,-99)</f>
        <v>20.9179930863443</v>
      </c>
      <c r="W3342" s="84" t="n">
        <f aca="false">IF(ISNUMBER(U3342),ABS(U3342),"")</f>
        <v>0.217993086344251</v>
      </c>
    </row>
    <row r="3343" customFormat="false" ht="15" hidden="false" customHeight="false" outlineLevel="0" collapsed="false">
      <c r="A3343" s="57" t="n">
        <v>36775</v>
      </c>
      <c r="B3343" s="56" t="n">
        <v>2000</v>
      </c>
      <c r="C3343" s="56" t="n">
        <v>9</v>
      </c>
      <c r="D3343" s="56" t="n">
        <v>129</v>
      </c>
      <c r="E3343" s="56" t="n">
        <v>20.3</v>
      </c>
      <c r="F3343" s="56" t="n">
        <v>0</v>
      </c>
      <c r="G3343" s="56" t="n">
        <v>14.1</v>
      </c>
      <c r="H3343" s="56" t="n">
        <v>0</v>
      </c>
      <c r="I3343" s="56" t="n">
        <v>17.4</v>
      </c>
      <c r="J3343" s="56" t="n">
        <v>0</v>
      </c>
      <c r="K3343" s="56" t="n">
        <v>1011.4</v>
      </c>
      <c r="L3343" s="56" t="n">
        <v>0</v>
      </c>
      <c r="M3343" s="56" t="n">
        <v>69</v>
      </c>
      <c r="N3343" s="56" t="n">
        <v>4.8</v>
      </c>
      <c r="O3343" s="56" t="n">
        <f aca="false">IF(D3343=1,"",E3342)</f>
        <v>20.7</v>
      </c>
      <c r="P3343" s="56" t="n">
        <f aca="false">IF(OR(D3343=1,K3342=""),"",K3342)</f>
        <v>1020.3</v>
      </c>
      <c r="Q3343" s="56" t="n">
        <f aca="false">IF(OR(F3343&lt;&gt;0,AND(I3343&lt;&gt;"",E3343&lt;I3343)),1,0)</f>
        <v>0</v>
      </c>
      <c r="R3343" s="56" t="n">
        <f aca="false">IF(AND(D3343&gt;1,Q3343=0,ISNUMBER(O3343),ISNUMBER(P3343)),IF(Q3342=0,1,0),0)</f>
        <v>1</v>
      </c>
      <c r="S3343" s="56" t="n">
        <f aca="false">R3343*(B3343&gt;=Train_Start)*(B3343&lt;=Train_End)</f>
        <v>0</v>
      </c>
      <c r="T3343" s="84" t="n">
        <f aca="false">IF(AND(ISNUMBER(O3343),ISNUMBER(P3343)),Coef_A+Coef_B1*O3343+Coef_B2*P3343,"")</f>
        <v>21.0540002130381</v>
      </c>
      <c r="U3343" s="84" t="n">
        <f aca="false">IF(AND(R3343=1,ISNUMBER(T3343)),E3343-T3343,"")</f>
        <v>-0.754000213038086</v>
      </c>
      <c r="V3343" s="84" t="n">
        <f aca="false">IF(ISNUMBER(T3343),T3343,-99)</f>
        <v>21.0540002130381</v>
      </c>
      <c r="W3343" s="84" t="n">
        <f aca="false">IF(ISNUMBER(U3343),ABS(U3343),"")</f>
        <v>0.754000213038086</v>
      </c>
    </row>
    <row r="3344" customFormat="false" ht="15" hidden="false" customHeight="false" outlineLevel="0" collapsed="false">
      <c r="A3344" s="57" t="n">
        <v>36776</v>
      </c>
      <c r="B3344" s="56" t="n">
        <v>2000</v>
      </c>
      <c r="C3344" s="56" t="n">
        <v>9</v>
      </c>
      <c r="D3344" s="56" t="n">
        <v>130</v>
      </c>
      <c r="E3344" s="56" t="n">
        <v>20.2</v>
      </c>
      <c r="F3344" s="56" t="n">
        <v>0</v>
      </c>
      <c r="G3344" s="56" t="n">
        <v>8.6</v>
      </c>
      <c r="H3344" s="56" t="n">
        <v>0</v>
      </c>
      <c r="I3344" s="56" t="n">
        <v>14.4</v>
      </c>
      <c r="J3344" s="56" t="n">
        <v>0</v>
      </c>
      <c r="K3344" s="56" t="n">
        <v>1015.2</v>
      </c>
      <c r="L3344" s="56" t="n">
        <v>0</v>
      </c>
      <c r="M3344" s="56" t="n">
        <v>76</v>
      </c>
      <c r="N3344" s="56" t="n">
        <v>0.7</v>
      </c>
      <c r="O3344" s="56" t="n">
        <f aca="false">IF(D3344=1,"",E3343)</f>
        <v>20.3</v>
      </c>
      <c r="P3344" s="56" t="n">
        <f aca="false">IF(OR(D3344=1,K3343=""),"",K3343)</f>
        <v>1011.4</v>
      </c>
      <c r="Q3344" s="56" t="n">
        <f aca="false">IF(OR(F3344&lt;&gt;0,AND(I3344&lt;&gt;"",E3344&lt;I3344)),1,0)</f>
        <v>0</v>
      </c>
      <c r="R3344" s="56" t="n">
        <f aca="false">IF(AND(D3344&gt;1,Q3344=0,ISNUMBER(O3344),ISNUMBER(P3344)),IF(Q3343=0,1,0),0)</f>
        <v>1</v>
      </c>
      <c r="S3344" s="56" t="n">
        <f aca="false">R3344*(B3344&gt;=Train_Start)*(B3344&lt;=Train_End)</f>
        <v>0</v>
      </c>
      <c r="T3344" s="84" t="n">
        <f aca="false">IF(AND(ISNUMBER(O3344),ISNUMBER(P3344)),Coef_A+Coef_B1*O3344+Coef_B2*P3344,"")</f>
        <v>20.4470724735785</v>
      </c>
      <c r="U3344" s="84" t="n">
        <f aca="false">IF(AND(R3344=1,ISNUMBER(T3344)),E3344-T3344,"")</f>
        <v>-0.247072473578516</v>
      </c>
      <c r="V3344" s="84" t="n">
        <f aca="false">IF(ISNUMBER(T3344),T3344,-99)</f>
        <v>20.4470724735785</v>
      </c>
      <c r="W3344" s="84" t="n">
        <f aca="false">IF(ISNUMBER(U3344),ABS(U3344),"")</f>
        <v>0.247072473578516</v>
      </c>
    </row>
    <row r="3345" customFormat="false" ht="15" hidden="false" customHeight="false" outlineLevel="0" collapsed="false">
      <c r="A3345" s="57" t="n">
        <v>36777</v>
      </c>
      <c r="B3345" s="56" t="n">
        <v>2000</v>
      </c>
      <c r="C3345" s="56" t="n">
        <v>9</v>
      </c>
      <c r="D3345" s="56" t="n">
        <v>131</v>
      </c>
      <c r="E3345" s="56" t="n">
        <v>22.3</v>
      </c>
      <c r="F3345" s="56" t="n">
        <v>0</v>
      </c>
      <c r="G3345" s="56" t="n">
        <v>15</v>
      </c>
      <c r="H3345" s="56" t="n">
        <v>0</v>
      </c>
      <c r="I3345" s="56" t="n">
        <v>17.6</v>
      </c>
      <c r="J3345" s="56" t="n">
        <v>0</v>
      </c>
      <c r="K3345" s="56" t="n">
        <v>1018</v>
      </c>
      <c r="L3345" s="56" t="n">
        <v>0</v>
      </c>
      <c r="M3345" s="56" t="n">
        <v>90</v>
      </c>
      <c r="N3345" s="56" t="n">
        <v>0</v>
      </c>
      <c r="O3345" s="56" t="n">
        <f aca="false">IF(D3345=1,"",E3344)</f>
        <v>20.2</v>
      </c>
      <c r="P3345" s="56" t="n">
        <f aca="false">IF(OR(D3345=1,K3344=""),"",K3344)</f>
        <v>1015.2</v>
      </c>
      <c r="Q3345" s="56" t="n">
        <f aca="false">IF(OR(F3345&lt;&gt;0,AND(I3345&lt;&gt;"",E3345&lt;I3345)),1,0)</f>
        <v>0</v>
      </c>
      <c r="R3345" s="56" t="n">
        <f aca="false">IF(AND(D3345&gt;1,Q3345=0,ISNUMBER(O3345),ISNUMBER(P3345)),IF(Q3344=0,1,0),0)</f>
        <v>1</v>
      </c>
      <c r="S3345" s="56" t="n">
        <f aca="false">R3345*(B3345&gt;=Train_Start)*(B3345&lt;=Train_End)</f>
        <v>0</v>
      </c>
      <c r="T3345" s="84" t="n">
        <f aca="false">IF(AND(ISNUMBER(O3345),ISNUMBER(P3345)),Coef_A+Coef_B1*O3345+Coef_B2*P3345,"")</f>
        <v>20.4843441538834</v>
      </c>
      <c r="U3345" s="84" t="n">
        <f aca="false">IF(AND(R3345=1,ISNUMBER(T3345)),E3345-T3345,"")</f>
        <v>1.81565584611659</v>
      </c>
      <c r="V3345" s="84" t="n">
        <f aca="false">IF(ISNUMBER(T3345),T3345,-99)</f>
        <v>20.4843441538834</v>
      </c>
      <c r="W3345" s="84" t="n">
        <f aca="false">IF(ISNUMBER(U3345),ABS(U3345),"")</f>
        <v>1.81565584611659</v>
      </c>
    </row>
    <row r="3346" customFormat="false" ht="15" hidden="false" customHeight="false" outlineLevel="0" collapsed="false">
      <c r="A3346" s="57" t="n">
        <v>36778</v>
      </c>
      <c r="B3346" s="56" t="n">
        <v>2000</v>
      </c>
      <c r="C3346" s="56" t="n">
        <v>9</v>
      </c>
      <c r="D3346" s="56" t="n">
        <v>132</v>
      </c>
      <c r="E3346" s="56" t="n">
        <v>25.6</v>
      </c>
      <c r="F3346" s="56" t="n">
        <v>0</v>
      </c>
      <c r="G3346" s="56" t="n">
        <v>15.6</v>
      </c>
      <c r="H3346" s="56" t="n">
        <v>0</v>
      </c>
      <c r="I3346" s="56" t="n">
        <v>19</v>
      </c>
      <c r="J3346" s="56" t="n">
        <v>0</v>
      </c>
      <c r="K3346" s="56" t="n">
        <v>1022.9</v>
      </c>
      <c r="L3346" s="56" t="n">
        <v>0</v>
      </c>
      <c r="M3346" s="56" t="n">
        <v>84</v>
      </c>
      <c r="N3346" s="56" t="n">
        <v>2.2</v>
      </c>
      <c r="O3346" s="56" t="n">
        <f aca="false">IF(D3346=1,"",E3345)</f>
        <v>22.3</v>
      </c>
      <c r="P3346" s="56" t="n">
        <f aca="false">IF(OR(D3346=1,K3345=""),"",K3345)</f>
        <v>1018</v>
      </c>
      <c r="Q3346" s="56" t="n">
        <f aca="false">IF(OR(F3346&lt;&gt;0,AND(I3346&lt;&gt;"",E3346&lt;I3346)),1,0)</f>
        <v>0</v>
      </c>
      <c r="R3346" s="56" t="n">
        <f aca="false">IF(AND(D3346&gt;1,Q3346=0,ISNUMBER(O3346),ISNUMBER(P3346)),IF(Q3345=0,1,0),0)</f>
        <v>1</v>
      </c>
      <c r="S3346" s="56" t="n">
        <f aca="false">R3346*(B3346&gt;=Train_Start)*(B3346&lt;=Train_End)</f>
        <v>0</v>
      </c>
      <c r="T3346" s="84" t="n">
        <f aca="false">IF(AND(ISNUMBER(O3346),ISNUMBER(P3346)),Coef_A+Coef_B1*O3346+Coef_B2*P3346,"")</f>
        <v>22.2927921642482</v>
      </c>
      <c r="U3346" s="84" t="n">
        <f aca="false">IF(AND(R3346=1,ISNUMBER(T3346)),E3346-T3346,"")</f>
        <v>3.30720783575184</v>
      </c>
      <c r="V3346" s="84" t="n">
        <f aca="false">IF(ISNUMBER(T3346),T3346,-99)</f>
        <v>22.2927921642482</v>
      </c>
      <c r="W3346" s="84" t="n">
        <f aca="false">IF(ISNUMBER(U3346),ABS(U3346),"")</f>
        <v>3.30720783575184</v>
      </c>
    </row>
    <row r="3347" customFormat="false" ht="15" hidden="false" customHeight="false" outlineLevel="0" collapsed="false">
      <c r="A3347" s="57" t="n">
        <v>36779</v>
      </c>
      <c r="B3347" s="56" t="n">
        <v>2000</v>
      </c>
      <c r="C3347" s="56" t="n">
        <v>9</v>
      </c>
      <c r="D3347" s="56" t="n">
        <v>133</v>
      </c>
      <c r="E3347" s="56" t="n">
        <v>27.5</v>
      </c>
      <c r="F3347" s="56" t="n">
        <v>0</v>
      </c>
      <c r="G3347" s="56" t="n">
        <v>14.8</v>
      </c>
      <c r="H3347" s="56" t="n">
        <v>0</v>
      </c>
      <c r="I3347" s="56" t="n">
        <v>20.2</v>
      </c>
      <c r="J3347" s="56" t="n">
        <v>0</v>
      </c>
      <c r="K3347" s="56" t="n">
        <v>1021.9</v>
      </c>
      <c r="L3347" s="56" t="n">
        <v>0</v>
      </c>
      <c r="M3347" s="56" t="n">
        <v>75</v>
      </c>
      <c r="N3347" s="56" t="n">
        <v>11</v>
      </c>
      <c r="O3347" s="56" t="n">
        <f aca="false">IF(D3347=1,"",E3346)</f>
        <v>25.6</v>
      </c>
      <c r="P3347" s="56" t="n">
        <f aca="false">IF(OR(D3347=1,K3346=""),"",K3346)</f>
        <v>1022.9</v>
      </c>
      <c r="Q3347" s="56" t="n">
        <f aca="false">IF(OR(F3347&lt;&gt;0,AND(I3347&lt;&gt;"",E3347&lt;I3347)),1,0)</f>
        <v>0</v>
      </c>
      <c r="R3347" s="56" t="n">
        <f aca="false">IF(AND(D3347&gt;1,Q3347=0,ISNUMBER(O3347),ISNUMBER(P3347)),IF(Q3346=0,1,0),0)</f>
        <v>1</v>
      </c>
      <c r="S3347" s="56" t="n">
        <f aca="false">R3347*(B3347&gt;=Train_Start)*(B3347&lt;=Train_End)</f>
        <v>0</v>
      </c>
      <c r="T3347" s="84" t="n">
        <f aca="false">IF(AND(ISNUMBER(O3347),ISNUMBER(P3347)),Coef_A+Coef_B1*O3347+Coef_B2*P3347,"")</f>
        <v>25.1503239849955</v>
      </c>
      <c r="U3347" s="84" t="n">
        <f aca="false">IF(AND(R3347=1,ISNUMBER(T3347)),E3347-T3347,"")</f>
        <v>2.34967601500452</v>
      </c>
      <c r="V3347" s="84" t="n">
        <f aca="false">IF(ISNUMBER(T3347),T3347,-99)</f>
        <v>25.1503239849955</v>
      </c>
      <c r="W3347" s="84" t="n">
        <f aca="false">IF(ISNUMBER(U3347),ABS(U3347),"")</f>
        <v>2.34967601500452</v>
      </c>
    </row>
    <row r="3348" customFormat="false" ht="15" hidden="false" customHeight="false" outlineLevel="0" collapsed="false">
      <c r="A3348" s="57" t="n">
        <v>36780</v>
      </c>
      <c r="B3348" s="56" t="n">
        <v>2000</v>
      </c>
      <c r="C3348" s="56" t="n">
        <v>9</v>
      </c>
      <c r="D3348" s="56" t="n">
        <v>134</v>
      </c>
      <c r="E3348" s="56" t="n">
        <v>24</v>
      </c>
      <c r="F3348" s="56" t="n">
        <v>0</v>
      </c>
      <c r="G3348" s="56" t="n">
        <v>15.6</v>
      </c>
      <c r="H3348" s="56" t="n">
        <v>0</v>
      </c>
      <c r="I3348" s="56" t="n">
        <v>21.6</v>
      </c>
      <c r="J3348" s="56" t="n">
        <v>0</v>
      </c>
      <c r="K3348" s="56" t="n">
        <v>1014.4</v>
      </c>
      <c r="L3348" s="56" t="n">
        <v>0</v>
      </c>
      <c r="M3348" s="56" t="n">
        <v>70</v>
      </c>
      <c r="N3348" s="56" t="n">
        <v>9.7</v>
      </c>
      <c r="O3348" s="56" t="n">
        <f aca="false">IF(D3348=1,"",E3347)</f>
        <v>27.5</v>
      </c>
      <c r="P3348" s="56" t="n">
        <f aca="false">IF(OR(D3348=1,K3347=""),"",K3347)</f>
        <v>1021.9</v>
      </c>
      <c r="Q3348" s="56" t="n">
        <f aca="false">IF(OR(F3348&lt;&gt;0,AND(I3348&lt;&gt;"",E3348&lt;I3348)),1,0)</f>
        <v>0</v>
      </c>
      <c r="R3348" s="56" t="n">
        <f aca="false">IF(AND(D3348&gt;1,Q3348=0,ISNUMBER(O3348),ISNUMBER(P3348)),IF(Q3347=0,1,0),0)</f>
        <v>1</v>
      </c>
      <c r="S3348" s="56" t="n">
        <f aca="false">R3348*(B3348&gt;=Train_Start)*(B3348&lt;=Train_End)</f>
        <v>0</v>
      </c>
      <c r="T3348" s="84" t="n">
        <f aca="false">IF(AND(ISNUMBER(O3348),ISNUMBER(P3348)),Coef_A+Coef_B1*O3348+Coef_B2*P3348,"")</f>
        <v>26.6756985571425</v>
      </c>
      <c r="U3348" s="84" t="n">
        <f aca="false">IF(AND(R3348=1,ISNUMBER(T3348)),E3348-T3348,"")</f>
        <v>-2.67569855714254</v>
      </c>
      <c r="V3348" s="84" t="n">
        <f aca="false">IF(ISNUMBER(T3348),T3348,-99)</f>
        <v>26.6756985571425</v>
      </c>
      <c r="W3348" s="84" t="n">
        <f aca="false">IF(ISNUMBER(U3348),ABS(U3348),"")</f>
        <v>2.67569855714254</v>
      </c>
    </row>
    <row r="3349" customFormat="false" ht="15" hidden="false" customHeight="false" outlineLevel="0" collapsed="false">
      <c r="A3349" s="57" t="n">
        <v>36781</v>
      </c>
      <c r="B3349" s="56" t="n">
        <v>2000</v>
      </c>
      <c r="C3349" s="56" t="n">
        <v>9</v>
      </c>
      <c r="D3349" s="56" t="n">
        <v>135</v>
      </c>
      <c r="E3349" s="56" t="n">
        <v>21</v>
      </c>
      <c r="F3349" s="56" t="n">
        <v>0</v>
      </c>
      <c r="G3349" s="56" t="n">
        <v>16</v>
      </c>
      <c r="H3349" s="56" t="n">
        <v>0</v>
      </c>
      <c r="I3349" s="56" t="n">
        <v>20</v>
      </c>
      <c r="J3349" s="56" t="n">
        <v>0</v>
      </c>
      <c r="K3349" s="56" t="n">
        <v>1011</v>
      </c>
      <c r="L3349" s="56" t="n">
        <v>0</v>
      </c>
      <c r="M3349" s="56" t="n">
        <v>68</v>
      </c>
      <c r="N3349" s="56" t="n">
        <v>6.7</v>
      </c>
      <c r="O3349" s="56" t="n">
        <f aca="false">IF(D3349=1,"",E3348)</f>
        <v>24</v>
      </c>
      <c r="P3349" s="56" t="n">
        <f aca="false">IF(OR(D3349=1,K3348=""),"",K3348)</f>
        <v>1014.4</v>
      </c>
      <c r="Q3349" s="56" t="n">
        <f aca="false">IF(OR(F3349&lt;&gt;0,AND(I3349&lt;&gt;"",E3349&lt;I3349)),1,0)</f>
        <v>0</v>
      </c>
      <c r="R3349" s="56" t="n">
        <f aca="false">IF(AND(D3349&gt;1,Q3349=0,ISNUMBER(O3349),ISNUMBER(P3349)),IF(Q3348=0,1,0),0)</f>
        <v>1</v>
      </c>
      <c r="S3349" s="56" t="n">
        <f aca="false">R3349*(B3349&gt;=Train_Start)*(B3349&lt;=Train_End)</f>
        <v>0</v>
      </c>
      <c r="T3349" s="84" t="n">
        <f aca="false">IF(AND(ISNUMBER(O3349),ISNUMBER(P3349)),Coef_A+Coef_B1*O3349+Coef_B2*P3349,"")</f>
        <v>23.5727371717383</v>
      </c>
      <c r="U3349" s="84" t="n">
        <f aca="false">IF(AND(R3349=1,ISNUMBER(T3349)),E3349-T3349,"")</f>
        <v>-2.57273717173832</v>
      </c>
      <c r="V3349" s="84" t="n">
        <f aca="false">IF(ISNUMBER(T3349),T3349,-99)</f>
        <v>23.5727371717383</v>
      </c>
      <c r="W3349" s="84" t="n">
        <f aca="false">IF(ISNUMBER(U3349),ABS(U3349),"")</f>
        <v>2.57273717173832</v>
      </c>
    </row>
    <row r="3350" customFormat="false" ht="15" hidden="false" customHeight="false" outlineLevel="0" collapsed="false">
      <c r="A3350" s="57" t="n">
        <v>36782</v>
      </c>
      <c r="B3350" s="56" t="n">
        <v>2000</v>
      </c>
      <c r="C3350" s="56" t="n">
        <v>9</v>
      </c>
      <c r="D3350" s="56" t="n">
        <v>136</v>
      </c>
      <c r="E3350" s="56" t="n">
        <v>21.6</v>
      </c>
      <c r="F3350" s="56" t="n">
        <v>0</v>
      </c>
      <c r="G3350" s="56" t="n">
        <v>13.9</v>
      </c>
      <c r="H3350" s="56" t="n">
        <v>0</v>
      </c>
      <c r="I3350" s="56" t="n">
        <v>17.4</v>
      </c>
      <c r="J3350" s="56" t="n">
        <v>0</v>
      </c>
      <c r="K3350" s="56" t="n">
        <v>1013.4</v>
      </c>
      <c r="L3350" s="56" t="n">
        <v>0</v>
      </c>
      <c r="M3350" s="56" t="n">
        <v>75</v>
      </c>
      <c r="N3350" s="56" t="n">
        <v>2.9</v>
      </c>
      <c r="O3350" s="56" t="n">
        <f aca="false">IF(D3350=1,"",E3349)</f>
        <v>21</v>
      </c>
      <c r="P3350" s="56" t="n">
        <f aca="false">IF(OR(D3350=1,K3349=""),"",K3349)</f>
        <v>1011</v>
      </c>
      <c r="Q3350" s="56" t="n">
        <f aca="false">IF(OR(F3350&lt;&gt;0,AND(I3350&lt;&gt;"",E3350&lt;I3350)),1,0)</f>
        <v>0</v>
      </c>
      <c r="R3350" s="56" t="n">
        <f aca="false">IF(AND(D3350&gt;1,Q3350=0,ISNUMBER(O3350),ISNUMBER(P3350)),IF(Q3349=0,1,0),0)</f>
        <v>1</v>
      </c>
      <c r="S3350" s="56" t="n">
        <f aca="false">R3350*(B3350&gt;=Train_Start)*(B3350&lt;=Train_End)</f>
        <v>0</v>
      </c>
      <c r="T3350" s="84" t="n">
        <f aca="false">IF(AND(ISNUMBER(O3350),ISNUMBER(P3350)),Coef_A+Coef_B1*O3350+Coef_B2*P3350,"")</f>
        <v>21.0080619508548</v>
      </c>
      <c r="U3350" s="84" t="n">
        <f aca="false">IF(AND(R3350=1,ISNUMBER(T3350)),E3350-T3350,"")</f>
        <v>0.59193804914522</v>
      </c>
      <c r="V3350" s="84" t="n">
        <f aca="false">IF(ISNUMBER(T3350),T3350,-99)</f>
        <v>21.0080619508548</v>
      </c>
      <c r="W3350" s="84" t="n">
        <f aca="false">IF(ISNUMBER(U3350),ABS(U3350),"")</f>
        <v>0.59193804914522</v>
      </c>
    </row>
    <row r="3351" customFormat="false" ht="15" hidden="false" customHeight="false" outlineLevel="0" collapsed="false">
      <c r="A3351" s="57" t="n">
        <v>36783</v>
      </c>
      <c r="B3351" s="56" t="n">
        <v>2000</v>
      </c>
      <c r="C3351" s="56" t="n">
        <v>9</v>
      </c>
      <c r="D3351" s="56" t="n">
        <v>137</v>
      </c>
      <c r="E3351" s="56" t="n">
        <v>18.5</v>
      </c>
      <c r="F3351" s="56" t="n">
        <v>0</v>
      </c>
      <c r="G3351" s="56" t="n">
        <v>12.4</v>
      </c>
      <c r="H3351" s="56" t="n">
        <v>0</v>
      </c>
      <c r="I3351" s="56" t="n">
        <v>17</v>
      </c>
      <c r="J3351" s="56" t="n">
        <v>0</v>
      </c>
      <c r="K3351" s="56" t="n">
        <v>1013.7</v>
      </c>
      <c r="L3351" s="56" t="n">
        <v>0</v>
      </c>
      <c r="M3351" s="56" t="n">
        <v>77</v>
      </c>
      <c r="N3351" s="56" t="n">
        <v>3</v>
      </c>
      <c r="O3351" s="56" t="n">
        <f aca="false">IF(D3351=1,"",E3350)</f>
        <v>21.6</v>
      </c>
      <c r="P3351" s="56" t="n">
        <f aca="false">IF(OR(D3351=1,K3350=""),"",K3350)</f>
        <v>1013.4</v>
      </c>
      <c r="Q3351" s="56" t="n">
        <f aca="false">IF(OR(F3351&lt;&gt;0,AND(I3351&lt;&gt;"",E3351&lt;I3351)),1,0)</f>
        <v>0</v>
      </c>
      <c r="R3351" s="56" t="n">
        <f aca="false">IF(AND(D3351&gt;1,Q3351=0,ISNUMBER(O3351),ISNUMBER(P3351)),IF(Q3350=0,1,0),0)</f>
        <v>1</v>
      </c>
      <c r="S3351" s="56" t="n">
        <f aca="false">R3351*(B3351&gt;=Train_Start)*(B3351&lt;=Train_End)</f>
        <v>0</v>
      </c>
      <c r="T3351" s="84" t="n">
        <f aca="false">IF(AND(ISNUMBER(O3351),ISNUMBER(P3351)),Coef_A+Coef_B1*O3351+Coef_B2*P3351,"")</f>
        <v>21.574953213802</v>
      </c>
      <c r="U3351" s="84" t="n">
        <f aca="false">IF(AND(R3351=1,ISNUMBER(T3351)),E3351-T3351,"")</f>
        <v>-3.07495321380195</v>
      </c>
      <c r="V3351" s="84" t="n">
        <f aca="false">IF(ISNUMBER(T3351),T3351,-99)</f>
        <v>21.574953213802</v>
      </c>
      <c r="W3351" s="84" t="n">
        <f aca="false">IF(ISNUMBER(U3351),ABS(U3351),"")</f>
        <v>3.07495321380195</v>
      </c>
    </row>
    <row r="3352" customFormat="false" ht="15" hidden="false" customHeight="false" outlineLevel="0" collapsed="false">
      <c r="A3352" s="57" t="n">
        <v>36784</v>
      </c>
      <c r="B3352" s="56" t="n">
        <v>2000</v>
      </c>
      <c r="C3352" s="56" t="n">
        <v>9</v>
      </c>
      <c r="D3352" s="56" t="n">
        <v>138</v>
      </c>
      <c r="E3352" s="56" t="n">
        <v>18.2</v>
      </c>
      <c r="F3352" s="56" t="n">
        <v>0</v>
      </c>
      <c r="G3352" s="56" t="n">
        <v>16</v>
      </c>
      <c r="H3352" s="56" t="n">
        <v>0</v>
      </c>
      <c r="I3352" s="56" t="n">
        <v>17.2</v>
      </c>
      <c r="J3352" s="56" t="n">
        <v>0</v>
      </c>
      <c r="K3352" s="56" t="n">
        <v>1006.8</v>
      </c>
      <c r="L3352" s="56" t="n">
        <v>0</v>
      </c>
      <c r="M3352" s="56" t="n">
        <v>90</v>
      </c>
      <c r="N3352" s="56" t="n">
        <v>1.3</v>
      </c>
      <c r="O3352" s="56" t="n">
        <f aca="false">IF(D3352=1,"",E3351)</f>
        <v>18.5</v>
      </c>
      <c r="P3352" s="56" t="n">
        <f aca="false">IF(OR(D3352=1,K3351=""),"",K3351)</f>
        <v>1013.7</v>
      </c>
      <c r="Q3352" s="56" t="n">
        <f aca="false">IF(OR(F3352&lt;&gt;0,AND(I3352&lt;&gt;"",E3352&lt;I3352)),1,0)</f>
        <v>0</v>
      </c>
      <c r="R3352" s="56" t="n">
        <f aca="false">IF(AND(D3352&gt;1,Q3352=0,ISNUMBER(O3352),ISNUMBER(P3352)),IF(Q3351=0,1,0),0)</f>
        <v>1</v>
      </c>
      <c r="S3352" s="56" t="n">
        <f aca="false">R3352*(B3352&gt;=Train_Start)*(B3352&lt;=Train_End)</f>
        <v>0</v>
      </c>
      <c r="T3352" s="84" t="n">
        <f aca="false">IF(AND(ISNUMBER(O3352),ISNUMBER(P3352)),Coef_A+Coef_B1*O3352+Coef_B2*P3352,"")</f>
        <v>19.0444126837599</v>
      </c>
      <c r="U3352" s="84" t="n">
        <f aca="false">IF(AND(R3352=1,ISNUMBER(T3352)),E3352-T3352,"")</f>
        <v>-0.844412683759913</v>
      </c>
      <c r="V3352" s="84" t="n">
        <f aca="false">IF(ISNUMBER(T3352),T3352,-99)</f>
        <v>19.0444126837599</v>
      </c>
      <c r="W3352" s="84" t="n">
        <f aca="false">IF(ISNUMBER(U3352),ABS(U3352),"")</f>
        <v>0.844412683759913</v>
      </c>
    </row>
    <row r="3353" customFormat="false" ht="15" hidden="false" customHeight="false" outlineLevel="0" collapsed="false">
      <c r="A3353" s="57" t="n">
        <v>36785</v>
      </c>
      <c r="B3353" s="56" t="n">
        <v>2000</v>
      </c>
      <c r="C3353" s="56" t="n">
        <v>9</v>
      </c>
      <c r="D3353" s="56" t="n">
        <v>139</v>
      </c>
      <c r="E3353" s="56" t="n">
        <v>20.6</v>
      </c>
      <c r="F3353" s="56" t="n">
        <v>0</v>
      </c>
      <c r="G3353" s="56" t="n">
        <v>13.4</v>
      </c>
      <c r="H3353" s="56" t="n">
        <v>0</v>
      </c>
      <c r="I3353" s="56" t="n">
        <v>15.8</v>
      </c>
      <c r="J3353" s="56" t="n">
        <v>0</v>
      </c>
      <c r="K3353" s="56" t="n">
        <v>1011.3</v>
      </c>
      <c r="L3353" s="56" t="n">
        <v>0</v>
      </c>
      <c r="M3353" s="56" t="n">
        <v>72</v>
      </c>
      <c r="N3353" s="56" t="n">
        <v>0.9</v>
      </c>
      <c r="O3353" s="56" t="n">
        <f aca="false">IF(D3353=1,"",E3352)</f>
        <v>18.2</v>
      </c>
      <c r="P3353" s="56" t="n">
        <f aca="false">IF(OR(D3353=1,K3352=""),"",K3352)</f>
        <v>1006.8</v>
      </c>
      <c r="Q3353" s="56" t="n">
        <f aca="false">IF(OR(F3353&lt;&gt;0,AND(I3353&lt;&gt;"",E3353&lt;I3353)),1,0)</f>
        <v>0</v>
      </c>
      <c r="R3353" s="56" t="n">
        <f aca="false">IF(AND(D3353&gt;1,Q3353=0,ISNUMBER(O3353),ISNUMBER(P3353)),IF(Q3352=0,1,0),0)</f>
        <v>1</v>
      </c>
      <c r="S3353" s="56" t="n">
        <f aca="false">R3353*(B3353&gt;=Train_Start)*(B3353&lt;=Train_End)</f>
        <v>0</v>
      </c>
      <c r="T3353" s="84" t="n">
        <f aca="false">IF(AND(ISNUMBER(O3353),ISNUMBER(P3353)),Coef_A+Coef_B1*O3353+Coef_B2*P3353,"")</f>
        <v>18.5821586528726</v>
      </c>
      <c r="U3353" s="84" t="n">
        <f aca="false">IF(AND(R3353=1,ISNUMBER(T3353)),E3353-T3353,"")</f>
        <v>2.01784134712742</v>
      </c>
      <c r="V3353" s="84" t="n">
        <f aca="false">IF(ISNUMBER(T3353),T3353,-99)</f>
        <v>18.5821586528726</v>
      </c>
      <c r="W3353" s="84" t="n">
        <f aca="false">IF(ISNUMBER(U3353),ABS(U3353),"")</f>
        <v>2.01784134712742</v>
      </c>
    </row>
    <row r="3354" customFormat="false" ht="15" hidden="false" customHeight="false" outlineLevel="0" collapsed="false">
      <c r="A3354" s="57" t="n">
        <v>36786</v>
      </c>
      <c r="B3354" s="56" t="n">
        <v>2000</v>
      </c>
      <c r="C3354" s="56" t="n">
        <v>9</v>
      </c>
      <c r="D3354" s="56" t="n">
        <v>140</v>
      </c>
      <c r="E3354" s="56" t="n">
        <v>16.8</v>
      </c>
      <c r="F3354" s="56" t="n">
        <v>0</v>
      </c>
      <c r="G3354" s="56" t="n">
        <v>11.7</v>
      </c>
      <c r="H3354" s="56" t="n">
        <v>0</v>
      </c>
      <c r="I3354" s="56" t="n">
        <v>16.2</v>
      </c>
      <c r="J3354" s="56" t="n">
        <v>0</v>
      </c>
      <c r="K3354" s="56" t="n">
        <v>1011.2</v>
      </c>
      <c r="L3354" s="56" t="n">
        <v>0</v>
      </c>
      <c r="M3354" s="56" t="n">
        <v>78</v>
      </c>
      <c r="N3354" s="56" t="n">
        <v>0.9</v>
      </c>
      <c r="O3354" s="56" t="n">
        <f aca="false">IF(D3354=1,"",E3353)</f>
        <v>20.6</v>
      </c>
      <c r="P3354" s="56" t="n">
        <f aca="false">IF(OR(D3354=1,K3353=""),"",K3353)</f>
        <v>1011.3</v>
      </c>
      <c r="Q3354" s="56" t="n">
        <f aca="false">IF(OR(F3354&lt;&gt;0,AND(I3354&lt;&gt;"",E3354&lt;I3354)),1,0)</f>
        <v>0</v>
      </c>
      <c r="R3354" s="56" t="n">
        <f aca="false">IF(AND(D3354&gt;1,Q3354=0,ISNUMBER(O3354),ISNUMBER(P3354)),IF(Q3353=0,1,0),0)</f>
        <v>1</v>
      </c>
      <c r="S3354" s="56" t="n">
        <f aca="false">R3354*(B3354&gt;=Train_Start)*(B3354&lt;=Train_End)</f>
        <v>0</v>
      </c>
      <c r="T3354" s="84" t="n">
        <f aca="false">IF(AND(ISNUMBER(O3354),ISNUMBER(P3354)),Coef_A+Coef_B1*O3354+Coef_B2*P3354,"")</f>
        <v>20.6897372420279</v>
      </c>
      <c r="U3354" s="84" t="n">
        <f aca="false">IF(AND(R3354=1,ISNUMBER(T3354)),E3354-T3354,"")</f>
        <v>-3.88973724202792</v>
      </c>
      <c r="V3354" s="84" t="n">
        <f aca="false">IF(ISNUMBER(T3354),T3354,-99)</f>
        <v>20.6897372420279</v>
      </c>
      <c r="W3354" s="84" t="n">
        <f aca="false">IF(ISNUMBER(U3354),ABS(U3354),"")</f>
        <v>3.88973724202792</v>
      </c>
    </row>
    <row r="3355" customFormat="false" ht="15" hidden="false" customHeight="false" outlineLevel="0" collapsed="false">
      <c r="A3355" s="57" t="n">
        <v>36787</v>
      </c>
      <c r="B3355" s="56" t="n">
        <v>2000</v>
      </c>
      <c r="C3355" s="56" t="n">
        <v>9</v>
      </c>
      <c r="D3355" s="56" t="n">
        <v>141</v>
      </c>
      <c r="E3355" s="56" t="n">
        <v>15.6</v>
      </c>
      <c r="F3355" s="56" t="n">
        <v>0</v>
      </c>
      <c r="G3355" s="56" t="n">
        <v>13.6</v>
      </c>
      <c r="H3355" s="56" t="n">
        <v>0</v>
      </c>
      <c r="I3355" s="56" t="n">
        <v>15.2</v>
      </c>
      <c r="J3355" s="56" t="n">
        <v>0</v>
      </c>
      <c r="K3355" s="56" t="n">
        <v>1001.5</v>
      </c>
      <c r="L3355" s="56" t="n">
        <v>0</v>
      </c>
      <c r="M3355" s="56" t="n">
        <v>86</v>
      </c>
      <c r="N3355" s="56" t="n">
        <v>0</v>
      </c>
      <c r="O3355" s="56" t="n">
        <f aca="false">IF(D3355=1,"",E3354)</f>
        <v>16.8</v>
      </c>
      <c r="P3355" s="56" t="n">
        <f aca="false">IF(OR(D3355=1,K3354=""),"",K3354)</f>
        <v>1011.2</v>
      </c>
      <c r="Q3355" s="56" t="n">
        <f aca="false">IF(OR(F3355&lt;&gt;0,AND(I3355&lt;&gt;"",E3355&lt;I3355)),1,0)</f>
        <v>0</v>
      </c>
      <c r="R3355" s="56" t="n">
        <f aca="false">IF(AND(D3355&gt;1,Q3355=0,ISNUMBER(O3355),ISNUMBER(P3355)),IF(Q3354=0,1,0),0)</f>
        <v>1</v>
      </c>
      <c r="S3355" s="56" t="n">
        <f aca="false">R3355*(B3355&gt;=Train_Start)*(B3355&lt;=Train_End)</f>
        <v>0</v>
      </c>
      <c r="T3355" s="84" t="n">
        <f aca="false">IF(AND(ISNUMBER(O3355),ISNUMBER(P3355)),Coef_A+Coef_B1*O3355+Coef_B2*P3355,"")</f>
        <v>17.5731113190024</v>
      </c>
      <c r="U3355" s="84" t="n">
        <f aca="false">IF(AND(R3355=1,ISNUMBER(T3355)),E3355-T3355,"")</f>
        <v>-1.97311131900242</v>
      </c>
      <c r="V3355" s="84" t="n">
        <f aca="false">IF(ISNUMBER(T3355),T3355,-99)</f>
        <v>17.5731113190024</v>
      </c>
      <c r="W3355" s="84" t="n">
        <f aca="false">IF(ISNUMBER(U3355),ABS(U3355),"")</f>
        <v>1.97311131900242</v>
      </c>
    </row>
    <row r="3356" customFormat="false" ht="15" hidden="false" customHeight="false" outlineLevel="0" collapsed="false">
      <c r="A3356" s="57" t="n">
        <v>36788</v>
      </c>
      <c r="B3356" s="56" t="n">
        <v>2000</v>
      </c>
      <c r="C3356" s="56" t="n">
        <v>9</v>
      </c>
      <c r="D3356" s="56" t="n">
        <v>142</v>
      </c>
      <c r="E3356" s="56" t="n">
        <v>16.9</v>
      </c>
      <c r="F3356" s="56" t="n">
        <v>0</v>
      </c>
      <c r="G3356" s="56" t="n">
        <v>11.9</v>
      </c>
      <c r="H3356" s="56" t="n">
        <v>0</v>
      </c>
      <c r="I3356" s="56" t="n">
        <v>13.8</v>
      </c>
      <c r="J3356" s="56" t="n">
        <v>0</v>
      </c>
      <c r="K3356" s="56" t="n">
        <v>996.4</v>
      </c>
      <c r="L3356" s="56" t="n">
        <v>0</v>
      </c>
      <c r="M3356" s="56" t="n">
        <v>94</v>
      </c>
      <c r="N3356" s="56" t="n">
        <v>0</v>
      </c>
      <c r="O3356" s="56" t="n">
        <f aca="false">IF(D3356=1,"",E3355)</f>
        <v>15.6</v>
      </c>
      <c r="P3356" s="56" t="n">
        <f aca="false">IF(OR(D3356=1,K3355=""),"",K3355)</f>
        <v>1001.5</v>
      </c>
      <c r="Q3356" s="56" t="n">
        <f aca="false">IF(OR(F3356&lt;&gt;0,AND(I3356&lt;&gt;"",E3356&lt;I3356)),1,0)</f>
        <v>0</v>
      </c>
      <c r="R3356" s="56" t="n">
        <f aca="false">IF(AND(D3356&gt;1,Q3356=0,ISNUMBER(O3356),ISNUMBER(P3356)),IF(Q3355=0,1,0),0)</f>
        <v>1</v>
      </c>
      <c r="S3356" s="56" t="n">
        <f aca="false">R3356*(B3356&gt;=Train_Start)*(B3356&lt;=Train_End)</f>
        <v>0</v>
      </c>
      <c r="T3356" s="84" t="n">
        <f aca="false">IF(AND(ISNUMBER(O3356),ISNUMBER(P3356)),Coef_A+Coef_B1*O3356+Coef_B2*P3356,"")</f>
        <v>16.2856163094015</v>
      </c>
      <c r="U3356" s="84" t="n">
        <f aca="false">IF(AND(R3356=1,ISNUMBER(T3356)),E3356-T3356,"")</f>
        <v>0.614383690598466</v>
      </c>
      <c r="V3356" s="84" t="n">
        <f aca="false">IF(ISNUMBER(T3356),T3356,-99)</f>
        <v>16.2856163094015</v>
      </c>
      <c r="W3356" s="84" t="n">
        <f aca="false">IF(ISNUMBER(U3356),ABS(U3356),"")</f>
        <v>0.614383690598466</v>
      </c>
    </row>
    <row r="3357" customFormat="false" ht="15" hidden="false" customHeight="false" outlineLevel="0" collapsed="false">
      <c r="A3357" s="57" t="n">
        <v>36789</v>
      </c>
      <c r="B3357" s="56" t="n">
        <v>2000</v>
      </c>
      <c r="C3357" s="56" t="n">
        <v>9</v>
      </c>
      <c r="D3357" s="56" t="n">
        <v>143</v>
      </c>
      <c r="E3357" s="56" t="n">
        <v>18.6</v>
      </c>
      <c r="F3357" s="56" t="n">
        <v>0</v>
      </c>
      <c r="G3357" s="56" t="n">
        <v>10.4</v>
      </c>
      <c r="H3357" s="56" t="n">
        <v>0</v>
      </c>
      <c r="I3357" s="56" t="n">
        <v>13.6</v>
      </c>
      <c r="J3357" s="56" t="n">
        <v>0</v>
      </c>
      <c r="K3357" s="56" t="n">
        <v>1002.5</v>
      </c>
      <c r="L3357" s="56" t="n">
        <v>0</v>
      </c>
      <c r="M3357" s="56" t="n">
        <v>81</v>
      </c>
      <c r="N3357" s="56" t="n">
        <v>3.5</v>
      </c>
      <c r="O3357" s="56" t="n">
        <f aca="false">IF(D3357=1,"",E3356)</f>
        <v>16.9</v>
      </c>
      <c r="P3357" s="56" t="n">
        <f aca="false">IF(OR(D3357=1,K3356=""),"",K3356)</f>
        <v>996.4</v>
      </c>
      <c r="Q3357" s="56" t="n">
        <f aca="false">IF(OR(F3357&lt;&gt;0,AND(I3357&lt;&gt;"",E3357&lt;I3357)),1,0)</f>
        <v>0</v>
      </c>
      <c r="R3357" s="56" t="n">
        <f aca="false">IF(AND(D3357&gt;1,Q3357=0,ISNUMBER(O3357),ISNUMBER(P3357)),IF(Q3356=0,1,0),0)</f>
        <v>1</v>
      </c>
      <c r="S3357" s="56" t="n">
        <f aca="false">R3357*(B3357&gt;=Train_Start)*(B3357&lt;=Train_End)</f>
        <v>0</v>
      </c>
      <c r="T3357" s="84" t="n">
        <f aca="false">IF(AND(ISNUMBER(O3357),ISNUMBER(P3357)),Coef_A+Coef_B1*O3357+Coef_B2*P3357,"")</f>
        <v>17.1907707977236</v>
      </c>
      <c r="U3357" s="84" t="n">
        <f aca="false">IF(AND(R3357=1,ISNUMBER(T3357)),E3357-T3357,"")</f>
        <v>1.40922920227636</v>
      </c>
      <c r="V3357" s="84" t="n">
        <f aca="false">IF(ISNUMBER(T3357),T3357,-99)</f>
        <v>17.1907707977236</v>
      </c>
      <c r="W3357" s="84" t="n">
        <f aca="false">IF(ISNUMBER(U3357),ABS(U3357),"")</f>
        <v>1.40922920227636</v>
      </c>
    </row>
    <row r="3358" customFormat="false" ht="15" hidden="false" customHeight="false" outlineLevel="0" collapsed="false">
      <c r="A3358" s="57" t="n">
        <v>36790</v>
      </c>
      <c r="B3358" s="56" t="n">
        <v>2000</v>
      </c>
      <c r="C3358" s="56" t="n">
        <v>9</v>
      </c>
      <c r="D3358" s="56" t="n">
        <v>144</v>
      </c>
      <c r="E3358" s="56" t="n">
        <v>21.5</v>
      </c>
      <c r="F3358" s="56" t="n">
        <v>0</v>
      </c>
      <c r="G3358" s="56" t="n">
        <v>7.2</v>
      </c>
      <c r="H3358" s="56" t="n">
        <v>0</v>
      </c>
      <c r="I3358" s="56" t="n">
        <v>12.9</v>
      </c>
      <c r="J3358" s="56" t="n">
        <v>0</v>
      </c>
      <c r="K3358" s="56" t="n">
        <v>1012.6</v>
      </c>
      <c r="L3358" s="56" t="n">
        <v>0</v>
      </c>
      <c r="M3358" s="56" t="n">
        <v>86</v>
      </c>
      <c r="N3358" s="56" t="n">
        <v>2.9</v>
      </c>
      <c r="O3358" s="56" t="n">
        <f aca="false">IF(D3358=1,"",E3357)</f>
        <v>18.6</v>
      </c>
      <c r="P3358" s="56" t="n">
        <f aca="false">IF(OR(D3358=1,K3357=""),"",K3357)</f>
        <v>1002.5</v>
      </c>
      <c r="Q3358" s="56" t="n">
        <f aca="false">IF(OR(F3358&lt;&gt;0,AND(I3358&lt;&gt;"",E3358&lt;I3358)),1,0)</f>
        <v>0</v>
      </c>
      <c r="R3358" s="56" t="n">
        <f aca="false">IF(AND(D3358&gt;1,Q3358=0,ISNUMBER(O3358),ISNUMBER(P3358)),IF(Q3357=0,1,0),0)</f>
        <v>1</v>
      </c>
      <c r="S3358" s="56" t="n">
        <f aca="false">R3358*(B3358&gt;=Train_Start)*(B3358&lt;=Train_End)</f>
        <v>0</v>
      </c>
      <c r="T3358" s="84" t="n">
        <f aca="false">IF(AND(ISNUMBER(O3358),ISNUMBER(P3358)),Coef_A+Coef_B1*O3358+Coef_B2*P3358,"")</f>
        <v>18.7750037831635</v>
      </c>
      <c r="U3358" s="84" t="n">
        <f aca="false">IF(AND(R3358=1,ISNUMBER(T3358)),E3358-T3358,"")</f>
        <v>2.72499621683651</v>
      </c>
      <c r="V3358" s="84" t="n">
        <f aca="false">IF(ISNUMBER(T3358),T3358,-99)</f>
        <v>18.7750037831635</v>
      </c>
      <c r="W3358" s="84" t="n">
        <f aca="false">IF(ISNUMBER(U3358),ABS(U3358),"")</f>
        <v>2.72499621683651</v>
      </c>
    </row>
    <row r="3359" customFormat="false" ht="15" hidden="false" customHeight="false" outlineLevel="0" collapsed="false">
      <c r="A3359" s="57" t="n">
        <v>36791</v>
      </c>
      <c r="B3359" s="56" t="n">
        <v>2000</v>
      </c>
      <c r="C3359" s="56" t="n">
        <v>9</v>
      </c>
      <c r="D3359" s="56" t="n">
        <v>145</v>
      </c>
      <c r="E3359" s="56" t="n">
        <v>24.8</v>
      </c>
      <c r="F3359" s="56" t="n">
        <v>0</v>
      </c>
      <c r="G3359" s="56" t="n">
        <v>14.3</v>
      </c>
      <c r="H3359" s="56" t="n">
        <v>0</v>
      </c>
      <c r="I3359" s="56" t="n">
        <v>17.9</v>
      </c>
      <c r="J3359" s="56" t="n">
        <v>0</v>
      </c>
      <c r="K3359" s="56" t="n">
        <v>1017.5</v>
      </c>
      <c r="L3359" s="56" t="n">
        <v>0</v>
      </c>
      <c r="M3359" s="56" t="n">
        <v>73</v>
      </c>
      <c r="N3359" s="56" t="n">
        <v>8.5</v>
      </c>
      <c r="O3359" s="56" t="n">
        <f aca="false">IF(D3359=1,"",E3358)</f>
        <v>21.5</v>
      </c>
      <c r="P3359" s="56" t="n">
        <f aca="false">IF(OR(D3359=1,K3358=""),"",K3358)</f>
        <v>1012.6</v>
      </c>
      <c r="Q3359" s="56" t="n">
        <f aca="false">IF(OR(F3359&lt;&gt;0,AND(I3359&lt;&gt;"",E3359&lt;I3359)),1,0)</f>
        <v>0</v>
      </c>
      <c r="R3359" s="56" t="n">
        <f aca="false">IF(AND(D3359&gt;1,Q3359=0,ISNUMBER(O3359),ISNUMBER(P3359)),IF(Q3358=0,1,0),0)</f>
        <v>1</v>
      </c>
      <c r="S3359" s="56" t="n">
        <f aca="false">R3359*(B3359&gt;=Train_Start)*(B3359&lt;=Train_End)</f>
        <v>0</v>
      </c>
      <c r="T3359" s="84" t="n">
        <f aca="false">IF(AND(ISNUMBER(O3359),ISNUMBER(P3359)),Coef_A+Coef_B1*O3359+Coef_B2*P3359,"")</f>
        <v>21.4679233787905</v>
      </c>
      <c r="U3359" s="84" t="n">
        <f aca="false">IF(AND(R3359=1,ISNUMBER(T3359)),E3359-T3359,"")</f>
        <v>3.33207662120951</v>
      </c>
      <c r="V3359" s="84" t="n">
        <f aca="false">IF(ISNUMBER(T3359),T3359,-99)</f>
        <v>21.4679233787905</v>
      </c>
      <c r="W3359" s="84" t="n">
        <f aca="false">IF(ISNUMBER(U3359),ABS(U3359),"")</f>
        <v>3.33207662120951</v>
      </c>
    </row>
    <row r="3360" customFormat="false" ht="15" hidden="false" customHeight="false" outlineLevel="0" collapsed="false">
      <c r="A3360" s="57" t="n">
        <v>36792</v>
      </c>
      <c r="B3360" s="56" t="n">
        <v>2000</v>
      </c>
      <c r="C3360" s="56" t="n">
        <v>9</v>
      </c>
      <c r="D3360" s="56" t="n">
        <v>146</v>
      </c>
      <c r="E3360" s="56" t="n">
        <v>16.8</v>
      </c>
      <c r="F3360" s="56" t="n">
        <v>1</v>
      </c>
      <c r="G3360" s="56" t="n">
        <v>14.1</v>
      </c>
      <c r="H3360" s="56" t="n">
        <v>0</v>
      </c>
      <c r="I3360" s="56" t="n">
        <v>19.4</v>
      </c>
      <c r="J3360" s="56" t="n">
        <v>1</v>
      </c>
      <c r="K3360" s="56" t="n">
        <v>1017.6</v>
      </c>
      <c r="L3360" s="56" t="n">
        <v>0</v>
      </c>
      <c r="M3360" s="56" t="n">
        <v>74</v>
      </c>
      <c r="N3360" s="56" t="n">
        <v>10.6</v>
      </c>
      <c r="O3360" s="56" t="n">
        <f aca="false">IF(D3360=1,"",E3359)</f>
        <v>24.8</v>
      </c>
      <c r="P3360" s="56" t="n">
        <f aca="false">IF(OR(D3360=1,K3359=""),"",K3359)</f>
        <v>1017.5</v>
      </c>
      <c r="Q3360" s="56" t="n">
        <f aca="false">IF(OR(F3360&lt;&gt;0,AND(I3360&lt;&gt;"",E3360&lt;I3360)),1,0)</f>
        <v>1</v>
      </c>
      <c r="R3360" s="56" t="n">
        <f aca="false">IF(AND(D3360&gt;1,Q3360=0,ISNUMBER(O3360),ISNUMBER(P3360)),IF(Q3359=0,1,0),0)</f>
        <v>0</v>
      </c>
      <c r="S3360" s="56" t="n">
        <f aca="false">R3360*(B3360&gt;=Train_Start)*(B3360&lt;=Train_End)</f>
        <v>0</v>
      </c>
      <c r="T3360" s="84" t="n">
        <f aca="false">IF(AND(ISNUMBER(O3360),ISNUMBER(P3360)),Coef_A+Coef_B1*O3360+Coef_B2*P3360,"")</f>
        <v>24.3254551995378</v>
      </c>
      <c r="U3360" s="84" t="str">
        <f aca="false">IF(AND(R3360=1,ISNUMBER(T3360)),E3360-T3360,"")</f>
        <v/>
      </c>
      <c r="V3360" s="84" t="n">
        <f aca="false">IF(ISNUMBER(T3360),T3360,-99)</f>
        <v>24.3254551995378</v>
      </c>
      <c r="W3360" s="84" t="str">
        <f aca="false">IF(ISNUMBER(U3360),ABS(U3360),"")</f>
        <v/>
      </c>
    </row>
    <row r="3361" customFormat="false" ht="15" hidden="false" customHeight="false" outlineLevel="0" collapsed="false">
      <c r="A3361" s="57" t="n">
        <v>36793</v>
      </c>
      <c r="B3361" s="56" t="n">
        <v>2000</v>
      </c>
      <c r="C3361" s="56" t="n">
        <v>9</v>
      </c>
      <c r="D3361" s="56" t="n">
        <v>147</v>
      </c>
      <c r="E3361" s="56" t="n">
        <v>18.5</v>
      </c>
      <c r="F3361" s="56" t="n">
        <v>0</v>
      </c>
      <c r="G3361" s="56" t="n">
        <v>13.6</v>
      </c>
      <c r="H3361" s="56" t="n">
        <v>0</v>
      </c>
      <c r="I3361" s="56" t="n">
        <v>15.2</v>
      </c>
      <c r="J3361" s="56" t="n">
        <v>0</v>
      </c>
      <c r="K3361" s="56" t="n">
        <v>1014.2</v>
      </c>
      <c r="L3361" s="56" t="n">
        <v>0</v>
      </c>
      <c r="M3361" s="56" t="n">
        <v>87</v>
      </c>
      <c r="N3361" s="56" t="n">
        <v>1.3</v>
      </c>
      <c r="O3361" s="56" t="n">
        <f aca="false">IF(D3361=1,"",E3360)</f>
        <v>16.8</v>
      </c>
      <c r="P3361" s="56" t="n">
        <f aca="false">IF(OR(D3361=1,K3360=""),"",K3360)</f>
        <v>1017.6</v>
      </c>
      <c r="Q3361" s="56" t="n">
        <f aca="false">IF(OR(F3361&lt;&gt;0,AND(I3361&lt;&gt;"",E3361&lt;I3361)),1,0)</f>
        <v>0</v>
      </c>
      <c r="R3361" s="56" t="n">
        <f aca="false">IF(AND(D3361&gt;1,Q3361=0,ISNUMBER(O3361),ISNUMBER(P3361)),IF(Q3360=0,1,0),0)</f>
        <v>0</v>
      </c>
      <c r="S3361" s="56" t="n">
        <f aca="false">R3361*(B3361&gt;=Train_Start)*(B3361&lt;=Train_End)</f>
        <v>0</v>
      </c>
      <c r="T3361" s="84" t="n">
        <f aca="false">IF(AND(ISNUMBER(O3361),ISNUMBER(P3361)),Coef_A+Coef_B1*O3361+Coef_B2*P3361,"")</f>
        <v>17.77387864466</v>
      </c>
      <c r="U3361" s="84" t="str">
        <f aca="false">IF(AND(R3361=1,ISNUMBER(T3361)),E3361-T3361,"")</f>
        <v/>
      </c>
      <c r="V3361" s="84" t="n">
        <f aca="false">IF(ISNUMBER(T3361),T3361,-99)</f>
        <v>17.77387864466</v>
      </c>
      <c r="W3361" s="84" t="str">
        <f aca="false">IF(ISNUMBER(U3361),ABS(U3361),"")</f>
        <v/>
      </c>
    </row>
    <row r="3362" customFormat="false" ht="15" hidden="false" customHeight="false" outlineLevel="0" collapsed="false">
      <c r="A3362" s="57" t="n">
        <v>36794</v>
      </c>
      <c r="B3362" s="56" t="n">
        <v>2000</v>
      </c>
      <c r="C3362" s="56" t="n">
        <v>9</v>
      </c>
      <c r="D3362" s="56" t="n">
        <v>148</v>
      </c>
      <c r="E3362" s="56" t="n">
        <v>20.7</v>
      </c>
      <c r="F3362" s="56" t="n">
        <v>0</v>
      </c>
      <c r="G3362" s="56" t="n">
        <v>10.7</v>
      </c>
      <c r="H3362" s="56" t="n">
        <v>0</v>
      </c>
      <c r="I3362" s="56" t="n">
        <v>14.6</v>
      </c>
      <c r="J3362" s="56" t="n">
        <v>0</v>
      </c>
      <c r="K3362" s="56" t="n">
        <v>1018.7</v>
      </c>
      <c r="L3362" s="56" t="n">
        <v>0</v>
      </c>
      <c r="M3362" s="56" t="n">
        <v>85</v>
      </c>
      <c r="N3362" s="56" t="n">
        <v>4.7</v>
      </c>
      <c r="O3362" s="56" t="n">
        <f aca="false">IF(D3362=1,"",E3361)</f>
        <v>18.5</v>
      </c>
      <c r="P3362" s="56" t="n">
        <f aca="false">IF(OR(D3362=1,K3361=""),"",K3361)</f>
        <v>1014.2</v>
      </c>
      <c r="Q3362" s="56" t="n">
        <f aca="false">IF(OR(F3362&lt;&gt;0,AND(I3362&lt;&gt;"",E3362&lt;I3362)),1,0)</f>
        <v>0</v>
      </c>
      <c r="R3362" s="56" t="n">
        <f aca="false">IF(AND(D3362&gt;1,Q3362=0,ISNUMBER(O3362),ISNUMBER(P3362)),IF(Q3361=0,1,0),0)</f>
        <v>1</v>
      </c>
      <c r="S3362" s="56" t="n">
        <f aca="false">R3362*(B3362&gt;=Train_Start)*(B3362&lt;=Train_End)</f>
        <v>0</v>
      </c>
      <c r="T3362" s="84" t="n">
        <f aca="false">IF(AND(ISNUMBER(O3362),ISNUMBER(P3362)),Coef_A+Coef_B1*O3362+Coef_B2*P3362,"")</f>
        <v>19.0600976310769</v>
      </c>
      <c r="U3362" s="84" t="n">
        <f aca="false">IF(AND(R3362=1,ISNUMBER(T3362)),E3362-T3362,"")</f>
        <v>1.63990236892309</v>
      </c>
      <c r="V3362" s="84" t="n">
        <f aca="false">IF(ISNUMBER(T3362),T3362,-99)</f>
        <v>19.0600976310769</v>
      </c>
      <c r="W3362" s="84" t="n">
        <f aca="false">IF(ISNUMBER(U3362),ABS(U3362),"")</f>
        <v>1.63990236892309</v>
      </c>
    </row>
    <row r="3363" customFormat="false" ht="15" hidden="false" customHeight="false" outlineLevel="0" collapsed="false">
      <c r="A3363" s="57" t="n">
        <v>36795</v>
      </c>
      <c r="B3363" s="56" t="n">
        <v>2000</v>
      </c>
      <c r="C3363" s="56" t="n">
        <v>9</v>
      </c>
      <c r="D3363" s="56" t="n">
        <v>149</v>
      </c>
      <c r="E3363" s="56" t="n">
        <v>18.2</v>
      </c>
      <c r="F3363" s="56" t="n">
        <v>0</v>
      </c>
      <c r="G3363" s="56" t="n">
        <v>12.1</v>
      </c>
      <c r="H3363" s="56" t="n">
        <v>0</v>
      </c>
      <c r="I3363" s="56" t="n">
        <v>16.4</v>
      </c>
      <c r="J3363" s="56" t="n">
        <v>0</v>
      </c>
      <c r="K3363" s="56" t="n">
        <v>1013.8</v>
      </c>
      <c r="L3363" s="56" t="n">
        <v>0</v>
      </c>
      <c r="M3363" s="56" t="n">
        <v>84</v>
      </c>
      <c r="N3363" s="56" t="n">
        <v>4.3</v>
      </c>
      <c r="O3363" s="56" t="n">
        <f aca="false">IF(D3363=1,"",E3362)</f>
        <v>20.7</v>
      </c>
      <c r="P3363" s="56" t="n">
        <f aca="false">IF(OR(D3363=1,K3362=""),"",K3362)</f>
        <v>1018.7</v>
      </c>
      <c r="Q3363" s="56" t="n">
        <f aca="false">IF(OR(F3363&lt;&gt;0,AND(I3363&lt;&gt;"",E3363&lt;I3363)),1,0)</f>
        <v>0</v>
      </c>
      <c r="R3363" s="56" t="n">
        <f aca="false">IF(AND(D3363&gt;1,Q3363=0,ISNUMBER(O3363),ISNUMBER(P3363)),IF(Q3362=0,1,0),0)</f>
        <v>1</v>
      </c>
      <c r="S3363" s="56" t="n">
        <f aca="false">R3363*(B3363&gt;=Train_Start)*(B3363&lt;=Train_End)</f>
        <v>0</v>
      </c>
      <c r="T3363" s="84" t="n">
        <f aca="false">IF(AND(ISNUMBER(O3363),ISNUMBER(P3363)),Coef_A+Coef_B1*O3363+Coef_B2*P3363,"")</f>
        <v>21.0038083816237</v>
      </c>
      <c r="U3363" s="84" t="n">
        <f aca="false">IF(AND(R3363=1,ISNUMBER(T3363)),E3363-T3363,"")</f>
        <v>-2.80380838162371</v>
      </c>
      <c r="V3363" s="84" t="n">
        <f aca="false">IF(ISNUMBER(T3363),T3363,-99)</f>
        <v>21.0038083816237</v>
      </c>
      <c r="W3363" s="84" t="n">
        <f aca="false">IF(ISNUMBER(U3363),ABS(U3363),"")</f>
        <v>2.80380838162371</v>
      </c>
    </row>
    <row r="3364" customFormat="false" ht="15" hidden="false" customHeight="false" outlineLevel="0" collapsed="false">
      <c r="A3364" s="57" t="n">
        <v>36796</v>
      </c>
      <c r="B3364" s="56" t="n">
        <v>2000</v>
      </c>
      <c r="C3364" s="56" t="n">
        <v>9</v>
      </c>
      <c r="D3364" s="56" t="n">
        <v>150</v>
      </c>
      <c r="E3364" s="56" t="n">
        <v>18.4</v>
      </c>
      <c r="F3364" s="56" t="n">
        <v>0</v>
      </c>
      <c r="G3364" s="56" t="n">
        <v>11.7</v>
      </c>
      <c r="H3364" s="56" t="n">
        <v>0</v>
      </c>
      <c r="I3364" s="56" t="n">
        <v>15</v>
      </c>
      <c r="J3364" s="56" t="n">
        <v>0</v>
      </c>
      <c r="K3364" s="56" t="n">
        <v>1009.7</v>
      </c>
      <c r="L3364" s="56" t="n">
        <v>0</v>
      </c>
      <c r="M3364" s="56" t="n">
        <v>80</v>
      </c>
      <c r="N3364" s="56" t="n">
        <v>3.3</v>
      </c>
      <c r="O3364" s="56" t="n">
        <f aca="false">IF(D3364=1,"",E3363)</f>
        <v>18.2</v>
      </c>
      <c r="P3364" s="56" t="n">
        <f aca="false">IF(OR(D3364=1,K3363=""),"",K3363)</f>
        <v>1013.8</v>
      </c>
      <c r="Q3364" s="56" t="n">
        <f aca="false">IF(OR(F3364&lt;&gt;0,AND(I3364&lt;&gt;"",E3364&lt;I3364)),1,0)</f>
        <v>0</v>
      </c>
      <c r="R3364" s="56" t="n">
        <f aca="false">IF(AND(D3364&gt;1,Q3364=0,ISNUMBER(O3364),ISNUMBER(P3364)),IF(Q3363=0,1,0),0)</f>
        <v>1</v>
      </c>
      <c r="S3364" s="56" t="n">
        <f aca="false">R3364*(B3364&gt;=Train_Start)*(B3364&lt;=Train_End)</f>
        <v>0</v>
      </c>
      <c r="T3364" s="84" t="n">
        <f aca="false">IF(AND(ISNUMBER(O3364),ISNUMBER(P3364)),Coef_A+Coef_B1*O3364+Coef_B2*P3364,"")</f>
        <v>18.8017479153105</v>
      </c>
      <c r="U3364" s="84" t="n">
        <f aca="false">IF(AND(R3364=1,ISNUMBER(T3364)),E3364-T3364,"")</f>
        <v>-0.401747915310509</v>
      </c>
      <c r="V3364" s="84" t="n">
        <f aca="false">IF(ISNUMBER(T3364),T3364,-99)</f>
        <v>18.8017479153105</v>
      </c>
      <c r="W3364" s="84" t="n">
        <f aca="false">IF(ISNUMBER(U3364),ABS(U3364),"")</f>
        <v>0.401747915310509</v>
      </c>
    </row>
    <row r="3365" customFormat="false" ht="15" hidden="false" customHeight="false" outlineLevel="0" collapsed="false">
      <c r="A3365" s="57" t="n">
        <v>36797</v>
      </c>
      <c r="B3365" s="56" t="n">
        <v>2000</v>
      </c>
      <c r="C3365" s="56" t="n">
        <v>9</v>
      </c>
      <c r="D3365" s="56" t="n">
        <v>151</v>
      </c>
      <c r="E3365" s="56" t="n">
        <v>18.9</v>
      </c>
      <c r="F3365" s="56" t="n">
        <v>0</v>
      </c>
      <c r="G3365" s="56" t="n">
        <v>13.2</v>
      </c>
      <c r="H3365" s="56" t="n">
        <v>0</v>
      </c>
      <c r="I3365" s="56" t="n">
        <v>15.8</v>
      </c>
      <c r="J3365" s="56" t="n">
        <v>0</v>
      </c>
      <c r="K3365" s="56" t="n">
        <v>998.5</v>
      </c>
      <c r="L3365" s="56" t="n">
        <v>0</v>
      </c>
      <c r="M3365" s="56" t="n">
        <v>79</v>
      </c>
      <c r="N3365" s="56" t="n">
        <v>5.8</v>
      </c>
      <c r="O3365" s="56" t="n">
        <f aca="false">IF(D3365=1,"",E3364)</f>
        <v>18.4</v>
      </c>
      <c r="P3365" s="56" t="n">
        <f aca="false">IF(OR(D3365=1,K3364=""),"",K3364)</f>
        <v>1009.7</v>
      </c>
      <c r="Q3365" s="56" t="n">
        <f aca="false">IF(OR(F3365&lt;&gt;0,AND(I3365&lt;&gt;"",E3365&lt;I3365)),1,0)</f>
        <v>0</v>
      </c>
      <c r="R3365" s="56" t="n">
        <f aca="false">IF(AND(D3365&gt;1,Q3365=0,ISNUMBER(O3365),ISNUMBER(P3365)),IF(Q3364=0,1,0),0)</f>
        <v>1</v>
      </c>
      <c r="S3365" s="56" t="n">
        <f aca="false">R3365*(B3365&gt;=Train_Start)*(B3365&lt;=Train_End)</f>
        <v>0</v>
      </c>
      <c r="T3365" s="84" t="n">
        <f aca="false">IF(AND(ISNUMBER(O3365),ISNUMBER(P3365)),Coef_A+Coef_B1*O3365+Coef_B2*P3365,"")</f>
        <v>18.8369991859197</v>
      </c>
      <c r="U3365" s="84" t="n">
        <f aca="false">IF(AND(R3365=1,ISNUMBER(T3365)),E3365-T3365,"")</f>
        <v>0.0630008140803113</v>
      </c>
      <c r="V3365" s="84" t="n">
        <f aca="false">IF(ISNUMBER(T3365),T3365,-99)</f>
        <v>18.8369991859197</v>
      </c>
      <c r="W3365" s="84" t="n">
        <f aca="false">IF(ISNUMBER(U3365),ABS(U3365),"")</f>
        <v>0.0630008140803113</v>
      </c>
    </row>
    <row r="3366" customFormat="false" ht="15" hidden="false" customHeight="false" outlineLevel="0" collapsed="false">
      <c r="A3366" s="57" t="n">
        <v>36798</v>
      </c>
      <c r="B3366" s="56" t="n">
        <v>2000</v>
      </c>
      <c r="C3366" s="56" t="n">
        <v>9</v>
      </c>
      <c r="D3366" s="56" t="n">
        <v>152</v>
      </c>
      <c r="E3366" s="56" t="n">
        <v>17.9</v>
      </c>
      <c r="F3366" s="56" t="n">
        <v>0</v>
      </c>
      <c r="G3366" s="56" t="n">
        <v>11.5</v>
      </c>
      <c r="H3366" s="56" t="n">
        <v>0</v>
      </c>
      <c r="I3366" s="56" t="n">
        <v>15.2</v>
      </c>
      <c r="J3366" s="56" t="n">
        <v>0</v>
      </c>
      <c r="K3366" s="56" t="n">
        <v>998.6</v>
      </c>
      <c r="L3366" s="56" t="n">
        <v>0</v>
      </c>
      <c r="M3366" s="56" t="n">
        <v>81</v>
      </c>
      <c r="N3366" s="56" t="n">
        <v>7.1</v>
      </c>
      <c r="O3366" s="56" t="n">
        <f aca="false">IF(D3366=1,"",E3365)</f>
        <v>18.9</v>
      </c>
      <c r="P3366" s="56" t="n">
        <f aca="false">IF(OR(D3366=1,K3365=""),"",K3365)</f>
        <v>998.5</v>
      </c>
      <c r="Q3366" s="56" t="n">
        <f aca="false">IF(OR(F3366&lt;&gt;0,AND(I3366&lt;&gt;"",E3366&lt;I3366)),1,0)</f>
        <v>0</v>
      </c>
      <c r="R3366" s="56" t="n">
        <f aca="false">IF(AND(D3366&gt;1,Q3366=0,ISNUMBER(O3366),ISNUMBER(P3366)),IF(Q3365=0,1,0),0)</f>
        <v>1</v>
      </c>
      <c r="S3366" s="56" t="n">
        <f aca="false">R3366*(B3366&gt;=Train_Start)*(B3366&lt;=Train_End)</f>
        <v>0</v>
      </c>
      <c r="T3366" s="84" t="n">
        <f aca="false">IF(AND(ISNUMBER(O3366),ISNUMBER(P3366)),Coef_A+Coef_B1*O3366+Coef_B2*P3366,"")</f>
        <v>18.8953259625403</v>
      </c>
      <c r="U3366" s="84" t="n">
        <f aca="false">IF(AND(R3366=1,ISNUMBER(T3366)),E3366-T3366,"")</f>
        <v>-0.995325962540335</v>
      </c>
      <c r="V3366" s="84" t="n">
        <f aca="false">IF(ISNUMBER(T3366),T3366,-99)</f>
        <v>18.8953259625403</v>
      </c>
      <c r="W3366" s="84" t="n">
        <f aca="false">IF(ISNUMBER(U3366),ABS(U3366),"")</f>
        <v>0.995325962540335</v>
      </c>
    </row>
    <row r="3367" customFormat="false" ht="15" hidden="false" customHeight="false" outlineLevel="0" collapsed="false">
      <c r="A3367" s="57" t="n">
        <v>36799</v>
      </c>
      <c r="B3367" s="56" t="n">
        <v>2000</v>
      </c>
      <c r="C3367" s="56" t="n">
        <v>9</v>
      </c>
      <c r="D3367" s="56" t="n">
        <v>153</v>
      </c>
      <c r="E3367" s="56" t="n">
        <v>18.6</v>
      </c>
      <c r="F3367" s="56" t="n">
        <v>0</v>
      </c>
      <c r="G3367" s="56" t="n">
        <v>12.3</v>
      </c>
      <c r="H3367" s="56" t="n">
        <v>0</v>
      </c>
      <c r="I3367" s="56" t="n">
        <v>15.1</v>
      </c>
      <c r="J3367" s="56" t="n">
        <v>0</v>
      </c>
      <c r="K3367" s="56" t="n">
        <v>1004</v>
      </c>
      <c r="L3367" s="56" t="n">
        <v>0</v>
      </c>
      <c r="M3367" s="56" t="n">
        <v>85</v>
      </c>
      <c r="N3367" s="56" t="n">
        <v>6.7</v>
      </c>
      <c r="O3367" s="56" t="n">
        <f aca="false">IF(D3367=1,"",E3366)</f>
        <v>17.9</v>
      </c>
      <c r="P3367" s="56" t="n">
        <f aca="false">IF(OR(D3367=1,K3366=""),"",K3366)</f>
        <v>998.6</v>
      </c>
      <c r="Q3367" s="56" t="n">
        <f aca="false">IF(OR(F3367&lt;&gt;0,AND(I3367&lt;&gt;"",E3367&lt;I3367)),1,0)</f>
        <v>0</v>
      </c>
      <c r="R3367" s="56" t="n">
        <f aca="false">IF(AND(D3367&gt;1,Q3367=0,ISNUMBER(O3367),ISNUMBER(P3367)),IF(Q3366=0,1,0),0)</f>
        <v>1</v>
      </c>
      <c r="S3367" s="56" t="n">
        <f aca="false">R3367*(B3367&gt;=Train_Start)*(B3367&lt;=Train_End)</f>
        <v>0</v>
      </c>
      <c r="T3367" s="84" t="n">
        <f aca="false">IF(AND(ISNUMBER(O3367),ISNUMBER(P3367)),Coef_A+Coef_B1*O3367+Coef_B2*P3367,"")</f>
        <v>18.0791237589611</v>
      </c>
      <c r="U3367" s="84" t="n">
        <f aca="false">IF(AND(R3367=1,ISNUMBER(T3367)),E3367-T3367,"")</f>
        <v>0.520876241038927</v>
      </c>
      <c r="V3367" s="84" t="n">
        <f aca="false">IF(ISNUMBER(T3367),T3367,-99)</f>
        <v>18.0791237589611</v>
      </c>
      <c r="W3367" s="84" t="n">
        <f aca="false">IF(ISNUMBER(U3367),ABS(U3367),"")</f>
        <v>0.520876241038927</v>
      </c>
    </row>
    <row r="3368" customFormat="false" ht="15" hidden="false" customHeight="false" outlineLevel="0" collapsed="false">
      <c r="A3368" s="57" t="n">
        <v>37012</v>
      </c>
      <c r="B3368" s="56" t="n">
        <v>2001</v>
      </c>
      <c r="C3368" s="56" t="n">
        <v>5</v>
      </c>
      <c r="D3368" s="56" t="n">
        <v>1</v>
      </c>
      <c r="E3368" s="56" t="n">
        <v>15</v>
      </c>
      <c r="F3368" s="56" t="n">
        <v>0</v>
      </c>
      <c r="G3368" s="56" t="n">
        <v>6.8</v>
      </c>
      <c r="H3368" s="56" t="n">
        <v>0</v>
      </c>
      <c r="I3368" s="56" t="n">
        <v>8.8</v>
      </c>
      <c r="J3368" s="56" t="n">
        <v>0</v>
      </c>
      <c r="K3368" s="56" t="n">
        <v>1020.9</v>
      </c>
      <c r="L3368" s="56" t="n">
        <v>0</v>
      </c>
      <c r="M3368" s="56" t="n">
        <v>71</v>
      </c>
      <c r="N3368" s="56" t="n">
        <v>0</v>
      </c>
      <c r="O3368" s="56" t="str">
        <f aca="false">IF(D3368=1,"",E3367)</f>
        <v/>
      </c>
      <c r="P3368" s="56" t="str">
        <f aca="false">IF(OR(D3368=1,K3367=""),"",K3367)</f>
        <v/>
      </c>
      <c r="Q3368" s="56" t="n">
        <f aca="false">IF(OR(F3368&lt;&gt;0,AND(I3368&lt;&gt;"",E3368&lt;I3368)),1,0)</f>
        <v>0</v>
      </c>
      <c r="R3368" s="56" t="n">
        <f aca="false">IF(AND(D3368&gt;1,Q3368=0,ISNUMBER(O3368),ISNUMBER(P3368)),IF(Q3367=0,1,0),0)</f>
        <v>0</v>
      </c>
      <c r="S3368" s="56" t="n">
        <f aca="false">R3368*(B3368&gt;=Train_Start)*(B3368&lt;=Train_End)</f>
        <v>0</v>
      </c>
      <c r="T3368" s="84" t="str">
        <f aca="false">IF(AND(ISNUMBER(O3368),ISNUMBER(P3368)),Coef_A+Coef_B1*O3368+Coef_B2*P3368,"")</f>
        <v/>
      </c>
      <c r="U3368" s="84" t="str">
        <f aca="false">IF(AND(R3368=1,ISNUMBER(T3368)),E3368-T3368,"")</f>
        <v/>
      </c>
      <c r="V3368" s="84" t="n">
        <f aca="false">IF(ISNUMBER(T3368),T3368,-99)</f>
        <v>-99</v>
      </c>
      <c r="W3368" s="84" t="str">
        <f aca="false">IF(ISNUMBER(U3368),ABS(U3368),"")</f>
        <v/>
      </c>
    </row>
    <row r="3369" customFormat="false" ht="15" hidden="false" customHeight="false" outlineLevel="0" collapsed="false">
      <c r="A3369" s="57" t="n">
        <v>37013</v>
      </c>
      <c r="B3369" s="56" t="n">
        <v>2001</v>
      </c>
      <c r="C3369" s="56" t="n">
        <v>5</v>
      </c>
      <c r="D3369" s="56" t="n">
        <v>2</v>
      </c>
      <c r="E3369" s="56" t="n">
        <v>17.2</v>
      </c>
      <c r="F3369" s="56" t="n">
        <v>0</v>
      </c>
      <c r="G3369" s="56" t="n">
        <v>6.8</v>
      </c>
      <c r="H3369" s="56" t="n">
        <v>0</v>
      </c>
      <c r="I3369" s="56" t="n">
        <v>10.9</v>
      </c>
      <c r="J3369" s="56" t="n">
        <v>0</v>
      </c>
      <c r="K3369" s="56" t="n">
        <v>1019.9</v>
      </c>
      <c r="L3369" s="56" t="n">
        <v>0</v>
      </c>
      <c r="M3369" s="56" t="n">
        <v>76</v>
      </c>
      <c r="N3369" s="56" t="n">
        <v>3.2</v>
      </c>
      <c r="O3369" s="56" t="n">
        <f aca="false">IF(D3369=1,"",E3368)</f>
        <v>15</v>
      </c>
      <c r="P3369" s="56" t="n">
        <f aca="false">IF(OR(D3369=1,K3368=""),"",K3368)</f>
        <v>1020.9</v>
      </c>
      <c r="Q3369" s="56" t="n">
        <f aca="false">IF(OR(F3369&lt;&gt;0,AND(I3369&lt;&gt;"",E3369&lt;I3369)),1,0)</f>
        <v>0</v>
      </c>
      <c r="R3369" s="56" t="n">
        <f aca="false">IF(AND(D3369&gt;1,Q3369=0,ISNUMBER(O3369),ISNUMBER(P3369)),IF(Q3368=0,1,0),0)</f>
        <v>1</v>
      </c>
      <c r="S3369" s="56" t="n">
        <f aca="false">R3369*(B3369&gt;=Train_Start)*(B3369&lt;=Train_End)</f>
        <v>0</v>
      </c>
      <c r="T3369" s="84" t="n">
        <f aca="false">IF(AND(ISNUMBER(O3369),ISNUMBER(P3369)),Coef_A+Coef_B1*O3369+Coef_B2*P3369,"")</f>
        <v>16.4025887494753</v>
      </c>
      <c r="U3369" s="84" t="n">
        <f aca="false">IF(AND(R3369=1,ISNUMBER(T3369)),E3369-T3369,"")</f>
        <v>0.797411250524668</v>
      </c>
      <c r="V3369" s="84" t="n">
        <f aca="false">IF(ISNUMBER(T3369),T3369,-99)</f>
        <v>16.4025887494753</v>
      </c>
      <c r="W3369" s="84" t="n">
        <f aca="false">IF(ISNUMBER(U3369),ABS(U3369),"")</f>
        <v>0.797411250524668</v>
      </c>
    </row>
    <row r="3370" customFormat="false" ht="15" hidden="false" customHeight="false" outlineLevel="0" collapsed="false">
      <c r="A3370" s="57" t="n">
        <v>37014</v>
      </c>
      <c r="B3370" s="56" t="n">
        <v>2001</v>
      </c>
      <c r="C3370" s="56" t="n">
        <v>5</v>
      </c>
      <c r="D3370" s="56" t="n">
        <v>3</v>
      </c>
      <c r="E3370" s="56" t="n">
        <v>13.4</v>
      </c>
      <c r="F3370" s="56" t="n">
        <v>0</v>
      </c>
      <c r="G3370" s="56" t="n">
        <v>6.5</v>
      </c>
      <c r="H3370" s="56" t="n">
        <v>0</v>
      </c>
      <c r="I3370" s="56" t="n">
        <v>11.8</v>
      </c>
      <c r="J3370" s="56" t="n">
        <v>0</v>
      </c>
      <c r="K3370" s="56" t="n">
        <v>1010.2</v>
      </c>
      <c r="L3370" s="56" t="n">
        <v>0</v>
      </c>
      <c r="M3370" s="56" t="n">
        <v>63</v>
      </c>
      <c r="N3370" s="56" t="n">
        <v>4.3</v>
      </c>
      <c r="O3370" s="56" t="n">
        <f aca="false">IF(D3370=1,"",E3369)</f>
        <v>17.2</v>
      </c>
      <c r="P3370" s="56" t="n">
        <f aca="false">IF(OR(D3370=1,K3369=""),"",K3369)</f>
        <v>1019.9</v>
      </c>
      <c r="Q3370" s="56" t="n">
        <f aca="false">IF(OR(F3370&lt;&gt;0,AND(I3370&lt;&gt;"",E3370&lt;I3370)),1,0)</f>
        <v>0</v>
      </c>
      <c r="R3370" s="56" t="n">
        <f aca="false">IF(AND(D3370&gt;1,Q3370=0,ISNUMBER(O3370),ISNUMBER(P3370)),IF(Q3369=0,1,0),0)</f>
        <v>1</v>
      </c>
      <c r="S3370" s="56" t="n">
        <f aca="false">R3370*(B3370&gt;=Train_Start)*(B3370&lt;=Train_End)</f>
        <v>0</v>
      </c>
      <c r="T3370" s="84" t="n">
        <f aca="false">IF(AND(ISNUMBER(O3370),ISNUMBER(P3370)),Coef_A+Coef_B1*O3370+Coef_B2*P3370,"")</f>
        <v>18.1737650795352</v>
      </c>
      <c r="U3370" s="84" t="n">
        <f aca="false">IF(AND(R3370=1,ISNUMBER(T3370)),E3370-T3370,"")</f>
        <v>-4.77376507953519</v>
      </c>
      <c r="V3370" s="84" t="n">
        <f aca="false">IF(ISNUMBER(T3370),T3370,-99)</f>
        <v>18.1737650795352</v>
      </c>
      <c r="W3370" s="84" t="n">
        <f aca="false">IF(ISNUMBER(U3370),ABS(U3370),"")</f>
        <v>4.77376507953519</v>
      </c>
    </row>
    <row r="3371" customFormat="false" ht="15" hidden="false" customHeight="false" outlineLevel="0" collapsed="false">
      <c r="A3371" s="57" t="n">
        <v>37015</v>
      </c>
      <c r="B3371" s="56" t="n">
        <v>2001</v>
      </c>
      <c r="C3371" s="56" t="n">
        <v>5</v>
      </c>
      <c r="D3371" s="56" t="n">
        <v>4</v>
      </c>
      <c r="E3371" s="56" t="n">
        <v>13.4</v>
      </c>
      <c r="F3371" s="56" t="n">
        <v>0</v>
      </c>
      <c r="G3371" s="56" t="n">
        <v>5.7</v>
      </c>
      <c r="H3371" s="56" t="n">
        <v>0</v>
      </c>
      <c r="I3371" s="56" t="n">
        <v>9.6</v>
      </c>
      <c r="J3371" s="56" t="n">
        <v>0</v>
      </c>
      <c r="K3371" s="56" t="n">
        <v>1014.3</v>
      </c>
      <c r="L3371" s="56" t="n">
        <v>0</v>
      </c>
      <c r="M3371" s="56" t="n">
        <v>62</v>
      </c>
      <c r="N3371" s="56" t="n">
        <v>10.6</v>
      </c>
      <c r="O3371" s="56" t="n">
        <f aca="false">IF(D3371=1,"",E3370)</f>
        <v>13.4</v>
      </c>
      <c r="P3371" s="56" t="n">
        <f aca="false">IF(OR(D3371=1,K3370=""),"",K3370)</f>
        <v>1010.2</v>
      </c>
      <c r="Q3371" s="56" t="n">
        <f aca="false">IF(OR(F3371&lt;&gt;0,AND(I3371&lt;&gt;"",E3371&lt;I3371)),1,0)</f>
        <v>0</v>
      </c>
      <c r="R3371" s="56" t="n">
        <f aca="false">IF(AND(D3371&gt;1,Q3371=0,ISNUMBER(O3371),ISNUMBER(P3371)),IF(Q3370=0,1,0),0)</f>
        <v>1</v>
      </c>
      <c r="S3371" s="56" t="n">
        <f aca="false">R3371*(B3371&gt;=Train_Start)*(B3371&lt;=Train_End)</f>
        <v>0</v>
      </c>
      <c r="T3371" s="84" t="n">
        <f aca="false">IF(AND(ISNUMBER(O3371),ISNUMBER(P3371)),Coef_A+Coef_B1*O3371+Coef_B2*P3371,"")</f>
        <v>14.7559881680234</v>
      </c>
      <c r="U3371" s="84" t="n">
        <f aca="false">IF(AND(R3371=1,ISNUMBER(T3371)),E3371-T3371,"")</f>
        <v>-1.3559881680234</v>
      </c>
      <c r="V3371" s="84" t="n">
        <f aca="false">IF(ISNUMBER(T3371),T3371,-99)</f>
        <v>14.7559881680234</v>
      </c>
      <c r="W3371" s="84" t="n">
        <f aca="false">IF(ISNUMBER(U3371),ABS(U3371),"")</f>
        <v>1.3559881680234</v>
      </c>
    </row>
    <row r="3372" customFormat="false" ht="15" hidden="false" customHeight="false" outlineLevel="0" collapsed="false">
      <c r="A3372" s="57" t="n">
        <v>37016</v>
      </c>
      <c r="B3372" s="56" t="n">
        <v>2001</v>
      </c>
      <c r="C3372" s="56" t="n">
        <v>5</v>
      </c>
      <c r="D3372" s="56" t="n">
        <v>5</v>
      </c>
      <c r="E3372" s="56" t="n">
        <v>12.8</v>
      </c>
      <c r="F3372" s="56" t="n">
        <v>0</v>
      </c>
      <c r="G3372" s="56" t="n">
        <v>3.5</v>
      </c>
      <c r="H3372" s="56" t="n">
        <v>0</v>
      </c>
      <c r="I3372" s="56" t="n">
        <v>8.4</v>
      </c>
      <c r="J3372" s="56" t="n">
        <v>0</v>
      </c>
      <c r="K3372" s="56" t="n">
        <v>1021.7</v>
      </c>
      <c r="L3372" s="56" t="n">
        <v>0</v>
      </c>
      <c r="M3372" s="56" t="n">
        <v>62</v>
      </c>
      <c r="N3372" s="56" t="n">
        <v>9.9</v>
      </c>
      <c r="O3372" s="56" t="n">
        <f aca="false">IF(D3372=1,"",E3371)</f>
        <v>13.4</v>
      </c>
      <c r="P3372" s="56" t="n">
        <f aca="false">IF(OR(D3372=1,K3371=""),"",K3371)</f>
        <v>1014.3</v>
      </c>
      <c r="Q3372" s="56" t="n">
        <f aca="false">IF(OR(F3372&lt;&gt;0,AND(I3372&lt;&gt;"",E3372&lt;I3372)),1,0)</f>
        <v>0</v>
      </c>
      <c r="R3372" s="56" t="n">
        <f aca="false">IF(AND(D3372&gt;1,Q3372=0,ISNUMBER(O3372),ISNUMBER(P3372)),IF(Q3371=0,1,0),0)</f>
        <v>1</v>
      </c>
      <c r="S3372" s="56" t="n">
        <f aca="false">R3372*(B3372&gt;=Train_Start)*(B3372&lt;=Train_End)</f>
        <v>0</v>
      </c>
      <c r="T3372" s="84" t="n">
        <f aca="false">IF(AND(ISNUMBER(O3372),ISNUMBER(P3372)),Coef_A+Coef_B1*O3372+Coef_B2*P3372,"")</f>
        <v>14.8846047360228</v>
      </c>
      <c r="U3372" s="84" t="n">
        <f aca="false">IF(AND(R3372=1,ISNUMBER(T3372)),E3372-T3372,"")</f>
        <v>-2.08460473602275</v>
      </c>
      <c r="V3372" s="84" t="n">
        <f aca="false">IF(ISNUMBER(T3372),T3372,-99)</f>
        <v>14.8846047360228</v>
      </c>
      <c r="W3372" s="84" t="n">
        <f aca="false">IF(ISNUMBER(U3372),ABS(U3372),"")</f>
        <v>2.08460473602275</v>
      </c>
    </row>
    <row r="3373" customFormat="false" ht="15" hidden="false" customHeight="false" outlineLevel="0" collapsed="false">
      <c r="A3373" s="57" t="n">
        <v>37017</v>
      </c>
      <c r="B3373" s="56" t="n">
        <v>2001</v>
      </c>
      <c r="C3373" s="56" t="n">
        <v>5</v>
      </c>
      <c r="D3373" s="56" t="n">
        <v>6</v>
      </c>
      <c r="E3373" s="56" t="n">
        <v>15.4</v>
      </c>
      <c r="F3373" s="56" t="n">
        <v>0</v>
      </c>
      <c r="G3373" s="56" t="n">
        <v>4.1</v>
      </c>
      <c r="H3373" s="56" t="n">
        <v>0</v>
      </c>
      <c r="I3373" s="56" t="n">
        <v>8.4</v>
      </c>
      <c r="J3373" s="56" t="n">
        <v>0</v>
      </c>
      <c r="K3373" s="56" t="n">
        <v>1025.8</v>
      </c>
      <c r="L3373" s="56" t="n">
        <v>0</v>
      </c>
      <c r="M3373" s="56" t="n">
        <v>61</v>
      </c>
      <c r="N3373" s="56" t="n">
        <v>3.4</v>
      </c>
      <c r="O3373" s="56" t="n">
        <f aca="false">IF(D3373=1,"",E3372)</f>
        <v>12.8</v>
      </c>
      <c r="P3373" s="56" t="n">
        <f aca="false">IF(OR(D3373=1,K3372=""),"",K3372)</f>
        <v>1021.7</v>
      </c>
      <c r="Q3373" s="56" t="n">
        <f aca="false">IF(OR(F3373&lt;&gt;0,AND(I3373&lt;&gt;"",E3373&lt;I3373)),1,0)</f>
        <v>0</v>
      </c>
      <c r="R3373" s="56" t="n">
        <f aca="false">IF(AND(D3373&gt;1,Q3373=0,ISNUMBER(O3373),ISNUMBER(P3373)),IF(Q3372=0,1,0),0)</f>
        <v>1</v>
      </c>
      <c r="S3373" s="56" t="n">
        <f aca="false">R3373*(B3373&gt;=Train_Start)*(B3373&lt;=Train_End)</f>
        <v>0</v>
      </c>
      <c r="T3373" s="84" t="n">
        <f aca="false">IF(AND(ISNUMBER(O3373),ISNUMBER(P3373)),Coef_A+Coef_B1*O3373+Coef_B2*P3373,"")</f>
        <v>14.6251384404887</v>
      </c>
      <c r="U3373" s="84" t="n">
        <f aca="false">IF(AND(R3373=1,ISNUMBER(T3373)),E3373-T3373,"")</f>
        <v>0.774861559511317</v>
      </c>
      <c r="V3373" s="84" t="n">
        <f aca="false">IF(ISNUMBER(T3373),T3373,-99)</f>
        <v>14.6251384404887</v>
      </c>
      <c r="W3373" s="84" t="n">
        <f aca="false">IF(ISNUMBER(U3373),ABS(U3373),"")</f>
        <v>0.774861559511317</v>
      </c>
    </row>
    <row r="3374" customFormat="false" ht="15" hidden="false" customHeight="false" outlineLevel="0" collapsed="false">
      <c r="A3374" s="57" t="n">
        <v>37018</v>
      </c>
      <c r="B3374" s="56" t="n">
        <v>2001</v>
      </c>
      <c r="C3374" s="56" t="n">
        <v>5</v>
      </c>
      <c r="D3374" s="56" t="n">
        <v>7</v>
      </c>
      <c r="E3374" s="56" t="n">
        <v>17.3</v>
      </c>
      <c r="F3374" s="56" t="n">
        <v>0</v>
      </c>
      <c r="G3374" s="56" t="n">
        <v>5.2</v>
      </c>
      <c r="H3374" s="56" t="n">
        <v>0</v>
      </c>
      <c r="I3374" s="56" t="n">
        <v>10.3</v>
      </c>
      <c r="J3374" s="56" t="n">
        <v>0</v>
      </c>
      <c r="K3374" s="56" t="n">
        <v>1028.3</v>
      </c>
      <c r="L3374" s="56" t="n">
        <v>0</v>
      </c>
      <c r="M3374" s="56" t="n">
        <v>64</v>
      </c>
      <c r="N3374" s="56" t="n">
        <v>5.7</v>
      </c>
      <c r="O3374" s="56" t="n">
        <f aca="false">IF(D3374=1,"",E3373)</f>
        <v>15.4</v>
      </c>
      <c r="P3374" s="56" t="n">
        <f aca="false">IF(OR(D3374=1,K3373=""),"",K3373)</f>
        <v>1025.8</v>
      </c>
      <c r="Q3374" s="56" t="n">
        <f aca="false">IF(OR(F3374&lt;&gt;0,AND(I3374&lt;&gt;"",E3374&lt;I3374)),1,0)</f>
        <v>0</v>
      </c>
      <c r="R3374" s="56" t="n">
        <f aca="false">IF(AND(D3374&gt;1,Q3374=0,ISNUMBER(O3374),ISNUMBER(P3374)),IF(Q3373=0,1,0),0)</f>
        <v>1</v>
      </c>
      <c r="S3374" s="56" t="n">
        <f aca="false">R3374*(B3374&gt;=Train_Start)*(B3374&lt;=Train_End)</f>
        <v>0</v>
      </c>
      <c r="T3374" s="84" t="n">
        <f aca="false">IF(AND(ISNUMBER(O3374),ISNUMBER(P3374)),Coef_A+Coef_B1*O3374+Coef_B2*P3374,"")</f>
        <v>16.8840369103989</v>
      </c>
      <c r="U3374" s="84" t="n">
        <f aca="false">IF(AND(R3374=1,ISNUMBER(T3374)),E3374-T3374,"")</f>
        <v>0.415963089601057</v>
      </c>
      <c r="V3374" s="84" t="n">
        <f aca="false">IF(ISNUMBER(T3374),T3374,-99)</f>
        <v>16.8840369103989</v>
      </c>
      <c r="W3374" s="84" t="n">
        <f aca="false">IF(ISNUMBER(U3374),ABS(U3374),"")</f>
        <v>0.415963089601057</v>
      </c>
    </row>
    <row r="3375" customFormat="false" ht="15" hidden="false" customHeight="false" outlineLevel="0" collapsed="false">
      <c r="A3375" s="57" t="n">
        <v>37019</v>
      </c>
      <c r="B3375" s="56" t="n">
        <v>2001</v>
      </c>
      <c r="C3375" s="56" t="n">
        <v>5</v>
      </c>
      <c r="D3375" s="56" t="n">
        <v>8</v>
      </c>
      <c r="E3375" s="56" t="n">
        <v>17.6</v>
      </c>
      <c r="F3375" s="56" t="n">
        <v>0</v>
      </c>
      <c r="G3375" s="56" t="n">
        <v>4.8</v>
      </c>
      <c r="H3375" s="56" t="n">
        <v>0</v>
      </c>
      <c r="I3375" s="56" t="n">
        <v>11</v>
      </c>
      <c r="J3375" s="56" t="n">
        <v>0</v>
      </c>
      <c r="K3375" s="56" t="n">
        <v>1028.5</v>
      </c>
      <c r="L3375" s="56" t="n">
        <v>0</v>
      </c>
      <c r="M3375" s="56" t="n">
        <v>54</v>
      </c>
      <c r="N3375" s="56" t="n">
        <v>13.8</v>
      </c>
      <c r="O3375" s="56" t="n">
        <f aca="false">IF(D3375=1,"",E3374)</f>
        <v>17.3</v>
      </c>
      <c r="P3375" s="56" t="n">
        <f aca="false">IF(OR(D3375=1,K3374=""),"",K3374)</f>
        <v>1028.3</v>
      </c>
      <c r="Q3375" s="56" t="n">
        <f aca="false">IF(OR(F3375&lt;&gt;0,AND(I3375&lt;&gt;"",E3375&lt;I3375)),1,0)</f>
        <v>0</v>
      </c>
      <c r="R3375" s="56" t="n">
        <f aca="false">IF(AND(D3375&gt;1,Q3375=0,ISNUMBER(O3375),ISNUMBER(P3375)),IF(Q3374=0,1,0),0)</f>
        <v>1</v>
      </c>
      <c r="S3375" s="56" t="n">
        <f aca="false">R3375*(B3375&gt;=Train_Start)*(B3375&lt;=Train_End)</f>
        <v>0</v>
      </c>
      <c r="T3375" s="84" t="n">
        <f aca="false">IF(AND(ISNUMBER(O3375),ISNUMBER(P3375)),Coef_A+Coef_B1*O3375+Coef_B2*P3375,"")</f>
        <v>18.519206113765</v>
      </c>
      <c r="U3375" s="84" t="n">
        <f aca="false">IF(AND(R3375=1,ISNUMBER(T3375)),E3375-T3375,"")</f>
        <v>-0.919206113764965</v>
      </c>
      <c r="V3375" s="84" t="n">
        <f aca="false">IF(ISNUMBER(T3375),T3375,-99)</f>
        <v>18.519206113765</v>
      </c>
      <c r="W3375" s="84" t="n">
        <f aca="false">IF(ISNUMBER(U3375),ABS(U3375),"")</f>
        <v>0.919206113764965</v>
      </c>
    </row>
    <row r="3376" customFormat="false" ht="15" hidden="false" customHeight="false" outlineLevel="0" collapsed="false">
      <c r="A3376" s="57" t="n">
        <v>37020</v>
      </c>
      <c r="B3376" s="56" t="n">
        <v>2001</v>
      </c>
      <c r="C3376" s="56" t="n">
        <v>5</v>
      </c>
      <c r="D3376" s="56" t="n">
        <v>9</v>
      </c>
      <c r="E3376" s="56" t="n">
        <v>23</v>
      </c>
      <c r="F3376" s="56" t="n">
        <v>0</v>
      </c>
      <c r="G3376" s="56" t="n">
        <v>5.4</v>
      </c>
      <c r="H3376" s="56" t="n">
        <v>0</v>
      </c>
      <c r="I3376" s="56" t="n">
        <v>11.5</v>
      </c>
      <c r="J3376" s="56" t="n">
        <v>0</v>
      </c>
      <c r="K3376" s="56" t="n">
        <v>1022</v>
      </c>
      <c r="L3376" s="56" t="n">
        <v>0</v>
      </c>
      <c r="M3376" s="56" t="n">
        <v>68</v>
      </c>
      <c r="N3376" s="56" t="n">
        <v>1.3</v>
      </c>
      <c r="O3376" s="56" t="n">
        <f aca="false">IF(D3376=1,"",E3375)</f>
        <v>17.6</v>
      </c>
      <c r="P3376" s="56" t="n">
        <f aca="false">IF(OR(D3376=1,K3375=""),"",K3375)</f>
        <v>1028.5</v>
      </c>
      <c r="Q3376" s="56" t="n">
        <f aca="false">IF(OR(F3376&lt;&gt;0,AND(I3376&lt;&gt;"",E3376&lt;I3376)),1,0)</f>
        <v>0</v>
      </c>
      <c r="R3376" s="56" t="n">
        <f aca="false">IF(AND(D3376&gt;1,Q3376=0,ISNUMBER(O3376),ISNUMBER(P3376)),IF(Q3375=0,1,0),0)</f>
        <v>1</v>
      </c>
      <c r="S3376" s="56" t="n">
        <f aca="false">R3376*(B3376&gt;=Train_Start)*(B3376&lt;=Train_End)</f>
        <v>0</v>
      </c>
      <c r="T3376" s="84" t="n">
        <f aca="false">IF(AND(ISNUMBER(O3376),ISNUMBER(P3376)),Coef_A+Coef_B1*O3376+Coef_B2*P3376,"")</f>
        <v>18.7712818506046</v>
      </c>
      <c r="U3376" s="84" t="n">
        <f aca="false">IF(AND(R3376=1,ISNUMBER(T3376)),E3376-T3376,"")</f>
        <v>4.22871814939544</v>
      </c>
      <c r="V3376" s="84" t="n">
        <f aca="false">IF(ISNUMBER(T3376),T3376,-99)</f>
        <v>18.7712818506046</v>
      </c>
      <c r="W3376" s="84" t="n">
        <f aca="false">IF(ISNUMBER(U3376),ABS(U3376),"")</f>
        <v>4.22871814939544</v>
      </c>
    </row>
    <row r="3377" customFormat="false" ht="15" hidden="false" customHeight="false" outlineLevel="0" collapsed="false">
      <c r="A3377" s="57" t="n">
        <v>37021</v>
      </c>
      <c r="B3377" s="56" t="n">
        <v>2001</v>
      </c>
      <c r="C3377" s="56" t="n">
        <v>5</v>
      </c>
      <c r="D3377" s="56" t="n">
        <v>10</v>
      </c>
      <c r="E3377" s="56" t="n">
        <v>26.1</v>
      </c>
      <c r="F3377" s="56" t="n">
        <v>0</v>
      </c>
      <c r="G3377" s="56" t="n">
        <v>9.1</v>
      </c>
      <c r="H3377" s="56" t="n">
        <v>0</v>
      </c>
      <c r="I3377" s="56" t="n">
        <v>16</v>
      </c>
      <c r="J3377" s="56" t="n">
        <v>0</v>
      </c>
      <c r="K3377" s="56" t="n">
        <v>1017.3</v>
      </c>
      <c r="L3377" s="56" t="n">
        <v>0</v>
      </c>
      <c r="M3377" s="56" t="n">
        <v>71</v>
      </c>
      <c r="N3377" s="56" t="n">
        <v>8</v>
      </c>
      <c r="O3377" s="56" t="n">
        <f aca="false">IF(D3377=1,"",E3376)</f>
        <v>23</v>
      </c>
      <c r="P3377" s="56" t="n">
        <f aca="false">IF(OR(D3377=1,K3376=""),"",K3376)</f>
        <v>1022</v>
      </c>
      <c r="Q3377" s="56" t="n">
        <f aca="false">IF(OR(F3377&lt;&gt;0,AND(I3377&lt;&gt;"",E3377&lt;I3377)),1,0)</f>
        <v>0</v>
      </c>
      <c r="R3377" s="56" t="n">
        <f aca="false">IF(AND(D3377&gt;1,Q3377=0,ISNUMBER(O3377),ISNUMBER(P3377)),IF(Q3376=0,1,0),0)</f>
        <v>1</v>
      </c>
      <c r="S3377" s="56" t="n">
        <f aca="false">R3377*(B3377&gt;=Train_Start)*(B3377&lt;=Train_End)</f>
        <v>0</v>
      </c>
      <c r="T3377" s="84" t="n">
        <f aca="false">IF(AND(ISNUMBER(O3377),ISNUMBER(P3377)),Coef_A+Coef_B1*O3377+Coef_B2*P3377,"")</f>
        <v>22.991809177914</v>
      </c>
      <c r="U3377" s="84" t="n">
        <f aca="false">IF(AND(R3377=1,ISNUMBER(T3377)),E3377-T3377,"")</f>
        <v>3.10819082208602</v>
      </c>
      <c r="V3377" s="84" t="n">
        <f aca="false">IF(ISNUMBER(T3377),T3377,-99)</f>
        <v>22.991809177914</v>
      </c>
      <c r="W3377" s="84" t="n">
        <f aca="false">IF(ISNUMBER(U3377),ABS(U3377),"")</f>
        <v>3.10819082208602</v>
      </c>
    </row>
    <row r="3378" customFormat="false" ht="15" hidden="false" customHeight="false" outlineLevel="0" collapsed="false">
      <c r="A3378" s="57" t="n">
        <v>37022</v>
      </c>
      <c r="B3378" s="56" t="n">
        <v>2001</v>
      </c>
      <c r="C3378" s="56" t="n">
        <v>5</v>
      </c>
      <c r="D3378" s="56" t="n">
        <v>11</v>
      </c>
      <c r="E3378" s="56" t="n">
        <v>24.9</v>
      </c>
      <c r="F3378" s="56" t="n">
        <v>0</v>
      </c>
      <c r="G3378" s="56" t="n">
        <v>12.8</v>
      </c>
      <c r="H3378" s="56" t="n">
        <v>0</v>
      </c>
      <c r="I3378" s="56" t="n">
        <v>19.4</v>
      </c>
      <c r="J3378" s="56" t="n">
        <v>0</v>
      </c>
      <c r="K3378" s="56" t="n">
        <v>1020.1</v>
      </c>
      <c r="L3378" s="56" t="n">
        <v>0</v>
      </c>
      <c r="M3378" s="56" t="n">
        <v>55</v>
      </c>
      <c r="N3378" s="56" t="n">
        <v>12.2</v>
      </c>
      <c r="O3378" s="56" t="n">
        <f aca="false">IF(D3378=1,"",E3377)</f>
        <v>26.1</v>
      </c>
      <c r="P3378" s="56" t="n">
        <f aca="false">IF(OR(D3378=1,K3377=""),"",K3377)</f>
        <v>1017.3</v>
      </c>
      <c r="Q3378" s="56" t="n">
        <f aca="false">IF(OR(F3378&lt;&gt;0,AND(I3378&lt;&gt;"",E3378&lt;I3378)),1,0)</f>
        <v>0</v>
      </c>
      <c r="R3378" s="56" t="n">
        <f aca="false">IF(AND(D3378&gt;1,Q3378=0,ISNUMBER(O3378),ISNUMBER(P3378)),IF(Q3377=0,1,0),0)</f>
        <v>1</v>
      </c>
      <c r="S3378" s="56" t="n">
        <f aca="false">R3378*(B3378&gt;=Train_Start)*(B3378&lt;=Train_End)</f>
        <v>0</v>
      </c>
      <c r="T3378" s="84" t="n">
        <f aca="false">IF(AND(ISNUMBER(O3378),ISNUMBER(P3378)),Coef_A+Coef_B1*O3378+Coef_B2*P3378,"")</f>
        <v>25.3843221715665</v>
      </c>
      <c r="U3378" s="84" t="n">
        <f aca="false">IF(AND(R3378=1,ISNUMBER(T3378)),E3378-T3378,"")</f>
        <v>-0.484322171566472</v>
      </c>
      <c r="V3378" s="84" t="n">
        <f aca="false">IF(ISNUMBER(T3378),T3378,-99)</f>
        <v>25.3843221715665</v>
      </c>
      <c r="W3378" s="84" t="n">
        <f aca="false">IF(ISNUMBER(U3378),ABS(U3378),"")</f>
        <v>0.484322171566472</v>
      </c>
    </row>
    <row r="3379" customFormat="false" ht="15" hidden="false" customHeight="false" outlineLevel="0" collapsed="false">
      <c r="A3379" s="57" t="n">
        <v>37023</v>
      </c>
      <c r="B3379" s="56" t="n">
        <v>2001</v>
      </c>
      <c r="C3379" s="56" t="n">
        <v>5</v>
      </c>
      <c r="D3379" s="56" t="n">
        <v>12</v>
      </c>
      <c r="E3379" s="56" t="n">
        <v>24.9</v>
      </c>
      <c r="F3379" s="56" t="n">
        <v>0</v>
      </c>
      <c r="G3379" s="56" t="n">
        <v>11.1</v>
      </c>
      <c r="H3379" s="56" t="n">
        <v>0</v>
      </c>
      <c r="I3379" s="56" t="n">
        <v>18</v>
      </c>
      <c r="J3379" s="56" t="n">
        <v>0</v>
      </c>
      <c r="K3379" s="56" t="n">
        <v>1019.4</v>
      </c>
      <c r="L3379" s="56" t="n">
        <v>0</v>
      </c>
      <c r="M3379" s="56" t="n">
        <v>53</v>
      </c>
      <c r="N3379" s="56" t="n">
        <v>14.5</v>
      </c>
      <c r="O3379" s="56" t="n">
        <f aca="false">IF(D3379=1,"",E3378)</f>
        <v>24.9</v>
      </c>
      <c r="P3379" s="56" t="n">
        <f aca="false">IF(OR(D3379=1,K3378=""),"",K3378)</f>
        <v>1020.1</v>
      </c>
      <c r="Q3379" s="56" t="n">
        <f aca="false">IF(OR(F3379&lt;&gt;0,AND(I3379&lt;&gt;"",E3379&lt;I3379)),1,0)</f>
        <v>0</v>
      </c>
      <c r="R3379" s="56" t="n">
        <f aca="false">IF(AND(D3379&gt;1,Q3379=0,ISNUMBER(O3379),ISNUMBER(P3379)),IF(Q3378=0,1,0),0)</f>
        <v>1</v>
      </c>
      <c r="S3379" s="56" t="n">
        <f aca="false">R3379*(B3379&gt;=Train_Start)*(B3379&lt;=Train_End)</f>
        <v>0</v>
      </c>
      <c r="T3379" s="84" t="n">
        <f aca="false">IF(AND(ISNUMBER(O3379),ISNUMBER(P3379)),Coef_A+Coef_B1*O3379+Coef_B2*P3379,"")</f>
        <v>24.4889508448905</v>
      </c>
      <c r="U3379" s="84" t="n">
        <f aca="false">IF(AND(R3379=1,ISNUMBER(T3379)),E3379-T3379,"")</f>
        <v>0.411049155109549</v>
      </c>
      <c r="V3379" s="84" t="n">
        <f aca="false">IF(ISNUMBER(T3379),T3379,-99)</f>
        <v>24.4889508448905</v>
      </c>
      <c r="W3379" s="84" t="n">
        <f aca="false">IF(ISNUMBER(U3379),ABS(U3379),"")</f>
        <v>0.411049155109549</v>
      </c>
    </row>
    <row r="3380" customFormat="false" ht="15" hidden="false" customHeight="false" outlineLevel="0" collapsed="false">
      <c r="A3380" s="57" t="n">
        <v>37024</v>
      </c>
      <c r="B3380" s="56" t="n">
        <v>2001</v>
      </c>
      <c r="C3380" s="56" t="n">
        <v>5</v>
      </c>
      <c r="D3380" s="56" t="n">
        <v>13</v>
      </c>
      <c r="E3380" s="56" t="n">
        <v>15.1</v>
      </c>
      <c r="F3380" s="56" t="n">
        <v>1</v>
      </c>
      <c r="G3380" s="56" t="n">
        <v>11.8</v>
      </c>
      <c r="H3380" s="56" t="n">
        <v>0</v>
      </c>
      <c r="I3380" s="56" t="n">
        <v>18.4</v>
      </c>
      <c r="J3380" s="56" t="n">
        <v>1</v>
      </c>
      <c r="K3380" s="56" t="n">
        <v>1009.8</v>
      </c>
      <c r="L3380" s="56" t="n">
        <v>0</v>
      </c>
      <c r="M3380" s="56" t="n">
        <v>64</v>
      </c>
      <c r="N3380" s="56" t="n">
        <v>6.7</v>
      </c>
      <c r="O3380" s="56" t="n">
        <f aca="false">IF(D3380=1,"",E3379)</f>
        <v>24.9</v>
      </c>
      <c r="P3380" s="56" t="n">
        <f aca="false">IF(OR(D3380=1,K3379=""),"",K3379)</f>
        <v>1019.4</v>
      </c>
      <c r="Q3380" s="56" t="n">
        <f aca="false">IF(OR(F3380&lt;&gt;0,AND(I3380&lt;&gt;"",E3380&lt;I3380)),1,0)</f>
        <v>1</v>
      </c>
      <c r="R3380" s="56" t="n">
        <f aca="false">IF(AND(D3380&gt;1,Q3380=0,ISNUMBER(O3380),ISNUMBER(P3380)),IF(Q3379=0,1,0),0)</f>
        <v>0</v>
      </c>
      <c r="S3380" s="56" t="n">
        <f aca="false">R3380*(B3380&gt;=Train_Start)*(B3380&lt;=Train_End)</f>
        <v>0</v>
      </c>
      <c r="T3380" s="84" t="n">
        <f aca="false">IF(AND(ISNUMBER(O3380),ISNUMBER(P3380)),Coef_A+Coef_B1*O3380+Coef_B2*P3380,"")</f>
        <v>24.4669919186467</v>
      </c>
      <c r="U3380" s="84" t="str">
        <f aca="false">IF(AND(R3380=1,ISNUMBER(T3380)),E3380-T3380,"")</f>
        <v/>
      </c>
      <c r="V3380" s="84" t="n">
        <f aca="false">IF(ISNUMBER(T3380),T3380,-99)</f>
        <v>24.4669919186467</v>
      </c>
      <c r="W3380" s="84" t="str">
        <f aca="false">IF(ISNUMBER(U3380),ABS(U3380),"")</f>
        <v/>
      </c>
    </row>
    <row r="3381" customFormat="false" ht="15" hidden="false" customHeight="false" outlineLevel="0" collapsed="false">
      <c r="A3381" s="57" t="n">
        <v>37025</v>
      </c>
      <c r="B3381" s="56" t="n">
        <v>2001</v>
      </c>
      <c r="C3381" s="56" t="n">
        <v>5</v>
      </c>
      <c r="D3381" s="56" t="n">
        <v>14</v>
      </c>
      <c r="E3381" s="56" t="n">
        <v>19</v>
      </c>
      <c r="F3381" s="56" t="n">
        <v>0</v>
      </c>
      <c r="G3381" s="56" t="n">
        <v>11.6</v>
      </c>
      <c r="H3381" s="56" t="n">
        <v>0</v>
      </c>
      <c r="I3381" s="56" t="n">
        <v>13.4</v>
      </c>
      <c r="J3381" s="56" t="n">
        <v>0</v>
      </c>
      <c r="K3381" s="56" t="n">
        <v>1006.8</v>
      </c>
      <c r="L3381" s="56" t="n">
        <v>0</v>
      </c>
      <c r="M3381" s="56" t="n">
        <v>81</v>
      </c>
      <c r="N3381" s="56" t="n">
        <v>0</v>
      </c>
      <c r="O3381" s="56" t="n">
        <f aca="false">IF(D3381=1,"",E3380)</f>
        <v>15.1</v>
      </c>
      <c r="P3381" s="56" t="n">
        <f aca="false">IF(OR(D3381=1,K3380=""),"",K3380)</f>
        <v>1009.8</v>
      </c>
      <c r="Q3381" s="56" t="n">
        <f aca="false">IF(OR(F3381&lt;&gt;0,AND(I3381&lt;&gt;"",E3381&lt;I3381)),1,0)</f>
        <v>0</v>
      </c>
      <c r="R3381" s="56" t="n">
        <f aca="false">IF(AND(D3381&gt;1,Q3381=0,ISNUMBER(O3381),ISNUMBER(P3381)),IF(Q3380=0,1,0),0)</f>
        <v>0</v>
      </c>
      <c r="S3381" s="56" t="n">
        <f aca="false">R3381*(B3381&gt;=Train_Start)*(B3381&lt;=Train_End)</f>
        <v>0</v>
      </c>
      <c r="T3381" s="84" t="n">
        <f aca="false">IF(AND(ISNUMBER(O3381),ISNUMBER(P3381)),Coef_A+Coef_B1*O3381+Coef_B2*P3381,"")</f>
        <v>16.1363168383423</v>
      </c>
      <c r="U3381" s="84" t="str">
        <f aca="false">IF(AND(R3381=1,ISNUMBER(T3381)),E3381-T3381,"")</f>
        <v/>
      </c>
      <c r="V3381" s="84" t="n">
        <f aca="false">IF(ISNUMBER(T3381),T3381,-99)</f>
        <v>16.1363168383423</v>
      </c>
      <c r="W3381" s="84" t="str">
        <f aca="false">IF(ISNUMBER(U3381),ABS(U3381),"")</f>
        <v/>
      </c>
    </row>
    <row r="3382" customFormat="false" ht="15" hidden="false" customHeight="false" outlineLevel="0" collapsed="false">
      <c r="A3382" s="57" t="n">
        <v>37026</v>
      </c>
      <c r="B3382" s="56" t="n">
        <v>2001</v>
      </c>
      <c r="C3382" s="56" t="n">
        <v>5</v>
      </c>
      <c r="D3382" s="56" t="n">
        <v>15</v>
      </c>
      <c r="E3382" s="56" t="n">
        <v>15.7</v>
      </c>
      <c r="F3382" s="56" t="n">
        <v>0</v>
      </c>
      <c r="G3382" s="56" t="n">
        <v>10</v>
      </c>
      <c r="H3382" s="56" t="n">
        <v>0</v>
      </c>
      <c r="I3382" s="56" t="n">
        <v>14.5</v>
      </c>
      <c r="J3382" s="56" t="n">
        <v>0</v>
      </c>
      <c r="K3382" s="56" t="n">
        <v>1003.7</v>
      </c>
      <c r="L3382" s="56" t="n">
        <v>0</v>
      </c>
      <c r="M3382" s="56" t="n">
        <v>74</v>
      </c>
      <c r="N3382" s="56" t="n">
        <v>5.6</v>
      </c>
      <c r="O3382" s="56" t="n">
        <f aca="false">IF(D3382=1,"",E3381)</f>
        <v>19</v>
      </c>
      <c r="P3382" s="56" t="n">
        <f aca="false">IF(OR(D3382=1,K3381=""),"",K3381)</f>
        <v>1006.8</v>
      </c>
      <c r="Q3382" s="56" t="n">
        <f aca="false">IF(OR(F3382&lt;&gt;0,AND(I3382&lt;&gt;"",E3382&lt;I3382)),1,0)</f>
        <v>0</v>
      </c>
      <c r="R3382" s="56" t="n">
        <f aca="false">IF(AND(D3382&gt;1,Q3382=0,ISNUMBER(O3382),ISNUMBER(P3382)),IF(Q3381=0,1,0),0)</f>
        <v>1</v>
      </c>
      <c r="S3382" s="56" t="n">
        <f aca="false">R3382*(B3382&gt;=Train_Start)*(B3382&lt;=Train_End)</f>
        <v>0</v>
      </c>
      <c r="T3382" s="84" t="n">
        <f aca="false">IF(AND(ISNUMBER(O3382),ISNUMBER(P3382)),Coef_A+Coef_B1*O3382+Coef_B2*P3382,"")</f>
        <v>19.2376300073067</v>
      </c>
      <c r="U3382" s="84" t="n">
        <f aca="false">IF(AND(R3382=1,ISNUMBER(T3382)),E3382-T3382,"")</f>
        <v>-3.53763000730671</v>
      </c>
      <c r="V3382" s="84" t="n">
        <f aca="false">IF(ISNUMBER(T3382),T3382,-99)</f>
        <v>19.2376300073067</v>
      </c>
      <c r="W3382" s="84" t="n">
        <f aca="false">IF(ISNUMBER(U3382),ABS(U3382),"")</f>
        <v>3.53763000730671</v>
      </c>
    </row>
    <row r="3383" customFormat="false" ht="15" hidden="false" customHeight="false" outlineLevel="0" collapsed="false">
      <c r="A3383" s="57" t="n">
        <v>37027</v>
      </c>
      <c r="B3383" s="56" t="n">
        <v>2001</v>
      </c>
      <c r="C3383" s="56" t="n">
        <v>5</v>
      </c>
      <c r="D3383" s="56" t="n">
        <v>16</v>
      </c>
      <c r="E3383" s="56" t="n">
        <v>11.3</v>
      </c>
      <c r="F3383" s="56" t="n">
        <v>1</v>
      </c>
      <c r="G3383" s="56" t="n">
        <v>10.9</v>
      </c>
      <c r="H3383" s="56" t="n">
        <v>0</v>
      </c>
      <c r="I3383" s="56" t="n">
        <v>13.3</v>
      </c>
      <c r="J3383" s="56" t="n">
        <v>1</v>
      </c>
      <c r="K3383" s="56" t="n">
        <v>999.4</v>
      </c>
      <c r="L3383" s="56" t="n">
        <v>0</v>
      </c>
      <c r="M3383" s="56" t="n">
        <v>84</v>
      </c>
      <c r="N3383" s="56" t="n">
        <v>4.7</v>
      </c>
      <c r="O3383" s="56" t="n">
        <f aca="false">IF(D3383=1,"",E3382)</f>
        <v>15.7</v>
      </c>
      <c r="P3383" s="56" t="n">
        <f aca="false">IF(OR(D3383=1,K3382=""),"",K3382)</f>
        <v>1003.7</v>
      </c>
      <c r="Q3383" s="56" t="n">
        <f aca="false">IF(OR(F3383&lt;&gt;0,AND(I3383&lt;&gt;"",E3383&lt;I3383)),1,0)</f>
        <v>1</v>
      </c>
      <c r="R3383" s="56" t="n">
        <f aca="false">IF(AND(D3383&gt;1,Q3383=0,ISNUMBER(O3383),ISNUMBER(P3383)),IF(Q3382=0,1,0),0)</f>
        <v>0</v>
      </c>
      <c r="S3383" s="56" t="n">
        <f aca="false">R3383*(B3383&gt;=Train_Start)*(B3383&lt;=Train_End)</f>
        <v>0</v>
      </c>
      <c r="T3383" s="84" t="n">
        <f aca="false">IF(AND(ISNUMBER(O3383),ISNUMBER(P3383)),Coef_A+Coef_B1*O3383+Coef_B2*P3383,"")</f>
        <v>16.4365639969006</v>
      </c>
      <c r="U3383" s="84" t="str">
        <f aca="false">IF(AND(R3383=1,ISNUMBER(T3383)),E3383-T3383,"")</f>
        <v/>
      </c>
      <c r="V3383" s="84" t="n">
        <f aca="false">IF(ISNUMBER(T3383),T3383,-99)</f>
        <v>16.4365639969006</v>
      </c>
      <c r="W3383" s="84" t="str">
        <f aca="false">IF(ISNUMBER(U3383),ABS(U3383),"")</f>
        <v/>
      </c>
    </row>
    <row r="3384" customFormat="false" ht="15" hidden="false" customHeight="false" outlineLevel="0" collapsed="false">
      <c r="A3384" s="57" t="n">
        <v>37028</v>
      </c>
      <c r="B3384" s="56" t="n">
        <v>2001</v>
      </c>
      <c r="C3384" s="56" t="n">
        <v>5</v>
      </c>
      <c r="D3384" s="56" t="n">
        <v>17</v>
      </c>
      <c r="E3384" s="56" t="n">
        <v>16.5</v>
      </c>
      <c r="F3384" s="56" t="n">
        <v>0</v>
      </c>
      <c r="G3384" s="56" t="n">
        <v>7.4</v>
      </c>
      <c r="H3384" s="56" t="n">
        <v>0</v>
      </c>
      <c r="I3384" s="56" t="n">
        <v>9.4</v>
      </c>
      <c r="J3384" s="56" t="n">
        <v>0</v>
      </c>
      <c r="K3384" s="56" t="n">
        <v>1002.6</v>
      </c>
      <c r="L3384" s="56" t="n">
        <v>0</v>
      </c>
      <c r="M3384" s="56" t="n">
        <v>85</v>
      </c>
      <c r="N3384" s="56" t="n">
        <v>0.2</v>
      </c>
      <c r="O3384" s="56" t="n">
        <f aca="false">IF(D3384=1,"",E3383)</f>
        <v>11.3</v>
      </c>
      <c r="P3384" s="56" t="n">
        <f aca="false">IF(OR(D3384=1,K3383=""),"",K3383)</f>
        <v>999.4</v>
      </c>
      <c r="Q3384" s="56" t="n">
        <f aca="false">IF(OR(F3384&lt;&gt;0,AND(I3384&lt;&gt;"",E3384&lt;I3384)),1,0)</f>
        <v>0</v>
      </c>
      <c r="R3384" s="56" t="n">
        <f aca="false">IF(AND(D3384&gt;1,Q3384=0,ISNUMBER(O3384),ISNUMBER(P3384)),IF(Q3383=0,1,0),0)</f>
        <v>0</v>
      </c>
      <c r="S3384" s="56" t="n">
        <f aca="false">R3384*(B3384&gt;=Train_Start)*(B3384&lt;=Train_End)</f>
        <v>0</v>
      </c>
      <c r="T3384" s="84" t="n">
        <f aca="false">IF(AND(ISNUMBER(O3384),ISNUMBER(P3384)),Coef_A+Coef_B1*O3384+Coef_B2*P3384,"")</f>
        <v>12.6965810005867</v>
      </c>
      <c r="U3384" s="84" t="str">
        <f aca="false">IF(AND(R3384=1,ISNUMBER(T3384)),E3384-T3384,"")</f>
        <v/>
      </c>
      <c r="V3384" s="84" t="n">
        <f aca="false">IF(ISNUMBER(T3384),T3384,-99)</f>
        <v>12.6965810005867</v>
      </c>
      <c r="W3384" s="84" t="str">
        <f aca="false">IF(ISNUMBER(U3384),ABS(U3384),"")</f>
        <v/>
      </c>
    </row>
    <row r="3385" customFormat="false" ht="15" hidden="false" customHeight="false" outlineLevel="0" collapsed="false">
      <c r="A3385" s="57" t="n">
        <v>37029</v>
      </c>
      <c r="B3385" s="56" t="n">
        <v>2001</v>
      </c>
      <c r="C3385" s="56" t="n">
        <v>5</v>
      </c>
      <c r="D3385" s="56" t="n">
        <v>18</v>
      </c>
      <c r="E3385" s="56" t="n">
        <v>16.1</v>
      </c>
      <c r="F3385" s="56" t="n">
        <v>0</v>
      </c>
      <c r="G3385" s="56" t="n">
        <v>7</v>
      </c>
      <c r="H3385" s="56" t="n">
        <v>0</v>
      </c>
      <c r="I3385" s="56" t="n">
        <v>11.8</v>
      </c>
      <c r="J3385" s="56" t="n">
        <v>0</v>
      </c>
      <c r="K3385" s="56" t="n">
        <v>1018.4</v>
      </c>
      <c r="L3385" s="56" t="n">
        <v>0</v>
      </c>
      <c r="M3385" s="56" t="n">
        <v>65</v>
      </c>
      <c r="N3385" s="56" t="n">
        <v>4.4</v>
      </c>
      <c r="O3385" s="56" t="n">
        <f aca="false">IF(D3385=1,"",E3384)</f>
        <v>16.5</v>
      </c>
      <c r="P3385" s="56" t="n">
        <f aca="false">IF(OR(D3385=1,K3384=""),"",K3384)</f>
        <v>1002.6</v>
      </c>
      <c r="Q3385" s="56" t="n">
        <f aca="false">IF(OR(F3385&lt;&gt;0,AND(I3385&lt;&gt;"",E3385&lt;I3385)),1,0)</f>
        <v>0</v>
      </c>
      <c r="R3385" s="56" t="n">
        <f aca="false">IF(AND(D3385&gt;1,Q3385=0,ISNUMBER(O3385),ISNUMBER(P3385)),IF(Q3384=0,1,0),0)</f>
        <v>1</v>
      </c>
      <c r="S3385" s="56" t="n">
        <f aca="false">R3385*(B3385&gt;=Train_Start)*(B3385&lt;=Train_End)</f>
        <v>0</v>
      </c>
      <c r="T3385" s="84" t="n">
        <f aca="false">IF(AND(ISNUMBER(O3385),ISNUMBER(P3385)),Coef_A+Coef_B1*O3385+Coef_B2*P3385,"")</f>
        <v>17.0575284672373</v>
      </c>
      <c r="U3385" s="84" t="n">
        <f aca="false">IF(AND(R3385=1,ISNUMBER(T3385)),E3385-T3385,"")</f>
        <v>-0.95752846723731</v>
      </c>
      <c r="V3385" s="84" t="n">
        <f aca="false">IF(ISNUMBER(T3385),T3385,-99)</f>
        <v>17.0575284672373</v>
      </c>
      <c r="W3385" s="84" t="n">
        <f aca="false">IF(ISNUMBER(U3385),ABS(U3385),"")</f>
        <v>0.95752846723731</v>
      </c>
    </row>
    <row r="3386" customFormat="false" ht="15" hidden="false" customHeight="false" outlineLevel="0" collapsed="false">
      <c r="A3386" s="57" t="n">
        <v>37030</v>
      </c>
      <c r="B3386" s="56" t="n">
        <v>2001</v>
      </c>
      <c r="C3386" s="56" t="n">
        <v>5</v>
      </c>
      <c r="D3386" s="56" t="n">
        <v>19</v>
      </c>
      <c r="E3386" s="56" t="n">
        <v>18.2</v>
      </c>
      <c r="F3386" s="56" t="n">
        <v>0</v>
      </c>
      <c r="G3386" s="56" t="n">
        <v>7.1</v>
      </c>
      <c r="H3386" s="56" t="n">
        <v>0</v>
      </c>
      <c r="I3386" s="56" t="n">
        <v>11.6</v>
      </c>
      <c r="J3386" s="56" t="n">
        <v>0</v>
      </c>
      <c r="K3386" s="56" t="n">
        <v>1024.9</v>
      </c>
      <c r="L3386" s="56" t="n">
        <v>0</v>
      </c>
      <c r="M3386" s="56" t="n">
        <v>74</v>
      </c>
      <c r="N3386" s="56" t="n">
        <v>0.2</v>
      </c>
      <c r="O3386" s="56" t="n">
        <f aca="false">IF(D3386=1,"",E3385)</f>
        <v>16.1</v>
      </c>
      <c r="P3386" s="56" t="n">
        <f aca="false">IF(OR(D3386=1,K3385=""),"",K3385)</f>
        <v>1018.4</v>
      </c>
      <c r="Q3386" s="56" t="n">
        <f aca="false">IF(OR(F3386&lt;&gt;0,AND(I3386&lt;&gt;"",E3386&lt;I3386)),1,0)</f>
        <v>0</v>
      </c>
      <c r="R3386" s="56" t="n">
        <f aca="false">IF(AND(D3386&gt;1,Q3386=0,ISNUMBER(O3386),ISNUMBER(P3386)),IF(Q3385=0,1,0),0)</f>
        <v>1</v>
      </c>
      <c r="S3386" s="56" t="n">
        <f aca="false">R3386*(B3386&gt;=Train_Start)*(B3386&lt;=Train_End)</f>
        <v>0</v>
      </c>
      <c r="T3386" s="84" t="n">
        <f aca="false">IF(AND(ISNUMBER(O3386),ISNUMBER(P3386)),Coef_A+Coef_B1*O3386+Coef_B2*P3386,"")</f>
        <v>17.2254371252373</v>
      </c>
      <c r="U3386" s="84" t="n">
        <f aca="false">IF(AND(R3386=1,ISNUMBER(T3386)),E3386-T3386,"")</f>
        <v>0.974562874762714</v>
      </c>
      <c r="V3386" s="84" t="n">
        <f aca="false">IF(ISNUMBER(T3386),T3386,-99)</f>
        <v>17.2254371252373</v>
      </c>
      <c r="W3386" s="84" t="n">
        <f aca="false">IF(ISNUMBER(U3386),ABS(U3386),"")</f>
        <v>0.974562874762714</v>
      </c>
    </row>
    <row r="3387" customFormat="false" ht="15" hidden="false" customHeight="false" outlineLevel="0" collapsed="false">
      <c r="A3387" s="57" t="n">
        <v>37031</v>
      </c>
      <c r="B3387" s="56" t="n">
        <v>2001</v>
      </c>
      <c r="C3387" s="56" t="n">
        <v>5</v>
      </c>
      <c r="D3387" s="56" t="n">
        <v>20</v>
      </c>
      <c r="E3387" s="56" t="n">
        <v>18.1</v>
      </c>
      <c r="F3387" s="56" t="n">
        <v>0</v>
      </c>
      <c r="G3387" s="56" t="n">
        <v>11</v>
      </c>
      <c r="H3387" s="56" t="n">
        <v>0</v>
      </c>
      <c r="I3387" s="56" t="n">
        <v>14.6</v>
      </c>
      <c r="J3387" s="56" t="n">
        <v>0</v>
      </c>
      <c r="K3387" s="56" t="n">
        <v>1026.7</v>
      </c>
      <c r="L3387" s="56" t="n">
        <v>0</v>
      </c>
      <c r="M3387" s="56" t="n">
        <v>67</v>
      </c>
      <c r="N3387" s="56" t="n">
        <v>2.1</v>
      </c>
      <c r="O3387" s="56" t="n">
        <f aca="false">IF(D3387=1,"",E3386)</f>
        <v>18.2</v>
      </c>
      <c r="P3387" s="56" t="n">
        <f aca="false">IF(OR(D3387=1,K3386=""),"",K3386)</f>
        <v>1024.9</v>
      </c>
      <c r="Q3387" s="56" t="n">
        <f aca="false">IF(OR(F3387&lt;&gt;0,AND(I3387&lt;&gt;"",E3387&lt;I3387)),1,0)</f>
        <v>0</v>
      </c>
      <c r="R3387" s="56" t="n">
        <f aca="false">IF(AND(D3387&gt;1,Q3387=0,ISNUMBER(O3387),ISNUMBER(P3387)),IF(Q3386=0,1,0),0)</f>
        <v>1</v>
      </c>
      <c r="S3387" s="56" t="n">
        <f aca="false">R3387*(B3387&gt;=Train_Start)*(B3387&lt;=Train_End)</f>
        <v>0</v>
      </c>
      <c r="T3387" s="84" t="n">
        <f aca="false">IF(AND(ISNUMBER(O3387),ISNUMBER(P3387)),Coef_A+Coef_B1*O3387+Coef_B2*P3387,"")</f>
        <v>19.1499537457478</v>
      </c>
      <c r="U3387" s="84" t="n">
        <f aca="false">IF(AND(R3387=1,ISNUMBER(T3387)),E3387-T3387,"")</f>
        <v>-1.04995374574779</v>
      </c>
      <c r="V3387" s="84" t="n">
        <f aca="false">IF(ISNUMBER(T3387),T3387,-99)</f>
        <v>19.1499537457478</v>
      </c>
      <c r="W3387" s="84" t="n">
        <f aca="false">IF(ISNUMBER(U3387),ABS(U3387),"")</f>
        <v>1.04995374574779</v>
      </c>
    </row>
    <row r="3388" customFormat="false" ht="15" hidden="false" customHeight="false" outlineLevel="0" collapsed="false">
      <c r="A3388" s="57" t="n">
        <v>37032</v>
      </c>
      <c r="B3388" s="56" t="n">
        <v>2001</v>
      </c>
      <c r="C3388" s="56" t="n">
        <v>5</v>
      </c>
      <c r="D3388" s="56" t="n">
        <v>21</v>
      </c>
      <c r="E3388" s="56" t="n">
        <v>19.3</v>
      </c>
      <c r="F3388" s="56" t="n">
        <v>0</v>
      </c>
      <c r="G3388" s="56" t="n">
        <v>8.3</v>
      </c>
      <c r="H3388" s="56" t="n">
        <v>0</v>
      </c>
      <c r="I3388" s="56" t="n">
        <v>13.2</v>
      </c>
      <c r="J3388" s="56" t="n">
        <v>0</v>
      </c>
      <c r="K3388" s="56" t="n">
        <v>1025.8</v>
      </c>
      <c r="L3388" s="56" t="n">
        <v>0</v>
      </c>
      <c r="M3388" s="56" t="n">
        <v>60</v>
      </c>
      <c r="N3388" s="56" t="n">
        <v>14.7</v>
      </c>
      <c r="O3388" s="56" t="n">
        <f aca="false">IF(D3388=1,"",E3387)</f>
        <v>18.1</v>
      </c>
      <c r="P3388" s="56" t="n">
        <f aca="false">IF(OR(D3388=1,K3387=""),"",K3387)</f>
        <v>1026.7</v>
      </c>
      <c r="Q3388" s="56" t="n">
        <f aca="false">IF(OR(F3388&lt;&gt;0,AND(I3388&lt;&gt;"",E3388&lt;I3388)),1,0)</f>
        <v>0</v>
      </c>
      <c r="R3388" s="56" t="n">
        <f aca="false">IF(AND(D3388&gt;1,Q3388=0,ISNUMBER(O3388),ISNUMBER(P3388)),IF(Q3387=0,1,0),0)</f>
        <v>1</v>
      </c>
      <c r="S3388" s="56" t="n">
        <f aca="false">R3388*(B3388&gt;=Train_Start)*(B3388&lt;=Train_End)</f>
        <v>0</v>
      </c>
      <c r="T3388" s="84" t="n">
        <f aca="false">IF(AND(ISNUMBER(O3388),ISNUMBER(P3388)),Coef_A+Coef_B1*O3388+Coef_B2*P3388,"")</f>
        <v>19.1244856367847</v>
      </c>
      <c r="U3388" s="84" t="n">
        <f aca="false">IF(AND(R3388=1,ISNUMBER(T3388)),E3388-T3388,"")</f>
        <v>0.175514363215292</v>
      </c>
      <c r="V3388" s="84" t="n">
        <f aca="false">IF(ISNUMBER(T3388),T3388,-99)</f>
        <v>19.1244856367847</v>
      </c>
      <c r="W3388" s="84" t="n">
        <f aca="false">IF(ISNUMBER(U3388),ABS(U3388),"")</f>
        <v>0.175514363215292</v>
      </c>
    </row>
    <row r="3389" customFormat="false" ht="15" hidden="false" customHeight="false" outlineLevel="0" collapsed="false">
      <c r="A3389" s="57" t="n">
        <v>37033</v>
      </c>
      <c r="B3389" s="56" t="n">
        <v>2001</v>
      </c>
      <c r="C3389" s="56" t="n">
        <v>5</v>
      </c>
      <c r="D3389" s="56" t="n">
        <v>22</v>
      </c>
      <c r="E3389" s="56" t="n">
        <v>22.6</v>
      </c>
      <c r="F3389" s="56" t="n">
        <v>0</v>
      </c>
      <c r="G3389" s="56" t="n">
        <v>8.4</v>
      </c>
      <c r="H3389" s="56" t="n">
        <v>0</v>
      </c>
      <c r="I3389" s="56" t="n">
        <v>13.8</v>
      </c>
      <c r="J3389" s="56" t="n">
        <v>0</v>
      </c>
      <c r="K3389" s="56" t="n">
        <v>1023.8</v>
      </c>
      <c r="L3389" s="56" t="n">
        <v>0</v>
      </c>
      <c r="M3389" s="56" t="n">
        <v>54</v>
      </c>
      <c r="N3389" s="56" t="n">
        <v>13.1</v>
      </c>
      <c r="O3389" s="56" t="n">
        <f aca="false">IF(D3389=1,"",E3388)</f>
        <v>19.3</v>
      </c>
      <c r="P3389" s="56" t="n">
        <f aca="false">IF(OR(D3389=1,K3388=""),"",K3388)</f>
        <v>1025.8</v>
      </c>
      <c r="Q3389" s="56" t="n">
        <f aca="false">IF(OR(F3389&lt;&gt;0,AND(I3389&lt;&gt;"",E3389&lt;I3389)),1,0)</f>
        <v>0</v>
      </c>
      <c r="R3389" s="56" t="n">
        <f aca="false">IF(AND(D3389&gt;1,Q3389=0,ISNUMBER(O3389),ISNUMBER(P3389)),IF(Q3388=0,1,0),0)</f>
        <v>1</v>
      </c>
      <c r="S3389" s="56" t="n">
        <f aca="false">R3389*(B3389&gt;=Train_Start)*(B3389&lt;=Train_End)</f>
        <v>0</v>
      </c>
      <c r="T3389" s="84" t="n">
        <f aca="false">IF(AND(ISNUMBER(O3389),ISNUMBER(P3389)),Coef_A+Coef_B1*O3389+Coef_B2*P3389,"")</f>
        <v>20.0794597632653</v>
      </c>
      <c r="U3389" s="84" t="n">
        <f aca="false">IF(AND(R3389=1,ISNUMBER(T3389)),E3389-T3389,"")</f>
        <v>2.5205402367347</v>
      </c>
      <c r="V3389" s="84" t="n">
        <f aca="false">IF(ISNUMBER(T3389),T3389,-99)</f>
        <v>20.0794597632653</v>
      </c>
      <c r="W3389" s="84" t="n">
        <f aca="false">IF(ISNUMBER(U3389),ABS(U3389),"")</f>
        <v>2.5205402367347</v>
      </c>
    </row>
    <row r="3390" customFormat="false" ht="15" hidden="false" customHeight="false" outlineLevel="0" collapsed="false">
      <c r="A3390" s="57" t="n">
        <v>37034</v>
      </c>
      <c r="B3390" s="56" t="n">
        <v>2001</v>
      </c>
      <c r="C3390" s="56" t="n">
        <v>5</v>
      </c>
      <c r="D3390" s="56" t="n">
        <v>23</v>
      </c>
      <c r="E3390" s="56" t="n">
        <v>23.3</v>
      </c>
      <c r="F3390" s="56" t="n">
        <v>0</v>
      </c>
      <c r="G3390" s="56" t="n">
        <v>8.7</v>
      </c>
      <c r="H3390" s="56" t="n">
        <v>0</v>
      </c>
      <c r="I3390" s="56" t="n">
        <v>15.6</v>
      </c>
      <c r="J3390" s="56" t="n">
        <v>0</v>
      </c>
      <c r="K3390" s="56" t="n">
        <v>1023.9</v>
      </c>
      <c r="L3390" s="56" t="n">
        <v>0</v>
      </c>
      <c r="M3390" s="56" t="n">
        <v>58</v>
      </c>
      <c r="N3390" s="56" t="n">
        <v>13.5</v>
      </c>
      <c r="O3390" s="56" t="n">
        <f aca="false">IF(D3390=1,"",E3389)</f>
        <v>22.6</v>
      </c>
      <c r="P3390" s="56" t="n">
        <f aca="false">IF(OR(D3390=1,K3389=""),"",K3389)</f>
        <v>1023.8</v>
      </c>
      <c r="Q3390" s="56" t="n">
        <f aca="false">IF(OR(F3390&lt;&gt;0,AND(I3390&lt;&gt;"",E3390&lt;I3390)),1,0)</f>
        <v>0</v>
      </c>
      <c r="R3390" s="56" t="n">
        <f aca="false">IF(AND(D3390&gt;1,Q3390=0,ISNUMBER(O3390),ISNUMBER(P3390)),IF(Q3389=0,1,0),0)</f>
        <v>1</v>
      </c>
      <c r="S3390" s="56" t="n">
        <f aca="false">R3390*(B3390&gt;=Train_Start)*(B3390&lt;=Train_End)</f>
        <v>0</v>
      </c>
      <c r="T3390" s="84" t="n">
        <f aca="false">IF(AND(ISNUMBER(O3390),ISNUMBER(P3390)),Coef_A+Coef_B1*O3390+Coef_B2*P3390,"")</f>
        <v>22.7205393110381</v>
      </c>
      <c r="U3390" s="84" t="n">
        <f aca="false">IF(AND(R3390=1,ISNUMBER(T3390)),E3390-T3390,"")</f>
        <v>0.579460688961902</v>
      </c>
      <c r="V3390" s="84" t="n">
        <f aca="false">IF(ISNUMBER(T3390),T3390,-99)</f>
        <v>22.7205393110381</v>
      </c>
      <c r="W3390" s="84" t="n">
        <f aca="false">IF(ISNUMBER(U3390),ABS(U3390),"")</f>
        <v>0.579460688961902</v>
      </c>
    </row>
    <row r="3391" customFormat="false" ht="15" hidden="false" customHeight="false" outlineLevel="0" collapsed="false">
      <c r="A3391" s="57" t="n">
        <v>37035</v>
      </c>
      <c r="B3391" s="56" t="n">
        <v>2001</v>
      </c>
      <c r="C3391" s="56" t="n">
        <v>5</v>
      </c>
      <c r="D3391" s="56" t="n">
        <v>24</v>
      </c>
      <c r="E3391" s="56" t="n">
        <v>20.7</v>
      </c>
      <c r="F3391" s="56" t="n">
        <v>0</v>
      </c>
      <c r="G3391" s="56" t="n">
        <v>10.5</v>
      </c>
      <c r="H3391" s="56" t="n">
        <v>0</v>
      </c>
      <c r="I3391" s="56" t="n">
        <v>16.9</v>
      </c>
      <c r="J3391" s="56" t="n">
        <v>0</v>
      </c>
      <c r="K3391" s="56" t="n">
        <v>1023.8</v>
      </c>
      <c r="L3391" s="56" t="n">
        <v>0</v>
      </c>
      <c r="M3391" s="56" t="n">
        <v>56</v>
      </c>
      <c r="N3391" s="56" t="n">
        <v>13.4</v>
      </c>
      <c r="O3391" s="56" t="n">
        <f aca="false">IF(D3391=1,"",E3390)</f>
        <v>23.3</v>
      </c>
      <c r="P3391" s="56" t="n">
        <f aca="false">IF(OR(D3391=1,K3390=""),"",K3390)</f>
        <v>1023.9</v>
      </c>
      <c r="Q3391" s="56" t="n">
        <f aca="false">IF(OR(F3391&lt;&gt;0,AND(I3391&lt;&gt;"",E3391&lt;I3391)),1,0)</f>
        <v>0</v>
      </c>
      <c r="R3391" s="56" t="n">
        <f aca="false">IF(AND(D3391&gt;1,Q3391=0,ISNUMBER(O3391),ISNUMBER(P3391)),IF(Q3390=0,1,0),0)</f>
        <v>1</v>
      </c>
      <c r="S3391" s="56" t="n">
        <f aca="false">R3391*(B3391&gt;=Train_Start)*(B3391&lt;=Train_End)</f>
        <v>0</v>
      </c>
      <c r="T3391" s="84" t="n">
        <f aca="false">IF(AND(ISNUMBER(O3391),ISNUMBER(P3391)),Coef_A+Coef_B1*O3391+Coef_B2*P3391,"")</f>
        <v>23.2972137356314</v>
      </c>
      <c r="U3391" s="84" t="n">
        <f aca="false">IF(AND(R3391=1,ISNUMBER(T3391)),E3391-T3391,"")</f>
        <v>-2.59721373563136</v>
      </c>
      <c r="V3391" s="84" t="n">
        <f aca="false">IF(ISNUMBER(T3391),T3391,-99)</f>
        <v>23.2972137356314</v>
      </c>
      <c r="W3391" s="84" t="n">
        <f aca="false">IF(ISNUMBER(U3391),ABS(U3391),"")</f>
        <v>2.59721373563136</v>
      </c>
    </row>
    <row r="3392" customFormat="false" ht="15" hidden="false" customHeight="false" outlineLevel="0" collapsed="false">
      <c r="A3392" s="57" t="n">
        <v>37036</v>
      </c>
      <c r="B3392" s="56" t="n">
        <v>2001</v>
      </c>
      <c r="C3392" s="56" t="n">
        <v>5</v>
      </c>
      <c r="D3392" s="56" t="n">
        <v>25</v>
      </c>
      <c r="E3392" s="56" t="n">
        <v>23.2</v>
      </c>
      <c r="F3392" s="56" t="n">
        <v>0</v>
      </c>
      <c r="G3392" s="56" t="n">
        <v>10.4</v>
      </c>
      <c r="H3392" s="56" t="n">
        <v>0</v>
      </c>
      <c r="I3392" s="56" t="n">
        <v>15.6</v>
      </c>
      <c r="J3392" s="56" t="n">
        <v>0</v>
      </c>
      <c r="K3392" s="56" t="n">
        <v>1022</v>
      </c>
      <c r="L3392" s="56" t="n">
        <v>0</v>
      </c>
      <c r="M3392" s="56" t="n">
        <v>70</v>
      </c>
      <c r="N3392" s="56" t="n">
        <v>7.4</v>
      </c>
      <c r="O3392" s="56" t="n">
        <f aca="false">IF(D3392=1,"",E3391)</f>
        <v>20.7</v>
      </c>
      <c r="P3392" s="56" t="n">
        <f aca="false">IF(OR(D3392=1,K3391=""),"",K3391)</f>
        <v>1023.8</v>
      </c>
      <c r="Q3392" s="56" t="n">
        <f aca="false">IF(OR(F3392&lt;&gt;0,AND(I3392&lt;&gt;"",E3392&lt;I3392)),1,0)</f>
        <v>0</v>
      </c>
      <c r="R3392" s="56" t="n">
        <f aca="false">IF(AND(D3392&gt;1,Q3392=0,ISNUMBER(O3392),ISNUMBER(P3392)),IF(Q3391=0,1,0),0)</f>
        <v>1</v>
      </c>
      <c r="S3392" s="56" t="n">
        <f aca="false">R3392*(B3392&gt;=Train_Start)*(B3392&lt;=Train_End)</f>
        <v>0</v>
      </c>
      <c r="T3392" s="84" t="n">
        <f aca="false">IF(AND(ISNUMBER(O3392),ISNUMBER(P3392)),Coef_A+Coef_B1*O3392+Coef_B2*P3392,"")</f>
        <v>21.163794844257</v>
      </c>
      <c r="U3392" s="84" t="n">
        <f aca="false">IF(AND(R3392=1,ISNUMBER(T3392)),E3392-T3392,"")</f>
        <v>2.03620515574295</v>
      </c>
      <c r="V3392" s="84" t="n">
        <f aca="false">IF(ISNUMBER(T3392),T3392,-99)</f>
        <v>21.163794844257</v>
      </c>
      <c r="W3392" s="84" t="n">
        <f aca="false">IF(ISNUMBER(U3392),ABS(U3392),"")</f>
        <v>2.03620515574295</v>
      </c>
    </row>
    <row r="3393" customFormat="false" ht="15" hidden="false" customHeight="false" outlineLevel="0" collapsed="false">
      <c r="A3393" s="57" t="n">
        <v>37037</v>
      </c>
      <c r="B3393" s="56" t="n">
        <v>2001</v>
      </c>
      <c r="C3393" s="56" t="n">
        <v>5</v>
      </c>
      <c r="D3393" s="56" t="n">
        <v>26</v>
      </c>
      <c r="E3393" s="56" t="n">
        <v>21.2</v>
      </c>
      <c r="F3393" s="56" t="n">
        <v>0</v>
      </c>
      <c r="G3393" s="56" t="n">
        <v>12.2</v>
      </c>
      <c r="H3393" s="56" t="n">
        <v>0</v>
      </c>
      <c r="I3393" s="56" t="n">
        <v>17.7</v>
      </c>
      <c r="J3393" s="56" t="n">
        <v>0</v>
      </c>
      <c r="K3393" s="56" t="n">
        <v>1019.8</v>
      </c>
      <c r="L3393" s="56" t="n">
        <v>0</v>
      </c>
      <c r="M3393" s="56" t="n">
        <v>70</v>
      </c>
      <c r="N3393" s="56" t="n">
        <v>9.5</v>
      </c>
      <c r="O3393" s="56" t="n">
        <f aca="false">IF(D3393=1,"",E3392)</f>
        <v>23.2</v>
      </c>
      <c r="P3393" s="56" t="n">
        <f aca="false">IF(OR(D3393=1,K3392=""),"",K3392)</f>
        <v>1022</v>
      </c>
      <c r="Q3393" s="56" t="n">
        <f aca="false">IF(OR(F3393&lt;&gt;0,AND(I3393&lt;&gt;"",E3393&lt;I3393)),1,0)</f>
        <v>0</v>
      </c>
      <c r="R3393" s="56" t="n">
        <f aca="false">IF(AND(D3393&gt;1,Q3393=0,ISNUMBER(O3393),ISNUMBER(P3393)),IF(Q3392=0,1,0),0)</f>
        <v>1</v>
      </c>
      <c r="S3393" s="56" t="n">
        <f aca="false">R3393*(B3393&gt;=Train_Start)*(B3393&lt;=Train_End)</f>
        <v>0</v>
      </c>
      <c r="T3393" s="84" t="n">
        <f aca="false">IF(AND(ISNUMBER(O3393),ISNUMBER(P3393)),Coef_A+Coef_B1*O3393+Coef_B2*P3393,"")</f>
        <v>23.1556770165225</v>
      </c>
      <c r="U3393" s="84" t="n">
        <f aca="false">IF(AND(R3393=1,ISNUMBER(T3393)),E3393-T3393,"")</f>
        <v>-1.95567701652251</v>
      </c>
      <c r="V3393" s="84" t="n">
        <f aca="false">IF(ISNUMBER(T3393),T3393,-99)</f>
        <v>23.1556770165225</v>
      </c>
      <c r="W3393" s="84" t="n">
        <f aca="false">IF(ISNUMBER(U3393),ABS(U3393),"")</f>
        <v>1.95567701652251</v>
      </c>
    </row>
    <row r="3394" customFormat="false" ht="15" hidden="false" customHeight="false" outlineLevel="0" collapsed="false">
      <c r="A3394" s="57" t="n">
        <v>37038</v>
      </c>
      <c r="B3394" s="56" t="n">
        <v>2001</v>
      </c>
      <c r="C3394" s="56" t="n">
        <v>5</v>
      </c>
      <c r="D3394" s="56" t="n">
        <v>27</v>
      </c>
      <c r="E3394" s="56" t="n">
        <v>24.6</v>
      </c>
      <c r="F3394" s="56" t="n">
        <v>0</v>
      </c>
      <c r="G3394" s="56" t="n">
        <v>13.9</v>
      </c>
      <c r="H3394" s="56" t="n">
        <v>0</v>
      </c>
      <c r="I3394" s="56" t="n">
        <v>17.6</v>
      </c>
      <c r="J3394" s="56" t="n">
        <v>0</v>
      </c>
      <c r="K3394" s="56" t="n">
        <v>1021.2</v>
      </c>
      <c r="L3394" s="56" t="n">
        <v>0</v>
      </c>
      <c r="M3394" s="56" t="n">
        <v>77</v>
      </c>
      <c r="N3394" s="56" t="n">
        <v>1.3</v>
      </c>
      <c r="O3394" s="56" t="n">
        <f aca="false">IF(D3394=1,"",E3393)</f>
        <v>21.2</v>
      </c>
      <c r="P3394" s="56" t="n">
        <f aca="false">IF(OR(D3394=1,K3393=""),"",K3393)</f>
        <v>1019.8</v>
      </c>
      <c r="Q3394" s="56" t="n">
        <f aca="false">IF(OR(F3394&lt;&gt;0,AND(I3394&lt;&gt;"",E3394&lt;I3394)),1,0)</f>
        <v>0</v>
      </c>
      <c r="R3394" s="56" t="n">
        <f aca="false">IF(AND(D3394&gt;1,Q3394=0,ISNUMBER(O3394),ISNUMBER(P3394)),IF(Q3393=0,1,0),0)</f>
        <v>1</v>
      </c>
      <c r="S3394" s="56" t="n">
        <f aca="false">R3394*(B3394&gt;=Train_Start)*(B3394&lt;=Train_End)</f>
        <v>0</v>
      </c>
      <c r="T3394" s="84" t="n">
        <f aca="false">IF(AND(ISNUMBER(O3394),ISNUMBER(P3394)),Coef_A+Coef_B1*O3394+Coef_B2*P3394,"")</f>
        <v>21.4479848622424</v>
      </c>
      <c r="U3394" s="84" t="n">
        <f aca="false">IF(AND(R3394=1,ISNUMBER(T3394)),E3394-T3394,"")</f>
        <v>3.15201513775758</v>
      </c>
      <c r="V3394" s="84" t="n">
        <f aca="false">IF(ISNUMBER(T3394),T3394,-99)</f>
        <v>21.4479848622424</v>
      </c>
      <c r="W3394" s="84" t="n">
        <f aca="false">IF(ISNUMBER(U3394),ABS(U3394),"")</f>
        <v>3.15201513775758</v>
      </c>
    </row>
    <row r="3395" customFormat="false" ht="15" hidden="false" customHeight="false" outlineLevel="0" collapsed="false">
      <c r="A3395" s="57" t="n">
        <v>37039</v>
      </c>
      <c r="B3395" s="56" t="n">
        <v>2001</v>
      </c>
      <c r="C3395" s="56" t="n">
        <v>5</v>
      </c>
      <c r="D3395" s="56" t="n">
        <v>28</v>
      </c>
      <c r="E3395" s="56" t="n">
        <v>22.5</v>
      </c>
      <c r="F3395" s="56" t="n">
        <v>0</v>
      </c>
      <c r="G3395" s="56" t="n">
        <v>15.5</v>
      </c>
      <c r="H3395" s="56" t="n">
        <v>0</v>
      </c>
      <c r="I3395" s="56" t="n">
        <v>20</v>
      </c>
      <c r="J3395" s="56" t="n">
        <v>0</v>
      </c>
      <c r="K3395" s="56" t="n">
        <v>1021</v>
      </c>
      <c r="L3395" s="56" t="n">
        <v>0</v>
      </c>
      <c r="M3395" s="56" t="n">
        <v>75</v>
      </c>
      <c r="N3395" s="56" t="n">
        <v>7.8</v>
      </c>
      <c r="O3395" s="56" t="n">
        <f aca="false">IF(D3395=1,"",E3394)</f>
        <v>24.6</v>
      </c>
      <c r="P3395" s="56" t="n">
        <f aca="false">IF(OR(D3395=1,K3394=""),"",K3394)</f>
        <v>1021.2</v>
      </c>
      <c r="Q3395" s="56" t="n">
        <f aca="false">IF(OR(F3395&lt;&gt;0,AND(I3395&lt;&gt;"",E3395&lt;I3395)),1,0)</f>
        <v>0</v>
      </c>
      <c r="R3395" s="56" t="n">
        <f aca="false">IF(AND(D3395&gt;1,Q3395=0,ISNUMBER(O3395),ISNUMBER(P3395)),IF(Q3394=0,1,0),0)</f>
        <v>1</v>
      </c>
      <c r="S3395" s="56" t="n">
        <f aca="false">R3395*(B3395&gt;=Train_Start)*(B3395&lt;=Train_End)</f>
        <v>0</v>
      </c>
      <c r="T3395" s="84" t="n">
        <f aca="false">IF(AND(ISNUMBER(O3395),ISNUMBER(P3395)),Coef_A+Coef_B1*O3395+Coef_B2*P3395,"")</f>
        <v>24.277655971075</v>
      </c>
      <c r="U3395" s="84" t="n">
        <f aca="false">IF(AND(R3395=1,ISNUMBER(T3395)),E3395-T3395,"")</f>
        <v>-1.77765597107504</v>
      </c>
      <c r="V3395" s="84" t="n">
        <f aca="false">IF(ISNUMBER(T3395),T3395,-99)</f>
        <v>24.277655971075</v>
      </c>
      <c r="W3395" s="84" t="n">
        <f aca="false">IF(ISNUMBER(U3395),ABS(U3395),"")</f>
        <v>1.77765597107504</v>
      </c>
    </row>
    <row r="3396" customFormat="false" ht="15" hidden="false" customHeight="false" outlineLevel="0" collapsed="false">
      <c r="A3396" s="57" t="n">
        <v>37040</v>
      </c>
      <c r="B3396" s="56" t="n">
        <v>2001</v>
      </c>
      <c r="C3396" s="56" t="n">
        <v>5</v>
      </c>
      <c r="D3396" s="56" t="n">
        <v>29</v>
      </c>
      <c r="E3396" s="56" t="n">
        <v>23.2</v>
      </c>
      <c r="F3396" s="56" t="n">
        <v>0</v>
      </c>
      <c r="G3396" s="56" t="n">
        <v>11.2</v>
      </c>
      <c r="H3396" s="56" t="n">
        <v>0</v>
      </c>
      <c r="I3396" s="56" t="n">
        <v>16.8</v>
      </c>
      <c r="J3396" s="56" t="n">
        <v>0</v>
      </c>
      <c r="K3396" s="56" t="n">
        <v>1021.5</v>
      </c>
      <c r="L3396" s="56" t="n">
        <v>0</v>
      </c>
      <c r="M3396" s="56" t="n">
        <v>64</v>
      </c>
      <c r="N3396" s="56" t="n">
        <v>14</v>
      </c>
      <c r="O3396" s="56" t="n">
        <f aca="false">IF(D3396=1,"",E3395)</f>
        <v>22.5</v>
      </c>
      <c r="P3396" s="56" t="n">
        <f aca="false">IF(OR(D3396=1,K3395=""),"",K3395)</f>
        <v>1021</v>
      </c>
      <c r="Q3396" s="56" t="n">
        <f aca="false">IF(OR(F3396&lt;&gt;0,AND(I3396&lt;&gt;"",E3396&lt;I3396)),1,0)</f>
        <v>0</v>
      </c>
      <c r="R3396" s="56" t="n">
        <f aca="false">IF(AND(D3396&gt;1,Q3396=0,ISNUMBER(O3396),ISNUMBER(P3396)),IF(Q3395=0,1,0),0)</f>
        <v>1</v>
      </c>
      <c r="S3396" s="56" t="n">
        <f aca="false">R3396*(B3396&gt;=Train_Start)*(B3396&lt;=Train_End)</f>
        <v>0</v>
      </c>
      <c r="T3396" s="84" t="n">
        <f aca="false">IF(AND(ISNUMBER(O3396),ISNUMBER(P3396)),Coef_A+Coef_B1*O3396+Coef_B2*P3396,"")</f>
        <v>22.5507696867587</v>
      </c>
      <c r="U3396" s="84" t="n">
        <f aca="false">IF(AND(R3396=1,ISNUMBER(T3396)),E3396-T3396,"")</f>
        <v>0.649230313241336</v>
      </c>
      <c r="V3396" s="84" t="n">
        <f aca="false">IF(ISNUMBER(T3396),T3396,-99)</f>
        <v>22.5507696867587</v>
      </c>
      <c r="W3396" s="84" t="n">
        <f aca="false">IF(ISNUMBER(U3396),ABS(U3396),"")</f>
        <v>0.649230313241336</v>
      </c>
    </row>
    <row r="3397" customFormat="false" ht="15" hidden="false" customHeight="false" outlineLevel="0" collapsed="false">
      <c r="A3397" s="57" t="n">
        <v>37041</v>
      </c>
      <c r="B3397" s="56" t="n">
        <v>2001</v>
      </c>
      <c r="C3397" s="56" t="n">
        <v>5</v>
      </c>
      <c r="D3397" s="56" t="n">
        <v>30</v>
      </c>
      <c r="E3397" s="56" t="n">
        <v>19.1</v>
      </c>
      <c r="F3397" s="56" t="n">
        <v>0</v>
      </c>
      <c r="G3397" s="56" t="n">
        <v>11.6</v>
      </c>
      <c r="H3397" s="56" t="n">
        <v>0</v>
      </c>
      <c r="I3397" s="56" t="n">
        <v>17.4</v>
      </c>
      <c r="J3397" s="56" t="n">
        <v>0</v>
      </c>
      <c r="K3397" s="56" t="n">
        <v>1017.7</v>
      </c>
      <c r="L3397" s="56" t="n">
        <v>0</v>
      </c>
      <c r="M3397" s="56" t="n">
        <v>59</v>
      </c>
      <c r="N3397" s="56" t="n">
        <v>14.6</v>
      </c>
      <c r="O3397" s="56" t="n">
        <f aca="false">IF(D3397=1,"",E3396)</f>
        <v>23.2</v>
      </c>
      <c r="P3397" s="56" t="n">
        <f aca="false">IF(OR(D3397=1,K3396=""),"",K3396)</f>
        <v>1021.5</v>
      </c>
      <c r="Q3397" s="56" t="n">
        <f aca="false">IF(OR(F3397&lt;&gt;0,AND(I3397&lt;&gt;"",E3397&lt;I3397)),1,0)</f>
        <v>0</v>
      </c>
      <c r="R3397" s="56" t="n">
        <f aca="false">IF(AND(D3397&gt;1,Q3397=0,ISNUMBER(O3397),ISNUMBER(P3397)),IF(Q3396=0,1,0),0)</f>
        <v>1</v>
      </c>
      <c r="S3397" s="56" t="n">
        <f aca="false">R3397*(B3397&gt;=Train_Start)*(B3397&lt;=Train_End)</f>
        <v>0</v>
      </c>
      <c r="T3397" s="84" t="n">
        <f aca="false">IF(AND(ISNUMBER(O3397),ISNUMBER(P3397)),Coef_A+Coef_B1*O3397+Coef_B2*P3397,"")</f>
        <v>23.1399920692055</v>
      </c>
      <c r="U3397" s="84" t="n">
        <f aca="false">IF(AND(R3397=1,ISNUMBER(T3397)),E3397-T3397,"")</f>
        <v>-4.03999206920552</v>
      </c>
      <c r="V3397" s="84" t="n">
        <f aca="false">IF(ISNUMBER(T3397),T3397,-99)</f>
        <v>23.1399920692055</v>
      </c>
      <c r="W3397" s="84" t="n">
        <f aca="false">IF(ISNUMBER(U3397),ABS(U3397),"")</f>
        <v>4.03999206920552</v>
      </c>
    </row>
    <row r="3398" customFormat="false" ht="15" hidden="false" customHeight="false" outlineLevel="0" collapsed="false">
      <c r="A3398" s="57" t="n">
        <v>37042</v>
      </c>
      <c r="B3398" s="56" t="n">
        <v>2001</v>
      </c>
      <c r="C3398" s="56" t="n">
        <v>5</v>
      </c>
      <c r="D3398" s="56" t="n">
        <v>31</v>
      </c>
      <c r="E3398" s="56" t="n">
        <v>19.1</v>
      </c>
      <c r="F3398" s="56" t="n">
        <v>0</v>
      </c>
      <c r="G3398" s="56" t="n">
        <v>11.5</v>
      </c>
      <c r="H3398" s="56" t="n">
        <v>0</v>
      </c>
      <c r="I3398" s="56" t="n">
        <v>15.3</v>
      </c>
      <c r="J3398" s="56" t="n">
        <v>0</v>
      </c>
      <c r="K3398" s="56" t="n">
        <v>1019.9</v>
      </c>
      <c r="L3398" s="56" t="n">
        <v>0</v>
      </c>
      <c r="M3398" s="56" t="n">
        <v>60</v>
      </c>
      <c r="N3398" s="56" t="n">
        <v>7.9</v>
      </c>
      <c r="O3398" s="56" t="n">
        <f aca="false">IF(D3398=1,"",E3397)</f>
        <v>19.1</v>
      </c>
      <c r="P3398" s="56" t="n">
        <f aca="false">IF(OR(D3398=1,K3397=""),"",K3397)</f>
        <v>1017.7</v>
      </c>
      <c r="Q3398" s="56" t="n">
        <f aca="false">IF(OR(F3398&lt;&gt;0,AND(I3398&lt;&gt;"",E3398&lt;I3398)),1,0)</f>
        <v>0</v>
      </c>
      <c r="R3398" s="56" t="n">
        <f aca="false">IF(AND(D3398&gt;1,Q3398=0,ISNUMBER(O3398),ISNUMBER(P3398)),IF(Q3397=0,1,0),0)</f>
        <v>1</v>
      </c>
      <c r="S3398" s="56" t="n">
        <f aca="false">R3398*(B3398&gt;=Train_Start)*(B3398&lt;=Train_End)</f>
        <v>0</v>
      </c>
      <c r="T3398" s="84" t="n">
        <f aca="false">IF(AND(ISNUMBER(O3398),ISNUMBER(P3398)),Coef_A+Coef_B1*O3398+Coef_B2*P3398,"")</f>
        <v>19.6614957781215</v>
      </c>
      <c r="U3398" s="84" t="n">
        <f aca="false">IF(AND(R3398=1,ISNUMBER(T3398)),E3398-T3398,"")</f>
        <v>-0.561495778121465</v>
      </c>
      <c r="V3398" s="84" t="n">
        <f aca="false">IF(ISNUMBER(T3398),T3398,-99)</f>
        <v>19.6614957781215</v>
      </c>
      <c r="W3398" s="84" t="n">
        <f aca="false">IF(ISNUMBER(U3398),ABS(U3398),"")</f>
        <v>0.561495778121465</v>
      </c>
    </row>
    <row r="3399" customFormat="false" ht="15" hidden="false" customHeight="false" outlineLevel="0" collapsed="false">
      <c r="A3399" s="57" t="n">
        <v>37043</v>
      </c>
      <c r="B3399" s="56" t="n">
        <v>2001</v>
      </c>
      <c r="C3399" s="56" t="n">
        <v>6</v>
      </c>
      <c r="D3399" s="56" t="n">
        <v>32</v>
      </c>
      <c r="E3399" s="56" t="n">
        <v>16.6</v>
      </c>
      <c r="F3399" s="56" t="n">
        <v>0</v>
      </c>
      <c r="G3399" s="56" t="n">
        <v>9.2</v>
      </c>
      <c r="H3399" s="56" t="n">
        <v>0</v>
      </c>
      <c r="I3399" s="56" t="n">
        <v>14.2</v>
      </c>
      <c r="J3399" s="56" t="n">
        <v>0</v>
      </c>
      <c r="K3399" s="56" t="n">
        <v>1021.2</v>
      </c>
      <c r="L3399" s="56" t="n">
        <v>0</v>
      </c>
      <c r="M3399" s="56" t="n">
        <v>65</v>
      </c>
      <c r="N3399" s="56" t="n">
        <v>1.7</v>
      </c>
      <c r="O3399" s="56" t="n">
        <f aca="false">IF(D3399=1,"",E3398)</f>
        <v>19.1</v>
      </c>
      <c r="P3399" s="56" t="n">
        <f aca="false">IF(OR(D3399=1,K3398=""),"",K3398)</f>
        <v>1019.9</v>
      </c>
      <c r="Q3399" s="56" t="n">
        <f aca="false">IF(OR(F3399&lt;&gt;0,AND(I3399&lt;&gt;"",E3399&lt;I3399)),1,0)</f>
        <v>0</v>
      </c>
      <c r="R3399" s="56" t="n">
        <f aca="false">IF(AND(D3399&gt;1,Q3399=0,ISNUMBER(O3399),ISNUMBER(P3399)),IF(Q3398=0,1,0),0)</f>
        <v>1</v>
      </c>
      <c r="S3399" s="56" t="n">
        <f aca="false">R3399*(B3399&gt;=Train_Start)*(B3399&lt;=Train_End)</f>
        <v>0</v>
      </c>
      <c r="T3399" s="84" t="n">
        <f aca="false">IF(AND(ISNUMBER(O3399),ISNUMBER(P3399)),Coef_A+Coef_B1*O3399+Coef_B2*P3399,"")</f>
        <v>19.7305095463162</v>
      </c>
      <c r="U3399" s="84" t="n">
        <f aca="false">IF(AND(R3399=1,ISNUMBER(T3399)),E3399-T3399,"")</f>
        <v>-3.13050954631624</v>
      </c>
      <c r="V3399" s="84" t="n">
        <f aca="false">IF(ISNUMBER(T3399),T3399,-99)</f>
        <v>19.7305095463162</v>
      </c>
      <c r="W3399" s="84" t="n">
        <f aca="false">IF(ISNUMBER(U3399),ABS(U3399),"")</f>
        <v>3.13050954631624</v>
      </c>
    </row>
    <row r="3400" customFormat="false" ht="15" hidden="false" customHeight="false" outlineLevel="0" collapsed="false">
      <c r="A3400" s="57" t="n">
        <v>37044</v>
      </c>
      <c r="B3400" s="56" t="n">
        <v>2001</v>
      </c>
      <c r="C3400" s="56" t="n">
        <v>6</v>
      </c>
      <c r="D3400" s="56" t="n">
        <v>33</v>
      </c>
      <c r="E3400" s="56" t="n">
        <v>16.8</v>
      </c>
      <c r="F3400" s="56" t="n">
        <v>0</v>
      </c>
      <c r="G3400" s="56" t="n">
        <v>12.5</v>
      </c>
      <c r="H3400" s="56" t="n">
        <v>0</v>
      </c>
      <c r="I3400" s="56" t="n">
        <v>14.6</v>
      </c>
      <c r="J3400" s="56" t="n">
        <v>0</v>
      </c>
      <c r="K3400" s="56" t="n">
        <v>1014.9</v>
      </c>
      <c r="L3400" s="56" t="n">
        <v>0</v>
      </c>
      <c r="M3400" s="56" t="n">
        <v>63</v>
      </c>
      <c r="N3400" s="56" t="n">
        <v>4.7</v>
      </c>
      <c r="O3400" s="56" t="n">
        <f aca="false">IF(D3400=1,"",E3399)</f>
        <v>16.6</v>
      </c>
      <c r="P3400" s="56" t="n">
        <f aca="false">IF(OR(D3400=1,K3399=""),"",K3399)</f>
        <v>1021.2</v>
      </c>
      <c r="Q3400" s="56" t="n">
        <f aca="false">IF(OR(F3400&lt;&gt;0,AND(I3400&lt;&gt;"",E3400&lt;I3400)),1,0)</f>
        <v>0</v>
      </c>
      <c r="R3400" s="56" t="n">
        <f aca="false">IF(AND(D3400&gt;1,Q3400=0,ISNUMBER(O3400),ISNUMBER(P3400)),IF(Q3399=0,1,0),0)</f>
        <v>1</v>
      </c>
      <c r="S3400" s="56" t="n">
        <f aca="false">R3400*(B3400&gt;=Train_Start)*(B3400&lt;=Train_End)</f>
        <v>0</v>
      </c>
      <c r="T3400" s="84" t="n">
        <f aca="false">IF(AND(ISNUMBER(O3400),ISNUMBER(P3400)),Coef_A+Coef_B1*O3400+Coef_B2*P3400,"")</f>
        <v>17.7229424267338</v>
      </c>
      <c r="U3400" s="84" t="n">
        <f aca="false">IF(AND(R3400=1,ISNUMBER(T3400)),E3400-T3400,"")</f>
        <v>-0.92294242673378</v>
      </c>
      <c r="V3400" s="84" t="n">
        <f aca="false">IF(ISNUMBER(T3400),T3400,-99)</f>
        <v>17.7229424267338</v>
      </c>
      <c r="W3400" s="84" t="n">
        <f aca="false">IF(ISNUMBER(U3400),ABS(U3400),"")</f>
        <v>0.92294242673378</v>
      </c>
    </row>
    <row r="3401" customFormat="false" ht="15" hidden="false" customHeight="false" outlineLevel="0" collapsed="false">
      <c r="A3401" s="57" t="n">
        <v>37045</v>
      </c>
      <c r="B3401" s="56" t="n">
        <v>2001</v>
      </c>
      <c r="C3401" s="56" t="n">
        <v>6</v>
      </c>
      <c r="D3401" s="56" t="n">
        <v>34</v>
      </c>
      <c r="E3401" s="56" t="n">
        <v>20.3</v>
      </c>
      <c r="F3401" s="56" t="n">
        <v>0</v>
      </c>
      <c r="G3401" s="56" t="n">
        <v>6.4</v>
      </c>
      <c r="H3401" s="56" t="n">
        <v>0</v>
      </c>
      <c r="I3401" s="56" t="n">
        <v>11.6</v>
      </c>
      <c r="J3401" s="56" t="n">
        <v>0</v>
      </c>
      <c r="K3401" s="56" t="n">
        <v>1024.2</v>
      </c>
      <c r="L3401" s="56" t="n">
        <v>0</v>
      </c>
      <c r="M3401" s="56" t="n">
        <v>54</v>
      </c>
      <c r="N3401" s="56" t="n">
        <v>15.2</v>
      </c>
      <c r="O3401" s="56" t="n">
        <f aca="false">IF(D3401=1,"",E3400)</f>
        <v>16.8</v>
      </c>
      <c r="P3401" s="56" t="n">
        <f aca="false">IF(OR(D3401=1,K3400=""),"",K3400)</f>
        <v>1014.9</v>
      </c>
      <c r="Q3401" s="56" t="n">
        <f aca="false">IF(OR(F3401&lt;&gt;0,AND(I3401&lt;&gt;"",E3401&lt;I3401)),1,0)</f>
        <v>0</v>
      </c>
      <c r="R3401" s="56" t="n">
        <f aca="false">IF(AND(D3401&gt;1,Q3401=0,ISNUMBER(O3401),ISNUMBER(P3401)),IF(Q3400=0,1,0),0)</f>
        <v>1</v>
      </c>
      <c r="S3401" s="56" t="n">
        <f aca="false">R3401*(B3401&gt;=Train_Start)*(B3401&lt;=Train_End)</f>
        <v>0</v>
      </c>
      <c r="T3401" s="84" t="n">
        <f aca="false">IF(AND(ISNUMBER(O3401),ISNUMBER(P3401)),Coef_A+Coef_B1*O3401+Coef_B2*P3401,"")</f>
        <v>17.6891799291482</v>
      </c>
      <c r="U3401" s="84" t="n">
        <f aca="false">IF(AND(R3401=1,ISNUMBER(T3401)),E3401-T3401,"")</f>
        <v>2.61082007085182</v>
      </c>
      <c r="V3401" s="84" t="n">
        <f aca="false">IF(ISNUMBER(T3401),T3401,-99)</f>
        <v>17.6891799291482</v>
      </c>
      <c r="W3401" s="84" t="n">
        <f aca="false">IF(ISNUMBER(U3401),ABS(U3401),"")</f>
        <v>2.61082007085182</v>
      </c>
    </row>
    <row r="3402" customFormat="false" ht="15" hidden="false" customHeight="false" outlineLevel="0" collapsed="false">
      <c r="A3402" s="57" t="n">
        <v>37046</v>
      </c>
      <c r="B3402" s="56" t="n">
        <v>2001</v>
      </c>
      <c r="C3402" s="56" t="n">
        <v>6</v>
      </c>
      <c r="D3402" s="56" t="n">
        <v>35</v>
      </c>
      <c r="E3402" s="56" t="n">
        <v>20.6</v>
      </c>
      <c r="F3402" s="56" t="n">
        <v>0</v>
      </c>
      <c r="G3402" s="56" t="n">
        <v>7.6</v>
      </c>
      <c r="H3402" s="56" t="n">
        <v>0</v>
      </c>
      <c r="I3402" s="56" t="n">
        <v>14</v>
      </c>
      <c r="J3402" s="56" t="n">
        <v>0</v>
      </c>
      <c r="K3402" s="56" t="n">
        <v>1024.3</v>
      </c>
      <c r="L3402" s="56" t="n">
        <v>0</v>
      </c>
      <c r="M3402" s="56" t="n">
        <v>57</v>
      </c>
      <c r="N3402" s="56" t="n">
        <v>7.3</v>
      </c>
      <c r="O3402" s="56" t="n">
        <f aca="false">IF(D3402=1,"",E3401)</f>
        <v>20.3</v>
      </c>
      <c r="P3402" s="56" t="n">
        <f aca="false">IF(OR(D3402=1,K3401=""),"",K3401)</f>
        <v>1024.2</v>
      </c>
      <c r="Q3402" s="56" t="n">
        <f aca="false">IF(OR(F3402&lt;&gt;0,AND(I3402&lt;&gt;"",E3402&lt;I3402)),1,0)</f>
        <v>0</v>
      </c>
      <c r="R3402" s="56" t="n">
        <f aca="false">IF(AND(D3402&gt;1,Q3402=0,ISNUMBER(O3402),ISNUMBER(P3402)),IF(Q3401=0,1,0),0)</f>
        <v>1</v>
      </c>
      <c r="S3402" s="56" t="n">
        <f aca="false">R3402*(B3402&gt;=Train_Start)*(B3402&lt;=Train_End)</f>
        <v>0</v>
      </c>
      <c r="T3402" s="84" t="n">
        <f aca="false">IF(AND(ISNUMBER(O3402),ISNUMBER(P3402)),Coef_A+Coef_B1*O3402+Coef_B2*P3402,"")</f>
        <v>20.8486071248936</v>
      </c>
      <c r="U3402" s="84" t="n">
        <f aca="false">IF(AND(R3402=1,ISNUMBER(T3402)),E3402-T3402,"")</f>
        <v>-0.248607124893582</v>
      </c>
      <c r="V3402" s="84" t="n">
        <f aca="false">IF(ISNUMBER(T3402),T3402,-99)</f>
        <v>20.8486071248936</v>
      </c>
      <c r="W3402" s="84" t="n">
        <f aca="false">IF(ISNUMBER(U3402),ABS(U3402),"")</f>
        <v>0.248607124893582</v>
      </c>
    </row>
    <row r="3403" customFormat="false" ht="15" hidden="false" customHeight="false" outlineLevel="0" collapsed="false">
      <c r="A3403" s="57" t="n">
        <v>37047</v>
      </c>
      <c r="B3403" s="56" t="n">
        <v>2001</v>
      </c>
      <c r="C3403" s="56" t="n">
        <v>6</v>
      </c>
      <c r="D3403" s="56" t="n">
        <v>36</v>
      </c>
      <c r="E3403" s="56" t="n">
        <v>19.4</v>
      </c>
      <c r="F3403" s="56" t="n">
        <v>0</v>
      </c>
      <c r="G3403" s="56" t="n">
        <v>9.3</v>
      </c>
      <c r="H3403" s="56" t="n">
        <v>0</v>
      </c>
      <c r="I3403" s="56" t="n">
        <v>15</v>
      </c>
      <c r="J3403" s="56" t="n">
        <v>0</v>
      </c>
      <c r="K3403" s="56" t="n">
        <v>1017.3</v>
      </c>
      <c r="L3403" s="56" t="n">
        <v>0</v>
      </c>
      <c r="M3403" s="56" t="n">
        <v>60</v>
      </c>
      <c r="N3403" s="56" t="n">
        <v>6.5</v>
      </c>
      <c r="O3403" s="56" t="n">
        <f aca="false">IF(D3403=1,"",E3402)</f>
        <v>20.6</v>
      </c>
      <c r="P3403" s="56" t="n">
        <f aca="false">IF(OR(D3403=1,K3402=""),"",K3402)</f>
        <v>1024.3</v>
      </c>
      <c r="Q3403" s="56" t="n">
        <f aca="false">IF(OR(F3403&lt;&gt;0,AND(I3403&lt;&gt;"",E3403&lt;I3403)),1,0)</f>
        <v>0</v>
      </c>
      <c r="R3403" s="56" t="n">
        <f aca="false">IF(AND(D3403&gt;1,Q3403=0,ISNUMBER(O3403),ISNUMBER(P3403)),IF(Q3402=0,1,0),0)</f>
        <v>1</v>
      </c>
      <c r="S3403" s="56" t="n">
        <f aca="false">R3403*(B3403&gt;=Train_Start)*(B3403&lt;=Train_End)</f>
        <v>0</v>
      </c>
      <c r="T3403" s="84" t="n">
        <f aca="false">IF(AND(ISNUMBER(O3403),ISNUMBER(P3403)),Coef_A+Coef_B1*O3403+Coef_B2*P3403,"")</f>
        <v>21.0975458722698</v>
      </c>
      <c r="U3403" s="84" t="n">
        <f aca="false">IF(AND(R3403=1,ISNUMBER(T3403)),E3403-T3403,"")</f>
        <v>-1.69754587226978</v>
      </c>
      <c r="V3403" s="84" t="n">
        <f aca="false">IF(ISNUMBER(T3403),T3403,-99)</f>
        <v>21.0975458722698</v>
      </c>
      <c r="W3403" s="84" t="n">
        <f aca="false">IF(ISNUMBER(U3403),ABS(U3403),"")</f>
        <v>1.69754587226978</v>
      </c>
    </row>
    <row r="3404" customFormat="false" ht="15" hidden="false" customHeight="false" outlineLevel="0" collapsed="false">
      <c r="A3404" s="57" t="n">
        <v>37048</v>
      </c>
      <c r="B3404" s="56" t="n">
        <v>2001</v>
      </c>
      <c r="C3404" s="56" t="n">
        <v>6</v>
      </c>
      <c r="D3404" s="56" t="n">
        <v>37</v>
      </c>
      <c r="E3404" s="56" t="n">
        <v>18</v>
      </c>
      <c r="F3404" s="56" t="n">
        <v>0</v>
      </c>
      <c r="G3404" s="56" t="n">
        <v>11.1</v>
      </c>
      <c r="H3404" s="56" t="n">
        <v>0</v>
      </c>
      <c r="I3404" s="56" t="n">
        <v>15.2</v>
      </c>
      <c r="J3404" s="56" t="n">
        <v>0</v>
      </c>
      <c r="K3404" s="56" t="n">
        <v>1011.4</v>
      </c>
      <c r="L3404" s="56" t="n">
        <v>0</v>
      </c>
      <c r="M3404" s="56" t="n">
        <v>68</v>
      </c>
      <c r="N3404" s="56" t="n">
        <v>1.9</v>
      </c>
      <c r="O3404" s="56" t="n">
        <f aca="false">IF(D3404=1,"",E3403)</f>
        <v>19.4</v>
      </c>
      <c r="P3404" s="56" t="n">
        <f aca="false">IF(OR(D3404=1,K3403=""),"",K3403)</f>
        <v>1017.3</v>
      </c>
      <c r="Q3404" s="56" t="n">
        <f aca="false">IF(OR(F3404&lt;&gt;0,AND(I3404&lt;&gt;"",E3404&lt;I3404)),1,0)</f>
        <v>0</v>
      </c>
      <c r="R3404" s="56" t="n">
        <f aca="false">IF(AND(D3404&gt;1,Q3404=0,ISNUMBER(O3404),ISNUMBER(P3404)),IF(Q3403=0,1,0),0)</f>
        <v>1</v>
      </c>
      <c r="S3404" s="56" t="n">
        <f aca="false">R3404*(B3404&gt;=Train_Start)*(B3404&lt;=Train_End)</f>
        <v>0</v>
      </c>
      <c r="T3404" s="84" t="n">
        <f aca="false">IF(AND(ISNUMBER(O3404),ISNUMBER(P3404)),Coef_A+Coef_B1*O3404+Coef_B2*P3404,"")</f>
        <v>19.8947495781807</v>
      </c>
      <c r="U3404" s="84" t="n">
        <f aca="false">IF(AND(R3404=1,ISNUMBER(T3404)),E3404-T3404,"")</f>
        <v>-1.89474957818066</v>
      </c>
      <c r="V3404" s="84" t="n">
        <f aca="false">IF(ISNUMBER(T3404),T3404,-99)</f>
        <v>19.8947495781807</v>
      </c>
      <c r="W3404" s="84" t="n">
        <f aca="false">IF(ISNUMBER(U3404),ABS(U3404),"")</f>
        <v>1.89474957818066</v>
      </c>
    </row>
    <row r="3405" customFormat="false" ht="15" hidden="false" customHeight="false" outlineLevel="0" collapsed="false">
      <c r="A3405" s="57" t="n">
        <v>37049</v>
      </c>
      <c r="B3405" s="56" t="n">
        <v>2001</v>
      </c>
      <c r="C3405" s="56" t="n">
        <v>6</v>
      </c>
      <c r="D3405" s="56" t="n">
        <v>38</v>
      </c>
      <c r="E3405" s="56" t="n">
        <v>16.8</v>
      </c>
      <c r="F3405" s="56" t="n">
        <v>0</v>
      </c>
      <c r="G3405" s="56" t="n">
        <v>8.3</v>
      </c>
      <c r="H3405" s="56" t="n">
        <v>0</v>
      </c>
      <c r="I3405" s="56" t="n">
        <v>13.2</v>
      </c>
      <c r="J3405" s="56" t="n">
        <v>0</v>
      </c>
      <c r="K3405" s="56" t="n">
        <v>1010.9</v>
      </c>
      <c r="L3405" s="56" t="n">
        <v>0</v>
      </c>
      <c r="M3405" s="56" t="n">
        <v>58</v>
      </c>
      <c r="N3405" s="56" t="n">
        <v>12.4</v>
      </c>
      <c r="O3405" s="56" t="n">
        <f aca="false">IF(D3405=1,"",E3404)</f>
        <v>18</v>
      </c>
      <c r="P3405" s="56" t="n">
        <f aca="false">IF(OR(D3405=1,K3404=""),"",K3404)</f>
        <v>1011.4</v>
      </c>
      <c r="Q3405" s="56" t="n">
        <f aca="false">IF(OR(F3405&lt;&gt;0,AND(I3405&lt;&gt;"",E3405&lt;I3405)),1,0)</f>
        <v>0</v>
      </c>
      <c r="R3405" s="56" t="n">
        <f aca="false">IF(AND(D3405&gt;1,Q3405=0,ISNUMBER(O3405),ISNUMBER(P3405)),IF(Q3404=0,1,0),0)</f>
        <v>1</v>
      </c>
      <c r="S3405" s="56" t="n">
        <f aca="false">R3405*(B3405&gt;=Train_Start)*(B3405&lt;=Train_End)</f>
        <v>0</v>
      </c>
      <c r="T3405" s="84" t="n">
        <f aca="false">IF(AND(ISNUMBER(O3405),ISNUMBER(P3405)),Coef_A+Coef_B1*O3405+Coef_B2*P3405,"")</f>
        <v>18.5625923295804</v>
      </c>
      <c r="U3405" s="84" t="n">
        <f aca="false">IF(AND(R3405=1,ISNUMBER(T3405)),E3405-T3405,"")</f>
        <v>-1.7625923295804</v>
      </c>
      <c r="V3405" s="84" t="n">
        <f aca="false">IF(ISNUMBER(T3405),T3405,-99)</f>
        <v>18.5625923295804</v>
      </c>
      <c r="W3405" s="84" t="n">
        <f aca="false">IF(ISNUMBER(U3405),ABS(U3405),"")</f>
        <v>1.7625923295804</v>
      </c>
    </row>
    <row r="3406" customFormat="false" ht="15" hidden="false" customHeight="false" outlineLevel="0" collapsed="false">
      <c r="A3406" s="57" t="n">
        <v>37050</v>
      </c>
      <c r="B3406" s="56" t="n">
        <v>2001</v>
      </c>
      <c r="C3406" s="56" t="n">
        <v>6</v>
      </c>
      <c r="D3406" s="56" t="n">
        <v>39</v>
      </c>
      <c r="E3406" s="56" t="n">
        <v>17.7</v>
      </c>
      <c r="F3406" s="56" t="n">
        <v>0</v>
      </c>
      <c r="G3406" s="56" t="n">
        <v>7</v>
      </c>
      <c r="H3406" s="56" t="n">
        <v>0</v>
      </c>
      <c r="I3406" s="56" t="n">
        <v>11.9</v>
      </c>
      <c r="J3406" s="56" t="n">
        <v>0</v>
      </c>
      <c r="K3406" s="56" t="n">
        <v>1014</v>
      </c>
      <c r="L3406" s="56" t="n">
        <v>0</v>
      </c>
      <c r="M3406" s="56" t="n">
        <v>54</v>
      </c>
      <c r="N3406" s="56" t="n">
        <v>12.4</v>
      </c>
      <c r="O3406" s="56" t="n">
        <f aca="false">IF(D3406=1,"",E3405)</f>
        <v>16.8</v>
      </c>
      <c r="P3406" s="56" t="n">
        <f aca="false">IF(OR(D3406=1,K3405=""),"",K3405)</f>
        <v>1010.9</v>
      </c>
      <c r="Q3406" s="56" t="n">
        <f aca="false">IF(OR(F3406&lt;&gt;0,AND(I3406&lt;&gt;"",E3406&lt;I3406)),1,0)</f>
        <v>0</v>
      </c>
      <c r="R3406" s="56" t="n">
        <f aca="false">IF(AND(D3406&gt;1,Q3406=0,ISNUMBER(O3406),ISNUMBER(P3406)),IF(Q3405=0,1,0),0)</f>
        <v>1</v>
      </c>
      <c r="S3406" s="56" t="n">
        <f aca="false">R3406*(B3406&gt;=Train_Start)*(B3406&lt;=Train_End)</f>
        <v>0</v>
      </c>
      <c r="T3406" s="84" t="n">
        <f aca="false">IF(AND(ISNUMBER(O3406),ISNUMBER(P3406)),Coef_A+Coef_B1*O3406+Coef_B2*P3406,"")</f>
        <v>17.5637003506122</v>
      </c>
      <c r="U3406" s="84" t="n">
        <f aca="false">IF(AND(R3406=1,ISNUMBER(T3406)),E3406-T3406,"")</f>
        <v>0.136299649387777</v>
      </c>
      <c r="V3406" s="84" t="n">
        <f aca="false">IF(ISNUMBER(T3406),T3406,-99)</f>
        <v>17.5637003506122</v>
      </c>
      <c r="W3406" s="84" t="n">
        <f aca="false">IF(ISNUMBER(U3406),ABS(U3406),"")</f>
        <v>0.136299649387777</v>
      </c>
    </row>
    <row r="3407" customFormat="false" ht="15" hidden="false" customHeight="false" outlineLevel="0" collapsed="false">
      <c r="A3407" s="57" t="n">
        <v>37051</v>
      </c>
      <c r="B3407" s="56" t="n">
        <v>2001</v>
      </c>
      <c r="C3407" s="56" t="n">
        <v>6</v>
      </c>
      <c r="D3407" s="56" t="n">
        <v>40</v>
      </c>
      <c r="E3407" s="56" t="n">
        <v>15.1</v>
      </c>
      <c r="F3407" s="56" t="n">
        <v>0</v>
      </c>
      <c r="G3407" s="56" t="n">
        <v>5.6</v>
      </c>
      <c r="H3407" s="56" t="n">
        <v>0</v>
      </c>
      <c r="I3407" s="56" t="n">
        <v>11.6</v>
      </c>
      <c r="J3407" s="56" t="n">
        <v>0</v>
      </c>
      <c r="K3407" s="56" t="n">
        <v>1014.8</v>
      </c>
      <c r="L3407" s="56" t="n">
        <v>0</v>
      </c>
      <c r="M3407" s="56" t="n">
        <v>60</v>
      </c>
      <c r="N3407" s="56" t="n">
        <v>8.4</v>
      </c>
      <c r="O3407" s="56" t="n">
        <f aca="false">IF(D3407=1,"",E3406)</f>
        <v>17.7</v>
      </c>
      <c r="P3407" s="56" t="n">
        <f aca="false">IF(OR(D3407=1,K3406=""),"",K3406)</f>
        <v>1014</v>
      </c>
      <c r="Q3407" s="56" t="n">
        <f aca="false">IF(OR(F3407&lt;&gt;0,AND(I3407&lt;&gt;"",E3407&lt;I3407)),1,0)</f>
        <v>0</v>
      </c>
      <c r="R3407" s="56" t="n">
        <f aca="false">IF(AND(D3407&gt;1,Q3407=0,ISNUMBER(O3407),ISNUMBER(P3407)),IF(Q3406=0,1,0),0)</f>
        <v>1</v>
      </c>
      <c r="S3407" s="56" t="n">
        <f aca="false">R3407*(B3407&gt;=Train_Start)*(B3407&lt;=Train_End)</f>
        <v>0</v>
      </c>
      <c r="T3407" s="84" t="n">
        <f aca="false">IF(AND(ISNUMBER(O3407),ISNUMBER(P3407)),Coef_A+Coef_B1*O3407+Coef_B2*P3407,"")</f>
        <v>18.398352297716</v>
      </c>
      <c r="U3407" s="84" t="n">
        <f aca="false">IF(AND(R3407=1,ISNUMBER(T3407)),E3407-T3407,"")</f>
        <v>-3.29835229771598</v>
      </c>
      <c r="V3407" s="84" t="n">
        <f aca="false">IF(ISNUMBER(T3407),T3407,-99)</f>
        <v>18.398352297716</v>
      </c>
      <c r="W3407" s="84" t="n">
        <f aca="false">IF(ISNUMBER(U3407),ABS(U3407),"")</f>
        <v>3.29835229771598</v>
      </c>
    </row>
    <row r="3408" customFormat="false" ht="15" hidden="false" customHeight="false" outlineLevel="0" collapsed="false">
      <c r="A3408" s="57" t="n">
        <v>37052</v>
      </c>
      <c r="B3408" s="56" t="n">
        <v>2001</v>
      </c>
      <c r="C3408" s="56" t="n">
        <v>6</v>
      </c>
      <c r="D3408" s="56" t="n">
        <v>41</v>
      </c>
      <c r="E3408" s="56" t="n">
        <v>18</v>
      </c>
      <c r="F3408" s="56" t="n">
        <v>0</v>
      </c>
      <c r="G3408" s="56" t="n">
        <v>9.1</v>
      </c>
      <c r="H3408" s="56" t="n">
        <v>0</v>
      </c>
      <c r="I3408" s="56" t="n">
        <v>12.1</v>
      </c>
      <c r="J3408" s="56" t="n">
        <v>0</v>
      </c>
      <c r="K3408" s="56" t="n">
        <v>1016.6</v>
      </c>
      <c r="L3408" s="56" t="n">
        <v>0</v>
      </c>
      <c r="M3408" s="56" t="n">
        <v>74</v>
      </c>
      <c r="N3408" s="56" t="n">
        <v>6.4</v>
      </c>
      <c r="O3408" s="56" t="n">
        <f aca="false">IF(D3408=1,"",E3407)</f>
        <v>15.1</v>
      </c>
      <c r="P3408" s="56" t="n">
        <f aca="false">IF(OR(D3408=1,K3407=""),"",K3407)</f>
        <v>1014.8</v>
      </c>
      <c r="Q3408" s="56" t="n">
        <f aca="false">IF(OR(F3408&lt;&gt;0,AND(I3408&lt;&gt;"",E3408&lt;I3408)),1,0)</f>
        <v>0</v>
      </c>
      <c r="R3408" s="56" t="n">
        <f aca="false">IF(AND(D3408&gt;1,Q3408=0,ISNUMBER(O3408),ISNUMBER(P3408)),IF(Q3407=0,1,0),0)</f>
        <v>1</v>
      </c>
      <c r="S3408" s="56" t="n">
        <f aca="false">R3408*(B3408&gt;=Train_Start)*(B3408&lt;=Train_End)</f>
        <v>0</v>
      </c>
      <c r="T3408" s="84" t="n">
        <f aca="false">IF(AND(ISNUMBER(O3408),ISNUMBER(P3408)),Coef_A+Coef_B1*O3408+Coef_B2*P3408,"")</f>
        <v>16.2931663115123</v>
      </c>
      <c r="U3408" s="84" t="n">
        <f aca="false">IF(AND(R3408=1,ISNUMBER(T3408)),E3408-T3408,"")</f>
        <v>1.70683368848774</v>
      </c>
      <c r="V3408" s="84" t="n">
        <f aca="false">IF(ISNUMBER(T3408),T3408,-99)</f>
        <v>16.2931663115123</v>
      </c>
      <c r="W3408" s="84" t="n">
        <f aca="false">IF(ISNUMBER(U3408),ABS(U3408),"")</f>
        <v>1.70683368848774</v>
      </c>
    </row>
    <row r="3409" customFormat="false" ht="15" hidden="false" customHeight="false" outlineLevel="0" collapsed="false">
      <c r="A3409" s="57" t="n">
        <v>37053</v>
      </c>
      <c r="B3409" s="56" t="n">
        <v>2001</v>
      </c>
      <c r="C3409" s="56" t="n">
        <v>6</v>
      </c>
      <c r="D3409" s="56" t="n">
        <v>42</v>
      </c>
      <c r="E3409" s="56" t="n">
        <v>18.5</v>
      </c>
      <c r="F3409" s="56" t="n">
        <v>0</v>
      </c>
      <c r="G3409" s="56" t="n">
        <v>5.9</v>
      </c>
      <c r="H3409" s="56" t="n">
        <v>0</v>
      </c>
      <c r="I3409" s="56" t="n">
        <v>12</v>
      </c>
      <c r="J3409" s="56" t="n">
        <v>0</v>
      </c>
      <c r="K3409" s="56" t="n">
        <v>1022</v>
      </c>
      <c r="L3409" s="56" t="n">
        <v>0</v>
      </c>
      <c r="M3409" s="56" t="n">
        <v>61</v>
      </c>
      <c r="N3409" s="56" t="n">
        <v>8.5</v>
      </c>
      <c r="O3409" s="56" t="n">
        <f aca="false">IF(D3409=1,"",E3408)</f>
        <v>18</v>
      </c>
      <c r="P3409" s="56" t="n">
        <f aca="false">IF(OR(D3409=1,K3408=""),"",K3408)</f>
        <v>1016.6</v>
      </c>
      <c r="Q3409" s="56" t="n">
        <f aca="false">IF(OR(F3409&lt;&gt;0,AND(I3409&lt;&gt;"",E3409&lt;I3409)),1,0)</f>
        <v>0</v>
      </c>
      <c r="R3409" s="56" t="n">
        <f aca="false">IF(AND(D3409&gt;1,Q3409=0,ISNUMBER(O3409),ISNUMBER(P3409)),IF(Q3408=0,1,0),0)</f>
        <v>1</v>
      </c>
      <c r="S3409" s="56" t="n">
        <f aca="false">R3409*(B3409&gt;=Train_Start)*(B3409&lt;=Train_End)</f>
        <v>0</v>
      </c>
      <c r="T3409" s="84" t="n">
        <f aca="false">IF(AND(ISNUMBER(O3409),ISNUMBER(P3409)),Coef_A+Coef_B1*O3409+Coef_B2*P3409,"")</f>
        <v>18.7257157816772</v>
      </c>
      <c r="U3409" s="84" t="n">
        <f aca="false">IF(AND(R3409=1,ISNUMBER(T3409)),E3409-T3409,"")</f>
        <v>-0.225715781677152</v>
      </c>
      <c r="V3409" s="84" t="n">
        <f aca="false">IF(ISNUMBER(T3409),T3409,-99)</f>
        <v>18.7257157816772</v>
      </c>
      <c r="W3409" s="84" t="n">
        <f aca="false">IF(ISNUMBER(U3409),ABS(U3409),"")</f>
        <v>0.225715781677152</v>
      </c>
    </row>
    <row r="3410" customFormat="false" ht="15" hidden="false" customHeight="false" outlineLevel="0" collapsed="false">
      <c r="A3410" s="57" t="n">
        <v>37054</v>
      </c>
      <c r="B3410" s="56" t="n">
        <v>2001</v>
      </c>
      <c r="C3410" s="56" t="n">
        <v>6</v>
      </c>
      <c r="D3410" s="56" t="n">
        <v>43</v>
      </c>
      <c r="E3410" s="56" t="n">
        <v>21.6</v>
      </c>
      <c r="F3410" s="56" t="n">
        <v>0</v>
      </c>
      <c r="G3410" s="56" t="n">
        <v>11.9</v>
      </c>
      <c r="H3410" s="56" t="n">
        <v>0</v>
      </c>
      <c r="I3410" s="56" t="n">
        <v>15.2</v>
      </c>
      <c r="J3410" s="56" t="n">
        <v>0</v>
      </c>
      <c r="K3410" s="56" t="n">
        <v>1019.7</v>
      </c>
      <c r="L3410" s="56" t="n">
        <v>0</v>
      </c>
      <c r="M3410" s="56" t="n">
        <v>54</v>
      </c>
      <c r="N3410" s="56" t="n">
        <v>1.9</v>
      </c>
      <c r="O3410" s="56" t="n">
        <f aca="false">IF(D3410=1,"",E3409)</f>
        <v>18.5</v>
      </c>
      <c r="P3410" s="56" t="n">
        <f aca="false">IF(OR(D3410=1,K3409=""),"",K3409)</f>
        <v>1022</v>
      </c>
      <c r="Q3410" s="56" t="n">
        <f aca="false">IF(OR(F3410&lt;&gt;0,AND(I3410&lt;&gt;"",E3410&lt;I3410)),1,0)</f>
        <v>0</v>
      </c>
      <c r="R3410" s="56" t="n">
        <f aca="false">IF(AND(D3410&gt;1,Q3410=0,ISNUMBER(O3410),ISNUMBER(P3410)),IF(Q3409=0,1,0),0)</f>
        <v>1</v>
      </c>
      <c r="S3410" s="56" t="n">
        <f aca="false">R3410*(B3410&gt;=Train_Start)*(B3410&lt;=Train_End)</f>
        <v>0</v>
      </c>
      <c r="T3410" s="84" t="n">
        <f aca="false">IF(AND(ISNUMBER(O3410),ISNUMBER(P3410)),Coef_A+Coef_B1*O3410+Coef_B2*P3410,"")</f>
        <v>19.304782809222</v>
      </c>
      <c r="U3410" s="84" t="n">
        <f aca="false">IF(AND(R3410=1,ISNUMBER(T3410)),E3410-T3410,"")</f>
        <v>2.29521719077798</v>
      </c>
      <c r="V3410" s="84" t="n">
        <f aca="false">IF(ISNUMBER(T3410),T3410,-99)</f>
        <v>19.304782809222</v>
      </c>
      <c r="W3410" s="84" t="n">
        <f aca="false">IF(ISNUMBER(U3410),ABS(U3410),"")</f>
        <v>2.29521719077798</v>
      </c>
    </row>
    <row r="3411" customFormat="false" ht="15" hidden="false" customHeight="false" outlineLevel="0" collapsed="false">
      <c r="A3411" s="57" t="n">
        <v>37055</v>
      </c>
      <c r="B3411" s="56" t="n">
        <v>2001</v>
      </c>
      <c r="C3411" s="56" t="n">
        <v>6</v>
      </c>
      <c r="D3411" s="56" t="n">
        <v>44</v>
      </c>
      <c r="E3411" s="56" t="n">
        <v>21.5</v>
      </c>
      <c r="F3411" s="56" t="n">
        <v>0</v>
      </c>
      <c r="G3411" s="56" t="n">
        <v>11.7</v>
      </c>
      <c r="H3411" s="56" t="n">
        <v>0</v>
      </c>
      <c r="I3411" s="56" t="n">
        <v>16.6</v>
      </c>
      <c r="J3411" s="56" t="n">
        <v>0</v>
      </c>
      <c r="K3411" s="56" t="n">
        <v>1015.3</v>
      </c>
      <c r="L3411" s="56" t="n">
        <v>0</v>
      </c>
      <c r="M3411" s="56" t="n">
        <v>52</v>
      </c>
      <c r="N3411" s="56" t="n">
        <v>7.6</v>
      </c>
      <c r="O3411" s="56" t="n">
        <f aca="false">IF(D3411=1,"",E3410)</f>
        <v>21.6</v>
      </c>
      <c r="P3411" s="56" t="n">
        <f aca="false">IF(OR(D3411=1,K3410=""),"",K3410)</f>
        <v>1019.7</v>
      </c>
      <c r="Q3411" s="56" t="n">
        <f aca="false">IF(OR(F3411&lt;&gt;0,AND(I3411&lt;&gt;"",E3411&lt;I3411)),1,0)</f>
        <v>0</v>
      </c>
      <c r="R3411" s="56" t="n">
        <f aca="false">IF(AND(D3411&gt;1,Q3411=0,ISNUMBER(O3411),ISNUMBER(P3411)),IF(Q3410=0,1,0),0)</f>
        <v>1</v>
      </c>
      <c r="S3411" s="56" t="n">
        <f aca="false">R3411*(B3411&gt;=Train_Start)*(B3411&lt;=Train_End)</f>
        <v>0</v>
      </c>
      <c r="T3411" s="84" t="n">
        <f aca="false">IF(AND(ISNUMBER(O3411),ISNUMBER(P3411)),Coef_A+Coef_B1*O3411+Coef_B2*P3411,"")</f>
        <v>21.7725835499961</v>
      </c>
      <c r="U3411" s="84" t="n">
        <f aca="false">IF(AND(R3411=1,ISNUMBER(T3411)),E3411-T3411,"")</f>
        <v>-0.272583549996085</v>
      </c>
      <c r="V3411" s="84" t="n">
        <f aca="false">IF(ISNUMBER(T3411),T3411,-99)</f>
        <v>21.7725835499961</v>
      </c>
      <c r="W3411" s="84" t="n">
        <f aca="false">IF(ISNUMBER(U3411),ABS(U3411),"")</f>
        <v>0.272583549996085</v>
      </c>
    </row>
    <row r="3412" customFormat="false" ht="15" hidden="false" customHeight="false" outlineLevel="0" collapsed="false">
      <c r="A3412" s="57" t="n">
        <v>37056</v>
      </c>
      <c r="B3412" s="56" t="n">
        <v>2001</v>
      </c>
      <c r="C3412" s="56" t="n">
        <v>6</v>
      </c>
      <c r="D3412" s="56" t="n">
        <v>45</v>
      </c>
      <c r="E3412" s="56" t="n">
        <v>20.5</v>
      </c>
      <c r="F3412" s="56" t="n">
        <v>0</v>
      </c>
      <c r="G3412" s="56" t="n">
        <v>10.1</v>
      </c>
      <c r="H3412" s="56" t="n">
        <v>0</v>
      </c>
      <c r="I3412" s="56" t="n">
        <v>15.8</v>
      </c>
      <c r="J3412" s="56" t="n">
        <v>0</v>
      </c>
      <c r="K3412" s="56" t="n">
        <v>1013.3</v>
      </c>
      <c r="L3412" s="56" t="n">
        <v>0</v>
      </c>
      <c r="M3412" s="56" t="n">
        <v>67</v>
      </c>
      <c r="N3412" s="56" t="n">
        <v>9.6</v>
      </c>
      <c r="O3412" s="56" t="n">
        <f aca="false">IF(D3412=1,"",E3411)</f>
        <v>21.5</v>
      </c>
      <c r="P3412" s="56" t="n">
        <f aca="false">IF(OR(D3412=1,K3411=""),"",K3411)</f>
        <v>1015.3</v>
      </c>
      <c r="Q3412" s="56" t="n">
        <f aca="false">IF(OR(F3412&lt;&gt;0,AND(I3412&lt;&gt;"",E3412&lt;I3412)),1,0)</f>
        <v>0</v>
      </c>
      <c r="R3412" s="56" t="n">
        <f aca="false">IF(AND(D3412&gt;1,Q3412=0,ISNUMBER(O3412),ISNUMBER(P3412)),IF(Q3411=0,1,0),0)</f>
        <v>1</v>
      </c>
      <c r="S3412" s="56" t="n">
        <f aca="false">R3412*(B3412&gt;=Train_Start)*(B3412&lt;=Train_End)</f>
        <v>0</v>
      </c>
      <c r="T3412" s="84" t="n">
        <f aca="false">IF(AND(ISNUMBER(O3412),ISNUMBER(P3412)),Coef_A+Coef_B1*O3412+Coef_B2*P3412,"")</f>
        <v>21.5526220943023</v>
      </c>
      <c r="U3412" s="84" t="n">
        <f aca="false">IF(AND(R3412=1,ISNUMBER(T3412)),E3412-T3412,"")</f>
        <v>-1.05262209430227</v>
      </c>
      <c r="V3412" s="84" t="n">
        <f aca="false">IF(ISNUMBER(T3412),T3412,-99)</f>
        <v>21.5526220943023</v>
      </c>
      <c r="W3412" s="84" t="n">
        <f aca="false">IF(ISNUMBER(U3412),ABS(U3412),"")</f>
        <v>1.05262209430227</v>
      </c>
    </row>
    <row r="3413" customFormat="false" ht="15" hidden="false" customHeight="false" outlineLevel="0" collapsed="false">
      <c r="A3413" s="57" t="n">
        <v>37057</v>
      </c>
      <c r="B3413" s="56" t="n">
        <v>2001</v>
      </c>
      <c r="C3413" s="56" t="n">
        <v>6</v>
      </c>
      <c r="D3413" s="56" t="n">
        <v>46</v>
      </c>
      <c r="E3413" s="56" t="n">
        <v>16.5</v>
      </c>
      <c r="F3413" s="56" t="n">
        <v>1</v>
      </c>
      <c r="G3413" s="56" t="n">
        <v>12.8</v>
      </c>
      <c r="H3413" s="56" t="n">
        <v>0</v>
      </c>
      <c r="I3413" s="56" t="n">
        <v>16.6</v>
      </c>
      <c r="J3413" s="56" t="n">
        <v>1</v>
      </c>
      <c r="K3413" s="56" t="n">
        <v>1006.7</v>
      </c>
      <c r="L3413" s="56" t="n">
        <v>0</v>
      </c>
      <c r="M3413" s="56" t="n">
        <v>76</v>
      </c>
      <c r="N3413" s="56" t="n">
        <v>6.2</v>
      </c>
      <c r="O3413" s="56" t="n">
        <f aca="false">IF(D3413=1,"",E3412)</f>
        <v>20.5</v>
      </c>
      <c r="P3413" s="56" t="n">
        <f aca="false">IF(OR(D3413=1,K3412=""),"",K3412)</f>
        <v>1013.3</v>
      </c>
      <c r="Q3413" s="56" t="n">
        <f aca="false">IF(OR(F3413&lt;&gt;0,AND(I3413&lt;&gt;"",E3413&lt;I3413)),1,0)</f>
        <v>1</v>
      </c>
      <c r="R3413" s="56" t="n">
        <f aca="false">IF(AND(D3413&gt;1,Q3413=0,ISNUMBER(O3413),ISNUMBER(P3413)),IF(Q3412=0,1,0),0)</f>
        <v>0</v>
      </c>
      <c r="S3413" s="56" t="n">
        <f aca="false">R3413*(B3413&gt;=Train_Start)*(B3413&lt;=Train_End)</f>
        <v>0</v>
      </c>
      <c r="T3413" s="84" t="n">
        <f aca="false">IF(AND(ISNUMBER(O3413),ISNUMBER(P3413)),Coef_A+Coef_B1*O3413+Coef_B2*P3413,"")</f>
        <v>20.6705431119916</v>
      </c>
      <c r="U3413" s="84" t="str">
        <f aca="false">IF(AND(R3413=1,ISNUMBER(T3413)),E3413-T3413,"")</f>
        <v/>
      </c>
      <c r="V3413" s="84" t="n">
        <f aca="false">IF(ISNUMBER(T3413),T3413,-99)</f>
        <v>20.6705431119916</v>
      </c>
      <c r="W3413" s="84" t="str">
        <f aca="false">IF(ISNUMBER(U3413),ABS(U3413),"")</f>
        <v/>
      </c>
    </row>
    <row r="3414" customFormat="false" ht="15" hidden="false" customHeight="false" outlineLevel="0" collapsed="false">
      <c r="A3414" s="57" t="n">
        <v>37058</v>
      </c>
      <c r="B3414" s="56" t="n">
        <v>2001</v>
      </c>
      <c r="C3414" s="56" t="n">
        <v>6</v>
      </c>
      <c r="D3414" s="56" t="n">
        <v>47</v>
      </c>
      <c r="E3414" s="56" t="n">
        <v>15.6</v>
      </c>
      <c r="F3414" s="56" t="n">
        <v>0</v>
      </c>
      <c r="G3414" s="56" t="n">
        <v>13.2</v>
      </c>
      <c r="H3414" s="56" t="n">
        <v>0</v>
      </c>
      <c r="I3414" s="56" t="n">
        <v>14.8</v>
      </c>
      <c r="J3414" s="56" t="n">
        <v>0</v>
      </c>
      <c r="K3414" s="56" t="n">
        <v>1003</v>
      </c>
      <c r="L3414" s="56" t="n">
        <v>0</v>
      </c>
      <c r="M3414" s="56" t="n">
        <v>90</v>
      </c>
      <c r="N3414" s="56" t="n">
        <v>0.2</v>
      </c>
      <c r="O3414" s="56" t="n">
        <f aca="false">IF(D3414=1,"",E3413)</f>
        <v>16.5</v>
      </c>
      <c r="P3414" s="56" t="n">
        <f aca="false">IF(OR(D3414=1,K3413=""),"",K3413)</f>
        <v>1006.7</v>
      </c>
      <c r="Q3414" s="56" t="n">
        <f aca="false">IF(OR(F3414&lt;&gt;0,AND(I3414&lt;&gt;"",E3414&lt;I3414)),1,0)</f>
        <v>0</v>
      </c>
      <c r="R3414" s="56" t="n">
        <f aca="false">IF(AND(D3414&gt;1,Q3414=0,ISNUMBER(O3414),ISNUMBER(P3414)),IF(Q3413=0,1,0),0)</f>
        <v>0</v>
      </c>
      <c r="S3414" s="56" t="n">
        <f aca="false">R3414*(B3414&gt;=Train_Start)*(B3414&lt;=Train_End)</f>
        <v>0</v>
      </c>
      <c r="T3414" s="84" t="n">
        <f aca="false">IF(AND(ISNUMBER(O3414),ISNUMBER(P3414)),Coef_A+Coef_B1*O3414+Coef_B2*P3414,"")</f>
        <v>17.1861450352367</v>
      </c>
      <c r="U3414" s="84" t="str">
        <f aca="false">IF(AND(R3414=1,ISNUMBER(T3414)),E3414-T3414,"")</f>
        <v/>
      </c>
      <c r="V3414" s="84" t="n">
        <f aca="false">IF(ISNUMBER(T3414),T3414,-99)</f>
        <v>17.1861450352367</v>
      </c>
      <c r="W3414" s="84" t="str">
        <f aca="false">IF(ISNUMBER(U3414),ABS(U3414),"")</f>
        <v/>
      </c>
    </row>
    <row r="3415" customFormat="false" ht="15" hidden="false" customHeight="false" outlineLevel="0" collapsed="false">
      <c r="A3415" s="57" t="n">
        <v>37059</v>
      </c>
      <c r="B3415" s="56" t="n">
        <v>2001</v>
      </c>
      <c r="C3415" s="56" t="n">
        <v>6</v>
      </c>
      <c r="D3415" s="56" t="n">
        <v>48</v>
      </c>
      <c r="E3415" s="56" t="n">
        <v>17.9</v>
      </c>
      <c r="F3415" s="56" t="n">
        <v>0</v>
      </c>
      <c r="G3415" s="56" t="n">
        <v>12.3</v>
      </c>
      <c r="H3415" s="56" t="n">
        <v>0</v>
      </c>
      <c r="I3415" s="56" t="n">
        <v>14</v>
      </c>
      <c r="J3415" s="56" t="n">
        <v>0</v>
      </c>
      <c r="K3415" s="56" t="n">
        <v>1015.4</v>
      </c>
      <c r="L3415" s="56" t="n">
        <v>0</v>
      </c>
      <c r="M3415" s="56" t="n">
        <v>77</v>
      </c>
      <c r="N3415" s="56" t="n">
        <v>0.5</v>
      </c>
      <c r="O3415" s="56" t="n">
        <f aca="false">IF(D3415=1,"",E3414)</f>
        <v>15.6</v>
      </c>
      <c r="P3415" s="56" t="n">
        <f aca="false">IF(OR(D3415=1,K3414=""),"",K3414)</f>
        <v>1003</v>
      </c>
      <c r="Q3415" s="56" t="n">
        <f aca="false">IF(OR(F3415&lt;&gt;0,AND(I3415&lt;&gt;"",E3415&lt;I3415)),1,0)</f>
        <v>0</v>
      </c>
      <c r="R3415" s="56" t="n">
        <f aca="false">IF(AND(D3415&gt;1,Q3415=0,ISNUMBER(O3415),ISNUMBER(P3415)),IF(Q3414=0,1,0),0)</f>
        <v>1</v>
      </c>
      <c r="S3415" s="56" t="n">
        <f aca="false">R3415*(B3415&gt;=Train_Start)*(B3415&lt;=Train_End)</f>
        <v>0</v>
      </c>
      <c r="T3415" s="84" t="n">
        <f aca="false">IF(AND(ISNUMBER(O3415),ISNUMBER(P3415)),Coef_A+Coef_B1*O3415+Coef_B2*P3415,"")</f>
        <v>16.3326711513525</v>
      </c>
      <c r="U3415" s="84" t="n">
        <f aca="false">IF(AND(R3415=1,ISNUMBER(T3415)),E3415-T3415,"")</f>
        <v>1.56732884864748</v>
      </c>
      <c r="V3415" s="84" t="n">
        <f aca="false">IF(ISNUMBER(T3415),T3415,-99)</f>
        <v>16.3326711513525</v>
      </c>
      <c r="W3415" s="84" t="n">
        <f aca="false">IF(ISNUMBER(U3415),ABS(U3415),"")</f>
        <v>1.56732884864748</v>
      </c>
    </row>
    <row r="3416" customFormat="false" ht="15" hidden="false" customHeight="false" outlineLevel="0" collapsed="false">
      <c r="A3416" s="57" t="n">
        <v>37060</v>
      </c>
      <c r="B3416" s="56" t="n">
        <v>2001</v>
      </c>
      <c r="C3416" s="56" t="n">
        <v>6</v>
      </c>
      <c r="D3416" s="56" t="n">
        <v>49</v>
      </c>
      <c r="E3416" s="56" t="n">
        <v>21.8</v>
      </c>
      <c r="F3416" s="56" t="n">
        <v>0</v>
      </c>
      <c r="G3416" s="56" t="n">
        <v>9.2</v>
      </c>
      <c r="H3416" s="56" t="n">
        <v>0</v>
      </c>
      <c r="I3416" s="56" t="n">
        <v>13.6</v>
      </c>
      <c r="J3416" s="56" t="n">
        <v>0</v>
      </c>
      <c r="K3416" s="56" t="n">
        <v>1027.2</v>
      </c>
      <c r="L3416" s="56" t="n">
        <v>0</v>
      </c>
      <c r="M3416" s="56" t="n">
        <v>58</v>
      </c>
      <c r="N3416" s="56" t="n">
        <v>6.7</v>
      </c>
      <c r="O3416" s="56" t="n">
        <f aca="false">IF(D3416=1,"",E3415)</f>
        <v>17.9</v>
      </c>
      <c r="P3416" s="56" t="n">
        <f aca="false">IF(OR(D3416=1,K3415=""),"",K3415)</f>
        <v>1015.4</v>
      </c>
      <c r="Q3416" s="56" t="n">
        <f aca="false">IF(OR(F3416&lt;&gt;0,AND(I3416&lt;&gt;"",E3416&lt;I3416)),1,0)</f>
        <v>0</v>
      </c>
      <c r="R3416" s="56" t="n">
        <f aca="false">IF(AND(D3416&gt;1,Q3416=0,ISNUMBER(O3416),ISNUMBER(P3416)),IF(Q3415=0,1,0),0)</f>
        <v>1</v>
      </c>
      <c r="S3416" s="56" t="n">
        <f aca="false">R3416*(B3416&gt;=Train_Start)*(B3416&lt;=Train_End)</f>
        <v>0</v>
      </c>
      <c r="T3416" s="84" t="n">
        <f aca="false">IF(AND(ISNUMBER(O3416),ISNUMBER(P3416)),Coef_A+Coef_B1*O3416+Coef_B2*P3416,"")</f>
        <v>18.6061379888121</v>
      </c>
      <c r="U3416" s="84" t="n">
        <f aca="false">IF(AND(R3416=1,ISNUMBER(T3416)),E3416-T3416,"")</f>
        <v>3.19386201118791</v>
      </c>
      <c r="V3416" s="84" t="n">
        <f aca="false">IF(ISNUMBER(T3416),T3416,-99)</f>
        <v>18.6061379888121</v>
      </c>
      <c r="W3416" s="84" t="n">
        <f aca="false">IF(ISNUMBER(U3416),ABS(U3416),"")</f>
        <v>3.19386201118791</v>
      </c>
    </row>
    <row r="3417" customFormat="false" ht="15" hidden="false" customHeight="false" outlineLevel="0" collapsed="false">
      <c r="A3417" s="57" t="n">
        <v>37061</v>
      </c>
      <c r="B3417" s="56" t="n">
        <v>2001</v>
      </c>
      <c r="C3417" s="56" t="n">
        <v>6</v>
      </c>
      <c r="D3417" s="56" t="n">
        <v>50</v>
      </c>
      <c r="E3417" s="56" t="n">
        <v>24.6</v>
      </c>
      <c r="F3417" s="56" t="n">
        <v>0</v>
      </c>
      <c r="G3417" s="56" t="n">
        <v>11.5</v>
      </c>
      <c r="H3417" s="56" t="n">
        <v>0</v>
      </c>
      <c r="I3417" s="56" t="n">
        <v>16.6</v>
      </c>
      <c r="J3417" s="56" t="n">
        <v>0</v>
      </c>
      <c r="K3417" s="56" t="n">
        <v>1026.5</v>
      </c>
      <c r="L3417" s="56" t="n">
        <v>0</v>
      </c>
      <c r="M3417" s="56" t="n">
        <v>58</v>
      </c>
      <c r="N3417" s="56" t="n">
        <v>12.4</v>
      </c>
      <c r="O3417" s="56" t="n">
        <f aca="false">IF(D3417=1,"",E3416)</f>
        <v>21.8</v>
      </c>
      <c r="P3417" s="56" t="n">
        <f aca="false">IF(OR(D3417=1,K3416=""),"",K3416)</f>
        <v>1027.2</v>
      </c>
      <c r="Q3417" s="56" t="n">
        <f aca="false">IF(OR(F3417&lt;&gt;0,AND(I3417&lt;&gt;"",E3417&lt;I3417)),1,0)</f>
        <v>0</v>
      </c>
      <c r="R3417" s="56" t="n">
        <f aca="false">IF(AND(D3417&gt;1,Q3417=0,ISNUMBER(O3417),ISNUMBER(P3417)),IF(Q3416=0,1,0),0)</f>
        <v>1</v>
      </c>
      <c r="S3417" s="56" t="n">
        <f aca="false">R3417*(B3417&gt;=Train_Start)*(B3417&lt;=Train_End)</f>
        <v>0</v>
      </c>
      <c r="T3417" s="84" t="n">
        <f aca="false">IF(AND(ISNUMBER(O3417),ISNUMBER(P3417)),Coef_A+Coef_B1*O3417+Coef_B2*P3417,"")</f>
        <v>22.1717255983595</v>
      </c>
      <c r="U3417" s="84" t="n">
        <f aca="false">IF(AND(R3417=1,ISNUMBER(T3417)),E3417-T3417,"")</f>
        <v>2.42827440164046</v>
      </c>
      <c r="V3417" s="84" t="n">
        <f aca="false">IF(ISNUMBER(T3417),T3417,-99)</f>
        <v>22.1717255983595</v>
      </c>
      <c r="W3417" s="84" t="n">
        <f aca="false">IF(ISNUMBER(U3417),ABS(U3417),"")</f>
        <v>2.42827440164046</v>
      </c>
    </row>
    <row r="3418" customFormat="false" ht="15" hidden="false" customHeight="false" outlineLevel="0" collapsed="false">
      <c r="A3418" s="57" t="n">
        <v>37062</v>
      </c>
      <c r="B3418" s="56" t="n">
        <v>2001</v>
      </c>
      <c r="C3418" s="56" t="n">
        <v>6</v>
      </c>
      <c r="D3418" s="56" t="n">
        <v>51</v>
      </c>
      <c r="E3418" s="56" t="n">
        <v>21.5</v>
      </c>
      <c r="F3418" s="56" t="n">
        <v>0</v>
      </c>
      <c r="G3418" s="56" t="n">
        <v>11.9</v>
      </c>
      <c r="H3418" s="56" t="n">
        <v>0</v>
      </c>
      <c r="I3418" s="56" t="n">
        <v>18.2</v>
      </c>
      <c r="J3418" s="56" t="n">
        <v>0</v>
      </c>
      <c r="K3418" s="56" t="n">
        <v>1019.1</v>
      </c>
      <c r="L3418" s="56" t="n">
        <v>0</v>
      </c>
      <c r="M3418" s="56" t="n">
        <v>59</v>
      </c>
      <c r="N3418" s="56" t="n">
        <v>12.5</v>
      </c>
      <c r="O3418" s="56" t="n">
        <f aca="false">IF(D3418=1,"",E3417)</f>
        <v>24.6</v>
      </c>
      <c r="P3418" s="56" t="n">
        <f aca="false">IF(OR(D3418=1,K3417=""),"",K3417)</f>
        <v>1026.5</v>
      </c>
      <c r="Q3418" s="56" t="n">
        <f aca="false">IF(OR(F3418&lt;&gt;0,AND(I3418&lt;&gt;"",E3418&lt;I3418)),1,0)</f>
        <v>0</v>
      </c>
      <c r="R3418" s="56" t="n">
        <f aca="false">IF(AND(D3418&gt;1,Q3418=0,ISNUMBER(O3418),ISNUMBER(P3418)),IF(Q3417=0,1,0),0)</f>
        <v>1</v>
      </c>
      <c r="S3418" s="56" t="n">
        <f aca="false">R3418*(B3418&gt;=Train_Start)*(B3418&lt;=Train_End)</f>
        <v>0</v>
      </c>
      <c r="T3418" s="84" t="n">
        <f aca="false">IF(AND(ISNUMBER(O3418),ISNUMBER(P3418)),Coef_A+Coef_B1*O3418+Coef_B2*P3418,"")</f>
        <v>24.4439164126352</v>
      </c>
      <c r="U3418" s="84" t="n">
        <f aca="false">IF(AND(R3418=1,ISNUMBER(T3418)),E3418-T3418,"")</f>
        <v>-2.94391641263518</v>
      </c>
      <c r="V3418" s="84" t="n">
        <f aca="false">IF(ISNUMBER(T3418),T3418,-99)</f>
        <v>24.4439164126352</v>
      </c>
      <c r="W3418" s="84" t="n">
        <f aca="false">IF(ISNUMBER(U3418),ABS(U3418),"")</f>
        <v>2.94391641263518</v>
      </c>
    </row>
    <row r="3419" customFormat="false" ht="15" hidden="false" customHeight="false" outlineLevel="0" collapsed="false">
      <c r="A3419" s="57" t="n">
        <v>37063</v>
      </c>
      <c r="B3419" s="56" t="n">
        <v>2001</v>
      </c>
      <c r="C3419" s="56" t="n">
        <v>6</v>
      </c>
      <c r="D3419" s="56" t="n">
        <v>52</v>
      </c>
      <c r="E3419" s="56" t="n">
        <v>22.4</v>
      </c>
      <c r="F3419" s="56" t="n">
        <v>0</v>
      </c>
      <c r="G3419" s="56" t="n">
        <v>12.3</v>
      </c>
      <c r="H3419" s="56" t="n">
        <v>0</v>
      </c>
      <c r="I3419" s="56" t="n">
        <v>16.9</v>
      </c>
      <c r="J3419" s="56" t="n">
        <v>0</v>
      </c>
      <c r="K3419" s="56" t="n">
        <v>1017.5</v>
      </c>
      <c r="L3419" s="56" t="n">
        <v>0</v>
      </c>
      <c r="M3419" s="56" t="n">
        <v>56</v>
      </c>
      <c r="N3419" s="56" t="n">
        <v>15.1</v>
      </c>
      <c r="O3419" s="56" t="n">
        <f aca="false">IF(D3419=1,"",E3418)</f>
        <v>21.5</v>
      </c>
      <c r="P3419" s="56" t="n">
        <f aca="false">IF(OR(D3419=1,K3418=""),"",K3418)</f>
        <v>1019.1</v>
      </c>
      <c r="Q3419" s="56" t="n">
        <f aca="false">IF(OR(F3419&lt;&gt;0,AND(I3419&lt;&gt;"",E3419&lt;I3419)),1,0)</f>
        <v>0</v>
      </c>
      <c r="R3419" s="56" t="n">
        <f aca="false">IF(AND(D3419&gt;1,Q3419=0,ISNUMBER(O3419),ISNUMBER(P3419)),IF(Q3418=0,1,0),0)</f>
        <v>1</v>
      </c>
      <c r="S3419" s="56" t="n">
        <f aca="false">R3419*(B3419&gt;=Train_Start)*(B3419&lt;=Train_End)</f>
        <v>0</v>
      </c>
      <c r="T3419" s="84" t="n">
        <f aca="false">IF(AND(ISNUMBER(O3419),ISNUMBER(P3419)),Coef_A+Coef_B1*O3419+Coef_B2*P3419,"")</f>
        <v>21.6718276939114</v>
      </c>
      <c r="U3419" s="84" t="n">
        <f aca="false">IF(AND(R3419=1,ISNUMBER(T3419)),E3419-T3419,"")</f>
        <v>0.728172306088574</v>
      </c>
      <c r="V3419" s="84" t="n">
        <f aca="false">IF(ISNUMBER(T3419),T3419,-99)</f>
        <v>21.6718276939114</v>
      </c>
      <c r="W3419" s="84" t="n">
        <f aca="false">IF(ISNUMBER(U3419),ABS(U3419),"")</f>
        <v>0.728172306088574</v>
      </c>
    </row>
    <row r="3420" customFormat="false" ht="15" hidden="false" customHeight="false" outlineLevel="0" collapsed="false">
      <c r="A3420" s="57" t="n">
        <v>37064</v>
      </c>
      <c r="B3420" s="56" t="n">
        <v>2001</v>
      </c>
      <c r="C3420" s="56" t="n">
        <v>6</v>
      </c>
      <c r="D3420" s="56" t="n">
        <v>53</v>
      </c>
      <c r="E3420" s="56" t="n">
        <v>23.7</v>
      </c>
      <c r="F3420" s="56" t="n">
        <v>0</v>
      </c>
      <c r="G3420" s="56" t="n">
        <v>10.5</v>
      </c>
      <c r="H3420" s="56" t="n">
        <v>0</v>
      </c>
      <c r="I3420" s="56" t="n">
        <v>16.4</v>
      </c>
      <c r="J3420" s="56" t="n">
        <v>0</v>
      </c>
      <c r="K3420" s="56" t="n">
        <v>1017.9</v>
      </c>
      <c r="L3420" s="56" t="n">
        <v>0</v>
      </c>
      <c r="M3420" s="56" t="n">
        <v>59</v>
      </c>
      <c r="N3420" s="56" t="n">
        <v>14.1</v>
      </c>
      <c r="O3420" s="56" t="n">
        <f aca="false">IF(D3420=1,"",E3419)</f>
        <v>22.4</v>
      </c>
      <c r="P3420" s="56" t="n">
        <f aca="false">IF(OR(D3420=1,K3419=""),"",K3419)</f>
        <v>1017.5</v>
      </c>
      <c r="Q3420" s="56" t="n">
        <f aca="false">IF(OR(F3420&lt;&gt;0,AND(I3420&lt;&gt;"",E3420&lt;I3420)),1,0)</f>
        <v>0</v>
      </c>
      <c r="R3420" s="56" t="n">
        <f aca="false">IF(AND(D3420&gt;1,Q3420=0,ISNUMBER(O3420),ISNUMBER(P3420)),IF(Q3419=0,1,0),0)</f>
        <v>1</v>
      </c>
      <c r="S3420" s="56" t="n">
        <f aca="false">R3420*(B3420&gt;=Train_Start)*(B3420&lt;=Train_End)</f>
        <v>0</v>
      </c>
      <c r="T3420" s="84" t="n">
        <f aca="false">IF(AND(ISNUMBER(O3420),ISNUMBER(P3420)),Coef_A+Coef_B1*O3420+Coef_B2*P3420,"")</f>
        <v>22.3590411362354</v>
      </c>
      <c r="U3420" s="84" t="n">
        <f aca="false">IF(AND(R3420=1,ISNUMBER(T3420)),E3420-T3420,"")</f>
        <v>1.34095886376457</v>
      </c>
      <c r="V3420" s="84" t="n">
        <f aca="false">IF(ISNUMBER(T3420),T3420,-99)</f>
        <v>22.3590411362354</v>
      </c>
      <c r="W3420" s="84" t="n">
        <f aca="false">IF(ISNUMBER(U3420),ABS(U3420),"")</f>
        <v>1.34095886376457</v>
      </c>
    </row>
    <row r="3421" customFormat="false" ht="15" hidden="false" customHeight="false" outlineLevel="0" collapsed="false">
      <c r="A3421" s="57" t="n">
        <v>37065</v>
      </c>
      <c r="B3421" s="56" t="n">
        <v>2001</v>
      </c>
      <c r="C3421" s="56" t="n">
        <v>6</v>
      </c>
      <c r="D3421" s="56" t="n">
        <v>54</v>
      </c>
      <c r="E3421" s="56" t="n">
        <v>27.4</v>
      </c>
      <c r="F3421" s="56" t="n">
        <v>0</v>
      </c>
      <c r="G3421" s="56" t="n">
        <v>11.2</v>
      </c>
      <c r="H3421" s="56" t="n">
        <v>0</v>
      </c>
      <c r="I3421" s="56" t="n">
        <v>17.4</v>
      </c>
      <c r="J3421" s="56" t="n">
        <v>0</v>
      </c>
      <c r="K3421" s="56" t="n">
        <v>1018.4</v>
      </c>
      <c r="L3421" s="56" t="n">
        <v>0</v>
      </c>
      <c r="M3421" s="56" t="n">
        <v>65</v>
      </c>
      <c r="N3421" s="56" t="n">
        <v>11</v>
      </c>
      <c r="O3421" s="56" t="n">
        <f aca="false">IF(D3421=1,"",E3420)</f>
        <v>23.7</v>
      </c>
      <c r="P3421" s="56" t="n">
        <f aca="false">IF(OR(D3421=1,K3420=""),"",K3420)</f>
        <v>1017.9</v>
      </c>
      <c r="Q3421" s="56" t="n">
        <f aca="false">IF(OR(F3421&lt;&gt;0,AND(I3421&lt;&gt;"",E3421&lt;I3421)),1,0)</f>
        <v>0</v>
      </c>
      <c r="R3421" s="56" t="n">
        <f aca="false">IF(AND(D3421&gt;1,Q3421=0,ISNUMBER(O3421),ISNUMBER(P3421)),IF(Q3420=0,1,0),0)</f>
        <v>1</v>
      </c>
      <c r="S3421" s="56" t="n">
        <f aca="false">R3421*(B3421&gt;=Train_Start)*(B3421&lt;=Train_End)</f>
        <v>0</v>
      </c>
      <c r="T3421" s="84" t="n">
        <f aca="false">IF(AND(ISNUMBER(O3421),ISNUMBER(P3421)),Coef_A+Coef_B1*O3421+Coef_B2*P3421,"")</f>
        <v>23.4367300450445</v>
      </c>
      <c r="U3421" s="84" t="n">
        <f aca="false">IF(AND(R3421=1,ISNUMBER(T3421)),E3421-T3421,"")</f>
        <v>3.96326995495551</v>
      </c>
      <c r="V3421" s="84" t="n">
        <f aca="false">IF(ISNUMBER(T3421),T3421,-99)</f>
        <v>23.4367300450445</v>
      </c>
      <c r="W3421" s="84" t="n">
        <f aca="false">IF(ISNUMBER(U3421),ABS(U3421),"")</f>
        <v>3.96326995495551</v>
      </c>
    </row>
    <row r="3422" customFormat="false" ht="15" hidden="false" customHeight="false" outlineLevel="0" collapsed="false">
      <c r="A3422" s="57" t="n">
        <v>37066</v>
      </c>
      <c r="B3422" s="56" t="n">
        <v>2001</v>
      </c>
      <c r="C3422" s="56" t="n">
        <v>6</v>
      </c>
      <c r="D3422" s="56" t="n">
        <v>55</v>
      </c>
      <c r="E3422" s="56" t="n">
        <v>29.1</v>
      </c>
      <c r="F3422" s="56" t="n">
        <v>0</v>
      </c>
      <c r="G3422" s="56" t="n">
        <v>13.2</v>
      </c>
      <c r="H3422" s="56" t="n">
        <v>0</v>
      </c>
      <c r="I3422" s="56" t="n">
        <v>20.3</v>
      </c>
      <c r="J3422" s="56" t="n">
        <v>0</v>
      </c>
      <c r="K3422" s="56" t="n">
        <v>1020.8</v>
      </c>
      <c r="L3422" s="56" t="n">
        <v>0</v>
      </c>
      <c r="M3422" s="56" t="n">
        <v>62</v>
      </c>
      <c r="N3422" s="56" t="n">
        <v>13.1</v>
      </c>
      <c r="O3422" s="56" t="n">
        <f aca="false">IF(D3422=1,"",E3421)</f>
        <v>27.4</v>
      </c>
      <c r="P3422" s="56" t="n">
        <f aca="false">IF(OR(D3422=1,K3421=""),"",K3421)</f>
        <v>1018.4</v>
      </c>
      <c r="Q3422" s="56" t="n">
        <f aca="false">IF(OR(F3422&lt;&gt;0,AND(I3422&lt;&gt;"",E3422&lt;I3422)),1,0)</f>
        <v>0</v>
      </c>
      <c r="R3422" s="56" t="n">
        <f aca="false">IF(AND(D3422&gt;1,Q3422=0,ISNUMBER(O3422),ISNUMBER(P3422)),IF(Q3421=0,1,0),0)</f>
        <v>1</v>
      </c>
      <c r="S3422" s="56" t="n">
        <f aca="false">R3422*(B3422&gt;=Train_Start)*(B3422&lt;=Train_End)</f>
        <v>0</v>
      </c>
      <c r="T3422" s="84" t="n">
        <f aca="false">IF(AND(ISNUMBER(O3422),ISNUMBER(P3422)),Coef_A+Coef_B1*O3422+Coef_B2*P3422,"")</f>
        <v>26.4839700066193</v>
      </c>
      <c r="U3422" s="84" t="n">
        <f aca="false">IF(AND(R3422=1,ISNUMBER(T3422)),E3422-T3422,"")</f>
        <v>2.61602999338069</v>
      </c>
      <c r="V3422" s="84" t="n">
        <f aca="false">IF(ISNUMBER(T3422),T3422,-99)</f>
        <v>26.4839700066193</v>
      </c>
      <c r="W3422" s="84" t="n">
        <f aca="false">IF(ISNUMBER(U3422),ABS(U3422),"")</f>
        <v>2.61602999338069</v>
      </c>
    </row>
    <row r="3423" customFormat="false" ht="15" hidden="false" customHeight="false" outlineLevel="0" collapsed="false">
      <c r="A3423" s="57" t="n">
        <v>37067</v>
      </c>
      <c r="B3423" s="56" t="n">
        <v>2001</v>
      </c>
      <c r="C3423" s="56" t="n">
        <v>6</v>
      </c>
      <c r="D3423" s="56" t="n">
        <v>56</v>
      </c>
      <c r="E3423" s="56" t="n">
        <v>31.9</v>
      </c>
      <c r="F3423" s="56" t="n">
        <v>0</v>
      </c>
      <c r="G3423" s="56" t="n">
        <v>15.9</v>
      </c>
      <c r="H3423" s="56" t="n">
        <v>0</v>
      </c>
      <c r="I3423" s="56" t="n">
        <v>22.5</v>
      </c>
      <c r="J3423" s="56" t="n">
        <v>0</v>
      </c>
      <c r="K3423" s="56" t="n">
        <v>1022.5</v>
      </c>
      <c r="L3423" s="56" t="n">
        <v>0</v>
      </c>
      <c r="M3423" s="56" t="n">
        <v>53</v>
      </c>
      <c r="N3423" s="56" t="n">
        <v>14</v>
      </c>
      <c r="O3423" s="56" t="n">
        <f aca="false">IF(D3423=1,"",E3422)</f>
        <v>29.1</v>
      </c>
      <c r="P3423" s="56" t="n">
        <f aca="false">IF(OR(D3423=1,K3422=""),"",K3422)</f>
        <v>1020.8</v>
      </c>
      <c r="Q3423" s="56" t="n">
        <f aca="false">IF(OR(F3423&lt;&gt;0,AND(I3423&lt;&gt;"",E3423&lt;I3423)),1,0)</f>
        <v>0</v>
      </c>
      <c r="R3423" s="56" t="n">
        <f aca="false">IF(AND(D3423&gt;1,Q3423=0,ISNUMBER(O3423),ISNUMBER(P3423)),IF(Q3422=0,1,0),0)</f>
        <v>1</v>
      </c>
      <c r="S3423" s="56" t="n">
        <f aca="false">R3423*(B3423&gt;=Train_Start)*(B3423&lt;=Train_End)</f>
        <v>0</v>
      </c>
      <c r="T3423" s="84" t="n">
        <f aca="false">IF(AND(ISNUMBER(O3423),ISNUMBER(P3423)),Coef_A+Coef_B1*O3423+Coef_B2*P3423,"")</f>
        <v>27.9521343819134</v>
      </c>
      <c r="U3423" s="84" t="n">
        <f aca="false">IF(AND(R3423=1,ISNUMBER(T3423)),E3423-T3423,"")</f>
        <v>3.9478656180866</v>
      </c>
      <c r="V3423" s="84" t="n">
        <f aca="false">IF(ISNUMBER(T3423),T3423,-99)</f>
        <v>27.9521343819134</v>
      </c>
      <c r="W3423" s="84" t="n">
        <f aca="false">IF(ISNUMBER(U3423),ABS(U3423),"")</f>
        <v>3.9478656180866</v>
      </c>
    </row>
    <row r="3424" customFormat="false" ht="15" hidden="false" customHeight="false" outlineLevel="0" collapsed="false">
      <c r="A3424" s="57" t="n">
        <v>37068</v>
      </c>
      <c r="B3424" s="56" t="n">
        <v>2001</v>
      </c>
      <c r="C3424" s="56" t="n">
        <v>6</v>
      </c>
      <c r="D3424" s="56" t="n">
        <v>57</v>
      </c>
      <c r="E3424" s="56" t="n">
        <v>25.1</v>
      </c>
      <c r="F3424" s="56" t="n">
        <v>0</v>
      </c>
      <c r="G3424" s="56" t="n">
        <v>17.3</v>
      </c>
      <c r="H3424" s="56" t="n">
        <v>0</v>
      </c>
      <c r="I3424" s="56" t="n">
        <v>24.6</v>
      </c>
      <c r="J3424" s="56" t="n">
        <v>0</v>
      </c>
      <c r="K3424" s="56" t="n">
        <v>1014.2</v>
      </c>
      <c r="L3424" s="56" t="n">
        <v>0</v>
      </c>
      <c r="M3424" s="56" t="n">
        <v>50</v>
      </c>
      <c r="N3424" s="56" t="n">
        <v>12.1</v>
      </c>
      <c r="O3424" s="56" t="n">
        <f aca="false">IF(D3424=1,"",E3423)</f>
        <v>31.9</v>
      </c>
      <c r="P3424" s="56" t="n">
        <f aca="false">IF(OR(D3424=1,K3423=""),"",K3423)</f>
        <v>1022.5</v>
      </c>
      <c r="Q3424" s="56" t="n">
        <f aca="false">IF(OR(F3424&lt;&gt;0,AND(I3424&lt;&gt;"",E3424&lt;I3424)),1,0)</f>
        <v>0</v>
      </c>
      <c r="R3424" s="56" t="n">
        <f aca="false">IF(AND(D3424&gt;1,Q3424=0,ISNUMBER(O3424),ISNUMBER(P3424)),IF(Q3423=0,1,0),0)</f>
        <v>1</v>
      </c>
      <c r="S3424" s="56" t="n">
        <f aca="false">R3424*(B3424&gt;=Train_Start)*(B3424&lt;=Train_End)</f>
        <v>0</v>
      </c>
      <c r="T3424" s="84" t="n">
        <f aca="false">IF(AND(ISNUMBER(O3424),ISNUMBER(P3424)),Coef_A+Coef_B1*O3424+Coef_B2*P3424,"")</f>
        <v>30.2996129433106</v>
      </c>
      <c r="U3424" s="84" t="n">
        <f aca="false">IF(AND(R3424=1,ISNUMBER(T3424)),E3424-T3424,"")</f>
        <v>-5.19961294331063</v>
      </c>
      <c r="V3424" s="84" t="n">
        <f aca="false">IF(ISNUMBER(T3424),T3424,-99)</f>
        <v>30.2996129433106</v>
      </c>
      <c r="W3424" s="84" t="n">
        <f aca="false">IF(ISNUMBER(U3424),ABS(U3424),"")</f>
        <v>5.19961294331063</v>
      </c>
    </row>
    <row r="3425" customFormat="false" ht="15" hidden="false" customHeight="false" outlineLevel="0" collapsed="false">
      <c r="A3425" s="57" t="n">
        <v>37069</v>
      </c>
      <c r="B3425" s="56" t="n">
        <v>2001</v>
      </c>
      <c r="C3425" s="56" t="n">
        <v>6</v>
      </c>
      <c r="D3425" s="56" t="n">
        <v>58</v>
      </c>
      <c r="E3425" s="56" t="n">
        <v>22.7</v>
      </c>
      <c r="F3425" s="56" t="n">
        <v>0</v>
      </c>
      <c r="G3425" s="56" t="n">
        <v>16.8</v>
      </c>
      <c r="H3425" s="56" t="n">
        <v>0</v>
      </c>
      <c r="I3425" s="56" t="n">
        <v>21</v>
      </c>
      <c r="J3425" s="56" t="n">
        <v>0</v>
      </c>
      <c r="K3425" s="56" t="n">
        <v>1011.1</v>
      </c>
      <c r="L3425" s="56" t="n">
        <v>0</v>
      </c>
      <c r="M3425" s="56" t="n">
        <v>65</v>
      </c>
      <c r="N3425" s="56" t="n">
        <v>7.2</v>
      </c>
      <c r="O3425" s="56" t="n">
        <f aca="false">IF(D3425=1,"",E3424)</f>
        <v>25.1</v>
      </c>
      <c r="P3425" s="56" t="n">
        <f aca="false">IF(OR(D3425=1,K3424=""),"",K3424)</f>
        <v>1014.2</v>
      </c>
      <c r="Q3425" s="56" t="n">
        <f aca="false">IF(OR(F3425&lt;&gt;0,AND(I3425&lt;&gt;"",E3425&lt;I3425)),1,0)</f>
        <v>0</v>
      </c>
      <c r="R3425" s="56" t="n">
        <f aca="false">IF(AND(D3425&gt;1,Q3425=0,ISNUMBER(O3425),ISNUMBER(P3425)),IF(Q3424=0,1,0),0)</f>
        <v>1</v>
      </c>
      <c r="S3425" s="56" t="n">
        <f aca="false">R3425*(B3425&gt;=Train_Start)*(B3425&lt;=Train_End)</f>
        <v>0</v>
      </c>
      <c r="T3425" s="84" t="n">
        <f aca="false">IF(AND(ISNUMBER(O3425),ISNUMBER(P3425)),Coef_A+Coef_B1*O3425+Coef_B2*P3425,"")</f>
        <v>24.4677363051584</v>
      </c>
      <c r="U3425" s="84" t="n">
        <f aca="false">IF(AND(R3425=1,ISNUMBER(T3425)),E3425-T3425,"")</f>
        <v>-1.76773630515845</v>
      </c>
      <c r="V3425" s="84" t="n">
        <f aca="false">IF(ISNUMBER(T3425),T3425,-99)</f>
        <v>24.4677363051584</v>
      </c>
      <c r="W3425" s="84" t="n">
        <f aca="false">IF(ISNUMBER(U3425),ABS(U3425),"")</f>
        <v>1.76773630515845</v>
      </c>
    </row>
    <row r="3426" customFormat="false" ht="15" hidden="false" customHeight="false" outlineLevel="0" collapsed="false">
      <c r="A3426" s="57" t="n">
        <v>37070</v>
      </c>
      <c r="B3426" s="56" t="n">
        <v>2001</v>
      </c>
      <c r="C3426" s="56" t="n">
        <v>6</v>
      </c>
      <c r="D3426" s="56" t="n">
        <v>59</v>
      </c>
      <c r="E3426" s="56" t="n">
        <v>21.3</v>
      </c>
      <c r="F3426" s="56" t="n">
        <v>0</v>
      </c>
      <c r="G3426" s="56" t="n">
        <v>14.8</v>
      </c>
      <c r="H3426" s="56" t="n">
        <v>0</v>
      </c>
      <c r="I3426" s="56" t="n">
        <v>18.8</v>
      </c>
      <c r="J3426" s="56" t="n">
        <v>0</v>
      </c>
      <c r="K3426" s="56" t="n">
        <v>1016.2</v>
      </c>
      <c r="L3426" s="56" t="n">
        <v>0</v>
      </c>
      <c r="M3426" s="56" t="n">
        <v>70</v>
      </c>
      <c r="N3426" s="56" t="n">
        <v>5.6</v>
      </c>
      <c r="O3426" s="56" t="n">
        <f aca="false">IF(D3426=1,"",E3425)</f>
        <v>22.7</v>
      </c>
      <c r="P3426" s="56" t="n">
        <f aca="false">IF(OR(D3426=1,K3425=""),"",K3425)</f>
        <v>1011.1</v>
      </c>
      <c r="Q3426" s="56" t="n">
        <f aca="false">IF(OR(F3426&lt;&gt;0,AND(I3426&lt;&gt;"",E3426&lt;I3426)),1,0)</f>
        <v>0</v>
      </c>
      <c r="R3426" s="56" t="n">
        <f aca="false">IF(AND(D3426&gt;1,Q3426=0,ISNUMBER(O3426),ISNUMBER(P3426)),IF(Q3425=0,1,0),0)</f>
        <v>1</v>
      </c>
      <c r="S3426" s="56" t="n">
        <f aca="false">R3426*(B3426&gt;=Train_Start)*(B3426&lt;=Train_End)</f>
        <v>0</v>
      </c>
      <c r="T3426" s="84" t="n">
        <f aca="false">IF(AND(ISNUMBER(O3426),ISNUMBER(P3426)),Coef_A+Coef_B1*O3426+Coef_B2*P3426,"")</f>
        <v>22.4040755684907</v>
      </c>
      <c r="U3426" s="84" t="n">
        <f aca="false">IF(AND(R3426=1,ISNUMBER(T3426)),E3426-T3426,"")</f>
        <v>-1.1040755684907</v>
      </c>
      <c r="V3426" s="84" t="n">
        <f aca="false">IF(ISNUMBER(T3426),T3426,-99)</f>
        <v>22.4040755684907</v>
      </c>
      <c r="W3426" s="84" t="n">
        <f aca="false">IF(ISNUMBER(U3426),ABS(U3426),"")</f>
        <v>1.1040755684907</v>
      </c>
    </row>
    <row r="3427" customFormat="false" ht="15" hidden="false" customHeight="false" outlineLevel="0" collapsed="false">
      <c r="A3427" s="57" t="n">
        <v>37071</v>
      </c>
      <c r="B3427" s="56" t="n">
        <v>2001</v>
      </c>
      <c r="C3427" s="56" t="n">
        <v>6</v>
      </c>
      <c r="D3427" s="56" t="n">
        <v>60</v>
      </c>
      <c r="E3427" s="56" t="n">
        <v>23.3</v>
      </c>
      <c r="F3427" s="56" t="n">
        <v>0</v>
      </c>
      <c r="G3427" s="56" t="n">
        <v>16.2</v>
      </c>
      <c r="H3427" s="56" t="n">
        <v>0</v>
      </c>
      <c r="I3427" s="56" t="n">
        <v>18.8</v>
      </c>
      <c r="J3427" s="56" t="n">
        <v>0</v>
      </c>
      <c r="K3427" s="56" t="n">
        <v>1019.3</v>
      </c>
      <c r="L3427" s="56" t="n">
        <v>0</v>
      </c>
      <c r="M3427" s="56" t="n">
        <v>76</v>
      </c>
      <c r="N3427" s="56" t="n">
        <v>1.9</v>
      </c>
      <c r="O3427" s="56" t="n">
        <f aca="false">IF(D3427=1,"",E3426)</f>
        <v>21.3</v>
      </c>
      <c r="P3427" s="56" t="n">
        <f aca="false">IF(OR(D3427=1,K3426=""),"",K3426)</f>
        <v>1016.2</v>
      </c>
      <c r="Q3427" s="56" t="n">
        <f aca="false">IF(OR(F3427&lt;&gt;0,AND(I3427&lt;&gt;"",E3427&lt;I3427)),1,0)</f>
        <v>0</v>
      </c>
      <c r="R3427" s="56" t="n">
        <f aca="false">IF(AND(D3427&gt;1,Q3427=0,ISNUMBER(O3427),ISNUMBER(P3427)),IF(Q3426=0,1,0),0)</f>
        <v>1</v>
      </c>
      <c r="S3427" s="56" t="n">
        <f aca="false">R3427*(B3427&gt;=Train_Start)*(B3427&lt;=Train_End)</f>
        <v>0</v>
      </c>
      <c r="T3427" s="84" t="n">
        <f aca="false">IF(AND(ISNUMBER(O3427),ISNUMBER(P3427)),Coef_A+Coef_B1*O3427+Coef_B2*P3427,"")</f>
        <v>21.4169871608643</v>
      </c>
      <c r="U3427" s="84" t="n">
        <f aca="false">IF(AND(R3427=1,ISNUMBER(T3427)),E3427-T3427,"")</f>
        <v>1.88301283913567</v>
      </c>
      <c r="V3427" s="84" t="n">
        <f aca="false">IF(ISNUMBER(T3427),T3427,-99)</f>
        <v>21.4169871608643</v>
      </c>
      <c r="W3427" s="84" t="n">
        <f aca="false">IF(ISNUMBER(U3427),ABS(U3427),"")</f>
        <v>1.88301283913567</v>
      </c>
    </row>
    <row r="3428" customFormat="false" ht="15" hidden="false" customHeight="false" outlineLevel="0" collapsed="false">
      <c r="A3428" s="57" t="n">
        <v>37072</v>
      </c>
      <c r="B3428" s="56" t="n">
        <v>2001</v>
      </c>
      <c r="C3428" s="56" t="n">
        <v>6</v>
      </c>
      <c r="D3428" s="56" t="n">
        <v>61</v>
      </c>
      <c r="E3428" s="56" t="n">
        <v>26.2</v>
      </c>
      <c r="F3428" s="56" t="n">
        <v>0</v>
      </c>
      <c r="G3428" s="56" t="n">
        <v>15.5</v>
      </c>
      <c r="H3428" s="56" t="n">
        <v>0</v>
      </c>
      <c r="I3428" s="56" t="n">
        <v>19.4</v>
      </c>
      <c r="J3428" s="56" t="n">
        <v>0</v>
      </c>
      <c r="K3428" s="56" t="n">
        <v>1020.4</v>
      </c>
      <c r="L3428" s="56" t="n">
        <v>0</v>
      </c>
      <c r="M3428" s="56" t="n">
        <v>65</v>
      </c>
      <c r="N3428" s="56" t="n">
        <v>10.9</v>
      </c>
      <c r="O3428" s="56" t="n">
        <f aca="false">IF(D3428=1,"",E3427)</f>
        <v>23.3</v>
      </c>
      <c r="P3428" s="56" t="n">
        <f aca="false">IF(OR(D3428=1,K3427=""),"",K3427)</f>
        <v>1019.3</v>
      </c>
      <c r="Q3428" s="56" t="n">
        <f aca="false">IF(OR(F3428&lt;&gt;0,AND(I3428&lt;&gt;"",E3428&lt;I3428)),1,0)</f>
        <v>0</v>
      </c>
      <c r="R3428" s="56" t="n">
        <f aca="false">IF(AND(D3428&gt;1,Q3428=0,ISNUMBER(O3428),ISNUMBER(P3428)),IF(Q3427=0,1,0),0)</f>
        <v>1</v>
      </c>
      <c r="S3428" s="56" t="n">
        <f aca="false">R3428*(B3428&gt;=Train_Start)*(B3428&lt;=Train_End)</f>
        <v>0</v>
      </c>
      <c r="T3428" s="84" t="n">
        <f aca="false">IF(AND(ISNUMBER(O3428),ISNUMBER(P3428)),Coef_A+Coef_B1*O3428+Coef_B2*P3428,"")</f>
        <v>23.152912220315</v>
      </c>
      <c r="U3428" s="84" t="n">
        <f aca="false">IF(AND(R3428=1,ISNUMBER(T3428)),E3428-T3428,"")</f>
        <v>3.04708777968499</v>
      </c>
      <c r="V3428" s="84" t="n">
        <f aca="false">IF(ISNUMBER(T3428),T3428,-99)</f>
        <v>23.152912220315</v>
      </c>
      <c r="W3428" s="84" t="n">
        <f aca="false">IF(ISNUMBER(U3428),ABS(U3428),"")</f>
        <v>3.04708777968499</v>
      </c>
    </row>
    <row r="3429" customFormat="false" ht="15" hidden="false" customHeight="false" outlineLevel="0" collapsed="false">
      <c r="A3429" s="57" t="n">
        <v>37073</v>
      </c>
      <c r="B3429" s="56" t="n">
        <v>2001</v>
      </c>
      <c r="C3429" s="56" t="n">
        <v>7</v>
      </c>
      <c r="D3429" s="56" t="n">
        <v>62</v>
      </c>
      <c r="E3429" s="56" t="n">
        <v>27.1</v>
      </c>
      <c r="F3429" s="56" t="n">
        <v>0</v>
      </c>
      <c r="G3429" s="56" t="n">
        <v>13</v>
      </c>
      <c r="H3429" s="56" t="n">
        <v>0</v>
      </c>
      <c r="I3429" s="56" t="n">
        <v>19.6</v>
      </c>
      <c r="J3429" s="56" t="n">
        <v>0</v>
      </c>
      <c r="K3429" s="56" t="n">
        <v>1026.9</v>
      </c>
      <c r="L3429" s="56" t="n">
        <v>0</v>
      </c>
      <c r="M3429" s="56" t="n">
        <v>70</v>
      </c>
      <c r="N3429" s="56" t="n">
        <v>9.6</v>
      </c>
      <c r="O3429" s="56" t="n">
        <f aca="false">IF(D3429=1,"",E3428)</f>
        <v>26.2</v>
      </c>
      <c r="P3429" s="56" t="n">
        <f aca="false">IF(OR(D3429=1,K3428=""),"",K3428)</f>
        <v>1020.4</v>
      </c>
      <c r="Q3429" s="56" t="n">
        <f aca="false">IF(OR(F3429&lt;&gt;0,AND(I3429&lt;&gt;"",E3429&lt;I3429)),1,0)</f>
        <v>0</v>
      </c>
      <c r="R3429" s="56" t="n">
        <f aca="false">IF(AND(D3429&gt;1,Q3429=0,ISNUMBER(O3429),ISNUMBER(P3429)),IF(Q3428=0,1,0),0)</f>
        <v>1</v>
      </c>
      <c r="S3429" s="56" t="n">
        <f aca="false">R3429*(B3429&gt;=Train_Start)*(B3429&lt;=Train_End)</f>
        <v>0</v>
      </c>
      <c r="T3429" s="84" t="n">
        <f aca="false">IF(AND(ISNUMBER(O3429),ISNUMBER(P3429)),Coef_A+Coef_B1*O3429+Coef_B2*P3429,"")</f>
        <v>25.5635027642361</v>
      </c>
      <c r="U3429" s="84" t="n">
        <f aca="false">IF(AND(R3429=1,ISNUMBER(T3429)),E3429-T3429,"")</f>
        <v>1.5364972357639</v>
      </c>
      <c r="V3429" s="84" t="n">
        <f aca="false">IF(ISNUMBER(T3429),T3429,-99)</f>
        <v>25.5635027642361</v>
      </c>
      <c r="W3429" s="84" t="n">
        <f aca="false">IF(ISNUMBER(U3429),ABS(U3429),"")</f>
        <v>1.5364972357639</v>
      </c>
    </row>
    <row r="3430" customFormat="false" ht="15" hidden="false" customHeight="false" outlineLevel="0" collapsed="false">
      <c r="A3430" s="57" t="n">
        <v>37074</v>
      </c>
      <c r="B3430" s="56" t="n">
        <v>2001</v>
      </c>
      <c r="C3430" s="56" t="n">
        <v>7</v>
      </c>
      <c r="D3430" s="56" t="n">
        <v>63</v>
      </c>
      <c r="E3430" s="56" t="n">
        <v>29.5</v>
      </c>
      <c r="F3430" s="56" t="n">
        <v>0</v>
      </c>
      <c r="G3430" s="56" t="n">
        <v>16.2</v>
      </c>
      <c r="H3430" s="56" t="n">
        <v>0</v>
      </c>
      <c r="I3430" s="56" t="n">
        <v>21.6</v>
      </c>
      <c r="J3430" s="56" t="n">
        <v>0</v>
      </c>
      <c r="K3430" s="56" t="n">
        <v>1026.6</v>
      </c>
      <c r="L3430" s="56" t="n">
        <v>0</v>
      </c>
      <c r="M3430" s="56" t="n">
        <v>66</v>
      </c>
      <c r="N3430" s="56" t="n">
        <v>4.7</v>
      </c>
      <c r="O3430" s="56" t="n">
        <f aca="false">IF(D3430=1,"",E3429)</f>
        <v>27.1</v>
      </c>
      <c r="P3430" s="56" t="n">
        <f aca="false">IF(OR(D3430=1,K3429=""),"",K3429)</f>
        <v>1026.9</v>
      </c>
      <c r="Q3430" s="56" t="n">
        <f aca="false">IF(OR(F3430&lt;&gt;0,AND(I3430&lt;&gt;"",E3430&lt;I3430)),1,0)</f>
        <v>0</v>
      </c>
      <c r="R3430" s="56" t="n">
        <f aca="false">IF(AND(D3430&gt;1,Q3430=0,ISNUMBER(O3430),ISNUMBER(P3430)),IF(Q3429=0,1,0),0)</f>
        <v>1</v>
      </c>
      <c r="S3430" s="56" t="n">
        <f aca="false">R3430*(B3430&gt;=Train_Start)*(B3430&lt;=Train_End)</f>
        <v>0</v>
      </c>
      <c r="T3430" s="84" t="n">
        <f aca="false">IF(AND(ISNUMBER(O3430),ISNUMBER(P3430)),Coef_A+Coef_B1*O3430+Coef_B2*P3430,"")</f>
        <v>26.5048123530954</v>
      </c>
      <c r="U3430" s="84" t="n">
        <f aca="false">IF(AND(R3430=1,ISNUMBER(T3430)),E3430-T3430,"")</f>
        <v>2.99518764690457</v>
      </c>
      <c r="V3430" s="84" t="n">
        <f aca="false">IF(ISNUMBER(T3430),T3430,-99)</f>
        <v>26.5048123530954</v>
      </c>
      <c r="W3430" s="84" t="n">
        <f aca="false">IF(ISNUMBER(U3430),ABS(U3430),"")</f>
        <v>2.99518764690457</v>
      </c>
    </row>
    <row r="3431" customFormat="false" ht="15" hidden="false" customHeight="false" outlineLevel="0" collapsed="false">
      <c r="A3431" s="57" t="n">
        <v>37075</v>
      </c>
      <c r="B3431" s="56" t="n">
        <v>2001</v>
      </c>
      <c r="C3431" s="56" t="n">
        <v>7</v>
      </c>
      <c r="D3431" s="56" t="n">
        <v>64</v>
      </c>
      <c r="E3431" s="56" t="n">
        <v>29.2</v>
      </c>
      <c r="F3431" s="56" t="n">
        <v>0</v>
      </c>
      <c r="G3431" s="56" t="n">
        <v>17.8</v>
      </c>
      <c r="H3431" s="56" t="n">
        <v>0</v>
      </c>
      <c r="I3431" s="56" t="n">
        <v>23.6</v>
      </c>
      <c r="J3431" s="56" t="n">
        <v>0</v>
      </c>
      <c r="K3431" s="56" t="n">
        <v>1017.1</v>
      </c>
      <c r="L3431" s="56" t="n">
        <v>0</v>
      </c>
      <c r="M3431" s="56" t="n">
        <v>61</v>
      </c>
      <c r="N3431" s="56" t="n">
        <v>12.4</v>
      </c>
      <c r="O3431" s="56" t="n">
        <f aca="false">IF(D3431=1,"",E3430)</f>
        <v>29.5</v>
      </c>
      <c r="P3431" s="56" t="n">
        <f aca="false">IF(OR(D3431=1,K3430=""),"",K3430)</f>
        <v>1026.6</v>
      </c>
      <c r="Q3431" s="56" t="n">
        <f aca="false">IF(OR(F3431&lt;&gt;0,AND(I3431&lt;&gt;"",E3431&lt;I3431)),1,0)</f>
        <v>0</v>
      </c>
      <c r="R3431" s="56" t="n">
        <f aca="false">IF(AND(D3431&gt;1,Q3431=0,ISNUMBER(O3431),ISNUMBER(P3431)),IF(Q3430=0,1,0),0)</f>
        <v>1</v>
      </c>
      <c r="S3431" s="56" t="n">
        <f aca="false">R3431*(B3431&gt;=Train_Start)*(B3431&lt;=Train_End)</f>
        <v>0</v>
      </c>
      <c r="T3431" s="84" t="n">
        <f aca="false">IF(AND(ISNUMBER(O3431),ISNUMBER(P3431)),Coef_A+Coef_B1*O3431+Coef_B2*P3431,"")</f>
        <v>28.4618154480076</v>
      </c>
      <c r="U3431" s="84" t="n">
        <f aca="false">IF(AND(R3431=1,ISNUMBER(T3431)),E3431-T3431,"")</f>
        <v>0.738184551992394</v>
      </c>
      <c r="V3431" s="84" t="n">
        <f aca="false">IF(ISNUMBER(T3431),T3431,-99)</f>
        <v>28.4618154480076</v>
      </c>
      <c r="W3431" s="84" t="n">
        <f aca="false">IF(ISNUMBER(U3431),ABS(U3431),"")</f>
        <v>0.738184551992394</v>
      </c>
    </row>
    <row r="3432" customFormat="false" ht="15" hidden="false" customHeight="false" outlineLevel="0" collapsed="false">
      <c r="A3432" s="57" t="n">
        <v>37076</v>
      </c>
      <c r="B3432" s="56" t="n">
        <v>2001</v>
      </c>
      <c r="C3432" s="56" t="n">
        <v>7</v>
      </c>
      <c r="D3432" s="56" t="n">
        <v>65</v>
      </c>
      <c r="E3432" s="56" t="n">
        <v>30.5</v>
      </c>
      <c r="F3432" s="56" t="n">
        <v>0</v>
      </c>
      <c r="G3432" s="56" t="n">
        <v>18.9</v>
      </c>
      <c r="H3432" s="56" t="n">
        <v>0</v>
      </c>
      <c r="I3432" s="56" t="n">
        <v>24</v>
      </c>
      <c r="J3432" s="56" t="n">
        <v>0</v>
      </c>
      <c r="K3432" s="56" t="n">
        <v>1008.3</v>
      </c>
      <c r="L3432" s="56" t="n">
        <v>0</v>
      </c>
      <c r="M3432" s="56" t="n">
        <v>56</v>
      </c>
      <c r="N3432" s="56" t="n">
        <v>11.1</v>
      </c>
      <c r="O3432" s="56" t="n">
        <f aca="false">IF(D3432=1,"",E3431)</f>
        <v>29.2</v>
      </c>
      <c r="P3432" s="56" t="n">
        <f aca="false">IF(OR(D3432=1,K3431=""),"",K3431)</f>
        <v>1017.1</v>
      </c>
      <c r="Q3432" s="56" t="n">
        <f aca="false">IF(OR(F3432&lt;&gt;0,AND(I3432&lt;&gt;"",E3432&lt;I3432)),1,0)</f>
        <v>0</v>
      </c>
      <c r="R3432" s="56" t="n">
        <f aca="false">IF(AND(D3432&gt;1,Q3432=0,ISNUMBER(O3432),ISNUMBER(P3432)),IF(Q3431=0,1,0),0)</f>
        <v>1</v>
      </c>
      <c r="S3432" s="56" t="n">
        <f aca="false">R3432*(B3432&gt;=Train_Start)*(B3432&lt;=Train_End)</f>
        <v>0</v>
      </c>
      <c r="T3432" s="84" t="n">
        <f aca="false">IF(AND(ISNUMBER(O3432),ISNUMBER(P3432)),Coef_A+Coef_B1*O3432+Coef_B2*P3432,"")</f>
        <v>27.9179996910719</v>
      </c>
      <c r="U3432" s="84" t="n">
        <f aca="false">IF(AND(R3432=1,ISNUMBER(T3432)),E3432-T3432,"")</f>
        <v>2.58200030892809</v>
      </c>
      <c r="V3432" s="84" t="n">
        <f aca="false">IF(ISNUMBER(T3432),T3432,-99)</f>
        <v>27.9179996910719</v>
      </c>
      <c r="W3432" s="84" t="n">
        <f aca="false">IF(ISNUMBER(U3432),ABS(U3432),"")</f>
        <v>2.58200030892809</v>
      </c>
    </row>
    <row r="3433" customFormat="false" ht="15" hidden="false" customHeight="false" outlineLevel="0" collapsed="false">
      <c r="A3433" s="57" t="n">
        <v>37077</v>
      </c>
      <c r="B3433" s="56" t="n">
        <v>2001</v>
      </c>
      <c r="C3433" s="56" t="n">
        <v>7</v>
      </c>
      <c r="D3433" s="56" t="n">
        <v>66</v>
      </c>
      <c r="E3433" s="56" t="n">
        <v>26.2</v>
      </c>
      <c r="F3433" s="56" t="n">
        <v>0</v>
      </c>
      <c r="G3433" s="56" t="n">
        <v>19</v>
      </c>
      <c r="H3433" s="56" t="n">
        <v>0</v>
      </c>
      <c r="I3433" s="56" t="n">
        <v>24.8</v>
      </c>
      <c r="J3433" s="56" t="n">
        <v>0</v>
      </c>
      <c r="K3433" s="56" t="n">
        <v>1009.3</v>
      </c>
      <c r="L3433" s="56" t="n">
        <v>0</v>
      </c>
      <c r="M3433" s="56" t="n">
        <v>62</v>
      </c>
      <c r="N3433" s="56" t="n">
        <v>4.3</v>
      </c>
      <c r="O3433" s="56" t="n">
        <f aca="false">IF(D3433=1,"",E3432)</f>
        <v>30.5</v>
      </c>
      <c r="P3433" s="56" t="n">
        <f aca="false">IF(OR(D3433=1,K3432=""),"",K3432)</f>
        <v>1008.3</v>
      </c>
      <c r="Q3433" s="56" t="n">
        <f aca="false">IF(OR(F3433&lt;&gt;0,AND(I3433&lt;&gt;"",E3433&lt;I3433)),1,0)</f>
        <v>0</v>
      </c>
      <c r="R3433" s="56" t="n">
        <f aca="false">IF(AND(D3433&gt;1,Q3433=0,ISNUMBER(O3433),ISNUMBER(P3433)),IF(Q3432=0,1,0),0)</f>
        <v>1</v>
      </c>
      <c r="S3433" s="56" t="n">
        <f aca="false">R3433*(B3433&gt;=Train_Start)*(B3433&lt;=Train_End)</f>
        <v>0</v>
      </c>
      <c r="T3433" s="84" t="n">
        <f aca="false">IF(AND(ISNUMBER(O3433),ISNUMBER(P3433)),Coef_A+Coef_B1*O3433+Coef_B2*P3433,"")</f>
        <v>28.7070855692483</v>
      </c>
      <c r="U3433" s="84" t="n">
        <f aca="false">IF(AND(R3433=1,ISNUMBER(T3433)),E3433-T3433,"")</f>
        <v>-2.50708556924826</v>
      </c>
      <c r="V3433" s="84" t="n">
        <f aca="false">IF(ISNUMBER(T3433),T3433,-99)</f>
        <v>28.7070855692483</v>
      </c>
      <c r="W3433" s="84" t="n">
        <f aca="false">IF(ISNUMBER(U3433),ABS(U3433),"")</f>
        <v>2.50708556924826</v>
      </c>
    </row>
    <row r="3434" customFormat="false" ht="15" hidden="false" customHeight="false" outlineLevel="0" collapsed="false">
      <c r="A3434" s="57" t="n">
        <v>37078</v>
      </c>
      <c r="B3434" s="56" t="n">
        <v>2001</v>
      </c>
      <c r="C3434" s="56" t="n">
        <v>7</v>
      </c>
      <c r="D3434" s="56" t="n">
        <v>67</v>
      </c>
      <c r="E3434" s="56" t="n">
        <v>21.5</v>
      </c>
      <c r="F3434" s="56" t="n">
        <v>1</v>
      </c>
      <c r="G3434" s="56" t="n">
        <v>18.3</v>
      </c>
      <c r="H3434" s="56" t="n">
        <v>0</v>
      </c>
      <c r="I3434" s="56" t="n">
        <v>22.2</v>
      </c>
      <c r="J3434" s="56" t="n">
        <v>1</v>
      </c>
      <c r="K3434" s="56" t="n">
        <v>1009.2</v>
      </c>
      <c r="L3434" s="56" t="n">
        <v>0</v>
      </c>
      <c r="M3434" s="56" t="n">
        <v>76</v>
      </c>
      <c r="N3434" s="56" t="n">
        <v>6.1</v>
      </c>
      <c r="O3434" s="56" t="n">
        <f aca="false">IF(D3434=1,"",E3433)</f>
        <v>26.2</v>
      </c>
      <c r="P3434" s="56" t="n">
        <f aca="false">IF(OR(D3434=1,K3433=""),"",K3433)</f>
        <v>1009.3</v>
      </c>
      <c r="Q3434" s="56" t="n">
        <f aca="false">IF(OR(F3434&lt;&gt;0,AND(I3434&lt;&gt;"",E3434&lt;I3434)),1,0)</f>
        <v>1</v>
      </c>
      <c r="R3434" s="56" t="n">
        <f aca="false">IF(AND(D3434&gt;1,Q3434=0,ISNUMBER(O3434),ISNUMBER(P3434)),IF(Q3433=0,1,0),0)</f>
        <v>0</v>
      </c>
      <c r="S3434" s="56" t="n">
        <f aca="false">R3434*(B3434&gt;=Train_Start)*(B3434&lt;=Train_End)</f>
        <v>0</v>
      </c>
      <c r="T3434" s="84" t="n">
        <f aca="false">IF(AND(ISNUMBER(O3434),ISNUMBER(P3434)),Coef_A+Coef_B1*O3434+Coef_B2*P3434,"")</f>
        <v>25.2152969337988</v>
      </c>
      <c r="U3434" s="84" t="str">
        <f aca="false">IF(AND(R3434=1,ISNUMBER(T3434)),E3434-T3434,"")</f>
        <v/>
      </c>
      <c r="V3434" s="84" t="n">
        <f aca="false">IF(ISNUMBER(T3434),T3434,-99)</f>
        <v>25.2152969337988</v>
      </c>
      <c r="W3434" s="84" t="str">
        <f aca="false">IF(ISNUMBER(U3434),ABS(U3434),"")</f>
        <v/>
      </c>
    </row>
    <row r="3435" customFormat="false" ht="15" hidden="false" customHeight="false" outlineLevel="0" collapsed="false">
      <c r="A3435" s="57" t="n">
        <v>37079</v>
      </c>
      <c r="B3435" s="56" t="n">
        <v>2001</v>
      </c>
      <c r="C3435" s="56" t="n">
        <v>7</v>
      </c>
      <c r="D3435" s="56" t="n">
        <v>68</v>
      </c>
      <c r="E3435" s="56" t="n">
        <v>20.8</v>
      </c>
      <c r="F3435" s="56" t="n">
        <v>0</v>
      </c>
      <c r="G3435" s="56" t="n">
        <v>16.5</v>
      </c>
      <c r="H3435" s="56" t="n">
        <v>0</v>
      </c>
      <c r="I3435" s="56" t="n">
        <v>19</v>
      </c>
      <c r="J3435" s="56" t="n">
        <v>0</v>
      </c>
      <c r="K3435" s="56" t="n">
        <v>1005.8</v>
      </c>
      <c r="L3435" s="56" t="n">
        <v>0</v>
      </c>
      <c r="M3435" s="56" t="n">
        <v>87</v>
      </c>
      <c r="N3435" s="56" t="n">
        <v>0</v>
      </c>
      <c r="O3435" s="56" t="n">
        <f aca="false">IF(D3435=1,"",E3434)</f>
        <v>21.5</v>
      </c>
      <c r="P3435" s="56" t="n">
        <f aca="false">IF(OR(D3435=1,K3434=""),"",K3434)</f>
        <v>1009.2</v>
      </c>
      <c r="Q3435" s="56" t="n">
        <f aca="false">IF(OR(F3435&lt;&gt;0,AND(I3435&lt;&gt;"",E3435&lt;I3435)),1,0)</f>
        <v>0</v>
      </c>
      <c r="R3435" s="56" t="n">
        <f aca="false">IF(AND(D3435&gt;1,Q3435=0,ISNUMBER(O3435),ISNUMBER(P3435)),IF(Q3434=0,1,0),0)</f>
        <v>0</v>
      </c>
      <c r="S3435" s="56" t="n">
        <f aca="false">R3435*(B3435&gt;=Train_Start)*(B3435&lt;=Train_End)</f>
        <v>0</v>
      </c>
      <c r="T3435" s="84" t="n">
        <f aca="false">IF(AND(ISNUMBER(O3435),ISNUMBER(P3435)),Coef_A+Coef_B1*O3435+Coef_B2*P3435,"")</f>
        <v>21.3612657370349</v>
      </c>
      <c r="U3435" s="84" t="str">
        <f aca="false">IF(AND(R3435=1,ISNUMBER(T3435)),E3435-T3435,"")</f>
        <v/>
      </c>
      <c r="V3435" s="84" t="n">
        <f aca="false">IF(ISNUMBER(T3435),T3435,-99)</f>
        <v>21.3612657370349</v>
      </c>
      <c r="W3435" s="84" t="str">
        <f aca="false">IF(ISNUMBER(U3435),ABS(U3435),"")</f>
        <v/>
      </c>
    </row>
    <row r="3436" customFormat="false" ht="15" hidden="false" customHeight="false" outlineLevel="0" collapsed="false">
      <c r="A3436" s="57" t="n">
        <v>37080</v>
      </c>
      <c r="B3436" s="56" t="n">
        <v>2001</v>
      </c>
      <c r="C3436" s="56" t="n">
        <v>7</v>
      </c>
      <c r="D3436" s="56" t="n">
        <v>69</v>
      </c>
      <c r="E3436" s="56" t="n">
        <v>21</v>
      </c>
      <c r="F3436" s="56" t="n">
        <v>0</v>
      </c>
      <c r="G3436" s="56" t="n">
        <v>16.4</v>
      </c>
      <c r="H3436" s="56" t="n">
        <v>0</v>
      </c>
      <c r="I3436" s="56" t="n">
        <v>18.6</v>
      </c>
      <c r="J3436" s="56" t="n">
        <v>0</v>
      </c>
      <c r="K3436" s="56" t="n">
        <v>1009.4</v>
      </c>
      <c r="L3436" s="56" t="n">
        <v>0</v>
      </c>
      <c r="M3436" s="56" t="n">
        <v>81</v>
      </c>
      <c r="N3436" s="56" t="n">
        <v>0.9</v>
      </c>
      <c r="O3436" s="56" t="n">
        <f aca="false">IF(D3436=1,"",E3435)</f>
        <v>20.8</v>
      </c>
      <c r="P3436" s="56" t="n">
        <f aca="false">IF(OR(D3436=1,K3435=""),"",K3435)</f>
        <v>1005.8</v>
      </c>
      <c r="Q3436" s="56" t="n">
        <f aca="false">IF(OR(F3436&lt;&gt;0,AND(I3436&lt;&gt;"",E3436&lt;I3436)),1,0)</f>
        <v>0</v>
      </c>
      <c r="R3436" s="56" t="n">
        <f aca="false">IF(AND(D3436&gt;1,Q3436=0,ISNUMBER(O3436),ISNUMBER(P3436)),IF(Q3435=0,1,0),0)</f>
        <v>1</v>
      </c>
      <c r="S3436" s="56" t="n">
        <f aca="false">R3436*(B3436&gt;=Train_Start)*(B3436&lt;=Train_End)</f>
        <v>0</v>
      </c>
      <c r="T3436" s="84" t="n">
        <f aca="false">IF(AND(ISNUMBER(O3436),ISNUMBER(P3436)),Coef_A+Coef_B1*O3436+Coef_B2*P3436,"")</f>
        <v>20.6810706601495</v>
      </c>
      <c r="U3436" s="84" t="n">
        <f aca="false">IF(AND(R3436=1,ISNUMBER(T3436)),E3436-T3436,"")</f>
        <v>0.318929339850495</v>
      </c>
      <c r="V3436" s="84" t="n">
        <f aca="false">IF(ISNUMBER(T3436),T3436,-99)</f>
        <v>20.6810706601495</v>
      </c>
      <c r="W3436" s="84" t="n">
        <f aca="false">IF(ISNUMBER(U3436),ABS(U3436),"")</f>
        <v>0.318929339850495</v>
      </c>
    </row>
    <row r="3437" customFormat="false" ht="15" hidden="false" customHeight="false" outlineLevel="0" collapsed="false">
      <c r="A3437" s="57" t="n">
        <v>37081</v>
      </c>
      <c r="B3437" s="56" t="n">
        <v>2001</v>
      </c>
      <c r="C3437" s="56" t="n">
        <v>7</v>
      </c>
      <c r="D3437" s="56" t="n">
        <v>70</v>
      </c>
      <c r="E3437" s="56" t="n">
        <v>20.2</v>
      </c>
      <c r="F3437" s="56" t="n">
        <v>0</v>
      </c>
      <c r="G3437" s="56" t="n">
        <v>11.9</v>
      </c>
      <c r="H3437" s="56" t="n">
        <v>0</v>
      </c>
      <c r="I3437" s="56" t="n">
        <v>16.4</v>
      </c>
      <c r="J3437" s="56" t="n">
        <v>0</v>
      </c>
      <c r="K3437" s="56" t="n">
        <v>1013.8</v>
      </c>
      <c r="L3437" s="56" t="n">
        <v>0</v>
      </c>
      <c r="M3437" s="56" t="n">
        <v>70</v>
      </c>
      <c r="N3437" s="56" t="n">
        <v>2.3</v>
      </c>
      <c r="O3437" s="56" t="n">
        <f aca="false">IF(D3437=1,"",E3436)</f>
        <v>21</v>
      </c>
      <c r="P3437" s="56" t="n">
        <f aca="false">IF(OR(D3437=1,K3436=""),"",K3436)</f>
        <v>1009.4</v>
      </c>
      <c r="Q3437" s="56" t="n">
        <f aca="false">IF(OR(F3437&lt;&gt;0,AND(I3437&lt;&gt;"",E3437&lt;I3437)),1,0)</f>
        <v>0</v>
      </c>
      <c r="R3437" s="56" t="n">
        <f aca="false">IF(AND(D3437&gt;1,Q3437=0,ISNUMBER(O3437),ISNUMBER(P3437)),IF(Q3436=0,1,0),0)</f>
        <v>1</v>
      </c>
      <c r="S3437" s="56" t="n">
        <f aca="false">R3437*(B3437&gt;=Train_Start)*(B3437&lt;=Train_End)</f>
        <v>0</v>
      </c>
      <c r="T3437" s="84" t="n">
        <f aca="false">IF(AND(ISNUMBER(O3437),ISNUMBER(P3437)),Coef_A+Coef_B1*O3437+Coef_B2*P3437,"")</f>
        <v>20.9578701194404</v>
      </c>
      <c r="U3437" s="84" t="n">
        <f aca="false">IF(AND(R3437=1,ISNUMBER(T3437)),E3437-T3437,"")</f>
        <v>-0.757870119440398</v>
      </c>
      <c r="V3437" s="84" t="n">
        <f aca="false">IF(ISNUMBER(T3437),T3437,-99)</f>
        <v>20.9578701194404</v>
      </c>
      <c r="W3437" s="84" t="n">
        <f aca="false">IF(ISNUMBER(U3437),ABS(U3437),"")</f>
        <v>0.757870119440398</v>
      </c>
    </row>
    <row r="3438" customFormat="false" ht="15" hidden="false" customHeight="false" outlineLevel="0" collapsed="false">
      <c r="A3438" s="57" t="n">
        <v>37082</v>
      </c>
      <c r="B3438" s="56" t="n">
        <v>2001</v>
      </c>
      <c r="C3438" s="56" t="n">
        <v>7</v>
      </c>
      <c r="D3438" s="56" t="n">
        <v>71</v>
      </c>
      <c r="E3438" s="56" t="n">
        <v>21.4</v>
      </c>
      <c r="F3438" s="56" t="n">
        <v>0</v>
      </c>
      <c r="G3438" s="56" t="n">
        <v>15.4</v>
      </c>
      <c r="H3438" s="56" t="n">
        <v>0</v>
      </c>
      <c r="I3438" s="56" t="n">
        <v>17.8</v>
      </c>
      <c r="J3438" s="56" t="n">
        <v>0</v>
      </c>
      <c r="K3438" s="56" t="n">
        <v>1005.7</v>
      </c>
      <c r="L3438" s="56" t="n">
        <v>0</v>
      </c>
      <c r="M3438" s="56" t="n">
        <v>79</v>
      </c>
      <c r="N3438" s="56" t="n">
        <v>2.6</v>
      </c>
      <c r="O3438" s="56" t="n">
        <f aca="false">IF(D3438=1,"",E3437)</f>
        <v>20.2</v>
      </c>
      <c r="P3438" s="56" t="n">
        <f aca="false">IF(OR(D3438=1,K3437=""),"",K3437)</f>
        <v>1013.8</v>
      </c>
      <c r="Q3438" s="56" t="n">
        <f aca="false">IF(OR(F3438&lt;&gt;0,AND(I3438&lt;&gt;"",E3438&lt;I3438)),1,0)</f>
        <v>0</v>
      </c>
      <c r="R3438" s="56" t="n">
        <f aca="false">IF(AND(D3438&gt;1,Q3438=0,ISNUMBER(O3438),ISNUMBER(P3438)),IF(Q3437=0,1,0),0)</f>
        <v>1</v>
      </c>
      <c r="S3438" s="56" t="n">
        <f aca="false">R3438*(B3438&gt;=Train_Start)*(B3438&lt;=Train_End)</f>
        <v>0</v>
      </c>
      <c r="T3438" s="84" t="n">
        <f aca="false">IF(AND(ISNUMBER(O3438),ISNUMBER(P3438)),Coef_A+Coef_B1*O3438+Coef_B2*P3438,"")</f>
        <v>20.4404263013958</v>
      </c>
      <c r="U3438" s="84" t="n">
        <f aca="false">IF(AND(R3438=1,ISNUMBER(T3438)),E3438-T3438,"")</f>
        <v>0.959573698604174</v>
      </c>
      <c r="V3438" s="84" t="n">
        <f aca="false">IF(ISNUMBER(T3438),T3438,-99)</f>
        <v>20.4404263013958</v>
      </c>
      <c r="W3438" s="84" t="n">
        <f aca="false">IF(ISNUMBER(U3438),ABS(U3438),"")</f>
        <v>0.959573698604174</v>
      </c>
    </row>
    <row r="3439" customFormat="false" ht="15" hidden="false" customHeight="false" outlineLevel="0" collapsed="false">
      <c r="A3439" s="57" t="n">
        <v>37083</v>
      </c>
      <c r="B3439" s="56" t="n">
        <v>2001</v>
      </c>
      <c r="C3439" s="56" t="n">
        <v>7</v>
      </c>
      <c r="D3439" s="56" t="n">
        <v>72</v>
      </c>
      <c r="E3439" s="56" t="n">
        <v>21</v>
      </c>
      <c r="F3439" s="56" t="n">
        <v>0</v>
      </c>
      <c r="G3439" s="56" t="n">
        <v>13.5</v>
      </c>
      <c r="H3439" s="56" t="n">
        <v>0</v>
      </c>
      <c r="I3439" s="56" t="n">
        <v>17.4</v>
      </c>
      <c r="J3439" s="56" t="n">
        <v>0</v>
      </c>
      <c r="K3439" s="56" t="n">
        <v>1007.9</v>
      </c>
      <c r="L3439" s="56" t="n">
        <v>0</v>
      </c>
      <c r="M3439" s="56" t="n">
        <v>57</v>
      </c>
      <c r="N3439" s="56" t="n">
        <v>8.9</v>
      </c>
      <c r="O3439" s="56" t="n">
        <f aca="false">IF(D3439=1,"",E3438)</f>
        <v>21.4</v>
      </c>
      <c r="P3439" s="56" t="n">
        <f aca="false">IF(OR(D3439=1,K3438=""),"",K3438)</f>
        <v>1005.7</v>
      </c>
      <c r="Q3439" s="56" t="n">
        <f aca="false">IF(OR(F3439&lt;&gt;0,AND(I3439&lt;&gt;"",E3439&lt;I3439)),1,0)</f>
        <v>0</v>
      </c>
      <c r="R3439" s="56" t="n">
        <f aca="false">IF(AND(D3439&gt;1,Q3439=0,ISNUMBER(O3439),ISNUMBER(P3439)),IF(Q3438=0,1,0),0)</f>
        <v>1</v>
      </c>
      <c r="S3439" s="56" t="n">
        <f aca="false">R3439*(B3439&gt;=Train_Start)*(B3439&lt;=Train_End)</f>
        <v>0</v>
      </c>
      <c r="T3439" s="84" t="n">
        <f aca="false">IF(AND(ISNUMBER(O3439),ISNUMBER(P3439)),Coef_A+Coef_B1*O3439+Coef_B2*P3439,"")</f>
        <v>21.1695371865117</v>
      </c>
      <c r="U3439" s="84" t="n">
        <f aca="false">IF(AND(R3439=1,ISNUMBER(T3439)),E3439-T3439,"")</f>
        <v>-0.169537186511704</v>
      </c>
      <c r="V3439" s="84" t="n">
        <f aca="false">IF(ISNUMBER(T3439),T3439,-99)</f>
        <v>21.1695371865117</v>
      </c>
      <c r="W3439" s="84" t="n">
        <f aca="false">IF(ISNUMBER(U3439),ABS(U3439),"")</f>
        <v>0.169537186511704</v>
      </c>
    </row>
    <row r="3440" customFormat="false" ht="15" hidden="false" customHeight="false" outlineLevel="0" collapsed="false">
      <c r="A3440" s="57" t="n">
        <v>37084</v>
      </c>
      <c r="B3440" s="56" t="n">
        <v>2001</v>
      </c>
      <c r="C3440" s="56" t="n">
        <v>7</v>
      </c>
      <c r="D3440" s="56" t="n">
        <v>73</v>
      </c>
      <c r="E3440" s="56" t="n">
        <v>22.2</v>
      </c>
      <c r="F3440" s="56" t="n">
        <v>0</v>
      </c>
      <c r="G3440" s="56" t="n">
        <v>11.5</v>
      </c>
      <c r="H3440" s="56" t="n">
        <v>0</v>
      </c>
      <c r="I3440" s="56" t="n">
        <v>16.2</v>
      </c>
      <c r="J3440" s="56" t="n">
        <v>0</v>
      </c>
      <c r="K3440" s="56" t="n">
        <v>1009.6</v>
      </c>
      <c r="L3440" s="56" t="n">
        <v>0</v>
      </c>
      <c r="M3440" s="56" t="n">
        <v>61</v>
      </c>
      <c r="N3440" s="56" t="n">
        <v>10.2</v>
      </c>
      <c r="O3440" s="56" t="n">
        <f aca="false">IF(D3440=1,"",E3439)</f>
        <v>21</v>
      </c>
      <c r="P3440" s="56" t="n">
        <f aca="false">IF(OR(D3440=1,K3439=""),"",K3439)</f>
        <v>1007.9</v>
      </c>
      <c r="Q3440" s="56" t="n">
        <f aca="false">IF(OR(F3440&lt;&gt;0,AND(I3440&lt;&gt;"",E3440&lt;I3440)),1,0)</f>
        <v>0</v>
      </c>
      <c r="R3440" s="56" t="n">
        <f aca="false">IF(AND(D3440&gt;1,Q3440=0,ISNUMBER(O3440),ISNUMBER(P3440)),IF(Q3439=0,1,0),0)</f>
        <v>1</v>
      </c>
      <c r="S3440" s="56" t="n">
        <f aca="false">R3440*(B3440&gt;=Train_Start)*(B3440&lt;=Train_End)</f>
        <v>0</v>
      </c>
      <c r="T3440" s="84" t="n">
        <f aca="false">IF(AND(ISNUMBER(O3440),ISNUMBER(P3440)),Coef_A+Coef_B1*O3440+Coef_B2*P3440,"")</f>
        <v>20.9108152774894</v>
      </c>
      <c r="U3440" s="84" t="n">
        <f aca="false">IF(AND(R3440=1,ISNUMBER(T3440)),E3440-T3440,"")</f>
        <v>1.28918472251058</v>
      </c>
      <c r="V3440" s="84" t="n">
        <f aca="false">IF(ISNUMBER(T3440),T3440,-99)</f>
        <v>20.9108152774894</v>
      </c>
      <c r="W3440" s="84" t="n">
        <f aca="false">IF(ISNUMBER(U3440),ABS(U3440),"")</f>
        <v>1.28918472251058</v>
      </c>
    </row>
    <row r="3441" customFormat="false" ht="15" hidden="false" customHeight="false" outlineLevel="0" collapsed="false">
      <c r="A3441" s="57" t="n">
        <v>37085</v>
      </c>
      <c r="B3441" s="56" t="n">
        <v>2001</v>
      </c>
      <c r="C3441" s="56" t="n">
        <v>7</v>
      </c>
      <c r="D3441" s="56" t="n">
        <v>74</v>
      </c>
      <c r="E3441" s="56" t="n">
        <v>19.2</v>
      </c>
      <c r="F3441" s="56" t="n">
        <v>0</v>
      </c>
      <c r="G3441" s="56" t="n">
        <v>12.6</v>
      </c>
      <c r="H3441" s="56" t="n">
        <v>0</v>
      </c>
      <c r="I3441" s="56" t="n">
        <v>17.4</v>
      </c>
      <c r="J3441" s="56" t="n">
        <v>0</v>
      </c>
      <c r="K3441" s="56" t="n">
        <v>1006.9</v>
      </c>
      <c r="L3441" s="56" t="n">
        <v>0</v>
      </c>
      <c r="M3441" s="56" t="n">
        <v>72</v>
      </c>
      <c r="N3441" s="56" t="n">
        <v>5.2</v>
      </c>
      <c r="O3441" s="56" t="n">
        <f aca="false">IF(D3441=1,"",E3440)</f>
        <v>22.2</v>
      </c>
      <c r="P3441" s="56" t="n">
        <f aca="false">IF(OR(D3441=1,K3440=""),"",K3440)</f>
        <v>1009.6</v>
      </c>
      <c r="Q3441" s="56" t="n">
        <f aca="false">IF(OR(F3441&lt;&gt;0,AND(I3441&lt;&gt;"",E3441&lt;I3441)),1,0)</f>
        <v>0</v>
      </c>
      <c r="R3441" s="56" t="n">
        <f aca="false">IF(AND(D3441&gt;1,Q3441=0,ISNUMBER(O3441),ISNUMBER(P3441)),IF(Q3440=0,1,0),0)</f>
        <v>1</v>
      </c>
      <c r="S3441" s="56" t="n">
        <f aca="false">R3441*(B3441&gt;=Train_Start)*(B3441&lt;=Train_End)</f>
        <v>0</v>
      </c>
      <c r="T3441" s="84" t="n">
        <f aca="false">IF(AND(ISNUMBER(O3441),ISNUMBER(P3441)),Coef_A+Coef_B1*O3441+Coef_B2*P3441,"")</f>
        <v>21.9473511300184</v>
      </c>
      <c r="U3441" s="84" t="n">
        <f aca="false">IF(AND(R3441=1,ISNUMBER(T3441)),E3441-T3441,"")</f>
        <v>-2.74735113001839</v>
      </c>
      <c r="V3441" s="84" t="n">
        <f aca="false">IF(ISNUMBER(T3441),T3441,-99)</f>
        <v>21.9473511300184</v>
      </c>
      <c r="W3441" s="84" t="n">
        <f aca="false">IF(ISNUMBER(U3441),ABS(U3441),"")</f>
        <v>2.74735113001839</v>
      </c>
    </row>
    <row r="3442" customFormat="false" ht="15" hidden="false" customHeight="false" outlineLevel="0" collapsed="false">
      <c r="A3442" s="57" t="n">
        <v>37086</v>
      </c>
      <c r="B3442" s="56" t="n">
        <v>2001</v>
      </c>
      <c r="C3442" s="56" t="n">
        <v>7</v>
      </c>
      <c r="D3442" s="56" t="n">
        <v>75</v>
      </c>
      <c r="E3442" s="56" t="n">
        <v>19.8</v>
      </c>
      <c r="F3442" s="56" t="n">
        <v>0</v>
      </c>
      <c r="G3442" s="56" t="n">
        <v>11.6</v>
      </c>
      <c r="H3442" s="56" t="n">
        <v>0</v>
      </c>
      <c r="I3442" s="56" t="n">
        <v>15.4</v>
      </c>
      <c r="J3442" s="56" t="n">
        <v>0</v>
      </c>
      <c r="K3442" s="56" t="n">
        <v>1006.5</v>
      </c>
      <c r="L3442" s="56" t="n">
        <v>0</v>
      </c>
      <c r="M3442" s="56" t="n">
        <v>75</v>
      </c>
      <c r="N3442" s="56" t="n">
        <v>6</v>
      </c>
      <c r="O3442" s="56" t="n">
        <f aca="false">IF(D3442=1,"",E3441)</f>
        <v>19.2</v>
      </c>
      <c r="P3442" s="56" t="n">
        <f aca="false">IF(OR(D3442=1,K3441=""),"",K3441)</f>
        <v>1006.9</v>
      </c>
      <c r="Q3442" s="56" t="n">
        <f aca="false">IF(OR(F3442&lt;&gt;0,AND(I3442&lt;&gt;"",E3442&lt;I3442)),1,0)</f>
        <v>0</v>
      </c>
      <c r="R3442" s="56" t="n">
        <f aca="false">IF(AND(D3442&gt;1,Q3442=0,ISNUMBER(O3442),ISNUMBER(P3442)),IF(Q3441=0,1,0),0)</f>
        <v>1</v>
      </c>
      <c r="S3442" s="56" t="n">
        <f aca="false">R3442*(B3442&gt;=Train_Start)*(B3442&lt;=Train_End)</f>
        <v>0</v>
      </c>
      <c r="T3442" s="84" t="n">
        <f aca="false">IF(AND(ISNUMBER(O3442),ISNUMBER(P3442)),Coef_A+Coef_B1*O3442+Coef_B2*P3442,"")</f>
        <v>19.4046348353786</v>
      </c>
      <c r="U3442" s="84" t="n">
        <f aca="false">IF(AND(R3442=1,ISNUMBER(T3442)),E3442-T3442,"")</f>
        <v>0.395365164621357</v>
      </c>
      <c r="V3442" s="84" t="n">
        <f aca="false">IF(ISNUMBER(T3442),T3442,-99)</f>
        <v>19.4046348353786</v>
      </c>
      <c r="W3442" s="84" t="n">
        <f aca="false">IF(ISNUMBER(U3442),ABS(U3442),"")</f>
        <v>0.395365164621357</v>
      </c>
    </row>
    <row r="3443" customFormat="false" ht="15" hidden="false" customHeight="false" outlineLevel="0" collapsed="false">
      <c r="A3443" s="57" t="n">
        <v>37087</v>
      </c>
      <c r="B3443" s="56" t="n">
        <v>2001</v>
      </c>
      <c r="C3443" s="56" t="n">
        <v>7</v>
      </c>
      <c r="D3443" s="56" t="n">
        <v>76</v>
      </c>
      <c r="E3443" s="56" t="n">
        <v>22.3</v>
      </c>
      <c r="F3443" s="56" t="n">
        <v>0</v>
      </c>
      <c r="G3443" s="56" t="n">
        <v>10.4</v>
      </c>
      <c r="H3443" s="56" t="n">
        <v>0</v>
      </c>
      <c r="I3443" s="56" t="n">
        <v>15.1</v>
      </c>
      <c r="J3443" s="56" t="n">
        <v>0</v>
      </c>
      <c r="K3443" s="56" t="n">
        <v>1014.9</v>
      </c>
      <c r="L3443" s="56" t="n">
        <v>0</v>
      </c>
      <c r="M3443" s="56" t="n">
        <v>64</v>
      </c>
      <c r="N3443" s="56" t="n">
        <v>8.3</v>
      </c>
      <c r="O3443" s="56" t="n">
        <f aca="false">IF(D3443=1,"",E3442)</f>
        <v>19.8</v>
      </c>
      <c r="P3443" s="56" t="n">
        <f aca="false">IF(OR(D3443=1,K3442=""),"",K3442)</f>
        <v>1006.5</v>
      </c>
      <c r="Q3443" s="56" t="n">
        <f aca="false">IF(OR(F3443&lt;&gt;0,AND(I3443&lt;&gt;"",E3443&lt;I3443)),1,0)</f>
        <v>0</v>
      </c>
      <c r="R3443" s="56" t="n">
        <f aca="false">IF(AND(D3443&gt;1,Q3443=0,ISNUMBER(O3443),ISNUMBER(P3443)),IF(Q3442=0,1,0),0)</f>
        <v>1</v>
      </c>
      <c r="S3443" s="56" t="n">
        <f aca="false">R3443*(B3443&gt;=Train_Start)*(B3443&lt;=Train_End)</f>
        <v>0</v>
      </c>
      <c r="T3443" s="84" t="n">
        <f aca="false">IF(AND(ISNUMBER(O3443),ISNUMBER(P3443)),Coef_A+Coef_B1*O3443+Coef_B2*P3443,"")</f>
        <v>19.8836903933506</v>
      </c>
      <c r="U3443" s="84" t="n">
        <f aca="false">IF(AND(R3443=1,ISNUMBER(T3443)),E3443-T3443,"")</f>
        <v>2.41630960664936</v>
      </c>
      <c r="V3443" s="84" t="n">
        <f aca="false">IF(ISNUMBER(T3443),T3443,-99)</f>
        <v>19.8836903933506</v>
      </c>
      <c r="W3443" s="84" t="n">
        <f aca="false">IF(ISNUMBER(U3443),ABS(U3443),"")</f>
        <v>2.41630960664936</v>
      </c>
    </row>
    <row r="3444" customFormat="false" ht="15" hidden="false" customHeight="false" outlineLevel="0" collapsed="false">
      <c r="A3444" s="57" t="n">
        <v>37088</v>
      </c>
      <c r="B3444" s="56" t="n">
        <v>2001</v>
      </c>
      <c r="C3444" s="56" t="n">
        <v>7</v>
      </c>
      <c r="D3444" s="56" t="n">
        <v>77</v>
      </c>
      <c r="E3444" s="56" t="n">
        <v>21.8</v>
      </c>
      <c r="F3444" s="56" t="n">
        <v>0</v>
      </c>
      <c r="G3444" s="56" t="n">
        <v>10.5</v>
      </c>
      <c r="H3444" s="56" t="n">
        <v>0</v>
      </c>
      <c r="I3444" s="56" t="n">
        <v>16.4</v>
      </c>
      <c r="J3444" s="56" t="n">
        <v>0</v>
      </c>
      <c r="K3444" s="56" t="n">
        <v>1015.6</v>
      </c>
      <c r="L3444" s="56" t="n">
        <v>0</v>
      </c>
      <c r="M3444" s="56" t="n">
        <v>55</v>
      </c>
      <c r="N3444" s="56" t="n">
        <v>12.8</v>
      </c>
      <c r="O3444" s="56" t="n">
        <f aca="false">IF(D3444=1,"",E3443)</f>
        <v>22.3</v>
      </c>
      <c r="P3444" s="56" t="n">
        <f aca="false">IF(OR(D3444=1,K3443=""),"",K3443)</f>
        <v>1014.9</v>
      </c>
      <c r="Q3444" s="56" t="n">
        <f aca="false">IF(OR(F3444&lt;&gt;0,AND(I3444&lt;&gt;"",E3444&lt;I3444)),1,0)</f>
        <v>0</v>
      </c>
      <c r="R3444" s="56" t="n">
        <f aca="false">IF(AND(D3444&gt;1,Q3444=0,ISNUMBER(O3444),ISNUMBER(P3444)),IF(Q3443=0,1,0),0)</f>
        <v>1</v>
      </c>
      <c r="S3444" s="56" t="n">
        <f aca="false">R3444*(B3444&gt;=Train_Start)*(B3444&lt;=Train_End)</f>
        <v>0</v>
      </c>
      <c r="T3444" s="84" t="n">
        <f aca="false">IF(AND(ISNUMBER(O3444),ISNUMBER(P3444)),Coef_A+Coef_B1*O3444+Coef_B2*P3444,"")</f>
        <v>22.1955454908828</v>
      </c>
      <c r="U3444" s="84" t="n">
        <f aca="false">IF(AND(R3444=1,ISNUMBER(T3444)),E3444-T3444,"")</f>
        <v>-0.395545490882796</v>
      </c>
      <c r="V3444" s="84" t="n">
        <f aca="false">IF(ISNUMBER(T3444),T3444,-99)</f>
        <v>22.1955454908828</v>
      </c>
      <c r="W3444" s="84" t="n">
        <f aca="false">IF(ISNUMBER(U3444),ABS(U3444),"")</f>
        <v>0.395545490882796</v>
      </c>
    </row>
    <row r="3445" customFormat="false" ht="15" hidden="false" customHeight="false" outlineLevel="0" collapsed="false">
      <c r="A3445" s="57" t="n">
        <v>37089</v>
      </c>
      <c r="B3445" s="56" t="n">
        <v>2001</v>
      </c>
      <c r="C3445" s="56" t="n">
        <v>7</v>
      </c>
      <c r="D3445" s="56" t="n">
        <v>78</v>
      </c>
      <c r="E3445" s="56" t="n">
        <v>20.8</v>
      </c>
      <c r="F3445" s="56" t="n">
        <v>0</v>
      </c>
      <c r="G3445" s="56" t="n">
        <v>11.6</v>
      </c>
      <c r="H3445" s="56" t="n">
        <v>0</v>
      </c>
      <c r="I3445" s="56" t="n">
        <v>16.7</v>
      </c>
      <c r="J3445" s="56" t="n">
        <v>0</v>
      </c>
      <c r="K3445" s="56" t="n">
        <v>1002.5</v>
      </c>
      <c r="L3445" s="56" t="n">
        <v>0</v>
      </c>
      <c r="M3445" s="56" t="n">
        <v>76</v>
      </c>
      <c r="N3445" s="56" t="n">
        <v>2.5</v>
      </c>
      <c r="O3445" s="56" t="n">
        <f aca="false">IF(D3445=1,"",E3444)</f>
        <v>21.8</v>
      </c>
      <c r="P3445" s="56" t="n">
        <f aca="false">IF(OR(D3445=1,K3444=""),"",K3444)</f>
        <v>1015.6</v>
      </c>
      <c r="Q3445" s="56" t="n">
        <f aca="false">IF(OR(F3445&lt;&gt;0,AND(I3445&lt;&gt;"",E3445&lt;I3445)),1,0)</f>
        <v>0</v>
      </c>
      <c r="R3445" s="56" t="n">
        <f aca="false">IF(AND(D3445&gt;1,Q3445=0,ISNUMBER(O3445),ISNUMBER(P3445)),IF(Q3444=0,1,0),0)</f>
        <v>1</v>
      </c>
      <c r="S3445" s="56" t="n">
        <f aca="false">R3445*(B3445&gt;=Train_Start)*(B3445&lt;=Train_End)</f>
        <v>0</v>
      </c>
      <c r="T3445" s="84" t="n">
        <f aca="false">IF(AND(ISNUMBER(O3445),ISNUMBER(P3445)),Coef_A+Coef_B1*O3445+Coef_B2*P3445,"")</f>
        <v>21.8078348206053</v>
      </c>
      <c r="U3445" s="84" t="n">
        <f aca="false">IF(AND(R3445=1,ISNUMBER(T3445)),E3445-T3445,"")</f>
        <v>-1.00783482060526</v>
      </c>
      <c r="V3445" s="84" t="n">
        <f aca="false">IF(ISNUMBER(T3445),T3445,-99)</f>
        <v>21.8078348206053</v>
      </c>
      <c r="W3445" s="84" t="n">
        <f aca="false">IF(ISNUMBER(U3445),ABS(U3445),"")</f>
        <v>1.00783482060526</v>
      </c>
    </row>
    <row r="3446" customFormat="false" ht="15" hidden="false" customHeight="false" outlineLevel="0" collapsed="false">
      <c r="A3446" s="57" t="n">
        <v>37090</v>
      </c>
      <c r="B3446" s="56" t="n">
        <v>2001</v>
      </c>
      <c r="C3446" s="56" t="n">
        <v>7</v>
      </c>
      <c r="D3446" s="56" t="n">
        <v>79</v>
      </c>
      <c r="E3446" s="56" t="n">
        <v>17.5</v>
      </c>
      <c r="F3446" s="56" t="n">
        <v>0</v>
      </c>
      <c r="G3446" s="56" t="n">
        <v>13.8</v>
      </c>
      <c r="H3446" s="56" t="n">
        <v>0</v>
      </c>
      <c r="I3446" s="56" t="n">
        <v>17.3</v>
      </c>
      <c r="J3446" s="56" t="n">
        <v>0</v>
      </c>
      <c r="K3446" s="56" t="n">
        <v>995.3</v>
      </c>
      <c r="L3446" s="56" t="n">
        <v>0</v>
      </c>
      <c r="M3446" s="56" t="n">
        <v>77</v>
      </c>
      <c r="N3446" s="56" t="n">
        <v>5.7</v>
      </c>
      <c r="O3446" s="56" t="n">
        <f aca="false">IF(D3446=1,"",E3445)</f>
        <v>20.8</v>
      </c>
      <c r="P3446" s="56" t="n">
        <f aca="false">IF(OR(D3446=1,K3445=""),"",K3445)</f>
        <v>1002.5</v>
      </c>
      <c r="Q3446" s="56" t="n">
        <f aca="false">IF(OR(F3446&lt;&gt;0,AND(I3446&lt;&gt;"",E3446&lt;I3446)),1,0)</f>
        <v>0</v>
      </c>
      <c r="R3446" s="56" t="n">
        <f aca="false">IF(AND(D3446&gt;1,Q3446=0,ISNUMBER(O3446),ISNUMBER(P3446)),IF(Q3445=0,1,0),0)</f>
        <v>1</v>
      </c>
      <c r="S3446" s="56" t="n">
        <f aca="false">R3446*(B3446&gt;=Train_Start)*(B3446&lt;=Train_End)</f>
        <v>0</v>
      </c>
      <c r="T3446" s="84" t="n">
        <f aca="false">IF(AND(ISNUMBER(O3446),ISNUMBER(P3446)),Coef_A+Coef_B1*O3446+Coef_B2*P3446,"")</f>
        <v>20.5775500078573</v>
      </c>
      <c r="U3446" s="84" t="n">
        <f aca="false">IF(AND(R3446=1,ISNUMBER(T3446)),E3446-T3446,"")</f>
        <v>-3.07755000785734</v>
      </c>
      <c r="V3446" s="84" t="n">
        <f aca="false">IF(ISNUMBER(T3446),T3446,-99)</f>
        <v>20.5775500078573</v>
      </c>
      <c r="W3446" s="84" t="n">
        <f aca="false">IF(ISNUMBER(U3446),ABS(U3446),"")</f>
        <v>3.07755000785734</v>
      </c>
    </row>
    <row r="3447" customFormat="false" ht="15" hidden="false" customHeight="false" outlineLevel="0" collapsed="false">
      <c r="A3447" s="57" t="n">
        <v>37091</v>
      </c>
      <c r="B3447" s="56" t="n">
        <v>2001</v>
      </c>
      <c r="C3447" s="56" t="n">
        <v>7</v>
      </c>
      <c r="D3447" s="56" t="n">
        <v>80</v>
      </c>
      <c r="E3447" s="56" t="n">
        <v>21.6</v>
      </c>
      <c r="F3447" s="56" t="n">
        <v>0</v>
      </c>
      <c r="G3447" s="56" t="n">
        <v>12.7</v>
      </c>
      <c r="H3447" s="56" t="n">
        <v>0</v>
      </c>
      <c r="I3447" s="56" t="n">
        <v>15.1</v>
      </c>
      <c r="J3447" s="56" t="n">
        <v>0</v>
      </c>
      <c r="K3447" s="56" t="n">
        <v>1005.6</v>
      </c>
      <c r="L3447" s="56" t="n">
        <v>0</v>
      </c>
      <c r="M3447" s="56" t="n">
        <v>79</v>
      </c>
      <c r="N3447" s="56" t="n">
        <v>0.2</v>
      </c>
      <c r="O3447" s="56" t="n">
        <f aca="false">IF(D3447=1,"",E3446)</f>
        <v>17.5</v>
      </c>
      <c r="P3447" s="56" t="n">
        <f aca="false">IF(OR(D3447=1,K3446=""),"",K3446)</f>
        <v>995.3</v>
      </c>
      <c r="Q3447" s="56" t="n">
        <f aca="false">IF(OR(F3447&lt;&gt;0,AND(I3447&lt;&gt;"",E3447&lt;I3447)),1,0)</f>
        <v>0</v>
      </c>
      <c r="R3447" s="56" t="n">
        <f aca="false">IF(AND(D3447&gt;1,Q3447=0,ISNUMBER(O3447),ISNUMBER(P3447)),IF(Q3446=0,1,0),0)</f>
        <v>1</v>
      </c>
      <c r="S3447" s="56" t="n">
        <f aca="false">R3447*(B3447&gt;=Train_Start)*(B3447&lt;=Train_End)</f>
        <v>0</v>
      </c>
      <c r="T3447" s="84" t="n">
        <f aca="false">IF(AND(ISNUMBER(O3447),ISNUMBER(P3447)),Coef_A+Coef_B1*O3447+Coef_B2*P3447,"")</f>
        <v>17.6478674294518</v>
      </c>
      <c r="U3447" s="84" t="n">
        <f aca="false">IF(AND(R3447=1,ISNUMBER(T3447)),E3447-T3447,"")</f>
        <v>3.95213257054816</v>
      </c>
      <c r="V3447" s="84" t="n">
        <f aca="false">IF(ISNUMBER(T3447),T3447,-99)</f>
        <v>17.6478674294518</v>
      </c>
      <c r="W3447" s="84" t="n">
        <f aca="false">IF(ISNUMBER(U3447),ABS(U3447),"")</f>
        <v>3.95213257054816</v>
      </c>
    </row>
    <row r="3448" customFormat="false" ht="15" hidden="false" customHeight="false" outlineLevel="0" collapsed="false">
      <c r="A3448" s="57" t="n">
        <v>37092</v>
      </c>
      <c r="B3448" s="56" t="n">
        <v>2001</v>
      </c>
      <c r="C3448" s="56" t="n">
        <v>7</v>
      </c>
      <c r="D3448" s="56" t="n">
        <v>81</v>
      </c>
      <c r="E3448" s="56" t="n">
        <v>22.4</v>
      </c>
      <c r="F3448" s="56" t="n">
        <v>0</v>
      </c>
      <c r="G3448" s="56" t="n">
        <v>10</v>
      </c>
      <c r="H3448" s="56" t="n">
        <v>0</v>
      </c>
      <c r="I3448" s="56" t="n">
        <v>15.8</v>
      </c>
      <c r="J3448" s="56" t="n">
        <v>0</v>
      </c>
      <c r="K3448" s="56" t="n">
        <v>1015.3</v>
      </c>
      <c r="L3448" s="56" t="n">
        <v>0</v>
      </c>
      <c r="M3448" s="56" t="n">
        <v>69</v>
      </c>
      <c r="N3448" s="56" t="n">
        <v>9.4</v>
      </c>
      <c r="O3448" s="56" t="n">
        <f aca="false">IF(D3448=1,"",E3447)</f>
        <v>21.6</v>
      </c>
      <c r="P3448" s="56" t="n">
        <f aca="false">IF(OR(D3448=1,K3447=""),"",K3447)</f>
        <v>1005.6</v>
      </c>
      <c r="Q3448" s="56" t="n">
        <f aca="false">IF(OR(F3448&lt;&gt;0,AND(I3448&lt;&gt;"",E3448&lt;I3448)),1,0)</f>
        <v>0</v>
      </c>
      <c r="R3448" s="56" t="n">
        <f aca="false">IF(AND(D3448&gt;1,Q3448=0,ISNUMBER(O3448),ISNUMBER(P3448)),IF(Q3447=0,1,0),0)</f>
        <v>1</v>
      </c>
      <c r="S3448" s="56" t="n">
        <f aca="false">R3448*(B3448&gt;=Train_Start)*(B3448&lt;=Train_End)</f>
        <v>0</v>
      </c>
      <c r="T3448" s="84" t="n">
        <f aca="false">IF(AND(ISNUMBER(O3448),ISNUMBER(P3448)),Coef_A+Coef_B1*O3448+Coef_B2*P3448,"")</f>
        <v>21.3302680356568</v>
      </c>
      <c r="U3448" s="84" t="n">
        <f aca="false">IF(AND(R3448=1,ISNUMBER(T3448)),E3448-T3448,"")</f>
        <v>1.06973196434316</v>
      </c>
      <c r="V3448" s="84" t="n">
        <f aca="false">IF(ISNUMBER(T3448),T3448,-99)</f>
        <v>21.3302680356568</v>
      </c>
      <c r="W3448" s="84" t="n">
        <f aca="false">IF(ISNUMBER(U3448),ABS(U3448),"")</f>
        <v>1.06973196434316</v>
      </c>
    </row>
    <row r="3449" customFormat="false" ht="15" hidden="false" customHeight="false" outlineLevel="0" collapsed="false">
      <c r="A3449" s="57" t="n">
        <v>37093</v>
      </c>
      <c r="B3449" s="56" t="n">
        <v>2001</v>
      </c>
      <c r="C3449" s="56" t="n">
        <v>7</v>
      </c>
      <c r="D3449" s="56" t="n">
        <v>82</v>
      </c>
      <c r="E3449" s="56" t="n">
        <v>20.5</v>
      </c>
      <c r="F3449" s="56" t="n">
        <v>0</v>
      </c>
      <c r="G3449" s="56" t="n">
        <v>13</v>
      </c>
      <c r="H3449" s="56" t="n">
        <v>0</v>
      </c>
      <c r="I3449" s="56" t="n">
        <v>17.7</v>
      </c>
      <c r="J3449" s="56" t="n">
        <v>0</v>
      </c>
      <c r="K3449" s="56" t="n">
        <v>1013.7</v>
      </c>
      <c r="L3449" s="56" t="n">
        <v>0</v>
      </c>
      <c r="M3449" s="56" t="n">
        <v>73</v>
      </c>
      <c r="N3449" s="56" t="n">
        <v>5.7</v>
      </c>
      <c r="O3449" s="56" t="n">
        <f aca="false">IF(D3449=1,"",E3448)</f>
        <v>22.4</v>
      </c>
      <c r="P3449" s="56" t="n">
        <f aca="false">IF(OR(D3449=1,K3448=""),"",K3448)</f>
        <v>1015.3</v>
      </c>
      <c r="Q3449" s="56" t="n">
        <f aca="false">IF(OR(F3449&lt;&gt;0,AND(I3449&lt;&gt;"",E3449&lt;I3449)),1,0)</f>
        <v>0</v>
      </c>
      <c r="R3449" s="56" t="n">
        <f aca="false">IF(AND(D3449&gt;1,Q3449=0,ISNUMBER(O3449),ISNUMBER(P3449)),IF(Q3448=0,1,0),0)</f>
        <v>1</v>
      </c>
      <c r="S3449" s="56" t="n">
        <f aca="false">R3449*(B3449&gt;=Train_Start)*(B3449&lt;=Train_End)</f>
        <v>0</v>
      </c>
      <c r="T3449" s="84" t="n">
        <f aca="false">IF(AND(ISNUMBER(O3449),ISNUMBER(P3449)),Coef_A+Coef_B1*O3449+Coef_B2*P3449,"")</f>
        <v>22.2900273680407</v>
      </c>
      <c r="U3449" s="84" t="n">
        <f aca="false">IF(AND(R3449=1,ISNUMBER(T3449)),E3449-T3449,"")</f>
        <v>-1.79002736804065</v>
      </c>
      <c r="V3449" s="84" t="n">
        <f aca="false">IF(ISNUMBER(T3449),T3449,-99)</f>
        <v>22.2900273680407</v>
      </c>
      <c r="W3449" s="84" t="n">
        <f aca="false">IF(ISNUMBER(U3449),ABS(U3449),"")</f>
        <v>1.79002736804065</v>
      </c>
    </row>
    <row r="3450" customFormat="false" ht="15" hidden="false" customHeight="false" outlineLevel="0" collapsed="false">
      <c r="A3450" s="57" t="n">
        <v>37094</v>
      </c>
      <c r="B3450" s="56" t="n">
        <v>2001</v>
      </c>
      <c r="C3450" s="56" t="n">
        <v>7</v>
      </c>
      <c r="D3450" s="56" t="n">
        <v>83</v>
      </c>
      <c r="E3450" s="56" t="n">
        <v>25.3</v>
      </c>
      <c r="F3450" s="56" t="n">
        <v>0</v>
      </c>
      <c r="G3450" s="56" t="n">
        <v>14.6</v>
      </c>
      <c r="H3450" s="56" t="n">
        <v>0</v>
      </c>
      <c r="I3450" s="56" t="n">
        <v>17.6</v>
      </c>
      <c r="J3450" s="56" t="n">
        <v>0</v>
      </c>
      <c r="K3450" s="56" t="n">
        <v>1017.1</v>
      </c>
      <c r="L3450" s="56" t="n">
        <v>0</v>
      </c>
      <c r="M3450" s="56" t="n">
        <v>79</v>
      </c>
      <c r="N3450" s="56" t="n">
        <v>0.2</v>
      </c>
      <c r="O3450" s="56" t="n">
        <f aca="false">IF(D3450=1,"",E3449)</f>
        <v>20.5</v>
      </c>
      <c r="P3450" s="56" t="n">
        <f aca="false">IF(OR(D3450=1,K3449=""),"",K3449)</f>
        <v>1013.7</v>
      </c>
      <c r="Q3450" s="56" t="n">
        <f aca="false">IF(OR(F3450&lt;&gt;0,AND(I3450&lt;&gt;"",E3450&lt;I3450)),1,0)</f>
        <v>0</v>
      </c>
      <c r="R3450" s="56" t="n">
        <f aca="false">IF(AND(D3450&gt;1,Q3450=0,ISNUMBER(O3450),ISNUMBER(P3450)),IF(Q3449=0,1,0),0)</f>
        <v>1</v>
      </c>
      <c r="S3450" s="56" t="n">
        <f aca="false">R3450*(B3450&gt;=Train_Start)*(B3450&lt;=Train_End)</f>
        <v>0</v>
      </c>
      <c r="T3450" s="84" t="n">
        <f aca="false">IF(AND(ISNUMBER(O3450),ISNUMBER(P3450)),Coef_A+Coef_B1*O3450+Coef_B2*P3450,"")</f>
        <v>20.6830910698452</v>
      </c>
      <c r="U3450" s="84" t="n">
        <f aca="false">IF(AND(R3450=1,ISNUMBER(T3450)),E3450-T3450,"")</f>
        <v>4.61690893015478</v>
      </c>
      <c r="V3450" s="84" t="n">
        <f aca="false">IF(ISNUMBER(T3450),T3450,-99)</f>
        <v>20.6830910698452</v>
      </c>
      <c r="W3450" s="84" t="n">
        <f aca="false">IF(ISNUMBER(U3450),ABS(U3450),"")</f>
        <v>4.61690893015478</v>
      </c>
    </row>
    <row r="3451" customFormat="false" ht="15" hidden="false" customHeight="false" outlineLevel="0" collapsed="false">
      <c r="A3451" s="57" t="n">
        <v>37095</v>
      </c>
      <c r="B3451" s="56" t="n">
        <v>2001</v>
      </c>
      <c r="C3451" s="56" t="n">
        <v>7</v>
      </c>
      <c r="D3451" s="56" t="n">
        <v>84</v>
      </c>
      <c r="E3451" s="56" t="n">
        <v>23.2</v>
      </c>
      <c r="F3451" s="56" t="n">
        <v>0</v>
      </c>
      <c r="G3451" s="56" t="n">
        <v>13</v>
      </c>
      <c r="H3451" s="56" t="n">
        <v>0</v>
      </c>
      <c r="I3451" s="56" t="n">
        <v>19.2</v>
      </c>
      <c r="J3451" s="56" t="n">
        <v>0</v>
      </c>
      <c r="K3451" s="56" t="n">
        <v>1018</v>
      </c>
      <c r="L3451" s="56" t="n">
        <v>0</v>
      </c>
      <c r="M3451" s="56" t="n">
        <v>64</v>
      </c>
      <c r="N3451" s="56" t="n">
        <v>13.5</v>
      </c>
      <c r="O3451" s="56" t="n">
        <f aca="false">IF(D3451=1,"",E3450)</f>
        <v>25.3</v>
      </c>
      <c r="P3451" s="56" t="n">
        <f aca="false">IF(OR(D3451=1,K3450=""),"",K3450)</f>
        <v>1017.1</v>
      </c>
      <c r="Q3451" s="56" t="n">
        <f aca="false">IF(OR(F3451&lt;&gt;0,AND(I3451&lt;&gt;"",E3451&lt;I3451)),1,0)</f>
        <v>0</v>
      </c>
      <c r="R3451" s="56" t="n">
        <f aca="false">IF(AND(D3451&gt;1,Q3451=0,ISNUMBER(O3451),ISNUMBER(P3451)),IF(Q3450=0,1,0),0)</f>
        <v>1</v>
      </c>
      <c r="S3451" s="56" t="n">
        <f aca="false">R3451*(B3451&gt;=Train_Start)*(B3451&lt;=Train_End)</f>
        <v>0</v>
      </c>
      <c r="T3451" s="84" t="n">
        <f aca="false">IF(AND(ISNUMBER(O3451),ISNUMBER(P3451)),Coef_A+Coef_B1*O3451+Coef_B2*P3451,"")</f>
        <v>24.7225768382055</v>
      </c>
      <c r="U3451" s="84" t="n">
        <f aca="false">IF(AND(R3451=1,ISNUMBER(T3451)),E3451-T3451,"")</f>
        <v>-1.52257683820555</v>
      </c>
      <c r="V3451" s="84" t="n">
        <f aca="false">IF(ISNUMBER(T3451),T3451,-99)</f>
        <v>24.7225768382055</v>
      </c>
      <c r="W3451" s="84" t="n">
        <f aca="false">IF(ISNUMBER(U3451),ABS(U3451),"")</f>
        <v>1.52257683820555</v>
      </c>
    </row>
    <row r="3452" customFormat="false" ht="15" hidden="false" customHeight="false" outlineLevel="0" collapsed="false">
      <c r="A3452" s="57" t="n">
        <v>37096</v>
      </c>
      <c r="B3452" s="56" t="n">
        <v>2001</v>
      </c>
      <c r="C3452" s="56" t="n">
        <v>7</v>
      </c>
      <c r="D3452" s="56" t="n">
        <v>85</v>
      </c>
      <c r="E3452" s="56" t="n">
        <v>26.3</v>
      </c>
      <c r="F3452" s="56" t="n">
        <v>0</v>
      </c>
      <c r="G3452" s="56" t="n">
        <v>12.6</v>
      </c>
      <c r="H3452" s="56" t="n">
        <v>0</v>
      </c>
      <c r="I3452" s="56" t="n">
        <v>17.9</v>
      </c>
      <c r="J3452" s="56" t="n">
        <v>0</v>
      </c>
      <c r="K3452" s="56" t="n">
        <v>1018.7</v>
      </c>
      <c r="L3452" s="56" t="n">
        <v>0</v>
      </c>
      <c r="M3452" s="56" t="n">
        <v>60</v>
      </c>
      <c r="N3452" s="56" t="n">
        <v>12.6</v>
      </c>
      <c r="O3452" s="56" t="n">
        <f aca="false">IF(D3452=1,"",E3451)</f>
        <v>23.2</v>
      </c>
      <c r="P3452" s="56" t="n">
        <f aca="false">IF(OR(D3452=1,K3451=""),"",K3451)</f>
        <v>1018</v>
      </c>
      <c r="Q3452" s="56" t="n">
        <f aca="false">IF(OR(F3452&lt;&gt;0,AND(I3452&lt;&gt;"",E3452&lt;I3452)),1,0)</f>
        <v>0</v>
      </c>
      <c r="R3452" s="56" t="n">
        <f aca="false">IF(AND(D3452&gt;1,Q3452=0,ISNUMBER(O3452),ISNUMBER(P3452)),IF(Q3451=0,1,0),0)</f>
        <v>1</v>
      </c>
      <c r="S3452" s="56" t="n">
        <f aca="false">R3452*(B3452&gt;=Train_Start)*(B3452&lt;=Train_End)</f>
        <v>0</v>
      </c>
      <c r="T3452" s="84" t="n">
        <f aca="false">IF(AND(ISNUMBER(O3452),ISNUMBER(P3452)),Coef_A+Coef_B1*O3452+Coef_B2*P3452,"")</f>
        <v>23.0301974379866</v>
      </c>
      <c r="U3452" s="84" t="n">
        <f aca="false">IF(AND(R3452=1,ISNUMBER(T3452)),E3452-T3452,"")</f>
        <v>3.26980256201345</v>
      </c>
      <c r="V3452" s="84" t="n">
        <f aca="false">IF(ISNUMBER(T3452),T3452,-99)</f>
        <v>23.0301974379866</v>
      </c>
      <c r="W3452" s="84" t="n">
        <f aca="false">IF(ISNUMBER(U3452),ABS(U3452),"")</f>
        <v>3.26980256201345</v>
      </c>
    </row>
    <row r="3453" customFormat="false" ht="15" hidden="false" customHeight="false" outlineLevel="0" collapsed="false">
      <c r="A3453" s="57" t="n">
        <v>37097</v>
      </c>
      <c r="B3453" s="56" t="n">
        <v>2001</v>
      </c>
      <c r="C3453" s="56" t="n">
        <v>7</v>
      </c>
      <c r="D3453" s="56" t="n">
        <v>86</v>
      </c>
      <c r="E3453" s="56" t="n">
        <v>28.7</v>
      </c>
      <c r="F3453" s="56" t="n">
        <v>0</v>
      </c>
      <c r="G3453" s="56" t="n">
        <v>14.2</v>
      </c>
      <c r="H3453" s="56" t="n">
        <v>0</v>
      </c>
      <c r="I3453" s="56" t="n">
        <v>20.2</v>
      </c>
      <c r="J3453" s="56" t="n">
        <v>0</v>
      </c>
      <c r="K3453" s="56" t="n">
        <v>1019.1</v>
      </c>
      <c r="L3453" s="56" t="n">
        <v>0</v>
      </c>
      <c r="M3453" s="56" t="n">
        <v>62</v>
      </c>
      <c r="N3453" s="56" t="n">
        <v>7.6</v>
      </c>
      <c r="O3453" s="56" t="n">
        <f aca="false">IF(D3453=1,"",E3452)</f>
        <v>26.3</v>
      </c>
      <c r="P3453" s="56" t="n">
        <f aca="false">IF(OR(D3453=1,K3452=""),"",K3452)</f>
        <v>1018.7</v>
      </c>
      <c r="Q3453" s="56" t="n">
        <f aca="false">IF(OR(F3453&lt;&gt;0,AND(I3453&lt;&gt;"",E3453&lt;I3453)),1,0)</f>
        <v>0</v>
      </c>
      <c r="R3453" s="56" t="n">
        <f aca="false">IF(AND(D3453&gt;1,Q3453=0,ISNUMBER(O3453),ISNUMBER(P3453)),IF(Q3452=0,1,0),0)</f>
        <v>1</v>
      </c>
      <c r="S3453" s="56" t="n">
        <f aca="false">R3453*(B3453&gt;=Train_Start)*(B3453&lt;=Train_End)</f>
        <v>0</v>
      </c>
      <c r="T3453" s="84" t="n">
        <f aca="false">IF(AND(ISNUMBER(O3453),ISNUMBER(P3453)),Coef_A+Coef_B1*O3453+Coef_B2*P3453,"")</f>
        <v>25.5921078626626</v>
      </c>
      <c r="U3453" s="84" t="n">
        <f aca="false">IF(AND(R3453=1,ISNUMBER(T3453)),E3453-T3453,"")</f>
        <v>3.10789213733741</v>
      </c>
      <c r="V3453" s="84" t="n">
        <f aca="false">IF(ISNUMBER(T3453),T3453,-99)</f>
        <v>25.5921078626626</v>
      </c>
      <c r="W3453" s="84" t="n">
        <f aca="false">IF(ISNUMBER(U3453),ABS(U3453),"")</f>
        <v>3.10789213733741</v>
      </c>
    </row>
    <row r="3454" customFormat="false" ht="15" hidden="false" customHeight="false" outlineLevel="0" collapsed="false">
      <c r="A3454" s="57" t="n">
        <v>37098</v>
      </c>
      <c r="B3454" s="56" t="n">
        <v>2001</v>
      </c>
      <c r="C3454" s="56" t="n">
        <v>7</v>
      </c>
      <c r="D3454" s="56" t="n">
        <v>87</v>
      </c>
      <c r="E3454" s="56" t="n">
        <v>29.3</v>
      </c>
      <c r="F3454" s="56" t="n">
        <v>0</v>
      </c>
      <c r="G3454" s="56" t="n">
        <v>13.8</v>
      </c>
      <c r="H3454" s="56" t="n">
        <v>0</v>
      </c>
      <c r="I3454" s="56" t="n">
        <v>21.2</v>
      </c>
      <c r="J3454" s="56" t="n">
        <v>0</v>
      </c>
      <c r="K3454" s="56" t="n">
        <v>1017.8</v>
      </c>
      <c r="L3454" s="56" t="n">
        <v>0</v>
      </c>
      <c r="M3454" s="56" t="n">
        <v>58</v>
      </c>
      <c r="N3454" s="56" t="n">
        <v>12.8</v>
      </c>
      <c r="O3454" s="56" t="n">
        <f aca="false">IF(D3454=1,"",E3453)</f>
        <v>28.7</v>
      </c>
      <c r="P3454" s="56" t="n">
        <f aca="false">IF(OR(D3454=1,K3453=""),"",K3453)</f>
        <v>1019.1</v>
      </c>
      <c r="Q3454" s="56" t="n">
        <f aca="false">IF(OR(F3454&lt;&gt;0,AND(I3454&lt;&gt;"",E3454&lt;I3454)),1,0)</f>
        <v>0</v>
      </c>
      <c r="R3454" s="56" t="n">
        <f aca="false">IF(AND(D3454&gt;1,Q3454=0,ISNUMBER(O3454),ISNUMBER(P3454)),IF(Q3453=0,1,0),0)</f>
        <v>1</v>
      </c>
      <c r="S3454" s="56" t="n">
        <f aca="false">R3454*(B3454&gt;=Train_Start)*(B3454&lt;=Train_End)</f>
        <v>0</v>
      </c>
      <c r="T3454" s="84" t="n">
        <f aca="false">IF(AND(ISNUMBER(O3454),ISNUMBER(P3454)),Coef_A+Coef_B1*O3454+Coef_B2*P3454,"")</f>
        <v>27.5710698838186</v>
      </c>
      <c r="U3454" s="84" t="n">
        <f aca="false">IF(AND(R3454=1,ISNUMBER(T3454)),E3454-T3454,"")</f>
        <v>1.72893011618144</v>
      </c>
      <c r="V3454" s="84" t="n">
        <f aca="false">IF(ISNUMBER(T3454),T3454,-99)</f>
        <v>27.5710698838186</v>
      </c>
      <c r="W3454" s="84" t="n">
        <f aca="false">IF(ISNUMBER(U3454),ABS(U3454),"")</f>
        <v>1.72893011618144</v>
      </c>
    </row>
    <row r="3455" customFormat="false" ht="15" hidden="false" customHeight="false" outlineLevel="0" collapsed="false">
      <c r="A3455" s="57" t="n">
        <v>37099</v>
      </c>
      <c r="B3455" s="56" t="n">
        <v>2001</v>
      </c>
      <c r="C3455" s="56" t="n">
        <v>7</v>
      </c>
      <c r="D3455" s="56" t="n">
        <v>88</v>
      </c>
      <c r="E3455" s="56" t="n">
        <v>31.6</v>
      </c>
      <c r="F3455" s="56" t="n">
        <v>0</v>
      </c>
      <c r="G3455" s="56" t="n">
        <v>16.5</v>
      </c>
      <c r="H3455" s="56" t="n">
        <v>0</v>
      </c>
      <c r="I3455" s="56" t="n">
        <v>22.9</v>
      </c>
      <c r="J3455" s="56" t="n">
        <v>0</v>
      </c>
      <c r="K3455" s="56" t="n">
        <v>1017.6</v>
      </c>
      <c r="L3455" s="56" t="n">
        <v>0</v>
      </c>
      <c r="M3455" s="56" t="n">
        <v>56</v>
      </c>
      <c r="N3455" s="56" t="n">
        <v>12.7</v>
      </c>
      <c r="O3455" s="56" t="n">
        <f aca="false">IF(D3455=1,"",E3454)</f>
        <v>29.3</v>
      </c>
      <c r="P3455" s="56" t="n">
        <f aca="false">IF(OR(D3455=1,K3454=""),"",K3454)</f>
        <v>1017.8</v>
      </c>
      <c r="Q3455" s="56" t="n">
        <f aca="false">IF(OR(F3455&lt;&gt;0,AND(I3455&lt;&gt;"",E3455&lt;I3455)),1,0)</f>
        <v>0</v>
      </c>
      <c r="R3455" s="56" t="n">
        <f aca="false">IF(AND(D3455&gt;1,Q3455=0,ISNUMBER(O3455),ISNUMBER(P3455)),IF(Q3454=0,1,0),0)</f>
        <v>1</v>
      </c>
      <c r="S3455" s="56" t="n">
        <f aca="false">R3455*(B3455&gt;=Train_Start)*(B3455&lt;=Train_End)</f>
        <v>0</v>
      </c>
      <c r="T3455" s="84" t="n">
        <f aca="false">IF(AND(ISNUMBER(O3455),ISNUMBER(P3455)),Coef_A+Coef_B1*O3455+Coef_B2*P3455,"")</f>
        <v>28.02189253662</v>
      </c>
      <c r="U3455" s="84" t="n">
        <f aca="false">IF(AND(R3455=1,ISNUMBER(T3455)),E3455-T3455,"")</f>
        <v>3.57810746338003</v>
      </c>
      <c r="V3455" s="84" t="n">
        <f aca="false">IF(ISNUMBER(T3455),T3455,-99)</f>
        <v>28.02189253662</v>
      </c>
      <c r="W3455" s="84" t="n">
        <f aca="false">IF(ISNUMBER(U3455),ABS(U3455),"")</f>
        <v>3.57810746338003</v>
      </c>
    </row>
    <row r="3456" customFormat="false" ht="15" hidden="false" customHeight="false" outlineLevel="0" collapsed="false">
      <c r="A3456" s="57" t="n">
        <v>37100</v>
      </c>
      <c r="B3456" s="56" t="n">
        <v>2001</v>
      </c>
      <c r="C3456" s="56" t="n">
        <v>7</v>
      </c>
      <c r="D3456" s="56" t="n">
        <v>89</v>
      </c>
      <c r="E3456" s="56" t="n">
        <v>31.9</v>
      </c>
      <c r="F3456" s="56" t="n">
        <v>0</v>
      </c>
      <c r="G3456" s="56" t="n">
        <v>17.5</v>
      </c>
      <c r="H3456" s="56" t="n">
        <v>0</v>
      </c>
      <c r="I3456" s="56" t="n">
        <v>24.6</v>
      </c>
      <c r="J3456" s="56" t="n">
        <v>0</v>
      </c>
      <c r="K3456" s="56" t="n">
        <v>1021.5</v>
      </c>
      <c r="L3456" s="56" t="n">
        <v>0</v>
      </c>
      <c r="M3456" s="56" t="n">
        <v>53</v>
      </c>
      <c r="N3456" s="56" t="n">
        <v>10.5</v>
      </c>
      <c r="O3456" s="56" t="n">
        <f aca="false">IF(D3456=1,"",E3455)</f>
        <v>31.6</v>
      </c>
      <c r="P3456" s="56" t="n">
        <f aca="false">IF(OR(D3456=1,K3455=""),"",K3455)</f>
        <v>1017.6</v>
      </c>
      <c r="Q3456" s="56" t="n">
        <f aca="false">IF(OR(F3456&lt;&gt;0,AND(I3456&lt;&gt;"",E3456&lt;I3456)),1,0)</f>
        <v>0</v>
      </c>
      <c r="R3456" s="56" t="n">
        <f aca="false">IF(AND(D3456&gt;1,Q3456=0,ISNUMBER(O3456),ISNUMBER(P3456)),IF(Q3455=0,1,0),0)</f>
        <v>1</v>
      </c>
      <c r="S3456" s="56" t="n">
        <f aca="false">R3456*(B3456&gt;=Train_Start)*(B3456&lt;=Train_End)</f>
        <v>0</v>
      </c>
      <c r="T3456" s="84" t="n">
        <f aca="false">IF(AND(ISNUMBER(O3456),ISNUMBER(P3456)),Coef_A+Coef_B1*O3456+Coef_B2*P3456,"")</f>
        <v>29.9000987016913</v>
      </c>
      <c r="U3456" s="84" t="n">
        <f aca="false">IF(AND(R3456=1,ISNUMBER(T3456)),E3456-T3456,"")</f>
        <v>1.99990129830871</v>
      </c>
      <c r="V3456" s="84" t="n">
        <f aca="false">IF(ISNUMBER(T3456),T3456,-99)</f>
        <v>29.9000987016913</v>
      </c>
      <c r="W3456" s="84" t="n">
        <f aca="false">IF(ISNUMBER(U3456),ABS(U3456),"")</f>
        <v>1.99990129830871</v>
      </c>
    </row>
    <row r="3457" customFormat="false" ht="15" hidden="false" customHeight="false" outlineLevel="0" collapsed="false">
      <c r="A3457" s="57" t="n">
        <v>37101</v>
      </c>
      <c r="B3457" s="56" t="n">
        <v>2001</v>
      </c>
      <c r="C3457" s="56" t="n">
        <v>7</v>
      </c>
      <c r="D3457" s="56" t="n">
        <v>90</v>
      </c>
      <c r="E3457" s="56" t="n">
        <v>28.9</v>
      </c>
      <c r="F3457" s="56" t="n">
        <v>0</v>
      </c>
      <c r="G3457" s="56" t="n">
        <v>19.1</v>
      </c>
      <c r="H3457" s="56" t="n">
        <v>0</v>
      </c>
      <c r="I3457" s="56" t="n">
        <v>25.5</v>
      </c>
      <c r="J3457" s="56" t="n">
        <v>0</v>
      </c>
      <c r="K3457" s="56" t="n">
        <v>1022.6</v>
      </c>
      <c r="L3457" s="56" t="n">
        <v>0</v>
      </c>
      <c r="M3457" s="56" t="n">
        <v>51</v>
      </c>
      <c r="N3457" s="56" t="n">
        <v>8.8</v>
      </c>
      <c r="O3457" s="56" t="n">
        <f aca="false">IF(D3457=1,"",E3456)</f>
        <v>31.9</v>
      </c>
      <c r="P3457" s="56" t="n">
        <f aca="false">IF(OR(D3457=1,K3456=""),"",K3456)</f>
        <v>1021.5</v>
      </c>
      <c r="Q3457" s="56" t="n">
        <f aca="false">IF(OR(F3457&lt;&gt;0,AND(I3457&lt;&gt;"",E3457&lt;I3457)),1,0)</f>
        <v>0</v>
      </c>
      <c r="R3457" s="56" t="n">
        <f aca="false">IF(AND(D3457&gt;1,Q3457=0,ISNUMBER(O3457),ISNUMBER(P3457)),IF(Q3456=0,1,0),0)</f>
        <v>1</v>
      </c>
      <c r="S3457" s="56" t="n">
        <f aca="false">R3457*(B3457&gt;=Train_Start)*(B3457&lt;=Train_End)</f>
        <v>0</v>
      </c>
      <c r="T3457" s="84" t="n">
        <f aca="false">IF(AND(ISNUMBER(O3457),ISNUMBER(P3457)),Coef_A+Coef_B1*O3457+Coef_B2*P3457,"")</f>
        <v>30.2682430486766</v>
      </c>
      <c r="U3457" s="84" t="n">
        <f aca="false">IF(AND(R3457=1,ISNUMBER(T3457)),E3457-T3457,"")</f>
        <v>-1.36824304867664</v>
      </c>
      <c r="V3457" s="84" t="n">
        <f aca="false">IF(ISNUMBER(T3457),T3457,-99)</f>
        <v>30.2682430486766</v>
      </c>
      <c r="W3457" s="84" t="n">
        <f aca="false">IF(ISNUMBER(U3457),ABS(U3457),"")</f>
        <v>1.36824304867664</v>
      </c>
    </row>
    <row r="3458" customFormat="false" ht="15" hidden="false" customHeight="false" outlineLevel="0" collapsed="false">
      <c r="A3458" s="57" t="n">
        <v>37102</v>
      </c>
      <c r="B3458" s="56" t="n">
        <v>2001</v>
      </c>
      <c r="C3458" s="56" t="n">
        <v>7</v>
      </c>
      <c r="D3458" s="56" t="n">
        <v>91</v>
      </c>
      <c r="E3458" s="56" t="n">
        <v>26.6</v>
      </c>
      <c r="F3458" s="56" t="n">
        <v>0</v>
      </c>
      <c r="G3458" s="56" t="n">
        <v>18.1</v>
      </c>
      <c r="H3458" s="56" t="n">
        <v>0</v>
      </c>
      <c r="I3458" s="56" t="n">
        <v>23.5</v>
      </c>
      <c r="J3458" s="56" t="n">
        <v>0</v>
      </c>
      <c r="K3458" s="56" t="n">
        <v>1022.8</v>
      </c>
      <c r="L3458" s="56" t="n">
        <v>0</v>
      </c>
      <c r="M3458" s="56" t="n">
        <v>62</v>
      </c>
      <c r="N3458" s="56" t="n">
        <v>12</v>
      </c>
      <c r="O3458" s="56" t="n">
        <f aca="false">IF(D3458=1,"",E3457)</f>
        <v>28.9</v>
      </c>
      <c r="P3458" s="56" t="n">
        <f aca="false">IF(OR(D3458=1,K3457=""),"",K3457)</f>
        <v>1022.6</v>
      </c>
      <c r="Q3458" s="56" t="n">
        <f aca="false">IF(OR(F3458&lt;&gt;0,AND(I3458&lt;&gt;"",E3458&lt;I3458)),1,0)</f>
        <v>0</v>
      </c>
      <c r="R3458" s="56" t="n">
        <f aca="false">IF(AND(D3458&gt;1,Q3458=0,ISNUMBER(O3458),ISNUMBER(P3458)),IF(Q3457=0,1,0),0)</f>
        <v>1</v>
      </c>
      <c r="S3458" s="56" t="n">
        <f aca="false">R3458*(B3458&gt;=Train_Start)*(B3458&lt;=Train_End)</f>
        <v>0</v>
      </c>
      <c r="T3458" s="84" t="n">
        <f aca="false">IF(AND(ISNUMBER(O3458),ISNUMBER(P3458)),Coef_A+Coef_B1*O3458+Coef_B2*P3458,"")</f>
        <v>27.8447323536461</v>
      </c>
      <c r="U3458" s="84" t="n">
        <f aca="false">IF(AND(R3458=1,ISNUMBER(T3458)),E3458-T3458,"")</f>
        <v>-1.24473235364606</v>
      </c>
      <c r="V3458" s="84" t="n">
        <f aca="false">IF(ISNUMBER(T3458),T3458,-99)</f>
        <v>27.8447323536461</v>
      </c>
      <c r="W3458" s="84" t="n">
        <f aca="false">IF(ISNUMBER(U3458),ABS(U3458),"")</f>
        <v>1.24473235364606</v>
      </c>
    </row>
    <row r="3459" customFormat="false" ht="15" hidden="false" customHeight="false" outlineLevel="0" collapsed="false">
      <c r="A3459" s="57" t="n">
        <v>37103</v>
      </c>
      <c r="B3459" s="56" t="n">
        <v>2001</v>
      </c>
      <c r="C3459" s="56" t="n">
        <v>7</v>
      </c>
      <c r="D3459" s="56" t="n">
        <v>92</v>
      </c>
      <c r="E3459" s="56" t="n">
        <v>26.7</v>
      </c>
      <c r="F3459" s="56" t="n">
        <v>0</v>
      </c>
      <c r="G3459" s="56" t="n">
        <v>16.6</v>
      </c>
      <c r="H3459" s="56" t="n">
        <v>0</v>
      </c>
      <c r="I3459" s="56" t="n">
        <v>21.6</v>
      </c>
      <c r="J3459" s="56" t="n">
        <v>0</v>
      </c>
      <c r="K3459" s="56" t="n">
        <v>1023.4</v>
      </c>
      <c r="L3459" s="56" t="n">
        <v>0</v>
      </c>
      <c r="M3459" s="56" t="n">
        <v>67</v>
      </c>
      <c r="N3459" s="56" t="n">
        <v>9.5</v>
      </c>
      <c r="O3459" s="56" t="n">
        <f aca="false">IF(D3459=1,"",E3458)</f>
        <v>26.6</v>
      </c>
      <c r="P3459" s="56" t="n">
        <f aca="false">IF(OR(D3459=1,K3458=""),"",K3458)</f>
        <v>1022.8</v>
      </c>
      <c r="Q3459" s="56" t="n">
        <f aca="false">IF(OR(F3459&lt;&gt;0,AND(I3459&lt;&gt;"",E3459&lt;I3459)),1,0)</f>
        <v>0</v>
      </c>
      <c r="R3459" s="56" t="n">
        <f aca="false">IF(AND(D3459&gt;1,Q3459=0,ISNUMBER(O3459),ISNUMBER(P3459)),IF(Q3458=0,1,0),0)</f>
        <v>1</v>
      </c>
      <c r="S3459" s="56" t="n">
        <f aca="false">R3459*(B3459&gt;=Train_Start)*(B3459&lt;=Train_End)</f>
        <v>0</v>
      </c>
      <c r="T3459" s="84" t="n">
        <f aca="false">IF(AND(ISNUMBER(O3459),ISNUMBER(P3459)),Coef_A+Coef_B1*O3459+Coef_B2*P3459,"")</f>
        <v>25.9665261885747</v>
      </c>
      <c r="U3459" s="84" t="n">
        <f aca="false">IF(AND(R3459=1,ISNUMBER(T3459)),E3459-T3459,"")</f>
        <v>0.73347381142526</v>
      </c>
      <c r="V3459" s="84" t="n">
        <f aca="false">IF(ISNUMBER(T3459),T3459,-99)</f>
        <v>25.9665261885747</v>
      </c>
      <c r="W3459" s="84" t="n">
        <f aca="false">IF(ISNUMBER(U3459),ABS(U3459),"")</f>
        <v>0.73347381142526</v>
      </c>
    </row>
    <row r="3460" customFormat="false" ht="15" hidden="false" customHeight="false" outlineLevel="0" collapsed="false">
      <c r="A3460" s="57" t="n">
        <v>37104</v>
      </c>
      <c r="B3460" s="56" t="n">
        <v>2001</v>
      </c>
      <c r="C3460" s="56" t="n">
        <v>8</v>
      </c>
      <c r="D3460" s="56" t="n">
        <v>93</v>
      </c>
      <c r="E3460" s="56" t="n">
        <v>21.2</v>
      </c>
      <c r="F3460" s="56" t="n">
        <v>1</v>
      </c>
      <c r="G3460" s="56" t="n">
        <v>16.9</v>
      </c>
      <c r="H3460" s="56" t="n">
        <v>0</v>
      </c>
      <c r="I3460" s="56" t="n">
        <v>21.8</v>
      </c>
      <c r="J3460" s="56" t="n">
        <v>1</v>
      </c>
      <c r="K3460" s="56" t="n">
        <v>1024.1</v>
      </c>
      <c r="L3460" s="56" t="n">
        <v>0</v>
      </c>
      <c r="M3460" s="56" t="n">
        <v>56</v>
      </c>
      <c r="N3460" s="56" t="n">
        <v>8.9</v>
      </c>
      <c r="O3460" s="56" t="n">
        <f aca="false">IF(D3460=1,"",E3459)</f>
        <v>26.7</v>
      </c>
      <c r="P3460" s="56" t="n">
        <f aca="false">IF(OR(D3460=1,K3459=""),"",K3459)</f>
        <v>1023.4</v>
      </c>
      <c r="Q3460" s="56" t="n">
        <f aca="false">IF(OR(F3460&lt;&gt;0,AND(I3460&lt;&gt;"",E3460&lt;I3460)),1,0)</f>
        <v>1</v>
      </c>
      <c r="R3460" s="56" t="n">
        <f aca="false">IF(AND(D3460&gt;1,Q3460=0,ISNUMBER(O3460),ISNUMBER(P3460)),IF(Q3459=0,1,0),0)</f>
        <v>0</v>
      </c>
      <c r="S3460" s="56" t="n">
        <f aca="false">R3460*(B3460&gt;=Train_Start)*(B3460&lt;=Train_End)</f>
        <v>0</v>
      </c>
      <c r="T3460" s="84" t="n">
        <f aca="false">IF(AND(ISNUMBER(O3460),ISNUMBER(P3460)),Coef_A+Coef_B1*O3460+Coef_B2*P3460,"")</f>
        <v>26.0672820446594</v>
      </c>
      <c r="U3460" s="84" t="str">
        <f aca="false">IF(AND(R3460=1,ISNUMBER(T3460)),E3460-T3460,"")</f>
        <v/>
      </c>
      <c r="V3460" s="84" t="n">
        <f aca="false">IF(ISNUMBER(T3460),T3460,-99)</f>
        <v>26.0672820446594</v>
      </c>
      <c r="W3460" s="84" t="str">
        <f aca="false">IF(ISNUMBER(U3460),ABS(U3460),"")</f>
        <v/>
      </c>
    </row>
    <row r="3461" customFormat="false" ht="15" hidden="false" customHeight="false" outlineLevel="0" collapsed="false">
      <c r="A3461" s="57" t="n">
        <v>37105</v>
      </c>
      <c r="B3461" s="56" t="n">
        <v>2001</v>
      </c>
      <c r="C3461" s="56" t="n">
        <v>8</v>
      </c>
      <c r="D3461" s="56" t="n">
        <v>94</v>
      </c>
      <c r="E3461" s="56" t="n">
        <v>23.9</v>
      </c>
      <c r="F3461" s="56" t="n">
        <v>0</v>
      </c>
      <c r="G3461" s="56" t="n">
        <v>14.5</v>
      </c>
      <c r="H3461" s="56" t="n">
        <v>0</v>
      </c>
      <c r="I3461" s="56" t="n">
        <v>17.8</v>
      </c>
      <c r="J3461" s="56" t="n">
        <v>0</v>
      </c>
      <c r="K3461" s="56" t="n">
        <v>1011.7</v>
      </c>
      <c r="L3461" s="56" t="n">
        <v>0</v>
      </c>
      <c r="M3461" s="56" t="n">
        <v>86</v>
      </c>
      <c r="N3461" s="56" t="n">
        <v>0</v>
      </c>
      <c r="O3461" s="56" t="n">
        <f aca="false">IF(D3461=1,"",E3460)</f>
        <v>21.2</v>
      </c>
      <c r="P3461" s="56" t="n">
        <f aca="false">IF(OR(D3461=1,K3460=""),"",K3460)</f>
        <v>1024.1</v>
      </c>
      <c r="Q3461" s="56" t="n">
        <f aca="false">IF(OR(F3461&lt;&gt;0,AND(I3461&lt;&gt;"",E3461&lt;I3461)),1,0)</f>
        <v>0</v>
      </c>
      <c r="R3461" s="56" t="n">
        <f aca="false">IF(AND(D3461&gt;1,Q3461=0,ISNUMBER(O3461),ISNUMBER(P3461)),IF(Q3460=0,1,0),0)</f>
        <v>0</v>
      </c>
      <c r="S3461" s="56" t="n">
        <f aca="false">R3461*(B3461&gt;=Train_Start)*(B3461&lt;=Train_End)</f>
        <v>0</v>
      </c>
      <c r="T3461" s="84" t="n">
        <f aca="false">IF(AND(ISNUMBER(O3461),ISNUMBER(P3461)),Coef_A+Coef_B1*O3461+Coef_B2*P3461,"")</f>
        <v>21.5828754091686</v>
      </c>
      <c r="U3461" s="84" t="str">
        <f aca="false">IF(AND(R3461=1,ISNUMBER(T3461)),E3461-T3461,"")</f>
        <v/>
      </c>
      <c r="V3461" s="84" t="n">
        <f aca="false">IF(ISNUMBER(T3461),T3461,-99)</f>
        <v>21.5828754091686</v>
      </c>
      <c r="W3461" s="84" t="str">
        <f aca="false">IF(ISNUMBER(U3461),ABS(U3461),"")</f>
        <v/>
      </c>
    </row>
    <row r="3462" customFormat="false" ht="15" hidden="false" customHeight="false" outlineLevel="0" collapsed="false">
      <c r="A3462" s="57" t="n">
        <v>37106</v>
      </c>
      <c r="B3462" s="56" t="n">
        <v>2001</v>
      </c>
      <c r="C3462" s="56" t="n">
        <v>8</v>
      </c>
      <c r="D3462" s="56" t="n">
        <v>95</v>
      </c>
      <c r="E3462" s="56" t="n">
        <v>22.8</v>
      </c>
      <c r="F3462" s="56" t="n">
        <v>0</v>
      </c>
      <c r="G3462" s="56" t="n">
        <v>14.9</v>
      </c>
      <c r="H3462" s="56" t="n">
        <v>0</v>
      </c>
      <c r="I3462" s="56" t="n">
        <v>19.4</v>
      </c>
      <c r="J3462" s="56" t="n">
        <v>0</v>
      </c>
      <c r="K3462" s="56" t="n">
        <v>1010.2</v>
      </c>
      <c r="L3462" s="56" t="n">
        <v>0</v>
      </c>
      <c r="M3462" s="56" t="n">
        <v>78</v>
      </c>
      <c r="N3462" s="56" t="n">
        <v>5.3</v>
      </c>
      <c r="O3462" s="56" t="n">
        <f aca="false">IF(D3462=1,"",E3461)</f>
        <v>23.9</v>
      </c>
      <c r="P3462" s="56" t="n">
        <f aca="false">IF(OR(D3462=1,K3461=""),"",K3461)</f>
        <v>1011.7</v>
      </c>
      <c r="Q3462" s="56" t="n">
        <f aca="false">IF(OR(F3462&lt;&gt;0,AND(I3462&lt;&gt;"",E3462&lt;I3462)),1,0)</f>
        <v>0</v>
      </c>
      <c r="R3462" s="56" t="n">
        <f aca="false">IF(AND(D3462&gt;1,Q3462=0,ISNUMBER(O3462),ISNUMBER(P3462)),IF(Q3461=0,1,0),0)</f>
        <v>1</v>
      </c>
      <c r="S3462" s="56" t="n">
        <f aca="false">R3462*(B3462&gt;=Train_Start)*(B3462&lt;=Train_End)</f>
        <v>0</v>
      </c>
      <c r="T3462" s="84" t="n">
        <f aca="false">IF(AND(ISNUMBER(O3462),ISNUMBER(P3462)),Coef_A+Coef_B1*O3462+Coef_B2*P3462,"")</f>
        <v>23.4061045369223</v>
      </c>
      <c r="U3462" s="84" t="n">
        <f aca="false">IF(AND(R3462=1,ISNUMBER(T3462)),E3462-T3462,"")</f>
        <v>-0.606104536922281</v>
      </c>
      <c r="V3462" s="84" t="n">
        <f aca="false">IF(ISNUMBER(T3462),T3462,-99)</f>
        <v>23.4061045369223</v>
      </c>
      <c r="W3462" s="84" t="n">
        <f aca="false">IF(ISNUMBER(U3462),ABS(U3462),"")</f>
        <v>0.606104536922281</v>
      </c>
    </row>
    <row r="3463" customFormat="false" ht="15" hidden="false" customHeight="false" outlineLevel="0" collapsed="false">
      <c r="A3463" s="57" t="n">
        <v>37107</v>
      </c>
      <c r="B3463" s="56" t="n">
        <v>2001</v>
      </c>
      <c r="C3463" s="56" t="n">
        <v>8</v>
      </c>
      <c r="D3463" s="56" t="n">
        <v>96</v>
      </c>
      <c r="E3463" s="56" t="n">
        <v>23.2</v>
      </c>
      <c r="F3463" s="56" t="n">
        <v>0</v>
      </c>
      <c r="G3463" s="56" t="n">
        <v>11.4</v>
      </c>
      <c r="H3463" s="56" t="n">
        <v>0</v>
      </c>
      <c r="I3463" s="56" t="n">
        <v>17.1</v>
      </c>
      <c r="J3463" s="56" t="n">
        <v>0</v>
      </c>
      <c r="K3463" s="56" t="n">
        <v>1014.5</v>
      </c>
      <c r="L3463" s="56" t="n">
        <v>0</v>
      </c>
      <c r="M3463" s="56" t="n">
        <v>75</v>
      </c>
      <c r="N3463" s="56" t="n">
        <v>7.3</v>
      </c>
      <c r="O3463" s="56" t="n">
        <f aca="false">IF(D3463=1,"",E3462)</f>
        <v>22.8</v>
      </c>
      <c r="P3463" s="56" t="n">
        <f aca="false">IF(OR(D3463=1,K3462=""),"",K3462)</f>
        <v>1010.2</v>
      </c>
      <c r="Q3463" s="56" t="n">
        <f aca="false">IF(OR(F3463&lt;&gt;0,AND(I3463&lt;&gt;"",E3463&lt;I3463)),1,0)</f>
        <v>0</v>
      </c>
      <c r="R3463" s="56" t="n">
        <f aca="false">IF(AND(D3463&gt;1,Q3463=0,ISNUMBER(O3463),ISNUMBER(P3463)),IF(Q3462=0,1,0),0)</f>
        <v>1</v>
      </c>
      <c r="S3463" s="56" t="n">
        <f aca="false">R3463*(B3463&gt;=Train_Start)*(B3463&lt;=Train_End)</f>
        <v>0</v>
      </c>
      <c r="T3463" s="84" t="n">
        <f aca="false">IF(AND(ISNUMBER(O3463),ISNUMBER(P3463)),Coef_A+Coef_B1*O3463+Coef_B2*P3463,"")</f>
        <v>22.4577765826244</v>
      </c>
      <c r="U3463" s="84" t="n">
        <f aca="false">IF(AND(R3463=1,ISNUMBER(T3463)),E3463-T3463,"")</f>
        <v>0.742223417375623</v>
      </c>
      <c r="V3463" s="84" t="n">
        <f aca="false">IF(ISNUMBER(T3463),T3463,-99)</f>
        <v>22.4577765826244</v>
      </c>
      <c r="W3463" s="84" t="n">
        <f aca="false">IF(ISNUMBER(U3463),ABS(U3463),"")</f>
        <v>0.742223417375623</v>
      </c>
    </row>
    <row r="3464" customFormat="false" ht="15" hidden="false" customHeight="false" outlineLevel="0" collapsed="false">
      <c r="A3464" s="57" t="n">
        <v>37108</v>
      </c>
      <c r="B3464" s="56" t="n">
        <v>2001</v>
      </c>
      <c r="C3464" s="56" t="n">
        <v>8</v>
      </c>
      <c r="D3464" s="56" t="n">
        <v>97</v>
      </c>
      <c r="E3464" s="56" t="n">
        <v>24.7</v>
      </c>
      <c r="F3464" s="56" t="n">
        <v>0</v>
      </c>
      <c r="G3464" s="56" t="n">
        <v>12.2</v>
      </c>
      <c r="H3464" s="56" t="n">
        <v>0</v>
      </c>
      <c r="I3464" s="56" t="n">
        <v>17.7</v>
      </c>
      <c r="J3464" s="56" t="n">
        <v>0</v>
      </c>
      <c r="K3464" s="56" t="n">
        <v>1015.1</v>
      </c>
      <c r="L3464" s="56" t="n">
        <v>0</v>
      </c>
      <c r="M3464" s="56" t="n">
        <v>69</v>
      </c>
      <c r="N3464" s="56" t="n">
        <v>12.7</v>
      </c>
      <c r="O3464" s="56" t="n">
        <f aca="false">IF(D3464=1,"",E3463)</f>
        <v>23.2</v>
      </c>
      <c r="P3464" s="56" t="n">
        <f aca="false">IF(OR(D3464=1,K3463=""),"",K3463)</f>
        <v>1014.5</v>
      </c>
      <c r="Q3464" s="56" t="n">
        <f aca="false">IF(OR(F3464&lt;&gt;0,AND(I3464&lt;&gt;"",E3464&lt;I3464)),1,0)</f>
        <v>0</v>
      </c>
      <c r="R3464" s="56" t="n">
        <f aca="false">IF(AND(D3464&gt;1,Q3464=0,ISNUMBER(O3464),ISNUMBER(P3464)),IF(Q3463=0,1,0),0)</f>
        <v>1</v>
      </c>
      <c r="S3464" s="56" t="n">
        <f aca="false">R3464*(B3464&gt;=Train_Start)*(B3464&lt;=Train_End)</f>
        <v>0</v>
      </c>
      <c r="T3464" s="84" t="n">
        <f aca="false">IF(AND(ISNUMBER(O3464),ISNUMBER(P3464)),Coef_A+Coef_B1*O3464+Coef_B2*P3464,"")</f>
        <v>22.9204028067676</v>
      </c>
      <c r="U3464" s="84" t="n">
        <f aca="false">IF(AND(R3464=1,ISNUMBER(T3464)),E3464-T3464,"")</f>
        <v>1.77959719323241</v>
      </c>
      <c r="V3464" s="84" t="n">
        <f aca="false">IF(ISNUMBER(T3464),T3464,-99)</f>
        <v>22.9204028067676</v>
      </c>
      <c r="W3464" s="84" t="n">
        <f aca="false">IF(ISNUMBER(U3464),ABS(U3464),"")</f>
        <v>1.77959719323241</v>
      </c>
    </row>
    <row r="3465" customFormat="false" ht="15" hidden="false" customHeight="false" outlineLevel="0" collapsed="false">
      <c r="A3465" s="57" t="n">
        <v>37109</v>
      </c>
      <c r="B3465" s="56" t="n">
        <v>2001</v>
      </c>
      <c r="C3465" s="56" t="n">
        <v>8</v>
      </c>
      <c r="D3465" s="56" t="n">
        <v>98</v>
      </c>
      <c r="E3465" s="56" t="n">
        <v>20.6</v>
      </c>
      <c r="F3465" s="56" t="n">
        <v>0</v>
      </c>
      <c r="G3465" s="56" t="n">
        <v>15.7</v>
      </c>
      <c r="H3465" s="56" t="n">
        <v>0</v>
      </c>
      <c r="I3465" s="56" t="n">
        <v>20.2</v>
      </c>
      <c r="J3465" s="56" t="n">
        <v>0</v>
      </c>
      <c r="K3465" s="56" t="n">
        <v>1010.2</v>
      </c>
      <c r="L3465" s="56" t="n">
        <v>0</v>
      </c>
      <c r="M3465" s="56" t="n">
        <v>75</v>
      </c>
      <c r="N3465" s="56" t="n">
        <v>3.9</v>
      </c>
      <c r="O3465" s="56" t="n">
        <f aca="false">IF(D3465=1,"",E3464)</f>
        <v>24.7</v>
      </c>
      <c r="P3465" s="56" t="n">
        <f aca="false">IF(OR(D3465=1,K3464=""),"",K3464)</f>
        <v>1015.1</v>
      </c>
      <c r="Q3465" s="56" t="n">
        <f aca="false">IF(OR(F3465&lt;&gt;0,AND(I3465&lt;&gt;"",E3465&lt;I3465)),1,0)</f>
        <v>0</v>
      </c>
      <c r="R3465" s="56" t="n">
        <f aca="false">IF(AND(D3465&gt;1,Q3465=0,ISNUMBER(O3465),ISNUMBER(P3465)),IF(Q3464=0,1,0),0)</f>
        <v>1</v>
      </c>
      <c r="S3465" s="56" t="n">
        <f aca="false">R3465*(B3465&gt;=Train_Start)*(B3465&lt;=Train_End)</f>
        <v>0</v>
      </c>
      <c r="T3465" s="84" t="n">
        <f aca="false">IF(AND(ISNUMBER(O3465),ISNUMBER(P3465)),Coef_A+Coef_B1*O3465+Coef_B2*P3465,"")</f>
        <v>24.168233533112</v>
      </c>
      <c r="U3465" s="84" t="n">
        <f aca="false">IF(AND(R3465=1,ISNUMBER(T3465)),E3465-T3465,"")</f>
        <v>-3.56823353311197</v>
      </c>
      <c r="V3465" s="84" t="n">
        <f aca="false">IF(ISNUMBER(T3465),T3465,-99)</f>
        <v>24.168233533112</v>
      </c>
      <c r="W3465" s="84" t="n">
        <f aca="false">IF(ISNUMBER(U3465),ABS(U3465),"")</f>
        <v>3.56823353311197</v>
      </c>
    </row>
    <row r="3466" customFormat="false" ht="15" hidden="false" customHeight="false" outlineLevel="0" collapsed="false">
      <c r="A3466" s="57" t="n">
        <v>37110</v>
      </c>
      <c r="B3466" s="56" t="n">
        <v>2001</v>
      </c>
      <c r="C3466" s="56" t="n">
        <v>8</v>
      </c>
      <c r="D3466" s="56" t="n">
        <v>99</v>
      </c>
      <c r="E3466" s="56" t="n">
        <v>21.5</v>
      </c>
      <c r="F3466" s="56" t="n">
        <v>0</v>
      </c>
      <c r="G3466" s="56" t="n">
        <v>14</v>
      </c>
      <c r="H3466" s="56" t="n">
        <v>0</v>
      </c>
      <c r="I3466" s="56" t="n">
        <v>17.3</v>
      </c>
      <c r="J3466" s="56" t="n">
        <v>0</v>
      </c>
      <c r="K3466" s="56" t="n">
        <v>1004.8</v>
      </c>
      <c r="L3466" s="56" t="n">
        <v>0</v>
      </c>
      <c r="M3466" s="56" t="n">
        <v>77</v>
      </c>
      <c r="N3466" s="56" t="n">
        <v>1.3</v>
      </c>
      <c r="O3466" s="56" t="n">
        <f aca="false">IF(D3466=1,"",E3465)</f>
        <v>20.6</v>
      </c>
      <c r="P3466" s="56" t="n">
        <f aca="false">IF(OR(D3466=1,K3465=""),"",K3465)</f>
        <v>1010.2</v>
      </c>
      <c r="Q3466" s="56" t="n">
        <f aca="false">IF(OR(F3466&lt;&gt;0,AND(I3466&lt;&gt;"",E3466&lt;I3466)),1,0)</f>
        <v>0</v>
      </c>
      <c r="R3466" s="56" t="n">
        <f aca="false">IF(AND(D3466&gt;1,Q3466=0,ISNUMBER(O3466),ISNUMBER(P3466)),IF(Q3465=0,1,0),0)</f>
        <v>1</v>
      </c>
      <c r="S3466" s="56" t="n">
        <f aca="false">R3466*(B3466&gt;=Train_Start)*(B3466&lt;=Train_End)</f>
        <v>0</v>
      </c>
      <c r="T3466" s="84" t="n">
        <f aca="false">IF(AND(ISNUMBER(O3466),ISNUMBER(P3466)),Coef_A+Coef_B1*O3466+Coef_B2*P3466,"")</f>
        <v>20.6552303579305</v>
      </c>
      <c r="U3466" s="84" t="n">
        <f aca="false">IF(AND(R3466=1,ISNUMBER(T3466)),E3466-T3466,"")</f>
        <v>0.844769642069469</v>
      </c>
      <c r="V3466" s="84" t="n">
        <f aca="false">IF(ISNUMBER(T3466),T3466,-99)</f>
        <v>20.6552303579305</v>
      </c>
      <c r="W3466" s="84" t="n">
        <f aca="false">IF(ISNUMBER(U3466),ABS(U3466),"")</f>
        <v>0.844769642069469</v>
      </c>
    </row>
    <row r="3467" customFormat="false" ht="15" hidden="false" customHeight="false" outlineLevel="0" collapsed="false">
      <c r="A3467" s="57" t="n">
        <v>37111</v>
      </c>
      <c r="B3467" s="56" t="n">
        <v>2001</v>
      </c>
      <c r="C3467" s="56" t="n">
        <v>8</v>
      </c>
      <c r="D3467" s="56" t="n">
        <v>100</v>
      </c>
      <c r="E3467" s="56" t="n">
        <v>17.5</v>
      </c>
      <c r="F3467" s="56" t="n">
        <v>1</v>
      </c>
      <c r="G3467" s="56" t="n">
        <v>14.2</v>
      </c>
      <c r="H3467" s="56" t="n">
        <v>0</v>
      </c>
      <c r="I3467" s="56" t="n">
        <v>17.8</v>
      </c>
      <c r="J3467" s="56" t="n">
        <v>1</v>
      </c>
      <c r="K3467" s="56" t="n">
        <v>1003.4</v>
      </c>
      <c r="L3467" s="56" t="n">
        <v>0</v>
      </c>
      <c r="M3467" s="56" t="n">
        <v>68</v>
      </c>
      <c r="N3467" s="56" t="n">
        <v>9.5</v>
      </c>
      <c r="O3467" s="56" t="n">
        <f aca="false">IF(D3467=1,"",E3466)</f>
        <v>21.5</v>
      </c>
      <c r="P3467" s="56" t="n">
        <f aca="false">IF(OR(D3467=1,K3466=""),"",K3466)</f>
        <v>1004.8</v>
      </c>
      <c r="Q3467" s="56" t="n">
        <f aca="false">IF(OR(F3467&lt;&gt;0,AND(I3467&lt;&gt;"",E3467&lt;I3467)),1,0)</f>
        <v>1</v>
      </c>
      <c r="R3467" s="56" t="n">
        <f aca="false">IF(AND(D3467&gt;1,Q3467=0,ISNUMBER(O3467),ISNUMBER(P3467)),IF(Q3466=0,1,0),0)</f>
        <v>0</v>
      </c>
      <c r="S3467" s="56" t="n">
        <f aca="false">R3467*(B3467&gt;=Train_Start)*(B3467&lt;=Train_End)</f>
        <v>0</v>
      </c>
      <c r="T3467" s="84" t="n">
        <f aca="false">IF(AND(ISNUMBER(O3467),ISNUMBER(P3467)),Coef_A+Coef_B1*O3467+Coef_B2*P3467,"")</f>
        <v>21.2232382006454</v>
      </c>
      <c r="U3467" s="84" t="str">
        <f aca="false">IF(AND(R3467=1,ISNUMBER(T3467)),E3467-T3467,"")</f>
        <v/>
      </c>
      <c r="V3467" s="84" t="n">
        <f aca="false">IF(ISNUMBER(T3467),T3467,-99)</f>
        <v>21.2232382006454</v>
      </c>
      <c r="W3467" s="84" t="str">
        <f aca="false">IF(ISNUMBER(U3467),ABS(U3467),"")</f>
        <v/>
      </c>
    </row>
    <row r="3468" customFormat="false" ht="15" hidden="false" customHeight="false" outlineLevel="0" collapsed="false">
      <c r="A3468" s="57" t="n">
        <v>37112</v>
      </c>
      <c r="B3468" s="56" t="n">
        <v>2001</v>
      </c>
      <c r="C3468" s="56" t="n">
        <v>8</v>
      </c>
      <c r="D3468" s="56" t="n">
        <v>101</v>
      </c>
      <c r="E3468" s="56" t="n">
        <v>20.5</v>
      </c>
      <c r="F3468" s="56" t="n">
        <v>0</v>
      </c>
      <c r="G3468" s="56" t="n">
        <v>12</v>
      </c>
      <c r="H3468" s="56" t="n">
        <v>0</v>
      </c>
      <c r="I3468" s="56" t="n">
        <v>14.8</v>
      </c>
      <c r="J3468" s="56" t="n">
        <v>0</v>
      </c>
      <c r="K3468" s="56" t="n">
        <v>1011.6</v>
      </c>
      <c r="L3468" s="56" t="n">
        <v>0</v>
      </c>
      <c r="M3468" s="56" t="n">
        <v>88</v>
      </c>
      <c r="N3468" s="56" t="n">
        <v>2.9</v>
      </c>
      <c r="O3468" s="56" t="n">
        <f aca="false">IF(D3468=1,"",E3467)</f>
        <v>17.5</v>
      </c>
      <c r="P3468" s="56" t="n">
        <f aca="false">IF(OR(D3468=1,K3467=""),"",K3467)</f>
        <v>1003.4</v>
      </c>
      <c r="Q3468" s="56" t="n">
        <f aca="false">IF(OR(F3468&lt;&gt;0,AND(I3468&lt;&gt;"",E3468&lt;I3468)),1,0)</f>
        <v>0</v>
      </c>
      <c r="R3468" s="56" t="n">
        <f aca="false">IF(AND(D3468&gt;1,Q3468=0,ISNUMBER(O3468),ISNUMBER(P3468)),IF(Q3467=0,1,0),0)</f>
        <v>0</v>
      </c>
      <c r="S3468" s="56" t="n">
        <f aca="false">R3468*(B3468&gt;=Train_Start)*(B3468&lt;=Train_End)</f>
        <v>0</v>
      </c>
      <c r="T3468" s="84" t="n">
        <f aca="false">IF(AND(ISNUMBER(O3468),ISNUMBER(P3468)),Coef_A+Coef_B1*O3468+Coef_B2*P3468,"")</f>
        <v>17.9019635759872</v>
      </c>
      <c r="U3468" s="84" t="str">
        <f aca="false">IF(AND(R3468=1,ISNUMBER(T3468)),E3468-T3468,"")</f>
        <v/>
      </c>
      <c r="V3468" s="84" t="n">
        <f aca="false">IF(ISNUMBER(T3468),T3468,-99)</f>
        <v>17.9019635759872</v>
      </c>
      <c r="W3468" s="84" t="str">
        <f aca="false">IF(ISNUMBER(U3468),ABS(U3468),"")</f>
        <v/>
      </c>
    </row>
    <row r="3469" customFormat="false" ht="15" hidden="false" customHeight="false" outlineLevel="0" collapsed="false">
      <c r="A3469" s="57" t="n">
        <v>37113</v>
      </c>
      <c r="B3469" s="56" t="n">
        <v>2001</v>
      </c>
      <c r="C3469" s="56" t="n">
        <v>8</v>
      </c>
      <c r="D3469" s="56" t="n">
        <v>102</v>
      </c>
      <c r="E3469" s="56" t="n">
        <v>21.9</v>
      </c>
      <c r="F3469" s="56" t="n">
        <v>0</v>
      </c>
      <c r="G3469" s="56" t="n">
        <v>9.4</v>
      </c>
      <c r="H3469" s="56" t="n">
        <v>0</v>
      </c>
      <c r="I3469" s="56" t="n">
        <v>15</v>
      </c>
      <c r="J3469" s="56" t="n">
        <v>0</v>
      </c>
      <c r="K3469" s="56" t="n">
        <v>1023.8</v>
      </c>
      <c r="L3469" s="56" t="n">
        <v>0</v>
      </c>
      <c r="M3469" s="56" t="n">
        <v>66</v>
      </c>
      <c r="N3469" s="56" t="n">
        <v>11</v>
      </c>
      <c r="O3469" s="56" t="n">
        <f aca="false">IF(D3469=1,"",E3468)</f>
        <v>20.5</v>
      </c>
      <c r="P3469" s="56" t="n">
        <f aca="false">IF(OR(D3469=1,K3468=""),"",K3468)</f>
        <v>1011.6</v>
      </c>
      <c r="Q3469" s="56" t="n">
        <f aca="false">IF(OR(F3469&lt;&gt;0,AND(I3469&lt;&gt;"",E3469&lt;I3469)),1,0)</f>
        <v>0</v>
      </c>
      <c r="R3469" s="56" t="n">
        <f aca="false">IF(AND(D3469&gt;1,Q3469=0,ISNUMBER(O3469),ISNUMBER(P3469)),IF(Q3468=0,1,0),0)</f>
        <v>1</v>
      </c>
      <c r="S3469" s="56" t="n">
        <f aca="false">R3469*(B3469&gt;=Train_Start)*(B3469&lt;=Train_End)</f>
        <v>0</v>
      </c>
      <c r="T3469" s="84" t="n">
        <f aca="false">IF(AND(ISNUMBER(O3469),ISNUMBER(P3469)),Coef_A+Coef_B1*O3469+Coef_B2*P3469,"")</f>
        <v>20.6172142911138</v>
      </c>
      <c r="U3469" s="84" t="n">
        <f aca="false">IF(AND(R3469=1,ISNUMBER(T3469)),E3469-T3469,"")</f>
        <v>1.28278570888615</v>
      </c>
      <c r="V3469" s="84" t="n">
        <f aca="false">IF(ISNUMBER(T3469),T3469,-99)</f>
        <v>20.6172142911138</v>
      </c>
      <c r="W3469" s="84" t="n">
        <f aca="false">IF(ISNUMBER(U3469),ABS(U3469),"")</f>
        <v>1.28278570888615</v>
      </c>
    </row>
    <row r="3470" customFormat="false" ht="15" hidden="false" customHeight="false" outlineLevel="0" collapsed="false">
      <c r="A3470" s="57" t="n">
        <v>37114</v>
      </c>
      <c r="B3470" s="56" t="n">
        <v>2001</v>
      </c>
      <c r="C3470" s="56" t="n">
        <v>8</v>
      </c>
      <c r="D3470" s="56" t="n">
        <v>103</v>
      </c>
      <c r="E3470" s="56" t="n">
        <v>20.1</v>
      </c>
      <c r="F3470" s="56" t="n">
        <v>0</v>
      </c>
      <c r="G3470" s="56" t="n">
        <v>10.4</v>
      </c>
      <c r="H3470" s="56" t="n">
        <v>0</v>
      </c>
      <c r="I3470" s="56" t="n">
        <v>16.2</v>
      </c>
      <c r="J3470" s="56" t="n">
        <v>0</v>
      </c>
      <c r="K3470" s="56" t="n">
        <v>1025</v>
      </c>
      <c r="L3470" s="56" t="n">
        <v>0</v>
      </c>
      <c r="M3470" s="56" t="n">
        <v>72</v>
      </c>
      <c r="N3470" s="56" t="n">
        <v>3.4</v>
      </c>
      <c r="O3470" s="56" t="n">
        <f aca="false">IF(D3470=1,"",E3469)</f>
        <v>21.9</v>
      </c>
      <c r="P3470" s="56" t="n">
        <f aca="false">IF(OR(D3470=1,K3469=""),"",K3469)</f>
        <v>1023.8</v>
      </c>
      <c r="Q3470" s="56" t="n">
        <f aca="false">IF(OR(F3470&lt;&gt;0,AND(I3470&lt;&gt;"",E3470&lt;I3470)),1,0)</f>
        <v>0</v>
      </c>
      <c r="R3470" s="56" t="n">
        <f aca="false">IF(AND(D3470&gt;1,Q3470=0,ISNUMBER(O3470),ISNUMBER(P3470)),IF(Q3469=0,1,0),0)</f>
        <v>1</v>
      </c>
      <c r="S3470" s="56" t="n">
        <f aca="false">R3470*(B3470&gt;=Train_Start)*(B3470&lt;=Train_End)</f>
        <v>0</v>
      </c>
      <c r="T3470" s="84" t="n">
        <f aca="false">IF(AND(ISNUMBER(O3470),ISNUMBER(P3470)),Coef_A+Coef_B1*O3470+Coef_B2*P3470,"")</f>
        <v>22.1470018759082</v>
      </c>
      <c r="U3470" s="84" t="n">
        <f aca="false">IF(AND(R3470=1,ISNUMBER(T3470)),E3470-T3470,"")</f>
        <v>-2.04700187590824</v>
      </c>
      <c r="V3470" s="84" t="n">
        <f aca="false">IF(ISNUMBER(T3470),T3470,-99)</f>
        <v>22.1470018759082</v>
      </c>
      <c r="W3470" s="84" t="n">
        <f aca="false">IF(ISNUMBER(U3470),ABS(U3470),"")</f>
        <v>2.04700187590824</v>
      </c>
    </row>
    <row r="3471" customFormat="false" ht="15" hidden="false" customHeight="false" outlineLevel="0" collapsed="false">
      <c r="A3471" s="57" t="n">
        <v>37115</v>
      </c>
      <c r="B3471" s="56" t="n">
        <v>2001</v>
      </c>
      <c r="C3471" s="56" t="n">
        <v>8</v>
      </c>
      <c r="D3471" s="56" t="n">
        <v>104</v>
      </c>
      <c r="E3471" s="56" t="n">
        <v>26.3</v>
      </c>
      <c r="F3471" s="56" t="n">
        <v>0</v>
      </c>
      <c r="G3471" s="56" t="n">
        <v>15.7</v>
      </c>
      <c r="H3471" s="56" t="n">
        <v>0</v>
      </c>
      <c r="I3471" s="56" t="n">
        <v>17.9</v>
      </c>
      <c r="J3471" s="56" t="n">
        <v>0</v>
      </c>
      <c r="K3471" s="56" t="n">
        <v>1017</v>
      </c>
      <c r="L3471" s="56" t="n">
        <v>0</v>
      </c>
      <c r="M3471" s="56" t="n">
        <v>83</v>
      </c>
      <c r="N3471" s="56" t="n">
        <v>0.1</v>
      </c>
      <c r="O3471" s="56" t="n">
        <f aca="false">IF(D3471=1,"",E3470)</f>
        <v>20.1</v>
      </c>
      <c r="P3471" s="56" t="n">
        <f aca="false">IF(OR(D3471=1,K3470=""),"",K3470)</f>
        <v>1025</v>
      </c>
      <c r="Q3471" s="56" t="n">
        <f aca="false">IF(OR(F3471&lt;&gt;0,AND(I3471&lt;&gt;"",E3471&lt;I3471)),1,0)</f>
        <v>0</v>
      </c>
      <c r="R3471" s="56" t="n">
        <f aca="false">IF(AND(D3471&gt;1,Q3471=0,ISNUMBER(O3471),ISNUMBER(P3471)),IF(Q3470=0,1,0),0)</f>
        <v>1</v>
      </c>
      <c r="S3471" s="56" t="n">
        <f aca="false">R3471*(B3471&gt;=Train_Start)*(B3471&lt;=Train_End)</f>
        <v>0</v>
      </c>
      <c r="T3471" s="84" t="n">
        <f aca="false">IF(AND(ISNUMBER(O3471),ISNUMBER(P3471)),Coef_A+Coef_B1*O3471+Coef_B2*P3471,"")</f>
        <v>20.7098352019922</v>
      </c>
      <c r="U3471" s="84" t="n">
        <f aca="false">IF(AND(R3471=1,ISNUMBER(T3471)),E3471-T3471,"")</f>
        <v>5.59016479800776</v>
      </c>
      <c r="V3471" s="84" t="n">
        <f aca="false">IF(ISNUMBER(T3471),T3471,-99)</f>
        <v>20.7098352019922</v>
      </c>
      <c r="W3471" s="84" t="n">
        <f aca="false">IF(ISNUMBER(U3471),ABS(U3471),"")</f>
        <v>5.59016479800776</v>
      </c>
    </row>
    <row r="3472" customFormat="false" ht="15" hidden="false" customHeight="false" outlineLevel="0" collapsed="false">
      <c r="A3472" s="57" t="n">
        <v>37116</v>
      </c>
      <c r="B3472" s="56" t="n">
        <v>2001</v>
      </c>
      <c r="C3472" s="56" t="n">
        <v>8</v>
      </c>
      <c r="D3472" s="56" t="n">
        <v>105</v>
      </c>
      <c r="E3472" s="56" t="n">
        <v>27.4</v>
      </c>
      <c r="F3472" s="56" t="n">
        <v>0</v>
      </c>
      <c r="G3472" s="56" t="n">
        <v>17</v>
      </c>
      <c r="H3472" s="56" t="n">
        <v>0</v>
      </c>
      <c r="I3472" s="56" t="n">
        <v>21.6</v>
      </c>
      <c r="J3472" s="56" t="n">
        <v>0</v>
      </c>
      <c r="K3472" s="56" t="n">
        <v>1013.3</v>
      </c>
      <c r="L3472" s="56" t="n">
        <v>0</v>
      </c>
      <c r="M3472" s="56" t="n">
        <v>77</v>
      </c>
      <c r="N3472" s="56" t="n">
        <v>4.1</v>
      </c>
      <c r="O3472" s="56" t="n">
        <f aca="false">IF(D3472=1,"",E3471)</f>
        <v>26.3</v>
      </c>
      <c r="P3472" s="56" t="n">
        <f aca="false">IF(OR(D3472=1,K3471=""),"",K3471)</f>
        <v>1017</v>
      </c>
      <c r="Q3472" s="56" t="n">
        <f aca="false">IF(OR(F3472&lt;&gt;0,AND(I3472&lt;&gt;"",E3472&lt;I3472)),1,0)</f>
        <v>0</v>
      </c>
      <c r="R3472" s="56" t="n">
        <f aca="false">IF(AND(D3472&gt;1,Q3472=0,ISNUMBER(O3472),ISNUMBER(P3472)),IF(Q3471=0,1,0),0)</f>
        <v>1</v>
      </c>
      <c r="S3472" s="56" t="n">
        <f aca="false">R3472*(B3472&gt;=Train_Start)*(B3472&lt;=Train_End)</f>
        <v>0</v>
      </c>
      <c r="T3472" s="84" t="n">
        <f aca="false">IF(AND(ISNUMBER(O3472),ISNUMBER(P3472)),Coef_A+Coef_B1*O3472+Coef_B2*P3472,"")</f>
        <v>25.5387790417848</v>
      </c>
      <c r="U3472" s="84" t="n">
        <f aca="false">IF(AND(R3472=1,ISNUMBER(T3472)),E3472-T3472,"")</f>
        <v>1.86122095821519</v>
      </c>
      <c r="V3472" s="84" t="n">
        <f aca="false">IF(ISNUMBER(T3472),T3472,-99)</f>
        <v>25.5387790417848</v>
      </c>
      <c r="W3472" s="84" t="n">
        <f aca="false">IF(ISNUMBER(U3472),ABS(U3472),"")</f>
        <v>1.86122095821519</v>
      </c>
    </row>
    <row r="3473" customFormat="false" ht="15" hidden="false" customHeight="false" outlineLevel="0" collapsed="false">
      <c r="A3473" s="57" t="n">
        <v>37117</v>
      </c>
      <c r="B3473" s="56" t="n">
        <v>2001</v>
      </c>
      <c r="C3473" s="56" t="n">
        <v>8</v>
      </c>
      <c r="D3473" s="56" t="n">
        <v>106</v>
      </c>
      <c r="E3473" s="56" t="n">
        <v>30.1</v>
      </c>
      <c r="F3473" s="56" t="n">
        <v>0</v>
      </c>
      <c r="G3473" s="56" t="n">
        <v>17</v>
      </c>
      <c r="H3473" s="56" t="n">
        <v>0</v>
      </c>
      <c r="I3473" s="56" t="n">
        <v>22.2</v>
      </c>
      <c r="J3473" s="56" t="n">
        <v>0</v>
      </c>
      <c r="K3473" s="56" t="n">
        <v>1013.3</v>
      </c>
      <c r="L3473" s="56" t="n">
        <v>0</v>
      </c>
      <c r="M3473" s="56" t="n">
        <v>69</v>
      </c>
      <c r="N3473" s="56" t="n">
        <v>10.4</v>
      </c>
      <c r="O3473" s="56" t="n">
        <f aca="false">IF(D3473=1,"",E3472)</f>
        <v>27.4</v>
      </c>
      <c r="P3473" s="56" t="n">
        <f aca="false">IF(OR(D3473=1,K3472=""),"",K3472)</f>
        <v>1013.3</v>
      </c>
      <c r="Q3473" s="56" t="n">
        <f aca="false">IF(OR(F3473&lt;&gt;0,AND(I3473&lt;&gt;"",E3473&lt;I3473)),1,0)</f>
        <v>0</v>
      </c>
      <c r="R3473" s="56" t="n">
        <f aca="false">IF(AND(D3473&gt;1,Q3473=0,ISNUMBER(O3473),ISNUMBER(P3473)),IF(Q3472=0,1,0),0)</f>
        <v>1</v>
      </c>
      <c r="S3473" s="56" t="n">
        <f aca="false">R3473*(B3473&gt;=Train_Start)*(B3473&lt;=Train_End)</f>
        <v>0</v>
      </c>
      <c r="T3473" s="84" t="n">
        <f aca="false">IF(AND(ISNUMBER(O3473),ISNUMBER(P3473)),Coef_A+Coef_B1*O3473+Coef_B2*P3473,"")</f>
        <v>26.323983543986</v>
      </c>
      <c r="U3473" s="84" t="n">
        <f aca="false">IF(AND(R3473=1,ISNUMBER(T3473)),E3473-T3473,"")</f>
        <v>3.77601645601404</v>
      </c>
      <c r="V3473" s="84" t="n">
        <f aca="false">IF(ISNUMBER(T3473),T3473,-99)</f>
        <v>26.323983543986</v>
      </c>
      <c r="W3473" s="84" t="n">
        <f aca="false">IF(ISNUMBER(U3473),ABS(U3473),"")</f>
        <v>3.77601645601404</v>
      </c>
    </row>
    <row r="3474" customFormat="false" ht="15" hidden="false" customHeight="false" outlineLevel="0" collapsed="false">
      <c r="A3474" s="57" t="n">
        <v>37118</v>
      </c>
      <c r="B3474" s="56" t="n">
        <v>2001</v>
      </c>
      <c r="C3474" s="56" t="n">
        <v>8</v>
      </c>
      <c r="D3474" s="56" t="n">
        <v>107</v>
      </c>
      <c r="E3474" s="56" t="n">
        <v>23.9</v>
      </c>
      <c r="F3474" s="56" t="n">
        <v>1</v>
      </c>
      <c r="G3474" s="56" t="n">
        <v>18.7</v>
      </c>
      <c r="H3474" s="56" t="n">
        <v>0</v>
      </c>
      <c r="I3474" s="56" t="n">
        <v>24.4</v>
      </c>
      <c r="J3474" s="56" t="n">
        <v>1</v>
      </c>
      <c r="K3474" s="56" t="n">
        <v>1010.4</v>
      </c>
      <c r="L3474" s="56" t="n">
        <v>0</v>
      </c>
      <c r="M3474" s="56" t="n">
        <v>63</v>
      </c>
      <c r="N3474" s="56" t="n">
        <v>9.1</v>
      </c>
      <c r="O3474" s="56" t="n">
        <f aca="false">IF(D3474=1,"",E3473)</f>
        <v>30.1</v>
      </c>
      <c r="P3474" s="56" t="n">
        <f aca="false">IF(OR(D3474=1,K3473=""),"",K3473)</f>
        <v>1013.3</v>
      </c>
      <c r="Q3474" s="56" t="n">
        <f aca="false">IF(OR(F3474&lt;&gt;0,AND(I3474&lt;&gt;"",E3474&lt;I3474)),1,0)</f>
        <v>1</v>
      </c>
      <c r="R3474" s="56" t="n">
        <f aca="false">IF(AND(D3474&gt;1,Q3474=0,ISNUMBER(O3474),ISNUMBER(P3474)),IF(Q3473=0,1,0),0)</f>
        <v>0</v>
      </c>
      <c r="S3474" s="56" t="n">
        <f aca="false">R3474*(B3474&gt;=Train_Start)*(B3474&lt;=Train_End)</f>
        <v>0</v>
      </c>
      <c r="T3474" s="84" t="n">
        <f aca="false">IF(AND(ISNUMBER(O3474),ISNUMBER(P3474)),Coef_A+Coef_B1*O3474+Coef_B2*P3474,"")</f>
        <v>28.5361993652011</v>
      </c>
      <c r="U3474" s="84" t="str">
        <f aca="false">IF(AND(R3474=1,ISNUMBER(T3474)),E3474-T3474,"")</f>
        <v/>
      </c>
      <c r="V3474" s="84" t="n">
        <f aca="false">IF(ISNUMBER(T3474),T3474,-99)</f>
        <v>28.5361993652011</v>
      </c>
      <c r="W3474" s="84" t="str">
        <f aca="false">IF(ISNUMBER(U3474),ABS(U3474),"")</f>
        <v/>
      </c>
    </row>
    <row r="3475" customFormat="false" ht="15" hidden="false" customHeight="false" outlineLevel="0" collapsed="false">
      <c r="A3475" s="57" t="n">
        <v>37119</v>
      </c>
      <c r="B3475" s="56" t="n">
        <v>2001</v>
      </c>
      <c r="C3475" s="56" t="n">
        <v>8</v>
      </c>
      <c r="D3475" s="56" t="n">
        <v>108</v>
      </c>
      <c r="E3475" s="56" t="n">
        <v>23.4</v>
      </c>
      <c r="F3475" s="56" t="n">
        <v>0</v>
      </c>
      <c r="G3475" s="56" t="n">
        <v>16.8</v>
      </c>
      <c r="H3475" s="56" t="n">
        <v>0</v>
      </c>
      <c r="I3475" s="56" t="n">
        <v>20.4</v>
      </c>
      <c r="J3475" s="56" t="n">
        <v>0</v>
      </c>
      <c r="K3475" s="56" t="n">
        <v>1013.3</v>
      </c>
      <c r="L3475" s="56" t="n">
        <v>0</v>
      </c>
      <c r="M3475" s="56" t="n">
        <v>70</v>
      </c>
      <c r="N3475" s="56" t="n">
        <v>9.5</v>
      </c>
      <c r="O3475" s="56" t="n">
        <f aca="false">IF(D3475=1,"",E3474)</f>
        <v>23.9</v>
      </c>
      <c r="P3475" s="56" t="n">
        <f aca="false">IF(OR(D3475=1,K3474=""),"",K3474)</f>
        <v>1010.4</v>
      </c>
      <c r="Q3475" s="56" t="n">
        <f aca="false">IF(OR(F3475&lt;&gt;0,AND(I3475&lt;&gt;"",E3475&lt;I3475)),1,0)</f>
        <v>0</v>
      </c>
      <c r="R3475" s="56" t="n">
        <f aca="false">IF(AND(D3475&gt;1,Q3475=0,ISNUMBER(O3475),ISNUMBER(P3475)),IF(Q3474=0,1,0),0)</f>
        <v>0</v>
      </c>
      <c r="S3475" s="56" t="n">
        <f aca="false">R3475*(B3475&gt;=Train_Start)*(B3475&lt;=Train_End)</f>
        <v>0</v>
      </c>
      <c r="T3475" s="84" t="n">
        <f aca="false">IF(AND(ISNUMBER(O3475),ISNUMBER(P3475)),Coef_A+Coef_B1*O3475+Coef_B2*P3475,"")</f>
        <v>23.3653236738981</v>
      </c>
      <c r="U3475" s="84" t="str">
        <f aca="false">IF(AND(R3475=1,ISNUMBER(T3475)),E3475-T3475,"")</f>
        <v/>
      </c>
      <c r="V3475" s="84" t="n">
        <f aca="false">IF(ISNUMBER(T3475),T3475,-99)</f>
        <v>23.3653236738981</v>
      </c>
      <c r="W3475" s="84" t="str">
        <f aca="false">IF(ISNUMBER(U3475),ABS(U3475),"")</f>
        <v/>
      </c>
    </row>
    <row r="3476" customFormat="false" ht="15" hidden="false" customHeight="false" outlineLevel="0" collapsed="false">
      <c r="A3476" s="57" t="n">
        <v>37120</v>
      </c>
      <c r="B3476" s="56" t="n">
        <v>2001</v>
      </c>
      <c r="C3476" s="56" t="n">
        <v>8</v>
      </c>
      <c r="D3476" s="56" t="n">
        <v>109</v>
      </c>
      <c r="E3476" s="56" t="n">
        <v>25.4</v>
      </c>
      <c r="F3476" s="56" t="n">
        <v>0</v>
      </c>
      <c r="G3476" s="56" t="n">
        <v>12.8</v>
      </c>
      <c r="H3476" s="56" t="n">
        <v>0</v>
      </c>
      <c r="I3476" s="56" t="n">
        <v>18.1</v>
      </c>
      <c r="J3476" s="56" t="n">
        <v>0</v>
      </c>
      <c r="K3476" s="56" t="n">
        <v>1017</v>
      </c>
      <c r="L3476" s="56" t="n">
        <v>0</v>
      </c>
      <c r="M3476" s="56" t="n">
        <v>67</v>
      </c>
      <c r="N3476" s="56" t="n">
        <v>12</v>
      </c>
      <c r="O3476" s="56" t="n">
        <f aca="false">IF(D3476=1,"",E3475)</f>
        <v>23.4</v>
      </c>
      <c r="P3476" s="56" t="n">
        <f aca="false">IF(OR(D3476=1,K3475=""),"",K3475)</f>
        <v>1013.3</v>
      </c>
      <c r="Q3476" s="56" t="n">
        <f aca="false">IF(OR(F3476&lt;&gt;0,AND(I3476&lt;&gt;"",E3476&lt;I3476)),1,0)</f>
        <v>0</v>
      </c>
      <c r="R3476" s="56" t="n">
        <f aca="false">IF(AND(D3476&gt;1,Q3476=0,ISNUMBER(O3476),ISNUMBER(P3476)),IF(Q3475=0,1,0),0)</f>
        <v>1</v>
      </c>
      <c r="S3476" s="56" t="n">
        <f aca="false">R3476*(B3476&gt;=Train_Start)*(B3476&lt;=Train_End)</f>
        <v>0</v>
      </c>
      <c r="T3476" s="84" t="n">
        <f aca="false">IF(AND(ISNUMBER(O3476),ISNUMBER(P3476)),Coef_A+Coef_B1*O3476+Coef_B2*P3476,"")</f>
        <v>23.0466267718153</v>
      </c>
      <c r="U3476" s="84" t="n">
        <f aca="false">IF(AND(R3476=1,ISNUMBER(T3476)),E3476-T3476,"")</f>
        <v>2.35337322818467</v>
      </c>
      <c r="V3476" s="84" t="n">
        <f aca="false">IF(ISNUMBER(T3476),T3476,-99)</f>
        <v>23.0466267718153</v>
      </c>
      <c r="W3476" s="84" t="n">
        <f aca="false">IF(ISNUMBER(U3476),ABS(U3476),"")</f>
        <v>2.35337322818467</v>
      </c>
    </row>
    <row r="3477" customFormat="false" ht="15" hidden="false" customHeight="false" outlineLevel="0" collapsed="false">
      <c r="A3477" s="57" t="n">
        <v>37121</v>
      </c>
      <c r="B3477" s="56" t="n">
        <v>2001</v>
      </c>
      <c r="C3477" s="56" t="n">
        <v>8</v>
      </c>
      <c r="D3477" s="56" t="n">
        <v>110</v>
      </c>
      <c r="E3477" s="56" t="n">
        <v>22.7</v>
      </c>
      <c r="F3477" s="56" t="n">
        <v>0</v>
      </c>
      <c r="G3477" s="56" t="n">
        <v>15.5</v>
      </c>
      <c r="H3477" s="56" t="n">
        <v>0</v>
      </c>
      <c r="I3477" s="56" t="n">
        <v>20.4</v>
      </c>
      <c r="J3477" s="56" t="n">
        <v>0</v>
      </c>
      <c r="K3477" s="56" t="n">
        <v>1009.7</v>
      </c>
      <c r="L3477" s="56" t="n">
        <v>0</v>
      </c>
      <c r="M3477" s="56" t="n">
        <v>72</v>
      </c>
      <c r="N3477" s="56" t="n">
        <v>0.6</v>
      </c>
      <c r="O3477" s="56" t="n">
        <f aca="false">IF(D3477=1,"",E3476)</f>
        <v>25.4</v>
      </c>
      <c r="P3477" s="56" t="n">
        <f aca="false">IF(OR(D3477=1,K3476=""),"",K3476)</f>
        <v>1017</v>
      </c>
      <c r="Q3477" s="56" t="n">
        <f aca="false">IF(OR(F3477&lt;&gt;0,AND(I3477&lt;&gt;"",E3477&lt;I3477)),1,0)</f>
        <v>0</v>
      </c>
      <c r="R3477" s="56" t="n">
        <f aca="false">IF(AND(D3477&gt;1,Q3477=0,ISNUMBER(O3477),ISNUMBER(P3477)),IF(Q3476=0,1,0),0)</f>
        <v>1</v>
      </c>
      <c r="S3477" s="56" t="n">
        <f aca="false">R3477*(B3477&gt;=Train_Start)*(B3477&lt;=Train_End)</f>
        <v>0</v>
      </c>
      <c r="T3477" s="84" t="n">
        <f aca="false">IF(AND(ISNUMBER(O3477),ISNUMBER(P3477)),Coef_A+Coef_B1*O3477+Coef_B2*P3477,"")</f>
        <v>24.8013737680464</v>
      </c>
      <c r="U3477" s="84" t="n">
        <f aca="false">IF(AND(R3477=1,ISNUMBER(T3477)),E3477-T3477,"")</f>
        <v>-2.10137376804641</v>
      </c>
      <c r="V3477" s="84" t="n">
        <f aca="false">IF(ISNUMBER(T3477),T3477,-99)</f>
        <v>24.8013737680464</v>
      </c>
      <c r="W3477" s="84" t="n">
        <f aca="false">IF(ISNUMBER(U3477),ABS(U3477),"")</f>
        <v>2.10137376804641</v>
      </c>
    </row>
    <row r="3478" customFormat="false" ht="15" hidden="false" customHeight="false" outlineLevel="0" collapsed="false">
      <c r="A3478" s="57" t="n">
        <v>37122</v>
      </c>
      <c r="B3478" s="56" t="n">
        <v>2001</v>
      </c>
      <c r="C3478" s="56" t="n">
        <v>8</v>
      </c>
      <c r="D3478" s="56" t="n">
        <v>111</v>
      </c>
      <c r="E3478" s="56" t="n">
        <v>22.7</v>
      </c>
      <c r="F3478" s="56" t="n">
        <v>0</v>
      </c>
      <c r="G3478" s="56" t="n">
        <v>16.2</v>
      </c>
      <c r="H3478" s="56" t="n">
        <v>0</v>
      </c>
      <c r="I3478" s="56" t="n">
        <v>19.4</v>
      </c>
      <c r="J3478" s="56" t="n">
        <v>0</v>
      </c>
      <c r="K3478" s="56" t="n">
        <v>1002.2</v>
      </c>
      <c r="L3478" s="56" t="n">
        <v>0</v>
      </c>
      <c r="M3478" s="56" t="n">
        <v>86</v>
      </c>
      <c r="N3478" s="56" t="n">
        <v>3.5</v>
      </c>
      <c r="O3478" s="56" t="n">
        <f aca="false">IF(D3478=1,"",E3477)</f>
        <v>22.7</v>
      </c>
      <c r="P3478" s="56" t="n">
        <f aca="false">IF(OR(D3478=1,K3477=""),"",K3477)</f>
        <v>1009.7</v>
      </c>
      <c r="Q3478" s="56" t="n">
        <f aca="false">IF(OR(F3478&lt;&gt;0,AND(I3478&lt;&gt;"",E3478&lt;I3478)),1,0)</f>
        <v>0</v>
      </c>
      <c r="R3478" s="56" t="n">
        <f aca="false">IF(AND(D3478&gt;1,Q3478=0,ISNUMBER(O3478),ISNUMBER(P3478)),IF(Q3477=0,1,0),0)</f>
        <v>1</v>
      </c>
      <c r="S3478" s="56" t="n">
        <f aca="false">R3478*(B3478&gt;=Train_Start)*(B3478&lt;=Train_End)</f>
        <v>0</v>
      </c>
      <c r="T3478" s="84" t="n">
        <f aca="false">IF(AND(ISNUMBER(O3478),ISNUMBER(P3478)),Coef_A+Coef_B1*O3478+Coef_B2*P3478,"")</f>
        <v>22.3601577160031</v>
      </c>
      <c r="U3478" s="84" t="n">
        <f aca="false">IF(AND(R3478=1,ISNUMBER(T3478)),E3478-T3478,"")</f>
        <v>0.339842283996887</v>
      </c>
      <c r="V3478" s="84" t="n">
        <f aca="false">IF(ISNUMBER(T3478),T3478,-99)</f>
        <v>22.3601577160031</v>
      </c>
      <c r="W3478" s="84" t="n">
        <f aca="false">IF(ISNUMBER(U3478),ABS(U3478),"")</f>
        <v>0.339842283996887</v>
      </c>
    </row>
    <row r="3479" customFormat="false" ht="15" hidden="false" customHeight="false" outlineLevel="0" collapsed="false">
      <c r="A3479" s="57" t="n">
        <v>37123</v>
      </c>
      <c r="B3479" s="56" t="n">
        <v>2001</v>
      </c>
      <c r="C3479" s="56" t="n">
        <v>8</v>
      </c>
      <c r="D3479" s="56" t="n">
        <v>112</v>
      </c>
      <c r="E3479" s="56" t="n">
        <v>24.2</v>
      </c>
      <c r="F3479" s="56" t="n">
        <v>0</v>
      </c>
      <c r="G3479" s="56" t="n">
        <v>13.9</v>
      </c>
      <c r="H3479" s="56" t="n">
        <v>0</v>
      </c>
      <c r="I3479" s="56" t="n">
        <v>18.3</v>
      </c>
      <c r="J3479" s="56" t="n">
        <v>0</v>
      </c>
      <c r="K3479" s="56" t="n">
        <v>1013.6</v>
      </c>
      <c r="L3479" s="56" t="n">
        <v>0</v>
      </c>
      <c r="M3479" s="56" t="n">
        <v>69</v>
      </c>
      <c r="N3479" s="56" t="n">
        <v>10.8</v>
      </c>
      <c r="O3479" s="56" t="n">
        <f aca="false">IF(D3479=1,"",E3478)</f>
        <v>22.7</v>
      </c>
      <c r="P3479" s="56" t="n">
        <f aca="false">IF(OR(D3479=1,K3478=""),"",K3478)</f>
        <v>1002.2</v>
      </c>
      <c r="Q3479" s="56" t="n">
        <f aca="false">IF(OR(F3479&lt;&gt;0,AND(I3479&lt;&gt;"",E3479&lt;I3479)),1,0)</f>
        <v>0</v>
      </c>
      <c r="R3479" s="56" t="n">
        <f aca="false">IF(AND(D3479&gt;1,Q3479=0,ISNUMBER(O3479),ISNUMBER(P3479)),IF(Q3478=0,1,0),0)</f>
        <v>1</v>
      </c>
      <c r="S3479" s="56" t="n">
        <f aca="false">R3479*(B3479&gt;=Train_Start)*(B3479&lt;=Train_End)</f>
        <v>0</v>
      </c>
      <c r="T3479" s="84" t="n">
        <f aca="false">IF(AND(ISNUMBER(O3479),ISNUMBER(P3479)),Coef_A+Coef_B1*O3479+Coef_B2*P3479,"")</f>
        <v>22.1248835062482</v>
      </c>
      <c r="U3479" s="84" t="n">
        <f aca="false">IF(AND(R3479=1,ISNUMBER(T3479)),E3479-T3479,"")</f>
        <v>2.07511649375181</v>
      </c>
      <c r="V3479" s="84" t="n">
        <f aca="false">IF(ISNUMBER(T3479),T3479,-99)</f>
        <v>22.1248835062482</v>
      </c>
      <c r="W3479" s="84" t="n">
        <f aca="false">IF(ISNUMBER(U3479),ABS(U3479),"")</f>
        <v>2.07511649375181</v>
      </c>
    </row>
    <row r="3480" customFormat="false" ht="15" hidden="false" customHeight="false" outlineLevel="0" collapsed="false">
      <c r="A3480" s="57" t="n">
        <v>37124</v>
      </c>
      <c r="B3480" s="56" t="n">
        <v>2001</v>
      </c>
      <c r="C3480" s="56" t="n">
        <v>8</v>
      </c>
      <c r="D3480" s="56" t="n">
        <v>113</v>
      </c>
      <c r="E3480" s="56" t="n">
        <v>25.8</v>
      </c>
      <c r="F3480" s="56" t="n">
        <v>0</v>
      </c>
      <c r="G3480" s="56" t="n">
        <v>11.7</v>
      </c>
      <c r="H3480" s="56" t="n">
        <v>0</v>
      </c>
      <c r="I3480" s="56" t="n">
        <v>18</v>
      </c>
      <c r="J3480" s="56" t="n">
        <v>0</v>
      </c>
      <c r="K3480" s="56" t="n">
        <v>1018</v>
      </c>
      <c r="L3480" s="56" t="n">
        <v>0</v>
      </c>
      <c r="M3480" s="56" t="n">
        <v>68</v>
      </c>
      <c r="N3480" s="56" t="n">
        <v>12.3</v>
      </c>
      <c r="O3480" s="56" t="n">
        <f aca="false">IF(D3480=1,"",E3479)</f>
        <v>24.2</v>
      </c>
      <c r="P3480" s="56" t="n">
        <f aca="false">IF(OR(D3480=1,K3479=""),"",K3479)</f>
        <v>1013.6</v>
      </c>
      <c r="Q3480" s="56" t="n">
        <f aca="false">IF(OR(F3480&lt;&gt;0,AND(I3480&lt;&gt;"",E3480&lt;I3480)),1,0)</f>
        <v>0</v>
      </c>
      <c r="R3480" s="56" t="n">
        <f aca="false">IF(AND(D3480&gt;1,Q3480=0,ISNUMBER(O3480),ISNUMBER(P3480)),IF(Q3479=0,1,0),0)</f>
        <v>1</v>
      </c>
      <c r="S3480" s="56" t="n">
        <f aca="false">R3480*(B3480&gt;=Train_Start)*(B3480&lt;=Train_End)</f>
        <v>0</v>
      </c>
      <c r="T3480" s="84" t="n">
        <f aca="false">IF(AND(ISNUMBER(O3480),ISNUMBER(P3480)),Coef_A+Coef_B1*O3480+Coef_B2*P3480,"")</f>
        <v>23.7115090946397</v>
      </c>
      <c r="U3480" s="84" t="n">
        <f aca="false">IF(AND(R3480=1,ISNUMBER(T3480)),E3480-T3480,"")</f>
        <v>2.08849090536034</v>
      </c>
      <c r="V3480" s="84" t="n">
        <f aca="false">IF(ISNUMBER(T3480),T3480,-99)</f>
        <v>23.7115090946397</v>
      </c>
      <c r="W3480" s="84" t="n">
        <f aca="false">IF(ISNUMBER(U3480),ABS(U3480),"")</f>
        <v>2.08849090536034</v>
      </c>
    </row>
    <row r="3481" customFormat="false" ht="15" hidden="false" customHeight="false" outlineLevel="0" collapsed="false">
      <c r="A3481" s="57" t="n">
        <v>37125</v>
      </c>
      <c r="B3481" s="56" t="n">
        <v>2001</v>
      </c>
      <c r="C3481" s="56" t="n">
        <v>8</v>
      </c>
      <c r="D3481" s="56" t="n">
        <v>114</v>
      </c>
      <c r="E3481" s="56" t="n">
        <v>24.1</v>
      </c>
      <c r="F3481" s="56" t="n">
        <v>0</v>
      </c>
      <c r="G3481" s="56" t="n">
        <v>15.2</v>
      </c>
      <c r="H3481" s="56" t="n">
        <v>0</v>
      </c>
      <c r="I3481" s="56" t="n">
        <v>20.5</v>
      </c>
      <c r="J3481" s="56" t="n">
        <v>0</v>
      </c>
      <c r="K3481" s="56" t="n">
        <v>1021.6</v>
      </c>
      <c r="L3481" s="56" t="n">
        <v>0</v>
      </c>
      <c r="M3481" s="56" t="n">
        <v>69</v>
      </c>
      <c r="N3481" s="56" t="n">
        <v>12</v>
      </c>
      <c r="O3481" s="56" t="n">
        <f aca="false">IF(D3481=1,"",E3480)</f>
        <v>25.8</v>
      </c>
      <c r="P3481" s="56" t="n">
        <f aca="false">IF(OR(D3481=1,K3480=""),"",K3480)</f>
        <v>1018</v>
      </c>
      <c r="Q3481" s="56" t="n">
        <f aca="false">IF(OR(F3481&lt;&gt;0,AND(I3481&lt;&gt;"",E3481&lt;I3481)),1,0)</f>
        <v>0</v>
      </c>
      <c r="R3481" s="56" t="n">
        <f aca="false">IF(AND(D3481&gt;1,Q3481=0,ISNUMBER(O3481),ISNUMBER(P3481)),IF(Q3480=0,1,0),0)</f>
        <v>1</v>
      </c>
      <c r="S3481" s="56" t="n">
        <f aca="false">R3481*(B3481&gt;=Train_Start)*(B3481&lt;=Train_End)</f>
        <v>0</v>
      </c>
      <c r="T3481" s="84" t="n">
        <f aca="false">IF(AND(ISNUMBER(O3481),ISNUMBER(P3481)),Coef_A+Coef_B1*O3481+Coef_B2*P3481,"")</f>
        <v>25.1604793398975</v>
      </c>
      <c r="U3481" s="84" t="n">
        <f aca="false">IF(AND(R3481=1,ISNUMBER(T3481)),E3481-T3481,"")</f>
        <v>-1.06047933989747</v>
      </c>
      <c r="V3481" s="84" t="n">
        <f aca="false">IF(ISNUMBER(T3481),T3481,-99)</f>
        <v>25.1604793398975</v>
      </c>
      <c r="W3481" s="84" t="n">
        <f aca="false">IF(ISNUMBER(U3481),ABS(U3481),"")</f>
        <v>1.06047933989747</v>
      </c>
    </row>
    <row r="3482" customFormat="false" ht="15" hidden="false" customHeight="false" outlineLevel="0" collapsed="false">
      <c r="A3482" s="57" t="n">
        <v>37126</v>
      </c>
      <c r="B3482" s="56" t="n">
        <v>2001</v>
      </c>
      <c r="C3482" s="56" t="n">
        <v>8</v>
      </c>
      <c r="D3482" s="56" t="n">
        <v>115</v>
      </c>
      <c r="E3482" s="56" t="n">
        <v>28.4</v>
      </c>
      <c r="F3482" s="56" t="n">
        <v>0</v>
      </c>
      <c r="G3482" s="56" t="n">
        <v>16.7</v>
      </c>
      <c r="H3482" s="56" t="n">
        <v>0</v>
      </c>
      <c r="I3482" s="56" t="n">
        <v>20.4</v>
      </c>
      <c r="J3482" s="56" t="n">
        <v>0</v>
      </c>
      <c r="K3482" s="56" t="n">
        <v>1019.3</v>
      </c>
      <c r="L3482" s="56" t="n">
        <v>0</v>
      </c>
      <c r="M3482" s="56" t="n">
        <v>72</v>
      </c>
      <c r="N3482" s="56" t="n">
        <v>0.3</v>
      </c>
      <c r="O3482" s="56" t="n">
        <f aca="false">IF(D3482=1,"",E3481)</f>
        <v>24.1</v>
      </c>
      <c r="P3482" s="56" t="n">
        <f aca="false">IF(OR(D3482=1,K3481=""),"",K3481)</f>
        <v>1021.6</v>
      </c>
      <c r="Q3482" s="56" t="n">
        <f aca="false">IF(OR(F3482&lt;&gt;0,AND(I3482&lt;&gt;"",E3482&lt;I3482)),1,0)</f>
        <v>0</v>
      </c>
      <c r="R3482" s="56" t="n">
        <f aca="false">IF(AND(D3482&gt;1,Q3482=0,ISNUMBER(O3482),ISNUMBER(P3482)),IF(Q3481=0,1,0),0)</f>
        <v>1</v>
      </c>
      <c r="S3482" s="56" t="n">
        <f aca="false">R3482*(B3482&gt;=Train_Start)*(B3482&lt;=Train_End)</f>
        <v>0</v>
      </c>
      <c r="T3482" s="84" t="n">
        <f aca="false">IF(AND(ISNUMBER(O3482),ISNUMBER(P3482)),Coef_A+Coef_B1*O3482+Coef_B2*P3482,"")</f>
        <v>23.8805343324073</v>
      </c>
      <c r="U3482" s="84" t="n">
        <f aca="false">IF(AND(R3482=1,ISNUMBER(T3482)),E3482-T3482,"")</f>
        <v>4.51946566759268</v>
      </c>
      <c r="V3482" s="84" t="n">
        <f aca="false">IF(ISNUMBER(T3482),T3482,-99)</f>
        <v>23.8805343324073</v>
      </c>
      <c r="W3482" s="84" t="n">
        <f aca="false">IF(ISNUMBER(U3482),ABS(U3482),"")</f>
        <v>4.51946566759268</v>
      </c>
    </row>
    <row r="3483" customFormat="false" ht="15" hidden="false" customHeight="false" outlineLevel="0" collapsed="false">
      <c r="A3483" s="57" t="n">
        <v>37127</v>
      </c>
      <c r="B3483" s="56" t="n">
        <v>2001</v>
      </c>
      <c r="C3483" s="56" t="n">
        <v>8</v>
      </c>
      <c r="D3483" s="56" t="n">
        <v>116</v>
      </c>
      <c r="E3483" s="56" t="n">
        <v>31.5</v>
      </c>
      <c r="F3483" s="56" t="n">
        <v>0</v>
      </c>
      <c r="G3483" s="56" t="n">
        <v>18.9</v>
      </c>
      <c r="H3483" s="56" t="n">
        <v>0</v>
      </c>
      <c r="I3483" s="56" t="n">
        <v>23.6</v>
      </c>
      <c r="J3483" s="56" t="n">
        <v>0</v>
      </c>
      <c r="K3483" s="56" t="n">
        <v>1016.3</v>
      </c>
      <c r="L3483" s="56" t="n">
        <v>0</v>
      </c>
      <c r="M3483" s="56" t="n">
        <v>65</v>
      </c>
      <c r="N3483" s="56" t="n">
        <v>11.4</v>
      </c>
      <c r="O3483" s="56" t="n">
        <f aca="false">IF(D3483=1,"",E3482)</f>
        <v>28.4</v>
      </c>
      <c r="P3483" s="56" t="n">
        <f aca="false">IF(OR(D3483=1,K3482=""),"",K3482)</f>
        <v>1019.3</v>
      </c>
      <c r="Q3483" s="56" t="n">
        <f aca="false">IF(OR(F3483&lt;&gt;0,AND(I3483&lt;&gt;"",E3483&lt;I3483)),1,0)</f>
        <v>0</v>
      </c>
      <c r="R3483" s="56" t="n">
        <f aca="false">IF(AND(D3483&gt;1,Q3483=0,ISNUMBER(O3483),ISNUMBER(P3483)),IF(Q3482=0,1,0),0)</f>
        <v>1</v>
      </c>
      <c r="S3483" s="56" t="n">
        <f aca="false">R3483*(B3483&gt;=Train_Start)*(B3483&lt;=Train_End)</f>
        <v>0</v>
      </c>
      <c r="T3483" s="84" t="n">
        <f aca="false">IF(AND(ISNUMBER(O3483),ISNUMBER(P3483)),Coef_A+Coef_B1*O3483+Coef_B2*P3483,"")</f>
        <v>27.3315421048326</v>
      </c>
      <c r="U3483" s="84" t="n">
        <f aca="false">IF(AND(R3483=1,ISNUMBER(T3483)),E3483-T3483,"")</f>
        <v>4.16845789516744</v>
      </c>
      <c r="V3483" s="84" t="n">
        <f aca="false">IF(ISNUMBER(T3483),T3483,-99)</f>
        <v>27.3315421048326</v>
      </c>
      <c r="W3483" s="84" t="n">
        <f aca="false">IF(ISNUMBER(U3483),ABS(U3483),"")</f>
        <v>4.16845789516744</v>
      </c>
    </row>
    <row r="3484" customFormat="false" ht="15" hidden="false" customHeight="false" outlineLevel="0" collapsed="false">
      <c r="A3484" s="57" t="n">
        <v>37128</v>
      </c>
      <c r="B3484" s="56" t="n">
        <v>2001</v>
      </c>
      <c r="C3484" s="56" t="n">
        <v>8</v>
      </c>
      <c r="D3484" s="56" t="n">
        <v>117</v>
      </c>
      <c r="E3484" s="56" t="n">
        <v>20</v>
      </c>
      <c r="F3484" s="56" t="n">
        <v>1</v>
      </c>
      <c r="G3484" s="56" t="n">
        <v>15.3</v>
      </c>
      <c r="H3484" s="56" t="n">
        <v>0</v>
      </c>
      <c r="I3484" s="56" t="n">
        <v>23.4</v>
      </c>
      <c r="J3484" s="56" t="n">
        <v>1</v>
      </c>
      <c r="K3484" s="56" t="n">
        <v>1014.8</v>
      </c>
      <c r="L3484" s="56" t="n">
        <v>0</v>
      </c>
      <c r="M3484" s="56" t="n">
        <v>70</v>
      </c>
      <c r="N3484" s="56" t="n">
        <v>11.3</v>
      </c>
      <c r="O3484" s="56" t="n">
        <f aca="false">IF(D3484=1,"",E3483)</f>
        <v>31.5</v>
      </c>
      <c r="P3484" s="56" t="n">
        <f aca="false">IF(OR(D3484=1,K3483=""),"",K3483)</f>
        <v>1016.3</v>
      </c>
      <c r="Q3484" s="56" t="n">
        <f aca="false">IF(OR(F3484&lt;&gt;0,AND(I3484&lt;&gt;"",E3484&lt;I3484)),1,0)</f>
        <v>1</v>
      </c>
      <c r="R3484" s="56" t="n">
        <f aca="false">IF(AND(D3484&gt;1,Q3484=0,ISNUMBER(O3484),ISNUMBER(P3484)),IF(Q3483=0,1,0),0)</f>
        <v>0</v>
      </c>
      <c r="S3484" s="56" t="n">
        <f aca="false">R3484*(B3484&gt;=Train_Start)*(B3484&lt;=Train_End)</f>
        <v>0</v>
      </c>
      <c r="T3484" s="84" t="n">
        <f aca="false">IF(AND(ISNUMBER(O3484),ISNUMBER(P3484)),Coef_A+Coef_B1*O3484+Coef_B2*P3484,"")</f>
        <v>29.7773839193628</v>
      </c>
      <c r="U3484" s="84" t="str">
        <f aca="false">IF(AND(R3484=1,ISNUMBER(T3484)),E3484-T3484,"")</f>
        <v/>
      </c>
      <c r="V3484" s="84" t="n">
        <f aca="false">IF(ISNUMBER(T3484),T3484,-99)</f>
        <v>29.7773839193628</v>
      </c>
      <c r="W3484" s="84" t="str">
        <f aca="false">IF(ISNUMBER(U3484),ABS(U3484),"")</f>
        <v/>
      </c>
    </row>
    <row r="3485" customFormat="false" ht="15" hidden="false" customHeight="false" outlineLevel="0" collapsed="false">
      <c r="A3485" s="57" t="n">
        <v>37129</v>
      </c>
      <c r="B3485" s="56" t="n">
        <v>2001</v>
      </c>
      <c r="C3485" s="56" t="n">
        <v>8</v>
      </c>
      <c r="D3485" s="56" t="n">
        <v>118</v>
      </c>
      <c r="E3485" s="56" t="n">
        <v>22</v>
      </c>
      <c r="F3485" s="56" t="n">
        <v>0</v>
      </c>
      <c r="G3485" s="56" t="n">
        <v>18.6</v>
      </c>
      <c r="H3485" s="56" t="n">
        <v>0</v>
      </c>
      <c r="I3485" s="56" t="n">
        <v>19.3</v>
      </c>
      <c r="J3485" s="56" t="n">
        <v>0</v>
      </c>
      <c r="K3485" s="56" t="n">
        <v>1017</v>
      </c>
      <c r="L3485" s="56" t="n">
        <v>0</v>
      </c>
      <c r="M3485" s="56" t="n">
        <v>89</v>
      </c>
      <c r="N3485" s="56" t="n">
        <v>0</v>
      </c>
      <c r="O3485" s="56" t="n">
        <f aca="false">IF(D3485=1,"",E3484)</f>
        <v>20</v>
      </c>
      <c r="P3485" s="56" t="n">
        <f aca="false">IF(OR(D3485=1,K3484=""),"",K3484)</f>
        <v>1014.8</v>
      </c>
      <c r="Q3485" s="56" t="n">
        <f aca="false">IF(OR(F3485&lt;&gt;0,AND(I3485&lt;&gt;"",E3485&lt;I3485)),1,0)</f>
        <v>0</v>
      </c>
      <c r="R3485" s="56" t="n">
        <f aca="false">IF(AND(D3485&gt;1,Q3485=0,ISNUMBER(O3485),ISNUMBER(P3485)),IF(Q3484=0,1,0),0)</f>
        <v>0</v>
      </c>
      <c r="S3485" s="56" t="n">
        <f aca="false">R3485*(B3485&gt;=Train_Start)*(B3485&lt;=Train_End)</f>
        <v>0</v>
      </c>
      <c r="T3485" s="84" t="n">
        <f aca="false">IF(AND(ISNUMBER(O3485),ISNUMBER(P3485)),Coef_A+Coef_B1*O3485+Coef_B2*P3485,"")</f>
        <v>20.3079283574213</v>
      </c>
      <c r="U3485" s="84" t="str">
        <f aca="false">IF(AND(R3485=1,ISNUMBER(T3485)),E3485-T3485,"")</f>
        <v/>
      </c>
      <c r="V3485" s="84" t="n">
        <f aca="false">IF(ISNUMBER(T3485),T3485,-99)</f>
        <v>20.3079283574213</v>
      </c>
      <c r="W3485" s="84" t="str">
        <f aca="false">IF(ISNUMBER(U3485),ABS(U3485),"")</f>
        <v/>
      </c>
    </row>
    <row r="3486" customFormat="false" ht="15" hidden="false" customHeight="false" outlineLevel="0" collapsed="false">
      <c r="A3486" s="57" t="n">
        <v>37130</v>
      </c>
      <c r="B3486" s="56" t="n">
        <v>2001</v>
      </c>
      <c r="C3486" s="56" t="n">
        <v>8</v>
      </c>
      <c r="D3486" s="56" t="n">
        <v>119</v>
      </c>
      <c r="E3486" s="56" t="n">
        <v>22.1</v>
      </c>
      <c r="F3486" s="56" t="n">
        <v>0</v>
      </c>
      <c r="G3486" s="56" t="n">
        <v>12.6</v>
      </c>
      <c r="H3486" s="56" t="n">
        <v>0</v>
      </c>
      <c r="I3486" s="56" t="n">
        <v>17.3</v>
      </c>
      <c r="J3486" s="56" t="n">
        <v>0</v>
      </c>
      <c r="K3486" s="56" t="n">
        <v>1022.4</v>
      </c>
      <c r="L3486" s="56" t="n">
        <v>0</v>
      </c>
      <c r="M3486" s="56" t="n">
        <v>60</v>
      </c>
      <c r="N3486" s="56" t="n">
        <v>12.9</v>
      </c>
      <c r="O3486" s="56" t="n">
        <f aca="false">IF(D3486=1,"",E3485)</f>
        <v>22</v>
      </c>
      <c r="P3486" s="56" t="n">
        <f aca="false">IF(OR(D3486=1,K3485=""),"",K3485)</f>
        <v>1017</v>
      </c>
      <c r="Q3486" s="56" t="n">
        <f aca="false">IF(OR(F3486&lt;&gt;0,AND(I3486&lt;&gt;"",E3486&lt;I3486)),1,0)</f>
        <v>0</v>
      </c>
      <c r="R3486" s="56" t="n">
        <f aca="false">IF(AND(D3486&gt;1,Q3486=0,ISNUMBER(O3486),ISNUMBER(P3486)),IF(Q3485=0,1,0),0)</f>
        <v>1</v>
      </c>
      <c r="S3486" s="56" t="n">
        <f aca="false">R3486*(B3486&gt;=Train_Start)*(B3486&lt;=Train_End)</f>
        <v>0</v>
      </c>
      <c r="T3486" s="84" t="n">
        <f aca="false">IF(AND(ISNUMBER(O3486),ISNUMBER(P3486)),Coef_A+Coef_B1*O3486+Coef_B2*P3486,"")</f>
        <v>22.0156205117014</v>
      </c>
      <c r="U3486" s="84" t="n">
        <f aca="false">IF(AND(R3486=1,ISNUMBER(T3486)),E3486-T3486,"")</f>
        <v>0.0843794882986231</v>
      </c>
      <c r="V3486" s="84" t="n">
        <f aca="false">IF(ISNUMBER(T3486),T3486,-99)</f>
        <v>22.0156205117014</v>
      </c>
      <c r="W3486" s="84" t="n">
        <f aca="false">IF(ISNUMBER(U3486),ABS(U3486),"")</f>
        <v>0.0843794882986231</v>
      </c>
    </row>
    <row r="3487" customFormat="false" ht="15" hidden="false" customHeight="false" outlineLevel="0" collapsed="false">
      <c r="A3487" s="57" t="n">
        <v>37131</v>
      </c>
      <c r="B3487" s="56" t="n">
        <v>2001</v>
      </c>
      <c r="C3487" s="56" t="n">
        <v>8</v>
      </c>
      <c r="D3487" s="56" t="n">
        <v>120</v>
      </c>
      <c r="E3487" s="56" t="n">
        <v>23.4</v>
      </c>
      <c r="F3487" s="56" t="n">
        <v>0</v>
      </c>
      <c r="G3487" s="56" t="n">
        <v>12.2</v>
      </c>
      <c r="H3487" s="56" t="n">
        <v>0</v>
      </c>
      <c r="I3487" s="56" t="n">
        <v>17.2</v>
      </c>
      <c r="J3487" s="56" t="n">
        <v>0</v>
      </c>
      <c r="K3487" s="56" t="n">
        <v>1020.8</v>
      </c>
      <c r="L3487" s="56" t="n">
        <v>0</v>
      </c>
      <c r="M3487" s="56" t="n">
        <v>66</v>
      </c>
      <c r="N3487" s="56" t="n">
        <v>11.7</v>
      </c>
      <c r="O3487" s="56" t="n">
        <f aca="false">IF(D3487=1,"",E3486)</f>
        <v>22.1</v>
      </c>
      <c r="P3487" s="56" t="n">
        <f aca="false">IF(OR(D3487=1,K3486=""),"",K3486)</f>
        <v>1022.4</v>
      </c>
      <c r="Q3487" s="56" t="n">
        <f aca="false">IF(OR(F3487&lt;&gt;0,AND(I3487&lt;&gt;"",E3487&lt;I3487)),1,0)</f>
        <v>0</v>
      </c>
      <c r="R3487" s="56" t="n">
        <f aca="false">IF(AND(D3487&gt;1,Q3487=0,ISNUMBER(O3487),ISNUMBER(P3487)),IF(Q3486=0,1,0),0)</f>
        <v>1</v>
      </c>
      <c r="S3487" s="56" t="n">
        <f aca="false">R3487*(B3487&gt;=Train_Start)*(B3487&lt;=Train_End)</f>
        <v>0</v>
      </c>
      <c r="T3487" s="84" t="n">
        <f aca="false">IF(AND(ISNUMBER(O3487),ISNUMBER(P3487)),Coef_A+Coef_B1*O3487+Coef_B2*P3487,"")</f>
        <v>22.2669518620292</v>
      </c>
      <c r="U3487" s="84" t="n">
        <f aca="false">IF(AND(R3487=1,ISNUMBER(T3487)),E3487-T3487,"")</f>
        <v>1.13304813797081</v>
      </c>
      <c r="V3487" s="84" t="n">
        <f aca="false">IF(ISNUMBER(T3487),T3487,-99)</f>
        <v>22.2669518620292</v>
      </c>
      <c r="W3487" s="84" t="n">
        <f aca="false">IF(ISNUMBER(U3487),ABS(U3487),"")</f>
        <v>1.13304813797081</v>
      </c>
    </row>
    <row r="3488" customFormat="false" ht="15" hidden="false" customHeight="false" outlineLevel="0" collapsed="false">
      <c r="A3488" s="57" t="n">
        <v>37132</v>
      </c>
      <c r="B3488" s="56" t="n">
        <v>2001</v>
      </c>
      <c r="C3488" s="56" t="n">
        <v>8</v>
      </c>
      <c r="D3488" s="56" t="n">
        <v>121</v>
      </c>
      <c r="E3488" s="56" t="n">
        <v>20</v>
      </c>
      <c r="F3488" s="56" t="n">
        <v>0</v>
      </c>
      <c r="G3488" s="56" t="n">
        <v>10.6</v>
      </c>
      <c r="H3488" s="56" t="n">
        <v>0</v>
      </c>
      <c r="I3488" s="56" t="n">
        <v>17</v>
      </c>
      <c r="J3488" s="56" t="n">
        <v>0</v>
      </c>
      <c r="K3488" s="56" t="n">
        <v>1014.7</v>
      </c>
      <c r="L3488" s="56" t="n">
        <v>0</v>
      </c>
      <c r="M3488" s="56" t="n">
        <v>67</v>
      </c>
      <c r="N3488" s="56" t="n">
        <v>7.4</v>
      </c>
      <c r="O3488" s="56" t="n">
        <f aca="false">IF(D3488=1,"",E3487)</f>
        <v>23.4</v>
      </c>
      <c r="P3488" s="56" t="n">
        <f aca="false">IF(OR(D3488=1,K3487=""),"",K3487)</f>
        <v>1020.8</v>
      </c>
      <c r="Q3488" s="56" t="n">
        <f aca="false">IF(OR(F3488&lt;&gt;0,AND(I3488&lt;&gt;"",E3488&lt;I3488)),1,0)</f>
        <v>0</v>
      </c>
      <c r="R3488" s="56" t="n">
        <f aca="false">IF(AND(D3488&gt;1,Q3488=0,ISNUMBER(O3488),ISNUMBER(P3488)),IF(Q3487=0,1,0),0)</f>
        <v>1</v>
      </c>
      <c r="S3488" s="56" t="n">
        <f aca="false">R3488*(B3488&gt;=Train_Start)*(B3488&lt;=Train_End)</f>
        <v>0</v>
      </c>
      <c r="T3488" s="84" t="n">
        <f aca="false">IF(AND(ISNUMBER(O3488),ISNUMBER(P3488)),Coef_A+Coef_B1*O3488+Coef_B2*P3488,"")</f>
        <v>23.2819009815703</v>
      </c>
      <c r="U3488" s="84" t="n">
        <f aca="false">IF(AND(R3488=1,ISNUMBER(T3488)),E3488-T3488,"")</f>
        <v>-3.28190098157025</v>
      </c>
      <c r="V3488" s="84" t="n">
        <f aca="false">IF(ISNUMBER(T3488),T3488,-99)</f>
        <v>23.2819009815703</v>
      </c>
      <c r="W3488" s="84" t="n">
        <f aca="false">IF(ISNUMBER(U3488),ABS(U3488),"")</f>
        <v>3.28190098157025</v>
      </c>
    </row>
    <row r="3489" customFormat="false" ht="15" hidden="false" customHeight="false" outlineLevel="0" collapsed="false">
      <c r="A3489" s="57" t="n">
        <v>37133</v>
      </c>
      <c r="B3489" s="56" t="n">
        <v>2001</v>
      </c>
      <c r="C3489" s="56" t="n">
        <v>8</v>
      </c>
      <c r="D3489" s="56" t="n">
        <v>122</v>
      </c>
      <c r="E3489" s="56" t="n">
        <v>19</v>
      </c>
      <c r="F3489" s="56" t="n">
        <v>0</v>
      </c>
      <c r="G3489" s="56" t="n">
        <v>15.8</v>
      </c>
      <c r="H3489" s="56" t="n">
        <v>0</v>
      </c>
      <c r="I3489" s="56" t="n">
        <v>17.9</v>
      </c>
      <c r="J3489" s="56" t="n">
        <v>0</v>
      </c>
      <c r="K3489" s="56" t="n">
        <v>1010.4</v>
      </c>
      <c r="L3489" s="56" t="n">
        <v>0</v>
      </c>
      <c r="M3489" s="56" t="n">
        <v>77</v>
      </c>
      <c r="N3489" s="56" t="n">
        <v>0.1</v>
      </c>
      <c r="O3489" s="56" t="n">
        <f aca="false">IF(D3489=1,"",E3488)</f>
        <v>20</v>
      </c>
      <c r="P3489" s="56" t="n">
        <f aca="false">IF(OR(D3489=1,K3488=""),"",K3488)</f>
        <v>1014.7</v>
      </c>
      <c r="Q3489" s="56" t="n">
        <f aca="false">IF(OR(F3489&lt;&gt;0,AND(I3489&lt;&gt;"",E3489&lt;I3489)),1,0)</f>
        <v>0</v>
      </c>
      <c r="R3489" s="56" t="n">
        <f aca="false">IF(AND(D3489&gt;1,Q3489=0,ISNUMBER(O3489),ISNUMBER(P3489)),IF(Q3488=0,1,0),0)</f>
        <v>1</v>
      </c>
      <c r="S3489" s="56" t="n">
        <f aca="false">R3489*(B3489&gt;=Train_Start)*(B3489&lt;=Train_End)</f>
        <v>0</v>
      </c>
      <c r="T3489" s="84" t="n">
        <f aca="false">IF(AND(ISNUMBER(O3489),ISNUMBER(P3489)),Coef_A+Coef_B1*O3489+Coef_B2*P3489,"")</f>
        <v>20.3047913679579</v>
      </c>
      <c r="U3489" s="84" t="n">
        <f aca="false">IF(AND(R3489=1,ISNUMBER(T3489)),E3489-T3489,"")</f>
        <v>-1.30479136795789</v>
      </c>
      <c r="V3489" s="84" t="n">
        <f aca="false">IF(ISNUMBER(T3489),T3489,-99)</f>
        <v>20.3047913679579</v>
      </c>
      <c r="W3489" s="84" t="n">
        <f aca="false">IF(ISNUMBER(U3489),ABS(U3489),"")</f>
        <v>1.30479136795789</v>
      </c>
    </row>
    <row r="3490" customFormat="false" ht="15" hidden="false" customHeight="false" outlineLevel="0" collapsed="false">
      <c r="A3490" s="57" t="n">
        <v>37134</v>
      </c>
      <c r="B3490" s="56" t="n">
        <v>2001</v>
      </c>
      <c r="C3490" s="56" t="n">
        <v>8</v>
      </c>
      <c r="D3490" s="56" t="n">
        <v>123</v>
      </c>
      <c r="E3490" s="56" t="n">
        <v>20.8</v>
      </c>
      <c r="F3490" s="56" t="n">
        <v>0</v>
      </c>
      <c r="G3490" s="56" t="n">
        <v>11.2</v>
      </c>
      <c r="H3490" s="56" t="n">
        <v>0</v>
      </c>
      <c r="I3490" s="56" t="n">
        <v>15.1</v>
      </c>
      <c r="J3490" s="56" t="n">
        <v>0</v>
      </c>
      <c r="K3490" s="56" t="n">
        <v>1012.3</v>
      </c>
      <c r="L3490" s="56" t="n">
        <v>0</v>
      </c>
      <c r="M3490" s="56" t="n">
        <v>85</v>
      </c>
      <c r="N3490" s="56" t="n">
        <v>5.2</v>
      </c>
      <c r="O3490" s="56" t="n">
        <f aca="false">IF(D3490=1,"",E3489)</f>
        <v>19</v>
      </c>
      <c r="P3490" s="56" t="n">
        <f aca="false">IF(OR(D3490=1,K3489=""),"",K3489)</f>
        <v>1010.4</v>
      </c>
      <c r="Q3490" s="56" t="n">
        <f aca="false">IF(OR(F3490&lt;&gt;0,AND(I3490&lt;&gt;"",E3490&lt;I3490)),1,0)</f>
        <v>0</v>
      </c>
      <c r="R3490" s="56" t="n">
        <f aca="false">IF(AND(D3490&gt;1,Q3490=0,ISNUMBER(O3490),ISNUMBER(P3490)),IF(Q3489=0,1,0),0)</f>
        <v>1</v>
      </c>
      <c r="S3490" s="56" t="n">
        <f aca="false">R3490*(B3490&gt;=Train_Start)*(B3490&lt;=Train_End)</f>
        <v>0</v>
      </c>
      <c r="T3490" s="84" t="n">
        <f aca="false">IF(AND(ISNUMBER(O3490),ISNUMBER(P3490)),Coef_A+Coef_B1*O3490+Coef_B2*P3490,"")</f>
        <v>19.3505616279891</v>
      </c>
      <c r="U3490" s="84" t="n">
        <f aca="false">IF(AND(R3490=1,ISNUMBER(T3490)),E3490-T3490,"")</f>
        <v>1.44943837201093</v>
      </c>
      <c r="V3490" s="84" t="n">
        <f aca="false">IF(ISNUMBER(T3490),T3490,-99)</f>
        <v>19.3505616279891</v>
      </c>
      <c r="W3490" s="84" t="n">
        <f aca="false">IF(ISNUMBER(U3490),ABS(U3490),"")</f>
        <v>1.44943837201093</v>
      </c>
    </row>
    <row r="3491" customFormat="false" ht="15" hidden="false" customHeight="false" outlineLevel="0" collapsed="false">
      <c r="A3491" s="57" t="n">
        <v>37135</v>
      </c>
      <c r="B3491" s="56" t="n">
        <v>2001</v>
      </c>
      <c r="C3491" s="56" t="n">
        <v>9</v>
      </c>
      <c r="D3491" s="56" t="n">
        <v>124</v>
      </c>
      <c r="E3491" s="56" t="n">
        <v>22.2</v>
      </c>
      <c r="F3491" s="56" t="n">
        <v>0</v>
      </c>
      <c r="G3491" s="56" t="n">
        <v>10.8</v>
      </c>
      <c r="H3491" s="56" t="n">
        <v>0</v>
      </c>
      <c r="I3491" s="56" t="n">
        <v>15.8</v>
      </c>
      <c r="J3491" s="56" t="n">
        <v>0</v>
      </c>
      <c r="K3491" s="56" t="n">
        <v>1019.1</v>
      </c>
      <c r="L3491" s="56" t="n">
        <v>0</v>
      </c>
      <c r="M3491" s="56" t="n">
        <v>72</v>
      </c>
      <c r="N3491" s="56" t="n">
        <v>10.1</v>
      </c>
      <c r="O3491" s="56" t="n">
        <f aca="false">IF(D3491=1,"",E3490)</f>
        <v>20.8</v>
      </c>
      <c r="P3491" s="56" t="n">
        <f aca="false">IF(OR(D3491=1,K3490=""),"",K3490)</f>
        <v>1012.3</v>
      </c>
      <c r="Q3491" s="56" t="n">
        <f aca="false">IF(OR(F3491&lt;&gt;0,AND(I3491&lt;&gt;"",E3491&lt;I3491)),1,0)</f>
        <v>0</v>
      </c>
      <c r="R3491" s="56" t="n">
        <f aca="false">IF(AND(D3491&gt;1,Q3491=0,ISNUMBER(O3491),ISNUMBER(P3491)),IF(Q3490=0,1,0),0)</f>
        <v>1</v>
      </c>
      <c r="S3491" s="56" t="n">
        <f aca="false">R3491*(B3491&gt;=Train_Start)*(B3491&lt;=Train_End)</f>
        <v>0</v>
      </c>
      <c r="T3491" s="84" t="n">
        <f aca="false">IF(AND(ISNUMBER(O3491),ISNUMBER(P3491)),Coef_A+Coef_B1*O3491+Coef_B2*P3491,"")</f>
        <v>20.8849749752704</v>
      </c>
      <c r="U3491" s="84" t="n">
        <f aca="false">IF(AND(R3491=1,ISNUMBER(T3491)),E3491-T3491,"")</f>
        <v>1.31502502472956</v>
      </c>
      <c r="V3491" s="84" t="n">
        <f aca="false">IF(ISNUMBER(T3491),T3491,-99)</f>
        <v>20.8849749752704</v>
      </c>
      <c r="W3491" s="84" t="n">
        <f aca="false">IF(ISNUMBER(U3491),ABS(U3491),"")</f>
        <v>1.31502502472956</v>
      </c>
    </row>
    <row r="3492" customFormat="false" ht="15" hidden="false" customHeight="false" outlineLevel="0" collapsed="false">
      <c r="A3492" s="57" t="n">
        <v>37136</v>
      </c>
      <c r="B3492" s="56" t="n">
        <v>2001</v>
      </c>
      <c r="C3492" s="56" t="n">
        <v>9</v>
      </c>
      <c r="D3492" s="56" t="n">
        <v>125</v>
      </c>
      <c r="E3492" s="56" t="n">
        <v>19.9</v>
      </c>
      <c r="F3492" s="56" t="n">
        <v>0</v>
      </c>
      <c r="G3492" s="56" t="n">
        <v>15.6</v>
      </c>
      <c r="H3492" s="56" t="n">
        <v>0</v>
      </c>
      <c r="I3492" s="56" t="n">
        <v>18.9</v>
      </c>
      <c r="J3492" s="56" t="n">
        <v>0</v>
      </c>
      <c r="K3492" s="56" t="n">
        <v>1014.8</v>
      </c>
      <c r="L3492" s="56" t="n">
        <v>0</v>
      </c>
      <c r="M3492" s="56" t="n">
        <v>80</v>
      </c>
      <c r="N3492" s="56" t="n">
        <v>0.8</v>
      </c>
      <c r="O3492" s="56" t="n">
        <f aca="false">IF(D3492=1,"",E3491)</f>
        <v>22.2</v>
      </c>
      <c r="P3492" s="56" t="n">
        <f aca="false">IF(OR(D3492=1,K3491=""),"",K3491)</f>
        <v>1019.1</v>
      </c>
      <c r="Q3492" s="56" t="n">
        <f aca="false">IF(OR(F3492&lt;&gt;0,AND(I3492&lt;&gt;"",E3492&lt;I3492)),1,0)</f>
        <v>0</v>
      </c>
      <c r="R3492" s="56" t="n">
        <f aca="false">IF(AND(D3492&gt;1,Q3492=0,ISNUMBER(O3492),ISNUMBER(P3492)),IF(Q3491=0,1,0),0)</f>
        <v>1</v>
      </c>
      <c r="S3492" s="56" t="n">
        <f aca="false">R3492*(B3492&gt;=Train_Start)*(B3492&lt;=Train_End)</f>
        <v>0</v>
      </c>
      <c r="T3492" s="84" t="n">
        <f aca="false">IF(AND(ISNUMBER(O3492),ISNUMBER(P3492)),Coef_A+Coef_B1*O3492+Coef_B2*P3492,"")</f>
        <v>22.2453651290413</v>
      </c>
      <c r="U3492" s="84" t="n">
        <f aca="false">IF(AND(R3492=1,ISNUMBER(T3492)),E3492-T3492,"")</f>
        <v>-2.34536512904129</v>
      </c>
      <c r="V3492" s="84" t="n">
        <f aca="false">IF(ISNUMBER(T3492),T3492,-99)</f>
        <v>22.2453651290413</v>
      </c>
      <c r="W3492" s="84" t="n">
        <f aca="false">IF(ISNUMBER(U3492),ABS(U3492),"")</f>
        <v>2.34536512904129</v>
      </c>
    </row>
    <row r="3493" customFormat="false" ht="15" hidden="false" customHeight="false" outlineLevel="0" collapsed="false">
      <c r="A3493" s="57" t="n">
        <v>37137</v>
      </c>
      <c r="B3493" s="56" t="n">
        <v>2001</v>
      </c>
      <c r="C3493" s="56" t="n">
        <v>9</v>
      </c>
      <c r="D3493" s="56" t="n">
        <v>126</v>
      </c>
      <c r="E3493" s="56" t="n">
        <v>17.8</v>
      </c>
      <c r="F3493" s="56" t="n">
        <v>0</v>
      </c>
      <c r="G3493" s="56" t="n">
        <v>13</v>
      </c>
      <c r="H3493" s="56" t="n">
        <v>0</v>
      </c>
      <c r="I3493" s="56" t="n">
        <v>16.4</v>
      </c>
      <c r="J3493" s="56" t="n">
        <v>0</v>
      </c>
      <c r="K3493" s="56" t="n">
        <v>1012.9</v>
      </c>
      <c r="L3493" s="56" t="n">
        <v>0</v>
      </c>
      <c r="M3493" s="56" t="n">
        <v>76</v>
      </c>
      <c r="N3493" s="56" t="n">
        <v>5.8</v>
      </c>
      <c r="O3493" s="56" t="n">
        <f aca="false">IF(D3493=1,"",E3492)</f>
        <v>19.9</v>
      </c>
      <c r="P3493" s="56" t="n">
        <f aca="false">IF(OR(D3493=1,K3492=""),"",K3492)</f>
        <v>1014.8</v>
      </c>
      <c r="Q3493" s="56" t="n">
        <f aca="false">IF(OR(F3493&lt;&gt;0,AND(I3493&lt;&gt;"",E3493&lt;I3493)),1,0)</f>
        <v>0</v>
      </c>
      <c r="R3493" s="56" t="n">
        <f aca="false">IF(AND(D3493&gt;1,Q3493=0,ISNUMBER(O3493),ISNUMBER(P3493)),IF(Q3492=0,1,0),0)</f>
        <v>1</v>
      </c>
      <c r="S3493" s="56" t="n">
        <f aca="false">R3493*(B3493&gt;=Train_Start)*(B3493&lt;=Train_End)</f>
        <v>0</v>
      </c>
      <c r="T3493" s="84" t="n">
        <f aca="false">IF(AND(ISNUMBER(O3493),ISNUMBER(P3493)),Coef_A+Coef_B1*O3493+Coef_B2*P3493,"")</f>
        <v>20.225994438117</v>
      </c>
      <c r="U3493" s="84" t="n">
        <f aca="false">IF(AND(R3493=1,ISNUMBER(T3493)),E3493-T3493,"")</f>
        <v>-2.42599443811702</v>
      </c>
      <c r="V3493" s="84" t="n">
        <f aca="false">IF(ISNUMBER(T3493),T3493,-99)</f>
        <v>20.225994438117</v>
      </c>
      <c r="W3493" s="84" t="n">
        <f aca="false">IF(ISNUMBER(U3493),ABS(U3493),"")</f>
        <v>2.42599443811702</v>
      </c>
    </row>
    <row r="3494" customFormat="false" ht="15" hidden="false" customHeight="false" outlineLevel="0" collapsed="false">
      <c r="A3494" s="57" t="n">
        <v>37138</v>
      </c>
      <c r="B3494" s="56" t="n">
        <v>2001</v>
      </c>
      <c r="C3494" s="56" t="n">
        <v>9</v>
      </c>
      <c r="D3494" s="56" t="n">
        <v>127</v>
      </c>
      <c r="E3494" s="56" t="n">
        <v>20.2</v>
      </c>
      <c r="F3494" s="56" t="n">
        <v>0</v>
      </c>
      <c r="G3494" s="56" t="n">
        <v>10.8</v>
      </c>
      <c r="H3494" s="56" t="n">
        <v>0</v>
      </c>
      <c r="I3494" s="56" t="n">
        <v>14.3</v>
      </c>
      <c r="J3494" s="56" t="n">
        <v>0</v>
      </c>
      <c r="K3494" s="56" t="n">
        <v>1016.9</v>
      </c>
      <c r="L3494" s="56" t="n">
        <v>0</v>
      </c>
      <c r="M3494" s="56" t="n">
        <v>66</v>
      </c>
      <c r="N3494" s="56" t="n">
        <v>10.3</v>
      </c>
      <c r="O3494" s="56" t="n">
        <f aca="false">IF(D3494=1,"",E3493)</f>
        <v>17.8</v>
      </c>
      <c r="P3494" s="56" t="n">
        <f aca="false">IF(OR(D3494=1,K3493=""),"",K3493)</f>
        <v>1012.9</v>
      </c>
      <c r="Q3494" s="56" t="n">
        <f aca="false">IF(OR(F3494&lt;&gt;0,AND(I3494&lt;&gt;"",E3494&lt;I3494)),1,0)</f>
        <v>0</v>
      </c>
      <c r="R3494" s="56" t="n">
        <f aca="false">IF(AND(D3494&gt;1,Q3494=0,ISNUMBER(O3494),ISNUMBER(P3494)),IF(Q3493=0,1,0),0)</f>
        <v>1</v>
      </c>
      <c r="S3494" s="56" t="n">
        <f aca="false">R3494*(B3494&gt;=Train_Start)*(B3494&lt;=Train_End)</f>
        <v>0</v>
      </c>
      <c r="T3494" s="84" t="n">
        <f aca="false">IF(AND(ISNUMBER(O3494),ISNUMBER(P3494)),Coef_A+Coef_B1*O3494+Coef_B2*P3494,"")</f>
        <v>18.4457793329229</v>
      </c>
      <c r="U3494" s="84" t="n">
        <f aca="false">IF(AND(R3494=1,ISNUMBER(T3494)),E3494-T3494,"")</f>
        <v>1.75422066707714</v>
      </c>
      <c r="V3494" s="84" t="n">
        <f aca="false">IF(ISNUMBER(T3494),T3494,-99)</f>
        <v>18.4457793329229</v>
      </c>
      <c r="W3494" s="84" t="n">
        <f aca="false">IF(ISNUMBER(U3494),ABS(U3494),"")</f>
        <v>1.75422066707714</v>
      </c>
    </row>
    <row r="3495" customFormat="false" ht="15" hidden="false" customHeight="false" outlineLevel="0" collapsed="false">
      <c r="A3495" s="57" t="n">
        <v>37139</v>
      </c>
      <c r="B3495" s="56" t="n">
        <v>2001</v>
      </c>
      <c r="C3495" s="56" t="n">
        <v>9</v>
      </c>
      <c r="D3495" s="56" t="n">
        <v>128</v>
      </c>
      <c r="E3495" s="56" t="n">
        <v>19.4</v>
      </c>
      <c r="F3495" s="56" t="n">
        <v>0</v>
      </c>
      <c r="G3495" s="56" t="n">
        <v>7.8</v>
      </c>
      <c r="H3495" s="56" t="n">
        <v>0</v>
      </c>
      <c r="I3495" s="56" t="n">
        <v>14</v>
      </c>
      <c r="J3495" s="56" t="n">
        <v>0</v>
      </c>
      <c r="K3495" s="56" t="n">
        <v>1020.6</v>
      </c>
      <c r="L3495" s="56" t="n">
        <v>0</v>
      </c>
      <c r="M3495" s="56" t="n">
        <v>79</v>
      </c>
      <c r="N3495" s="56" t="n">
        <v>2.4</v>
      </c>
      <c r="O3495" s="56" t="n">
        <f aca="false">IF(D3495=1,"",E3494)</f>
        <v>20.2</v>
      </c>
      <c r="P3495" s="56" t="n">
        <f aca="false">IF(OR(D3495=1,K3494=""),"",K3494)</f>
        <v>1016.9</v>
      </c>
      <c r="Q3495" s="56" t="n">
        <f aca="false">IF(OR(F3495&lt;&gt;0,AND(I3495&lt;&gt;"",E3495&lt;I3495)),1,0)</f>
        <v>0</v>
      </c>
      <c r="R3495" s="56" t="n">
        <f aca="false">IF(AND(D3495&gt;1,Q3495=0,ISNUMBER(O3495),ISNUMBER(P3495)),IF(Q3494=0,1,0),0)</f>
        <v>1</v>
      </c>
      <c r="S3495" s="56" t="n">
        <f aca="false">R3495*(B3495&gt;=Train_Start)*(B3495&lt;=Train_End)</f>
        <v>0</v>
      </c>
      <c r="T3495" s="84" t="n">
        <f aca="false">IF(AND(ISNUMBER(O3495),ISNUMBER(P3495)),Coef_A+Coef_B1*O3495+Coef_B2*P3495,"")</f>
        <v>20.5376729747612</v>
      </c>
      <c r="U3495" s="84" t="n">
        <f aca="false">IF(AND(R3495=1,ISNUMBER(T3495)),E3495-T3495,"")</f>
        <v>-1.13767297476119</v>
      </c>
      <c r="V3495" s="84" t="n">
        <f aca="false">IF(ISNUMBER(T3495),T3495,-99)</f>
        <v>20.5376729747612</v>
      </c>
      <c r="W3495" s="84" t="n">
        <f aca="false">IF(ISNUMBER(U3495),ABS(U3495),"")</f>
        <v>1.13767297476119</v>
      </c>
    </row>
    <row r="3496" customFormat="false" ht="15" hidden="false" customHeight="false" outlineLevel="0" collapsed="false">
      <c r="A3496" s="57" t="n">
        <v>37140</v>
      </c>
      <c r="B3496" s="56" t="n">
        <v>2001</v>
      </c>
      <c r="C3496" s="56" t="n">
        <v>9</v>
      </c>
      <c r="D3496" s="56" t="n">
        <v>129</v>
      </c>
      <c r="E3496" s="56" t="n">
        <v>20.9</v>
      </c>
      <c r="F3496" s="56" t="n">
        <v>0</v>
      </c>
      <c r="G3496" s="56" t="n">
        <v>13</v>
      </c>
      <c r="H3496" s="56" t="n">
        <v>0</v>
      </c>
      <c r="I3496" s="56" t="n">
        <v>16.2</v>
      </c>
      <c r="J3496" s="56" t="n">
        <v>0</v>
      </c>
      <c r="K3496" s="56" t="n">
        <v>1017.4</v>
      </c>
      <c r="L3496" s="56" t="n">
        <v>0</v>
      </c>
      <c r="M3496" s="56" t="n">
        <v>72</v>
      </c>
      <c r="N3496" s="56" t="n">
        <v>8.3</v>
      </c>
      <c r="O3496" s="56" t="n">
        <f aca="false">IF(D3496=1,"",E3495)</f>
        <v>19.4</v>
      </c>
      <c r="P3496" s="56" t="n">
        <f aca="false">IF(OR(D3496=1,K3495=""),"",K3495)</f>
        <v>1020.6</v>
      </c>
      <c r="Q3496" s="56" t="n">
        <f aca="false">IF(OR(F3496&lt;&gt;0,AND(I3496&lt;&gt;"",E3496&lt;I3496)),1,0)</f>
        <v>0</v>
      </c>
      <c r="R3496" s="56" t="n">
        <f aca="false">IF(AND(D3496&gt;1,Q3496=0,ISNUMBER(O3496),ISNUMBER(P3496)),IF(Q3495=0,1,0),0)</f>
        <v>1</v>
      </c>
      <c r="S3496" s="56" t="n">
        <f aca="false">R3496*(B3496&gt;=Train_Start)*(B3496&lt;=Train_End)</f>
        <v>0</v>
      </c>
      <c r="T3496" s="84" t="n">
        <f aca="false">IF(AND(ISNUMBER(O3496),ISNUMBER(P3496)),Coef_A+Coef_B1*O3496+Coef_B2*P3496,"")</f>
        <v>19.9982702304728</v>
      </c>
      <c r="U3496" s="84" t="n">
        <f aca="false">IF(AND(R3496=1,ISNUMBER(T3496)),E3496-T3496,"")</f>
        <v>0.901729769527169</v>
      </c>
      <c r="V3496" s="84" t="n">
        <f aca="false">IF(ISNUMBER(T3496),T3496,-99)</f>
        <v>19.9982702304728</v>
      </c>
      <c r="W3496" s="84" t="n">
        <f aca="false">IF(ISNUMBER(U3496),ABS(U3496),"")</f>
        <v>0.901729769527169</v>
      </c>
    </row>
    <row r="3497" customFormat="false" ht="15" hidden="false" customHeight="false" outlineLevel="0" collapsed="false">
      <c r="A3497" s="57" t="n">
        <v>37141</v>
      </c>
      <c r="B3497" s="56" t="n">
        <v>2001</v>
      </c>
      <c r="C3497" s="56" t="n">
        <v>9</v>
      </c>
      <c r="D3497" s="56" t="n">
        <v>130</v>
      </c>
      <c r="E3497" s="56" t="n">
        <v>18.3</v>
      </c>
      <c r="F3497" s="56" t="n">
        <v>0</v>
      </c>
      <c r="G3497" s="56" t="n">
        <v>11.2</v>
      </c>
      <c r="H3497" s="56" t="n">
        <v>0</v>
      </c>
      <c r="I3497" s="56" t="n">
        <v>16</v>
      </c>
      <c r="J3497" s="56" t="n">
        <v>0</v>
      </c>
      <c r="K3497" s="56" t="n">
        <v>1017.1</v>
      </c>
      <c r="L3497" s="56" t="n">
        <v>0</v>
      </c>
      <c r="M3497" s="56" t="n">
        <v>74</v>
      </c>
      <c r="N3497" s="56" t="n">
        <v>2.4</v>
      </c>
      <c r="O3497" s="56" t="n">
        <f aca="false">IF(D3497=1,"",E3496)</f>
        <v>20.9</v>
      </c>
      <c r="P3497" s="56" t="n">
        <f aca="false">IF(OR(D3497=1,K3496=""),"",K3496)</f>
        <v>1017.4</v>
      </c>
      <c r="Q3497" s="56" t="n">
        <f aca="false">IF(OR(F3497&lt;&gt;0,AND(I3497&lt;&gt;"",E3497&lt;I3497)),1,0)</f>
        <v>0</v>
      </c>
      <c r="R3497" s="56" t="n">
        <f aca="false">IF(AND(D3497&gt;1,Q3497=0,ISNUMBER(O3497),ISNUMBER(P3497)),IF(Q3496=0,1,0),0)</f>
        <v>1</v>
      </c>
      <c r="S3497" s="56" t="n">
        <f aca="false">R3497*(B3497&gt;=Train_Start)*(B3497&lt;=Train_End)</f>
        <v>0</v>
      </c>
      <c r="T3497" s="84" t="n">
        <f aca="false">IF(AND(ISNUMBER(O3497),ISNUMBER(P3497)),Coef_A+Coef_B1*O3497+Coef_B2*P3497,"")</f>
        <v>21.1268953572081</v>
      </c>
      <c r="U3497" s="84" t="n">
        <f aca="false">IF(AND(R3497=1,ISNUMBER(T3497)),E3497-T3497,"")</f>
        <v>-2.82689535720805</v>
      </c>
      <c r="V3497" s="84" t="n">
        <f aca="false">IF(ISNUMBER(T3497),T3497,-99)</f>
        <v>21.1268953572081</v>
      </c>
      <c r="W3497" s="84" t="n">
        <f aca="false">IF(ISNUMBER(U3497),ABS(U3497),"")</f>
        <v>2.82689535720805</v>
      </c>
    </row>
    <row r="3498" customFormat="false" ht="15" hidden="false" customHeight="false" outlineLevel="0" collapsed="false">
      <c r="A3498" s="57" t="n">
        <v>37142</v>
      </c>
      <c r="B3498" s="56" t="n">
        <v>2001</v>
      </c>
      <c r="C3498" s="56" t="n">
        <v>9</v>
      </c>
      <c r="D3498" s="56" t="n">
        <v>131</v>
      </c>
      <c r="E3498" s="56" t="n">
        <v>15.8</v>
      </c>
      <c r="F3498" s="56" t="n">
        <v>1</v>
      </c>
      <c r="G3498" s="56" t="n">
        <v>13.8</v>
      </c>
      <c r="H3498" s="56" t="n">
        <v>0</v>
      </c>
      <c r="I3498" s="56" t="n">
        <v>16</v>
      </c>
      <c r="J3498" s="56" t="n">
        <v>1</v>
      </c>
      <c r="K3498" s="56" t="n">
        <v>1014.7</v>
      </c>
      <c r="L3498" s="56" t="n">
        <v>0</v>
      </c>
      <c r="M3498" s="56" t="n">
        <v>65</v>
      </c>
      <c r="N3498" s="56" t="n">
        <v>6.9</v>
      </c>
      <c r="O3498" s="56" t="n">
        <f aca="false">IF(D3498=1,"",E3497)</f>
        <v>18.3</v>
      </c>
      <c r="P3498" s="56" t="n">
        <f aca="false">IF(OR(D3498=1,K3497=""),"",K3497)</f>
        <v>1017.1</v>
      </c>
      <c r="Q3498" s="56" t="n">
        <f aca="false">IF(OR(F3498&lt;&gt;0,AND(I3498&lt;&gt;"",E3498&lt;I3498)),1,0)</f>
        <v>1</v>
      </c>
      <c r="R3498" s="56" t="n">
        <f aca="false">IF(AND(D3498&gt;1,Q3498=0,ISNUMBER(O3498),ISNUMBER(P3498)),IF(Q3497=0,1,0),0)</f>
        <v>0</v>
      </c>
      <c r="S3498" s="56" t="n">
        <f aca="false">R3498*(B3498&gt;=Train_Start)*(B3498&lt;=Train_End)</f>
        <v>0</v>
      </c>
      <c r="T3498" s="84" t="n">
        <f aca="false">IF(AND(ISNUMBER(O3498),ISNUMBER(P3498)),Coef_A+Coef_B1*O3498+Coef_B2*P3498,"")</f>
        <v>18.9872024869069</v>
      </c>
      <c r="U3498" s="84" t="str">
        <f aca="false">IF(AND(R3498=1,ISNUMBER(T3498)),E3498-T3498,"")</f>
        <v/>
      </c>
      <c r="V3498" s="84" t="n">
        <f aca="false">IF(ISNUMBER(T3498),T3498,-99)</f>
        <v>18.9872024869069</v>
      </c>
      <c r="W3498" s="84" t="str">
        <f aca="false">IF(ISNUMBER(U3498),ABS(U3498),"")</f>
        <v/>
      </c>
    </row>
    <row r="3499" customFormat="false" ht="15" hidden="false" customHeight="false" outlineLevel="0" collapsed="false">
      <c r="A3499" s="57" t="n">
        <v>37143</v>
      </c>
      <c r="B3499" s="56" t="n">
        <v>2001</v>
      </c>
      <c r="C3499" s="56" t="n">
        <v>9</v>
      </c>
      <c r="D3499" s="56" t="n">
        <v>132</v>
      </c>
      <c r="E3499" s="56" t="n">
        <v>17.1</v>
      </c>
      <c r="F3499" s="56" t="n">
        <v>0</v>
      </c>
      <c r="G3499" s="56" t="n">
        <v>8.8</v>
      </c>
      <c r="H3499" s="56" t="n">
        <v>0</v>
      </c>
      <c r="I3499" s="56" t="n">
        <v>12.3</v>
      </c>
      <c r="J3499" s="56" t="n">
        <v>0</v>
      </c>
      <c r="K3499" s="56" t="n">
        <v>1018.8</v>
      </c>
      <c r="L3499" s="56" t="n">
        <v>0</v>
      </c>
      <c r="M3499" s="56" t="n">
        <v>66</v>
      </c>
      <c r="N3499" s="56" t="n">
        <v>8</v>
      </c>
      <c r="O3499" s="56" t="n">
        <f aca="false">IF(D3499=1,"",E3498)</f>
        <v>15.8</v>
      </c>
      <c r="P3499" s="56" t="n">
        <f aca="false">IF(OR(D3499=1,K3498=""),"",K3498)</f>
        <v>1014.7</v>
      </c>
      <c r="Q3499" s="56" t="n">
        <f aca="false">IF(OR(F3499&lt;&gt;0,AND(I3499&lt;&gt;"",E3499&lt;I3499)),1,0)</f>
        <v>0</v>
      </c>
      <c r="R3499" s="56" t="n">
        <f aca="false">IF(AND(D3499&gt;1,Q3499=0,ISNUMBER(O3499),ISNUMBER(P3499)),IF(Q3498=0,1,0),0)</f>
        <v>0</v>
      </c>
      <c r="S3499" s="56" t="n">
        <f aca="false">R3499*(B3499&gt;=Train_Start)*(B3499&lt;=Train_End)</f>
        <v>0</v>
      </c>
      <c r="T3499" s="84" t="n">
        <f aca="false">IF(AND(ISNUMBER(O3499),ISNUMBER(P3499)),Coef_A+Coef_B1*O3499+Coef_B2*P3499,"")</f>
        <v>16.8635667571787</v>
      </c>
      <c r="U3499" s="84" t="str">
        <f aca="false">IF(AND(R3499=1,ISNUMBER(T3499)),E3499-T3499,"")</f>
        <v/>
      </c>
      <c r="V3499" s="84" t="n">
        <f aca="false">IF(ISNUMBER(T3499),T3499,-99)</f>
        <v>16.8635667571787</v>
      </c>
      <c r="W3499" s="84" t="str">
        <f aca="false">IF(ISNUMBER(U3499),ABS(U3499),"")</f>
        <v/>
      </c>
    </row>
    <row r="3500" customFormat="false" ht="15" hidden="false" customHeight="false" outlineLevel="0" collapsed="false">
      <c r="A3500" s="57" t="n">
        <v>37144</v>
      </c>
      <c r="B3500" s="56" t="n">
        <v>2001</v>
      </c>
      <c r="C3500" s="56" t="n">
        <v>9</v>
      </c>
      <c r="D3500" s="56" t="n">
        <v>133</v>
      </c>
      <c r="E3500" s="56" t="n">
        <v>17.9</v>
      </c>
      <c r="F3500" s="56" t="n">
        <v>0</v>
      </c>
      <c r="G3500" s="56" t="n">
        <v>8.6</v>
      </c>
      <c r="H3500" s="56" t="n">
        <v>0</v>
      </c>
      <c r="I3500" s="56" t="n">
        <v>12.8</v>
      </c>
      <c r="J3500" s="56" t="n">
        <v>0</v>
      </c>
      <c r="K3500" s="56" t="n">
        <v>1019.9</v>
      </c>
      <c r="L3500" s="56" t="n">
        <v>0</v>
      </c>
      <c r="M3500" s="56" t="n">
        <v>69</v>
      </c>
      <c r="N3500" s="56" t="n">
        <v>9.9</v>
      </c>
      <c r="O3500" s="56" t="n">
        <f aca="false">IF(D3500=1,"",E3499)</f>
        <v>17.1</v>
      </c>
      <c r="P3500" s="56" t="n">
        <f aca="false">IF(OR(D3500=1,K3499=""),"",K3499)</f>
        <v>1018.8</v>
      </c>
      <c r="Q3500" s="56" t="n">
        <f aca="false">IF(OR(F3500&lt;&gt;0,AND(I3500&lt;&gt;"",E3500&lt;I3500)),1,0)</f>
        <v>0</v>
      </c>
      <c r="R3500" s="56" t="n">
        <f aca="false">IF(AND(D3500&gt;1,Q3500=0,ISNUMBER(O3500),ISNUMBER(P3500)),IF(Q3499=0,1,0),0)</f>
        <v>1</v>
      </c>
      <c r="S3500" s="56" t="n">
        <f aca="false">R3500*(B3500&gt;=Train_Start)*(B3500&lt;=Train_End)</f>
        <v>0</v>
      </c>
      <c r="T3500" s="84" t="n">
        <f aca="false">IF(AND(ISNUMBER(O3500),ISNUMBER(P3500)),Coef_A+Coef_B1*O3500+Coef_B2*P3500,"")</f>
        <v>18.0573242761335</v>
      </c>
      <c r="U3500" s="84" t="n">
        <f aca="false">IF(AND(R3500=1,ISNUMBER(T3500)),E3500-T3500,"")</f>
        <v>-0.157324276133537</v>
      </c>
      <c r="V3500" s="84" t="n">
        <f aca="false">IF(ISNUMBER(T3500),T3500,-99)</f>
        <v>18.0573242761335</v>
      </c>
      <c r="W3500" s="84" t="n">
        <f aca="false">IF(ISNUMBER(U3500),ABS(U3500),"")</f>
        <v>0.157324276133537</v>
      </c>
    </row>
    <row r="3501" customFormat="false" ht="15" hidden="false" customHeight="false" outlineLevel="0" collapsed="false">
      <c r="A3501" s="57" t="n">
        <v>37145</v>
      </c>
      <c r="B3501" s="56" t="n">
        <v>2001</v>
      </c>
      <c r="C3501" s="56" t="n">
        <v>9</v>
      </c>
      <c r="D3501" s="56" t="n">
        <v>134</v>
      </c>
      <c r="E3501" s="56" t="n">
        <v>18.9</v>
      </c>
      <c r="F3501" s="56" t="n">
        <v>0</v>
      </c>
      <c r="G3501" s="56" t="n">
        <v>10</v>
      </c>
      <c r="H3501" s="56" t="n">
        <v>0</v>
      </c>
      <c r="I3501" s="56" t="n">
        <v>14</v>
      </c>
      <c r="J3501" s="56" t="n">
        <v>0</v>
      </c>
      <c r="K3501" s="56" t="n">
        <v>1019</v>
      </c>
      <c r="L3501" s="56" t="n">
        <v>0</v>
      </c>
      <c r="M3501" s="56" t="n">
        <v>74</v>
      </c>
      <c r="N3501" s="56" t="n">
        <v>0.3</v>
      </c>
      <c r="O3501" s="56" t="n">
        <f aca="false">IF(D3501=1,"",E3500)</f>
        <v>17.9</v>
      </c>
      <c r="P3501" s="56" t="n">
        <f aca="false">IF(OR(D3501=1,K3500=""),"",K3500)</f>
        <v>1019.9</v>
      </c>
      <c r="Q3501" s="56" t="n">
        <f aca="false">IF(OR(F3501&lt;&gt;0,AND(I3501&lt;&gt;"",E3501&lt;I3501)),1,0)</f>
        <v>0</v>
      </c>
      <c r="R3501" s="56" t="n">
        <f aca="false">IF(AND(D3501&gt;1,Q3501=0,ISNUMBER(O3501),ISNUMBER(P3501)),IF(Q3500=0,1,0),0)</f>
        <v>1</v>
      </c>
      <c r="S3501" s="56" t="n">
        <f aca="false">R3501*(B3501&gt;=Train_Start)*(B3501&lt;=Train_End)</f>
        <v>0</v>
      </c>
      <c r="T3501" s="84" t="n">
        <f aca="false">IF(AND(ISNUMBER(O3501),ISNUMBER(P3501)),Coef_A+Coef_B1*O3501+Coef_B2*P3501,"")</f>
        <v>18.747302514665</v>
      </c>
      <c r="U3501" s="84" t="n">
        <f aca="false">IF(AND(R3501=1,ISNUMBER(T3501)),E3501-T3501,"")</f>
        <v>0.152697485334954</v>
      </c>
      <c r="V3501" s="84" t="n">
        <f aca="false">IF(ISNUMBER(T3501),T3501,-99)</f>
        <v>18.747302514665</v>
      </c>
      <c r="W3501" s="84" t="n">
        <f aca="false">IF(ISNUMBER(U3501),ABS(U3501),"")</f>
        <v>0.152697485334954</v>
      </c>
    </row>
    <row r="3502" customFormat="false" ht="15" hidden="false" customHeight="false" outlineLevel="0" collapsed="false">
      <c r="A3502" s="57" t="n">
        <v>37146</v>
      </c>
      <c r="B3502" s="56" t="n">
        <v>2001</v>
      </c>
      <c r="C3502" s="56" t="n">
        <v>9</v>
      </c>
      <c r="D3502" s="56" t="n">
        <v>135</v>
      </c>
      <c r="E3502" s="56" t="n">
        <v>16.9</v>
      </c>
      <c r="F3502" s="56" t="n">
        <v>0</v>
      </c>
      <c r="G3502" s="56" t="n">
        <v>11.4</v>
      </c>
      <c r="H3502" s="56" t="n">
        <v>0</v>
      </c>
      <c r="I3502" s="56" t="n">
        <v>15.2</v>
      </c>
      <c r="J3502" s="56" t="n">
        <v>0</v>
      </c>
      <c r="K3502" s="56" t="n">
        <v>1014.4</v>
      </c>
      <c r="L3502" s="56" t="n">
        <v>0</v>
      </c>
      <c r="M3502" s="56" t="n">
        <v>80</v>
      </c>
      <c r="N3502" s="56" t="n">
        <v>2</v>
      </c>
      <c r="O3502" s="56" t="n">
        <f aca="false">IF(D3502=1,"",E3501)</f>
        <v>18.9</v>
      </c>
      <c r="P3502" s="56" t="n">
        <f aca="false">IF(OR(D3502=1,K3501=""),"",K3501)</f>
        <v>1019</v>
      </c>
      <c r="Q3502" s="56" t="n">
        <f aca="false">IF(OR(F3502&lt;&gt;0,AND(I3502&lt;&gt;"",E3502&lt;I3502)),1,0)</f>
        <v>0</v>
      </c>
      <c r="R3502" s="56" t="n">
        <f aca="false">IF(AND(D3502&gt;1,Q3502=0,ISNUMBER(O3502),ISNUMBER(P3502)),IF(Q3501=0,1,0),0)</f>
        <v>1</v>
      </c>
      <c r="S3502" s="56" t="n">
        <f aca="false">R3502*(B3502&gt;=Train_Start)*(B3502&lt;=Train_End)</f>
        <v>0</v>
      </c>
      <c r="T3502" s="84" t="n">
        <f aca="false">IF(AND(ISNUMBER(O3502),ISNUMBER(P3502)),Coef_A+Coef_B1*O3502+Coef_B2*P3502,"")</f>
        <v>19.5384088025371</v>
      </c>
      <c r="U3502" s="84" t="n">
        <f aca="false">IF(AND(R3502=1,ISNUMBER(T3502)),E3502-T3502,"")</f>
        <v>-2.63840880253712</v>
      </c>
      <c r="V3502" s="84" t="n">
        <f aca="false">IF(ISNUMBER(T3502),T3502,-99)</f>
        <v>19.5384088025371</v>
      </c>
      <c r="W3502" s="84" t="n">
        <f aca="false">IF(ISNUMBER(U3502),ABS(U3502),"")</f>
        <v>2.63840880253712</v>
      </c>
    </row>
    <row r="3503" customFormat="false" ht="15" hidden="false" customHeight="false" outlineLevel="0" collapsed="false">
      <c r="A3503" s="57" t="n">
        <v>37147</v>
      </c>
      <c r="B3503" s="56" t="n">
        <v>2001</v>
      </c>
      <c r="C3503" s="56" t="n">
        <v>9</v>
      </c>
      <c r="D3503" s="56" t="n">
        <v>136</v>
      </c>
      <c r="E3503" s="56" t="n">
        <v>19</v>
      </c>
      <c r="F3503" s="56" t="n">
        <v>0</v>
      </c>
      <c r="G3503" s="56" t="n">
        <v>10.5</v>
      </c>
      <c r="H3503" s="56" t="n">
        <v>0</v>
      </c>
      <c r="I3503" s="56" t="n">
        <v>13.7</v>
      </c>
      <c r="J3503" s="56" t="n">
        <v>0</v>
      </c>
      <c r="K3503" s="56" t="n">
        <v>1002.9</v>
      </c>
      <c r="L3503" s="56" t="n">
        <v>0</v>
      </c>
      <c r="M3503" s="56" t="n">
        <v>82</v>
      </c>
      <c r="N3503" s="56" t="n">
        <v>5.1</v>
      </c>
      <c r="O3503" s="56" t="n">
        <f aca="false">IF(D3503=1,"",E3502)</f>
        <v>16.9</v>
      </c>
      <c r="P3503" s="56" t="n">
        <f aca="false">IF(OR(D3503=1,K3502=""),"",K3502)</f>
        <v>1014.4</v>
      </c>
      <c r="Q3503" s="56" t="n">
        <f aca="false">IF(OR(F3503&lt;&gt;0,AND(I3503&lt;&gt;"",E3503&lt;I3503)),1,0)</f>
        <v>0</v>
      </c>
      <c r="R3503" s="56" t="n">
        <f aca="false">IF(AND(D3503&gt;1,Q3503=0,ISNUMBER(O3503),ISNUMBER(P3503)),IF(Q3502=0,1,0),0)</f>
        <v>1</v>
      </c>
      <c r="S3503" s="56" t="n">
        <f aca="false">R3503*(B3503&gt;=Train_Start)*(B3503&lt;=Train_End)</f>
        <v>0</v>
      </c>
      <c r="T3503" s="84" t="n">
        <f aca="false">IF(AND(ISNUMBER(O3503),ISNUMBER(P3503)),Coef_A+Coef_B1*O3503+Coef_B2*P3503,"")</f>
        <v>17.7554289011355</v>
      </c>
      <c r="U3503" s="84" t="n">
        <f aca="false">IF(AND(R3503=1,ISNUMBER(T3503)),E3503-T3503,"")</f>
        <v>1.24457109886455</v>
      </c>
      <c r="V3503" s="84" t="n">
        <f aca="false">IF(ISNUMBER(T3503),T3503,-99)</f>
        <v>17.7554289011355</v>
      </c>
      <c r="W3503" s="84" t="n">
        <f aca="false">IF(ISNUMBER(U3503),ABS(U3503),"")</f>
        <v>1.24457109886455</v>
      </c>
    </row>
    <row r="3504" customFormat="false" ht="15" hidden="false" customHeight="false" outlineLevel="0" collapsed="false">
      <c r="A3504" s="57" t="n">
        <v>37148</v>
      </c>
      <c r="B3504" s="56" t="n">
        <v>2001</v>
      </c>
      <c r="C3504" s="56" t="n">
        <v>9</v>
      </c>
      <c r="D3504" s="56" t="n">
        <v>137</v>
      </c>
      <c r="E3504" s="56" t="n">
        <v>18.7</v>
      </c>
      <c r="F3504" s="56" t="n">
        <v>0</v>
      </c>
      <c r="G3504" s="56" t="n">
        <v>10.9</v>
      </c>
      <c r="H3504" s="56" t="n">
        <v>0</v>
      </c>
      <c r="I3504" s="56" t="n">
        <v>15</v>
      </c>
      <c r="J3504" s="56" t="n">
        <v>0</v>
      </c>
      <c r="K3504" s="56" t="n">
        <v>1010.5</v>
      </c>
      <c r="L3504" s="56" t="n">
        <v>0</v>
      </c>
      <c r="M3504" s="56" t="n">
        <v>71</v>
      </c>
      <c r="N3504" s="56" t="n">
        <v>9.6</v>
      </c>
      <c r="O3504" s="56" t="n">
        <f aca="false">IF(D3504=1,"",E3503)</f>
        <v>19</v>
      </c>
      <c r="P3504" s="56" t="n">
        <f aca="false">IF(OR(D3504=1,K3503=""),"",K3503)</f>
        <v>1002.9</v>
      </c>
      <c r="Q3504" s="56" t="n">
        <f aca="false">IF(OR(F3504&lt;&gt;0,AND(I3504&lt;&gt;"",E3504&lt;I3504)),1,0)</f>
        <v>0</v>
      </c>
      <c r="R3504" s="56" t="n">
        <f aca="false">IF(AND(D3504&gt;1,Q3504=0,ISNUMBER(O3504),ISNUMBER(P3504)),IF(Q3503=0,1,0),0)</f>
        <v>1</v>
      </c>
      <c r="S3504" s="56" t="n">
        <f aca="false">R3504*(B3504&gt;=Train_Start)*(B3504&lt;=Train_End)</f>
        <v>0</v>
      </c>
      <c r="T3504" s="84" t="n">
        <f aca="false">IF(AND(ISNUMBER(O3504),ISNUMBER(P3504)),Coef_A+Coef_B1*O3504+Coef_B2*P3504,"")</f>
        <v>19.1152874182342</v>
      </c>
      <c r="U3504" s="84" t="n">
        <f aca="false">IF(AND(R3504=1,ISNUMBER(T3504)),E3504-T3504,"")</f>
        <v>-0.415287418234154</v>
      </c>
      <c r="V3504" s="84" t="n">
        <f aca="false">IF(ISNUMBER(T3504),T3504,-99)</f>
        <v>19.1152874182342</v>
      </c>
      <c r="W3504" s="84" t="n">
        <f aca="false">IF(ISNUMBER(U3504),ABS(U3504),"")</f>
        <v>0.415287418234154</v>
      </c>
    </row>
    <row r="3505" customFormat="false" ht="15" hidden="false" customHeight="false" outlineLevel="0" collapsed="false">
      <c r="A3505" s="57" t="n">
        <v>37149</v>
      </c>
      <c r="B3505" s="56" t="n">
        <v>2001</v>
      </c>
      <c r="C3505" s="56" t="n">
        <v>9</v>
      </c>
      <c r="D3505" s="56" t="n">
        <v>138</v>
      </c>
      <c r="E3505" s="56" t="n">
        <v>17.4</v>
      </c>
      <c r="F3505" s="56" t="n">
        <v>0</v>
      </c>
      <c r="G3505" s="56" t="n">
        <v>11</v>
      </c>
      <c r="H3505" s="56" t="n">
        <v>0</v>
      </c>
      <c r="I3505" s="56" t="n">
        <v>14.8</v>
      </c>
      <c r="J3505" s="56" t="n">
        <v>0</v>
      </c>
      <c r="K3505" s="56" t="n">
        <v>1012.5</v>
      </c>
      <c r="L3505" s="56" t="n">
        <v>0</v>
      </c>
      <c r="M3505" s="56" t="n">
        <v>65</v>
      </c>
      <c r="N3505" s="56" t="n">
        <v>8.3</v>
      </c>
      <c r="O3505" s="56" t="n">
        <f aca="false">IF(D3505=1,"",E3504)</f>
        <v>18.7</v>
      </c>
      <c r="P3505" s="56" t="n">
        <f aca="false">IF(OR(D3505=1,K3504=""),"",K3504)</f>
        <v>1010.5</v>
      </c>
      <c r="Q3505" s="56" t="n">
        <f aca="false">IF(OR(F3505&lt;&gt;0,AND(I3505&lt;&gt;"",E3505&lt;I3505)),1,0)</f>
        <v>0</v>
      </c>
      <c r="R3505" s="56" t="n">
        <f aca="false">IF(AND(D3505&gt;1,Q3505=0,ISNUMBER(O3505),ISNUMBER(P3505)),IF(Q3504=0,1,0),0)</f>
        <v>1</v>
      </c>
      <c r="S3505" s="56" t="n">
        <f aca="false">R3505*(B3505&gt;=Train_Start)*(B3505&lt;=Train_End)</f>
        <v>0</v>
      </c>
      <c r="T3505" s="84" t="n">
        <f aca="false">IF(AND(ISNUMBER(O3505),ISNUMBER(P3505)),Coef_A+Coef_B1*O3505+Coef_B2*P3505,"")</f>
        <v>19.1078968595397</v>
      </c>
      <c r="U3505" s="84" t="n">
        <f aca="false">IF(AND(R3505=1,ISNUMBER(T3505)),E3505-T3505,"")</f>
        <v>-1.70789685953967</v>
      </c>
      <c r="V3505" s="84" t="n">
        <f aca="false">IF(ISNUMBER(T3505),T3505,-99)</f>
        <v>19.1078968595397</v>
      </c>
      <c r="W3505" s="84" t="n">
        <f aca="false">IF(ISNUMBER(U3505),ABS(U3505),"")</f>
        <v>1.70789685953967</v>
      </c>
    </row>
    <row r="3506" customFormat="false" ht="15" hidden="false" customHeight="false" outlineLevel="0" collapsed="false">
      <c r="A3506" s="57" t="n">
        <v>37150</v>
      </c>
      <c r="B3506" s="56" t="n">
        <v>2001</v>
      </c>
      <c r="C3506" s="56" t="n">
        <v>9</v>
      </c>
      <c r="D3506" s="56" t="n">
        <v>139</v>
      </c>
      <c r="E3506" s="56" t="n">
        <v>13.6</v>
      </c>
      <c r="F3506" s="56" t="n">
        <v>0</v>
      </c>
      <c r="G3506" s="56" t="n">
        <v>9.9</v>
      </c>
      <c r="H3506" s="56" t="n">
        <v>0</v>
      </c>
      <c r="I3506" s="56" t="n">
        <v>13.6</v>
      </c>
      <c r="J3506" s="56" t="n">
        <v>0</v>
      </c>
      <c r="K3506" s="56" t="n">
        <v>1018.5</v>
      </c>
      <c r="L3506" s="56" t="n">
        <v>0</v>
      </c>
      <c r="M3506" s="56" t="n">
        <v>68</v>
      </c>
      <c r="N3506" s="56" t="n">
        <v>9.4</v>
      </c>
      <c r="O3506" s="56" t="n">
        <f aca="false">IF(D3506=1,"",E3505)</f>
        <v>17.4</v>
      </c>
      <c r="P3506" s="56" t="n">
        <f aca="false">IF(OR(D3506=1,K3505=""),"",K3505)</f>
        <v>1012.5</v>
      </c>
      <c r="Q3506" s="56" t="n">
        <f aca="false">IF(OR(F3506&lt;&gt;0,AND(I3506&lt;&gt;"",E3506&lt;I3506)),1,0)</f>
        <v>0</v>
      </c>
      <c r="R3506" s="56" t="n">
        <f aca="false">IF(AND(D3506&gt;1,Q3506=0,ISNUMBER(O3506),ISNUMBER(P3506)),IF(Q3505=0,1,0),0)</f>
        <v>1</v>
      </c>
      <c r="S3506" s="56" t="n">
        <f aca="false">R3506*(B3506&gt;=Train_Start)*(B3506&lt;=Train_End)</f>
        <v>0</v>
      </c>
      <c r="T3506" s="84" t="n">
        <f aca="false">IF(AND(ISNUMBER(O3506),ISNUMBER(P3506)),Coef_A+Coef_B1*O3506+Coef_B2*P3506,"")</f>
        <v>18.1054956978522</v>
      </c>
      <c r="U3506" s="84" t="n">
        <f aca="false">IF(AND(R3506=1,ISNUMBER(T3506)),E3506-T3506,"")</f>
        <v>-4.5054956978522</v>
      </c>
      <c r="V3506" s="84" t="n">
        <f aca="false">IF(ISNUMBER(T3506),T3506,-99)</f>
        <v>18.1054956978522</v>
      </c>
      <c r="W3506" s="84" t="n">
        <f aca="false">IF(ISNUMBER(U3506),ABS(U3506),"")</f>
        <v>4.5054956978522</v>
      </c>
    </row>
    <row r="3507" customFormat="false" ht="15" hidden="false" customHeight="false" outlineLevel="0" collapsed="false">
      <c r="A3507" s="57" t="n">
        <v>37151</v>
      </c>
      <c r="B3507" s="56" t="n">
        <v>2001</v>
      </c>
      <c r="C3507" s="56" t="n">
        <v>9</v>
      </c>
      <c r="D3507" s="56" t="n">
        <v>140</v>
      </c>
      <c r="E3507" s="56" t="n">
        <v>14.7</v>
      </c>
      <c r="F3507" s="56" t="n">
        <v>0</v>
      </c>
      <c r="G3507" s="56" t="n">
        <v>8.5</v>
      </c>
      <c r="H3507" s="56" t="n">
        <v>0</v>
      </c>
      <c r="I3507" s="56" t="n">
        <v>11</v>
      </c>
      <c r="J3507" s="56" t="n">
        <v>0</v>
      </c>
      <c r="K3507" s="56" t="n">
        <v>1020.7</v>
      </c>
      <c r="L3507" s="56" t="n">
        <v>0</v>
      </c>
      <c r="M3507" s="56" t="n">
        <v>81</v>
      </c>
      <c r="N3507" s="56" t="n">
        <v>3.1</v>
      </c>
      <c r="O3507" s="56" t="n">
        <f aca="false">IF(D3507=1,"",E3506)</f>
        <v>13.6</v>
      </c>
      <c r="P3507" s="56" t="n">
        <f aca="false">IF(OR(D3507=1,K3506=""),"",K3506)</f>
        <v>1018.5</v>
      </c>
      <c r="Q3507" s="56" t="n">
        <f aca="false">IF(OR(F3507&lt;&gt;0,AND(I3507&lt;&gt;"",E3507&lt;I3507)),1,0)</f>
        <v>0</v>
      </c>
      <c r="R3507" s="56" t="n">
        <f aca="false">IF(AND(D3507&gt;1,Q3507=0,ISNUMBER(O3507),ISNUMBER(P3507)),IF(Q3506=0,1,0),0)</f>
        <v>1</v>
      </c>
      <c r="S3507" s="56" t="n">
        <f aca="false">R3507*(B3507&gt;=Train_Start)*(B3507&lt;=Train_End)</f>
        <v>0</v>
      </c>
      <c r="T3507" s="84" t="n">
        <f aca="false">IF(AND(ISNUMBER(O3507),ISNUMBER(P3507)),Coef_A+Coef_B1*O3507+Coef_B2*P3507,"")</f>
        <v>15.180226132094</v>
      </c>
      <c r="U3507" s="84" t="n">
        <f aca="false">IF(AND(R3507=1,ISNUMBER(T3507)),E3507-T3507,"")</f>
        <v>-0.480226132094039</v>
      </c>
      <c r="V3507" s="84" t="n">
        <f aca="false">IF(ISNUMBER(T3507),T3507,-99)</f>
        <v>15.180226132094</v>
      </c>
      <c r="W3507" s="84" t="n">
        <f aca="false">IF(ISNUMBER(U3507),ABS(U3507),"")</f>
        <v>0.480226132094039</v>
      </c>
    </row>
    <row r="3508" customFormat="false" ht="15" hidden="false" customHeight="false" outlineLevel="0" collapsed="false">
      <c r="A3508" s="57" t="n">
        <v>37152</v>
      </c>
      <c r="B3508" s="56" t="n">
        <v>2001</v>
      </c>
      <c r="C3508" s="56" t="n">
        <v>9</v>
      </c>
      <c r="D3508" s="56" t="n">
        <v>141</v>
      </c>
      <c r="E3508" s="56" t="n">
        <v>14.2</v>
      </c>
      <c r="F3508" s="56" t="n">
        <v>0</v>
      </c>
      <c r="G3508" s="56" t="n">
        <v>11.1</v>
      </c>
      <c r="H3508" s="56" t="n">
        <v>0</v>
      </c>
      <c r="I3508" s="56" t="n">
        <v>12.9</v>
      </c>
      <c r="J3508" s="56" t="n">
        <v>0</v>
      </c>
      <c r="K3508" s="56" t="n">
        <v>1015.2</v>
      </c>
      <c r="L3508" s="56" t="n">
        <v>0</v>
      </c>
      <c r="M3508" s="56" t="n">
        <v>92</v>
      </c>
      <c r="N3508" s="56" t="n">
        <v>0</v>
      </c>
      <c r="O3508" s="56" t="n">
        <f aca="false">IF(D3508=1,"",E3507)</f>
        <v>14.7</v>
      </c>
      <c r="P3508" s="56" t="n">
        <f aca="false">IF(OR(D3508=1,K3507=""),"",K3507)</f>
        <v>1020.7</v>
      </c>
      <c r="Q3508" s="56" t="n">
        <f aca="false">IF(OR(F3508&lt;&gt;0,AND(I3508&lt;&gt;"",E3508&lt;I3508)),1,0)</f>
        <v>0</v>
      </c>
      <c r="R3508" s="56" t="n">
        <f aca="false">IF(AND(D3508&gt;1,Q3508=0,ISNUMBER(O3508),ISNUMBER(P3508)),IF(Q3507=0,1,0),0)</f>
        <v>1</v>
      </c>
      <c r="S3508" s="56" t="n">
        <f aca="false">R3508*(B3508&gt;=Train_Start)*(B3508&lt;=Train_End)</f>
        <v>0</v>
      </c>
      <c r="T3508" s="84" t="n">
        <f aca="false">IF(AND(ISNUMBER(O3508),ISNUMBER(P3508)),Coef_A+Coef_B1*O3508+Coef_B2*P3508,"")</f>
        <v>16.1505130126357</v>
      </c>
      <c r="U3508" s="84" t="n">
        <f aca="false">IF(AND(R3508=1,ISNUMBER(T3508)),E3508-T3508,"")</f>
        <v>-1.95051301263574</v>
      </c>
      <c r="V3508" s="84" t="n">
        <f aca="false">IF(ISNUMBER(T3508),T3508,-99)</f>
        <v>16.1505130126357</v>
      </c>
      <c r="W3508" s="84" t="n">
        <f aca="false">IF(ISNUMBER(U3508),ABS(U3508),"")</f>
        <v>1.95051301263574</v>
      </c>
    </row>
    <row r="3509" customFormat="false" ht="15" hidden="false" customHeight="false" outlineLevel="0" collapsed="false">
      <c r="A3509" s="57" t="n">
        <v>37153</v>
      </c>
      <c r="B3509" s="56" t="n">
        <v>2001</v>
      </c>
      <c r="C3509" s="56" t="n">
        <v>9</v>
      </c>
      <c r="D3509" s="56" t="n">
        <v>142</v>
      </c>
      <c r="E3509" s="56" t="n">
        <v>17.9</v>
      </c>
      <c r="F3509" s="56" t="n">
        <v>0</v>
      </c>
      <c r="G3509" s="56" t="n">
        <v>12</v>
      </c>
      <c r="H3509" s="56" t="n">
        <v>0</v>
      </c>
      <c r="I3509" s="56" t="n">
        <v>13.1</v>
      </c>
      <c r="J3509" s="56" t="n">
        <v>0</v>
      </c>
      <c r="K3509" s="56" t="n">
        <v>1008</v>
      </c>
      <c r="L3509" s="56" t="n">
        <v>0</v>
      </c>
      <c r="M3509" s="56" t="n">
        <v>90</v>
      </c>
      <c r="N3509" s="56" t="n">
        <v>0</v>
      </c>
      <c r="O3509" s="56" t="n">
        <f aca="false">IF(D3509=1,"",E3508)</f>
        <v>14.2</v>
      </c>
      <c r="P3509" s="56" t="n">
        <f aca="false">IF(OR(D3509=1,K3508=""),"",K3508)</f>
        <v>1015.2</v>
      </c>
      <c r="Q3509" s="56" t="n">
        <f aca="false">IF(OR(F3509&lt;&gt;0,AND(I3509&lt;&gt;"",E3509&lt;I3509)),1,0)</f>
        <v>0</v>
      </c>
      <c r="R3509" s="56" t="n">
        <f aca="false">IF(AND(D3509&gt;1,Q3509=0,ISNUMBER(O3509),ISNUMBER(P3509)),IF(Q3508=0,1,0),0)</f>
        <v>1</v>
      </c>
      <c r="S3509" s="56" t="n">
        <f aca="false">R3509*(B3509&gt;=Train_Start)*(B3509&lt;=Train_End)</f>
        <v>0</v>
      </c>
      <c r="T3509" s="84" t="n">
        <f aca="false">IF(AND(ISNUMBER(O3509),ISNUMBER(P3509)),Coef_A+Coef_B1*O3509+Coef_B2*P3509,"")</f>
        <v>15.5683089956275</v>
      </c>
      <c r="U3509" s="84" t="n">
        <f aca="false">IF(AND(R3509=1,ISNUMBER(T3509)),E3509-T3509,"")</f>
        <v>2.33169100437253</v>
      </c>
      <c r="V3509" s="84" t="n">
        <f aca="false">IF(ISNUMBER(T3509),T3509,-99)</f>
        <v>15.5683089956275</v>
      </c>
      <c r="W3509" s="84" t="n">
        <f aca="false">IF(ISNUMBER(U3509),ABS(U3509),"")</f>
        <v>2.33169100437253</v>
      </c>
    </row>
    <row r="3510" customFormat="false" ht="15" hidden="false" customHeight="false" outlineLevel="0" collapsed="false">
      <c r="A3510" s="57" t="n">
        <v>37154</v>
      </c>
      <c r="B3510" s="56" t="n">
        <v>2001</v>
      </c>
      <c r="C3510" s="56" t="n">
        <v>9</v>
      </c>
      <c r="D3510" s="56" t="n">
        <v>143</v>
      </c>
      <c r="E3510" s="56" t="n">
        <v>16.3</v>
      </c>
      <c r="F3510" s="56" t="n">
        <v>0</v>
      </c>
      <c r="G3510" s="56" t="n">
        <v>11.8</v>
      </c>
      <c r="H3510" s="56" t="n">
        <v>0</v>
      </c>
      <c r="I3510" s="56" t="n">
        <v>14.8</v>
      </c>
      <c r="J3510" s="56" t="n">
        <v>0</v>
      </c>
      <c r="K3510" s="56" t="n">
        <v>1013.8</v>
      </c>
      <c r="L3510" s="56" t="n">
        <v>0</v>
      </c>
      <c r="M3510" s="56" t="n">
        <v>86</v>
      </c>
      <c r="N3510" s="56" t="n">
        <v>5</v>
      </c>
      <c r="O3510" s="56" t="n">
        <f aca="false">IF(D3510=1,"",E3509)</f>
        <v>17.9</v>
      </c>
      <c r="P3510" s="56" t="n">
        <f aca="false">IF(OR(D3510=1,K3509=""),"",K3509)</f>
        <v>1008</v>
      </c>
      <c r="Q3510" s="56" t="n">
        <f aca="false">IF(OR(F3510&lt;&gt;0,AND(I3510&lt;&gt;"",E3510&lt;I3510)),1,0)</f>
        <v>0</v>
      </c>
      <c r="R3510" s="56" t="n">
        <f aca="false">IF(AND(D3510&gt;1,Q3510=0,ISNUMBER(O3510),ISNUMBER(P3510)),IF(Q3509=0,1,0),0)</f>
        <v>1</v>
      </c>
      <c r="S3510" s="56" t="n">
        <f aca="false">R3510*(B3510&gt;=Train_Start)*(B3510&lt;=Train_End)</f>
        <v>0</v>
      </c>
      <c r="T3510" s="84" t="n">
        <f aca="false">IF(AND(ISNUMBER(O3510),ISNUMBER(P3510)),Coef_A+Coef_B1*O3510+Coef_B2*P3510,"")</f>
        <v>18.3740007685206</v>
      </c>
      <c r="U3510" s="84" t="n">
        <f aca="false">IF(AND(R3510=1,ISNUMBER(T3510)),E3510-T3510,"")</f>
        <v>-2.07400076852057</v>
      </c>
      <c r="V3510" s="84" t="n">
        <f aca="false">IF(ISNUMBER(T3510),T3510,-99)</f>
        <v>18.3740007685206</v>
      </c>
      <c r="W3510" s="84" t="n">
        <f aca="false">IF(ISNUMBER(U3510),ABS(U3510),"")</f>
        <v>2.07400076852057</v>
      </c>
    </row>
    <row r="3511" customFormat="false" ht="15" hidden="false" customHeight="false" outlineLevel="0" collapsed="false">
      <c r="A3511" s="57" t="n">
        <v>37155</v>
      </c>
      <c r="B3511" s="56" t="n">
        <v>2001</v>
      </c>
      <c r="C3511" s="56" t="n">
        <v>9</v>
      </c>
      <c r="D3511" s="56" t="n">
        <v>144</v>
      </c>
      <c r="E3511" s="56" t="n">
        <v>18</v>
      </c>
      <c r="F3511" s="56" t="n">
        <v>0</v>
      </c>
      <c r="G3511" s="56" t="n">
        <v>10.1</v>
      </c>
      <c r="H3511" s="56" t="n">
        <v>0</v>
      </c>
      <c r="I3511" s="56" t="n">
        <v>13.2</v>
      </c>
      <c r="J3511" s="56" t="n">
        <v>0</v>
      </c>
      <c r="K3511" s="56" t="n">
        <v>1018.4</v>
      </c>
      <c r="L3511" s="56" t="n">
        <v>0</v>
      </c>
      <c r="M3511" s="56" t="n">
        <v>86</v>
      </c>
      <c r="N3511" s="56" t="n">
        <v>3.4</v>
      </c>
      <c r="O3511" s="56" t="n">
        <f aca="false">IF(D3511=1,"",E3510)</f>
        <v>16.3</v>
      </c>
      <c r="P3511" s="56" t="n">
        <f aca="false">IF(OR(D3511=1,K3510=""),"",K3510)</f>
        <v>1013.8</v>
      </c>
      <c r="Q3511" s="56" t="n">
        <f aca="false">IF(OR(F3511&lt;&gt;0,AND(I3511&lt;&gt;"",E3511&lt;I3511)),1,0)</f>
        <v>0</v>
      </c>
      <c r="R3511" s="56" t="n">
        <f aca="false">IF(AND(D3511&gt;1,Q3511=0,ISNUMBER(O3511),ISNUMBER(P3511)),IF(Q3510=0,1,0),0)</f>
        <v>1</v>
      </c>
      <c r="S3511" s="56" t="n">
        <f aca="false">R3511*(B3511&gt;=Train_Start)*(B3511&lt;=Train_End)</f>
        <v>0</v>
      </c>
      <c r="T3511" s="84" t="n">
        <f aca="false">IF(AND(ISNUMBER(O3511),ISNUMBER(P3511)),Coef_A+Coef_B1*O3511+Coef_B2*P3511,"")</f>
        <v>17.2450034485295</v>
      </c>
      <c r="U3511" s="84" t="n">
        <f aca="false">IF(AND(R3511=1,ISNUMBER(T3511)),E3511-T3511,"")</f>
        <v>0.754996551470541</v>
      </c>
      <c r="V3511" s="84" t="n">
        <f aca="false">IF(ISNUMBER(T3511),T3511,-99)</f>
        <v>17.2450034485295</v>
      </c>
      <c r="W3511" s="84" t="n">
        <f aca="false">IF(ISNUMBER(U3511),ABS(U3511),"")</f>
        <v>0.754996551470541</v>
      </c>
    </row>
    <row r="3512" customFormat="false" ht="15" hidden="false" customHeight="false" outlineLevel="0" collapsed="false">
      <c r="A3512" s="57" t="n">
        <v>37156</v>
      </c>
      <c r="B3512" s="56" t="n">
        <v>2001</v>
      </c>
      <c r="C3512" s="56" t="n">
        <v>9</v>
      </c>
      <c r="D3512" s="56" t="n">
        <v>145</v>
      </c>
      <c r="E3512" s="56" t="n">
        <v>15.7</v>
      </c>
      <c r="F3512" s="56" t="n">
        <v>0</v>
      </c>
      <c r="G3512" s="56" t="n">
        <v>7.2</v>
      </c>
      <c r="H3512" s="56" t="n">
        <v>0</v>
      </c>
      <c r="I3512" s="56" t="n">
        <v>12.6</v>
      </c>
      <c r="J3512" s="56" t="n">
        <v>0</v>
      </c>
      <c r="K3512" s="56" t="n">
        <v>1017.2</v>
      </c>
      <c r="L3512" s="56" t="n">
        <v>0</v>
      </c>
      <c r="M3512" s="56" t="n">
        <v>78</v>
      </c>
      <c r="N3512" s="56" t="n">
        <v>8.2</v>
      </c>
      <c r="O3512" s="56" t="n">
        <f aca="false">IF(D3512=1,"",E3511)</f>
        <v>18</v>
      </c>
      <c r="P3512" s="56" t="n">
        <f aca="false">IF(OR(D3512=1,K3511=""),"",K3511)</f>
        <v>1018.4</v>
      </c>
      <c r="Q3512" s="56" t="n">
        <f aca="false">IF(OR(F3512&lt;&gt;0,AND(I3512&lt;&gt;"",E3512&lt;I3512)),1,0)</f>
        <v>0</v>
      </c>
      <c r="R3512" s="56" t="n">
        <f aca="false">IF(AND(D3512&gt;1,Q3512=0,ISNUMBER(O3512),ISNUMBER(P3512)),IF(Q3511=0,1,0),0)</f>
        <v>1</v>
      </c>
      <c r="S3512" s="56" t="n">
        <f aca="false">R3512*(B3512&gt;=Train_Start)*(B3512&lt;=Train_End)</f>
        <v>0</v>
      </c>
      <c r="T3512" s="84" t="n">
        <f aca="false">IF(AND(ISNUMBER(O3512),ISNUMBER(P3512)),Coef_A+Coef_B1*O3512+Coef_B2*P3512,"")</f>
        <v>18.7821815920183</v>
      </c>
      <c r="U3512" s="84" t="n">
        <f aca="false">IF(AND(R3512=1,ISNUMBER(T3512)),E3512-T3512,"")</f>
        <v>-3.08218159201833</v>
      </c>
      <c r="V3512" s="84" t="n">
        <f aca="false">IF(ISNUMBER(T3512),T3512,-99)</f>
        <v>18.7821815920183</v>
      </c>
      <c r="W3512" s="84" t="n">
        <f aca="false">IF(ISNUMBER(U3512),ABS(U3512),"")</f>
        <v>3.08218159201833</v>
      </c>
    </row>
    <row r="3513" customFormat="false" ht="15" hidden="false" customHeight="false" outlineLevel="0" collapsed="false">
      <c r="A3513" s="57" t="n">
        <v>37157</v>
      </c>
      <c r="B3513" s="56" t="n">
        <v>2001</v>
      </c>
      <c r="C3513" s="56" t="n">
        <v>9</v>
      </c>
      <c r="D3513" s="56" t="n">
        <v>146</v>
      </c>
      <c r="E3513" s="56" t="n">
        <v>17.7</v>
      </c>
      <c r="F3513" s="56" t="n">
        <v>0</v>
      </c>
      <c r="G3513" s="56" t="n">
        <v>8.4</v>
      </c>
      <c r="H3513" s="56" t="n">
        <v>0</v>
      </c>
      <c r="I3513" s="56" t="n">
        <v>12</v>
      </c>
      <c r="J3513" s="56" t="n">
        <v>0</v>
      </c>
      <c r="K3513" s="56" t="n">
        <v>1013.8</v>
      </c>
      <c r="L3513" s="56" t="n">
        <v>0</v>
      </c>
      <c r="M3513" s="56" t="n">
        <v>85</v>
      </c>
      <c r="N3513" s="56" t="n">
        <v>0.3</v>
      </c>
      <c r="O3513" s="56" t="n">
        <f aca="false">IF(D3513=1,"",E3512)</f>
        <v>15.7</v>
      </c>
      <c r="P3513" s="56" t="n">
        <f aca="false">IF(OR(D3513=1,K3512=""),"",K3512)</f>
        <v>1017.2</v>
      </c>
      <c r="Q3513" s="56" t="n">
        <f aca="false">IF(OR(F3513&lt;&gt;0,AND(I3513&lt;&gt;"",E3513&lt;I3513)),1,0)</f>
        <v>0</v>
      </c>
      <c r="R3513" s="56" t="n">
        <f aca="false">IF(AND(D3513&gt;1,Q3513=0,ISNUMBER(O3513),ISNUMBER(P3513)),IF(Q3512=0,1,0),0)</f>
        <v>1</v>
      </c>
      <c r="S3513" s="56" t="n">
        <f aca="false">R3513*(B3513&gt;=Train_Start)*(B3513&lt;=Train_End)</f>
        <v>0</v>
      </c>
      <c r="T3513" s="84" t="n">
        <f aca="false">IF(AND(ISNUMBER(O3513),ISNUMBER(P3513)),Coef_A+Coef_B1*O3513+Coef_B2*P3513,"")</f>
        <v>16.8600575744594</v>
      </c>
      <c r="U3513" s="84" t="n">
        <f aca="false">IF(AND(R3513=1,ISNUMBER(T3513)),E3513-T3513,"")</f>
        <v>0.839942425540567</v>
      </c>
      <c r="V3513" s="84" t="n">
        <f aca="false">IF(ISNUMBER(T3513),T3513,-99)</f>
        <v>16.8600575744594</v>
      </c>
      <c r="W3513" s="84" t="n">
        <f aca="false">IF(ISNUMBER(U3513),ABS(U3513),"")</f>
        <v>0.839942425540567</v>
      </c>
    </row>
    <row r="3514" customFormat="false" ht="15" hidden="false" customHeight="false" outlineLevel="0" collapsed="false">
      <c r="A3514" s="57" t="n">
        <v>37158</v>
      </c>
      <c r="B3514" s="56" t="n">
        <v>2001</v>
      </c>
      <c r="C3514" s="56" t="n">
        <v>9</v>
      </c>
      <c r="D3514" s="56" t="n">
        <v>147</v>
      </c>
      <c r="E3514" s="56" t="n">
        <v>17.3</v>
      </c>
      <c r="F3514" s="56" t="n">
        <v>0</v>
      </c>
      <c r="G3514" s="56" t="n">
        <v>10.8</v>
      </c>
      <c r="H3514" s="56" t="n">
        <v>0</v>
      </c>
      <c r="I3514" s="56" t="n">
        <v>14.2</v>
      </c>
      <c r="J3514" s="56" t="n">
        <v>0</v>
      </c>
      <c r="K3514" s="56" t="n">
        <v>1013.2</v>
      </c>
      <c r="L3514" s="56" t="n">
        <v>0</v>
      </c>
      <c r="M3514" s="56" t="n">
        <v>82</v>
      </c>
      <c r="N3514" s="56" t="n">
        <v>4.3</v>
      </c>
      <c r="O3514" s="56" t="n">
        <f aca="false">IF(D3514=1,"",E3513)</f>
        <v>17.7</v>
      </c>
      <c r="P3514" s="56" t="n">
        <f aca="false">IF(OR(D3514=1,K3513=""),"",K3513)</f>
        <v>1013.8</v>
      </c>
      <c r="Q3514" s="56" t="n">
        <f aca="false">IF(OR(F3514&lt;&gt;0,AND(I3514&lt;&gt;"",E3514&lt;I3514)),1,0)</f>
        <v>0</v>
      </c>
      <c r="R3514" s="56" t="n">
        <f aca="false">IF(AND(D3514&gt;1,Q3514=0,ISNUMBER(O3514),ISNUMBER(P3514)),IF(Q3513=0,1,0),0)</f>
        <v>1</v>
      </c>
      <c r="S3514" s="56" t="n">
        <f aca="false">R3514*(B3514&gt;=Train_Start)*(B3514&lt;=Train_End)</f>
        <v>0</v>
      </c>
      <c r="T3514" s="84" t="n">
        <f aca="false">IF(AND(ISNUMBER(O3514),ISNUMBER(P3514)),Coef_A+Coef_B1*O3514+Coef_B2*P3514,"")</f>
        <v>18.3920783187892</v>
      </c>
      <c r="U3514" s="84" t="n">
        <f aca="false">IF(AND(R3514=1,ISNUMBER(T3514)),E3514-T3514,"")</f>
        <v>-1.09207831878918</v>
      </c>
      <c r="V3514" s="84" t="n">
        <f aca="false">IF(ISNUMBER(T3514),T3514,-99)</f>
        <v>18.3920783187892</v>
      </c>
      <c r="W3514" s="84" t="n">
        <f aca="false">IF(ISNUMBER(U3514),ABS(U3514),"")</f>
        <v>1.09207831878918</v>
      </c>
    </row>
    <row r="3515" customFormat="false" ht="15" hidden="false" customHeight="false" outlineLevel="0" collapsed="false">
      <c r="A3515" s="57" t="n">
        <v>37159</v>
      </c>
      <c r="B3515" s="56" t="n">
        <v>2001</v>
      </c>
      <c r="C3515" s="56" t="n">
        <v>9</v>
      </c>
      <c r="D3515" s="56" t="n">
        <v>148</v>
      </c>
      <c r="E3515" s="56" t="n">
        <v>17.4</v>
      </c>
      <c r="F3515" s="56" t="n">
        <v>0</v>
      </c>
      <c r="G3515" s="56" t="n">
        <v>7.6</v>
      </c>
      <c r="H3515" s="56" t="n">
        <v>0</v>
      </c>
      <c r="I3515" s="56" t="n">
        <v>12.4</v>
      </c>
      <c r="J3515" s="56" t="n">
        <v>0</v>
      </c>
      <c r="K3515" s="56" t="n">
        <v>1016.5</v>
      </c>
      <c r="L3515" s="56" t="n">
        <v>0</v>
      </c>
      <c r="M3515" s="56" t="n">
        <v>84</v>
      </c>
      <c r="N3515" s="56" t="n">
        <v>5</v>
      </c>
      <c r="O3515" s="56" t="n">
        <f aca="false">IF(D3515=1,"",E3514)</f>
        <v>17.3</v>
      </c>
      <c r="P3515" s="56" t="n">
        <f aca="false">IF(OR(D3515=1,K3514=""),"",K3514)</f>
        <v>1013.2</v>
      </c>
      <c r="Q3515" s="56" t="n">
        <f aca="false">IF(OR(F3515&lt;&gt;0,AND(I3515&lt;&gt;"",E3515&lt;I3515)),1,0)</f>
        <v>0</v>
      </c>
      <c r="R3515" s="56" t="n">
        <f aca="false">IF(AND(D3515&gt;1,Q3515=0,ISNUMBER(O3515),ISNUMBER(P3515)),IF(Q3514=0,1,0),0)</f>
        <v>1</v>
      </c>
      <c r="S3515" s="56" t="n">
        <f aca="false">R3515*(B3515&gt;=Train_Start)*(B3515&lt;=Train_End)</f>
        <v>0</v>
      </c>
      <c r="T3515" s="84" t="n">
        <f aca="false">IF(AND(ISNUMBER(O3515),ISNUMBER(P3515)),Coef_A+Coef_B1*O3515+Coef_B2*P3515,"")</f>
        <v>18.0455207047917</v>
      </c>
      <c r="U3515" s="84" t="n">
        <f aca="false">IF(AND(R3515=1,ISNUMBER(T3515)),E3515-T3515,"")</f>
        <v>-0.645520704791728</v>
      </c>
      <c r="V3515" s="84" t="n">
        <f aca="false">IF(ISNUMBER(T3515),T3515,-99)</f>
        <v>18.0455207047917</v>
      </c>
      <c r="W3515" s="84" t="n">
        <f aca="false">IF(ISNUMBER(U3515),ABS(U3515),"")</f>
        <v>0.645520704791728</v>
      </c>
    </row>
    <row r="3516" customFormat="false" ht="15" hidden="false" customHeight="false" outlineLevel="0" collapsed="false">
      <c r="A3516" s="57" t="n">
        <v>37160</v>
      </c>
      <c r="B3516" s="56" t="n">
        <v>2001</v>
      </c>
      <c r="C3516" s="56" t="n">
        <v>9</v>
      </c>
      <c r="D3516" s="56" t="n">
        <v>149</v>
      </c>
      <c r="E3516" s="56" t="n">
        <v>20.2</v>
      </c>
      <c r="F3516" s="56" t="n">
        <v>0</v>
      </c>
      <c r="G3516" s="56" t="n">
        <v>8.9</v>
      </c>
      <c r="H3516" s="56" t="n">
        <v>0</v>
      </c>
      <c r="I3516" s="56" t="n">
        <v>13.2</v>
      </c>
      <c r="J3516" s="56" t="n">
        <v>0</v>
      </c>
      <c r="K3516" s="56" t="n">
        <v>1014.7</v>
      </c>
      <c r="L3516" s="56" t="n">
        <v>0</v>
      </c>
      <c r="M3516" s="56" t="n">
        <v>89</v>
      </c>
      <c r="N3516" s="56" t="n">
        <v>0.5</v>
      </c>
      <c r="O3516" s="56" t="n">
        <f aca="false">IF(D3516=1,"",E3515)</f>
        <v>17.4</v>
      </c>
      <c r="P3516" s="56" t="n">
        <f aca="false">IF(OR(D3516=1,K3515=""),"",K3515)</f>
        <v>1016.5</v>
      </c>
      <c r="Q3516" s="56" t="n">
        <f aca="false">IF(OR(F3516&lt;&gt;0,AND(I3516&lt;&gt;"",E3516&lt;I3516)),1,0)</f>
        <v>0</v>
      </c>
      <c r="R3516" s="56" t="n">
        <f aca="false">IF(AND(D3516&gt;1,Q3516=0,ISNUMBER(O3516),ISNUMBER(P3516)),IF(Q3515=0,1,0),0)</f>
        <v>1</v>
      </c>
      <c r="S3516" s="56" t="n">
        <f aca="false">R3516*(B3516&gt;=Train_Start)*(B3516&lt;=Train_End)</f>
        <v>0</v>
      </c>
      <c r="T3516" s="84" t="n">
        <f aca="false">IF(AND(ISNUMBER(O3516),ISNUMBER(P3516)),Coef_A+Coef_B1*O3516+Coef_B2*P3516,"")</f>
        <v>18.2309752763882</v>
      </c>
      <c r="U3516" s="84" t="n">
        <f aca="false">IF(AND(R3516=1,ISNUMBER(T3516)),E3516-T3516,"")</f>
        <v>1.96902472361184</v>
      </c>
      <c r="V3516" s="84" t="n">
        <f aca="false">IF(ISNUMBER(T3516),T3516,-99)</f>
        <v>18.2309752763882</v>
      </c>
      <c r="W3516" s="84" t="n">
        <f aca="false">IF(ISNUMBER(U3516),ABS(U3516),"")</f>
        <v>1.96902472361184</v>
      </c>
    </row>
    <row r="3517" customFormat="false" ht="15" hidden="false" customHeight="false" outlineLevel="0" collapsed="false">
      <c r="A3517" s="57" t="n">
        <v>37161</v>
      </c>
      <c r="B3517" s="56" t="n">
        <v>2001</v>
      </c>
      <c r="C3517" s="56" t="n">
        <v>9</v>
      </c>
      <c r="D3517" s="56" t="n">
        <v>150</v>
      </c>
      <c r="E3517" s="56" t="n">
        <v>23.6</v>
      </c>
      <c r="F3517" s="56" t="n">
        <v>0</v>
      </c>
      <c r="G3517" s="56" t="n">
        <v>13.1</v>
      </c>
      <c r="H3517" s="56" t="n">
        <v>0</v>
      </c>
      <c r="I3517" s="56" t="n">
        <v>16.6</v>
      </c>
      <c r="J3517" s="56" t="n">
        <v>0</v>
      </c>
      <c r="K3517" s="56" t="n">
        <v>1013</v>
      </c>
      <c r="L3517" s="56" t="n">
        <v>0</v>
      </c>
      <c r="M3517" s="56" t="n">
        <v>85</v>
      </c>
      <c r="N3517" s="56" t="n">
        <v>2.7</v>
      </c>
      <c r="O3517" s="56" t="n">
        <f aca="false">IF(D3517=1,"",E3516)</f>
        <v>20.2</v>
      </c>
      <c r="P3517" s="56" t="n">
        <f aca="false">IF(OR(D3517=1,K3516=""),"",K3516)</f>
        <v>1014.7</v>
      </c>
      <c r="Q3517" s="56" t="n">
        <f aca="false">IF(OR(F3517&lt;&gt;0,AND(I3517&lt;&gt;"",E3517&lt;I3517)),1,0)</f>
        <v>0</v>
      </c>
      <c r="R3517" s="56" t="n">
        <f aca="false">IF(AND(D3517&gt;1,Q3517=0,ISNUMBER(O3517),ISNUMBER(P3517)),IF(Q3516=0,1,0),0)</f>
        <v>1</v>
      </c>
      <c r="S3517" s="56" t="n">
        <f aca="false">R3517*(B3517&gt;=Train_Start)*(B3517&lt;=Train_End)</f>
        <v>0</v>
      </c>
      <c r="T3517" s="84" t="n">
        <f aca="false">IF(AND(ISNUMBER(O3517),ISNUMBER(P3517)),Coef_A+Coef_B1*O3517+Coef_B2*P3517,"")</f>
        <v>20.4686592065664</v>
      </c>
      <c r="U3517" s="84" t="n">
        <f aca="false">IF(AND(R3517=1,ISNUMBER(T3517)),E3517-T3517,"")</f>
        <v>3.13134079343358</v>
      </c>
      <c r="V3517" s="84" t="n">
        <f aca="false">IF(ISNUMBER(T3517),T3517,-99)</f>
        <v>20.4686592065664</v>
      </c>
      <c r="W3517" s="84" t="n">
        <f aca="false">IF(ISNUMBER(U3517),ABS(U3517),"")</f>
        <v>3.13134079343358</v>
      </c>
    </row>
    <row r="3518" customFormat="false" ht="15" hidden="false" customHeight="false" outlineLevel="0" collapsed="false">
      <c r="A3518" s="57" t="n">
        <v>37162</v>
      </c>
      <c r="B3518" s="56" t="n">
        <v>2001</v>
      </c>
      <c r="C3518" s="56" t="n">
        <v>9</v>
      </c>
      <c r="D3518" s="56" t="n">
        <v>151</v>
      </c>
      <c r="E3518" s="56" t="n">
        <v>19.2</v>
      </c>
      <c r="F3518" s="56" t="n">
        <v>0</v>
      </c>
      <c r="G3518" s="56" t="n">
        <v>11.6</v>
      </c>
      <c r="H3518" s="56" t="n">
        <v>0</v>
      </c>
      <c r="I3518" s="56" t="n">
        <v>17.6</v>
      </c>
      <c r="J3518" s="56" t="n">
        <v>0</v>
      </c>
      <c r="K3518" s="56" t="n">
        <v>1010.6</v>
      </c>
      <c r="L3518" s="56" t="n">
        <v>0</v>
      </c>
      <c r="M3518" s="56" t="n">
        <v>76</v>
      </c>
      <c r="N3518" s="56" t="n">
        <v>8.6</v>
      </c>
      <c r="O3518" s="56" t="n">
        <f aca="false">IF(D3518=1,"",E3517)</f>
        <v>23.6</v>
      </c>
      <c r="P3518" s="56" t="n">
        <f aca="false">IF(OR(D3518=1,K3517=""),"",K3517)</f>
        <v>1013</v>
      </c>
      <c r="Q3518" s="56" t="n">
        <f aca="false">IF(OR(F3518&lt;&gt;0,AND(I3518&lt;&gt;"",E3518&lt;I3518)),1,0)</f>
        <v>0</v>
      </c>
      <c r="R3518" s="56" t="n">
        <f aca="false">IF(AND(D3518&gt;1,Q3518=0,ISNUMBER(O3518),ISNUMBER(P3518)),IF(Q3517=0,1,0),0)</f>
        <v>1</v>
      </c>
      <c r="S3518" s="56" t="n">
        <f aca="false">R3518*(B3518&gt;=Train_Start)*(B3518&lt;=Train_End)</f>
        <v>0</v>
      </c>
      <c r="T3518" s="84" t="n">
        <f aca="false">IF(AND(ISNUMBER(O3518),ISNUMBER(P3518)),Coef_A+Coef_B1*O3518+Coef_B2*P3518,"")</f>
        <v>23.2010836420337</v>
      </c>
      <c r="U3518" s="84" t="n">
        <f aca="false">IF(AND(R3518=1,ISNUMBER(T3518)),E3518-T3518,"")</f>
        <v>-4.00108364203367</v>
      </c>
      <c r="V3518" s="84" t="n">
        <f aca="false">IF(ISNUMBER(T3518),T3518,-99)</f>
        <v>23.2010836420337</v>
      </c>
      <c r="W3518" s="84" t="n">
        <f aca="false">IF(ISNUMBER(U3518),ABS(U3518),"")</f>
        <v>4.00108364203367</v>
      </c>
    </row>
    <row r="3519" customFormat="false" ht="15" hidden="false" customHeight="false" outlineLevel="0" collapsed="false">
      <c r="A3519" s="57" t="n">
        <v>37163</v>
      </c>
      <c r="B3519" s="56" t="n">
        <v>2001</v>
      </c>
      <c r="C3519" s="56" t="n">
        <v>9</v>
      </c>
      <c r="D3519" s="56" t="n">
        <v>152</v>
      </c>
      <c r="E3519" s="56" t="n">
        <v>17.3</v>
      </c>
      <c r="F3519" s="56" t="n">
        <v>0</v>
      </c>
      <c r="G3519" s="56" t="n">
        <v>15.2</v>
      </c>
      <c r="H3519" s="56" t="n">
        <v>0</v>
      </c>
      <c r="I3519" s="56" t="n">
        <v>17.2</v>
      </c>
      <c r="J3519" s="56" t="n">
        <v>0</v>
      </c>
      <c r="K3519" s="56" t="n">
        <v>1007.8</v>
      </c>
      <c r="L3519" s="56" t="n">
        <v>0</v>
      </c>
      <c r="M3519" s="56" t="n">
        <v>87</v>
      </c>
      <c r="N3519" s="56" t="n">
        <v>2.6</v>
      </c>
      <c r="O3519" s="56" t="n">
        <f aca="false">IF(D3519=1,"",E3518)</f>
        <v>19.2</v>
      </c>
      <c r="P3519" s="56" t="n">
        <f aca="false">IF(OR(D3519=1,K3518=""),"",K3518)</f>
        <v>1010.6</v>
      </c>
      <c r="Q3519" s="56" t="n">
        <f aca="false">IF(OR(F3519&lt;&gt;0,AND(I3519&lt;&gt;"",E3519&lt;I3519)),1,0)</f>
        <v>0</v>
      </c>
      <c r="R3519" s="56" t="n">
        <f aca="false">IF(AND(D3519&gt;1,Q3519=0,ISNUMBER(O3519),ISNUMBER(P3519)),IF(Q3518=0,1,0),0)</f>
        <v>1</v>
      </c>
      <c r="S3519" s="56" t="n">
        <f aca="false">R3519*(B3519&gt;=Train_Start)*(B3519&lt;=Train_End)</f>
        <v>0</v>
      </c>
      <c r="T3519" s="84" t="n">
        <f aca="false">IF(AND(ISNUMBER(O3519),ISNUMBER(P3519)),Coef_A+Coef_B1*O3519+Coef_B2*P3519,"")</f>
        <v>19.5207034455244</v>
      </c>
      <c r="U3519" s="84" t="n">
        <f aca="false">IF(AND(R3519=1,ISNUMBER(T3519)),E3519-T3519,"")</f>
        <v>-2.2207034455244</v>
      </c>
      <c r="V3519" s="84" t="n">
        <f aca="false">IF(ISNUMBER(T3519),T3519,-99)</f>
        <v>19.5207034455244</v>
      </c>
      <c r="W3519" s="84" t="n">
        <f aca="false">IF(ISNUMBER(U3519),ABS(U3519),"")</f>
        <v>2.2207034455244</v>
      </c>
    </row>
    <row r="3520" customFormat="false" ht="15" hidden="false" customHeight="false" outlineLevel="0" collapsed="false">
      <c r="A3520" s="57" t="n">
        <v>37164</v>
      </c>
      <c r="B3520" s="56" t="n">
        <v>2001</v>
      </c>
      <c r="C3520" s="56" t="n">
        <v>9</v>
      </c>
      <c r="D3520" s="56" t="n">
        <v>153</v>
      </c>
      <c r="E3520" s="56" t="n">
        <v>19.1</v>
      </c>
      <c r="F3520" s="56" t="n">
        <v>0</v>
      </c>
      <c r="G3520" s="56" t="n">
        <v>11.8</v>
      </c>
      <c r="H3520" s="56" t="n">
        <v>0</v>
      </c>
      <c r="I3520" s="56" t="n">
        <v>14.6</v>
      </c>
      <c r="J3520" s="56" t="n">
        <v>0</v>
      </c>
      <c r="K3520" s="56" t="n">
        <v>1005.4</v>
      </c>
      <c r="L3520" s="56" t="n">
        <v>0</v>
      </c>
      <c r="M3520" s="56" t="n">
        <v>91</v>
      </c>
      <c r="N3520" s="56" t="n">
        <v>0</v>
      </c>
      <c r="O3520" s="56" t="n">
        <f aca="false">IF(D3520=1,"",E3519)</f>
        <v>17.3</v>
      </c>
      <c r="P3520" s="56" t="n">
        <f aca="false">IF(OR(D3520=1,K3519=""),"",K3519)</f>
        <v>1007.8</v>
      </c>
      <c r="Q3520" s="56" t="n">
        <f aca="false">IF(OR(F3520&lt;&gt;0,AND(I3520&lt;&gt;"",E3520&lt;I3520)),1,0)</f>
        <v>0</v>
      </c>
      <c r="R3520" s="56" t="n">
        <f aca="false">IF(AND(D3520&gt;1,Q3520=0,ISNUMBER(O3520),ISNUMBER(P3520)),IF(Q3519=0,1,0),0)</f>
        <v>1</v>
      </c>
      <c r="S3520" s="56" t="n">
        <f aca="false">R3520*(B3520&gt;=Train_Start)*(B3520&lt;=Train_End)</f>
        <v>0</v>
      </c>
      <c r="T3520" s="84" t="n">
        <f aca="false">IF(AND(ISNUMBER(O3520),ISNUMBER(P3520)),Coef_A+Coef_B1*O3520+Coef_B2*P3520,"")</f>
        <v>17.8761232737682</v>
      </c>
      <c r="U3520" s="84" t="n">
        <f aca="false">IF(AND(R3520=1,ISNUMBER(T3520)),E3520-T3520,"")</f>
        <v>1.22387672623181</v>
      </c>
      <c r="V3520" s="84" t="n">
        <f aca="false">IF(ISNUMBER(T3520),T3520,-99)</f>
        <v>17.8761232737682</v>
      </c>
      <c r="W3520" s="84" t="n">
        <f aca="false">IF(ISNUMBER(U3520),ABS(U3520),"")</f>
        <v>1.22387672623181</v>
      </c>
    </row>
    <row r="3521" customFormat="false" ht="15" hidden="false" customHeight="false" outlineLevel="0" collapsed="false">
      <c r="A3521" s="57" t="n">
        <v>37377</v>
      </c>
      <c r="B3521" s="56" t="n">
        <v>2002</v>
      </c>
      <c r="C3521" s="56" t="n">
        <v>5</v>
      </c>
      <c r="D3521" s="56" t="n">
        <v>1</v>
      </c>
      <c r="E3521" s="56" t="n">
        <v>15.5</v>
      </c>
      <c r="F3521" s="56" t="n">
        <v>0</v>
      </c>
      <c r="G3521" s="56" t="n">
        <v>6.6</v>
      </c>
      <c r="H3521" s="56" t="n">
        <v>0</v>
      </c>
      <c r="I3521" s="56" t="n">
        <v>11</v>
      </c>
      <c r="J3521" s="56" t="n">
        <v>0</v>
      </c>
      <c r="K3521" s="56" t="n">
        <v>1001.8</v>
      </c>
      <c r="L3521" s="56" t="n">
        <v>0</v>
      </c>
      <c r="M3521" s="56" t="n">
        <v>66</v>
      </c>
      <c r="N3521" s="56" t="n">
        <v>11.4</v>
      </c>
      <c r="O3521" s="56" t="str">
        <f aca="false">IF(D3521=1,"",E3520)</f>
        <v/>
      </c>
      <c r="P3521" s="56" t="str">
        <f aca="false">IF(OR(D3521=1,K3520=""),"",K3520)</f>
        <v/>
      </c>
      <c r="Q3521" s="56" t="n">
        <f aca="false">IF(OR(F3521&lt;&gt;0,AND(I3521&lt;&gt;"",E3521&lt;I3521)),1,0)</f>
        <v>0</v>
      </c>
      <c r="R3521" s="56" t="n">
        <f aca="false">IF(AND(D3521&gt;1,Q3521=0,ISNUMBER(O3521),ISNUMBER(P3521)),IF(Q3520=0,1,0),0)</f>
        <v>0</v>
      </c>
      <c r="S3521" s="56" t="n">
        <f aca="false">R3521*(B3521&gt;=Train_Start)*(B3521&lt;=Train_End)</f>
        <v>0</v>
      </c>
      <c r="T3521" s="84" t="str">
        <f aca="false">IF(AND(ISNUMBER(O3521),ISNUMBER(P3521)),Coef_A+Coef_B1*O3521+Coef_B2*P3521,"")</f>
        <v/>
      </c>
      <c r="U3521" s="84" t="str">
        <f aca="false">IF(AND(R3521=1,ISNUMBER(T3521)),E3521-T3521,"")</f>
        <v/>
      </c>
      <c r="V3521" s="84" t="n">
        <f aca="false">IF(ISNUMBER(T3521),T3521,-99)</f>
        <v>-99</v>
      </c>
      <c r="W3521" s="84" t="str">
        <f aca="false">IF(ISNUMBER(U3521),ABS(U3521),"")</f>
        <v/>
      </c>
    </row>
    <row r="3522" customFormat="false" ht="15" hidden="false" customHeight="false" outlineLevel="0" collapsed="false">
      <c r="A3522" s="57" t="n">
        <v>37378</v>
      </c>
      <c r="B3522" s="56" t="n">
        <v>2002</v>
      </c>
      <c r="C3522" s="56" t="n">
        <v>5</v>
      </c>
      <c r="D3522" s="56" t="n">
        <v>2</v>
      </c>
      <c r="E3522" s="56" t="n">
        <v>16.9</v>
      </c>
      <c r="F3522" s="56" t="n">
        <v>0</v>
      </c>
      <c r="G3522" s="56" t="n">
        <v>4.5</v>
      </c>
      <c r="H3522" s="56" t="n">
        <v>0</v>
      </c>
      <c r="I3522" s="56" t="n">
        <v>10</v>
      </c>
      <c r="J3522" s="56" t="n">
        <v>0</v>
      </c>
      <c r="K3522" s="56" t="n">
        <v>1008.9</v>
      </c>
      <c r="L3522" s="56" t="n">
        <v>0</v>
      </c>
      <c r="M3522" s="56" t="n">
        <v>70</v>
      </c>
      <c r="N3522" s="56" t="n">
        <v>6.9</v>
      </c>
      <c r="O3522" s="56" t="n">
        <f aca="false">IF(D3522=1,"",E3521)</f>
        <v>15.5</v>
      </c>
      <c r="P3522" s="56" t="n">
        <f aca="false">IF(OR(D3522=1,K3521=""),"",K3521)</f>
        <v>1001.8</v>
      </c>
      <c r="Q3522" s="56" t="n">
        <f aca="false">IF(OR(F3522&lt;&gt;0,AND(I3522&lt;&gt;"",E3522&lt;I3522)),1,0)</f>
        <v>0</v>
      </c>
      <c r="R3522" s="56" t="n">
        <f aca="false">IF(AND(D3522&gt;1,Q3522=0,ISNUMBER(O3522),ISNUMBER(P3522)),IF(Q3521=0,1,0),0)</f>
        <v>1</v>
      </c>
      <c r="S3522" s="56" t="n">
        <f aca="false">R3522*(B3522&gt;=Train_Start)*(B3522&lt;=Train_End)</f>
        <v>0</v>
      </c>
      <c r="T3522" s="84" t="n">
        <f aca="false">IF(AND(ISNUMBER(O3522),ISNUMBER(P3522)),Coef_A+Coef_B1*O3522+Coef_B2*P3522,"")</f>
        <v>16.2130933584875</v>
      </c>
      <c r="U3522" s="84" t="n">
        <f aca="false">IF(AND(R3522=1,ISNUMBER(T3522)),E3522-T3522,"")</f>
        <v>0.686906641512536</v>
      </c>
      <c r="V3522" s="84" t="n">
        <f aca="false">IF(ISNUMBER(T3522),T3522,-99)</f>
        <v>16.2130933584875</v>
      </c>
      <c r="W3522" s="84" t="n">
        <f aca="false">IF(ISNUMBER(U3522),ABS(U3522),"")</f>
        <v>0.686906641512536</v>
      </c>
    </row>
    <row r="3523" customFormat="false" ht="15" hidden="false" customHeight="false" outlineLevel="0" collapsed="false">
      <c r="A3523" s="57" t="n">
        <v>37379</v>
      </c>
      <c r="B3523" s="56" t="n">
        <v>2002</v>
      </c>
      <c r="C3523" s="56" t="n">
        <v>5</v>
      </c>
      <c r="D3523" s="56" t="n">
        <v>3</v>
      </c>
      <c r="E3523" s="56" t="n">
        <v>13.8</v>
      </c>
      <c r="F3523" s="56" t="n">
        <v>0</v>
      </c>
      <c r="G3523" s="56" t="n">
        <v>5.5</v>
      </c>
      <c r="H3523" s="56" t="n">
        <v>0</v>
      </c>
      <c r="I3523" s="56" t="n">
        <v>11.2</v>
      </c>
      <c r="J3523" s="56" t="n">
        <v>0</v>
      </c>
      <c r="K3523" s="56" t="n">
        <v>1017.6</v>
      </c>
      <c r="L3523" s="56" t="n">
        <v>0</v>
      </c>
      <c r="M3523" s="56" t="n">
        <v>67</v>
      </c>
      <c r="N3523" s="56" t="n">
        <v>10.5</v>
      </c>
      <c r="O3523" s="56" t="n">
        <f aca="false">IF(D3523=1,"",E3522)</f>
        <v>16.9</v>
      </c>
      <c r="P3523" s="56" t="n">
        <f aca="false">IF(OR(D3523=1,K3522=""),"",K3522)</f>
        <v>1008.9</v>
      </c>
      <c r="Q3523" s="56" t="n">
        <f aca="false">IF(OR(F3523&lt;&gt;0,AND(I3523&lt;&gt;"",E3523&lt;I3523)),1,0)</f>
        <v>0</v>
      </c>
      <c r="R3523" s="56" t="n">
        <f aca="false">IF(AND(D3523&gt;1,Q3523=0,ISNUMBER(O3523),ISNUMBER(P3523)),IF(Q3522=0,1,0),0)</f>
        <v>1</v>
      </c>
      <c r="S3523" s="56" t="n">
        <f aca="false">R3523*(B3523&gt;=Train_Start)*(B3523&lt;=Train_End)</f>
        <v>0</v>
      </c>
      <c r="T3523" s="84" t="n">
        <f aca="false">IF(AND(ISNUMBER(O3523),ISNUMBER(P3523)),Coef_A+Coef_B1*O3523+Coef_B2*P3523,"")</f>
        <v>17.5828944806485</v>
      </c>
      <c r="U3523" s="84" t="n">
        <f aca="false">IF(AND(R3523=1,ISNUMBER(T3523)),E3523-T3523,"")</f>
        <v>-3.78289448064851</v>
      </c>
      <c r="V3523" s="84" t="n">
        <f aca="false">IF(ISNUMBER(T3523),T3523,-99)</f>
        <v>17.5828944806485</v>
      </c>
      <c r="W3523" s="84" t="n">
        <f aca="false">IF(ISNUMBER(U3523),ABS(U3523),"")</f>
        <v>3.78289448064851</v>
      </c>
    </row>
    <row r="3524" customFormat="false" ht="15" hidden="false" customHeight="false" outlineLevel="0" collapsed="false">
      <c r="A3524" s="57" t="n">
        <v>37380</v>
      </c>
      <c r="B3524" s="56" t="n">
        <v>2002</v>
      </c>
      <c r="C3524" s="56" t="n">
        <v>5</v>
      </c>
      <c r="D3524" s="56" t="n">
        <v>4</v>
      </c>
      <c r="E3524" s="56" t="n">
        <v>12.2</v>
      </c>
      <c r="F3524" s="56" t="n">
        <v>0</v>
      </c>
      <c r="G3524" s="56" t="n">
        <v>4.9</v>
      </c>
      <c r="H3524" s="56" t="n">
        <v>0</v>
      </c>
      <c r="I3524" s="56" t="n">
        <v>9.4</v>
      </c>
      <c r="J3524" s="56" t="n">
        <v>0</v>
      </c>
      <c r="K3524" s="56" t="n">
        <v>1022.2</v>
      </c>
      <c r="L3524" s="56" t="n">
        <v>0</v>
      </c>
      <c r="M3524" s="56" t="n">
        <v>70</v>
      </c>
      <c r="N3524" s="56" t="n">
        <v>8.6</v>
      </c>
      <c r="O3524" s="56" t="n">
        <f aca="false">IF(D3524=1,"",E3523)</f>
        <v>13.8</v>
      </c>
      <c r="P3524" s="56" t="n">
        <f aca="false">IF(OR(D3524=1,K3523=""),"",K3523)</f>
        <v>1017.6</v>
      </c>
      <c r="Q3524" s="56" t="n">
        <f aca="false">IF(OR(F3524&lt;&gt;0,AND(I3524&lt;&gt;"",E3524&lt;I3524)),1,0)</f>
        <v>0</v>
      </c>
      <c r="R3524" s="56" t="n">
        <f aca="false">IF(AND(D3524&gt;1,Q3524=0,ISNUMBER(O3524),ISNUMBER(P3524)),IF(Q3523=0,1,0),0)</f>
        <v>1</v>
      </c>
      <c r="S3524" s="56" t="n">
        <f aca="false">R3524*(B3524&gt;=Train_Start)*(B3524&lt;=Train_End)</f>
        <v>0</v>
      </c>
      <c r="T3524" s="84" t="n">
        <f aca="false">IF(AND(ISNUMBER(O3524),ISNUMBER(P3524)),Coef_A+Coef_B1*O3524+Coef_B2*P3524,"")</f>
        <v>15.315861065532</v>
      </c>
      <c r="U3524" s="84" t="n">
        <f aca="false">IF(AND(R3524=1,ISNUMBER(T3524)),E3524-T3524,"")</f>
        <v>-3.11586106553198</v>
      </c>
      <c r="V3524" s="84" t="n">
        <f aca="false">IF(ISNUMBER(T3524),T3524,-99)</f>
        <v>15.315861065532</v>
      </c>
      <c r="W3524" s="84" t="n">
        <f aca="false">IF(ISNUMBER(U3524),ABS(U3524),"")</f>
        <v>3.11586106553198</v>
      </c>
    </row>
    <row r="3525" customFormat="false" ht="15" hidden="false" customHeight="false" outlineLevel="0" collapsed="false">
      <c r="A3525" s="57" t="n">
        <v>37381</v>
      </c>
      <c r="B3525" s="56" t="n">
        <v>2002</v>
      </c>
      <c r="C3525" s="56" t="n">
        <v>5</v>
      </c>
      <c r="D3525" s="56" t="n">
        <v>5</v>
      </c>
      <c r="E3525" s="56" t="n">
        <v>16.1</v>
      </c>
      <c r="F3525" s="56" t="n">
        <v>0</v>
      </c>
      <c r="G3525" s="56" t="n">
        <v>4.1</v>
      </c>
      <c r="H3525" s="56" t="n">
        <v>0</v>
      </c>
      <c r="I3525" s="56" t="n">
        <v>8.2</v>
      </c>
      <c r="J3525" s="56" t="n">
        <v>0</v>
      </c>
      <c r="K3525" s="56" t="n">
        <v>1023.9</v>
      </c>
      <c r="L3525" s="56" t="n">
        <v>0</v>
      </c>
      <c r="M3525" s="56" t="n">
        <v>67</v>
      </c>
      <c r="N3525" s="56" t="n">
        <v>5.1</v>
      </c>
      <c r="O3525" s="56" t="n">
        <f aca="false">IF(D3525=1,"",E3524)</f>
        <v>12.2</v>
      </c>
      <c r="P3525" s="56" t="n">
        <f aca="false">IF(OR(D3525=1,K3524=""),"",K3524)</f>
        <v>1022.2</v>
      </c>
      <c r="Q3525" s="56" t="n">
        <f aca="false">IF(OR(F3525&lt;&gt;0,AND(I3525&lt;&gt;"",E3525&lt;I3525)),1,0)</f>
        <v>0</v>
      </c>
      <c r="R3525" s="56" t="n">
        <f aca="false">IF(AND(D3525&gt;1,Q3525=0,ISNUMBER(O3525),ISNUMBER(P3525)),IF(Q3524=0,1,0),0)</f>
        <v>1</v>
      </c>
      <c r="S3525" s="56" t="n">
        <f aca="false">R3525*(B3525&gt;=Train_Start)*(B3525&lt;=Train_End)</f>
        <v>0</v>
      </c>
      <c r="T3525" s="84" t="n">
        <f aca="false">IF(AND(ISNUMBER(O3525),ISNUMBER(P3525)),Coef_A+Coef_B1*O3525+Coef_B2*P3525,"")</f>
        <v>14.1492198719801</v>
      </c>
      <c r="U3525" s="84" t="n">
        <f aca="false">IF(AND(R3525=1,ISNUMBER(T3525)),E3525-T3525,"")</f>
        <v>1.95078012801992</v>
      </c>
      <c r="V3525" s="84" t="n">
        <f aca="false">IF(ISNUMBER(T3525),T3525,-99)</f>
        <v>14.1492198719801</v>
      </c>
      <c r="W3525" s="84" t="n">
        <f aca="false">IF(ISNUMBER(U3525),ABS(U3525),"")</f>
        <v>1.95078012801992</v>
      </c>
    </row>
    <row r="3526" customFormat="false" ht="15" hidden="false" customHeight="false" outlineLevel="0" collapsed="false">
      <c r="A3526" s="57" t="n">
        <v>37382</v>
      </c>
      <c r="B3526" s="56" t="n">
        <v>2002</v>
      </c>
      <c r="C3526" s="56" t="n">
        <v>5</v>
      </c>
      <c r="D3526" s="56" t="n">
        <v>6</v>
      </c>
      <c r="E3526" s="56" t="n">
        <v>16.6</v>
      </c>
      <c r="F3526" s="56" t="n">
        <v>0</v>
      </c>
      <c r="G3526" s="56" t="n">
        <v>6.6</v>
      </c>
      <c r="H3526" s="56" t="n">
        <v>0</v>
      </c>
      <c r="I3526" s="56" t="n">
        <v>11.4</v>
      </c>
      <c r="J3526" s="56" t="n">
        <v>0</v>
      </c>
      <c r="K3526" s="56" t="n">
        <v>1022.4</v>
      </c>
      <c r="L3526" s="56" t="n">
        <v>0</v>
      </c>
      <c r="M3526" s="56" t="n">
        <v>76</v>
      </c>
      <c r="N3526" s="56" t="n">
        <v>7.8</v>
      </c>
      <c r="O3526" s="56" t="n">
        <f aca="false">IF(D3526=1,"",E3525)</f>
        <v>16.1</v>
      </c>
      <c r="P3526" s="56" t="n">
        <f aca="false">IF(OR(D3526=1,K3525=""),"",K3525)</f>
        <v>1023.9</v>
      </c>
      <c r="Q3526" s="56" t="n">
        <f aca="false">IF(OR(F3526&lt;&gt;0,AND(I3526&lt;&gt;"",E3526&lt;I3526)),1,0)</f>
        <v>0</v>
      </c>
      <c r="R3526" s="56" t="n">
        <f aca="false">IF(AND(D3526&gt;1,Q3526=0,ISNUMBER(O3526),ISNUMBER(P3526)),IF(Q3525=0,1,0),0)</f>
        <v>1</v>
      </c>
      <c r="S3526" s="56" t="n">
        <f aca="false">R3526*(B3526&gt;=Train_Start)*(B3526&lt;=Train_End)</f>
        <v>0</v>
      </c>
      <c r="T3526" s="84" t="n">
        <f aca="false">IF(AND(ISNUMBER(O3526),ISNUMBER(P3526)),Coef_A+Coef_B1*O3526+Coef_B2*P3526,"")</f>
        <v>17.3979715457242</v>
      </c>
      <c r="U3526" s="84" t="n">
        <f aca="false">IF(AND(R3526=1,ISNUMBER(T3526)),E3526-T3526,"")</f>
        <v>-0.797971545724224</v>
      </c>
      <c r="V3526" s="84" t="n">
        <f aca="false">IF(ISNUMBER(T3526),T3526,-99)</f>
        <v>17.3979715457242</v>
      </c>
      <c r="W3526" s="84" t="n">
        <f aca="false">IF(ISNUMBER(U3526),ABS(U3526),"")</f>
        <v>0.797971545724224</v>
      </c>
    </row>
    <row r="3527" customFormat="false" ht="15" hidden="false" customHeight="false" outlineLevel="0" collapsed="false">
      <c r="A3527" s="57" t="n">
        <v>37383</v>
      </c>
      <c r="B3527" s="56" t="n">
        <v>2002</v>
      </c>
      <c r="C3527" s="56" t="n">
        <v>5</v>
      </c>
      <c r="D3527" s="56" t="n">
        <v>7</v>
      </c>
      <c r="E3527" s="56" t="n">
        <v>16.7</v>
      </c>
      <c r="F3527" s="56" t="n">
        <v>0</v>
      </c>
      <c r="G3527" s="56" t="n">
        <v>9.1</v>
      </c>
      <c r="H3527" s="56" t="n">
        <v>0</v>
      </c>
      <c r="I3527" s="56" t="n">
        <v>12.8</v>
      </c>
      <c r="J3527" s="56" t="n">
        <v>0</v>
      </c>
      <c r="K3527" s="56" t="n">
        <v>1021.4</v>
      </c>
      <c r="L3527" s="56" t="n">
        <v>0</v>
      </c>
      <c r="M3527" s="56" t="n">
        <v>82</v>
      </c>
      <c r="N3527" s="56" t="n">
        <v>2.7</v>
      </c>
      <c r="O3527" s="56" t="n">
        <f aca="false">IF(D3527=1,"",E3526)</f>
        <v>16.6</v>
      </c>
      <c r="P3527" s="56" t="n">
        <f aca="false">IF(OR(D3527=1,K3526=""),"",K3526)</f>
        <v>1022.4</v>
      </c>
      <c r="Q3527" s="56" t="n">
        <f aca="false">IF(OR(F3527&lt;&gt;0,AND(I3527&lt;&gt;"",E3527&lt;I3527)),1,0)</f>
        <v>0</v>
      </c>
      <c r="R3527" s="56" t="n">
        <f aca="false">IF(AND(D3527&gt;1,Q3527=0,ISNUMBER(O3527),ISNUMBER(P3527)),IF(Q3526=0,1,0),0)</f>
        <v>1</v>
      </c>
      <c r="S3527" s="56" t="n">
        <f aca="false">R3527*(B3527&gt;=Train_Start)*(B3527&lt;=Train_End)</f>
        <v>0</v>
      </c>
      <c r="T3527" s="84" t="n">
        <f aca="false">IF(AND(ISNUMBER(O3527),ISNUMBER(P3527)),Coef_A+Coef_B1*O3527+Coef_B2*P3527,"")</f>
        <v>17.7605863002946</v>
      </c>
      <c r="U3527" s="84" t="n">
        <f aca="false">IF(AND(R3527=1,ISNUMBER(T3527)),E3527-T3527,"")</f>
        <v>-1.06058630029457</v>
      </c>
      <c r="V3527" s="84" t="n">
        <f aca="false">IF(ISNUMBER(T3527),T3527,-99)</f>
        <v>17.7605863002946</v>
      </c>
      <c r="W3527" s="84" t="n">
        <f aca="false">IF(ISNUMBER(U3527),ABS(U3527),"")</f>
        <v>1.06058630029457</v>
      </c>
    </row>
    <row r="3528" customFormat="false" ht="15" hidden="false" customHeight="false" outlineLevel="0" collapsed="false">
      <c r="A3528" s="57" t="n">
        <v>37384</v>
      </c>
      <c r="B3528" s="56" t="n">
        <v>2002</v>
      </c>
      <c r="C3528" s="56" t="n">
        <v>5</v>
      </c>
      <c r="D3528" s="56" t="n">
        <v>8</v>
      </c>
      <c r="E3528" s="56" t="n">
        <v>13.3</v>
      </c>
      <c r="F3528" s="56" t="n">
        <v>0</v>
      </c>
      <c r="G3528" s="56" t="n">
        <v>7.2</v>
      </c>
      <c r="H3528" s="56" t="n">
        <v>0</v>
      </c>
      <c r="I3528" s="56" t="n">
        <v>12</v>
      </c>
      <c r="J3528" s="56" t="n">
        <v>0</v>
      </c>
      <c r="K3528" s="56" t="n">
        <v>1018.3</v>
      </c>
      <c r="L3528" s="56" t="n">
        <v>0</v>
      </c>
      <c r="M3528" s="56" t="n">
        <v>80</v>
      </c>
      <c r="N3528" s="56" t="n">
        <v>3</v>
      </c>
      <c r="O3528" s="56" t="n">
        <f aca="false">IF(D3528=1,"",E3527)</f>
        <v>16.7</v>
      </c>
      <c r="P3528" s="56" t="n">
        <f aca="false">IF(OR(D3528=1,K3527=""),"",K3527)</f>
        <v>1021.4</v>
      </c>
      <c r="Q3528" s="56" t="n">
        <f aca="false">IF(OR(F3528&lt;&gt;0,AND(I3528&lt;&gt;"",E3528&lt;I3528)),1,0)</f>
        <v>0</v>
      </c>
      <c r="R3528" s="56" t="n">
        <f aca="false">IF(AND(D3528&gt;1,Q3528=0,ISNUMBER(O3528),ISNUMBER(P3528)),IF(Q3527=0,1,0),0)</f>
        <v>1</v>
      </c>
      <c r="S3528" s="56" t="n">
        <f aca="false">R3528*(B3528&gt;=Train_Start)*(B3528&lt;=Train_End)</f>
        <v>0</v>
      </c>
      <c r="T3528" s="84" t="n">
        <f aca="false">IF(AND(ISNUMBER(O3528),ISNUMBER(P3528)),Coef_A+Coef_B1*O3528+Coef_B2*P3528,"")</f>
        <v>17.8111503249648</v>
      </c>
      <c r="U3528" s="84" t="n">
        <f aca="false">IF(AND(R3528=1,ISNUMBER(T3528)),E3528-T3528,"")</f>
        <v>-4.51115032496485</v>
      </c>
      <c r="V3528" s="84" t="n">
        <f aca="false">IF(ISNUMBER(T3528),T3528,-99)</f>
        <v>17.8111503249648</v>
      </c>
      <c r="W3528" s="84" t="n">
        <f aca="false">IF(ISNUMBER(U3528),ABS(U3528),"")</f>
        <v>4.51115032496485</v>
      </c>
    </row>
    <row r="3529" customFormat="false" ht="15" hidden="false" customHeight="false" outlineLevel="0" collapsed="false">
      <c r="A3529" s="57" t="n">
        <v>37385</v>
      </c>
      <c r="B3529" s="56" t="n">
        <v>2002</v>
      </c>
      <c r="C3529" s="56" t="n">
        <v>5</v>
      </c>
      <c r="D3529" s="56" t="n">
        <v>9</v>
      </c>
      <c r="E3529" s="56" t="n">
        <v>16.7</v>
      </c>
      <c r="F3529" s="56" t="n">
        <v>0</v>
      </c>
      <c r="G3529" s="56" t="n">
        <v>9.1</v>
      </c>
      <c r="H3529" s="56" t="n">
        <v>0</v>
      </c>
      <c r="I3529" s="56" t="n">
        <v>11.2</v>
      </c>
      <c r="J3529" s="56" t="n">
        <v>0</v>
      </c>
      <c r="K3529" s="56" t="n">
        <v>1012.5</v>
      </c>
      <c r="L3529" s="56" t="n">
        <v>0</v>
      </c>
      <c r="M3529" s="56" t="n">
        <v>82</v>
      </c>
      <c r="N3529" s="56" t="n">
        <v>0</v>
      </c>
      <c r="O3529" s="56" t="n">
        <f aca="false">IF(D3529=1,"",E3528)</f>
        <v>13.3</v>
      </c>
      <c r="P3529" s="56" t="n">
        <f aca="false">IF(OR(D3529=1,K3528=""),"",K3528)</f>
        <v>1018.3</v>
      </c>
      <c r="Q3529" s="56" t="n">
        <f aca="false">IF(OR(F3529&lt;&gt;0,AND(I3529&lt;&gt;"",E3529&lt;I3529)),1,0)</f>
        <v>0</v>
      </c>
      <c r="R3529" s="56" t="n">
        <f aca="false">IF(AND(D3529&gt;1,Q3529=0,ISNUMBER(O3529),ISNUMBER(P3529)),IF(Q3528=0,1,0),0)</f>
        <v>1</v>
      </c>
      <c r="S3529" s="56" t="n">
        <f aca="false">R3529*(B3529&gt;=Train_Start)*(B3529&lt;=Train_End)</f>
        <v>0</v>
      </c>
      <c r="T3529" s="84" t="n">
        <f aca="false">IF(AND(ISNUMBER(O3529),ISNUMBER(P3529)),Coef_A+Coef_B1*O3529+Coef_B2*P3529,"")</f>
        <v>14.9281503952544</v>
      </c>
      <c r="U3529" s="84" t="n">
        <f aca="false">IF(AND(R3529=1,ISNUMBER(T3529)),E3529-T3529,"")</f>
        <v>1.77184960474556</v>
      </c>
      <c r="V3529" s="84" t="n">
        <f aca="false">IF(ISNUMBER(T3529),T3529,-99)</f>
        <v>14.9281503952544</v>
      </c>
      <c r="W3529" s="84" t="n">
        <f aca="false">IF(ISNUMBER(U3529),ABS(U3529),"")</f>
        <v>1.77184960474556</v>
      </c>
    </row>
    <row r="3530" customFormat="false" ht="15" hidden="false" customHeight="false" outlineLevel="0" collapsed="false">
      <c r="A3530" s="57" t="n">
        <v>37386</v>
      </c>
      <c r="B3530" s="56" t="n">
        <v>2002</v>
      </c>
      <c r="C3530" s="56" t="n">
        <v>5</v>
      </c>
      <c r="D3530" s="56" t="n">
        <v>10</v>
      </c>
      <c r="E3530" s="56" t="n">
        <v>17.5</v>
      </c>
      <c r="F3530" s="56" t="n">
        <v>0</v>
      </c>
      <c r="G3530" s="56" t="n">
        <v>9.9</v>
      </c>
      <c r="H3530" s="56" t="n">
        <v>0</v>
      </c>
      <c r="I3530" s="56" t="n">
        <v>13.3</v>
      </c>
      <c r="J3530" s="56" t="n">
        <v>0</v>
      </c>
      <c r="K3530" s="56" t="n">
        <v>1008.4</v>
      </c>
      <c r="L3530" s="56" t="n">
        <v>0</v>
      </c>
      <c r="M3530" s="56" t="n">
        <v>80</v>
      </c>
      <c r="N3530" s="56" t="n">
        <v>0</v>
      </c>
      <c r="O3530" s="56" t="n">
        <f aca="false">IF(D3530=1,"",E3529)</f>
        <v>16.7</v>
      </c>
      <c r="P3530" s="56" t="n">
        <f aca="false">IF(OR(D3530=1,K3529=""),"",K3529)</f>
        <v>1012.5</v>
      </c>
      <c r="Q3530" s="56" t="n">
        <f aca="false">IF(OR(F3530&lt;&gt;0,AND(I3530&lt;&gt;"",E3530&lt;I3530)),1,0)</f>
        <v>0</v>
      </c>
      <c r="R3530" s="56" t="n">
        <f aca="false">IF(AND(D3530&gt;1,Q3530=0,ISNUMBER(O3530),ISNUMBER(P3530)),IF(Q3529=0,1,0),0)</f>
        <v>1</v>
      </c>
      <c r="S3530" s="56" t="n">
        <f aca="false">R3530*(B3530&gt;=Train_Start)*(B3530&lt;=Train_End)</f>
        <v>0</v>
      </c>
      <c r="T3530" s="84" t="n">
        <f aca="false">IF(AND(ISNUMBER(O3530),ISNUMBER(P3530)),Coef_A+Coef_B1*O3530+Coef_B2*P3530,"")</f>
        <v>17.5319582627223</v>
      </c>
      <c r="U3530" s="84" t="n">
        <f aca="false">IF(AND(R3530=1,ISNUMBER(T3530)),E3530-T3530,"")</f>
        <v>-0.0319582627223376</v>
      </c>
      <c r="V3530" s="84" t="n">
        <f aca="false">IF(ISNUMBER(T3530),T3530,-99)</f>
        <v>17.5319582627223</v>
      </c>
      <c r="W3530" s="84" t="n">
        <f aca="false">IF(ISNUMBER(U3530),ABS(U3530),"")</f>
        <v>0.0319582627223376</v>
      </c>
    </row>
    <row r="3531" customFormat="false" ht="15" hidden="false" customHeight="false" outlineLevel="0" collapsed="false">
      <c r="A3531" s="57" t="n">
        <v>37387</v>
      </c>
      <c r="B3531" s="56" t="n">
        <v>2002</v>
      </c>
      <c r="C3531" s="56" t="n">
        <v>5</v>
      </c>
      <c r="D3531" s="56" t="n">
        <v>11</v>
      </c>
      <c r="E3531" s="56" t="n">
        <v>16.9</v>
      </c>
      <c r="F3531" s="56" t="n">
        <v>0</v>
      </c>
      <c r="G3531" s="56" t="n">
        <v>11.4</v>
      </c>
      <c r="H3531" s="56" t="n">
        <v>0</v>
      </c>
      <c r="I3531" s="56" t="n">
        <v>14.4</v>
      </c>
      <c r="J3531" s="56" t="n">
        <v>0</v>
      </c>
      <c r="K3531" s="56" t="n">
        <v>1010.7</v>
      </c>
      <c r="L3531" s="56" t="n">
        <v>0</v>
      </c>
      <c r="M3531" s="56" t="n">
        <v>67</v>
      </c>
      <c r="N3531" s="56" t="n">
        <v>0.8</v>
      </c>
      <c r="O3531" s="56" t="n">
        <f aca="false">IF(D3531=1,"",E3530)</f>
        <v>17.5</v>
      </c>
      <c r="P3531" s="56" t="n">
        <f aca="false">IF(OR(D3531=1,K3530=""),"",K3530)</f>
        <v>1008.4</v>
      </c>
      <c r="Q3531" s="56" t="n">
        <f aca="false">IF(OR(F3531&lt;&gt;0,AND(I3531&lt;&gt;"",E3531&lt;I3531)),1,0)</f>
        <v>0</v>
      </c>
      <c r="R3531" s="56" t="n">
        <f aca="false">IF(AND(D3531&gt;1,Q3531=0,ISNUMBER(O3531),ISNUMBER(P3531)),IF(Q3530=0,1,0),0)</f>
        <v>1</v>
      </c>
      <c r="S3531" s="56" t="n">
        <f aca="false">R3531*(B3531&gt;=Train_Start)*(B3531&lt;=Train_End)</f>
        <v>0</v>
      </c>
      <c r="T3531" s="84" t="n">
        <f aca="false">IF(AND(ISNUMBER(O3531),ISNUMBER(P3531)),Coef_A+Coef_B1*O3531+Coef_B2*P3531,"")</f>
        <v>18.0588130491571</v>
      </c>
      <c r="U3531" s="84" t="n">
        <f aca="false">IF(AND(R3531=1,ISNUMBER(T3531)),E3531-T3531,"")</f>
        <v>-1.15881304915711</v>
      </c>
      <c r="V3531" s="84" t="n">
        <f aca="false">IF(ISNUMBER(T3531),T3531,-99)</f>
        <v>18.0588130491571</v>
      </c>
      <c r="W3531" s="84" t="n">
        <f aca="false">IF(ISNUMBER(U3531),ABS(U3531),"")</f>
        <v>1.15881304915711</v>
      </c>
    </row>
    <row r="3532" customFormat="false" ht="15" hidden="false" customHeight="false" outlineLevel="0" collapsed="false">
      <c r="A3532" s="57" t="n">
        <v>37388</v>
      </c>
      <c r="B3532" s="56" t="n">
        <v>2002</v>
      </c>
      <c r="C3532" s="56" t="n">
        <v>5</v>
      </c>
      <c r="D3532" s="56" t="n">
        <v>12</v>
      </c>
      <c r="E3532" s="56" t="n">
        <v>14.7</v>
      </c>
      <c r="F3532" s="56" t="n">
        <v>0</v>
      </c>
      <c r="G3532" s="56" t="n">
        <v>9.3</v>
      </c>
      <c r="H3532" s="56" t="n">
        <v>0</v>
      </c>
      <c r="I3532" s="56" t="n">
        <v>13.1</v>
      </c>
      <c r="J3532" s="56" t="n">
        <v>0</v>
      </c>
      <c r="K3532" s="56" t="n">
        <v>1013.3</v>
      </c>
      <c r="L3532" s="56" t="n">
        <v>0</v>
      </c>
      <c r="M3532" s="56" t="n">
        <v>69</v>
      </c>
      <c r="N3532" s="56" t="n">
        <v>3.3</v>
      </c>
      <c r="O3532" s="56" t="n">
        <f aca="false">IF(D3532=1,"",E3531)</f>
        <v>16.9</v>
      </c>
      <c r="P3532" s="56" t="n">
        <f aca="false">IF(OR(D3532=1,K3531=""),"",K3531)</f>
        <v>1010.7</v>
      </c>
      <c r="Q3532" s="56" t="n">
        <f aca="false">IF(OR(F3532&lt;&gt;0,AND(I3532&lt;&gt;"",E3532&lt;I3532)),1,0)</f>
        <v>0</v>
      </c>
      <c r="R3532" s="56" t="n">
        <f aca="false">IF(AND(D3532&gt;1,Q3532=0,ISNUMBER(O3532),ISNUMBER(P3532)),IF(Q3531=0,1,0),0)</f>
        <v>1</v>
      </c>
      <c r="S3532" s="56" t="n">
        <f aca="false">R3532*(B3532&gt;=Train_Start)*(B3532&lt;=Train_End)</f>
        <v>0</v>
      </c>
      <c r="T3532" s="84" t="n">
        <f aca="false">IF(AND(ISNUMBER(O3532),ISNUMBER(P3532)),Coef_A+Coef_B1*O3532+Coef_B2*P3532,"")</f>
        <v>17.6393602909897</v>
      </c>
      <c r="U3532" s="84" t="n">
        <f aca="false">IF(AND(R3532=1,ISNUMBER(T3532)),E3532-T3532,"")</f>
        <v>-2.93936029098969</v>
      </c>
      <c r="V3532" s="84" t="n">
        <f aca="false">IF(ISNUMBER(T3532),T3532,-99)</f>
        <v>17.6393602909897</v>
      </c>
      <c r="W3532" s="84" t="n">
        <f aca="false">IF(ISNUMBER(U3532),ABS(U3532),"")</f>
        <v>2.93936029098969</v>
      </c>
    </row>
    <row r="3533" customFormat="false" ht="15" hidden="false" customHeight="false" outlineLevel="0" collapsed="false">
      <c r="A3533" s="57" t="n">
        <v>37389</v>
      </c>
      <c r="B3533" s="56" t="n">
        <v>2002</v>
      </c>
      <c r="C3533" s="56" t="n">
        <v>5</v>
      </c>
      <c r="D3533" s="56" t="n">
        <v>13</v>
      </c>
      <c r="E3533" s="56" t="n">
        <v>16.8</v>
      </c>
      <c r="F3533" s="56" t="n">
        <v>0</v>
      </c>
      <c r="G3533" s="56" t="n">
        <v>10.4</v>
      </c>
      <c r="H3533" s="56" t="n">
        <v>0</v>
      </c>
      <c r="I3533" s="56" t="n">
        <v>12.6</v>
      </c>
      <c r="J3533" s="56" t="n">
        <v>0</v>
      </c>
      <c r="K3533" s="56" t="n">
        <v>1007.4</v>
      </c>
      <c r="L3533" s="56" t="n">
        <v>0</v>
      </c>
      <c r="M3533" s="56" t="n">
        <v>87</v>
      </c>
      <c r="N3533" s="56" t="n">
        <v>0</v>
      </c>
      <c r="O3533" s="56" t="n">
        <f aca="false">IF(D3533=1,"",E3532)</f>
        <v>14.7</v>
      </c>
      <c r="P3533" s="56" t="n">
        <f aca="false">IF(OR(D3533=1,K3532=""),"",K3532)</f>
        <v>1013.3</v>
      </c>
      <c r="Q3533" s="56" t="n">
        <f aca="false">IF(OR(F3533&lt;&gt;0,AND(I3533&lt;&gt;"",E3533&lt;I3533)),1,0)</f>
        <v>0</v>
      </c>
      <c r="R3533" s="56" t="n">
        <f aca="false">IF(AND(D3533&gt;1,Q3533=0,ISNUMBER(O3533),ISNUMBER(P3533)),IF(Q3532=0,1,0),0)</f>
        <v>1</v>
      </c>
      <c r="S3533" s="56" t="n">
        <f aca="false">R3533*(B3533&gt;=Train_Start)*(B3533&lt;=Train_End)</f>
        <v>0</v>
      </c>
      <c r="T3533" s="84" t="n">
        <f aca="false">IF(AND(ISNUMBER(O3533),ISNUMBER(P3533)),Coef_A+Coef_B1*O3533+Coef_B2*P3533,"")</f>
        <v>15.9183757923442</v>
      </c>
      <c r="U3533" s="84" t="n">
        <f aca="false">IF(AND(R3533=1,ISNUMBER(T3533)),E3533-T3533,"")</f>
        <v>0.881624207655788</v>
      </c>
      <c r="V3533" s="84" t="n">
        <f aca="false">IF(ISNUMBER(T3533),T3533,-99)</f>
        <v>15.9183757923442</v>
      </c>
      <c r="W3533" s="84" t="n">
        <f aca="false">IF(ISNUMBER(U3533),ABS(U3533),"")</f>
        <v>0.881624207655788</v>
      </c>
    </row>
    <row r="3534" customFormat="false" ht="15" hidden="false" customHeight="false" outlineLevel="0" collapsed="false">
      <c r="A3534" s="57" t="n">
        <v>37390</v>
      </c>
      <c r="B3534" s="56" t="n">
        <v>2002</v>
      </c>
      <c r="C3534" s="56" t="n">
        <v>5</v>
      </c>
      <c r="D3534" s="56" t="n">
        <v>14</v>
      </c>
      <c r="E3534" s="56" t="n">
        <v>19.7</v>
      </c>
      <c r="F3534" s="56" t="n">
        <v>0</v>
      </c>
      <c r="G3534" s="56" t="n">
        <v>10.7</v>
      </c>
      <c r="H3534" s="56" t="n">
        <v>0</v>
      </c>
      <c r="I3534" s="56" t="n">
        <v>13.8</v>
      </c>
      <c r="J3534" s="56" t="n">
        <v>0</v>
      </c>
      <c r="K3534" s="56" t="n">
        <v>1010.8</v>
      </c>
      <c r="L3534" s="56" t="n">
        <v>0</v>
      </c>
      <c r="M3534" s="56" t="n">
        <v>72</v>
      </c>
      <c r="N3534" s="56" t="n">
        <v>8.2</v>
      </c>
      <c r="O3534" s="56" t="n">
        <f aca="false">IF(D3534=1,"",E3533)</f>
        <v>16.8</v>
      </c>
      <c r="P3534" s="56" t="n">
        <f aca="false">IF(OR(D3534=1,K3533=""),"",K3533)</f>
        <v>1007.4</v>
      </c>
      <c r="Q3534" s="56" t="n">
        <f aca="false">IF(OR(F3534&lt;&gt;0,AND(I3534&lt;&gt;"",E3534&lt;I3534)),1,0)</f>
        <v>0</v>
      </c>
      <c r="R3534" s="56" t="n">
        <f aca="false">IF(AND(D3534&gt;1,Q3534=0,ISNUMBER(O3534),ISNUMBER(P3534)),IF(Q3533=0,1,0),0)</f>
        <v>1</v>
      </c>
      <c r="S3534" s="56" t="n">
        <f aca="false">R3534*(B3534&gt;=Train_Start)*(B3534&lt;=Train_End)</f>
        <v>0</v>
      </c>
      <c r="T3534" s="84" t="n">
        <f aca="false">IF(AND(ISNUMBER(O3534),ISNUMBER(P3534)),Coef_A+Coef_B1*O3534+Coef_B2*P3534,"")</f>
        <v>17.4539057193933</v>
      </c>
      <c r="U3534" s="84" t="n">
        <f aca="false">IF(AND(R3534=1,ISNUMBER(T3534)),E3534-T3534,"")</f>
        <v>2.24609428060674</v>
      </c>
      <c r="V3534" s="84" t="n">
        <f aca="false">IF(ISNUMBER(T3534),T3534,-99)</f>
        <v>17.4539057193933</v>
      </c>
      <c r="W3534" s="84" t="n">
        <f aca="false">IF(ISNUMBER(U3534),ABS(U3534),"")</f>
        <v>2.24609428060674</v>
      </c>
    </row>
    <row r="3535" customFormat="false" ht="15" hidden="false" customHeight="false" outlineLevel="0" collapsed="false">
      <c r="A3535" s="57" t="n">
        <v>37391</v>
      </c>
      <c r="B3535" s="56" t="n">
        <v>2002</v>
      </c>
      <c r="C3535" s="56" t="n">
        <v>5</v>
      </c>
      <c r="D3535" s="56" t="n">
        <v>15</v>
      </c>
      <c r="E3535" s="56" t="n">
        <v>25.1</v>
      </c>
      <c r="F3535" s="56" t="n">
        <v>0</v>
      </c>
      <c r="G3535" s="56" t="n">
        <v>10.5</v>
      </c>
      <c r="H3535" s="56" t="n">
        <v>0</v>
      </c>
      <c r="I3535" s="56" t="n">
        <v>15.1</v>
      </c>
      <c r="J3535" s="56" t="n">
        <v>0</v>
      </c>
      <c r="K3535" s="56" t="n">
        <v>1022.3</v>
      </c>
      <c r="L3535" s="56" t="n">
        <v>0</v>
      </c>
      <c r="M3535" s="56" t="n">
        <v>70</v>
      </c>
      <c r="N3535" s="56" t="n">
        <v>10.4</v>
      </c>
      <c r="O3535" s="56" t="n">
        <f aca="false">IF(D3535=1,"",E3534)</f>
        <v>19.7</v>
      </c>
      <c r="P3535" s="56" t="n">
        <f aca="false">IF(OR(D3535=1,K3534=""),"",K3534)</f>
        <v>1010.8</v>
      </c>
      <c r="Q3535" s="56" t="n">
        <f aca="false">IF(OR(F3535&lt;&gt;0,AND(I3535&lt;&gt;"",E3535&lt;I3535)),1,0)</f>
        <v>0</v>
      </c>
      <c r="R3535" s="56" t="n">
        <f aca="false">IF(AND(D3535&gt;1,Q3535=0,ISNUMBER(O3535),ISNUMBER(P3535)),IF(Q3534=0,1,0),0)</f>
        <v>1</v>
      </c>
      <c r="S3535" s="56" t="n">
        <f aca="false">R3535*(B3535&gt;=Train_Start)*(B3535&lt;=Train_End)</f>
        <v>0</v>
      </c>
      <c r="T3535" s="84" t="n">
        <f aca="false">IF(AND(ISNUMBER(O3535),ISNUMBER(P3535)),Coef_A+Coef_B1*O3535+Coef_B2*P3535,"")</f>
        <v>19.9366470209725</v>
      </c>
      <c r="U3535" s="84" t="n">
        <f aca="false">IF(AND(R3535=1,ISNUMBER(T3535)),E3535-T3535,"")</f>
        <v>5.16335297902748</v>
      </c>
      <c r="V3535" s="84" t="n">
        <f aca="false">IF(ISNUMBER(T3535),T3535,-99)</f>
        <v>19.9366470209725</v>
      </c>
      <c r="W3535" s="84" t="n">
        <f aca="false">IF(ISNUMBER(U3535),ABS(U3535),"")</f>
        <v>5.16335297902748</v>
      </c>
    </row>
    <row r="3536" customFormat="false" ht="15" hidden="false" customHeight="false" outlineLevel="0" collapsed="false">
      <c r="A3536" s="57" t="n">
        <v>37392</v>
      </c>
      <c r="B3536" s="56" t="n">
        <v>2002</v>
      </c>
      <c r="C3536" s="56" t="n">
        <v>5</v>
      </c>
      <c r="D3536" s="56" t="n">
        <v>16</v>
      </c>
      <c r="E3536" s="56" t="n">
        <v>23.5</v>
      </c>
      <c r="F3536" s="56" t="n">
        <v>0</v>
      </c>
      <c r="G3536" s="56" t="n">
        <v>8.1</v>
      </c>
      <c r="H3536" s="56" t="n">
        <v>0</v>
      </c>
      <c r="I3536" s="56" t="n">
        <v>16.6</v>
      </c>
      <c r="J3536" s="56" t="n">
        <v>0</v>
      </c>
      <c r="K3536" s="56" t="n">
        <v>1018.9</v>
      </c>
      <c r="L3536" s="56" t="n">
        <v>0</v>
      </c>
      <c r="M3536" s="56" t="n">
        <v>66</v>
      </c>
      <c r="N3536" s="56" t="n">
        <v>13.5</v>
      </c>
      <c r="O3536" s="56" t="n">
        <f aca="false">IF(D3536=1,"",E3535)</f>
        <v>25.1</v>
      </c>
      <c r="P3536" s="56" t="n">
        <f aca="false">IF(OR(D3536=1,K3535=""),"",K3535)</f>
        <v>1022.3</v>
      </c>
      <c r="Q3536" s="56" t="n">
        <f aca="false">IF(OR(F3536&lt;&gt;0,AND(I3536&lt;&gt;"",E3536&lt;I3536)),1,0)</f>
        <v>0</v>
      </c>
      <c r="R3536" s="56" t="n">
        <f aca="false">IF(AND(D3536&gt;1,Q3536=0,ISNUMBER(O3536),ISNUMBER(P3536)),IF(Q3535=0,1,0),0)</f>
        <v>1</v>
      </c>
      <c r="S3536" s="56" t="n">
        <f aca="false">R3536*(B3536&gt;=Train_Start)*(B3536&lt;=Train_End)</f>
        <v>0</v>
      </c>
      <c r="T3536" s="84" t="n">
        <f aca="false">IF(AND(ISNUMBER(O3536),ISNUMBER(P3536)),Coef_A+Coef_B1*O3536+Coef_B2*P3536,"")</f>
        <v>24.7218324516938</v>
      </c>
      <c r="U3536" s="84" t="n">
        <f aca="false">IF(AND(R3536=1,ISNUMBER(T3536)),E3536-T3536,"")</f>
        <v>-1.22183245169376</v>
      </c>
      <c r="V3536" s="84" t="n">
        <f aca="false">IF(ISNUMBER(T3536),T3536,-99)</f>
        <v>24.7218324516938</v>
      </c>
      <c r="W3536" s="84" t="n">
        <f aca="false">IF(ISNUMBER(U3536),ABS(U3536),"")</f>
        <v>1.22183245169376</v>
      </c>
    </row>
    <row r="3537" customFormat="false" ht="15" hidden="false" customHeight="false" outlineLevel="0" collapsed="false">
      <c r="A3537" s="57" t="n">
        <v>37393</v>
      </c>
      <c r="B3537" s="56" t="n">
        <v>2002</v>
      </c>
      <c r="C3537" s="56" t="n">
        <v>5</v>
      </c>
      <c r="D3537" s="56" t="n">
        <v>17</v>
      </c>
      <c r="E3537" s="56" t="n">
        <v>18.9</v>
      </c>
      <c r="F3537" s="56" t="n">
        <v>0</v>
      </c>
      <c r="G3537" s="56" t="n">
        <v>14.2</v>
      </c>
      <c r="H3537" s="56" t="n">
        <v>0</v>
      </c>
      <c r="I3537" s="56" t="n">
        <v>18.8</v>
      </c>
      <c r="J3537" s="56" t="n">
        <v>0</v>
      </c>
      <c r="K3537" s="56" t="n">
        <v>1010.7</v>
      </c>
      <c r="L3537" s="56" t="n">
        <v>0</v>
      </c>
      <c r="M3537" s="56" t="n">
        <v>67</v>
      </c>
      <c r="N3537" s="56" t="n">
        <v>6.1</v>
      </c>
      <c r="O3537" s="56" t="n">
        <f aca="false">IF(D3537=1,"",E3536)</f>
        <v>23.5</v>
      </c>
      <c r="P3537" s="56" t="n">
        <f aca="false">IF(OR(D3537=1,K3536=""),"",K3536)</f>
        <v>1018.9</v>
      </c>
      <c r="Q3537" s="56" t="n">
        <f aca="false">IF(OR(F3537&lt;&gt;0,AND(I3537&lt;&gt;"",E3537&lt;I3537)),1,0)</f>
        <v>0</v>
      </c>
      <c r="R3537" s="56" t="n">
        <f aca="false">IF(AND(D3537&gt;1,Q3537=0,ISNUMBER(O3537),ISNUMBER(P3537)),IF(Q3536=0,1,0),0)</f>
        <v>1</v>
      </c>
      <c r="S3537" s="56" t="n">
        <f aca="false">R3537*(B3537&gt;=Train_Start)*(B3537&lt;=Train_End)</f>
        <v>0</v>
      </c>
      <c r="T3537" s="84" t="n">
        <f aca="false">IF(AND(ISNUMBER(O3537),ISNUMBER(P3537)),Coef_A+Coef_B1*O3537+Coef_B2*P3537,"")</f>
        <v>23.3042321010699</v>
      </c>
      <c r="U3537" s="84" t="n">
        <f aca="false">IF(AND(R3537=1,ISNUMBER(T3537)),E3537-T3537,"")</f>
        <v>-4.40423210106994</v>
      </c>
      <c r="V3537" s="84" t="n">
        <f aca="false">IF(ISNUMBER(T3537),T3537,-99)</f>
        <v>23.3042321010699</v>
      </c>
      <c r="W3537" s="84" t="n">
        <f aca="false">IF(ISNUMBER(U3537),ABS(U3537),"")</f>
        <v>4.40423210106994</v>
      </c>
    </row>
    <row r="3538" customFormat="false" ht="15" hidden="false" customHeight="false" outlineLevel="0" collapsed="false">
      <c r="A3538" s="57" t="n">
        <v>37394</v>
      </c>
      <c r="B3538" s="56" t="n">
        <v>2002</v>
      </c>
      <c r="C3538" s="56" t="n">
        <v>5</v>
      </c>
      <c r="D3538" s="56" t="n">
        <v>18</v>
      </c>
      <c r="E3538" s="56" t="n">
        <v>19.8</v>
      </c>
      <c r="F3538" s="56" t="n">
        <v>0</v>
      </c>
      <c r="G3538" s="56" t="n">
        <v>13.2</v>
      </c>
      <c r="H3538" s="56" t="n">
        <v>0</v>
      </c>
      <c r="I3538" s="56" t="n">
        <v>16</v>
      </c>
      <c r="J3538" s="56" t="n">
        <v>0</v>
      </c>
      <c r="K3538" s="56" t="n">
        <v>1012.6</v>
      </c>
      <c r="L3538" s="56" t="n">
        <v>0</v>
      </c>
      <c r="M3538" s="56" t="n">
        <v>78</v>
      </c>
      <c r="N3538" s="56" t="n">
        <v>2.8</v>
      </c>
      <c r="O3538" s="56" t="n">
        <f aca="false">IF(D3538=1,"",E3537)</f>
        <v>18.9</v>
      </c>
      <c r="P3538" s="56" t="n">
        <f aca="false">IF(OR(D3538=1,K3537=""),"",K3537)</f>
        <v>1010.7</v>
      </c>
      <c r="Q3538" s="56" t="n">
        <f aca="false">IF(OR(F3538&lt;&gt;0,AND(I3538&lt;&gt;"",E3538&lt;I3538)),1,0)</f>
        <v>0</v>
      </c>
      <c r="R3538" s="56" t="n">
        <f aca="false">IF(AND(D3538&gt;1,Q3538=0,ISNUMBER(O3538),ISNUMBER(P3538)),IF(Q3537=0,1,0),0)</f>
        <v>1</v>
      </c>
      <c r="S3538" s="56" t="n">
        <f aca="false">R3538*(B3538&gt;=Train_Start)*(B3538&lt;=Train_End)</f>
        <v>0</v>
      </c>
      <c r="T3538" s="84" t="n">
        <f aca="false">IF(AND(ISNUMBER(O3538),ISNUMBER(P3538)),Coef_A+Coef_B1*O3538+Coef_B2*P3538,"")</f>
        <v>19.278038677075</v>
      </c>
      <c r="U3538" s="84" t="n">
        <f aca="false">IF(AND(R3538=1,ISNUMBER(T3538)),E3538-T3538,"")</f>
        <v>0.521961322924998</v>
      </c>
      <c r="V3538" s="84" t="n">
        <f aca="false">IF(ISNUMBER(T3538),T3538,-99)</f>
        <v>19.278038677075</v>
      </c>
      <c r="W3538" s="84" t="n">
        <f aca="false">IF(ISNUMBER(U3538),ABS(U3538),"")</f>
        <v>0.521961322924998</v>
      </c>
    </row>
    <row r="3539" customFormat="false" ht="15" hidden="false" customHeight="false" outlineLevel="0" collapsed="false">
      <c r="A3539" s="57" t="n">
        <v>37395</v>
      </c>
      <c r="B3539" s="56" t="n">
        <v>2002</v>
      </c>
      <c r="C3539" s="56" t="n">
        <v>5</v>
      </c>
      <c r="D3539" s="56" t="n">
        <v>19</v>
      </c>
      <c r="E3539" s="56" t="n">
        <v>19</v>
      </c>
      <c r="F3539" s="56" t="n">
        <v>0</v>
      </c>
      <c r="G3539" s="56" t="n">
        <v>11.5</v>
      </c>
      <c r="H3539" s="56" t="n">
        <v>0</v>
      </c>
      <c r="I3539" s="56" t="n">
        <v>15.6</v>
      </c>
      <c r="J3539" s="56" t="n">
        <v>0</v>
      </c>
      <c r="K3539" s="56" t="n">
        <v>1016.4</v>
      </c>
      <c r="L3539" s="56" t="n">
        <v>0</v>
      </c>
      <c r="M3539" s="56" t="n">
        <v>71</v>
      </c>
      <c r="N3539" s="56" t="n">
        <v>7.8</v>
      </c>
      <c r="O3539" s="56" t="n">
        <f aca="false">IF(D3539=1,"",E3538)</f>
        <v>19.8</v>
      </c>
      <c r="P3539" s="56" t="n">
        <f aca="false">IF(OR(D3539=1,K3538=""),"",K3538)</f>
        <v>1012.6</v>
      </c>
      <c r="Q3539" s="56" t="n">
        <f aca="false">IF(OR(F3539&lt;&gt;0,AND(I3539&lt;&gt;"",E3539&lt;I3539)),1,0)</f>
        <v>0</v>
      </c>
      <c r="R3539" s="56" t="n">
        <f aca="false">IF(AND(D3539&gt;1,Q3539=0,ISNUMBER(O3539),ISNUMBER(P3539)),IF(Q3538=0,1,0),0)</f>
        <v>1</v>
      </c>
      <c r="S3539" s="56" t="n">
        <f aca="false">R3539*(B3539&gt;=Train_Start)*(B3539&lt;=Train_End)</f>
        <v>0</v>
      </c>
      <c r="T3539" s="84" t="n">
        <f aca="false">IF(AND(ISNUMBER(O3539),ISNUMBER(P3539)),Coef_A+Coef_B1*O3539+Coef_B2*P3539,"")</f>
        <v>20.075046750618</v>
      </c>
      <c r="U3539" s="84" t="n">
        <f aca="false">IF(AND(R3539=1,ISNUMBER(T3539)),E3539-T3539,"")</f>
        <v>-1.07504675061798</v>
      </c>
      <c r="V3539" s="84" t="n">
        <f aca="false">IF(ISNUMBER(T3539),T3539,-99)</f>
        <v>20.075046750618</v>
      </c>
      <c r="W3539" s="84" t="n">
        <f aca="false">IF(ISNUMBER(U3539),ABS(U3539),"")</f>
        <v>1.07504675061798</v>
      </c>
    </row>
    <row r="3540" customFormat="false" ht="15" hidden="false" customHeight="false" outlineLevel="0" collapsed="false">
      <c r="A3540" s="57" t="n">
        <v>37396</v>
      </c>
      <c r="B3540" s="56" t="n">
        <v>2002</v>
      </c>
      <c r="C3540" s="56" t="n">
        <v>5</v>
      </c>
      <c r="D3540" s="56" t="n">
        <v>20</v>
      </c>
      <c r="E3540" s="56" t="n">
        <v>18.3</v>
      </c>
      <c r="F3540" s="56" t="n">
        <v>0</v>
      </c>
      <c r="G3540" s="56" t="n">
        <v>12.7</v>
      </c>
      <c r="H3540" s="56" t="n">
        <v>0</v>
      </c>
      <c r="I3540" s="56" t="n">
        <v>15.8</v>
      </c>
      <c r="J3540" s="56" t="n">
        <v>0</v>
      </c>
      <c r="K3540" s="56" t="n">
        <v>1010</v>
      </c>
      <c r="L3540" s="56" t="n">
        <v>0</v>
      </c>
      <c r="M3540" s="56" t="n">
        <v>73</v>
      </c>
      <c r="N3540" s="56" t="n">
        <v>1.4</v>
      </c>
      <c r="O3540" s="56" t="n">
        <f aca="false">IF(D3540=1,"",E3539)</f>
        <v>19</v>
      </c>
      <c r="P3540" s="56" t="n">
        <f aca="false">IF(OR(D3540=1,K3539=""),"",K3539)</f>
        <v>1016.4</v>
      </c>
      <c r="Q3540" s="56" t="n">
        <f aca="false">IF(OR(F3540&lt;&gt;0,AND(I3540&lt;&gt;"",E3540&lt;I3540)),1,0)</f>
        <v>0</v>
      </c>
      <c r="R3540" s="56" t="n">
        <f aca="false">IF(AND(D3540&gt;1,Q3540=0,ISNUMBER(O3540),ISNUMBER(P3540)),IF(Q3539=0,1,0),0)</f>
        <v>1</v>
      </c>
      <c r="S3540" s="56" t="n">
        <f aca="false">R3540*(B3540&gt;=Train_Start)*(B3540&lt;=Train_End)</f>
        <v>0</v>
      </c>
      <c r="T3540" s="84" t="n">
        <f aca="false">IF(AND(ISNUMBER(O3540),ISNUMBER(P3540)),Coef_A+Coef_B1*O3540+Coef_B2*P3540,"")</f>
        <v>19.538780995793</v>
      </c>
      <c r="U3540" s="84" t="n">
        <f aca="false">IF(AND(R3540=1,ISNUMBER(T3540)),E3540-T3540,"")</f>
        <v>-1.23878099579301</v>
      </c>
      <c r="V3540" s="84" t="n">
        <f aca="false">IF(ISNUMBER(T3540),T3540,-99)</f>
        <v>19.538780995793</v>
      </c>
      <c r="W3540" s="84" t="n">
        <f aca="false">IF(ISNUMBER(U3540),ABS(U3540),"")</f>
        <v>1.23878099579301</v>
      </c>
    </row>
    <row r="3541" customFormat="false" ht="15" hidden="false" customHeight="false" outlineLevel="0" collapsed="false">
      <c r="A3541" s="57" t="n">
        <v>37397</v>
      </c>
      <c r="B3541" s="56" t="n">
        <v>2002</v>
      </c>
      <c r="C3541" s="56" t="n">
        <v>5</v>
      </c>
      <c r="D3541" s="56" t="n">
        <v>21</v>
      </c>
      <c r="E3541" s="56" t="n">
        <v>18.6</v>
      </c>
      <c r="F3541" s="56" t="n">
        <v>0</v>
      </c>
      <c r="G3541" s="56" t="n">
        <v>12.9</v>
      </c>
      <c r="H3541" s="56" t="n">
        <v>0</v>
      </c>
      <c r="I3541" s="56" t="n">
        <v>15.6</v>
      </c>
      <c r="J3541" s="56" t="n">
        <v>0</v>
      </c>
      <c r="K3541" s="56" t="n">
        <v>999.1</v>
      </c>
      <c r="L3541" s="56" t="n">
        <v>0</v>
      </c>
      <c r="M3541" s="56" t="n">
        <v>80</v>
      </c>
      <c r="N3541" s="56" t="n">
        <v>3.7</v>
      </c>
      <c r="O3541" s="56" t="n">
        <f aca="false">IF(D3541=1,"",E3540)</f>
        <v>18.3</v>
      </c>
      <c r="P3541" s="56" t="n">
        <f aca="false">IF(OR(D3541=1,K3540=""),"",K3540)</f>
        <v>1010</v>
      </c>
      <c r="Q3541" s="56" t="n">
        <f aca="false">IF(OR(F3541&lt;&gt;0,AND(I3541&lt;&gt;"",E3541&lt;I3541)),1,0)</f>
        <v>0</v>
      </c>
      <c r="R3541" s="56" t="n">
        <f aca="false">IF(AND(D3541&gt;1,Q3541=0,ISNUMBER(O3541),ISNUMBER(P3541)),IF(Q3540=0,1,0),0)</f>
        <v>1</v>
      </c>
      <c r="S3541" s="56" t="n">
        <f aca="false">R3541*(B3541&gt;=Train_Start)*(B3541&lt;=Train_End)</f>
        <v>0</v>
      </c>
      <c r="T3541" s="84" t="n">
        <f aca="false">IF(AND(ISNUMBER(O3541),ISNUMBER(P3541)),Coef_A+Coef_B1*O3541+Coef_B2*P3541,"")</f>
        <v>18.7644762350056</v>
      </c>
      <c r="U3541" s="84" t="n">
        <f aca="false">IF(AND(R3541=1,ISNUMBER(T3541)),E3541-T3541,"")</f>
        <v>-0.164476235005615</v>
      </c>
      <c r="V3541" s="84" t="n">
        <f aca="false">IF(ISNUMBER(T3541),T3541,-99)</f>
        <v>18.7644762350056</v>
      </c>
      <c r="W3541" s="84" t="n">
        <f aca="false">IF(ISNUMBER(U3541),ABS(U3541),"")</f>
        <v>0.164476235005615</v>
      </c>
    </row>
    <row r="3542" customFormat="false" ht="15" hidden="false" customHeight="false" outlineLevel="0" collapsed="false">
      <c r="A3542" s="57" t="n">
        <v>37398</v>
      </c>
      <c r="B3542" s="56" t="n">
        <v>2002</v>
      </c>
      <c r="C3542" s="56" t="n">
        <v>5</v>
      </c>
      <c r="D3542" s="56" t="n">
        <v>22</v>
      </c>
      <c r="E3542" s="56" t="n">
        <v>18.3</v>
      </c>
      <c r="F3542" s="56" t="n">
        <v>0</v>
      </c>
      <c r="G3542" s="56" t="n">
        <v>13.2</v>
      </c>
      <c r="H3542" s="56" t="n">
        <v>0</v>
      </c>
      <c r="I3542" s="56" t="n">
        <v>15.9</v>
      </c>
      <c r="J3542" s="56" t="n">
        <v>0</v>
      </c>
      <c r="K3542" s="56" t="n">
        <v>994.6</v>
      </c>
      <c r="L3542" s="56" t="n">
        <v>0</v>
      </c>
      <c r="M3542" s="56" t="n">
        <v>71</v>
      </c>
      <c r="N3542" s="56" t="n">
        <v>9.7</v>
      </c>
      <c r="O3542" s="56" t="n">
        <f aca="false">IF(D3542=1,"",E3541)</f>
        <v>18.6</v>
      </c>
      <c r="P3542" s="56" t="n">
        <f aca="false">IF(OR(D3542=1,K3541=""),"",K3541)</f>
        <v>999.1</v>
      </c>
      <c r="Q3542" s="56" t="n">
        <f aca="false">IF(OR(F3542&lt;&gt;0,AND(I3542&lt;&gt;"",E3542&lt;I3542)),1,0)</f>
        <v>0</v>
      </c>
      <c r="R3542" s="56" t="n">
        <f aca="false">IF(AND(D3542&gt;1,Q3542=0,ISNUMBER(O3542),ISNUMBER(P3542)),IF(Q3541=0,1,0),0)</f>
        <v>1</v>
      </c>
      <c r="S3542" s="56" t="n">
        <f aca="false">R3542*(B3542&gt;=Train_Start)*(B3542&lt;=Train_End)</f>
        <v>0</v>
      </c>
      <c r="T3542" s="84" t="n">
        <f aca="false">IF(AND(ISNUMBER(O3542),ISNUMBER(P3542)),Coef_A+Coef_B1*O3542+Coef_B2*P3542,"")</f>
        <v>18.6683461414079</v>
      </c>
      <c r="U3542" s="84" t="n">
        <f aca="false">IF(AND(R3542=1,ISNUMBER(T3542)),E3542-T3542,"")</f>
        <v>-0.368346141407933</v>
      </c>
      <c r="V3542" s="84" t="n">
        <f aca="false">IF(ISNUMBER(T3542),T3542,-99)</f>
        <v>18.6683461414079</v>
      </c>
      <c r="W3542" s="84" t="n">
        <f aca="false">IF(ISNUMBER(U3542),ABS(U3542),"")</f>
        <v>0.368346141407933</v>
      </c>
    </row>
    <row r="3543" customFormat="false" ht="15" hidden="false" customHeight="false" outlineLevel="0" collapsed="false">
      <c r="A3543" s="57" t="n">
        <v>37399</v>
      </c>
      <c r="B3543" s="56" t="n">
        <v>2002</v>
      </c>
      <c r="C3543" s="56" t="n">
        <v>5</v>
      </c>
      <c r="D3543" s="56" t="n">
        <v>23</v>
      </c>
      <c r="E3543" s="56" t="n">
        <v>17.9</v>
      </c>
      <c r="F3543" s="56" t="n">
        <v>0</v>
      </c>
      <c r="G3543" s="56" t="n">
        <v>11.9</v>
      </c>
      <c r="H3543" s="56" t="n">
        <v>0</v>
      </c>
      <c r="I3543" s="56" t="n">
        <v>15.1</v>
      </c>
      <c r="J3543" s="56" t="n">
        <v>0</v>
      </c>
      <c r="K3543" s="56" t="n">
        <v>1004.1</v>
      </c>
      <c r="L3543" s="56" t="n">
        <v>0</v>
      </c>
      <c r="M3543" s="56" t="n">
        <v>67</v>
      </c>
      <c r="N3543" s="56" t="n">
        <v>10.3</v>
      </c>
      <c r="O3543" s="56" t="n">
        <f aca="false">IF(D3543=1,"",E3542)</f>
        <v>18.3</v>
      </c>
      <c r="P3543" s="56" t="n">
        <f aca="false">IF(OR(D3543=1,K3542=""),"",K3542)</f>
        <v>994.6</v>
      </c>
      <c r="Q3543" s="56" t="n">
        <f aca="false">IF(OR(F3543&lt;&gt;0,AND(I3543&lt;&gt;"",E3543&lt;I3543)),1,0)</f>
        <v>0</v>
      </c>
      <c r="R3543" s="56" t="n">
        <f aca="false">IF(AND(D3543&gt;1,Q3543=0,ISNUMBER(O3543),ISNUMBER(P3543)),IF(Q3542=0,1,0),0)</f>
        <v>1</v>
      </c>
      <c r="S3543" s="56" t="n">
        <f aca="false">R3543*(B3543&gt;=Train_Start)*(B3543&lt;=Train_End)</f>
        <v>0</v>
      </c>
      <c r="T3543" s="84" t="n">
        <f aca="false">IF(AND(ISNUMBER(O3543),ISNUMBER(P3543)),Coef_A+Coef_B1*O3543+Coef_B2*P3543,"")</f>
        <v>18.2813798576422</v>
      </c>
      <c r="U3543" s="84" t="n">
        <f aca="false">IF(AND(R3543=1,ISNUMBER(T3543)),E3543-T3543,"")</f>
        <v>-0.381379857642184</v>
      </c>
      <c r="V3543" s="84" t="n">
        <f aca="false">IF(ISNUMBER(T3543),T3543,-99)</f>
        <v>18.2813798576422</v>
      </c>
      <c r="W3543" s="84" t="n">
        <f aca="false">IF(ISNUMBER(U3543),ABS(U3543),"")</f>
        <v>0.381379857642184</v>
      </c>
    </row>
    <row r="3544" customFormat="false" ht="15" hidden="false" customHeight="false" outlineLevel="0" collapsed="false">
      <c r="A3544" s="57" t="n">
        <v>37400</v>
      </c>
      <c r="B3544" s="56" t="n">
        <v>2002</v>
      </c>
      <c r="C3544" s="56" t="n">
        <v>5</v>
      </c>
      <c r="D3544" s="56" t="n">
        <v>24</v>
      </c>
      <c r="E3544" s="56" t="n">
        <v>16.8</v>
      </c>
      <c r="F3544" s="56" t="n">
        <v>0</v>
      </c>
      <c r="G3544" s="56" t="n">
        <v>10.8</v>
      </c>
      <c r="H3544" s="56" t="n">
        <v>0</v>
      </c>
      <c r="I3544" s="56" t="n">
        <v>14.4</v>
      </c>
      <c r="J3544" s="56" t="n">
        <v>0</v>
      </c>
      <c r="K3544" s="56" t="n">
        <v>1002.5</v>
      </c>
      <c r="L3544" s="56" t="n">
        <v>0</v>
      </c>
      <c r="M3544" s="56" t="n">
        <v>71</v>
      </c>
      <c r="N3544" s="56" t="n">
        <v>5.7</v>
      </c>
      <c r="O3544" s="56" t="n">
        <f aca="false">IF(D3544=1,"",E3543)</f>
        <v>17.9</v>
      </c>
      <c r="P3544" s="56" t="n">
        <f aca="false">IF(OR(D3544=1,K3543=""),"",K3543)</f>
        <v>1004.1</v>
      </c>
      <c r="Q3544" s="56" t="n">
        <f aca="false">IF(OR(F3544&lt;&gt;0,AND(I3544&lt;&gt;"",E3544&lt;I3544)),1,0)</f>
        <v>0</v>
      </c>
      <c r="R3544" s="56" t="n">
        <f aca="false">IF(AND(D3544&gt;1,Q3544=0,ISNUMBER(O3544),ISNUMBER(P3544)),IF(Q3543=0,1,0),0)</f>
        <v>1</v>
      </c>
      <c r="S3544" s="56" t="n">
        <f aca="false">R3544*(B3544&gt;=Train_Start)*(B3544&lt;=Train_End)</f>
        <v>0</v>
      </c>
      <c r="T3544" s="84" t="n">
        <f aca="false">IF(AND(ISNUMBER(O3544),ISNUMBER(P3544)),Coef_A+Coef_B1*O3544+Coef_B2*P3544,"")</f>
        <v>18.251658179448</v>
      </c>
      <c r="U3544" s="84" t="n">
        <f aca="false">IF(AND(R3544=1,ISNUMBER(T3544)),E3544-T3544,"")</f>
        <v>-1.45165817944801</v>
      </c>
      <c r="V3544" s="84" t="n">
        <f aca="false">IF(ISNUMBER(T3544),T3544,-99)</f>
        <v>18.251658179448</v>
      </c>
      <c r="W3544" s="84" t="n">
        <f aca="false">IF(ISNUMBER(U3544),ABS(U3544),"")</f>
        <v>1.45165817944801</v>
      </c>
    </row>
    <row r="3545" customFormat="false" ht="15" hidden="false" customHeight="false" outlineLevel="0" collapsed="false">
      <c r="A3545" s="57" t="n">
        <v>37401</v>
      </c>
      <c r="B3545" s="56" t="n">
        <v>2002</v>
      </c>
      <c r="C3545" s="56" t="n">
        <v>5</v>
      </c>
      <c r="D3545" s="56" t="n">
        <v>25</v>
      </c>
      <c r="E3545" s="56" t="n">
        <v>13.5</v>
      </c>
      <c r="F3545" s="56" t="n">
        <v>0</v>
      </c>
      <c r="G3545" s="56" t="n">
        <v>9.8</v>
      </c>
      <c r="H3545" s="56" t="n">
        <v>0</v>
      </c>
      <c r="I3545" s="56" t="n">
        <v>13.3</v>
      </c>
      <c r="J3545" s="56" t="n">
        <v>0</v>
      </c>
      <c r="K3545" s="56" t="n">
        <v>1006.4</v>
      </c>
      <c r="L3545" s="56" t="n">
        <v>0</v>
      </c>
      <c r="M3545" s="56" t="n">
        <v>62</v>
      </c>
      <c r="N3545" s="56" t="n">
        <v>9.4</v>
      </c>
      <c r="O3545" s="56" t="n">
        <f aca="false">IF(D3545=1,"",E3544)</f>
        <v>16.8</v>
      </c>
      <c r="P3545" s="56" t="n">
        <f aca="false">IF(OR(D3545=1,K3544=""),"",K3544)</f>
        <v>1002.5</v>
      </c>
      <c r="Q3545" s="56" t="n">
        <f aca="false">IF(OR(F3545&lt;&gt;0,AND(I3545&lt;&gt;"",E3545&lt;I3545)),1,0)</f>
        <v>0</v>
      </c>
      <c r="R3545" s="56" t="n">
        <f aca="false">IF(AND(D3545&gt;1,Q3545=0,ISNUMBER(O3545),ISNUMBER(P3545)),IF(Q3544=0,1,0),0)</f>
        <v>1</v>
      </c>
      <c r="S3545" s="56" t="n">
        <f aca="false">R3545*(B3545&gt;=Train_Start)*(B3545&lt;=Train_End)</f>
        <v>0</v>
      </c>
      <c r="T3545" s="84" t="n">
        <f aca="false">IF(AND(ISNUMBER(O3545),ISNUMBER(P3545)),Coef_A+Coef_B1*O3545+Coef_B2*P3545,"")</f>
        <v>17.3001932356867</v>
      </c>
      <c r="U3545" s="84" t="n">
        <f aca="false">IF(AND(R3545=1,ISNUMBER(T3545)),E3545-T3545,"")</f>
        <v>-3.80019323568671</v>
      </c>
      <c r="V3545" s="84" t="n">
        <f aca="false">IF(ISNUMBER(T3545),T3545,-99)</f>
        <v>17.3001932356867</v>
      </c>
      <c r="W3545" s="84" t="n">
        <f aca="false">IF(ISNUMBER(U3545),ABS(U3545),"")</f>
        <v>3.80019323568671</v>
      </c>
    </row>
    <row r="3546" customFormat="false" ht="15" hidden="false" customHeight="false" outlineLevel="0" collapsed="false">
      <c r="A3546" s="57" t="n">
        <v>37402</v>
      </c>
      <c r="B3546" s="56" t="n">
        <v>2002</v>
      </c>
      <c r="C3546" s="56" t="n">
        <v>5</v>
      </c>
      <c r="D3546" s="56" t="n">
        <v>26</v>
      </c>
      <c r="E3546" s="56" t="n">
        <v>18</v>
      </c>
      <c r="F3546" s="56" t="n">
        <v>0</v>
      </c>
      <c r="G3546" s="56" t="n">
        <v>9.2</v>
      </c>
      <c r="H3546" s="56" t="n">
        <v>0</v>
      </c>
      <c r="I3546" s="56" t="n">
        <v>11.4</v>
      </c>
      <c r="J3546" s="56" t="n">
        <v>0</v>
      </c>
      <c r="K3546" s="56" t="n">
        <v>999.2</v>
      </c>
      <c r="L3546" s="56" t="n">
        <v>0</v>
      </c>
      <c r="M3546" s="56" t="n">
        <v>84</v>
      </c>
      <c r="N3546" s="56" t="n">
        <v>3.4</v>
      </c>
      <c r="O3546" s="56" t="n">
        <f aca="false">IF(D3546=1,"",E3545)</f>
        <v>13.5</v>
      </c>
      <c r="P3546" s="56" t="n">
        <f aca="false">IF(OR(D3546=1,K3545=""),"",K3545)</f>
        <v>1006.4</v>
      </c>
      <c r="Q3546" s="56" t="n">
        <f aca="false">IF(OR(F3546&lt;&gt;0,AND(I3546&lt;&gt;"",E3546&lt;I3546)),1,0)</f>
        <v>0</v>
      </c>
      <c r="R3546" s="56" t="n">
        <f aca="false">IF(AND(D3546&gt;1,Q3546=0,ISNUMBER(O3546),ISNUMBER(P3546)),IF(Q3545=0,1,0),0)</f>
        <v>1</v>
      </c>
      <c r="S3546" s="56" t="n">
        <f aca="false">R3546*(B3546&gt;=Train_Start)*(B3546&lt;=Train_End)</f>
        <v>0</v>
      </c>
      <c r="T3546" s="84" t="n">
        <f aca="false">IF(AND(ISNUMBER(O3546),ISNUMBER(P3546)),Coef_A+Coef_B1*O3546+Coef_B2*P3546,"")</f>
        <v>14.7187164877185</v>
      </c>
      <c r="U3546" s="84" t="n">
        <f aca="false">IF(AND(R3546=1,ISNUMBER(T3546)),E3546-T3546,"")</f>
        <v>3.2812835122815</v>
      </c>
      <c r="V3546" s="84" t="n">
        <f aca="false">IF(ISNUMBER(T3546),T3546,-99)</f>
        <v>14.7187164877185</v>
      </c>
      <c r="W3546" s="84" t="n">
        <f aca="false">IF(ISNUMBER(U3546),ABS(U3546),"")</f>
        <v>3.2812835122815</v>
      </c>
    </row>
    <row r="3547" customFormat="false" ht="15" hidden="false" customHeight="false" outlineLevel="0" collapsed="false">
      <c r="A3547" s="57" t="n">
        <v>37403</v>
      </c>
      <c r="B3547" s="56" t="n">
        <v>2002</v>
      </c>
      <c r="C3547" s="56" t="n">
        <v>5</v>
      </c>
      <c r="D3547" s="56" t="n">
        <v>27</v>
      </c>
      <c r="E3547" s="56" t="n">
        <v>16.2</v>
      </c>
      <c r="F3547" s="56" t="n">
        <v>0</v>
      </c>
      <c r="G3547" s="56" t="n">
        <v>5.6</v>
      </c>
      <c r="H3547" s="56" t="n">
        <v>0</v>
      </c>
      <c r="I3547" s="56" t="n">
        <v>11.8</v>
      </c>
      <c r="J3547" s="56" t="n">
        <v>0</v>
      </c>
      <c r="K3547" s="56" t="n">
        <v>1003.3</v>
      </c>
      <c r="L3547" s="56" t="n">
        <v>0</v>
      </c>
      <c r="M3547" s="56" t="n">
        <v>74</v>
      </c>
      <c r="N3547" s="56" t="n">
        <v>9.5</v>
      </c>
      <c r="O3547" s="56" t="n">
        <f aca="false">IF(D3547=1,"",E3546)</f>
        <v>18</v>
      </c>
      <c r="P3547" s="56" t="n">
        <f aca="false">IF(OR(D3547=1,K3546=""),"",K3546)</f>
        <v>999.2</v>
      </c>
      <c r="Q3547" s="56" t="n">
        <f aca="false">IF(OR(F3547&lt;&gt;0,AND(I3547&lt;&gt;"",E3547&lt;I3547)),1,0)</f>
        <v>0</v>
      </c>
      <c r="R3547" s="56" t="n">
        <f aca="false">IF(AND(D3547&gt;1,Q3547=0,ISNUMBER(O3547),ISNUMBER(P3547)),IF(Q3546=0,1,0),0)</f>
        <v>1</v>
      </c>
      <c r="S3547" s="56" t="n">
        <f aca="false">R3547*(B3547&gt;=Train_Start)*(B3547&lt;=Train_End)</f>
        <v>0</v>
      </c>
      <c r="T3547" s="84" t="n">
        <f aca="false">IF(AND(ISNUMBER(O3547),ISNUMBER(P3547)),Coef_A+Coef_B1*O3547+Coef_B2*P3547,"")</f>
        <v>18.1798796150457</v>
      </c>
      <c r="U3547" s="84" t="n">
        <f aca="false">IF(AND(R3547=1,ISNUMBER(T3547)),E3547-T3547,"")</f>
        <v>-1.97987961504574</v>
      </c>
      <c r="V3547" s="84" t="n">
        <f aca="false">IF(ISNUMBER(T3547),T3547,-99)</f>
        <v>18.1798796150457</v>
      </c>
      <c r="W3547" s="84" t="n">
        <f aca="false">IF(ISNUMBER(U3547),ABS(U3547),"")</f>
        <v>1.97987961504574</v>
      </c>
    </row>
    <row r="3548" customFormat="false" ht="15" hidden="false" customHeight="false" outlineLevel="0" collapsed="false">
      <c r="A3548" s="57" t="n">
        <v>37404</v>
      </c>
      <c r="B3548" s="56" t="n">
        <v>2002</v>
      </c>
      <c r="C3548" s="56" t="n">
        <v>5</v>
      </c>
      <c r="D3548" s="56" t="n">
        <v>28</v>
      </c>
      <c r="E3548" s="56" t="n">
        <v>17.6</v>
      </c>
      <c r="F3548" s="56" t="n">
        <v>0</v>
      </c>
      <c r="G3548" s="56" t="n">
        <v>9.4</v>
      </c>
      <c r="H3548" s="56" t="n">
        <v>0</v>
      </c>
      <c r="I3548" s="56" t="n">
        <v>12.8</v>
      </c>
      <c r="J3548" s="56" t="n">
        <v>0</v>
      </c>
      <c r="K3548" s="56" t="n">
        <v>1004.3</v>
      </c>
      <c r="L3548" s="56" t="n">
        <v>0</v>
      </c>
      <c r="M3548" s="56" t="n">
        <v>78</v>
      </c>
      <c r="N3548" s="56" t="n">
        <v>3.5</v>
      </c>
      <c r="O3548" s="56" t="n">
        <f aca="false">IF(D3548=1,"",E3547)</f>
        <v>16.2</v>
      </c>
      <c r="P3548" s="56" t="n">
        <f aca="false">IF(OR(D3548=1,K3547=""),"",K3547)</f>
        <v>1003.3</v>
      </c>
      <c r="Q3548" s="56" t="n">
        <f aca="false">IF(OR(F3548&lt;&gt;0,AND(I3548&lt;&gt;"",E3548&lt;I3548)),1,0)</f>
        <v>0</v>
      </c>
      <c r="R3548" s="56" t="n">
        <f aca="false">IF(AND(D3548&gt;1,Q3548=0,ISNUMBER(O3548),ISNUMBER(P3548)),IF(Q3547=0,1,0),0)</f>
        <v>1</v>
      </c>
      <c r="S3548" s="56" t="n">
        <f aca="false">R3548*(B3548&gt;=Train_Start)*(B3548&lt;=Train_End)</f>
        <v>0</v>
      </c>
      <c r="T3548" s="84" t="n">
        <f aca="false">IF(AND(ISNUMBER(O3548),ISNUMBER(P3548)),Coef_A+Coef_B1*O3548+Coef_B2*P3548,"")</f>
        <v>16.8336856355683</v>
      </c>
      <c r="U3548" s="84" t="n">
        <f aca="false">IF(AND(R3548=1,ISNUMBER(T3548)),E3548-T3548,"")</f>
        <v>0.766314364431693</v>
      </c>
      <c r="V3548" s="84" t="n">
        <f aca="false">IF(ISNUMBER(T3548),T3548,-99)</f>
        <v>16.8336856355683</v>
      </c>
      <c r="W3548" s="84" t="n">
        <f aca="false">IF(ISNUMBER(U3548),ABS(U3548),"")</f>
        <v>0.766314364431693</v>
      </c>
    </row>
    <row r="3549" customFormat="false" ht="15" hidden="false" customHeight="false" outlineLevel="0" collapsed="false">
      <c r="A3549" s="57" t="n">
        <v>37405</v>
      </c>
      <c r="B3549" s="56" t="n">
        <v>2002</v>
      </c>
      <c r="C3549" s="56" t="n">
        <v>5</v>
      </c>
      <c r="D3549" s="56" t="n">
        <v>29</v>
      </c>
      <c r="E3549" s="56" t="n">
        <v>17.3</v>
      </c>
      <c r="F3549" s="56" t="n">
        <v>0</v>
      </c>
      <c r="G3549" s="56" t="n">
        <v>10</v>
      </c>
      <c r="H3549" s="56" t="n">
        <v>0</v>
      </c>
      <c r="I3549" s="56" t="n">
        <v>13.8</v>
      </c>
      <c r="J3549" s="56" t="n">
        <v>0</v>
      </c>
      <c r="K3549" s="56" t="n">
        <v>1012.4</v>
      </c>
      <c r="L3549" s="56" t="n">
        <v>0</v>
      </c>
      <c r="M3549" s="56" t="n">
        <v>65</v>
      </c>
      <c r="N3549" s="56" t="n">
        <v>9.2</v>
      </c>
      <c r="O3549" s="56" t="n">
        <f aca="false">IF(D3549=1,"",E3548)</f>
        <v>17.6</v>
      </c>
      <c r="P3549" s="56" t="n">
        <f aca="false">IF(OR(D3549=1,K3548=""),"",K3548)</f>
        <v>1004.3</v>
      </c>
      <c r="Q3549" s="56" t="n">
        <f aca="false">IF(OR(F3549&lt;&gt;0,AND(I3549&lt;&gt;"",E3549&lt;I3549)),1,0)</f>
        <v>0</v>
      </c>
      <c r="R3549" s="56" t="n">
        <f aca="false">IF(AND(D3549&gt;1,Q3549=0,ISNUMBER(O3549),ISNUMBER(P3549)),IF(Q3548=0,1,0),0)</f>
        <v>1</v>
      </c>
      <c r="S3549" s="56" t="n">
        <f aca="false">R3549*(B3549&gt;=Train_Start)*(B3549&lt;=Train_End)</f>
        <v>0</v>
      </c>
      <c r="T3549" s="84" t="n">
        <f aca="false">IF(AND(ISNUMBER(O3549),ISNUMBER(P3549)),Coef_A+Coef_B1*O3549+Coef_B2*P3549,"")</f>
        <v>18.012130400462</v>
      </c>
      <c r="U3549" s="84" t="n">
        <f aca="false">IF(AND(R3549=1,ISNUMBER(T3549)),E3549-T3549,"")</f>
        <v>-0.712130400462019</v>
      </c>
      <c r="V3549" s="84" t="n">
        <f aca="false">IF(ISNUMBER(T3549),T3549,-99)</f>
        <v>18.012130400462</v>
      </c>
      <c r="W3549" s="84" t="n">
        <f aca="false">IF(ISNUMBER(U3549),ABS(U3549),"")</f>
        <v>0.712130400462019</v>
      </c>
    </row>
    <row r="3550" customFormat="false" ht="15" hidden="false" customHeight="false" outlineLevel="0" collapsed="false">
      <c r="A3550" s="57" t="n">
        <v>37406</v>
      </c>
      <c r="B3550" s="56" t="n">
        <v>2002</v>
      </c>
      <c r="C3550" s="56" t="n">
        <v>5</v>
      </c>
      <c r="D3550" s="56" t="n">
        <v>30</v>
      </c>
      <c r="E3550" s="56" t="n">
        <v>19.8</v>
      </c>
      <c r="F3550" s="56" t="n">
        <v>0</v>
      </c>
      <c r="G3550" s="56" t="n">
        <v>9.9</v>
      </c>
      <c r="H3550" s="56" t="n">
        <v>0</v>
      </c>
      <c r="I3550" s="56" t="n">
        <v>13.6</v>
      </c>
      <c r="J3550" s="56" t="n">
        <v>0</v>
      </c>
      <c r="K3550" s="56" t="n">
        <v>1021</v>
      </c>
      <c r="L3550" s="56" t="n">
        <v>0</v>
      </c>
      <c r="M3550" s="56" t="n">
        <v>78</v>
      </c>
      <c r="N3550" s="56" t="n">
        <v>4.9</v>
      </c>
      <c r="O3550" s="56" t="n">
        <f aca="false">IF(D3550=1,"",E3549)</f>
        <v>17.3</v>
      </c>
      <c r="P3550" s="56" t="n">
        <f aca="false">IF(OR(D3550=1,K3549=""),"",K3549)</f>
        <v>1012.4</v>
      </c>
      <c r="Q3550" s="56" t="n">
        <f aca="false">IF(OR(F3550&lt;&gt;0,AND(I3550&lt;&gt;"",E3550&lt;I3550)),1,0)</f>
        <v>0</v>
      </c>
      <c r="R3550" s="56" t="n">
        <f aca="false">IF(AND(D3550&gt;1,Q3550=0,ISNUMBER(O3550),ISNUMBER(P3550)),IF(Q3549=0,1,0),0)</f>
        <v>1</v>
      </c>
      <c r="S3550" s="56" t="n">
        <f aca="false">R3550*(B3550&gt;=Train_Start)*(B3550&lt;=Train_End)</f>
        <v>0</v>
      </c>
      <c r="T3550" s="84" t="n">
        <f aca="false">IF(AND(ISNUMBER(O3550),ISNUMBER(P3550)),Coef_A+Coef_B1*O3550+Coef_B2*P3550,"")</f>
        <v>18.0204247890845</v>
      </c>
      <c r="U3550" s="84" t="n">
        <f aca="false">IF(AND(R3550=1,ISNUMBER(T3550)),E3550-T3550,"")</f>
        <v>1.77957521091546</v>
      </c>
      <c r="V3550" s="84" t="n">
        <f aca="false">IF(ISNUMBER(T3550),T3550,-99)</f>
        <v>18.0204247890845</v>
      </c>
      <c r="W3550" s="84" t="n">
        <f aca="false">IF(ISNUMBER(U3550),ABS(U3550),"")</f>
        <v>1.77957521091546</v>
      </c>
    </row>
    <row r="3551" customFormat="false" ht="15" hidden="false" customHeight="false" outlineLevel="0" collapsed="false">
      <c r="A3551" s="57" t="n">
        <v>37407</v>
      </c>
      <c r="B3551" s="56" t="n">
        <v>2002</v>
      </c>
      <c r="C3551" s="56" t="n">
        <v>5</v>
      </c>
      <c r="D3551" s="56" t="n">
        <v>31</v>
      </c>
      <c r="E3551" s="56" t="n">
        <v>22.8</v>
      </c>
      <c r="F3551" s="56" t="n">
        <v>0</v>
      </c>
      <c r="G3551" s="56" t="n">
        <v>8.6</v>
      </c>
      <c r="H3551" s="56" t="n">
        <v>0</v>
      </c>
      <c r="I3551" s="56" t="n">
        <v>14.2</v>
      </c>
      <c r="J3551" s="56" t="n">
        <v>0</v>
      </c>
      <c r="K3551" s="56" t="n">
        <v>1025.4</v>
      </c>
      <c r="L3551" s="56" t="n">
        <v>0</v>
      </c>
      <c r="M3551" s="56" t="n">
        <v>66</v>
      </c>
      <c r="N3551" s="56" t="n">
        <v>12.6</v>
      </c>
      <c r="O3551" s="56" t="n">
        <f aca="false">IF(D3551=1,"",E3550)</f>
        <v>19.8</v>
      </c>
      <c r="P3551" s="56" t="n">
        <f aca="false">IF(OR(D3551=1,K3550=""),"",K3550)</f>
        <v>1021</v>
      </c>
      <c r="Q3551" s="56" t="n">
        <f aca="false">IF(OR(F3551&lt;&gt;0,AND(I3551&lt;&gt;"",E3551&lt;I3551)),1,0)</f>
        <v>0</v>
      </c>
      <c r="R3551" s="56" t="n">
        <f aca="false">IF(AND(D3551&gt;1,Q3551=0,ISNUMBER(O3551),ISNUMBER(P3551)),IF(Q3550=0,1,0),0)</f>
        <v>1</v>
      </c>
      <c r="S3551" s="56" t="n">
        <f aca="false">R3551*(B3551&gt;=Train_Start)*(B3551&lt;=Train_End)</f>
        <v>0</v>
      </c>
      <c r="T3551" s="84" t="n">
        <f aca="false">IF(AND(ISNUMBER(O3551),ISNUMBER(P3551)),Coef_A+Coef_B1*O3551+Coef_B2*P3551,"")</f>
        <v>20.3385538655435</v>
      </c>
      <c r="U3551" s="84" t="n">
        <f aca="false">IF(AND(R3551=1,ISNUMBER(T3551)),E3551-T3551,"")</f>
        <v>2.46144613445651</v>
      </c>
      <c r="V3551" s="84" t="n">
        <f aca="false">IF(ISNUMBER(T3551),T3551,-99)</f>
        <v>20.3385538655435</v>
      </c>
      <c r="W3551" s="84" t="n">
        <f aca="false">IF(ISNUMBER(U3551),ABS(U3551),"")</f>
        <v>2.46144613445651</v>
      </c>
    </row>
    <row r="3552" customFormat="false" ht="15" hidden="false" customHeight="false" outlineLevel="0" collapsed="false">
      <c r="A3552" s="57" t="n">
        <v>37408</v>
      </c>
      <c r="B3552" s="56" t="n">
        <v>2002</v>
      </c>
      <c r="C3552" s="56" t="n">
        <v>6</v>
      </c>
      <c r="D3552" s="56" t="n">
        <v>32</v>
      </c>
      <c r="E3552" s="56" t="n">
        <v>26.8</v>
      </c>
      <c r="F3552" s="56" t="n">
        <v>0</v>
      </c>
      <c r="G3552" s="56" t="n">
        <v>9.8</v>
      </c>
      <c r="H3552" s="56" t="n">
        <v>0</v>
      </c>
      <c r="I3552" s="56" t="n">
        <v>16.3</v>
      </c>
      <c r="J3552" s="56" t="n">
        <v>0</v>
      </c>
      <c r="K3552" s="56" t="n">
        <v>1024.3</v>
      </c>
      <c r="L3552" s="56" t="n">
        <v>0</v>
      </c>
      <c r="M3552" s="56" t="n">
        <v>60</v>
      </c>
      <c r="N3552" s="56" t="n">
        <v>14.3</v>
      </c>
      <c r="O3552" s="56" t="n">
        <f aca="false">IF(D3552=1,"",E3551)</f>
        <v>22.8</v>
      </c>
      <c r="P3552" s="56" t="n">
        <f aca="false">IF(OR(D3552=1,K3551=""),"",K3551)</f>
        <v>1025.4</v>
      </c>
      <c r="Q3552" s="56" t="n">
        <f aca="false">IF(OR(F3552&lt;&gt;0,AND(I3552&lt;&gt;"",E3552&lt;I3552)),1,0)</f>
        <v>0</v>
      </c>
      <c r="R3552" s="56" t="n">
        <f aca="false">IF(AND(D3552&gt;1,Q3552=0,ISNUMBER(O3552),ISNUMBER(P3552)),IF(Q3551=0,1,0),0)</f>
        <v>1</v>
      </c>
      <c r="S3552" s="56" t="n">
        <f aca="false">R3552*(B3552&gt;=Train_Start)*(B3552&lt;=Train_End)</f>
        <v>0</v>
      </c>
      <c r="T3552" s="84" t="n">
        <f aca="false">IF(AND(ISNUMBER(O3552),ISNUMBER(P3552)),Coef_A+Coef_B1*O3552+Coef_B2*P3552,"")</f>
        <v>22.934598981061</v>
      </c>
      <c r="U3552" s="84" t="n">
        <f aca="false">IF(AND(R3552=1,ISNUMBER(T3552)),E3552-T3552,"")</f>
        <v>3.86540101893898</v>
      </c>
      <c r="V3552" s="84" t="n">
        <f aca="false">IF(ISNUMBER(T3552),T3552,-99)</f>
        <v>22.934598981061</v>
      </c>
      <c r="W3552" s="84" t="n">
        <f aca="false">IF(ISNUMBER(U3552),ABS(U3552),"")</f>
        <v>3.86540101893898</v>
      </c>
    </row>
    <row r="3553" customFormat="false" ht="15" hidden="false" customHeight="false" outlineLevel="0" collapsed="false">
      <c r="A3553" s="57" t="n">
        <v>37409</v>
      </c>
      <c r="B3553" s="56" t="n">
        <v>2002</v>
      </c>
      <c r="C3553" s="56" t="n">
        <v>6</v>
      </c>
      <c r="D3553" s="56" t="n">
        <v>33</v>
      </c>
      <c r="E3553" s="56" t="n">
        <v>17.7</v>
      </c>
      <c r="F3553" s="56" t="n">
        <v>1</v>
      </c>
      <c r="G3553" s="56" t="n">
        <v>11.9</v>
      </c>
      <c r="H3553" s="56" t="n">
        <v>0</v>
      </c>
      <c r="I3553" s="56" t="n">
        <v>19.4</v>
      </c>
      <c r="J3553" s="56" t="n">
        <v>1</v>
      </c>
      <c r="K3553" s="56" t="n">
        <v>1016.1</v>
      </c>
      <c r="L3553" s="56" t="n">
        <v>0</v>
      </c>
      <c r="M3553" s="56" t="n">
        <v>57</v>
      </c>
      <c r="N3553" s="56" t="n">
        <v>9.9</v>
      </c>
      <c r="O3553" s="56" t="n">
        <f aca="false">IF(D3553=1,"",E3552)</f>
        <v>26.8</v>
      </c>
      <c r="P3553" s="56" t="n">
        <f aca="false">IF(OR(D3553=1,K3552=""),"",K3552)</f>
        <v>1024.3</v>
      </c>
      <c r="Q3553" s="56" t="n">
        <f aca="false">IF(OR(F3553&lt;&gt;0,AND(I3553&lt;&gt;"",E3553&lt;I3553)),1,0)</f>
        <v>1</v>
      </c>
      <c r="R3553" s="56" t="n">
        <f aca="false">IF(AND(D3553&gt;1,Q3553=0,ISNUMBER(O3553),ISNUMBER(P3553)),IF(Q3552=0,1,0),0)</f>
        <v>0</v>
      </c>
      <c r="S3553" s="56" t="n">
        <f aca="false">R3553*(B3553&gt;=Train_Start)*(B3553&lt;=Train_End)</f>
        <v>0</v>
      </c>
      <c r="T3553" s="84" t="n">
        <f aca="false">IF(AND(ISNUMBER(O3553),ISNUMBER(P3553)),Coef_A+Coef_B1*O3553+Coef_B2*P3553,"")</f>
        <v>26.1774488691343</v>
      </c>
      <c r="U3553" s="84" t="str">
        <f aca="false">IF(AND(R3553=1,ISNUMBER(T3553)),E3553-T3553,"")</f>
        <v/>
      </c>
      <c r="V3553" s="84" t="n">
        <f aca="false">IF(ISNUMBER(T3553),T3553,-99)</f>
        <v>26.1774488691343</v>
      </c>
      <c r="W3553" s="84" t="str">
        <f aca="false">IF(ISNUMBER(U3553),ABS(U3553),"")</f>
        <v/>
      </c>
    </row>
    <row r="3554" customFormat="false" ht="15" hidden="false" customHeight="false" outlineLevel="0" collapsed="false">
      <c r="A3554" s="57" t="n">
        <v>37410</v>
      </c>
      <c r="B3554" s="56" t="n">
        <v>2002</v>
      </c>
      <c r="C3554" s="56" t="n">
        <v>6</v>
      </c>
      <c r="D3554" s="56" t="n">
        <v>34</v>
      </c>
      <c r="E3554" s="56" t="n">
        <v>16.6</v>
      </c>
      <c r="F3554" s="56" t="n">
        <v>0</v>
      </c>
      <c r="G3554" s="56" t="n">
        <v>13.6</v>
      </c>
      <c r="H3554" s="56" t="n">
        <v>0</v>
      </c>
      <c r="I3554" s="56" t="n">
        <v>15.6</v>
      </c>
      <c r="J3554" s="56" t="n">
        <v>0</v>
      </c>
      <c r="K3554" s="56" t="n">
        <v>1008.9</v>
      </c>
      <c r="L3554" s="56" t="n">
        <v>0</v>
      </c>
      <c r="M3554" s="56" t="n">
        <v>71</v>
      </c>
      <c r="N3554" s="56" t="n">
        <v>2.5</v>
      </c>
      <c r="O3554" s="56" t="n">
        <f aca="false">IF(D3554=1,"",E3553)</f>
        <v>17.7</v>
      </c>
      <c r="P3554" s="56" t="n">
        <f aca="false">IF(OR(D3554=1,K3553=""),"",K3553)</f>
        <v>1016.1</v>
      </c>
      <c r="Q3554" s="56" t="n">
        <f aca="false">IF(OR(F3554&lt;&gt;0,AND(I3554&lt;&gt;"",E3554&lt;I3554)),1,0)</f>
        <v>0</v>
      </c>
      <c r="R3554" s="56" t="n">
        <f aca="false">IF(AND(D3554&gt;1,Q3554=0,ISNUMBER(O3554),ISNUMBER(P3554)),IF(Q3553=0,1,0),0)</f>
        <v>0</v>
      </c>
      <c r="S3554" s="56" t="n">
        <f aca="false">R3554*(B3554&gt;=Train_Start)*(B3554&lt;=Train_End)</f>
        <v>0</v>
      </c>
      <c r="T3554" s="84" t="n">
        <f aca="false">IF(AND(ISNUMBER(O3554),ISNUMBER(P3554)),Coef_A+Coef_B1*O3554+Coef_B2*P3554,"")</f>
        <v>18.4642290764474</v>
      </c>
      <c r="U3554" s="84" t="str">
        <f aca="false">IF(AND(R3554=1,ISNUMBER(T3554)),E3554-T3554,"")</f>
        <v/>
      </c>
      <c r="V3554" s="84" t="n">
        <f aca="false">IF(ISNUMBER(T3554),T3554,-99)</f>
        <v>18.4642290764474</v>
      </c>
      <c r="W3554" s="84" t="str">
        <f aca="false">IF(ISNUMBER(U3554),ABS(U3554),"")</f>
        <v/>
      </c>
    </row>
    <row r="3555" customFormat="false" ht="15" hidden="false" customHeight="false" outlineLevel="0" collapsed="false">
      <c r="A3555" s="57" t="n">
        <v>37411</v>
      </c>
      <c r="B3555" s="56" t="n">
        <v>2002</v>
      </c>
      <c r="C3555" s="56" t="n">
        <v>6</v>
      </c>
      <c r="D3555" s="56" t="n">
        <v>35</v>
      </c>
      <c r="E3555" s="56" t="n">
        <v>15.4</v>
      </c>
      <c r="F3555" s="56" t="n">
        <v>0</v>
      </c>
      <c r="G3555" s="56" t="n">
        <v>9.4</v>
      </c>
      <c r="H3555" s="56" t="n">
        <v>0</v>
      </c>
      <c r="I3555" s="56" t="n">
        <v>13</v>
      </c>
      <c r="J3555" s="56" t="n">
        <v>0</v>
      </c>
      <c r="K3555" s="56" t="n">
        <v>1005.8</v>
      </c>
      <c r="L3555" s="56" t="n">
        <v>0</v>
      </c>
      <c r="M3555" s="56" t="n">
        <v>71</v>
      </c>
      <c r="N3555" s="56" t="n">
        <v>0.6</v>
      </c>
      <c r="O3555" s="56" t="n">
        <f aca="false">IF(D3555=1,"",E3554)</f>
        <v>16.6</v>
      </c>
      <c r="P3555" s="56" t="n">
        <f aca="false">IF(OR(D3555=1,K3554=""),"",K3554)</f>
        <v>1008.9</v>
      </c>
      <c r="Q3555" s="56" t="n">
        <f aca="false">IF(OR(F3555&lt;&gt;0,AND(I3555&lt;&gt;"",E3555&lt;I3555)),1,0)</f>
        <v>0</v>
      </c>
      <c r="R3555" s="56" t="n">
        <f aca="false">IF(AND(D3555&gt;1,Q3555=0,ISNUMBER(O3555),ISNUMBER(P3555)),IF(Q3554=0,1,0),0)</f>
        <v>1</v>
      </c>
      <c r="S3555" s="56" t="n">
        <f aca="false">R3555*(B3555&gt;=Train_Start)*(B3555&lt;=Train_End)</f>
        <v>0</v>
      </c>
      <c r="T3555" s="84" t="n">
        <f aca="false">IF(AND(ISNUMBER(O3555),ISNUMBER(P3555)),Coef_A+Coef_B1*O3555+Coef_B2*P3555,"")</f>
        <v>17.3370927227357</v>
      </c>
      <c r="U3555" s="84" t="n">
        <f aca="false">IF(AND(R3555=1,ISNUMBER(T3555)),E3555-T3555,"")</f>
        <v>-1.93709272273571</v>
      </c>
      <c r="V3555" s="84" t="n">
        <f aca="false">IF(ISNUMBER(T3555),T3555,-99)</f>
        <v>17.3370927227357</v>
      </c>
      <c r="W3555" s="84" t="n">
        <f aca="false">IF(ISNUMBER(U3555),ABS(U3555),"")</f>
        <v>1.93709272273571</v>
      </c>
    </row>
    <row r="3556" customFormat="false" ht="15" hidden="false" customHeight="false" outlineLevel="0" collapsed="false">
      <c r="A3556" s="57" t="n">
        <v>37412</v>
      </c>
      <c r="B3556" s="56" t="n">
        <v>2002</v>
      </c>
      <c r="C3556" s="56" t="n">
        <v>6</v>
      </c>
      <c r="D3556" s="56" t="n">
        <v>36</v>
      </c>
      <c r="E3556" s="56" t="n">
        <v>17.4</v>
      </c>
      <c r="F3556" s="56" t="n">
        <v>0</v>
      </c>
      <c r="G3556" s="56" t="n">
        <v>11.3</v>
      </c>
      <c r="H3556" s="56" t="n">
        <v>0</v>
      </c>
      <c r="I3556" s="56" t="n">
        <v>13.4</v>
      </c>
      <c r="J3556" s="56" t="n">
        <v>0</v>
      </c>
      <c r="K3556" s="56" t="n">
        <v>997.9</v>
      </c>
      <c r="L3556" s="56" t="n">
        <v>0</v>
      </c>
      <c r="M3556" s="56" t="n">
        <v>90</v>
      </c>
      <c r="N3556" s="56" t="n">
        <v>0</v>
      </c>
      <c r="O3556" s="56" t="n">
        <f aca="false">IF(D3556=1,"",E3555)</f>
        <v>15.4</v>
      </c>
      <c r="P3556" s="56" t="n">
        <f aca="false">IF(OR(D3556=1,K3555=""),"",K3555)</f>
        <v>1005.8</v>
      </c>
      <c r="Q3556" s="56" t="n">
        <f aca="false">IF(OR(F3556&lt;&gt;0,AND(I3556&lt;&gt;"",E3556&lt;I3556)),1,0)</f>
        <v>0</v>
      </c>
      <c r="R3556" s="56" t="n">
        <f aca="false">IF(AND(D3556&gt;1,Q3556=0,ISNUMBER(O3556),ISNUMBER(P3556)),IF(Q3555=0,1,0),0)</f>
        <v>1</v>
      </c>
      <c r="S3556" s="56" t="n">
        <f aca="false">R3556*(B3556&gt;=Train_Start)*(B3556&lt;=Train_End)</f>
        <v>0</v>
      </c>
      <c r="T3556" s="84" t="n">
        <f aca="false">IF(AND(ISNUMBER(O3556),ISNUMBER(P3556)),Coef_A+Coef_B1*O3556+Coef_B2*P3556,"")</f>
        <v>16.2566390177192</v>
      </c>
      <c r="U3556" s="84" t="n">
        <f aca="false">IF(AND(R3556=1,ISNUMBER(T3556)),E3556-T3556,"")</f>
        <v>1.14336098228084</v>
      </c>
      <c r="V3556" s="84" t="n">
        <f aca="false">IF(ISNUMBER(T3556),T3556,-99)</f>
        <v>16.2566390177192</v>
      </c>
      <c r="W3556" s="84" t="n">
        <f aca="false">IF(ISNUMBER(U3556),ABS(U3556),"")</f>
        <v>1.14336098228084</v>
      </c>
    </row>
    <row r="3557" customFormat="false" ht="15" hidden="false" customHeight="false" outlineLevel="0" collapsed="false">
      <c r="A3557" s="57" t="n">
        <v>37413</v>
      </c>
      <c r="B3557" s="56" t="n">
        <v>2002</v>
      </c>
      <c r="C3557" s="56" t="n">
        <v>6</v>
      </c>
      <c r="D3557" s="56" t="n">
        <v>37</v>
      </c>
      <c r="E3557" s="56" t="n">
        <v>15.5</v>
      </c>
      <c r="F3557" s="56" t="n">
        <v>0</v>
      </c>
      <c r="G3557" s="56" t="n">
        <v>12.1</v>
      </c>
      <c r="H3557" s="56" t="n">
        <v>0</v>
      </c>
      <c r="I3557" s="56" t="n">
        <v>14.8</v>
      </c>
      <c r="J3557" s="56" t="n">
        <v>0</v>
      </c>
      <c r="K3557" s="56" t="n">
        <v>999.2</v>
      </c>
      <c r="L3557" s="56" t="n">
        <v>0</v>
      </c>
      <c r="M3557" s="56" t="n">
        <v>90</v>
      </c>
      <c r="N3557" s="56" t="n">
        <v>0</v>
      </c>
      <c r="O3557" s="56" t="n">
        <f aca="false">IF(D3557=1,"",E3556)</f>
        <v>17.4</v>
      </c>
      <c r="P3557" s="56" t="n">
        <f aca="false">IF(OR(D3557=1,K3556=""),"",K3556)</f>
        <v>997.9</v>
      </c>
      <c r="Q3557" s="56" t="n">
        <f aca="false">IF(OR(F3557&lt;&gt;0,AND(I3557&lt;&gt;"",E3557&lt;I3557)),1,0)</f>
        <v>0</v>
      </c>
      <c r="R3557" s="56" t="n">
        <f aca="false">IF(AND(D3557&gt;1,Q3557=0,ISNUMBER(O3557),ISNUMBER(P3557)),IF(Q3556=0,1,0),0)</f>
        <v>1</v>
      </c>
      <c r="S3557" s="56" t="n">
        <f aca="false">R3557*(B3557&gt;=Train_Start)*(B3557&lt;=Train_End)</f>
        <v>0</v>
      </c>
      <c r="T3557" s="84" t="n">
        <f aca="false">IF(AND(ISNUMBER(O3557),ISNUMBER(P3557)),Coef_A+Coef_B1*O3557+Coef_B2*P3557,"")</f>
        <v>17.647495236196</v>
      </c>
      <c r="U3557" s="84" t="n">
        <f aca="false">IF(AND(R3557=1,ISNUMBER(T3557)),E3557-T3557,"")</f>
        <v>-2.14749523619595</v>
      </c>
      <c r="V3557" s="84" t="n">
        <f aca="false">IF(ISNUMBER(T3557),T3557,-99)</f>
        <v>17.647495236196</v>
      </c>
      <c r="W3557" s="84" t="n">
        <f aca="false">IF(ISNUMBER(U3557),ABS(U3557),"")</f>
        <v>2.14749523619595</v>
      </c>
    </row>
    <row r="3558" customFormat="false" ht="15" hidden="false" customHeight="false" outlineLevel="0" collapsed="false">
      <c r="A3558" s="57" t="n">
        <v>37414</v>
      </c>
      <c r="B3558" s="56" t="n">
        <v>2002</v>
      </c>
      <c r="C3558" s="56" t="n">
        <v>6</v>
      </c>
      <c r="D3558" s="56" t="n">
        <v>38</v>
      </c>
      <c r="E3558" s="56" t="n">
        <v>17.8</v>
      </c>
      <c r="F3558" s="56" t="n">
        <v>0</v>
      </c>
      <c r="G3558" s="56" t="n">
        <v>14.3</v>
      </c>
      <c r="H3558" s="56" t="n">
        <v>0</v>
      </c>
      <c r="I3558" s="56" t="n">
        <v>14.9</v>
      </c>
      <c r="J3558" s="56" t="n">
        <v>0</v>
      </c>
      <c r="K3558" s="56" t="n">
        <v>1002.2</v>
      </c>
      <c r="L3558" s="56" t="n">
        <v>0</v>
      </c>
      <c r="M3558" s="56" t="n">
        <v>90</v>
      </c>
      <c r="N3558" s="56" t="n">
        <v>0</v>
      </c>
      <c r="O3558" s="56" t="n">
        <f aca="false">IF(D3558=1,"",E3557)</f>
        <v>15.5</v>
      </c>
      <c r="P3558" s="56" t="n">
        <f aca="false">IF(OR(D3558=1,K3557=""),"",K3557)</f>
        <v>999.2</v>
      </c>
      <c r="Q3558" s="56" t="n">
        <f aca="false">IF(OR(F3558&lt;&gt;0,AND(I3558&lt;&gt;"",E3558&lt;I3558)),1,0)</f>
        <v>0</v>
      </c>
      <c r="R3558" s="56" t="n">
        <f aca="false">IF(AND(D3558&gt;1,Q3558=0,ISNUMBER(O3558),ISNUMBER(P3558)),IF(Q3557=0,1,0),0)</f>
        <v>1</v>
      </c>
      <c r="S3558" s="56" t="n">
        <f aca="false">R3558*(B3558&gt;=Train_Start)*(B3558&lt;=Train_End)</f>
        <v>0</v>
      </c>
      <c r="T3558" s="84" t="n">
        <f aca="false">IF(AND(ISNUMBER(O3558),ISNUMBER(P3558)),Coef_A+Coef_B1*O3558+Coef_B2*P3558,"")</f>
        <v>16.1315316324391</v>
      </c>
      <c r="U3558" s="84" t="n">
        <f aca="false">IF(AND(R3558=1,ISNUMBER(T3558)),E3558-T3558,"")</f>
        <v>1.66846836756091</v>
      </c>
      <c r="V3558" s="84" t="n">
        <f aca="false">IF(ISNUMBER(T3558),T3558,-99)</f>
        <v>16.1315316324391</v>
      </c>
      <c r="W3558" s="84" t="n">
        <f aca="false">IF(ISNUMBER(U3558),ABS(U3558),"")</f>
        <v>1.66846836756091</v>
      </c>
    </row>
    <row r="3559" customFormat="false" ht="15" hidden="false" customHeight="false" outlineLevel="0" collapsed="false">
      <c r="A3559" s="57" t="n">
        <v>37415</v>
      </c>
      <c r="B3559" s="56" t="n">
        <v>2002</v>
      </c>
      <c r="C3559" s="56" t="n">
        <v>6</v>
      </c>
      <c r="D3559" s="56" t="n">
        <v>39</v>
      </c>
      <c r="E3559" s="56" t="n">
        <v>15.3</v>
      </c>
      <c r="F3559" s="56" t="n">
        <v>0</v>
      </c>
      <c r="G3559" s="56" t="n">
        <v>10.1</v>
      </c>
      <c r="H3559" s="56" t="n">
        <v>0</v>
      </c>
      <c r="I3559" s="56" t="n">
        <v>14</v>
      </c>
      <c r="J3559" s="56" t="n">
        <v>0</v>
      </c>
      <c r="K3559" s="56" t="n">
        <v>1005.6</v>
      </c>
      <c r="L3559" s="56" t="n">
        <v>0</v>
      </c>
      <c r="M3559" s="56" t="n">
        <v>81</v>
      </c>
      <c r="N3559" s="56" t="n">
        <v>1.7</v>
      </c>
      <c r="O3559" s="56" t="n">
        <f aca="false">IF(D3559=1,"",E3558)</f>
        <v>17.8</v>
      </c>
      <c r="P3559" s="56" t="n">
        <f aca="false">IF(OR(D3559=1,K3558=""),"",K3558)</f>
        <v>1002.2</v>
      </c>
      <c r="Q3559" s="56" t="n">
        <f aca="false">IF(OR(F3559&lt;&gt;0,AND(I3559&lt;&gt;"",E3559&lt;I3559)),1,0)</f>
        <v>0</v>
      </c>
      <c r="R3559" s="56" t="n">
        <f aca="false">IF(AND(D3559&gt;1,Q3559=0,ISNUMBER(O3559),ISNUMBER(P3559)),IF(Q3558=0,1,0),0)</f>
        <v>1</v>
      </c>
      <c r="S3559" s="56" t="n">
        <f aca="false">R3559*(B3559&gt;=Train_Start)*(B3559&lt;=Train_End)</f>
        <v>0</v>
      </c>
      <c r="T3559" s="84" t="n">
        <f aca="false">IF(AND(ISNUMBER(O3559),ISNUMBER(P3559)),Coef_A+Coef_B1*O3559+Coef_B2*P3559,"")</f>
        <v>18.1101214603392</v>
      </c>
      <c r="U3559" s="84" t="n">
        <f aca="false">IF(AND(R3559=1,ISNUMBER(T3559)),E3559-T3559,"")</f>
        <v>-2.81012146033917</v>
      </c>
      <c r="V3559" s="84" t="n">
        <f aca="false">IF(ISNUMBER(T3559),T3559,-99)</f>
        <v>18.1101214603392</v>
      </c>
      <c r="W3559" s="84" t="n">
        <f aca="false">IF(ISNUMBER(U3559),ABS(U3559),"")</f>
        <v>2.81012146033917</v>
      </c>
    </row>
    <row r="3560" customFormat="false" ht="15" hidden="false" customHeight="false" outlineLevel="0" collapsed="false">
      <c r="A3560" s="57" t="n">
        <v>37416</v>
      </c>
      <c r="B3560" s="56" t="n">
        <v>2002</v>
      </c>
      <c r="C3560" s="56" t="n">
        <v>6</v>
      </c>
      <c r="D3560" s="56" t="n">
        <v>40</v>
      </c>
      <c r="E3560" s="56" t="n">
        <v>17.2</v>
      </c>
      <c r="F3560" s="56" t="n">
        <v>0</v>
      </c>
      <c r="G3560" s="56" t="n">
        <v>12.2</v>
      </c>
      <c r="H3560" s="56" t="n">
        <v>0</v>
      </c>
      <c r="I3560" s="56" t="n">
        <v>13.8</v>
      </c>
      <c r="J3560" s="56" t="n">
        <v>0</v>
      </c>
      <c r="K3560" s="56" t="n">
        <v>1005.4</v>
      </c>
      <c r="L3560" s="56" t="n">
        <v>0</v>
      </c>
      <c r="M3560" s="56" t="n">
        <v>82</v>
      </c>
      <c r="N3560" s="56" t="n">
        <v>2.1</v>
      </c>
      <c r="O3560" s="56" t="n">
        <f aca="false">IF(D3560=1,"",E3559)</f>
        <v>15.3</v>
      </c>
      <c r="P3560" s="56" t="n">
        <f aca="false">IF(OR(D3560=1,K3559=""),"",K3559)</f>
        <v>1005.6</v>
      </c>
      <c r="Q3560" s="56" t="n">
        <f aca="false">IF(OR(F3560&lt;&gt;0,AND(I3560&lt;&gt;"",E3560&lt;I3560)),1,0)</f>
        <v>0</v>
      </c>
      <c r="R3560" s="56" t="n">
        <f aca="false">IF(AND(D3560&gt;1,Q3560=0,ISNUMBER(O3560),ISNUMBER(P3560)),IF(Q3559=0,1,0),0)</f>
        <v>1</v>
      </c>
      <c r="S3560" s="56" t="n">
        <f aca="false">R3560*(B3560&gt;=Train_Start)*(B3560&lt;=Train_End)</f>
        <v>0</v>
      </c>
      <c r="T3560" s="84" t="n">
        <f aca="false">IF(AND(ISNUMBER(O3560),ISNUMBER(P3560)),Coef_A+Coef_B1*O3560+Coef_B2*P3560,"")</f>
        <v>16.1684311194881</v>
      </c>
      <c r="U3560" s="84" t="n">
        <f aca="false">IF(AND(R3560=1,ISNUMBER(T3560)),E3560-T3560,"")</f>
        <v>1.03156888051191</v>
      </c>
      <c r="V3560" s="84" t="n">
        <f aca="false">IF(ISNUMBER(T3560),T3560,-99)</f>
        <v>16.1684311194881</v>
      </c>
      <c r="W3560" s="84" t="n">
        <f aca="false">IF(ISNUMBER(U3560),ABS(U3560),"")</f>
        <v>1.03156888051191</v>
      </c>
    </row>
    <row r="3561" customFormat="false" ht="15" hidden="false" customHeight="false" outlineLevel="0" collapsed="false">
      <c r="A3561" s="57" t="n">
        <v>37417</v>
      </c>
      <c r="B3561" s="56" t="n">
        <v>2002</v>
      </c>
      <c r="C3561" s="56" t="n">
        <v>6</v>
      </c>
      <c r="D3561" s="56" t="n">
        <v>41</v>
      </c>
      <c r="E3561" s="56" t="n">
        <v>18.2</v>
      </c>
      <c r="F3561" s="56" t="n">
        <v>0</v>
      </c>
      <c r="G3561" s="56" t="n">
        <v>10.5</v>
      </c>
      <c r="H3561" s="56" t="n">
        <v>0</v>
      </c>
      <c r="I3561" s="56" t="n">
        <v>13.8</v>
      </c>
      <c r="J3561" s="56" t="n">
        <v>0</v>
      </c>
      <c r="K3561" s="56" t="n">
        <v>1007.8</v>
      </c>
      <c r="L3561" s="56" t="n">
        <v>0</v>
      </c>
      <c r="M3561" s="56" t="n">
        <v>78</v>
      </c>
      <c r="N3561" s="56" t="n">
        <v>4.7</v>
      </c>
      <c r="O3561" s="56" t="n">
        <f aca="false">IF(D3561=1,"",E3560)</f>
        <v>17.2</v>
      </c>
      <c r="P3561" s="56" t="n">
        <f aca="false">IF(OR(D3561=1,K3560=""),"",K3560)</f>
        <v>1005.4</v>
      </c>
      <c r="Q3561" s="56" t="n">
        <f aca="false">IF(OR(F3561&lt;&gt;0,AND(I3561&lt;&gt;"",E3561&lt;I3561)),1,0)</f>
        <v>0</v>
      </c>
      <c r="R3561" s="56" t="n">
        <f aca="false">IF(AND(D3561&gt;1,Q3561=0,ISNUMBER(O3561),ISNUMBER(P3561)),IF(Q3560=0,1,0),0)</f>
        <v>1</v>
      </c>
      <c r="S3561" s="56" t="n">
        <f aca="false">R3561*(B3561&gt;=Train_Start)*(B3561&lt;=Train_End)</f>
        <v>0</v>
      </c>
      <c r="T3561" s="84" t="n">
        <f aca="false">IF(AND(ISNUMBER(O3561),ISNUMBER(P3561)),Coef_A+Coef_B1*O3561+Coef_B2*P3561,"")</f>
        <v>17.7189016073423</v>
      </c>
      <c r="U3561" s="84" t="n">
        <f aca="false">IF(AND(R3561=1,ISNUMBER(T3561)),E3561-T3561,"")</f>
        <v>0.481098392657657</v>
      </c>
      <c r="V3561" s="84" t="n">
        <f aca="false">IF(ISNUMBER(T3561),T3561,-99)</f>
        <v>17.7189016073423</v>
      </c>
      <c r="W3561" s="84" t="n">
        <f aca="false">IF(ISNUMBER(U3561),ABS(U3561),"")</f>
        <v>0.481098392657657</v>
      </c>
    </row>
    <row r="3562" customFormat="false" ht="15" hidden="false" customHeight="false" outlineLevel="0" collapsed="false">
      <c r="A3562" s="57" t="n">
        <v>37418</v>
      </c>
      <c r="B3562" s="56" t="n">
        <v>2002</v>
      </c>
      <c r="C3562" s="56" t="n">
        <v>6</v>
      </c>
      <c r="D3562" s="56" t="n">
        <v>42</v>
      </c>
      <c r="E3562" s="56" t="n">
        <v>17.6</v>
      </c>
      <c r="F3562" s="56" t="n">
        <v>0</v>
      </c>
      <c r="G3562" s="56" t="n">
        <v>9.3</v>
      </c>
      <c r="H3562" s="56" t="n">
        <v>0</v>
      </c>
      <c r="I3562" s="56" t="n">
        <v>13.8</v>
      </c>
      <c r="J3562" s="56" t="n">
        <v>0</v>
      </c>
      <c r="K3562" s="56" t="n">
        <v>1012.6</v>
      </c>
      <c r="L3562" s="56" t="n">
        <v>0</v>
      </c>
      <c r="M3562" s="56" t="n">
        <v>74</v>
      </c>
      <c r="N3562" s="56" t="n">
        <v>9.7</v>
      </c>
      <c r="O3562" s="56" t="n">
        <f aca="false">IF(D3562=1,"",E3561)</f>
        <v>18.2</v>
      </c>
      <c r="P3562" s="56" t="n">
        <f aca="false">IF(OR(D3562=1,K3561=""),"",K3561)</f>
        <v>1007.8</v>
      </c>
      <c r="Q3562" s="56" t="n">
        <f aca="false">IF(OR(F3562&lt;&gt;0,AND(I3562&lt;&gt;"",E3562&lt;I3562)),1,0)</f>
        <v>0</v>
      </c>
      <c r="R3562" s="56" t="n">
        <f aca="false">IF(AND(D3562&gt;1,Q3562=0,ISNUMBER(O3562),ISNUMBER(P3562)),IF(Q3561=0,1,0),0)</f>
        <v>1</v>
      </c>
      <c r="S3562" s="56" t="n">
        <f aca="false">R3562*(B3562&gt;=Train_Start)*(B3562&lt;=Train_End)</f>
        <v>0</v>
      </c>
      <c r="T3562" s="84" t="n">
        <f aca="false">IF(AND(ISNUMBER(O3562),ISNUMBER(P3562)),Coef_A+Coef_B1*O3562+Coef_B2*P3562,"")</f>
        <v>18.6135285475066</v>
      </c>
      <c r="U3562" s="84" t="n">
        <f aca="false">IF(AND(R3562=1,ISNUMBER(T3562)),E3562-T3562,"")</f>
        <v>-1.01352854750657</v>
      </c>
      <c r="V3562" s="84" t="n">
        <f aca="false">IF(ISNUMBER(T3562),T3562,-99)</f>
        <v>18.6135285475066</v>
      </c>
      <c r="W3562" s="84" t="n">
        <f aca="false">IF(ISNUMBER(U3562),ABS(U3562),"")</f>
        <v>1.01352854750657</v>
      </c>
    </row>
    <row r="3563" customFormat="false" ht="15" hidden="false" customHeight="false" outlineLevel="0" collapsed="false">
      <c r="A3563" s="57" t="n">
        <v>37419</v>
      </c>
      <c r="B3563" s="56" t="n">
        <v>2002</v>
      </c>
      <c r="C3563" s="56" t="n">
        <v>6</v>
      </c>
      <c r="D3563" s="56" t="n">
        <v>43</v>
      </c>
      <c r="E3563" s="56" t="n">
        <v>20.7</v>
      </c>
      <c r="F3563" s="56" t="n">
        <v>0</v>
      </c>
      <c r="G3563" s="56" t="n">
        <v>11.1</v>
      </c>
      <c r="H3563" s="56" t="n">
        <v>0</v>
      </c>
      <c r="I3563" s="56" t="n">
        <v>14.4</v>
      </c>
      <c r="J3563" s="56" t="n">
        <v>0</v>
      </c>
      <c r="K3563" s="56" t="n">
        <v>1012.8</v>
      </c>
      <c r="L3563" s="56" t="n">
        <v>0</v>
      </c>
      <c r="M3563" s="56" t="n">
        <v>78</v>
      </c>
      <c r="N3563" s="56" t="n">
        <v>1.8</v>
      </c>
      <c r="O3563" s="56" t="n">
        <f aca="false">IF(D3563=1,"",E3562)</f>
        <v>17.6</v>
      </c>
      <c r="P3563" s="56" t="n">
        <f aca="false">IF(OR(D3563=1,K3562=""),"",K3562)</f>
        <v>1012.6</v>
      </c>
      <c r="Q3563" s="56" t="n">
        <f aca="false">IF(OR(F3563&lt;&gt;0,AND(I3563&lt;&gt;"",E3563&lt;I3563)),1,0)</f>
        <v>0</v>
      </c>
      <c r="R3563" s="56" t="n">
        <f aca="false">IF(AND(D3563&gt;1,Q3563=0,ISNUMBER(O3563),ISNUMBER(P3563)),IF(Q3562=0,1,0),0)</f>
        <v>1</v>
      </c>
      <c r="S3563" s="56" t="n">
        <f aca="false">R3563*(B3563&gt;=Train_Start)*(B3563&lt;=Train_End)</f>
        <v>0</v>
      </c>
      <c r="T3563" s="84" t="n">
        <f aca="false">IF(AND(ISNUMBER(O3563),ISNUMBER(P3563)),Coef_A+Coef_B1*O3563+Coef_B2*P3563,"")</f>
        <v>18.2725005259241</v>
      </c>
      <c r="U3563" s="84" t="n">
        <f aca="false">IF(AND(R3563=1,ISNUMBER(T3563)),E3563-T3563,"")</f>
        <v>2.42749947407587</v>
      </c>
      <c r="V3563" s="84" t="n">
        <f aca="false">IF(ISNUMBER(T3563),T3563,-99)</f>
        <v>18.2725005259241</v>
      </c>
      <c r="W3563" s="84" t="n">
        <f aca="false">IF(ISNUMBER(U3563),ABS(U3563),"")</f>
        <v>2.42749947407587</v>
      </c>
    </row>
    <row r="3564" customFormat="false" ht="15" hidden="false" customHeight="false" outlineLevel="0" collapsed="false">
      <c r="A3564" s="57" t="n">
        <v>37420</v>
      </c>
      <c r="B3564" s="56" t="n">
        <v>2002</v>
      </c>
      <c r="C3564" s="56" t="n">
        <v>6</v>
      </c>
      <c r="D3564" s="56" t="n">
        <v>44</v>
      </c>
      <c r="E3564" s="56" t="n">
        <v>21.6</v>
      </c>
      <c r="F3564" s="56" t="n">
        <v>0</v>
      </c>
      <c r="G3564" s="56" t="n">
        <v>10.8</v>
      </c>
      <c r="H3564" s="56" t="n">
        <v>0</v>
      </c>
      <c r="I3564" s="56" t="n">
        <v>15.8</v>
      </c>
      <c r="J3564" s="56" t="n">
        <v>0</v>
      </c>
      <c r="K3564" s="56" t="n">
        <v>1014.5</v>
      </c>
      <c r="L3564" s="56" t="n">
        <v>0</v>
      </c>
      <c r="M3564" s="56" t="n">
        <v>79</v>
      </c>
      <c r="N3564" s="56" t="n">
        <v>2.3</v>
      </c>
      <c r="O3564" s="56" t="n">
        <f aca="false">IF(D3564=1,"",E3563)</f>
        <v>20.7</v>
      </c>
      <c r="P3564" s="56" t="n">
        <f aca="false">IF(OR(D3564=1,K3563=""),"",K3563)</f>
        <v>1012.8</v>
      </c>
      <c r="Q3564" s="56" t="n">
        <f aca="false">IF(OR(F3564&lt;&gt;0,AND(I3564&lt;&gt;"",E3564&lt;I3564)),1,0)</f>
        <v>0</v>
      </c>
      <c r="R3564" s="56" t="n">
        <f aca="false">IF(AND(D3564&gt;1,Q3564=0,ISNUMBER(O3564),ISNUMBER(P3564)),IF(Q3563=0,1,0),0)</f>
        <v>1</v>
      </c>
      <c r="S3564" s="56" t="n">
        <f aca="false">R3564*(B3564&gt;=Train_Start)*(B3564&lt;=Train_End)</f>
        <v>0</v>
      </c>
      <c r="T3564" s="84" t="n">
        <f aca="false">IF(AND(ISNUMBER(O3564),ISNUMBER(P3564)),Coef_A+Coef_B1*O3564+Coef_B2*P3564,"")</f>
        <v>20.8187260032832</v>
      </c>
      <c r="U3564" s="84" t="n">
        <f aca="false">IF(AND(R3564=1,ISNUMBER(T3564)),E3564-T3564,"")</f>
        <v>0.781273996716838</v>
      </c>
      <c r="V3564" s="84" t="n">
        <f aca="false">IF(ISNUMBER(T3564),T3564,-99)</f>
        <v>20.8187260032832</v>
      </c>
      <c r="W3564" s="84" t="n">
        <f aca="false">IF(ISNUMBER(U3564),ABS(U3564),"")</f>
        <v>0.781273996716838</v>
      </c>
    </row>
    <row r="3565" customFormat="false" ht="15" hidden="false" customHeight="false" outlineLevel="0" collapsed="false">
      <c r="A3565" s="57" t="n">
        <v>37421</v>
      </c>
      <c r="B3565" s="56" t="n">
        <v>2002</v>
      </c>
      <c r="C3565" s="56" t="n">
        <v>6</v>
      </c>
      <c r="D3565" s="56" t="n">
        <v>45</v>
      </c>
      <c r="E3565" s="56" t="n">
        <v>21.1</v>
      </c>
      <c r="F3565" s="56" t="n">
        <v>0</v>
      </c>
      <c r="G3565" s="56" t="n">
        <v>14.4</v>
      </c>
      <c r="H3565" s="56" t="n">
        <v>0</v>
      </c>
      <c r="I3565" s="56" t="n">
        <v>18</v>
      </c>
      <c r="J3565" s="56" t="n">
        <v>0</v>
      </c>
      <c r="K3565" s="56" t="n">
        <v>1012.7</v>
      </c>
      <c r="L3565" s="56" t="n">
        <v>0</v>
      </c>
      <c r="M3565" s="56" t="n">
        <v>81</v>
      </c>
      <c r="N3565" s="56" t="n">
        <v>1.6</v>
      </c>
      <c r="O3565" s="56" t="n">
        <f aca="false">IF(D3565=1,"",E3564)</f>
        <v>21.6</v>
      </c>
      <c r="P3565" s="56" t="n">
        <f aca="false">IF(OR(D3565=1,K3564=""),"",K3564)</f>
        <v>1014.5</v>
      </c>
      <c r="Q3565" s="56" t="n">
        <f aca="false">IF(OR(F3565&lt;&gt;0,AND(I3565&lt;&gt;"",E3565&lt;I3565)),1,0)</f>
        <v>0</v>
      </c>
      <c r="R3565" s="56" t="n">
        <f aca="false">IF(AND(D3565&gt;1,Q3565=0,ISNUMBER(O3565),ISNUMBER(P3565)),IF(Q3564=0,1,0),0)</f>
        <v>1</v>
      </c>
      <c r="S3565" s="56" t="n">
        <f aca="false">R3565*(B3565&gt;=Train_Start)*(B3565&lt;=Train_End)</f>
        <v>0</v>
      </c>
      <c r="T3565" s="84" t="n">
        <f aca="false">IF(AND(ISNUMBER(O3565),ISNUMBER(P3565)),Coef_A+Coef_B1*O3565+Coef_B2*P3565,"")</f>
        <v>21.6094600978993</v>
      </c>
      <c r="U3565" s="84" t="n">
        <f aca="false">IF(AND(R3565=1,ISNUMBER(T3565)),E3565-T3565,"")</f>
        <v>-0.509460097899339</v>
      </c>
      <c r="V3565" s="84" t="n">
        <f aca="false">IF(ISNUMBER(T3565),T3565,-99)</f>
        <v>21.6094600978993</v>
      </c>
      <c r="W3565" s="84" t="n">
        <f aca="false">IF(ISNUMBER(U3565),ABS(U3565),"")</f>
        <v>0.509460097899339</v>
      </c>
    </row>
    <row r="3566" customFormat="false" ht="15" hidden="false" customHeight="false" outlineLevel="0" collapsed="false">
      <c r="A3566" s="57" t="n">
        <v>37422</v>
      </c>
      <c r="B3566" s="56" t="n">
        <v>2002</v>
      </c>
      <c r="C3566" s="56" t="n">
        <v>6</v>
      </c>
      <c r="D3566" s="56" t="n">
        <v>46</v>
      </c>
      <c r="E3566" s="56" t="n">
        <v>22.1</v>
      </c>
      <c r="F3566" s="56" t="n">
        <v>0</v>
      </c>
      <c r="G3566" s="56" t="n">
        <v>13.1</v>
      </c>
      <c r="H3566" s="56" t="n">
        <v>0</v>
      </c>
      <c r="I3566" s="56" t="n">
        <v>17.1</v>
      </c>
      <c r="J3566" s="56" t="n">
        <v>0</v>
      </c>
      <c r="K3566" s="56" t="n">
        <v>1014</v>
      </c>
      <c r="L3566" s="56" t="n">
        <v>0</v>
      </c>
      <c r="M3566" s="56" t="n">
        <v>72</v>
      </c>
      <c r="N3566" s="56" t="n">
        <v>7.9</v>
      </c>
      <c r="O3566" s="56" t="n">
        <f aca="false">IF(D3566=1,"",E3565)</f>
        <v>21.1</v>
      </c>
      <c r="P3566" s="56" t="n">
        <f aca="false">IF(OR(D3566=1,K3565=""),"",K3565)</f>
        <v>1012.7</v>
      </c>
      <c r="Q3566" s="56" t="n">
        <f aca="false">IF(OR(F3566&lt;&gt;0,AND(I3566&lt;&gt;"",E3566&lt;I3566)),1,0)</f>
        <v>0</v>
      </c>
      <c r="R3566" s="56" t="n">
        <f aca="false">IF(AND(D3566&gt;1,Q3566=0,ISNUMBER(O3566),ISNUMBER(P3566)),IF(Q3565=0,1,0),0)</f>
        <v>1</v>
      </c>
      <c r="S3566" s="56" t="n">
        <f aca="false">R3566*(B3566&gt;=Train_Start)*(B3566&lt;=Train_End)</f>
        <v>0</v>
      </c>
      <c r="T3566" s="84" t="n">
        <f aca="false">IF(AND(ISNUMBER(O3566),ISNUMBER(P3566)),Coef_A+Coef_B1*O3566+Coef_B2*P3566,"")</f>
        <v>21.1433246910368</v>
      </c>
      <c r="U3566" s="84" t="n">
        <f aca="false">IF(AND(R3566=1,ISNUMBER(T3566)),E3566-T3566,"")</f>
        <v>0.95667530896317</v>
      </c>
      <c r="V3566" s="84" t="n">
        <f aca="false">IF(ISNUMBER(T3566),T3566,-99)</f>
        <v>21.1433246910368</v>
      </c>
      <c r="W3566" s="84" t="n">
        <f aca="false">IF(ISNUMBER(U3566),ABS(U3566),"")</f>
        <v>0.95667530896317</v>
      </c>
    </row>
    <row r="3567" customFormat="false" ht="15" hidden="false" customHeight="false" outlineLevel="0" collapsed="false">
      <c r="A3567" s="57" t="n">
        <v>37423</v>
      </c>
      <c r="B3567" s="56" t="n">
        <v>2002</v>
      </c>
      <c r="C3567" s="56" t="n">
        <v>6</v>
      </c>
      <c r="D3567" s="56" t="n">
        <v>47</v>
      </c>
      <c r="E3567" s="56" t="n">
        <v>26.6</v>
      </c>
      <c r="F3567" s="56" t="n">
        <v>0</v>
      </c>
      <c r="G3567" s="56" t="n">
        <v>14.5</v>
      </c>
      <c r="H3567" s="56" t="n">
        <v>0</v>
      </c>
      <c r="I3567" s="56" t="n">
        <v>18.3</v>
      </c>
      <c r="J3567" s="56" t="n">
        <v>0</v>
      </c>
      <c r="K3567" s="56" t="n">
        <v>1015.1</v>
      </c>
      <c r="L3567" s="56" t="n">
        <v>0</v>
      </c>
      <c r="M3567" s="56" t="n">
        <v>83</v>
      </c>
      <c r="N3567" s="56" t="n">
        <v>1.5</v>
      </c>
      <c r="O3567" s="56" t="n">
        <f aca="false">IF(D3567=1,"",E3566)</f>
        <v>22.1</v>
      </c>
      <c r="P3567" s="56" t="n">
        <f aca="false">IF(OR(D3567=1,K3566=""),"",K3566)</f>
        <v>1014</v>
      </c>
      <c r="Q3567" s="56" t="n">
        <f aca="false">IF(OR(F3567&lt;&gt;0,AND(I3567&lt;&gt;"",E3567&lt;I3567)),1,0)</f>
        <v>0</v>
      </c>
      <c r="R3567" s="56" t="n">
        <f aca="false">IF(AND(D3567&gt;1,Q3567=0,ISNUMBER(O3567),ISNUMBER(P3567)),IF(Q3566=0,1,0),0)</f>
        <v>1</v>
      </c>
      <c r="S3567" s="56" t="n">
        <f aca="false">R3567*(B3567&gt;=Train_Start)*(B3567&lt;=Train_End)</f>
        <v>0</v>
      </c>
      <c r="T3567" s="84" t="n">
        <f aca="false">IF(AND(ISNUMBER(O3567),ISNUMBER(P3567)),Coef_A+Coef_B1*O3567+Coef_B2*P3567,"")</f>
        <v>22.0034447471037</v>
      </c>
      <c r="U3567" s="84" t="n">
        <f aca="false">IF(AND(R3567=1,ISNUMBER(T3567)),E3567-T3567,"")</f>
        <v>4.59655525289633</v>
      </c>
      <c r="V3567" s="84" t="n">
        <f aca="false">IF(ISNUMBER(T3567),T3567,-99)</f>
        <v>22.0034447471037</v>
      </c>
      <c r="W3567" s="84" t="n">
        <f aca="false">IF(ISNUMBER(U3567),ABS(U3567),"")</f>
        <v>4.59655525289633</v>
      </c>
    </row>
    <row r="3568" customFormat="false" ht="15" hidden="false" customHeight="false" outlineLevel="0" collapsed="false">
      <c r="A3568" s="57" t="n">
        <v>37424</v>
      </c>
      <c r="B3568" s="56" t="n">
        <v>2002</v>
      </c>
      <c r="C3568" s="56" t="n">
        <v>6</v>
      </c>
      <c r="D3568" s="56" t="n">
        <v>48</v>
      </c>
      <c r="E3568" s="56" t="n">
        <v>22.6</v>
      </c>
      <c r="F3568" s="56" t="n">
        <v>0</v>
      </c>
      <c r="G3568" s="56" t="n">
        <v>14.6</v>
      </c>
      <c r="H3568" s="56" t="n">
        <v>0</v>
      </c>
      <c r="I3568" s="56" t="n">
        <v>20.6</v>
      </c>
      <c r="J3568" s="56" t="n">
        <v>0</v>
      </c>
      <c r="K3568" s="56" t="n">
        <v>1014.4</v>
      </c>
      <c r="L3568" s="56" t="n">
        <v>0</v>
      </c>
      <c r="M3568" s="56" t="n">
        <v>74</v>
      </c>
      <c r="N3568" s="56" t="n">
        <v>15.5</v>
      </c>
      <c r="O3568" s="56" t="n">
        <f aca="false">IF(D3568=1,"",E3567)</f>
        <v>26.6</v>
      </c>
      <c r="P3568" s="56" t="n">
        <f aca="false">IF(OR(D3568=1,K3567=""),"",K3567)</f>
        <v>1015.1</v>
      </c>
      <c r="Q3568" s="56" t="n">
        <f aca="false">IF(OR(F3568&lt;&gt;0,AND(I3568&lt;&gt;"",E3568&lt;I3568)),1,0)</f>
        <v>0</v>
      </c>
      <c r="R3568" s="56" t="n">
        <f aca="false">IF(AND(D3568&gt;1,Q3568=0,ISNUMBER(O3568),ISNUMBER(P3568)),IF(Q3567=0,1,0),0)</f>
        <v>1</v>
      </c>
      <c r="S3568" s="56" t="n">
        <f aca="false">R3568*(B3568&gt;=Train_Start)*(B3568&lt;=Train_End)</f>
        <v>0</v>
      </c>
      <c r="T3568" s="84" t="n">
        <f aca="false">IF(AND(ISNUMBER(O3568),ISNUMBER(P3568)),Coef_A+Coef_B1*O3568+Coef_B2*P3568,"")</f>
        <v>25.724977999893</v>
      </c>
      <c r="U3568" s="84" t="n">
        <f aca="false">IF(AND(R3568=1,ISNUMBER(T3568)),E3568-T3568,"")</f>
        <v>-3.12497799989302</v>
      </c>
      <c r="V3568" s="84" t="n">
        <f aca="false">IF(ISNUMBER(T3568),T3568,-99)</f>
        <v>25.724977999893</v>
      </c>
      <c r="W3568" s="84" t="n">
        <f aca="false">IF(ISNUMBER(U3568),ABS(U3568),"")</f>
        <v>3.12497799989302</v>
      </c>
    </row>
    <row r="3569" customFormat="false" ht="15" hidden="false" customHeight="false" outlineLevel="0" collapsed="false">
      <c r="A3569" s="57" t="n">
        <v>37425</v>
      </c>
      <c r="B3569" s="56" t="n">
        <v>2002</v>
      </c>
      <c r="C3569" s="56" t="n">
        <v>6</v>
      </c>
      <c r="D3569" s="56" t="n">
        <v>49</v>
      </c>
      <c r="E3569" s="56" t="n">
        <v>21.5</v>
      </c>
      <c r="F3569" s="56" t="n">
        <v>0</v>
      </c>
      <c r="G3569" s="56" t="n">
        <v>15.7</v>
      </c>
      <c r="H3569" s="56" t="n">
        <v>0</v>
      </c>
      <c r="I3569" s="56" t="n">
        <v>19.2</v>
      </c>
      <c r="J3569" s="56" t="n">
        <v>0</v>
      </c>
      <c r="K3569" s="56" t="n">
        <v>1017</v>
      </c>
      <c r="L3569" s="56" t="n">
        <v>0</v>
      </c>
      <c r="M3569" s="56" t="n">
        <v>68</v>
      </c>
      <c r="N3569" s="56" t="n">
        <v>8.3</v>
      </c>
      <c r="O3569" s="56" t="n">
        <f aca="false">IF(D3569=1,"",E3568)</f>
        <v>22.6</v>
      </c>
      <c r="P3569" s="56" t="n">
        <f aca="false">IF(OR(D3569=1,K3568=""),"",K3568)</f>
        <v>1014.4</v>
      </c>
      <c r="Q3569" s="56" t="n">
        <f aca="false">IF(OR(F3569&lt;&gt;0,AND(I3569&lt;&gt;"",E3569&lt;I3569)),1,0)</f>
        <v>0</v>
      </c>
      <c r="R3569" s="56" t="n">
        <f aca="false">IF(AND(D3569&gt;1,Q3569=0,ISNUMBER(O3569),ISNUMBER(P3569)),IF(Q3568=0,1,0),0)</f>
        <v>1</v>
      </c>
      <c r="S3569" s="56" t="n">
        <f aca="false">R3569*(B3569&gt;=Train_Start)*(B3569&lt;=Train_End)</f>
        <v>0</v>
      </c>
      <c r="T3569" s="84" t="n">
        <f aca="false">IF(AND(ISNUMBER(O3569),ISNUMBER(P3569)),Coef_A+Coef_B1*O3569+Coef_B2*P3569,"")</f>
        <v>22.4256623014786</v>
      </c>
      <c r="U3569" s="84" t="n">
        <f aca="false">IF(AND(R3569=1,ISNUMBER(T3569)),E3569-T3569,"")</f>
        <v>-0.925662301478599</v>
      </c>
      <c r="V3569" s="84" t="n">
        <f aca="false">IF(ISNUMBER(T3569),T3569,-99)</f>
        <v>22.4256623014786</v>
      </c>
      <c r="W3569" s="84" t="n">
        <f aca="false">IF(ISNUMBER(U3569),ABS(U3569),"")</f>
        <v>0.925662301478599</v>
      </c>
    </row>
    <row r="3570" customFormat="false" ht="15" hidden="false" customHeight="false" outlineLevel="0" collapsed="false">
      <c r="A3570" s="57" t="n">
        <v>37426</v>
      </c>
      <c r="B3570" s="56" t="n">
        <v>2002</v>
      </c>
      <c r="C3570" s="56" t="n">
        <v>6</v>
      </c>
      <c r="D3570" s="56" t="n">
        <v>50</v>
      </c>
      <c r="E3570" s="56" t="n">
        <v>22.3</v>
      </c>
      <c r="F3570" s="56" t="n">
        <v>0</v>
      </c>
      <c r="G3570" s="56" t="n">
        <v>10.9</v>
      </c>
      <c r="H3570" s="56" t="n">
        <v>0</v>
      </c>
      <c r="I3570" s="56" t="n">
        <v>16.2</v>
      </c>
      <c r="J3570" s="56" t="n">
        <v>0</v>
      </c>
      <c r="K3570" s="56" t="n">
        <v>1022.5</v>
      </c>
      <c r="L3570" s="56" t="n">
        <v>0</v>
      </c>
      <c r="M3570" s="56" t="n">
        <v>58</v>
      </c>
      <c r="N3570" s="56" t="n">
        <v>13.1</v>
      </c>
      <c r="O3570" s="56" t="n">
        <f aca="false">IF(D3570=1,"",E3569)</f>
        <v>21.5</v>
      </c>
      <c r="P3570" s="56" t="n">
        <f aca="false">IF(OR(D3570=1,K3569=""),"",K3569)</f>
        <v>1017</v>
      </c>
      <c r="Q3570" s="56" t="n">
        <f aca="false">IF(OR(F3570&lt;&gt;0,AND(I3570&lt;&gt;"",E3570&lt;I3570)),1,0)</f>
        <v>0</v>
      </c>
      <c r="R3570" s="56" t="n">
        <f aca="false">IF(AND(D3570&gt;1,Q3570=0,ISNUMBER(O3570),ISNUMBER(P3570)),IF(Q3569=0,1,0),0)</f>
        <v>1</v>
      </c>
      <c r="S3570" s="56" t="n">
        <f aca="false">R3570*(B3570&gt;=Train_Start)*(B3570&lt;=Train_End)</f>
        <v>0</v>
      </c>
      <c r="T3570" s="84" t="n">
        <f aca="false">IF(AND(ISNUMBER(O3570),ISNUMBER(P3570)),Coef_A+Coef_B1*O3570+Coef_B2*P3570,"")</f>
        <v>21.6059509151801</v>
      </c>
      <c r="U3570" s="84" t="n">
        <f aca="false">IF(AND(R3570=1,ISNUMBER(T3570)),E3570-T3570,"")</f>
        <v>0.694049084819952</v>
      </c>
      <c r="V3570" s="84" t="n">
        <f aca="false">IF(ISNUMBER(T3570),T3570,-99)</f>
        <v>21.6059509151801</v>
      </c>
      <c r="W3570" s="84" t="n">
        <f aca="false">IF(ISNUMBER(U3570),ABS(U3570),"")</f>
        <v>0.694049084819952</v>
      </c>
    </row>
    <row r="3571" customFormat="false" ht="15" hidden="false" customHeight="false" outlineLevel="0" collapsed="false">
      <c r="A3571" s="57" t="n">
        <v>37427</v>
      </c>
      <c r="B3571" s="56" t="n">
        <v>2002</v>
      </c>
      <c r="C3571" s="56" t="n">
        <v>6</v>
      </c>
      <c r="D3571" s="56" t="n">
        <v>51</v>
      </c>
      <c r="E3571" s="56" t="n">
        <v>21.9</v>
      </c>
      <c r="F3571" s="56" t="n">
        <v>0</v>
      </c>
      <c r="G3571" s="56" t="n">
        <v>14</v>
      </c>
      <c r="H3571" s="56" t="n">
        <v>0</v>
      </c>
      <c r="I3571" s="56" t="n">
        <v>18.2</v>
      </c>
      <c r="J3571" s="56" t="n">
        <v>0</v>
      </c>
      <c r="K3571" s="56" t="n">
        <v>1020.3</v>
      </c>
      <c r="L3571" s="56" t="n">
        <v>0</v>
      </c>
      <c r="M3571" s="56" t="n">
        <v>62</v>
      </c>
      <c r="N3571" s="56" t="n">
        <v>4.3</v>
      </c>
      <c r="O3571" s="56" t="n">
        <f aca="false">IF(D3571=1,"",E3570)</f>
        <v>22.3</v>
      </c>
      <c r="P3571" s="56" t="n">
        <f aca="false">IF(OR(D3571=1,K3570=""),"",K3570)</f>
        <v>1022.5</v>
      </c>
      <c r="Q3571" s="56" t="n">
        <f aca="false">IF(OR(F3571&lt;&gt;0,AND(I3571&lt;&gt;"",E3571&lt;I3571)),1,0)</f>
        <v>0</v>
      </c>
      <c r="R3571" s="56" t="n">
        <f aca="false">IF(AND(D3571&gt;1,Q3571=0,ISNUMBER(O3571),ISNUMBER(P3571)),IF(Q3570=0,1,0),0)</f>
        <v>1</v>
      </c>
      <c r="S3571" s="56" t="n">
        <f aca="false">R3571*(B3571&gt;=Train_Start)*(B3571&lt;=Train_End)</f>
        <v>0</v>
      </c>
      <c r="T3571" s="84" t="n">
        <f aca="false">IF(AND(ISNUMBER(O3571),ISNUMBER(P3571)),Coef_A+Coef_B1*O3571+Coef_B2*P3571,"")</f>
        <v>22.4339566901011</v>
      </c>
      <c r="U3571" s="84" t="n">
        <f aca="false">IF(AND(R3571=1,ISNUMBER(T3571)),E3571-T3571,"")</f>
        <v>-0.533956690101121</v>
      </c>
      <c r="V3571" s="84" t="n">
        <f aca="false">IF(ISNUMBER(T3571),T3571,-99)</f>
        <v>22.4339566901011</v>
      </c>
      <c r="W3571" s="84" t="n">
        <f aca="false">IF(ISNUMBER(U3571),ABS(U3571),"")</f>
        <v>0.533956690101121</v>
      </c>
    </row>
    <row r="3572" customFormat="false" ht="15" hidden="false" customHeight="false" outlineLevel="0" collapsed="false">
      <c r="A3572" s="57" t="n">
        <v>37428</v>
      </c>
      <c r="B3572" s="56" t="n">
        <v>2002</v>
      </c>
      <c r="C3572" s="56" t="n">
        <v>6</v>
      </c>
      <c r="D3572" s="56" t="n">
        <v>52</v>
      </c>
      <c r="E3572" s="56" t="n">
        <v>19.5</v>
      </c>
      <c r="F3572" s="56" t="n">
        <v>0</v>
      </c>
      <c r="G3572" s="56" t="n">
        <v>12.4</v>
      </c>
      <c r="H3572" s="56" t="n">
        <v>0</v>
      </c>
      <c r="I3572" s="56" t="n">
        <v>17.2</v>
      </c>
      <c r="J3572" s="56" t="n">
        <v>0</v>
      </c>
      <c r="K3572" s="56" t="n">
        <v>1020</v>
      </c>
      <c r="L3572" s="56" t="n">
        <v>0</v>
      </c>
      <c r="M3572" s="56" t="n">
        <v>70</v>
      </c>
      <c r="N3572" s="56" t="n">
        <v>6.7</v>
      </c>
      <c r="O3572" s="56" t="n">
        <f aca="false">IF(D3572=1,"",E3571)</f>
        <v>21.9</v>
      </c>
      <c r="P3572" s="56" t="n">
        <f aca="false">IF(OR(D3572=1,K3571=""),"",K3571)</f>
        <v>1020.3</v>
      </c>
      <c r="Q3572" s="56" t="n">
        <f aca="false">IF(OR(F3572&lt;&gt;0,AND(I3572&lt;&gt;"",E3572&lt;I3572)),1,0)</f>
        <v>0</v>
      </c>
      <c r="R3572" s="56" t="n">
        <f aca="false">IF(AND(D3572&gt;1,Q3572=0,ISNUMBER(O3572),ISNUMBER(P3572)),IF(Q3571=0,1,0),0)</f>
        <v>1</v>
      </c>
      <c r="S3572" s="56" t="n">
        <f aca="false">R3572*(B3572&gt;=Train_Start)*(B3572&lt;=Train_End)</f>
        <v>0</v>
      </c>
      <c r="T3572" s="84" t="n">
        <f aca="false">IF(AND(ISNUMBER(O3572),ISNUMBER(P3572)),Coef_A+Coef_B1*O3572+Coef_B2*P3572,"")</f>
        <v>22.0372072446893</v>
      </c>
      <c r="U3572" s="84" t="n">
        <f aca="false">IF(AND(R3572=1,ISNUMBER(T3572)),E3572-T3572,"")</f>
        <v>-2.53720724468928</v>
      </c>
      <c r="V3572" s="84" t="n">
        <f aca="false">IF(ISNUMBER(T3572),T3572,-99)</f>
        <v>22.0372072446893</v>
      </c>
      <c r="W3572" s="84" t="n">
        <f aca="false">IF(ISNUMBER(U3572),ABS(U3572),"")</f>
        <v>2.53720724468928</v>
      </c>
    </row>
    <row r="3573" customFormat="false" ht="15" hidden="false" customHeight="false" outlineLevel="0" collapsed="false">
      <c r="A3573" s="57" t="n">
        <v>37429</v>
      </c>
      <c r="B3573" s="56" t="n">
        <v>2002</v>
      </c>
      <c r="C3573" s="56" t="n">
        <v>6</v>
      </c>
      <c r="D3573" s="56" t="n">
        <v>53</v>
      </c>
      <c r="E3573" s="56" t="n">
        <v>20.4</v>
      </c>
      <c r="F3573" s="56" t="n">
        <v>0</v>
      </c>
      <c r="G3573" s="56" t="n">
        <v>12.8</v>
      </c>
      <c r="H3573" s="56" t="n">
        <v>0</v>
      </c>
      <c r="I3573" s="56" t="n">
        <v>16.2</v>
      </c>
      <c r="J3573" s="56" t="n">
        <v>0</v>
      </c>
      <c r="K3573" s="56" t="n">
        <v>1018.2</v>
      </c>
      <c r="L3573" s="56" t="n">
        <v>0</v>
      </c>
      <c r="M3573" s="56" t="n">
        <v>74</v>
      </c>
      <c r="N3573" s="56" t="n">
        <v>1.8</v>
      </c>
      <c r="O3573" s="56" t="n">
        <f aca="false">IF(D3573=1,"",E3572)</f>
        <v>19.5</v>
      </c>
      <c r="P3573" s="56" t="n">
        <f aca="false">IF(OR(D3573=1,K3572=""),"",K3572)</f>
        <v>1020</v>
      </c>
      <c r="Q3573" s="56" t="n">
        <f aca="false">IF(OR(F3573&lt;&gt;0,AND(I3573&lt;&gt;"",E3573&lt;I3573)),1,0)</f>
        <v>0</v>
      </c>
      <c r="R3573" s="56" t="n">
        <f aca="false">IF(AND(D3573&gt;1,Q3573=0,ISNUMBER(O3573),ISNUMBER(P3573)),IF(Q3572=0,1,0),0)</f>
        <v>1</v>
      </c>
      <c r="S3573" s="56" t="n">
        <f aca="false">R3573*(B3573&gt;=Train_Start)*(B3573&lt;=Train_End)</f>
        <v>0</v>
      </c>
      <c r="T3573" s="84" t="n">
        <f aca="false">IF(AND(ISNUMBER(O3573),ISNUMBER(P3573)),Coef_A+Coef_B1*O3573+Coef_B2*P3573,"")</f>
        <v>20.0613822129967</v>
      </c>
      <c r="U3573" s="84" t="n">
        <f aca="false">IF(AND(R3573=1,ISNUMBER(T3573)),E3573-T3573,"")</f>
        <v>0.338617787003301</v>
      </c>
      <c r="V3573" s="84" t="n">
        <f aca="false">IF(ISNUMBER(T3573),T3573,-99)</f>
        <v>20.0613822129967</v>
      </c>
      <c r="W3573" s="84" t="n">
        <f aca="false">IF(ISNUMBER(U3573),ABS(U3573),"")</f>
        <v>0.338617787003301</v>
      </c>
    </row>
    <row r="3574" customFormat="false" ht="15" hidden="false" customHeight="false" outlineLevel="0" collapsed="false">
      <c r="A3574" s="57" t="n">
        <v>37430</v>
      </c>
      <c r="B3574" s="56" t="n">
        <v>2002</v>
      </c>
      <c r="C3574" s="56" t="n">
        <v>6</v>
      </c>
      <c r="D3574" s="56" t="n">
        <v>54</v>
      </c>
      <c r="E3574" s="56" t="n">
        <v>22.2</v>
      </c>
      <c r="F3574" s="56" t="n">
        <v>0</v>
      </c>
      <c r="G3574" s="56" t="n">
        <v>11</v>
      </c>
      <c r="H3574" s="56" t="n">
        <v>0</v>
      </c>
      <c r="I3574" s="56" t="n">
        <v>15.7</v>
      </c>
      <c r="J3574" s="56" t="n">
        <v>0</v>
      </c>
      <c r="K3574" s="56" t="n">
        <v>1021.2</v>
      </c>
      <c r="L3574" s="56" t="n">
        <v>0</v>
      </c>
      <c r="M3574" s="56" t="n">
        <v>64</v>
      </c>
      <c r="N3574" s="56" t="n">
        <v>11.2</v>
      </c>
      <c r="O3574" s="56" t="n">
        <f aca="false">IF(D3574=1,"",E3573)</f>
        <v>20.4</v>
      </c>
      <c r="P3574" s="56" t="n">
        <f aca="false">IF(OR(D3574=1,K3573=""),"",K3573)</f>
        <v>1018.2</v>
      </c>
      <c r="Q3574" s="56" t="n">
        <f aca="false">IF(OR(F3574&lt;&gt;0,AND(I3574&lt;&gt;"",E3574&lt;I3574)),1,0)</f>
        <v>0</v>
      </c>
      <c r="R3574" s="56" t="n">
        <f aca="false">IF(AND(D3574&gt;1,Q3574=0,ISNUMBER(O3574),ISNUMBER(P3574)),IF(Q3573=0,1,0),0)</f>
        <v>1</v>
      </c>
      <c r="S3574" s="56" t="n">
        <f aca="false">R3574*(B3574&gt;=Train_Start)*(B3574&lt;=Train_End)</f>
        <v>0</v>
      </c>
      <c r="T3574" s="84" t="n">
        <f aca="false">IF(AND(ISNUMBER(O3574),ISNUMBER(P3574)),Coef_A+Coef_B1*O3574+Coef_B2*P3574,"")</f>
        <v>20.7423216763939</v>
      </c>
      <c r="U3574" s="84" t="n">
        <f aca="false">IF(AND(R3574=1,ISNUMBER(T3574)),E3574-T3574,"")</f>
        <v>1.45767832360609</v>
      </c>
      <c r="V3574" s="84" t="n">
        <f aca="false">IF(ISNUMBER(T3574),T3574,-99)</f>
        <v>20.7423216763939</v>
      </c>
      <c r="W3574" s="84" t="n">
        <f aca="false">IF(ISNUMBER(U3574),ABS(U3574),"")</f>
        <v>1.45767832360609</v>
      </c>
    </row>
    <row r="3575" customFormat="false" ht="15" hidden="false" customHeight="false" outlineLevel="0" collapsed="false">
      <c r="A3575" s="57" t="n">
        <v>37431</v>
      </c>
      <c r="B3575" s="56" t="n">
        <v>2002</v>
      </c>
      <c r="C3575" s="56" t="n">
        <v>6</v>
      </c>
      <c r="D3575" s="56" t="n">
        <v>55</v>
      </c>
      <c r="E3575" s="56" t="n">
        <v>20</v>
      </c>
      <c r="F3575" s="56" t="n">
        <v>0</v>
      </c>
      <c r="G3575" s="56" t="n">
        <v>9.2</v>
      </c>
      <c r="H3575" s="56" t="n">
        <v>0</v>
      </c>
      <c r="I3575" s="56" t="n">
        <v>15.7</v>
      </c>
      <c r="J3575" s="56" t="n">
        <v>0</v>
      </c>
      <c r="K3575" s="56" t="n">
        <v>1026.5</v>
      </c>
      <c r="L3575" s="56" t="n">
        <v>0</v>
      </c>
      <c r="M3575" s="56" t="n">
        <v>58</v>
      </c>
      <c r="N3575" s="56" t="n">
        <v>14.8</v>
      </c>
      <c r="O3575" s="56" t="n">
        <f aca="false">IF(D3575=1,"",E3574)</f>
        <v>22.2</v>
      </c>
      <c r="P3575" s="56" t="n">
        <f aca="false">IF(OR(D3575=1,K3574=""),"",K3574)</f>
        <v>1021.2</v>
      </c>
      <c r="Q3575" s="56" t="n">
        <f aca="false">IF(OR(F3575&lt;&gt;0,AND(I3575&lt;&gt;"",E3575&lt;I3575)),1,0)</f>
        <v>0</v>
      </c>
      <c r="R3575" s="56" t="n">
        <f aca="false">IF(AND(D3575&gt;1,Q3575=0,ISNUMBER(O3575),ISNUMBER(P3575)),IF(Q3574=0,1,0),0)</f>
        <v>1</v>
      </c>
      <c r="S3575" s="56" t="n">
        <f aca="false">R3575*(B3575&gt;=Train_Start)*(B3575&lt;=Train_End)</f>
        <v>0</v>
      </c>
      <c r="T3575" s="84" t="n">
        <f aca="false">IF(AND(ISNUMBER(O3575),ISNUMBER(P3575)),Coef_A+Coef_B1*O3575+Coef_B2*P3575,"")</f>
        <v>22.3112419077727</v>
      </c>
      <c r="U3575" s="84" t="n">
        <f aca="false">IF(AND(R3575=1,ISNUMBER(T3575)),E3575-T3575,"")</f>
        <v>-2.31124190777267</v>
      </c>
      <c r="V3575" s="84" t="n">
        <f aca="false">IF(ISNUMBER(T3575),T3575,-99)</f>
        <v>22.3112419077727</v>
      </c>
      <c r="W3575" s="84" t="n">
        <f aca="false">IF(ISNUMBER(U3575),ABS(U3575),"")</f>
        <v>2.31124190777267</v>
      </c>
    </row>
    <row r="3576" customFormat="false" ht="15" hidden="false" customHeight="false" outlineLevel="0" collapsed="false">
      <c r="A3576" s="57" t="n">
        <v>37432</v>
      </c>
      <c r="B3576" s="56" t="n">
        <v>2002</v>
      </c>
      <c r="C3576" s="56" t="n">
        <v>6</v>
      </c>
      <c r="D3576" s="56" t="n">
        <v>56</v>
      </c>
      <c r="E3576" s="56" t="n">
        <v>24</v>
      </c>
      <c r="F3576" s="56" t="n">
        <v>0</v>
      </c>
      <c r="G3576" s="56" t="n">
        <v>9.7</v>
      </c>
      <c r="H3576" s="56" t="n">
        <v>0</v>
      </c>
      <c r="I3576" s="56" t="n">
        <v>14.8</v>
      </c>
      <c r="J3576" s="56" t="n">
        <v>0</v>
      </c>
      <c r="K3576" s="56" t="n">
        <v>1027.7</v>
      </c>
      <c r="L3576" s="56" t="n">
        <v>0</v>
      </c>
      <c r="M3576" s="56" t="n">
        <v>67</v>
      </c>
      <c r="N3576" s="56" t="n">
        <v>7.6</v>
      </c>
      <c r="O3576" s="56" t="n">
        <f aca="false">IF(D3576=1,"",E3575)</f>
        <v>20</v>
      </c>
      <c r="P3576" s="56" t="n">
        <f aca="false">IF(OR(D3576=1,K3575=""),"",K3575)</f>
        <v>1026.5</v>
      </c>
      <c r="Q3576" s="56" t="n">
        <f aca="false">IF(OR(F3576&lt;&gt;0,AND(I3576&lt;&gt;"",E3576&lt;I3576)),1,0)</f>
        <v>0</v>
      </c>
      <c r="R3576" s="56" t="n">
        <f aca="false">IF(AND(D3576&gt;1,Q3576=0,ISNUMBER(O3576),ISNUMBER(P3576)),IF(Q3575=0,1,0),0)</f>
        <v>1</v>
      </c>
      <c r="S3576" s="56" t="n">
        <f aca="false">R3576*(B3576&gt;=Train_Start)*(B3576&lt;=Train_End)</f>
        <v>0</v>
      </c>
      <c r="T3576" s="84" t="n">
        <f aca="false">IF(AND(ISNUMBER(O3576),ISNUMBER(P3576)),Coef_A+Coef_B1*O3576+Coef_B2*P3576,"")</f>
        <v>20.674956124639</v>
      </c>
      <c r="U3576" s="84" t="n">
        <f aca="false">IF(AND(R3576=1,ISNUMBER(T3576)),E3576-T3576,"")</f>
        <v>3.32504387536104</v>
      </c>
      <c r="V3576" s="84" t="n">
        <f aca="false">IF(ISNUMBER(T3576),T3576,-99)</f>
        <v>20.674956124639</v>
      </c>
      <c r="W3576" s="84" t="n">
        <f aca="false">IF(ISNUMBER(U3576),ABS(U3576),"")</f>
        <v>3.32504387536104</v>
      </c>
    </row>
    <row r="3577" customFormat="false" ht="15" hidden="false" customHeight="false" outlineLevel="0" collapsed="false">
      <c r="A3577" s="57" t="n">
        <v>37433</v>
      </c>
      <c r="B3577" s="56" t="n">
        <v>2002</v>
      </c>
      <c r="C3577" s="56" t="n">
        <v>6</v>
      </c>
      <c r="D3577" s="56" t="n">
        <v>57</v>
      </c>
      <c r="E3577" s="56" t="n">
        <v>18.8</v>
      </c>
      <c r="F3577" s="56" t="n">
        <v>0</v>
      </c>
      <c r="G3577" s="56" t="n">
        <v>10.3</v>
      </c>
      <c r="H3577" s="56" t="n">
        <v>0</v>
      </c>
      <c r="I3577" s="56" t="n">
        <v>17.2</v>
      </c>
      <c r="J3577" s="56" t="n">
        <v>0</v>
      </c>
      <c r="K3577" s="56" t="n">
        <v>1022.3</v>
      </c>
      <c r="L3577" s="56" t="n">
        <v>0</v>
      </c>
      <c r="M3577" s="56" t="n">
        <v>62</v>
      </c>
      <c r="N3577" s="56" t="n">
        <v>15.1</v>
      </c>
      <c r="O3577" s="56" t="n">
        <f aca="false">IF(D3577=1,"",E3576)</f>
        <v>24</v>
      </c>
      <c r="P3577" s="56" t="n">
        <f aca="false">IF(OR(D3577=1,K3576=""),"",K3576)</f>
        <v>1027.7</v>
      </c>
      <c r="Q3577" s="56" t="n">
        <f aca="false">IF(OR(F3577&lt;&gt;0,AND(I3577&lt;&gt;"",E3577&lt;I3577)),1,0)</f>
        <v>0</v>
      </c>
      <c r="R3577" s="56" t="n">
        <f aca="false">IF(AND(D3577&gt;1,Q3577=0,ISNUMBER(O3577),ISNUMBER(P3577)),IF(Q3576=0,1,0),0)</f>
        <v>1</v>
      </c>
      <c r="S3577" s="56" t="n">
        <f aca="false">R3577*(B3577&gt;=Train_Start)*(B3577&lt;=Train_End)</f>
        <v>0</v>
      </c>
      <c r="T3577" s="84" t="n">
        <f aca="false">IF(AND(ISNUMBER(O3577),ISNUMBER(P3577)),Coef_A+Coef_B1*O3577+Coef_B2*P3577,"")</f>
        <v>23.9899567703704</v>
      </c>
      <c r="U3577" s="84" t="n">
        <f aca="false">IF(AND(R3577=1,ISNUMBER(T3577)),E3577-T3577,"")</f>
        <v>-5.18995677037038</v>
      </c>
      <c r="V3577" s="84" t="n">
        <f aca="false">IF(ISNUMBER(T3577),T3577,-99)</f>
        <v>23.9899567703704</v>
      </c>
      <c r="W3577" s="84" t="n">
        <f aca="false">IF(ISNUMBER(U3577),ABS(U3577),"")</f>
        <v>5.18995677037038</v>
      </c>
    </row>
    <row r="3578" customFormat="false" ht="15" hidden="false" customHeight="false" outlineLevel="0" collapsed="false">
      <c r="A3578" s="57" t="n">
        <v>37434</v>
      </c>
      <c r="B3578" s="56" t="n">
        <v>2002</v>
      </c>
      <c r="C3578" s="56" t="n">
        <v>6</v>
      </c>
      <c r="D3578" s="56" t="n">
        <v>58</v>
      </c>
      <c r="E3578" s="56" t="n">
        <v>18.5</v>
      </c>
      <c r="F3578" s="56" t="n">
        <v>0</v>
      </c>
      <c r="G3578" s="56" t="n">
        <v>11.7</v>
      </c>
      <c r="H3578" s="56" t="n">
        <v>0</v>
      </c>
      <c r="I3578" s="56" t="n">
        <v>15.2</v>
      </c>
      <c r="J3578" s="56" t="n">
        <v>0</v>
      </c>
      <c r="K3578" s="56" t="n">
        <v>1019.2</v>
      </c>
      <c r="L3578" s="56" t="n">
        <v>0</v>
      </c>
      <c r="M3578" s="56" t="n">
        <v>57</v>
      </c>
      <c r="N3578" s="56" t="n">
        <v>10.1</v>
      </c>
      <c r="O3578" s="56" t="n">
        <f aca="false">IF(D3578=1,"",E3577)</f>
        <v>18.8</v>
      </c>
      <c r="P3578" s="56" t="n">
        <f aca="false">IF(OR(D3578=1,K3577=""),"",K3577)</f>
        <v>1022.3</v>
      </c>
      <c r="Q3578" s="56" t="n">
        <f aca="false">IF(OR(F3578&lt;&gt;0,AND(I3578&lt;&gt;"",E3578&lt;I3578)),1,0)</f>
        <v>0</v>
      </c>
      <c r="R3578" s="56" t="n">
        <f aca="false">IF(AND(D3578&gt;1,Q3578=0,ISNUMBER(O3578),ISNUMBER(P3578)),IF(Q3577=0,1,0),0)</f>
        <v>1</v>
      </c>
      <c r="S3578" s="56" t="n">
        <f aca="false">R3578*(B3578&gt;=Train_Start)*(B3578&lt;=Train_End)</f>
        <v>0</v>
      </c>
      <c r="T3578" s="84" t="n">
        <f aca="false">IF(AND(ISNUMBER(O3578),ISNUMBER(P3578)),Coef_A+Coef_B1*O3578+Coef_B2*P3578,"")</f>
        <v>19.559995535525</v>
      </c>
      <c r="U3578" s="84" t="n">
        <f aca="false">IF(AND(R3578=1,ISNUMBER(T3578)),E3578-T3578,"")</f>
        <v>-1.05999553552502</v>
      </c>
      <c r="V3578" s="84" t="n">
        <f aca="false">IF(ISNUMBER(T3578),T3578,-99)</f>
        <v>19.559995535525</v>
      </c>
      <c r="W3578" s="84" t="n">
        <f aca="false">IF(ISNUMBER(U3578),ABS(U3578),"")</f>
        <v>1.05999553552502</v>
      </c>
    </row>
    <row r="3579" customFormat="false" ht="15" hidden="false" customHeight="false" outlineLevel="0" collapsed="false">
      <c r="A3579" s="57" t="n">
        <v>37435</v>
      </c>
      <c r="B3579" s="56" t="n">
        <v>2002</v>
      </c>
      <c r="C3579" s="56" t="n">
        <v>6</v>
      </c>
      <c r="D3579" s="56" t="n">
        <v>59</v>
      </c>
      <c r="E3579" s="56" t="n">
        <v>19.5</v>
      </c>
      <c r="F3579" s="56" t="n">
        <v>0</v>
      </c>
      <c r="G3579" s="56" t="n">
        <v>9.3</v>
      </c>
      <c r="H3579" s="56" t="n">
        <v>0</v>
      </c>
      <c r="I3579" s="56" t="n">
        <v>13.9</v>
      </c>
      <c r="J3579" s="56" t="n">
        <v>0</v>
      </c>
      <c r="K3579" s="56" t="n">
        <v>1022.3</v>
      </c>
      <c r="L3579" s="56" t="n">
        <v>0</v>
      </c>
      <c r="M3579" s="56" t="n">
        <v>56</v>
      </c>
      <c r="N3579" s="56" t="n">
        <v>9.9</v>
      </c>
      <c r="O3579" s="56" t="n">
        <f aca="false">IF(D3579=1,"",E3578)</f>
        <v>18.5</v>
      </c>
      <c r="P3579" s="56" t="n">
        <f aca="false">IF(OR(D3579=1,K3578=""),"",K3578)</f>
        <v>1019.2</v>
      </c>
      <c r="Q3579" s="56" t="n">
        <f aca="false">IF(OR(F3579&lt;&gt;0,AND(I3579&lt;&gt;"",E3579&lt;I3579)),1,0)</f>
        <v>0</v>
      </c>
      <c r="R3579" s="56" t="n">
        <f aca="false">IF(AND(D3579&gt;1,Q3579=0,ISNUMBER(O3579),ISNUMBER(P3579)),IF(Q3578=0,1,0),0)</f>
        <v>1</v>
      </c>
      <c r="S3579" s="56" t="n">
        <f aca="false">R3579*(B3579&gt;=Train_Start)*(B3579&lt;=Train_End)</f>
        <v>0</v>
      </c>
      <c r="T3579" s="84" t="n">
        <f aca="false">IF(AND(ISNUMBER(O3579),ISNUMBER(P3579)),Coef_A+Coef_B1*O3579+Coef_B2*P3579,"")</f>
        <v>19.2169471042469</v>
      </c>
      <c r="U3579" s="84" t="n">
        <f aca="false">IF(AND(R3579=1,ISNUMBER(T3579)),E3579-T3579,"")</f>
        <v>0.283052895753148</v>
      </c>
      <c r="V3579" s="84" t="n">
        <f aca="false">IF(ISNUMBER(T3579),T3579,-99)</f>
        <v>19.2169471042469</v>
      </c>
      <c r="W3579" s="84" t="n">
        <f aca="false">IF(ISNUMBER(U3579),ABS(U3579),"")</f>
        <v>0.283052895753148</v>
      </c>
    </row>
    <row r="3580" customFormat="false" ht="15" hidden="false" customHeight="false" outlineLevel="0" collapsed="false">
      <c r="A3580" s="57" t="n">
        <v>37436</v>
      </c>
      <c r="B3580" s="56" t="n">
        <v>2002</v>
      </c>
      <c r="C3580" s="56" t="n">
        <v>6</v>
      </c>
      <c r="D3580" s="56" t="n">
        <v>60</v>
      </c>
      <c r="E3580" s="56" t="n">
        <v>20.3</v>
      </c>
      <c r="F3580" s="56" t="n">
        <v>0</v>
      </c>
      <c r="G3580" s="56" t="n">
        <v>8.5</v>
      </c>
      <c r="H3580" s="56" t="n">
        <v>0</v>
      </c>
      <c r="I3580" s="56" t="n">
        <v>14</v>
      </c>
      <c r="J3580" s="56" t="n">
        <v>0</v>
      </c>
      <c r="K3580" s="56" t="n">
        <v>1021.9</v>
      </c>
      <c r="L3580" s="56" t="n">
        <v>0</v>
      </c>
      <c r="M3580" s="56" t="n">
        <v>60</v>
      </c>
      <c r="N3580" s="56" t="n">
        <v>10.6</v>
      </c>
      <c r="O3580" s="56" t="n">
        <f aca="false">IF(D3580=1,"",E3579)</f>
        <v>19.5</v>
      </c>
      <c r="P3580" s="56" t="n">
        <f aca="false">IF(OR(D3580=1,K3579=""),"",K3579)</f>
        <v>1022.3</v>
      </c>
      <c r="Q3580" s="56" t="n">
        <f aca="false">IF(OR(F3580&lt;&gt;0,AND(I3580&lt;&gt;"",E3580&lt;I3580)),1,0)</f>
        <v>0</v>
      </c>
      <c r="R3580" s="56" t="n">
        <f aca="false">IF(AND(D3580&gt;1,Q3580=0,ISNUMBER(O3580),ISNUMBER(P3580)),IF(Q3579=0,1,0),0)</f>
        <v>1</v>
      </c>
      <c r="S3580" s="56" t="n">
        <f aca="false">R3580*(B3580&gt;=Train_Start)*(B3580&lt;=Train_End)</f>
        <v>0</v>
      </c>
      <c r="T3580" s="84" t="n">
        <f aca="false">IF(AND(ISNUMBER(O3580),ISNUMBER(P3580)),Coef_A+Coef_B1*O3580+Coef_B2*P3580,"")</f>
        <v>20.1335329706549</v>
      </c>
      <c r="U3580" s="84" t="n">
        <f aca="false">IF(AND(R3580=1,ISNUMBER(T3580)),E3580-T3580,"")</f>
        <v>0.166467029345124</v>
      </c>
      <c r="V3580" s="84" t="n">
        <f aca="false">IF(ISNUMBER(T3580),T3580,-99)</f>
        <v>20.1335329706549</v>
      </c>
      <c r="W3580" s="84" t="n">
        <f aca="false">IF(ISNUMBER(U3580),ABS(U3580),"")</f>
        <v>0.166467029345124</v>
      </c>
    </row>
    <row r="3581" customFormat="false" ht="15" hidden="false" customHeight="false" outlineLevel="0" collapsed="false">
      <c r="A3581" s="57" t="n">
        <v>37437</v>
      </c>
      <c r="B3581" s="56" t="n">
        <v>2002</v>
      </c>
      <c r="C3581" s="56" t="n">
        <v>6</v>
      </c>
      <c r="D3581" s="56" t="n">
        <v>61</v>
      </c>
      <c r="E3581" s="56" t="n">
        <v>18.4</v>
      </c>
      <c r="F3581" s="56" t="n">
        <v>0</v>
      </c>
      <c r="G3581" s="56" t="n">
        <v>10.8</v>
      </c>
      <c r="H3581" s="56" t="n">
        <v>0</v>
      </c>
      <c r="I3581" s="56" t="n">
        <v>15.6</v>
      </c>
      <c r="J3581" s="56" t="n">
        <v>0</v>
      </c>
      <c r="K3581" s="56" t="n">
        <v>1014.9</v>
      </c>
      <c r="L3581" s="56" t="n">
        <v>0</v>
      </c>
      <c r="M3581" s="56" t="n">
        <v>73</v>
      </c>
      <c r="N3581" s="56" t="n">
        <v>1.9</v>
      </c>
      <c r="O3581" s="56" t="n">
        <f aca="false">IF(D3581=1,"",E3580)</f>
        <v>20.3</v>
      </c>
      <c r="P3581" s="56" t="n">
        <f aca="false">IF(OR(D3581=1,K3580=""),"",K3580)</f>
        <v>1021.9</v>
      </c>
      <c r="Q3581" s="56" t="n">
        <f aca="false">IF(OR(F3581&lt;&gt;0,AND(I3581&lt;&gt;"",E3581&lt;I3581)),1,0)</f>
        <v>0</v>
      </c>
      <c r="R3581" s="56" t="n">
        <f aca="false">IF(AND(D3581&gt;1,Q3581=0,ISNUMBER(O3581),ISNUMBER(P3581)),IF(Q3580=0,1,0),0)</f>
        <v>1</v>
      </c>
      <c r="S3581" s="56" t="n">
        <f aca="false">R3581*(B3581&gt;=Train_Start)*(B3581&lt;=Train_End)</f>
        <v>0</v>
      </c>
      <c r="T3581" s="84" t="n">
        <f aca="false">IF(AND(ISNUMBER(O3581),ISNUMBER(P3581)),Coef_A+Coef_B1*O3581+Coef_B2*P3581,"")</f>
        <v>20.7764563672354</v>
      </c>
      <c r="U3581" s="84" t="n">
        <f aca="false">IF(AND(R3581=1,ISNUMBER(T3581)),E3581-T3581,"")</f>
        <v>-2.37645636723541</v>
      </c>
      <c r="V3581" s="84" t="n">
        <f aca="false">IF(ISNUMBER(T3581),T3581,-99)</f>
        <v>20.7764563672354</v>
      </c>
      <c r="W3581" s="84" t="n">
        <f aca="false">IF(ISNUMBER(U3581),ABS(U3581),"")</f>
        <v>2.37645636723541</v>
      </c>
    </row>
    <row r="3582" customFormat="false" ht="15" hidden="false" customHeight="false" outlineLevel="0" collapsed="false">
      <c r="A3582" s="57" t="n">
        <v>37438</v>
      </c>
      <c r="B3582" s="56" t="n">
        <v>2002</v>
      </c>
      <c r="C3582" s="56" t="n">
        <v>7</v>
      </c>
      <c r="D3582" s="56" t="n">
        <v>62</v>
      </c>
      <c r="E3582" s="56" t="n">
        <v>19</v>
      </c>
      <c r="F3582" s="56" t="n">
        <v>0</v>
      </c>
      <c r="G3582" s="56" t="n">
        <v>11.7</v>
      </c>
      <c r="H3582" s="56" t="n">
        <v>0</v>
      </c>
      <c r="I3582" s="56" t="n">
        <v>15</v>
      </c>
      <c r="J3582" s="56" t="n">
        <v>0</v>
      </c>
      <c r="K3582" s="56" t="n">
        <v>1001.4</v>
      </c>
      <c r="L3582" s="56" t="n">
        <v>0</v>
      </c>
      <c r="M3582" s="56" t="n">
        <v>76</v>
      </c>
      <c r="N3582" s="56" t="n">
        <v>4.4</v>
      </c>
      <c r="O3582" s="56" t="n">
        <f aca="false">IF(D3582=1,"",E3581)</f>
        <v>18.4</v>
      </c>
      <c r="P3582" s="56" t="n">
        <f aca="false">IF(OR(D3582=1,K3581=""),"",K3581)</f>
        <v>1014.9</v>
      </c>
      <c r="Q3582" s="56" t="n">
        <f aca="false">IF(OR(F3582&lt;&gt;0,AND(I3582&lt;&gt;"",E3582&lt;I3582)),1,0)</f>
        <v>0</v>
      </c>
      <c r="R3582" s="56" t="n">
        <f aca="false">IF(AND(D3582&gt;1,Q3582=0,ISNUMBER(O3582),ISNUMBER(P3582)),IF(Q3581=0,1,0),0)</f>
        <v>1</v>
      </c>
      <c r="S3582" s="56" t="n">
        <f aca="false">R3582*(B3582&gt;=Train_Start)*(B3582&lt;=Train_End)</f>
        <v>0</v>
      </c>
      <c r="T3582" s="84" t="n">
        <f aca="false">IF(AND(ISNUMBER(O3582),ISNUMBER(P3582)),Coef_A+Coef_B1*O3582+Coef_B2*P3582,"")</f>
        <v>19.0001226380164</v>
      </c>
      <c r="U3582" s="84" t="n">
        <f aca="false">IF(AND(R3582=1,ISNUMBER(T3582)),E3582-T3582,"")</f>
        <v>-0.000122638016428311</v>
      </c>
      <c r="V3582" s="84" t="n">
        <f aca="false">IF(ISNUMBER(T3582),T3582,-99)</f>
        <v>19.0001226380164</v>
      </c>
      <c r="W3582" s="84" t="n">
        <f aca="false">IF(ISNUMBER(U3582),ABS(U3582),"")</f>
        <v>0.000122638016428311</v>
      </c>
    </row>
    <row r="3583" customFormat="false" ht="15" hidden="false" customHeight="false" outlineLevel="0" collapsed="false">
      <c r="A3583" s="57" t="n">
        <v>37439</v>
      </c>
      <c r="B3583" s="56" t="n">
        <v>2002</v>
      </c>
      <c r="C3583" s="56" t="n">
        <v>7</v>
      </c>
      <c r="D3583" s="56" t="n">
        <v>63</v>
      </c>
      <c r="E3583" s="56" t="n">
        <v>17.9</v>
      </c>
      <c r="F3583" s="56" t="n">
        <v>0</v>
      </c>
      <c r="G3583" s="56" t="n">
        <v>10.7</v>
      </c>
      <c r="H3583" s="56" t="n">
        <v>0</v>
      </c>
      <c r="I3583" s="56" t="n">
        <v>14.8</v>
      </c>
      <c r="J3583" s="56" t="n">
        <v>0</v>
      </c>
      <c r="K3583" s="56" t="n">
        <v>999.8</v>
      </c>
      <c r="L3583" s="56" t="n">
        <v>0</v>
      </c>
      <c r="M3583" s="56" t="n">
        <v>73</v>
      </c>
      <c r="N3583" s="56" t="n">
        <v>2</v>
      </c>
      <c r="O3583" s="56" t="n">
        <f aca="false">IF(D3583=1,"",E3582)</f>
        <v>19</v>
      </c>
      <c r="P3583" s="56" t="n">
        <f aca="false">IF(OR(D3583=1,K3582=""),"",K3582)</f>
        <v>1001.4</v>
      </c>
      <c r="Q3583" s="56" t="n">
        <f aca="false">IF(OR(F3583&lt;&gt;0,AND(I3583&lt;&gt;"",E3583&lt;I3583)),1,0)</f>
        <v>0</v>
      </c>
      <c r="R3583" s="56" t="n">
        <f aca="false">IF(AND(D3583&gt;1,Q3583=0,ISNUMBER(O3583),ISNUMBER(P3583)),IF(Q3582=0,1,0),0)</f>
        <v>1</v>
      </c>
      <c r="S3583" s="56" t="n">
        <f aca="false">R3583*(B3583&gt;=Train_Start)*(B3583&lt;=Train_End)</f>
        <v>0</v>
      </c>
      <c r="T3583" s="84" t="n">
        <f aca="false">IF(AND(ISNUMBER(O3583),ISNUMBER(P3583)),Coef_A+Coef_B1*O3583+Coef_B2*P3583,"")</f>
        <v>19.0682325762832</v>
      </c>
      <c r="U3583" s="84" t="n">
        <f aca="false">IF(AND(R3583=1,ISNUMBER(T3583)),E3583-T3583,"")</f>
        <v>-1.16823257628317</v>
      </c>
      <c r="V3583" s="84" t="n">
        <f aca="false">IF(ISNUMBER(T3583),T3583,-99)</f>
        <v>19.0682325762832</v>
      </c>
      <c r="W3583" s="84" t="n">
        <f aca="false">IF(ISNUMBER(U3583),ABS(U3583),"")</f>
        <v>1.16823257628317</v>
      </c>
    </row>
    <row r="3584" customFormat="false" ht="15" hidden="false" customHeight="false" outlineLevel="0" collapsed="false">
      <c r="A3584" s="57" t="n">
        <v>37440</v>
      </c>
      <c r="B3584" s="56" t="n">
        <v>2002</v>
      </c>
      <c r="C3584" s="56" t="n">
        <v>7</v>
      </c>
      <c r="D3584" s="56" t="n">
        <v>64</v>
      </c>
      <c r="E3584" s="56" t="n">
        <v>19.9</v>
      </c>
      <c r="F3584" s="56" t="n">
        <v>0</v>
      </c>
      <c r="G3584" s="56" t="n">
        <v>11.1</v>
      </c>
      <c r="H3584" s="56" t="n">
        <v>0</v>
      </c>
      <c r="I3584" s="56" t="n">
        <v>14.5</v>
      </c>
      <c r="J3584" s="56" t="n">
        <v>0</v>
      </c>
      <c r="K3584" s="56" t="n">
        <v>998.1</v>
      </c>
      <c r="L3584" s="56" t="n">
        <v>0</v>
      </c>
      <c r="M3584" s="56" t="n">
        <v>85</v>
      </c>
      <c r="N3584" s="56" t="n">
        <v>2</v>
      </c>
      <c r="O3584" s="56" t="n">
        <f aca="false">IF(D3584=1,"",E3583)</f>
        <v>17.9</v>
      </c>
      <c r="P3584" s="56" t="n">
        <f aca="false">IF(OR(D3584=1,K3583=""),"",K3583)</f>
        <v>999.8</v>
      </c>
      <c r="Q3584" s="56" t="n">
        <f aca="false">IF(OR(F3584&lt;&gt;0,AND(I3584&lt;&gt;"",E3584&lt;I3584)),1,0)</f>
        <v>0</v>
      </c>
      <c r="R3584" s="56" t="n">
        <f aca="false">IF(AND(D3584&gt;1,Q3584=0,ISNUMBER(O3584),ISNUMBER(P3584)),IF(Q3583=0,1,0),0)</f>
        <v>1</v>
      </c>
      <c r="S3584" s="56" t="n">
        <f aca="false">R3584*(B3584&gt;=Train_Start)*(B3584&lt;=Train_End)</f>
        <v>0</v>
      </c>
      <c r="T3584" s="84" t="n">
        <f aca="false">IF(AND(ISNUMBER(O3584),ISNUMBER(P3584)),Coef_A+Coef_B1*O3584+Coef_B2*P3584,"")</f>
        <v>18.1167676325219</v>
      </c>
      <c r="U3584" s="84" t="n">
        <f aca="false">IF(AND(R3584=1,ISNUMBER(T3584)),E3584-T3584,"")</f>
        <v>1.78323236747814</v>
      </c>
      <c r="V3584" s="84" t="n">
        <f aca="false">IF(ISNUMBER(T3584),T3584,-99)</f>
        <v>18.1167676325219</v>
      </c>
      <c r="W3584" s="84" t="n">
        <f aca="false">IF(ISNUMBER(U3584),ABS(U3584),"")</f>
        <v>1.78323236747814</v>
      </c>
    </row>
    <row r="3585" customFormat="false" ht="15" hidden="false" customHeight="false" outlineLevel="0" collapsed="false">
      <c r="A3585" s="57" t="n">
        <v>37441</v>
      </c>
      <c r="B3585" s="56" t="n">
        <v>2002</v>
      </c>
      <c r="C3585" s="56" t="n">
        <v>7</v>
      </c>
      <c r="D3585" s="56" t="n">
        <v>65</v>
      </c>
      <c r="E3585" s="56" t="n">
        <v>19.8</v>
      </c>
      <c r="F3585" s="56" t="n">
        <v>0</v>
      </c>
      <c r="G3585" s="56" t="n">
        <v>9.9</v>
      </c>
      <c r="H3585" s="56" t="n">
        <v>0</v>
      </c>
      <c r="I3585" s="56" t="n">
        <v>14.9</v>
      </c>
      <c r="J3585" s="56" t="n">
        <v>0</v>
      </c>
      <c r="K3585" s="56" t="n">
        <v>1015.2</v>
      </c>
      <c r="L3585" s="56" t="n">
        <v>0</v>
      </c>
      <c r="M3585" s="56" t="n">
        <v>66</v>
      </c>
      <c r="N3585" s="56" t="n">
        <v>7.2</v>
      </c>
      <c r="O3585" s="56" t="n">
        <f aca="false">IF(D3585=1,"",E3584)</f>
        <v>19.9</v>
      </c>
      <c r="P3585" s="56" t="n">
        <f aca="false">IF(OR(D3585=1,K3584=""),"",K3584)</f>
        <v>998.1</v>
      </c>
      <c r="Q3585" s="56" t="n">
        <f aca="false">IF(OR(F3585&lt;&gt;0,AND(I3585&lt;&gt;"",E3585&lt;I3585)),1,0)</f>
        <v>0</v>
      </c>
      <c r="R3585" s="56" t="n">
        <f aca="false">IF(AND(D3585&gt;1,Q3585=0,ISNUMBER(O3585),ISNUMBER(P3585)),IF(Q3584=0,1,0),0)</f>
        <v>1</v>
      </c>
      <c r="S3585" s="56" t="n">
        <f aca="false">R3585*(B3585&gt;=Train_Start)*(B3585&lt;=Train_End)</f>
        <v>0</v>
      </c>
      <c r="T3585" s="84" t="n">
        <f aca="false">IF(AND(ISNUMBER(O3585),ISNUMBER(P3585)),Coef_A+Coef_B1*O3585+Coef_B2*P3585,"")</f>
        <v>19.7021171977294</v>
      </c>
      <c r="U3585" s="84" t="n">
        <f aca="false">IF(AND(R3585=1,ISNUMBER(T3585)),E3585-T3585,"")</f>
        <v>0.097882802270604</v>
      </c>
      <c r="V3585" s="84" t="n">
        <f aca="false">IF(ISNUMBER(T3585),T3585,-99)</f>
        <v>19.7021171977294</v>
      </c>
      <c r="W3585" s="84" t="n">
        <f aca="false">IF(ISNUMBER(U3585),ABS(U3585),"")</f>
        <v>0.097882802270604</v>
      </c>
    </row>
    <row r="3586" customFormat="false" ht="15" hidden="false" customHeight="false" outlineLevel="0" collapsed="false">
      <c r="A3586" s="57" t="n">
        <v>37442</v>
      </c>
      <c r="B3586" s="56" t="n">
        <v>2002</v>
      </c>
      <c r="C3586" s="56" t="n">
        <v>7</v>
      </c>
      <c r="D3586" s="56" t="n">
        <v>66</v>
      </c>
      <c r="E3586" s="56" t="n">
        <v>20.9</v>
      </c>
      <c r="F3586" s="56" t="n">
        <v>0</v>
      </c>
      <c r="G3586" s="56" t="n">
        <v>12.3</v>
      </c>
      <c r="H3586" s="56" t="n">
        <v>0</v>
      </c>
      <c r="I3586" s="56" t="n">
        <v>16</v>
      </c>
      <c r="J3586" s="56" t="n">
        <v>0</v>
      </c>
      <c r="K3586" s="56" t="n">
        <v>1009</v>
      </c>
      <c r="L3586" s="56" t="n">
        <v>0</v>
      </c>
      <c r="M3586" s="56" t="n">
        <v>87</v>
      </c>
      <c r="N3586" s="56" t="n">
        <v>0.9</v>
      </c>
      <c r="O3586" s="56" t="n">
        <f aca="false">IF(D3586=1,"",E3585)</f>
        <v>19.8</v>
      </c>
      <c r="P3586" s="56" t="n">
        <f aca="false">IF(OR(D3586=1,K3585=""),"",K3585)</f>
        <v>1015.2</v>
      </c>
      <c r="Q3586" s="56" t="n">
        <f aca="false">IF(OR(F3586&lt;&gt;0,AND(I3586&lt;&gt;"",E3586&lt;I3586)),1,0)</f>
        <v>0</v>
      </c>
      <c r="R3586" s="56" t="n">
        <f aca="false">IF(AND(D3586&gt;1,Q3586=0,ISNUMBER(O3586),ISNUMBER(P3586)),IF(Q3585=0,1,0),0)</f>
        <v>1</v>
      </c>
      <c r="S3586" s="56" t="n">
        <f aca="false">R3586*(B3586&gt;=Train_Start)*(B3586&lt;=Train_End)</f>
        <v>0</v>
      </c>
      <c r="T3586" s="84" t="n">
        <f aca="false">IF(AND(ISNUMBER(O3586),ISNUMBER(P3586)),Coef_A+Coef_B1*O3586+Coef_B2*P3586,"")</f>
        <v>20.1566084766664</v>
      </c>
      <c r="U3586" s="84" t="n">
        <f aca="false">IF(AND(R3586=1,ISNUMBER(T3586)),E3586-T3586,"")</f>
        <v>0.743391523333646</v>
      </c>
      <c r="V3586" s="84" t="n">
        <f aca="false">IF(ISNUMBER(T3586),T3586,-99)</f>
        <v>20.1566084766664</v>
      </c>
      <c r="W3586" s="84" t="n">
        <f aca="false">IF(ISNUMBER(U3586),ABS(U3586),"")</f>
        <v>0.743391523333646</v>
      </c>
    </row>
    <row r="3587" customFormat="false" ht="15" hidden="false" customHeight="false" outlineLevel="0" collapsed="false">
      <c r="A3587" s="57" t="n">
        <v>37443</v>
      </c>
      <c r="B3587" s="56" t="n">
        <v>2002</v>
      </c>
      <c r="C3587" s="56" t="n">
        <v>7</v>
      </c>
      <c r="D3587" s="56" t="n">
        <v>67</v>
      </c>
      <c r="E3587" s="56" t="n">
        <v>20.8</v>
      </c>
      <c r="F3587" s="56" t="n">
        <v>0</v>
      </c>
      <c r="G3587" s="56" t="n">
        <v>13</v>
      </c>
      <c r="H3587" s="56" t="n">
        <v>0</v>
      </c>
      <c r="I3587" s="56" t="n">
        <v>17</v>
      </c>
      <c r="J3587" s="56" t="n">
        <v>0</v>
      </c>
      <c r="K3587" s="56" t="n">
        <v>1014.9</v>
      </c>
      <c r="L3587" s="56" t="n">
        <v>0</v>
      </c>
      <c r="M3587" s="56" t="n">
        <v>76</v>
      </c>
      <c r="N3587" s="56" t="n">
        <v>3.3</v>
      </c>
      <c r="O3587" s="56" t="n">
        <f aca="false">IF(D3587=1,"",E3586)</f>
        <v>20.9</v>
      </c>
      <c r="P3587" s="56" t="n">
        <f aca="false">IF(OR(D3587=1,K3586=""),"",K3586)</f>
        <v>1009</v>
      </c>
      <c r="Q3587" s="56" t="n">
        <f aca="false">IF(OR(F3587&lt;&gt;0,AND(I3587&lt;&gt;"",E3587&lt;I3587)),1,0)</f>
        <v>0</v>
      </c>
      <c r="R3587" s="56" t="n">
        <f aca="false">IF(AND(D3587&gt;1,Q3587=0,ISNUMBER(O3587),ISNUMBER(P3587)),IF(Q3586=0,1,0),0)</f>
        <v>1</v>
      </c>
      <c r="S3587" s="56" t="n">
        <f aca="false">R3587*(B3587&gt;=Train_Start)*(B3587&lt;=Train_End)</f>
        <v>0</v>
      </c>
      <c r="T3587" s="84" t="n">
        <f aca="false">IF(AND(ISNUMBER(O3587),ISNUMBER(P3587)),Coef_A+Coef_B1*O3587+Coef_B2*P3587,"")</f>
        <v>20.8633882422825</v>
      </c>
      <c r="U3587" s="84" t="n">
        <f aca="false">IF(AND(R3587=1,ISNUMBER(T3587)),E3587-T3587,"")</f>
        <v>-0.0633882422825387</v>
      </c>
      <c r="V3587" s="84" t="n">
        <f aca="false">IF(ISNUMBER(T3587),T3587,-99)</f>
        <v>20.8633882422825</v>
      </c>
      <c r="W3587" s="84" t="n">
        <f aca="false">IF(ISNUMBER(U3587),ABS(U3587),"")</f>
        <v>0.0633882422825387</v>
      </c>
    </row>
    <row r="3588" customFormat="false" ht="15" hidden="false" customHeight="false" outlineLevel="0" collapsed="false">
      <c r="A3588" s="57" t="n">
        <v>37444</v>
      </c>
      <c r="B3588" s="56" t="n">
        <v>2002</v>
      </c>
      <c r="C3588" s="56" t="n">
        <v>7</v>
      </c>
      <c r="D3588" s="56" t="n">
        <v>68</v>
      </c>
      <c r="E3588" s="56" t="n">
        <v>19</v>
      </c>
      <c r="F3588" s="56" t="n">
        <v>0</v>
      </c>
      <c r="G3588" s="56" t="n">
        <v>13.6</v>
      </c>
      <c r="H3588" s="56" t="n">
        <v>0</v>
      </c>
      <c r="I3588" s="56" t="n">
        <v>17.2</v>
      </c>
      <c r="J3588" s="56" t="n">
        <v>0</v>
      </c>
      <c r="K3588" s="56" t="n">
        <v>1014.5</v>
      </c>
      <c r="L3588" s="56" t="n">
        <v>0</v>
      </c>
      <c r="M3588" s="56" t="n">
        <v>82</v>
      </c>
      <c r="N3588" s="56" t="n">
        <v>2.9</v>
      </c>
      <c r="O3588" s="56" t="n">
        <f aca="false">IF(D3588=1,"",E3587)</f>
        <v>20.8</v>
      </c>
      <c r="P3588" s="56" t="n">
        <f aca="false">IF(OR(D3588=1,K3587=""),"",K3587)</f>
        <v>1014.9</v>
      </c>
      <c r="Q3588" s="56" t="n">
        <f aca="false">IF(OR(F3588&lt;&gt;0,AND(I3588&lt;&gt;"",E3588&lt;I3588)),1,0)</f>
        <v>0</v>
      </c>
      <c r="R3588" s="56" t="n">
        <f aca="false">IF(AND(D3588&gt;1,Q3588=0,ISNUMBER(O3588),ISNUMBER(P3588)),IF(Q3587=0,1,0),0)</f>
        <v>1</v>
      </c>
      <c r="S3588" s="56" t="n">
        <f aca="false">R3588*(B3588&gt;=Train_Start)*(B3588&lt;=Train_End)</f>
        <v>0</v>
      </c>
      <c r="T3588" s="84" t="n">
        <f aca="false">IF(AND(ISNUMBER(O3588),ISNUMBER(P3588)),Coef_A+Coef_B1*O3588+Coef_B2*P3588,"")</f>
        <v>20.9665367013188</v>
      </c>
      <c r="U3588" s="84" t="n">
        <f aca="false">IF(AND(R3588=1,ISNUMBER(T3588)),E3588-T3588,"")</f>
        <v>-1.96653670131881</v>
      </c>
      <c r="V3588" s="84" t="n">
        <f aca="false">IF(ISNUMBER(T3588),T3588,-99)</f>
        <v>20.9665367013188</v>
      </c>
      <c r="W3588" s="84" t="n">
        <f aca="false">IF(ISNUMBER(U3588),ABS(U3588),"")</f>
        <v>1.96653670131881</v>
      </c>
    </row>
    <row r="3589" customFormat="false" ht="15" hidden="false" customHeight="false" outlineLevel="0" collapsed="false">
      <c r="A3589" s="57" t="n">
        <v>37445</v>
      </c>
      <c r="B3589" s="56" t="n">
        <v>2002</v>
      </c>
      <c r="C3589" s="56" t="n">
        <v>7</v>
      </c>
      <c r="D3589" s="56" t="n">
        <v>69</v>
      </c>
      <c r="E3589" s="56" t="n">
        <v>21.4</v>
      </c>
      <c r="F3589" s="56" t="n">
        <v>0</v>
      </c>
      <c r="G3589" s="56" t="n">
        <v>15.1</v>
      </c>
      <c r="H3589" s="56" t="n">
        <v>0</v>
      </c>
      <c r="I3589" s="56" t="n">
        <v>17</v>
      </c>
      <c r="J3589" s="56" t="n">
        <v>0</v>
      </c>
      <c r="K3589" s="56" t="n">
        <v>1008.2</v>
      </c>
      <c r="L3589" s="56" t="n">
        <v>0</v>
      </c>
      <c r="M3589" s="56" t="n">
        <v>89</v>
      </c>
      <c r="N3589" s="56" t="n">
        <v>0</v>
      </c>
      <c r="O3589" s="56" t="n">
        <f aca="false">IF(D3589=1,"",E3588)</f>
        <v>19</v>
      </c>
      <c r="P3589" s="56" t="n">
        <f aca="false">IF(OR(D3589=1,K3588=""),"",K3588)</f>
        <v>1014.5</v>
      </c>
      <c r="Q3589" s="56" t="n">
        <f aca="false">IF(OR(F3589&lt;&gt;0,AND(I3589&lt;&gt;"",E3589&lt;I3589)),1,0)</f>
        <v>0</v>
      </c>
      <c r="R3589" s="56" t="n">
        <f aca="false">IF(AND(D3589&gt;1,Q3589=0,ISNUMBER(O3589),ISNUMBER(P3589)),IF(Q3588=0,1,0),0)</f>
        <v>1</v>
      </c>
      <c r="S3589" s="56" t="n">
        <f aca="false">R3589*(B3589&gt;=Train_Start)*(B3589&lt;=Train_End)</f>
        <v>0</v>
      </c>
      <c r="T3589" s="84" t="n">
        <f aca="false">IF(AND(ISNUMBER(O3589),ISNUMBER(P3589)),Coef_A+Coef_B1*O3589+Coef_B2*P3589,"")</f>
        <v>19.4791781959884</v>
      </c>
      <c r="U3589" s="84" t="n">
        <f aca="false">IF(AND(R3589=1,ISNUMBER(T3589)),E3589-T3589,"")</f>
        <v>1.92082180401157</v>
      </c>
      <c r="V3589" s="84" t="n">
        <f aca="false">IF(ISNUMBER(T3589),T3589,-99)</f>
        <v>19.4791781959884</v>
      </c>
      <c r="W3589" s="84" t="n">
        <f aca="false">IF(ISNUMBER(U3589),ABS(U3589),"")</f>
        <v>1.92082180401157</v>
      </c>
    </row>
    <row r="3590" customFormat="false" ht="15" hidden="false" customHeight="false" outlineLevel="0" collapsed="false">
      <c r="A3590" s="57" t="n">
        <v>37446</v>
      </c>
      <c r="B3590" s="56" t="n">
        <v>2002</v>
      </c>
      <c r="C3590" s="56" t="n">
        <v>7</v>
      </c>
      <c r="D3590" s="56" t="n">
        <v>70</v>
      </c>
      <c r="E3590" s="56" t="n">
        <v>19.1</v>
      </c>
      <c r="F3590" s="56" t="n">
        <v>0</v>
      </c>
      <c r="G3590" s="56" t="n">
        <v>15.5</v>
      </c>
      <c r="H3590" s="56" t="n">
        <v>0</v>
      </c>
      <c r="I3590" s="56" t="n">
        <v>18.4</v>
      </c>
      <c r="J3590" s="56" t="n">
        <v>0</v>
      </c>
      <c r="K3590" s="56" t="n">
        <v>1004.3</v>
      </c>
      <c r="L3590" s="56" t="n">
        <v>0</v>
      </c>
      <c r="M3590" s="56" t="n">
        <v>83</v>
      </c>
      <c r="N3590" s="56" t="n">
        <v>4.7</v>
      </c>
      <c r="O3590" s="56" t="n">
        <f aca="false">IF(D3590=1,"",E3589)</f>
        <v>21.4</v>
      </c>
      <c r="P3590" s="56" t="n">
        <f aca="false">IF(OR(D3590=1,K3589=""),"",K3589)</f>
        <v>1008.2</v>
      </c>
      <c r="Q3590" s="56" t="n">
        <f aca="false">IF(OR(F3590&lt;&gt;0,AND(I3590&lt;&gt;"",E3590&lt;I3590)),1,0)</f>
        <v>0</v>
      </c>
      <c r="R3590" s="56" t="n">
        <f aca="false">IF(AND(D3590&gt;1,Q3590=0,ISNUMBER(O3590),ISNUMBER(P3590)),IF(Q3589=0,1,0),0)</f>
        <v>1</v>
      </c>
      <c r="S3590" s="56" t="n">
        <f aca="false">R3590*(B3590&gt;=Train_Start)*(B3590&lt;=Train_End)</f>
        <v>0</v>
      </c>
      <c r="T3590" s="84" t="n">
        <f aca="false">IF(AND(ISNUMBER(O3590),ISNUMBER(P3590)),Coef_A+Coef_B1*O3590+Coef_B2*P3590,"")</f>
        <v>21.2479619230967</v>
      </c>
      <c r="U3590" s="84" t="n">
        <f aca="false">IF(AND(R3590=1,ISNUMBER(T3590)),E3590-T3590,"")</f>
        <v>-2.14796192309668</v>
      </c>
      <c r="V3590" s="84" t="n">
        <f aca="false">IF(ISNUMBER(T3590),T3590,-99)</f>
        <v>21.2479619230967</v>
      </c>
      <c r="W3590" s="84" t="n">
        <f aca="false">IF(ISNUMBER(U3590),ABS(U3590),"")</f>
        <v>2.14796192309668</v>
      </c>
    </row>
    <row r="3591" customFormat="false" ht="15" hidden="false" customHeight="false" outlineLevel="0" collapsed="false">
      <c r="A3591" s="57" t="n">
        <v>37447</v>
      </c>
      <c r="B3591" s="56" t="n">
        <v>2002</v>
      </c>
      <c r="C3591" s="56" t="n">
        <v>7</v>
      </c>
      <c r="D3591" s="56" t="n">
        <v>71</v>
      </c>
      <c r="E3591" s="56" t="n">
        <v>20.1</v>
      </c>
      <c r="F3591" s="56" t="n">
        <v>0</v>
      </c>
      <c r="G3591" s="56" t="n">
        <v>10.7</v>
      </c>
      <c r="H3591" s="56" t="n">
        <v>0</v>
      </c>
      <c r="I3591" s="56" t="n">
        <v>14.9</v>
      </c>
      <c r="J3591" s="56" t="n">
        <v>0</v>
      </c>
      <c r="K3591" s="56" t="n">
        <v>1009.4</v>
      </c>
      <c r="L3591" s="56" t="n">
        <v>0</v>
      </c>
      <c r="M3591" s="56" t="n">
        <v>74</v>
      </c>
      <c r="N3591" s="56" t="n">
        <v>10.7</v>
      </c>
      <c r="O3591" s="56" t="n">
        <f aca="false">IF(D3591=1,"",E3590)</f>
        <v>19.1</v>
      </c>
      <c r="P3591" s="56" t="n">
        <f aca="false">IF(OR(D3591=1,K3590=""),"",K3590)</f>
        <v>1004.3</v>
      </c>
      <c r="Q3591" s="56" t="n">
        <f aca="false">IF(OR(F3591&lt;&gt;0,AND(I3591&lt;&gt;"",E3591&lt;I3591)),1,0)</f>
        <v>0</v>
      </c>
      <c r="R3591" s="56" t="n">
        <f aca="false">IF(AND(D3591&gt;1,Q3591=0,ISNUMBER(O3591),ISNUMBER(P3591)),IF(Q3590=0,1,0),0)</f>
        <v>1</v>
      </c>
      <c r="S3591" s="56" t="n">
        <f aca="false">R3591*(B3591&gt;=Train_Start)*(B3591&lt;=Train_End)</f>
        <v>0</v>
      </c>
      <c r="T3591" s="84" t="n">
        <f aca="false">IF(AND(ISNUMBER(O3591),ISNUMBER(P3591)),Coef_A+Coef_B1*O3591+Coef_B2*P3591,"")</f>
        <v>19.241139190026</v>
      </c>
      <c r="U3591" s="84" t="n">
        <f aca="false">IF(AND(R3591=1,ISNUMBER(T3591)),E3591-T3591,"")</f>
        <v>0.858860809973997</v>
      </c>
      <c r="V3591" s="84" t="n">
        <f aca="false">IF(ISNUMBER(T3591),T3591,-99)</f>
        <v>19.241139190026</v>
      </c>
      <c r="W3591" s="84" t="n">
        <f aca="false">IF(ISNUMBER(U3591),ABS(U3591),"")</f>
        <v>0.858860809973997</v>
      </c>
    </row>
    <row r="3592" customFormat="false" ht="15" hidden="false" customHeight="false" outlineLevel="0" collapsed="false">
      <c r="A3592" s="57" t="n">
        <v>37448</v>
      </c>
      <c r="B3592" s="56" t="n">
        <v>2002</v>
      </c>
      <c r="C3592" s="56" t="n">
        <v>7</v>
      </c>
      <c r="D3592" s="56" t="n">
        <v>72</v>
      </c>
      <c r="E3592" s="56" t="n">
        <v>17.3</v>
      </c>
      <c r="F3592" s="56" t="n">
        <v>0</v>
      </c>
      <c r="G3592" s="56" t="n">
        <v>10.5</v>
      </c>
      <c r="H3592" s="56" t="n">
        <v>0</v>
      </c>
      <c r="I3592" s="56" t="n">
        <v>15.3</v>
      </c>
      <c r="J3592" s="56" t="n">
        <v>0</v>
      </c>
      <c r="K3592" s="56" t="n">
        <v>1016.4</v>
      </c>
      <c r="L3592" s="56" t="n">
        <v>0</v>
      </c>
      <c r="M3592" s="56" t="n">
        <v>73</v>
      </c>
      <c r="N3592" s="56" t="n">
        <v>9.8</v>
      </c>
      <c r="O3592" s="56" t="n">
        <f aca="false">IF(D3592=1,"",E3591)</f>
        <v>20.1</v>
      </c>
      <c r="P3592" s="56" t="n">
        <f aca="false">IF(OR(D3592=1,K3591=""),"",K3591)</f>
        <v>1009.4</v>
      </c>
      <c r="Q3592" s="56" t="n">
        <f aca="false">IF(OR(F3592&lt;&gt;0,AND(I3592&lt;&gt;"",E3592&lt;I3592)),1,0)</f>
        <v>0</v>
      </c>
      <c r="R3592" s="56" t="n">
        <f aca="false">IF(AND(D3592&gt;1,Q3592=0,ISNUMBER(O3592),ISNUMBER(P3592)),IF(Q3591=0,1,0),0)</f>
        <v>1</v>
      </c>
      <c r="S3592" s="56" t="n">
        <f aca="false">R3592*(B3592&gt;=Train_Start)*(B3592&lt;=Train_End)</f>
        <v>0</v>
      </c>
      <c r="T3592" s="84" t="n">
        <f aca="false">IF(AND(ISNUMBER(O3592),ISNUMBER(P3592)),Coef_A+Coef_B1*O3592+Coef_B2*P3592,"")</f>
        <v>20.220464845702</v>
      </c>
      <c r="U3592" s="84" t="n">
        <f aca="false">IF(AND(R3592=1,ISNUMBER(T3592)),E3592-T3592,"")</f>
        <v>-2.92046484570201</v>
      </c>
      <c r="V3592" s="84" t="n">
        <f aca="false">IF(ISNUMBER(T3592),T3592,-99)</f>
        <v>20.220464845702</v>
      </c>
      <c r="W3592" s="84" t="n">
        <f aca="false">IF(ISNUMBER(U3592),ABS(U3592),"")</f>
        <v>2.92046484570201</v>
      </c>
    </row>
    <row r="3593" customFormat="false" ht="15" hidden="false" customHeight="false" outlineLevel="0" collapsed="false">
      <c r="A3593" s="57" t="n">
        <v>37449</v>
      </c>
      <c r="B3593" s="56" t="n">
        <v>2002</v>
      </c>
      <c r="C3593" s="56" t="n">
        <v>7</v>
      </c>
      <c r="D3593" s="56" t="n">
        <v>73</v>
      </c>
      <c r="E3593" s="56" t="n">
        <v>22.7</v>
      </c>
      <c r="F3593" s="56" t="n">
        <v>0</v>
      </c>
      <c r="G3593" s="56" t="n">
        <v>10.4</v>
      </c>
      <c r="H3593" s="56" t="n">
        <v>0</v>
      </c>
      <c r="I3593" s="56" t="n">
        <v>13.8</v>
      </c>
      <c r="J3593" s="56" t="n">
        <v>0</v>
      </c>
      <c r="K3593" s="56" t="n">
        <v>1019.3</v>
      </c>
      <c r="L3593" s="56" t="n">
        <v>0</v>
      </c>
      <c r="M3593" s="56" t="n">
        <v>78</v>
      </c>
      <c r="N3593" s="56" t="n">
        <v>0.1</v>
      </c>
      <c r="O3593" s="56" t="n">
        <f aca="false">IF(D3593=1,"",E3592)</f>
        <v>17.3</v>
      </c>
      <c r="P3593" s="56" t="n">
        <f aca="false">IF(OR(D3593=1,K3592=""),"",K3592)</f>
        <v>1016.4</v>
      </c>
      <c r="Q3593" s="56" t="n">
        <f aca="false">IF(OR(F3593&lt;&gt;0,AND(I3593&lt;&gt;"",E3593&lt;I3593)),1,0)</f>
        <v>0</v>
      </c>
      <c r="R3593" s="56" t="n">
        <f aca="false">IF(AND(D3593&gt;1,Q3593=0,ISNUMBER(O3593),ISNUMBER(P3593)),IF(Q3592=0,1,0),0)</f>
        <v>1</v>
      </c>
      <c r="S3593" s="56" t="n">
        <f aca="false">R3593*(B3593&gt;=Train_Start)*(B3593&lt;=Train_End)</f>
        <v>0</v>
      </c>
      <c r="T3593" s="84" t="n">
        <f aca="false">IF(AND(ISNUMBER(O3593),ISNUMBER(P3593)),Coef_A+Coef_B1*O3593+Coef_B2*P3593,"")</f>
        <v>18.1459043676205</v>
      </c>
      <c r="U3593" s="84" t="n">
        <f aca="false">IF(AND(R3593=1,ISNUMBER(T3593)),E3593-T3593,"")</f>
        <v>4.5540956323795</v>
      </c>
      <c r="V3593" s="84" t="n">
        <f aca="false">IF(ISNUMBER(T3593),T3593,-99)</f>
        <v>18.1459043676205</v>
      </c>
      <c r="W3593" s="84" t="n">
        <f aca="false">IF(ISNUMBER(U3593),ABS(U3593),"")</f>
        <v>4.5540956323795</v>
      </c>
    </row>
    <row r="3594" customFormat="false" ht="15" hidden="false" customHeight="false" outlineLevel="0" collapsed="false">
      <c r="A3594" s="57" t="n">
        <v>37450</v>
      </c>
      <c r="B3594" s="56" t="n">
        <v>2002</v>
      </c>
      <c r="C3594" s="56" t="n">
        <v>7</v>
      </c>
      <c r="D3594" s="56" t="n">
        <v>74</v>
      </c>
      <c r="E3594" s="56" t="n">
        <v>25</v>
      </c>
      <c r="F3594" s="56" t="n">
        <v>0</v>
      </c>
      <c r="G3594" s="56" t="n">
        <v>10.9</v>
      </c>
      <c r="H3594" s="56" t="n">
        <v>0</v>
      </c>
      <c r="I3594" s="56" t="n">
        <v>16.8</v>
      </c>
      <c r="J3594" s="56" t="n">
        <v>0</v>
      </c>
      <c r="K3594" s="56" t="n">
        <v>1021.1</v>
      </c>
      <c r="L3594" s="56" t="n">
        <v>0</v>
      </c>
      <c r="M3594" s="56" t="n">
        <v>60</v>
      </c>
      <c r="N3594" s="56" t="n">
        <v>14.7</v>
      </c>
      <c r="O3594" s="56" t="n">
        <f aca="false">IF(D3594=1,"",E3593)</f>
        <v>22.7</v>
      </c>
      <c r="P3594" s="56" t="n">
        <f aca="false">IF(OR(D3594=1,K3593=""),"",K3593)</f>
        <v>1019.3</v>
      </c>
      <c r="Q3594" s="56" t="n">
        <f aca="false">IF(OR(F3594&lt;&gt;0,AND(I3594&lt;&gt;"",E3594&lt;I3594)),1,0)</f>
        <v>0</v>
      </c>
      <c r="R3594" s="56" t="n">
        <f aca="false">IF(AND(D3594&gt;1,Q3594=0,ISNUMBER(O3594),ISNUMBER(P3594)),IF(Q3593=0,1,0),0)</f>
        <v>1</v>
      </c>
      <c r="S3594" s="56" t="n">
        <f aca="false">R3594*(B3594&gt;=Train_Start)*(B3594&lt;=Train_End)</f>
        <v>0</v>
      </c>
      <c r="T3594" s="84" t="n">
        <f aca="false">IF(AND(ISNUMBER(O3594),ISNUMBER(P3594)),Coef_A+Coef_B1*O3594+Coef_B2*P3594,"")</f>
        <v>22.6613087044894</v>
      </c>
      <c r="U3594" s="84" t="n">
        <f aca="false">IF(AND(R3594=1,ISNUMBER(T3594)),E3594-T3594,"")</f>
        <v>2.33869129551059</v>
      </c>
      <c r="V3594" s="84" t="n">
        <f aca="false">IF(ISNUMBER(T3594),T3594,-99)</f>
        <v>22.6613087044894</v>
      </c>
      <c r="W3594" s="84" t="n">
        <f aca="false">IF(ISNUMBER(U3594),ABS(U3594),"")</f>
        <v>2.33869129551059</v>
      </c>
    </row>
    <row r="3595" customFormat="false" ht="15" hidden="false" customHeight="false" outlineLevel="0" collapsed="false">
      <c r="A3595" s="57" t="n">
        <v>37451</v>
      </c>
      <c r="B3595" s="56" t="n">
        <v>2002</v>
      </c>
      <c r="C3595" s="56" t="n">
        <v>7</v>
      </c>
      <c r="D3595" s="56" t="n">
        <v>75</v>
      </c>
      <c r="E3595" s="56" t="n">
        <v>25.9</v>
      </c>
      <c r="F3595" s="56" t="n">
        <v>0</v>
      </c>
      <c r="G3595" s="56" t="n">
        <v>11.4</v>
      </c>
      <c r="H3595" s="56" t="n">
        <v>0</v>
      </c>
      <c r="I3595" s="56" t="n">
        <v>18.2</v>
      </c>
      <c r="J3595" s="56" t="n">
        <v>0</v>
      </c>
      <c r="K3595" s="56" t="n">
        <v>1026.7</v>
      </c>
      <c r="L3595" s="56" t="n">
        <v>0</v>
      </c>
      <c r="M3595" s="56" t="n">
        <v>56</v>
      </c>
      <c r="N3595" s="56" t="n">
        <v>15.2</v>
      </c>
      <c r="O3595" s="56" t="n">
        <f aca="false">IF(D3595=1,"",E3594)</f>
        <v>25</v>
      </c>
      <c r="P3595" s="56" t="n">
        <f aca="false">IF(OR(D3595=1,K3594=""),"",K3594)</f>
        <v>1021.1</v>
      </c>
      <c r="Q3595" s="56" t="n">
        <f aca="false">IF(OR(F3595&lt;&gt;0,AND(I3595&lt;&gt;"",E3595&lt;I3595)),1,0)</f>
        <v>0</v>
      </c>
      <c r="R3595" s="56" t="n">
        <f aca="false">IF(AND(D3595&gt;1,Q3595=0,ISNUMBER(O3595),ISNUMBER(P3595)),IF(Q3594=0,1,0),0)</f>
        <v>1</v>
      </c>
      <c r="S3595" s="56" t="n">
        <f aca="false">R3595*(B3595&gt;=Train_Start)*(B3595&lt;=Train_End)</f>
        <v>0</v>
      </c>
      <c r="T3595" s="84" t="n">
        <f aca="false">IF(AND(ISNUMBER(O3595),ISNUMBER(P3595)),Coef_A+Coef_B1*O3595+Coef_B2*P3595,"")</f>
        <v>24.6022546588287</v>
      </c>
      <c r="U3595" s="84" t="n">
        <f aca="false">IF(AND(R3595=1,ISNUMBER(T3595)),E3595-T3595,"")</f>
        <v>1.29774534117129</v>
      </c>
      <c r="V3595" s="84" t="n">
        <f aca="false">IF(ISNUMBER(T3595),T3595,-99)</f>
        <v>24.6022546588287</v>
      </c>
      <c r="W3595" s="84" t="n">
        <f aca="false">IF(ISNUMBER(U3595),ABS(U3595),"")</f>
        <v>1.29774534117129</v>
      </c>
    </row>
    <row r="3596" customFormat="false" ht="15" hidden="false" customHeight="false" outlineLevel="0" collapsed="false">
      <c r="A3596" s="57" t="n">
        <v>37452</v>
      </c>
      <c r="B3596" s="56" t="n">
        <v>2002</v>
      </c>
      <c r="C3596" s="56" t="n">
        <v>7</v>
      </c>
      <c r="D3596" s="56" t="n">
        <v>76</v>
      </c>
      <c r="E3596" s="56" t="n">
        <v>25.6</v>
      </c>
      <c r="F3596" s="56" t="n">
        <v>0</v>
      </c>
      <c r="G3596" s="56" t="n">
        <v>13.1</v>
      </c>
      <c r="H3596" s="56" t="n">
        <v>0</v>
      </c>
      <c r="I3596" s="56" t="n">
        <v>19.5</v>
      </c>
      <c r="J3596" s="56" t="n">
        <v>0</v>
      </c>
      <c r="K3596" s="56" t="n">
        <v>1024.7</v>
      </c>
      <c r="L3596" s="56" t="n">
        <v>0</v>
      </c>
      <c r="M3596" s="56" t="n">
        <v>59</v>
      </c>
      <c r="N3596" s="56" t="n">
        <v>10.8</v>
      </c>
      <c r="O3596" s="56" t="n">
        <f aca="false">IF(D3596=1,"",E3595)</f>
        <v>25.9</v>
      </c>
      <c r="P3596" s="56" t="n">
        <f aca="false">IF(OR(D3596=1,K3595=""),"",K3595)</f>
        <v>1026.7</v>
      </c>
      <c r="Q3596" s="56" t="n">
        <f aca="false">IF(OR(F3596&lt;&gt;0,AND(I3596&lt;&gt;"",E3596&lt;I3596)),1,0)</f>
        <v>0</v>
      </c>
      <c r="R3596" s="56" t="n">
        <f aca="false">IF(AND(D3596&gt;1,Q3596=0,ISNUMBER(O3596),ISNUMBER(P3596)),IF(Q3595=0,1,0),0)</f>
        <v>1</v>
      </c>
      <c r="S3596" s="56" t="n">
        <f aca="false">R3596*(B3596&gt;=Train_Start)*(B3596&lt;=Train_End)</f>
        <v>0</v>
      </c>
      <c r="T3596" s="84" t="n">
        <f aca="false">IF(AND(ISNUMBER(O3596),ISNUMBER(P3596)),Coef_A+Coef_B1*O3596+Coef_B2*P3596,"")</f>
        <v>25.5153313425174</v>
      </c>
      <c r="U3596" s="84" t="n">
        <f aca="false">IF(AND(R3596=1,ISNUMBER(T3596)),E3596-T3596,"")</f>
        <v>0.0846686574825668</v>
      </c>
      <c r="V3596" s="84" t="n">
        <f aca="false">IF(ISNUMBER(T3596),T3596,-99)</f>
        <v>25.5153313425174</v>
      </c>
      <c r="W3596" s="84" t="n">
        <f aca="false">IF(ISNUMBER(U3596),ABS(U3596),"")</f>
        <v>0.0846686574825668</v>
      </c>
    </row>
    <row r="3597" customFormat="false" ht="15" hidden="false" customHeight="false" outlineLevel="0" collapsed="false">
      <c r="A3597" s="57" t="n">
        <v>37453</v>
      </c>
      <c r="B3597" s="56" t="n">
        <v>2002</v>
      </c>
      <c r="C3597" s="56" t="n">
        <v>7</v>
      </c>
      <c r="D3597" s="56" t="n">
        <v>77</v>
      </c>
      <c r="E3597" s="56" t="n">
        <v>21.9</v>
      </c>
      <c r="F3597" s="56" t="n">
        <v>0</v>
      </c>
      <c r="G3597" s="56" t="n">
        <v>15.9</v>
      </c>
      <c r="H3597" s="56" t="n">
        <v>0</v>
      </c>
      <c r="I3597" s="56" t="n">
        <v>20.8</v>
      </c>
      <c r="J3597" s="56" t="n">
        <v>0</v>
      </c>
      <c r="K3597" s="56" t="n">
        <v>1021</v>
      </c>
      <c r="L3597" s="56" t="n">
        <v>0</v>
      </c>
      <c r="M3597" s="56" t="n">
        <v>63</v>
      </c>
      <c r="N3597" s="56" t="n">
        <v>10.8</v>
      </c>
      <c r="O3597" s="56" t="n">
        <f aca="false">IF(D3597=1,"",E3596)</f>
        <v>25.6</v>
      </c>
      <c r="P3597" s="56" t="n">
        <f aca="false">IF(OR(D3597=1,K3596=""),"",K3596)</f>
        <v>1024.7</v>
      </c>
      <c r="Q3597" s="56" t="n">
        <f aca="false">IF(OR(F3597&lt;&gt;0,AND(I3597&lt;&gt;"",E3597&lt;I3597)),1,0)</f>
        <v>0</v>
      </c>
      <c r="R3597" s="56" t="n">
        <f aca="false">IF(AND(D3597&gt;1,Q3597=0,ISNUMBER(O3597),ISNUMBER(P3597)),IF(Q3596=0,1,0),0)</f>
        <v>1</v>
      </c>
      <c r="S3597" s="56" t="n">
        <f aca="false">R3597*(B3597&gt;=Train_Start)*(B3597&lt;=Train_End)</f>
        <v>0</v>
      </c>
      <c r="T3597" s="84" t="n">
        <f aca="false">IF(AND(ISNUMBER(O3597),ISNUMBER(P3597)),Coef_A+Coef_B1*O3597+Coef_B2*P3597,"")</f>
        <v>25.2067897953367</v>
      </c>
      <c r="U3597" s="84" t="n">
        <f aca="false">IF(AND(R3597=1,ISNUMBER(T3597)),E3597-T3597,"")</f>
        <v>-3.30678979533666</v>
      </c>
      <c r="V3597" s="84" t="n">
        <f aca="false">IF(ISNUMBER(T3597),T3597,-99)</f>
        <v>25.2067897953367</v>
      </c>
      <c r="W3597" s="84" t="n">
        <f aca="false">IF(ISNUMBER(U3597),ABS(U3597),"")</f>
        <v>3.30678979533666</v>
      </c>
    </row>
    <row r="3598" customFormat="false" ht="15" hidden="false" customHeight="false" outlineLevel="0" collapsed="false">
      <c r="A3598" s="57" t="n">
        <v>37454</v>
      </c>
      <c r="B3598" s="56" t="n">
        <v>2002</v>
      </c>
      <c r="C3598" s="56" t="n">
        <v>7</v>
      </c>
      <c r="D3598" s="56" t="n">
        <v>78</v>
      </c>
      <c r="E3598" s="56" t="n">
        <v>23.4</v>
      </c>
      <c r="F3598" s="56" t="n">
        <v>0</v>
      </c>
      <c r="G3598" s="56" t="n">
        <v>13.1</v>
      </c>
      <c r="H3598" s="56" t="n">
        <v>0</v>
      </c>
      <c r="I3598" s="56" t="n">
        <v>17.5</v>
      </c>
      <c r="J3598" s="56" t="n">
        <v>0</v>
      </c>
      <c r="K3598" s="56" t="n">
        <v>1020.9</v>
      </c>
      <c r="L3598" s="56" t="n">
        <v>0</v>
      </c>
      <c r="M3598" s="56" t="n">
        <v>63</v>
      </c>
      <c r="N3598" s="56" t="n">
        <v>7.9</v>
      </c>
      <c r="O3598" s="56" t="n">
        <f aca="false">IF(D3598=1,"",E3597)</f>
        <v>21.9</v>
      </c>
      <c r="P3598" s="56" t="n">
        <f aca="false">IF(OR(D3598=1,K3597=""),"",K3597)</f>
        <v>1021</v>
      </c>
      <c r="Q3598" s="56" t="n">
        <f aca="false">IF(OR(F3598&lt;&gt;0,AND(I3598&lt;&gt;"",E3598&lt;I3598)),1,0)</f>
        <v>0</v>
      </c>
      <c r="R3598" s="56" t="n">
        <f aca="false">IF(AND(D3598&gt;1,Q3598=0,ISNUMBER(O3598),ISNUMBER(P3598)),IF(Q3597=0,1,0),0)</f>
        <v>1</v>
      </c>
      <c r="S3598" s="56" t="n">
        <f aca="false">R3598*(B3598&gt;=Train_Start)*(B3598&lt;=Train_End)</f>
        <v>0</v>
      </c>
      <c r="T3598" s="84" t="n">
        <f aca="false">IF(AND(ISNUMBER(O3598),ISNUMBER(P3598)),Coef_A+Coef_B1*O3598+Coef_B2*P3598,"")</f>
        <v>22.0591661709331</v>
      </c>
      <c r="U3598" s="84" t="n">
        <f aca="false">IF(AND(R3598=1,ISNUMBER(T3598)),E3598-T3598,"")</f>
        <v>1.34083382906693</v>
      </c>
      <c r="V3598" s="84" t="n">
        <f aca="false">IF(ISNUMBER(T3598),T3598,-99)</f>
        <v>22.0591661709331</v>
      </c>
      <c r="W3598" s="84" t="n">
        <f aca="false">IF(ISNUMBER(U3598),ABS(U3598),"")</f>
        <v>1.34083382906693</v>
      </c>
    </row>
    <row r="3599" customFormat="false" ht="15" hidden="false" customHeight="false" outlineLevel="0" collapsed="false">
      <c r="A3599" s="57" t="n">
        <v>37455</v>
      </c>
      <c r="B3599" s="56" t="n">
        <v>2002</v>
      </c>
      <c r="C3599" s="56" t="n">
        <v>7</v>
      </c>
      <c r="D3599" s="56" t="n">
        <v>79</v>
      </c>
      <c r="E3599" s="56" t="n">
        <v>24.2</v>
      </c>
      <c r="F3599" s="56" t="n">
        <v>0</v>
      </c>
      <c r="G3599" s="56" t="n">
        <v>14.8</v>
      </c>
      <c r="H3599" s="56" t="n">
        <v>0</v>
      </c>
      <c r="I3599" s="56" t="n">
        <v>19.1</v>
      </c>
      <c r="J3599" s="56" t="n">
        <v>0</v>
      </c>
      <c r="K3599" s="56" t="n">
        <v>1020.6</v>
      </c>
      <c r="L3599" s="56" t="n">
        <v>0</v>
      </c>
      <c r="M3599" s="56" t="n">
        <v>63</v>
      </c>
      <c r="N3599" s="56" t="n">
        <v>6.3</v>
      </c>
      <c r="O3599" s="56" t="n">
        <f aca="false">IF(D3599=1,"",E3598)</f>
        <v>23.4</v>
      </c>
      <c r="P3599" s="56" t="n">
        <f aca="false">IF(OR(D3599=1,K3598=""),"",K3598)</f>
        <v>1020.9</v>
      </c>
      <c r="Q3599" s="56" t="n">
        <f aca="false">IF(OR(F3599&lt;&gt;0,AND(I3599&lt;&gt;"",E3599&lt;I3599)),1,0)</f>
        <v>0</v>
      </c>
      <c r="R3599" s="56" t="n">
        <f aca="false">IF(AND(D3599&gt;1,Q3599=0,ISNUMBER(O3599),ISNUMBER(P3599)),IF(Q3598=0,1,0),0)</f>
        <v>1</v>
      </c>
      <c r="S3599" s="56" t="n">
        <f aca="false">R3599*(B3599&gt;=Train_Start)*(B3599&lt;=Train_End)</f>
        <v>0</v>
      </c>
      <c r="T3599" s="84" t="n">
        <f aca="false">IF(AND(ISNUMBER(O3599),ISNUMBER(P3599)),Coef_A+Coef_B1*O3599+Coef_B2*P3599,"")</f>
        <v>23.2850379710337</v>
      </c>
      <c r="U3599" s="84" t="n">
        <f aca="false">IF(AND(R3599=1,ISNUMBER(T3599)),E3599-T3599,"")</f>
        <v>0.914962028966347</v>
      </c>
      <c r="V3599" s="84" t="n">
        <f aca="false">IF(ISNUMBER(T3599),T3599,-99)</f>
        <v>23.2850379710337</v>
      </c>
      <c r="W3599" s="84" t="n">
        <f aca="false">IF(ISNUMBER(U3599),ABS(U3599),"")</f>
        <v>0.914962028966347</v>
      </c>
    </row>
    <row r="3600" customFormat="false" ht="15" hidden="false" customHeight="false" outlineLevel="0" collapsed="false">
      <c r="A3600" s="57" t="n">
        <v>37456</v>
      </c>
      <c r="B3600" s="56" t="n">
        <v>2002</v>
      </c>
      <c r="C3600" s="56" t="n">
        <v>7</v>
      </c>
      <c r="D3600" s="56" t="n">
        <v>80</v>
      </c>
      <c r="E3600" s="56" t="n">
        <v>23.2</v>
      </c>
      <c r="F3600" s="56" t="n">
        <v>0</v>
      </c>
      <c r="G3600" s="56" t="n">
        <v>12.9</v>
      </c>
      <c r="H3600" s="56" t="n">
        <v>0</v>
      </c>
      <c r="I3600" s="56" t="n">
        <v>18.6</v>
      </c>
      <c r="J3600" s="56" t="n">
        <v>0</v>
      </c>
      <c r="K3600" s="56" t="n">
        <v>1019.3</v>
      </c>
      <c r="L3600" s="56" t="n">
        <v>0</v>
      </c>
      <c r="M3600" s="56" t="n">
        <v>60</v>
      </c>
      <c r="N3600" s="56" t="n">
        <v>12.6</v>
      </c>
      <c r="O3600" s="56" t="n">
        <f aca="false">IF(D3600=1,"",E3599)</f>
        <v>24.2</v>
      </c>
      <c r="P3600" s="56" t="n">
        <f aca="false">IF(OR(D3600=1,K3599=""),"",K3599)</f>
        <v>1020.6</v>
      </c>
      <c r="Q3600" s="56" t="n">
        <f aca="false">IF(OR(F3600&lt;&gt;0,AND(I3600&lt;&gt;"",E3600&lt;I3600)),1,0)</f>
        <v>0</v>
      </c>
      <c r="R3600" s="56" t="n">
        <f aca="false">IF(AND(D3600&gt;1,Q3600=0,ISNUMBER(O3600),ISNUMBER(P3600)),IF(Q3599=0,1,0),0)</f>
        <v>1</v>
      </c>
      <c r="S3600" s="56" t="n">
        <f aca="false">R3600*(B3600&gt;=Train_Start)*(B3600&lt;=Train_End)</f>
        <v>0</v>
      </c>
      <c r="T3600" s="84" t="n">
        <f aca="false">IF(AND(ISNUMBER(O3600),ISNUMBER(P3600)),Coef_A+Coef_B1*O3600+Coef_B2*P3600,"")</f>
        <v>23.9310983570776</v>
      </c>
      <c r="U3600" s="84" t="n">
        <f aca="false">IF(AND(R3600=1,ISNUMBER(T3600)),E3600-T3600,"")</f>
        <v>-0.731098357077588</v>
      </c>
      <c r="V3600" s="84" t="n">
        <f aca="false">IF(ISNUMBER(T3600),T3600,-99)</f>
        <v>23.9310983570776</v>
      </c>
      <c r="W3600" s="84" t="n">
        <f aca="false">IF(ISNUMBER(U3600),ABS(U3600),"")</f>
        <v>0.731098357077588</v>
      </c>
    </row>
    <row r="3601" customFormat="false" ht="15" hidden="false" customHeight="false" outlineLevel="0" collapsed="false">
      <c r="A3601" s="57" t="n">
        <v>37457</v>
      </c>
      <c r="B3601" s="56" t="n">
        <v>2002</v>
      </c>
      <c r="C3601" s="56" t="n">
        <v>7</v>
      </c>
      <c r="D3601" s="56" t="n">
        <v>81</v>
      </c>
      <c r="E3601" s="56" t="n">
        <v>19.8</v>
      </c>
      <c r="F3601" s="56" t="n">
        <v>0</v>
      </c>
      <c r="G3601" s="56" t="n">
        <v>14.4</v>
      </c>
      <c r="H3601" s="56" t="n">
        <v>0</v>
      </c>
      <c r="I3601" s="56" t="n">
        <v>18.8</v>
      </c>
      <c r="J3601" s="56" t="n">
        <v>0</v>
      </c>
      <c r="K3601" s="56" t="n">
        <v>1014.9</v>
      </c>
      <c r="L3601" s="56" t="n">
        <v>0</v>
      </c>
      <c r="M3601" s="56" t="n">
        <v>59</v>
      </c>
      <c r="N3601" s="56" t="n">
        <v>7.5</v>
      </c>
      <c r="O3601" s="56" t="n">
        <f aca="false">IF(D3601=1,"",E3600)</f>
        <v>23.2</v>
      </c>
      <c r="P3601" s="56" t="n">
        <f aca="false">IF(OR(D3601=1,K3600=""),"",K3600)</f>
        <v>1019.3</v>
      </c>
      <c r="Q3601" s="56" t="n">
        <f aca="false">IF(OR(F3601&lt;&gt;0,AND(I3601&lt;&gt;"",E3601&lt;I3601)),1,0)</f>
        <v>0</v>
      </c>
      <c r="R3601" s="56" t="n">
        <f aca="false">IF(AND(D3601&gt;1,Q3601=0,ISNUMBER(O3601),ISNUMBER(P3601)),IF(Q3600=0,1,0),0)</f>
        <v>1</v>
      </c>
      <c r="S3601" s="56" t="n">
        <f aca="false">R3601*(B3601&gt;=Train_Start)*(B3601&lt;=Train_End)</f>
        <v>0</v>
      </c>
      <c r="T3601" s="84" t="n">
        <f aca="false">IF(AND(ISNUMBER(O3601),ISNUMBER(P3601)),Coef_A+Coef_B1*O3601+Coef_B2*P3601,"")</f>
        <v>23.0709783010107</v>
      </c>
      <c r="U3601" s="84" t="n">
        <f aca="false">IF(AND(R3601=1,ISNUMBER(T3601)),E3601-T3601,"")</f>
        <v>-3.27097830101074</v>
      </c>
      <c r="V3601" s="84" t="n">
        <f aca="false">IF(ISNUMBER(T3601),T3601,-99)</f>
        <v>23.0709783010107</v>
      </c>
      <c r="W3601" s="84" t="n">
        <f aca="false">IF(ISNUMBER(U3601),ABS(U3601),"")</f>
        <v>3.27097830101074</v>
      </c>
    </row>
    <row r="3602" customFormat="false" ht="15" hidden="false" customHeight="false" outlineLevel="0" collapsed="false">
      <c r="A3602" s="57" t="n">
        <v>37458</v>
      </c>
      <c r="B3602" s="56" t="n">
        <v>2002</v>
      </c>
      <c r="C3602" s="56" t="n">
        <v>7</v>
      </c>
      <c r="D3602" s="56" t="n">
        <v>82</v>
      </c>
      <c r="E3602" s="56" t="n">
        <v>22.3</v>
      </c>
      <c r="F3602" s="56" t="n">
        <v>0</v>
      </c>
      <c r="G3602" s="56" t="n">
        <v>11.6</v>
      </c>
      <c r="H3602" s="56" t="n">
        <v>0</v>
      </c>
      <c r="I3602" s="56" t="n">
        <v>15.7</v>
      </c>
      <c r="J3602" s="56" t="n">
        <v>0</v>
      </c>
      <c r="K3602" s="56" t="n">
        <v>1018.4</v>
      </c>
      <c r="L3602" s="56" t="n">
        <v>0</v>
      </c>
      <c r="M3602" s="56" t="n">
        <v>70</v>
      </c>
      <c r="N3602" s="56" t="n">
        <v>4.5</v>
      </c>
      <c r="O3602" s="56" t="n">
        <f aca="false">IF(D3602=1,"",E3601)</f>
        <v>19.8</v>
      </c>
      <c r="P3602" s="56" t="n">
        <f aca="false">IF(OR(D3602=1,K3601=""),"",K3601)</f>
        <v>1014.9</v>
      </c>
      <c r="Q3602" s="56" t="n">
        <f aca="false">IF(OR(F3602&lt;&gt;0,AND(I3602&lt;&gt;"",E3602&lt;I3602)),1,0)</f>
        <v>0</v>
      </c>
      <c r="R3602" s="56" t="n">
        <f aca="false">IF(AND(D3602&gt;1,Q3602=0,ISNUMBER(O3602),ISNUMBER(P3602)),IF(Q3601=0,1,0),0)</f>
        <v>1</v>
      </c>
      <c r="S3602" s="56" t="n">
        <f aca="false">R3602*(B3602&gt;=Train_Start)*(B3602&lt;=Train_End)</f>
        <v>0</v>
      </c>
      <c r="T3602" s="84" t="n">
        <f aca="false">IF(AND(ISNUMBER(O3602),ISNUMBER(P3602)),Coef_A+Coef_B1*O3602+Coef_B2*P3602,"")</f>
        <v>20.1471975082762</v>
      </c>
      <c r="U3602" s="84" t="n">
        <f aca="false">IF(AND(R3602=1,ISNUMBER(T3602)),E3602-T3602,"")</f>
        <v>2.15280249172385</v>
      </c>
      <c r="V3602" s="84" t="n">
        <f aca="false">IF(ISNUMBER(T3602),T3602,-99)</f>
        <v>20.1471975082762</v>
      </c>
      <c r="W3602" s="84" t="n">
        <f aca="false">IF(ISNUMBER(U3602),ABS(U3602),"")</f>
        <v>2.15280249172385</v>
      </c>
    </row>
    <row r="3603" customFormat="false" ht="15" hidden="false" customHeight="false" outlineLevel="0" collapsed="false">
      <c r="A3603" s="57" t="n">
        <v>37459</v>
      </c>
      <c r="B3603" s="56" t="n">
        <v>2002</v>
      </c>
      <c r="C3603" s="56" t="n">
        <v>7</v>
      </c>
      <c r="D3603" s="56" t="n">
        <v>83</v>
      </c>
      <c r="E3603" s="56" t="n">
        <v>20.4</v>
      </c>
      <c r="F3603" s="56" t="n">
        <v>0</v>
      </c>
      <c r="G3603" s="56" t="n">
        <v>10.5</v>
      </c>
      <c r="H3603" s="56" t="n">
        <v>0</v>
      </c>
      <c r="I3603" s="56" t="n">
        <v>16.4</v>
      </c>
      <c r="J3603" s="56" t="n">
        <v>0</v>
      </c>
      <c r="K3603" s="56" t="n">
        <v>1019.6</v>
      </c>
      <c r="L3603" s="56" t="n">
        <v>0</v>
      </c>
      <c r="M3603" s="56" t="n">
        <v>65</v>
      </c>
      <c r="N3603" s="56" t="n">
        <v>6.3</v>
      </c>
      <c r="O3603" s="56" t="n">
        <f aca="false">IF(D3603=1,"",E3602)</f>
        <v>22.3</v>
      </c>
      <c r="P3603" s="56" t="n">
        <f aca="false">IF(OR(D3603=1,K3602=""),"",K3602)</f>
        <v>1018.4</v>
      </c>
      <c r="Q3603" s="56" t="n">
        <f aca="false">IF(OR(F3603&lt;&gt;0,AND(I3603&lt;&gt;"",E3603&lt;I3603)),1,0)</f>
        <v>0</v>
      </c>
      <c r="R3603" s="56" t="n">
        <f aca="false">IF(AND(D3603&gt;1,Q3603=0,ISNUMBER(O3603),ISNUMBER(P3603)),IF(Q3602=0,1,0),0)</f>
        <v>1</v>
      </c>
      <c r="S3603" s="56" t="n">
        <f aca="false">R3603*(B3603&gt;=Train_Start)*(B3603&lt;=Train_End)</f>
        <v>0</v>
      </c>
      <c r="T3603" s="84" t="n">
        <f aca="false">IF(AND(ISNUMBER(O3603),ISNUMBER(P3603)),Coef_A+Coef_B1*O3603+Coef_B2*P3603,"")</f>
        <v>22.3053401221018</v>
      </c>
      <c r="U3603" s="84" t="n">
        <f aca="false">IF(AND(R3603=1,ISNUMBER(T3603)),E3603-T3603,"")</f>
        <v>-1.90534012210176</v>
      </c>
      <c r="V3603" s="84" t="n">
        <f aca="false">IF(ISNUMBER(T3603),T3603,-99)</f>
        <v>22.3053401221018</v>
      </c>
      <c r="W3603" s="84" t="n">
        <f aca="false">IF(ISNUMBER(U3603),ABS(U3603),"")</f>
        <v>1.90534012210176</v>
      </c>
    </row>
    <row r="3604" customFormat="false" ht="15" hidden="false" customHeight="false" outlineLevel="0" collapsed="false">
      <c r="A3604" s="57" t="n">
        <v>37460</v>
      </c>
      <c r="B3604" s="56" t="n">
        <v>2002</v>
      </c>
      <c r="C3604" s="56" t="n">
        <v>7</v>
      </c>
      <c r="D3604" s="56" t="n">
        <v>84</v>
      </c>
      <c r="E3604" s="56" t="n">
        <v>20.3</v>
      </c>
      <c r="F3604" s="56" t="n">
        <v>0</v>
      </c>
      <c r="G3604" s="56" t="n">
        <v>14.3</v>
      </c>
      <c r="H3604" s="56" t="n">
        <v>0</v>
      </c>
      <c r="I3604" s="56" t="n">
        <v>17.4</v>
      </c>
      <c r="J3604" s="56" t="n">
        <v>0</v>
      </c>
      <c r="K3604" s="56" t="n">
        <v>1012.5</v>
      </c>
      <c r="L3604" s="56" t="n">
        <v>0</v>
      </c>
      <c r="M3604" s="56" t="n">
        <v>77</v>
      </c>
      <c r="N3604" s="56" t="n">
        <v>0.5</v>
      </c>
      <c r="O3604" s="56" t="n">
        <f aca="false">IF(D3604=1,"",E3603)</f>
        <v>20.4</v>
      </c>
      <c r="P3604" s="56" t="n">
        <f aca="false">IF(OR(D3604=1,K3603=""),"",K3603)</f>
        <v>1019.6</v>
      </c>
      <c r="Q3604" s="56" t="n">
        <f aca="false">IF(OR(F3604&lt;&gt;0,AND(I3604&lt;&gt;"",E3604&lt;I3604)),1,0)</f>
        <v>0</v>
      </c>
      <c r="R3604" s="56" t="n">
        <f aca="false">IF(AND(D3604&gt;1,Q3604=0,ISNUMBER(O3604),ISNUMBER(P3604)),IF(Q3603=0,1,0),0)</f>
        <v>1</v>
      </c>
      <c r="S3604" s="56" t="n">
        <f aca="false">R3604*(B3604&gt;=Train_Start)*(B3604&lt;=Train_End)</f>
        <v>0</v>
      </c>
      <c r="T3604" s="84" t="n">
        <f aca="false">IF(AND(ISNUMBER(O3604),ISNUMBER(P3604)),Coef_A+Coef_B1*O3604+Coef_B2*P3604,"")</f>
        <v>20.7862395288815</v>
      </c>
      <c r="U3604" s="84" t="n">
        <f aca="false">IF(AND(R3604=1,ISNUMBER(T3604)),E3604-T3604,"")</f>
        <v>-0.486239528881494</v>
      </c>
      <c r="V3604" s="84" t="n">
        <f aca="false">IF(ISNUMBER(T3604),T3604,-99)</f>
        <v>20.7862395288815</v>
      </c>
      <c r="W3604" s="84" t="n">
        <f aca="false">IF(ISNUMBER(U3604),ABS(U3604),"")</f>
        <v>0.486239528881494</v>
      </c>
    </row>
    <row r="3605" customFormat="false" ht="15" hidden="false" customHeight="false" outlineLevel="0" collapsed="false">
      <c r="A3605" s="57" t="n">
        <v>37461</v>
      </c>
      <c r="B3605" s="56" t="n">
        <v>2002</v>
      </c>
      <c r="C3605" s="56" t="n">
        <v>7</v>
      </c>
      <c r="D3605" s="56" t="n">
        <v>85</v>
      </c>
      <c r="E3605" s="56" t="n">
        <v>21.7</v>
      </c>
      <c r="F3605" s="56" t="n">
        <v>0</v>
      </c>
      <c r="G3605" s="56" t="n">
        <v>14.9</v>
      </c>
      <c r="H3605" s="56" t="n">
        <v>0</v>
      </c>
      <c r="I3605" s="56" t="n">
        <v>17.6</v>
      </c>
      <c r="J3605" s="56" t="n">
        <v>0</v>
      </c>
      <c r="K3605" s="56" t="n">
        <v>1016.2</v>
      </c>
      <c r="L3605" s="56" t="n">
        <v>0</v>
      </c>
      <c r="M3605" s="56" t="n">
        <v>65</v>
      </c>
      <c r="N3605" s="56" t="n">
        <v>5.1</v>
      </c>
      <c r="O3605" s="56" t="n">
        <f aca="false">IF(D3605=1,"",E3604)</f>
        <v>20.3</v>
      </c>
      <c r="P3605" s="56" t="n">
        <f aca="false">IF(OR(D3605=1,K3604=""),"",K3604)</f>
        <v>1012.5</v>
      </c>
      <c r="Q3605" s="56" t="n">
        <f aca="false">IF(OR(F3605&lt;&gt;0,AND(I3605&lt;&gt;"",E3605&lt;I3605)),1,0)</f>
        <v>0</v>
      </c>
      <c r="R3605" s="56" t="n">
        <f aca="false">IF(AND(D3605&gt;1,Q3605=0,ISNUMBER(O3605),ISNUMBER(P3605)),IF(Q3604=0,1,0),0)</f>
        <v>1</v>
      </c>
      <c r="S3605" s="56" t="n">
        <f aca="false">R3605*(B3605&gt;=Train_Start)*(B3605&lt;=Train_End)</f>
        <v>0</v>
      </c>
      <c r="T3605" s="84" t="n">
        <f aca="false">IF(AND(ISNUMBER(O3605),ISNUMBER(P3605)),Coef_A+Coef_B1*O3605+Coef_B2*P3605,"")</f>
        <v>20.4815793576759</v>
      </c>
      <c r="U3605" s="84" t="n">
        <f aca="false">IF(AND(R3605=1,ISNUMBER(T3605)),E3605-T3605,"")</f>
        <v>1.21842064232409</v>
      </c>
      <c r="V3605" s="84" t="n">
        <f aca="false">IF(ISNUMBER(T3605),T3605,-99)</f>
        <v>20.4815793576759</v>
      </c>
      <c r="W3605" s="84" t="n">
        <f aca="false">IF(ISNUMBER(U3605),ABS(U3605),"")</f>
        <v>1.21842064232409</v>
      </c>
    </row>
    <row r="3606" customFormat="false" ht="15" hidden="false" customHeight="false" outlineLevel="0" collapsed="false">
      <c r="A3606" s="57" t="n">
        <v>37462</v>
      </c>
      <c r="B3606" s="56" t="n">
        <v>2002</v>
      </c>
      <c r="C3606" s="56" t="n">
        <v>7</v>
      </c>
      <c r="D3606" s="56" t="n">
        <v>86</v>
      </c>
      <c r="E3606" s="56" t="n">
        <v>27.6</v>
      </c>
      <c r="F3606" s="56" t="n">
        <v>0</v>
      </c>
      <c r="G3606" s="56" t="n">
        <v>12.2</v>
      </c>
      <c r="H3606" s="56" t="n">
        <v>0</v>
      </c>
      <c r="I3606" s="56" t="n">
        <v>17</v>
      </c>
      <c r="J3606" s="56" t="n">
        <v>0</v>
      </c>
      <c r="K3606" s="56" t="n">
        <v>1016.5</v>
      </c>
      <c r="L3606" s="56" t="n">
        <v>0</v>
      </c>
      <c r="M3606" s="56" t="n">
        <v>69</v>
      </c>
      <c r="N3606" s="56" t="n">
        <v>3.6</v>
      </c>
      <c r="O3606" s="56" t="n">
        <f aca="false">IF(D3606=1,"",E3605)</f>
        <v>21.7</v>
      </c>
      <c r="P3606" s="56" t="n">
        <f aca="false">IF(OR(D3606=1,K3605=""),"",K3605)</f>
        <v>1016.2</v>
      </c>
      <c r="Q3606" s="56" t="n">
        <f aca="false">IF(OR(F3606&lt;&gt;0,AND(I3606&lt;&gt;"",E3606&lt;I3606)),1,0)</f>
        <v>0</v>
      </c>
      <c r="R3606" s="56" t="n">
        <f aca="false">IF(AND(D3606&gt;1,Q3606=0,ISNUMBER(O3606),ISNUMBER(P3606)),IF(Q3605=0,1,0),0)</f>
        <v>1</v>
      </c>
      <c r="S3606" s="56" t="n">
        <f aca="false">R3606*(B3606&gt;=Train_Start)*(B3606&lt;=Train_End)</f>
        <v>0</v>
      </c>
      <c r="T3606" s="84" t="n">
        <f aca="false">IF(AND(ISNUMBER(O3606),ISNUMBER(P3606)),Coef_A+Coef_B1*O3606+Coef_B2*P3606,"")</f>
        <v>21.7447228380814</v>
      </c>
      <c r="U3606" s="84" t="n">
        <f aca="false">IF(AND(R3606=1,ISNUMBER(T3606)),E3606-T3606,"")</f>
        <v>5.85527716191861</v>
      </c>
      <c r="V3606" s="84" t="n">
        <f aca="false">IF(ISNUMBER(T3606),T3606,-99)</f>
        <v>21.7447228380814</v>
      </c>
      <c r="W3606" s="84" t="n">
        <f aca="false">IF(ISNUMBER(U3606),ABS(U3606),"")</f>
        <v>5.85527716191861</v>
      </c>
    </row>
    <row r="3607" customFormat="false" ht="15" hidden="false" customHeight="false" outlineLevel="0" collapsed="false">
      <c r="A3607" s="57" t="n">
        <v>37463</v>
      </c>
      <c r="B3607" s="56" t="n">
        <v>2002</v>
      </c>
      <c r="C3607" s="56" t="n">
        <v>7</v>
      </c>
      <c r="D3607" s="56" t="n">
        <v>87</v>
      </c>
      <c r="E3607" s="56" t="n">
        <v>24.9</v>
      </c>
      <c r="F3607" s="56" t="n">
        <v>0</v>
      </c>
      <c r="G3607" s="56" t="n">
        <v>16.1</v>
      </c>
      <c r="H3607" s="56" t="n">
        <v>0</v>
      </c>
      <c r="I3607" s="56" t="n">
        <v>21.8</v>
      </c>
      <c r="J3607" s="56" t="n">
        <v>0</v>
      </c>
      <c r="K3607" s="56" t="n">
        <v>1016.6</v>
      </c>
      <c r="L3607" s="56" t="n">
        <v>0</v>
      </c>
      <c r="M3607" s="56" t="n">
        <v>71</v>
      </c>
      <c r="N3607" s="56" t="n">
        <v>10.6</v>
      </c>
      <c r="O3607" s="56" t="n">
        <f aca="false">IF(D3607=1,"",E3606)</f>
        <v>27.6</v>
      </c>
      <c r="P3607" s="56" t="n">
        <f aca="false">IF(OR(D3607=1,K3606=""),"",K3606)</f>
        <v>1016.5</v>
      </c>
      <c r="Q3607" s="56" t="n">
        <f aca="false">IF(OR(F3607&lt;&gt;0,AND(I3607&lt;&gt;"",E3607&lt;I3607)),1,0)</f>
        <v>0</v>
      </c>
      <c r="R3607" s="56" t="n">
        <f aca="false">IF(AND(D3607&gt;1,Q3607=0,ISNUMBER(O3607),ISNUMBER(P3607)),IF(Q3606=0,1,0),0)</f>
        <v>1</v>
      </c>
      <c r="S3607" s="56" t="n">
        <f aca="false">R3607*(B3607&gt;=Train_Start)*(B3607&lt;=Train_End)</f>
        <v>0</v>
      </c>
      <c r="T3607" s="84" t="n">
        <f aca="false">IF(AND(ISNUMBER(O3607),ISNUMBER(P3607)),Coef_A+Coef_B1*O3607+Coef_B2*P3607,"")</f>
        <v>26.5882350454233</v>
      </c>
      <c r="U3607" s="84" t="n">
        <f aca="false">IF(AND(R3607=1,ISNUMBER(T3607)),E3607-T3607,"")</f>
        <v>-1.68823504542327</v>
      </c>
      <c r="V3607" s="84" t="n">
        <f aca="false">IF(ISNUMBER(T3607),T3607,-99)</f>
        <v>26.5882350454233</v>
      </c>
      <c r="W3607" s="84" t="n">
        <f aca="false">IF(ISNUMBER(U3607),ABS(U3607),"")</f>
        <v>1.68823504542327</v>
      </c>
    </row>
    <row r="3608" customFormat="false" ht="15" hidden="false" customHeight="false" outlineLevel="0" collapsed="false">
      <c r="A3608" s="57" t="n">
        <v>37464</v>
      </c>
      <c r="B3608" s="56" t="n">
        <v>2002</v>
      </c>
      <c r="C3608" s="56" t="n">
        <v>7</v>
      </c>
      <c r="D3608" s="56" t="n">
        <v>88</v>
      </c>
      <c r="E3608" s="56" t="n">
        <v>29.7</v>
      </c>
      <c r="F3608" s="56" t="n">
        <v>0</v>
      </c>
      <c r="G3608" s="56" t="n">
        <v>15.6</v>
      </c>
      <c r="H3608" s="56" t="n">
        <v>0</v>
      </c>
      <c r="I3608" s="56" t="n">
        <v>20.2</v>
      </c>
      <c r="J3608" s="56" t="n">
        <v>0</v>
      </c>
      <c r="K3608" s="56" t="n">
        <v>1017.6</v>
      </c>
      <c r="L3608" s="56" t="n">
        <v>0</v>
      </c>
      <c r="M3608" s="56" t="n">
        <v>73</v>
      </c>
      <c r="N3608" s="56" t="n">
        <v>5.5</v>
      </c>
      <c r="O3608" s="56" t="n">
        <f aca="false">IF(D3608=1,"",E3607)</f>
        <v>24.9</v>
      </c>
      <c r="P3608" s="56" t="n">
        <f aca="false">IF(OR(D3608=1,K3607=""),"",K3607)</f>
        <v>1016.6</v>
      </c>
      <c r="Q3608" s="56" t="n">
        <f aca="false">IF(OR(F3608&lt;&gt;0,AND(I3608&lt;&gt;"",E3608&lt;I3608)),1,0)</f>
        <v>0</v>
      </c>
      <c r="R3608" s="56" t="n">
        <f aca="false">IF(AND(D3608&gt;1,Q3608=0,ISNUMBER(O3608),ISNUMBER(P3608)),IF(Q3607=0,1,0),0)</f>
        <v>1</v>
      </c>
      <c r="S3608" s="56" t="n">
        <f aca="false">R3608*(B3608&gt;=Train_Start)*(B3608&lt;=Train_End)</f>
        <v>0</v>
      </c>
      <c r="T3608" s="84" t="n">
        <f aca="false">IF(AND(ISNUMBER(O3608),ISNUMBER(P3608)),Coef_A+Coef_B1*O3608+Coef_B2*P3608,"")</f>
        <v>24.3791562136715</v>
      </c>
      <c r="U3608" s="84" t="n">
        <f aca="false">IF(AND(R3608=1,ISNUMBER(T3608)),E3608-T3608,"")</f>
        <v>5.32084378632851</v>
      </c>
      <c r="V3608" s="84" t="n">
        <f aca="false">IF(ISNUMBER(T3608),T3608,-99)</f>
        <v>24.3791562136715</v>
      </c>
      <c r="W3608" s="84" t="n">
        <f aca="false">IF(ISNUMBER(U3608),ABS(U3608),"")</f>
        <v>5.32084378632851</v>
      </c>
    </row>
    <row r="3609" customFormat="false" ht="15" hidden="false" customHeight="false" outlineLevel="0" collapsed="false">
      <c r="A3609" s="57" t="n">
        <v>37465</v>
      </c>
      <c r="B3609" s="56" t="n">
        <v>2002</v>
      </c>
      <c r="C3609" s="56" t="n">
        <v>7</v>
      </c>
      <c r="D3609" s="56" t="n">
        <v>89</v>
      </c>
      <c r="E3609" s="56" t="n">
        <v>32.5</v>
      </c>
      <c r="F3609" s="56" t="n">
        <v>0</v>
      </c>
      <c r="G3609" s="56" t="n">
        <v>17</v>
      </c>
      <c r="H3609" s="56" t="n">
        <v>0</v>
      </c>
      <c r="I3609" s="56" t="n">
        <v>23.4</v>
      </c>
      <c r="J3609" s="56" t="n">
        <v>0</v>
      </c>
      <c r="K3609" s="56" t="n">
        <v>1017.6</v>
      </c>
      <c r="L3609" s="56" t="n">
        <v>0</v>
      </c>
      <c r="M3609" s="56" t="n">
        <v>65</v>
      </c>
      <c r="N3609" s="56" t="n">
        <v>13.6</v>
      </c>
      <c r="O3609" s="56" t="n">
        <f aca="false">IF(D3609=1,"",E3608)</f>
        <v>29.7</v>
      </c>
      <c r="P3609" s="56" t="n">
        <f aca="false">IF(OR(D3609=1,K3608=""),"",K3608)</f>
        <v>1017.6</v>
      </c>
      <c r="Q3609" s="56" t="n">
        <f aca="false">IF(OR(F3609&lt;&gt;0,AND(I3609&lt;&gt;"",E3609&lt;I3609)),1,0)</f>
        <v>0</v>
      </c>
      <c r="R3609" s="56" t="n">
        <f aca="false">IF(AND(D3609&gt;1,Q3609=0,ISNUMBER(O3609),ISNUMBER(P3609)),IF(Q3608=0,1,0),0)</f>
        <v>1</v>
      </c>
      <c r="S3609" s="56" t="n">
        <f aca="false">R3609*(B3609&gt;=Train_Start)*(B3609&lt;=Train_End)</f>
        <v>0</v>
      </c>
      <c r="T3609" s="84" t="n">
        <f aca="false">IF(AND(ISNUMBER(O3609),ISNUMBER(P3609)),Coef_A+Coef_B1*O3609+Coef_B2*P3609,"")</f>
        <v>28.3433542349102</v>
      </c>
      <c r="U3609" s="84" t="n">
        <f aca="false">IF(AND(R3609=1,ISNUMBER(T3609)),E3609-T3609,"")</f>
        <v>4.15664576508977</v>
      </c>
      <c r="V3609" s="84" t="n">
        <f aca="false">IF(ISNUMBER(T3609),T3609,-99)</f>
        <v>28.3433542349102</v>
      </c>
      <c r="W3609" s="84" t="n">
        <f aca="false">IF(ISNUMBER(U3609),ABS(U3609),"")</f>
        <v>4.15664576508977</v>
      </c>
    </row>
    <row r="3610" customFormat="false" ht="15" hidden="false" customHeight="false" outlineLevel="0" collapsed="false">
      <c r="A3610" s="57" t="n">
        <v>37466</v>
      </c>
      <c r="B3610" s="56" t="n">
        <v>2002</v>
      </c>
      <c r="C3610" s="56" t="n">
        <v>7</v>
      </c>
      <c r="D3610" s="56" t="n">
        <v>90</v>
      </c>
      <c r="E3610" s="56" t="n">
        <v>25.4</v>
      </c>
      <c r="F3610" s="56" t="n">
        <v>0</v>
      </c>
      <c r="G3610" s="56" t="n">
        <v>18</v>
      </c>
      <c r="H3610" s="56" t="n">
        <v>0</v>
      </c>
      <c r="I3610" s="56" t="n">
        <v>25.2</v>
      </c>
      <c r="J3610" s="56" t="n">
        <v>0</v>
      </c>
      <c r="K3610" s="56" t="n">
        <v>1017.3</v>
      </c>
      <c r="L3610" s="56" t="n">
        <v>0</v>
      </c>
      <c r="M3610" s="56" t="n">
        <v>63</v>
      </c>
      <c r="N3610" s="56" t="n">
        <v>7.6</v>
      </c>
      <c r="O3610" s="56" t="n">
        <f aca="false">IF(D3610=1,"",E3609)</f>
        <v>32.5</v>
      </c>
      <c r="P3610" s="56" t="n">
        <f aca="false">IF(OR(D3610=1,K3609=""),"",K3609)</f>
        <v>1017.6</v>
      </c>
      <c r="Q3610" s="56" t="n">
        <f aca="false">IF(OR(F3610&lt;&gt;0,AND(I3610&lt;&gt;"",E3610&lt;I3610)),1,0)</f>
        <v>0</v>
      </c>
      <c r="R3610" s="56" t="n">
        <f aca="false">IF(AND(D3610&gt;1,Q3610=0,ISNUMBER(O3610),ISNUMBER(P3610)),IF(Q3609=0,1,0),0)</f>
        <v>1</v>
      </c>
      <c r="S3610" s="56" t="n">
        <f aca="false">R3610*(B3610&gt;=Train_Start)*(B3610&lt;=Train_End)</f>
        <v>0</v>
      </c>
      <c r="T3610" s="84" t="n">
        <f aca="false">IF(AND(ISNUMBER(O3610),ISNUMBER(P3610)),Coef_A+Coef_B1*O3610+Coef_B2*P3610,"")</f>
        <v>30.6375039754297</v>
      </c>
      <c r="U3610" s="84" t="n">
        <f aca="false">IF(AND(R3610=1,ISNUMBER(T3610)),E3610-T3610,"")</f>
        <v>-5.23750397542968</v>
      </c>
      <c r="V3610" s="84" t="n">
        <f aca="false">IF(ISNUMBER(T3610),T3610,-99)</f>
        <v>30.6375039754297</v>
      </c>
      <c r="W3610" s="84" t="n">
        <f aca="false">IF(ISNUMBER(U3610),ABS(U3610),"")</f>
        <v>5.23750397542968</v>
      </c>
    </row>
    <row r="3611" customFormat="false" ht="15" hidden="false" customHeight="false" outlineLevel="0" collapsed="false">
      <c r="A3611" s="57" t="n">
        <v>37467</v>
      </c>
      <c r="B3611" s="56" t="n">
        <v>2002</v>
      </c>
      <c r="C3611" s="56" t="n">
        <v>7</v>
      </c>
      <c r="D3611" s="56" t="n">
        <v>91</v>
      </c>
      <c r="E3611" s="56" t="n">
        <v>21.8</v>
      </c>
      <c r="F3611" s="56" t="n">
        <v>1</v>
      </c>
      <c r="G3611" s="56" t="n">
        <v>18.8</v>
      </c>
      <c r="H3611" s="56" t="n">
        <v>0</v>
      </c>
      <c r="I3611" s="56" t="n">
        <v>22.1</v>
      </c>
      <c r="J3611" s="56" t="n">
        <v>1</v>
      </c>
      <c r="K3611" s="56" t="n">
        <v>1011.6</v>
      </c>
      <c r="L3611" s="56" t="n">
        <v>0</v>
      </c>
      <c r="M3611" s="56" t="n">
        <v>74</v>
      </c>
      <c r="N3611" s="56" t="n">
        <v>2.1</v>
      </c>
      <c r="O3611" s="56" t="n">
        <f aca="false">IF(D3611=1,"",E3610)</f>
        <v>25.4</v>
      </c>
      <c r="P3611" s="56" t="n">
        <f aca="false">IF(OR(D3611=1,K3610=""),"",K3610)</f>
        <v>1017.3</v>
      </c>
      <c r="Q3611" s="56" t="n">
        <f aca="false">IF(OR(F3611&lt;&gt;0,AND(I3611&lt;&gt;"",E3611&lt;I3611)),1,0)</f>
        <v>1</v>
      </c>
      <c r="R3611" s="56" t="n">
        <f aca="false">IF(AND(D3611&gt;1,Q3611=0,ISNUMBER(O3611),ISNUMBER(P3611)),IF(Q3610=0,1,0),0)</f>
        <v>0</v>
      </c>
      <c r="S3611" s="56" t="n">
        <f aca="false">R3611*(B3611&gt;=Train_Start)*(B3611&lt;=Train_End)</f>
        <v>0</v>
      </c>
      <c r="T3611" s="84" t="n">
        <f aca="false">IF(AND(ISNUMBER(O3611),ISNUMBER(P3611)),Coef_A+Coef_B1*O3611+Coef_B2*P3611,"")</f>
        <v>24.8107847364366</v>
      </c>
      <c r="U3611" s="84" t="str">
        <f aca="false">IF(AND(R3611=1,ISNUMBER(T3611)),E3611-T3611,"")</f>
        <v/>
      </c>
      <c r="V3611" s="84" t="n">
        <f aca="false">IF(ISNUMBER(T3611),T3611,-99)</f>
        <v>24.8107847364366</v>
      </c>
      <c r="W3611" s="84" t="str">
        <f aca="false">IF(ISNUMBER(U3611),ABS(U3611),"")</f>
        <v/>
      </c>
    </row>
    <row r="3612" customFormat="false" ht="15" hidden="false" customHeight="false" outlineLevel="0" collapsed="false">
      <c r="A3612" s="57" t="n">
        <v>37468</v>
      </c>
      <c r="B3612" s="56" t="n">
        <v>2002</v>
      </c>
      <c r="C3612" s="56" t="n">
        <v>7</v>
      </c>
      <c r="D3612" s="56" t="n">
        <v>92</v>
      </c>
      <c r="E3612" s="56" t="n">
        <v>21.1</v>
      </c>
      <c r="F3612" s="56" t="n">
        <v>0</v>
      </c>
      <c r="G3612" s="56" t="n">
        <v>17.6</v>
      </c>
      <c r="H3612" s="56" t="n">
        <v>0</v>
      </c>
      <c r="I3612" s="56" t="n">
        <v>19.7</v>
      </c>
      <c r="J3612" s="56" t="n">
        <v>0</v>
      </c>
      <c r="K3612" s="56" t="n">
        <v>1007.9</v>
      </c>
      <c r="L3612" s="56" t="n">
        <v>0</v>
      </c>
      <c r="M3612" s="56" t="n">
        <v>89</v>
      </c>
      <c r="N3612" s="56" t="n">
        <v>0.7</v>
      </c>
      <c r="O3612" s="56" t="n">
        <f aca="false">IF(D3612=1,"",E3611)</f>
        <v>21.8</v>
      </c>
      <c r="P3612" s="56" t="n">
        <f aca="false">IF(OR(D3612=1,K3611=""),"",K3611)</f>
        <v>1011.6</v>
      </c>
      <c r="Q3612" s="56" t="n">
        <f aca="false">IF(OR(F3612&lt;&gt;0,AND(I3612&lt;&gt;"",E3612&lt;I3612)),1,0)</f>
        <v>0</v>
      </c>
      <c r="R3612" s="56" t="n">
        <f aca="false">IF(AND(D3612&gt;1,Q3612=0,ISNUMBER(O3612),ISNUMBER(P3612)),IF(Q3611=0,1,0),0)</f>
        <v>0</v>
      </c>
      <c r="S3612" s="56" t="n">
        <f aca="false">R3612*(B3612&gt;=Train_Start)*(B3612&lt;=Train_End)</f>
        <v>0</v>
      </c>
      <c r="T3612" s="84" t="n">
        <f aca="false">IF(AND(ISNUMBER(O3612),ISNUMBER(P3612)),Coef_A+Coef_B1*O3612+Coef_B2*P3612,"")</f>
        <v>21.6823552420693</v>
      </c>
      <c r="U3612" s="84" t="str">
        <f aca="false">IF(AND(R3612=1,ISNUMBER(T3612)),E3612-T3612,"")</f>
        <v/>
      </c>
      <c r="V3612" s="84" t="n">
        <f aca="false">IF(ISNUMBER(T3612),T3612,-99)</f>
        <v>21.6823552420693</v>
      </c>
      <c r="W3612" s="84" t="str">
        <f aca="false">IF(ISNUMBER(U3612),ABS(U3612),"")</f>
        <v/>
      </c>
    </row>
    <row r="3613" customFormat="false" ht="15" hidden="false" customHeight="false" outlineLevel="0" collapsed="false">
      <c r="A3613" s="57" t="n">
        <v>37469</v>
      </c>
      <c r="B3613" s="56" t="n">
        <v>2002</v>
      </c>
      <c r="C3613" s="56" t="n">
        <v>8</v>
      </c>
      <c r="D3613" s="56" t="n">
        <v>93</v>
      </c>
      <c r="E3613" s="56" t="n">
        <v>23.6</v>
      </c>
      <c r="F3613" s="56" t="n">
        <v>0</v>
      </c>
      <c r="G3613" s="56" t="n">
        <v>12.7</v>
      </c>
      <c r="H3613" s="56" t="n">
        <v>0</v>
      </c>
      <c r="I3613" s="56" t="n">
        <v>16.9</v>
      </c>
      <c r="J3613" s="56" t="n">
        <v>0</v>
      </c>
      <c r="K3613" s="56" t="n">
        <v>1011.8</v>
      </c>
      <c r="L3613" s="56" t="n">
        <v>0</v>
      </c>
      <c r="M3613" s="56" t="n">
        <v>71</v>
      </c>
      <c r="N3613" s="56" t="n">
        <v>2.7</v>
      </c>
      <c r="O3613" s="56" t="n">
        <f aca="false">IF(D3613=1,"",E3612)</f>
        <v>21.1</v>
      </c>
      <c r="P3613" s="56" t="n">
        <f aca="false">IF(OR(D3613=1,K3612=""),"",K3612)</f>
        <v>1007.9</v>
      </c>
      <c r="Q3613" s="56" t="n">
        <f aca="false">IF(OR(F3613&lt;&gt;0,AND(I3613&lt;&gt;"",E3613&lt;I3613)),1,0)</f>
        <v>0</v>
      </c>
      <c r="R3613" s="56" t="n">
        <f aca="false">IF(AND(D3613&gt;1,Q3613=0,ISNUMBER(O3613),ISNUMBER(P3613)),IF(Q3612=0,1,0),0)</f>
        <v>1</v>
      </c>
      <c r="S3613" s="56" t="n">
        <f aca="false">R3613*(B3613&gt;=Train_Start)*(B3613&lt;=Train_End)</f>
        <v>0</v>
      </c>
      <c r="T3613" s="84" t="n">
        <f aca="false">IF(AND(ISNUMBER(O3613),ISNUMBER(P3613)),Coef_A+Coef_B1*O3613+Coef_B2*P3613,"")</f>
        <v>20.9927491967937</v>
      </c>
      <c r="U3613" s="84" t="n">
        <f aca="false">IF(AND(R3613=1,ISNUMBER(T3613)),E3613-T3613,"")</f>
        <v>2.60725080320632</v>
      </c>
      <c r="V3613" s="84" t="n">
        <f aca="false">IF(ISNUMBER(T3613),T3613,-99)</f>
        <v>20.9927491967937</v>
      </c>
      <c r="W3613" s="84" t="n">
        <f aca="false">IF(ISNUMBER(U3613),ABS(U3613),"")</f>
        <v>2.60725080320632</v>
      </c>
    </row>
    <row r="3614" customFormat="false" ht="15" hidden="false" customHeight="false" outlineLevel="0" collapsed="false">
      <c r="A3614" s="57" t="n">
        <v>37470</v>
      </c>
      <c r="B3614" s="56" t="n">
        <v>2002</v>
      </c>
      <c r="C3614" s="56" t="n">
        <v>8</v>
      </c>
      <c r="D3614" s="56" t="n">
        <v>94</v>
      </c>
      <c r="E3614" s="56" t="n">
        <v>19.3</v>
      </c>
      <c r="F3614" s="56" t="n">
        <v>0</v>
      </c>
      <c r="G3614" s="56" t="n">
        <v>12.1</v>
      </c>
      <c r="H3614" s="56" t="n">
        <v>0</v>
      </c>
      <c r="I3614" s="56" t="n">
        <v>17.8</v>
      </c>
      <c r="J3614" s="56" t="n">
        <v>0</v>
      </c>
      <c r="K3614" s="56" t="n">
        <v>1010.8</v>
      </c>
      <c r="L3614" s="56" t="n">
        <v>0</v>
      </c>
      <c r="M3614" s="56" t="n">
        <v>68</v>
      </c>
      <c r="N3614" s="56" t="n">
        <v>11.5</v>
      </c>
      <c r="O3614" s="56" t="n">
        <f aca="false">IF(D3614=1,"",E3613)</f>
        <v>23.6</v>
      </c>
      <c r="P3614" s="56" t="n">
        <f aca="false">IF(OR(D3614=1,K3613=""),"",K3613)</f>
        <v>1011.8</v>
      </c>
      <c r="Q3614" s="56" t="n">
        <f aca="false">IF(OR(F3614&lt;&gt;0,AND(I3614&lt;&gt;"",E3614&lt;I3614)),1,0)</f>
        <v>0</v>
      </c>
      <c r="R3614" s="56" t="n">
        <f aca="false">IF(AND(D3614&gt;1,Q3614=0,ISNUMBER(O3614),ISNUMBER(P3614)),IF(Q3613=0,1,0),0)</f>
        <v>1</v>
      </c>
      <c r="S3614" s="56" t="n">
        <f aca="false">R3614*(B3614&gt;=Train_Start)*(B3614&lt;=Train_End)</f>
        <v>0</v>
      </c>
      <c r="T3614" s="84" t="n">
        <f aca="false">IF(AND(ISNUMBER(O3614),ISNUMBER(P3614)),Coef_A+Coef_B1*O3614+Coef_B2*P3614,"")</f>
        <v>23.1634397684729</v>
      </c>
      <c r="U3614" s="84" t="n">
        <f aca="false">IF(AND(R3614=1,ISNUMBER(T3614)),E3614-T3614,"")</f>
        <v>-3.86343976847288</v>
      </c>
      <c r="V3614" s="84" t="n">
        <f aca="false">IF(ISNUMBER(T3614),T3614,-99)</f>
        <v>23.1634397684729</v>
      </c>
      <c r="W3614" s="84" t="n">
        <f aca="false">IF(ISNUMBER(U3614),ABS(U3614),"")</f>
        <v>3.86343976847288</v>
      </c>
    </row>
    <row r="3615" customFormat="false" ht="15" hidden="false" customHeight="false" outlineLevel="0" collapsed="false">
      <c r="A3615" s="57" t="n">
        <v>37471</v>
      </c>
      <c r="B3615" s="56" t="n">
        <v>2002</v>
      </c>
      <c r="C3615" s="56" t="n">
        <v>8</v>
      </c>
      <c r="D3615" s="56" t="n">
        <v>95</v>
      </c>
      <c r="E3615" s="56" t="n">
        <v>21.8</v>
      </c>
      <c r="F3615" s="56" t="n">
        <v>0</v>
      </c>
      <c r="G3615" s="56" t="n">
        <v>15.3</v>
      </c>
      <c r="H3615" s="56" t="n">
        <v>0</v>
      </c>
      <c r="I3615" s="56" t="n">
        <v>17.3</v>
      </c>
      <c r="J3615" s="56" t="n">
        <v>0</v>
      </c>
      <c r="K3615" s="56" t="n">
        <v>1011.4</v>
      </c>
      <c r="L3615" s="56" t="n">
        <v>0</v>
      </c>
      <c r="M3615" s="56" t="n">
        <v>81</v>
      </c>
      <c r="N3615" s="56" t="n">
        <v>2.1</v>
      </c>
      <c r="O3615" s="56" t="n">
        <f aca="false">IF(D3615=1,"",E3614)</f>
        <v>19.3</v>
      </c>
      <c r="P3615" s="56" t="n">
        <f aca="false">IF(OR(D3615=1,K3614=""),"",K3614)</f>
        <v>1010.8</v>
      </c>
      <c r="Q3615" s="56" t="n">
        <f aca="false">IF(OR(F3615&lt;&gt;0,AND(I3615&lt;&gt;"",E3615&lt;I3615)),1,0)</f>
        <v>0</v>
      </c>
      <c r="R3615" s="56" t="n">
        <f aca="false">IF(AND(D3615&gt;1,Q3615=0,ISNUMBER(O3615),ISNUMBER(P3615)),IF(Q3614=0,1,0),0)</f>
        <v>1</v>
      </c>
      <c r="S3615" s="56" t="n">
        <f aca="false">R3615*(B3615&gt;=Train_Start)*(B3615&lt;=Train_End)</f>
        <v>0</v>
      </c>
      <c r="T3615" s="84" t="n">
        <f aca="false">IF(AND(ISNUMBER(O3615),ISNUMBER(P3615)),Coef_A+Coef_B1*O3615+Coef_B2*P3615,"")</f>
        <v>19.6089113437555</v>
      </c>
      <c r="U3615" s="84" t="n">
        <f aca="false">IF(AND(R3615=1,ISNUMBER(T3615)),E3615-T3615,"")</f>
        <v>2.19108865624454</v>
      </c>
      <c r="V3615" s="84" t="n">
        <f aca="false">IF(ISNUMBER(T3615),T3615,-99)</f>
        <v>19.6089113437555</v>
      </c>
      <c r="W3615" s="84" t="n">
        <f aca="false">IF(ISNUMBER(U3615),ABS(U3615),"")</f>
        <v>2.19108865624454</v>
      </c>
    </row>
    <row r="3616" customFormat="false" ht="15" hidden="false" customHeight="false" outlineLevel="0" collapsed="false">
      <c r="A3616" s="57" t="n">
        <v>37472</v>
      </c>
      <c r="B3616" s="56" t="n">
        <v>2002</v>
      </c>
      <c r="C3616" s="56" t="n">
        <v>8</v>
      </c>
      <c r="D3616" s="56" t="n">
        <v>96</v>
      </c>
      <c r="E3616" s="56" t="n">
        <v>21.3</v>
      </c>
      <c r="F3616" s="56" t="n">
        <v>0</v>
      </c>
      <c r="G3616" s="56" t="n">
        <v>12.8</v>
      </c>
      <c r="H3616" s="56" t="n">
        <v>0</v>
      </c>
      <c r="I3616" s="56" t="n">
        <v>17.3</v>
      </c>
      <c r="J3616" s="56" t="n">
        <v>0</v>
      </c>
      <c r="K3616" s="56" t="n">
        <v>1012.1</v>
      </c>
      <c r="L3616" s="56" t="n">
        <v>0</v>
      </c>
      <c r="M3616" s="56" t="n">
        <v>85</v>
      </c>
      <c r="N3616" s="56" t="n">
        <v>4.9</v>
      </c>
      <c r="O3616" s="56" t="n">
        <f aca="false">IF(D3616=1,"",E3615)</f>
        <v>21.8</v>
      </c>
      <c r="P3616" s="56" t="n">
        <f aca="false">IF(OR(D3616=1,K3615=""),"",K3615)</f>
        <v>1011.4</v>
      </c>
      <c r="Q3616" s="56" t="n">
        <f aca="false">IF(OR(F3616&lt;&gt;0,AND(I3616&lt;&gt;"",E3616&lt;I3616)),1,0)</f>
        <v>0</v>
      </c>
      <c r="R3616" s="56" t="n">
        <f aca="false">IF(AND(D3616&gt;1,Q3616=0,ISNUMBER(O3616),ISNUMBER(P3616)),IF(Q3615=0,1,0),0)</f>
        <v>1</v>
      </c>
      <c r="S3616" s="56" t="n">
        <f aca="false">R3616*(B3616&gt;=Train_Start)*(B3616&lt;=Train_End)</f>
        <v>0</v>
      </c>
      <c r="T3616" s="84" t="n">
        <f aca="false">IF(AND(ISNUMBER(O3616),ISNUMBER(P3616)),Coef_A+Coef_B1*O3616+Coef_B2*P3616,"")</f>
        <v>21.6760812631425</v>
      </c>
      <c r="U3616" s="84" t="n">
        <f aca="false">IF(AND(R3616=1,ISNUMBER(T3616)),E3616-T3616,"")</f>
        <v>-0.376081263142503</v>
      </c>
      <c r="V3616" s="84" t="n">
        <f aca="false">IF(ISNUMBER(T3616),T3616,-99)</f>
        <v>21.6760812631425</v>
      </c>
      <c r="W3616" s="84" t="n">
        <f aca="false">IF(ISNUMBER(U3616),ABS(U3616),"")</f>
        <v>0.376081263142503</v>
      </c>
    </row>
    <row r="3617" customFormat="false" ht="15" hidden="false" customHeight="false" outlineLevel="0" collapsed="false">
      <c r="A3617" s="57" t="n">
        <v>37473</v>
      </c>
      <c r="B3617" s="56" t="n">
        <v>2002</v>
      </c>
      <c r="C3617" s="56" t="n">
        <v>8</v>
      </c>
      <c r="D3617" s="56" t="n">
        <v>97</v>
      </c>
      <c r="E3617" s="56" t="n">
        <v>24</v>
      </c>
      <c r="F3617" s="56" t="n">
        <v>0</v>
      </c>
      <c r="G3617" s="56" t="n">
        <v>12.3</v>
      </c>
      <c r="H3617" s="56" t="n">
        <v>0</v>
      </c>
      <c r="I3617" s="56" t="n">
        <v>16.8</v>
      </c>
      <c r="J3617" s="56" t="n">
        <v>0</v>
      </c>
      <c r="K3617" s="56" t="n">
        <v>1014.5</v>
      </c>
      <c r="L3617" s="56" t="n">
        <v>0</v>
      </c>
      <c r="M3617" s="56" t="n">
        <v>84</v>
      </c>
      <c r="N3617" s="56" t="n">
        <v>3.1</v>
      </c>
      <c r="O3617" s="56" t="n">
        <f aca="false">IF(D3617=1,"",E3616)</f>
        <v>21.3</v>
      </c>
      <c r="P3617" s="56" t="n">
        <f aca="false">IF(OR(D3617=1,K3616=""),"",K3616)</f>
        <v>1012.1</v>
      </c>
      <c r="Q3617" s="56" t="n">
        <f aca="false">IF(OR(F3617&lt;&gt;0,AND(I3617&lt;&gt;"",E3617&lt;I3617)),1,0)</f>
        <v>0</v>
      </c>
      <c r="R3617" s="56" t="n">
        <f aca="false">IF(AND(D3617&gt;1,Q3617=0,ISNUMBER(O3617),ISNUMBER(P3617)),IF(Q3616=0,1,0),0)</f>
        <v>1</v>
      </c>
      <c r="S3617" s="56" t="n">
        <f aca="false">R3617*(B3617&gt;=Train_Start)*(B3617&lt;=Train_End)</f>
        <v>0</v>
      </c>
      <c r="T3617" s="84" t="n">
        <f aca="false">IF(AND(ISNUMBER(O3617),ISNUMBER(P3617)),Coef_A+Coef_B1*O3617+Coef_B2*P3617,"")</f>
        <v>21.288370592865</v>
      </c>
      <c r="U3617" s="84" t="n">
        <f aca="false">IF(AND(R3617=1,ISNUMBER(T3617)),E3617-T3617,"")</f>
        <v>2.71162940713503</v>
      </c>
      <c r="V3617" s="84" t="n">
        <f aca="false">IF(ISNUMBER(T3617),T3617,-99)</f>
        <v>21.288370592865</v>
      </c>
      <c r="W3617" s="84" t="n">
        <f aca="false">IF(ISNUMBER(U3617),ABS(U3617),"")</f>
        <v>2.71162940713503</v>
      </c>
    </row>
    <row r="3618" customFormat="false" ht="15" hidden="false" customHeight="false" outlineLevel="0" collapsed="false">
      <c r="A3618" s="57" t="n">
        <v>37474</v>
      </c>
      <c r="B3618" s="56" t="n">
        <v>2002</v>
      </c>
      <c r="C3618" s="56" t="n">
        <v>8</v>
      </c>
      <c r="D3618" s="56" t="n">
        <v>98</v>
      </c>
      <c r="E3618" s="56" t="n">
        <v>26.7</v>
      </c>
      <c r="F3618" s="56" t="n">
        <v>0</v>
      </c>
      <c r="G3618" s="56" t="n">
        <v>15.1</v>
      </c>
      <c r="H3618" s="56" t="n">
        <v>0</v>
      </c>
      <c r="I3618" s="56" t="n">
        <v>19.6</v>
      </c>
      <c r="J3618" s="56" t="n">
        <v>0</v>
      </c>
      <c r="K3618" s="56" t="n">
        <v>1016.7</v>
      </c>
      <c r="L3618" s="56" t="n">
        <v>0</v>
      </c>
      <c r="M3618" s="56" t="n">
        <v>75</v>
      </c>
      <c r="N3618" s="56" t="n">
        <v>5.1</v>
      </c>
      <c r="O3618" s="56" t="n">
        <f aca="false">IF(D3618=1,"",E3617)</f>
        <v>24</v>
      </c>
      <c r="P3618" s="56" t="n">
        <f aca="false">IF(OR(D3618=1,K3617=""),"",K3617)</f>
        <v>1014.5</v>
      </c>
      <c r="Q3618" s="56" t="n">
        <f aca="false">IF(OR(F3618&lt;&gt;0,AND(I3618&lt;&gt;"",E3618&lt;I3618)),1,0)</f>
        <v>0</v>
      </c>
      <c r="R3618" s="56" t="n">
        <f aca="false">IF(AND(D3618&gt;1,Q3618=0,ISNUMBER(O3618),ISNUMBER(P3618)),IF(Q3617=0,1,0),0)</f>
        <v>1</v>
      </c>
      <c r="S3618" s="56" t="n">
        <f aca="false">R3618*(B3618&gt;=Train_Start)*(B3618&lt;=Train_End)</f>
        <v>0</v>
      </c>
      <c r="T3618" s="84" t="n">
        <f aca="false">IF(AND(ISNUMBER(O3618),ISNUMBER(P3618)),Coef_A+Coef_B1*O3618+Coef_B2*P3618,"")</f>
        <v>23.5758741612017</v>
      </c>
      <c r="U3618" s="84" t="n">
        <f aca="false">IF(AND(R3618=1,ISNUMBER(T3618)),E3618-T3618,"")</f>
        <v>3.12412583879828</v>
      </c>
      <c r="V3618" s="84" t="n">
        <f aca="false">IF(ISNUMBER(T3618),T3618,-99)</f>
        <v>23.5758741612017</v>
      </c>
      <c r="W3618" s="84" t="n">
        <f aca="false">IF(ISNUMBER(U3618),ABS(U3618),"")</f>
        <v>3.12412583879828</v>
      </c>
    </row>
    <row r="3619" customFormat="false" ht="15" hidden="false" customHeight="false" outlineLevel="0" collapsed="false">
      <c r="A3619" s="57" t="n">
        <v>37475</v>
      </c>
      <c r="B3619" s="56" t="n">
        <v>2002</v>
      </c>
      <c r="C3619" s="56" t="n">
        <v>8</v>
      </c>
      <c r="D3619" s="56" t="n">
        <v>99</v>
      </c>
      <c r="E3619" s="56" t="n">
        <v>20.4</v>
      </c>
      <c r="F3619" s="56" t="n">
        <v>1</v>
      </c>
      <c r="G3619" s="56" t="n">
        <v>16.1</v>
      </c>
      <c r="H3619" s="56" t="n">
        <v>0</v>
      </c>
      <c r="I3619" s="56" t="n">
        <v>21.4</v>
      </c>
      <c r="J3619" s="56" t="n">
        <v>1</v>
      </c>
      <c r="K3619" s="56" t="n">
        <v>1017</v>
      </c>
      <c r="L3619" s="56" t="n">
        <v>0</v>
      </c>
      <c r="M3619" s="56" t="n">
        <v>75</v>
      </c>
      <c r="N3619" s="56" t="n">
        <v>9</v>
      </c>
      <c r="O3619" s="56" t="n">
        <f aca="false">IF(D3619=1,"",E3618)</f>
        <v>26.7</v>
      </c>
      <c r="P3619" s="56" t="n">
        <f aca="false">IF(OR(D3619=1,K3618=""),"",K3618)</f>
        <v>1016.7</v>
      </c>
      <c r="Q3619" s="56" t="n">
        <f aca="false">IF(OR(F3619&lt;&gt;0,AND(I3619&lt;&gt;"",E3619&lt;I3619)),1,0)</f>
        <v>1</v>
      </c>
      <c r="R3619" s="56" t="n">
        <f aca="false">IF(AND(D3619&gt;1,Q3619=0,ISNUMBER(O3619),ISNUMBER(P3619)),IF(Q3618=0,1,0),0)</f>
        <v>0</v>
      </c>
      <c r="S3619" s="56" t="n">
        <f aca="false">R3619*(B3619&gt;=Train_Start)*(B3619&lt;=Train_End)</f>
        <v>0</v>
      </c>
      <c r="T3619" s="84" t="n">
        <f aca="false">IF(AND(ISNUMBER(O3619),ISNUMBER(P3619)),Coef_A+Coef_B1*O3619+Coef_B2*P3619,"")</f>
        <v>25.8571037506117</v>
      </c>
      <c r="U3619" s="84" t="str">
        <f aca="false">IF(AND(R3619=1,ISNUMBER(T3619)),E3619-T3619,"")</f>
        <v/>
      </c>
      <c r="V3619" s="84" t="n">
        <f aca="false">IF(ISNUMBER(T3619),T3619,-99)</f>
        <v>25.8571037506117</v>
      </c>
      <c r="W3619" s="84" t="str">
        <f aca="false">IF(ISNUMBER(U3619),ABS(U3619),"")</f>
        <v/>
      </c>
    </row>
    <row r="3620" customFormat="false" ht="15" hidden="false" customHeight="false" outlineLevel="0" collapsed="false">
      <c r="A3620" s="57" t="n">
        <v>37476</v>
      </c>
      <c r="B3620" s="56" t="n">
        <v>2002</v>
      </c>
      <c r="C3620" s="56" t="n">
        <v>8</v>
      </c>
      <c r="D3620" s="56" t="n">
        <v>100</v>
      </c>
      <c r="E3620" s="56" t="n">
        <v>19.7</v>
      </c>
      <c r="F3620" s="56" t="n">
        <v>0</v>
      </c>
      <c r="G3620" s="56" t="n">
        <v>15.4</v>
      </c>
      <c r="H3620" s="56" t="n">
        <v>0</v>
      </c>
      <c r="I3620" s="56" t="n">
        <v>17.9</v>
      </c>
      <c r="J3620" s="56" t="n">
        <v>0</v>
      </c>
      <c r="K3620" s="56" t="n">
        <v>1011</v>
      </c>
      <c r="L3620" s="56" t="n">
        <v>0</v>
      </c>
      <c r="M3620" s="56" t="n">
        <v>85</v>
      </c>
      <c r="N3620" s="56" t="n">
        <v>0.7</v>
      </c>
      <c r="O3620" s="56" t="n">
        <f aca="false">IF(D3620=1,"",E3619)</f>
        <v>20.4</v>
      </c>
      <c r="P3620" s="56" t="n">
        <f aca="false">IF(OR(D3620=1,K3619=""),"",K3619)</f>
        <v>1017</v>
      </c>
      <c r="Q3620" s="56" t="n">
        <f aca="false">IF(OR(F3620&lt;&gt;0,AND(I3620&lt;&gt;"",E3620&lt;I3620)),1,0)</f>
        <v>0</v>
      </c>
      <c r="R3620" s="56" t="n">
        <f aca="false">IF(AND(D3620&gt;1,Q3620=0,ISNUMBER(O3620),ISNUMBER(P3620)),IF(Q3619=0,1,0),0)</f>
        <v>0</v>
      </c>
      <c r="S3620" s="56" t="n">
        <f aca="false">R3620*(B3620&gt;=Train_Start)*(B3620&lt;=Train_End)</f>
        <v>0</v>
      </c>
      <c r="T3620" s="84" t="n">
        <f aca="false">IF(AND(ISNUMBER(O3620),ISNUMBER(P3620)),Coef_A+Coef_B1*O3620+Coef_B2*P3620,"")</f>
        <v>20.7046778028331</v>
      </c>
      <c r="U3620" s="84" t="str">
        <f aca="false">IF(AND(R3620=1,ISNUMBER(T3620)),E3620-T3620,"")</f>
        <v/>
      </c>
      <c r="V3620" s="84" t="n">
        <f aca="false">IF(ISNUMBER(T3620),T3620,-99)</f>
        <v>20.7046778028331</v>
      </c>
      <c r="W3620" s="84" t="str">
        <f aca="false">IF(ISNUMBER(U3620),ABS(U3620),"")</f>
        <v/>
      </c>
    </row>
    <row r="3621" customFormat="false" ht="15" hidden="false" customHeight="false" outlineLevel="0" collapsed="false">
      <c r="A3621" s="57" t="n">
        <v>37477</v>
      </c>
      <c r="B3621" s="56" t="n">
        <v>2002</v>
      </c>
      <c r="C3621" s="56" t="n">
        <v>8</v>
      </c>
      <c r="D3621" s="56" t="n">
        <v>101</v>
      </c>
      <c r="E3621" s="56" t="n">
        <v>22.1</v>
      </c>
      <c r="F3621" s="56" t="n">
        <v>0</v>
      </c>
      <c r="G3621" s="56" t="n">
        <v>13.9</v>
      </c>
      <c r="H3621" s="56" t="n">
        <v>0</v>
      </c>
      <c r="I3621" s="56" t="n">
        <v>16.8</v>
      </c>
      <c r="J3621" s="56" t="n">
        <v>0</v>
      </c>
      <c r="K3621" s="56" t="n">
        <v>1002.4</v>
      </c>
      <c r="L3621" s="56" t="n">
        <v>0</v>
      </c>
      <c r="M3621" s="56" t="n">
        <v>87</v>
      </c>
      <c r="N3621" s="56" t="n">
        <v>2.6</v>
      </c>
      <c r="O3621" s="56" t="n">
        <f aca="false">IF(D3621=1,"",E3620)</f>
        <v>19.7</v>
      </c>
      <c r="P3621" s="56" t="n">
        <f aca="false">IF(OR(D3621=1,K3620=""),"",K3620)</f>
        <v>1011</v>
      </c>
      <c r="Q3621" s="56" t="n">
        <f aca="false">IF(OR(F3621&lt;&gt;0,AND(I3621&lt;&gt;"",E3621&lt;I3621)),1,0)</f>
        <v>0</v>
      </c>
      <c r="R3621" s="56" t="n">
        <f aca="false">IF(AND(D3621&gt;1,Q3621=0,ISNUMBER(O3621),ISNUMBER(P3621)),IF(Q3620=0,1,0),0)</f>
        <v>1</v>
      </c>
      <c r="S3621" s="56" t="n">
        <f aca="false">R3621*(B3621&gt;=Train_Start)*(B3621&lt;=Train_End)</f>
        <v>0</v>
      </c>
      <c r="T3621" s="84" t="n">
        <f aca="false">IF(AND(ISNUMBER(O3621),ISNUMBER(P3621)),Coef_A+Coef_B1*O3621+Coef_B2*P3621,"")</f>
        <v>19.9429209998993</v>
      </c>
      <c r="U3621" s="84" t="n">
        <f aca="false">IF(AND(R3621=1,ISNUMBER(T3621)),E3621-T3621,"")</f>
        <v>2.15707900010068</v>
      </c>
      <c r="V3621" s="84" t="n">
        <f aca="false">IF(ISNUMBER(T3621),T3621,-99)</f>
        <v>19.9429209998993</v>
      </c>
      <c r="W3621" s="84" t="n">
        <f aca="false">IF(ISNUMBER(U3621),ABS(U3621),"")</f>
        <v>2.15707900010068</v>
      </c>
    </row>
    <row r="3622" customFormat="false" ht="15" hidden="false" customHeight="false" outlineLevel="0" collapsed="false">
      <c r="A3622" s="57" t="n">
        <v>37478</v>
      </c>
      <c r="B3622" s="56" t="n">
        <v>2002</v>
      </c>
      <c r="C3622" s="56" t="n">
        <v>8</v>
      </c>
      <c r="D3622" s="56" t="n">
        <v>102</v>
      </c>
      <c r="E3622" s="56" t="n">
        <v>21.9</v>
      </c>
      <c r="F3622" s="56" t="n">
        <v>0</v>
      </c>
      <c r="G3622" s="56" t="n">
        <v>14.1</v>
      </c>
      <c r="H3622" s="56" t="n">
        <v>0</v>
      </c>
      <c r="I3622" s="56" t="n">
        <v>18.1</v>
      </c>
      <c r="J3622" s="56" t="n">
        <v>0</v>
      </c>
      <c r="K3622" s="56" t="n">
        <v>1004.9</v>
      </c>
      <c r="L3622" s="56" t="n">
        <v>0</v>
      </c>
      <c r="M3622" s="56" t="n">
        <v>81</v>
      </c>
      <c r="N3622" s="56" t="n">
        <v>4.5</v>
      </c>
      <c r="O3622" s="56" t="n">
        <f aca="false">IF(D3622=1,"",E3621)</f>
        <v>22.1</v>
      </c>
      <c r="P3622" s="56" t="n">
        <f aca="false">IF(OR(D3622=1,K3621=""),"",K3621)</f>
        <v>1002.4</v>
      </c>
      <c r="Q3622" s="56" t="n">
        <f aca="false">IF(OR(F3622&lt;&gt;0,AND(I3622&lt;&gt;"",E3622&lt;I3622)),1,0)</f>
        <v>0</v>
      </c>
      <c r="R3622" s="56" t="n">
        <f aca="false">IF(AND(D3622&gt;1,Q3622=0,ISNUMBER(O3622),ISNUMBER(P3622)),IF(Q3621=0,1,0),0)</f>
        <v>1</v>
      </c>
      <c r="S3622" s="56" t="n">
        <f aca="false">R3622*(B3622&gt;=Train_Start)*(B3622&lt;=Train_End)</f>
        <v>0</v>
      </c>
      <c r="T3622" s="84" t="n">
        <f aca="false">IF(AND(ISNUMBER(O3622),ISNUMBER(P3622)),Coef_A+Coef_B1*O3622+Coef_B2*P3622,"")</f>
        <v>21.6395539693494</v>
      </c>
      <c r="U3622" s="84" t="n">
        <f aca="false">IF(AND(R3622=1,ISNUMBER(T3622)),E3622-T3622,"")</f>
        <v>0.260446030650602</v>
      </c>
      <c r="V3622" s="84" t="n">
        <f aca="false">IF(ISNUMBER(T3622),T3622,-99)</f>
        <v>21.6395539693494</v>
      </c>
      <c r="W3622" s="84" t="n">
        <f aca="false">IF(ISNUMBER(U3622),ABS(U3622),"")</f>
        <v>0.260446030650602</v>
      </c>
    </row>
    <row r="3623" customFormat="false" ht="15" hidden="false" customHeight="false" outlineLevel="0" collapsed="false">
      <c r="A3623" s="57" t="n">
        <v>37479</v>
      </c>
      <c r="B3623" s="56" t="n">
        <v>2002</v>
      </c>
      <c r="C3623" s="56" t="n">
        <v>8</v>
      </c>
      <c r="D3623" s="56" t="n">
        <v>103</v>
      </c>
      <c r="E3623" s="56" t="n">
        <v>22.6</v>
      </c>
      <c r="F3623" s="56" t="n">
        <v>0</v>
      </c>
      <c r="G3623" s="56" t="n">
        <v>13.8</v>
      </c>
      <c r="H3623" s="56" t="n">
        <v>0</v>
      </c>
      <c r="I3623" s="56" t="n">
        <v>17.8</v>
      </c>
      <c r="J3623" s="56" t="n">
        <v>0</v>
      </c>
      <c r="K3623" s="56" t="n">
        <v>1007.3</v>
      </c>
      <c r="L3623" s="56" t="n">
        <v>0</v>
      </c>
      <c r="M3623" s="56" t="n">
        <v>81</v>
      </c>
      <c r="N3623" s="56" t="n">
        <v>4</v>
      </c>
      <c r="O3623" s="56" t="n">
        <f aca="false">IF(D3623=1,"",E3622)</f>
        <v>21.9</v>
      </c>
      <c r="P3623" s="56" t="n">
        <f aca="false">IF(OR(D3623=1,K3622=""),"",K3622)</f>
        <v>1004.9</v>
      </c>
      <c r="Q3623" s="56" t="n">
        <f aca="false">IF(OR(F3623&lt;&gt;0,AND(I3623&lt;&gt;"",E3623&lt;I3623)),1,0)</f>
        <v>0</v>
      </c>
      <c r="R3623" s="56" t="n">
        <f aca="false">IF(AND(D3623&gt;1,Q3623=0,ISNUMBER(O3623),ISNUMBER(P3623)),IF(Q3622=0,1,0),0)</f>
        <v>1</v>
      </c>
      <c r="S3623" s="56" t="n">
        <f aca="false">R3623*(B3623&gt;=Train_Start)*(B3623&lt;=Train_End)</f>
        <v>0</v>
      </c>
      <c r="T3623" s="84" t="n">
        <f aca="false">IF(AND(ISNUMBER(O3623),ISNUMBER(P3623)),Coef_A+Coef_B1*O3623+Coef_B2*P3623,"")</f>
        <v>21.5541108673258</v>
      </c>
      <c r="U3623" s="84" t="n">
        <f aca="false">IF(AND(R3623=1,ISNUMBER(T3623)),E3623-T3623,"")</f>
        <v>1.04588913267416</v>
      </c>
      <c r="V3623" s="84" t="n">
        <f aca="false">IF(ISNUMBER(T3623),T3623,-99)</f>
        <v>21.5541108673258</v>
      </c>
      <c r="W3623" s="84" t="n">
        <f aca="false">IF(ISNUMBER(U3623),ABS(U3623),"")</f>
        <v>1.04588913267416</v>
      </c>
    </row>
    <row r="3624" customFormat="false" ht="15" hidden="false" customHeight="false" outlineLevel="0" collapsed="false">
      <c r="A3624" s="57" t="n">
        <v>37480</v>
      </c>
      <c r="B3624" s="56" t="n">
        <v>2002</v>
      </c>
      <c r="C3624" s="56" t="n">
        <v>8</v>
      </c>
      <c r="D3624" s="56" t="n">
        <v>104</v>
      </c>
      <c r="E3624" s="56" t="n">
        <v>25.6</v>
      </c>
      <c r="F3624" s="56" t="n">
        <v>0</v>
      </c>
      <c r="G3624" s="56" t="n">
        <v>14.9</v>
      </c>
      <c r="H3624" s="56" t="n">
        <v>0</v>
      </c>
      <c r="I3624" s="56" t="n">
        <v>18.8</v>
      </c>
      <c r="J3624" s="56" t="n">
        <v>0</v>
      </c>
      <c r="K3624" s="56" t="n">
        <v>1013.9</v>
      </c>
      <c r="L3624" s="56" t="n">
        <v>0</v>
      </c>
      <c r="M3624" s="56" t="n">
        <v>69</v>
      </c>
      <c r="N3624" s="56" t="n">
        <v>6.2</v>
      </c>
      <c r="O3624" s="56" t="n">
        <f aca="false">IF(D3624=1,"",E3623)</f>
        <v>22.6</v>
      </c>
      <c r="P3624" s="56" t="n">
        <f aca="false">IF(OR(D3624=1,K3623=""),"",K3623)</f>
        <v>1007.3</v>
      </c>
      <c r="Q3624" s="56" t="n">
        <f aca="false">IF(OR(F3624&lt;&gt;0,AND(I3624&lt;&gt;"",E3624&lt;I3624)),1,0)</f>
        <v>0</v>
      </c>
      <c r="R3624" s="56" t="n">
        <f aca="false">IF(AND(D3624&gt;1,Q3624=0,ISNUMBER(O3624),ISNUMBER(P3624)),IF(Q3623=0,1,0),0)</f>
        <v>1</v>
      </c>
      <c r="S3624" s="56" t="n">
        <f aca="false">R3624*(B3624&gt;=Train_Start)*(B3624&lt;=Train_End)</f>
        <v>0</v>
      </c>
      <c r="T3624" s="84" t="n">
        <f aca="false">IF(AND(ISNUMBER(O3624),ISNUMBER(P3624)),Coef_A+Coef_B1*O3624+Coef_B2*P3624,"")</f>
        <v>22.2029360495773</v>
      </c>
      <c r="U3624" s="84" t="n">
        <f aca="false">IF(AND(R3624=1,ISNUMBER(T3624)),E3624-T3624,"")</f>
        <v>3.39706395042273</v>
      </c>
      <c r="V3624" s="84" t="n">
        <f aca="false">IF(ISNUMBER(T3624),T3624,-99)</f>
        <v>22.2029360495773</v>
      </c>
      <c r="W3624" s="84" t="n">
        <f aca="false">IF(ISNUMBER(U3624),ABS(U3624),"")</f>
        <v>3.39706395042273</v>
      </c>
    </row>
    <row r="3625" customFormat="false" ht="15" hidden="false" customHeight="false" outlineLevel="0" collapsed="false">
      <c r="A3625" s="57" t="n">
        <v>37481</v>
      </c>
      <c r="B3625" s="56" t="n">
        <v>2002</v>
      </c>
      <c r="C3625" s="56" t="n">
        <v>8</v>
      </c>
      <c r="D3625" s="56" t="n">
        <v>105</v>
      </c>
      <c r="E3625" s="56" t="n">
        <v>25.4</v>
      </c>
      <c r="F3625" s="56" t="n">
        <v>0</v>
      </c>
      <c r="G3625" s="56" t="n">
        <v>13.2</v>
      </c>
      <c r="H3625" s="56" t="n">
        <v>0</v>
      </c>
      <c r="I3625" s="56" t="n">
        <v>19.4</v>
      </c>
      <c r="J3625" s="56" t="n">
        <v>0</v>
      </c>
      <c r="K3625" s="56" t="n">
        <v>1020.2</v>
      </c>
      <c r="L3625" s="56" t="n">
        <v>0</v>
      </c>
      <c r="M3625" s="56" t="n">
        <v>74</v>
      </c>
      <c r="N3625" s="56" t="n">
        <v>9.4</v>
      </c>
      <c r="O3625" s="56" t="n">
        <f aca="false">IF(D3625=1,"",E3624)</f>
        <v>25.6</v>
      </c>
      <c r="P3625" s="56" t="n">
        <f aca="false">IF(OR(D3625=1,K3624=""),"",K3624)</f>
        <v>1013.9</v>
      </c>
      <c r="Q3625" s="56" t="n">
        <f aca="false">IF(OR(F3625&lt;&gt;0,AND(I3625&lt;&gt;"",E3625&lt;I3625)),1,0)</f>
        <v>0</v>
      </c>
      <c r="R3625" s="56" t="n">
        <f aca="false">IF(AND(D3625&gt;1,Q3625=0,ISNUMBER(O3625),ISNUMBER(P3625)),IF(Q3624=0,1,0),0)</f>
        <v>1</v>
      </c>
      <c r="S3625" s="56" t="n">
        <f aca="false">R3625*(B3625&gt;=Train_Start)*(B3625&lt;=Train_End)</f>
        <v>0</v>
      </c>
      <c r="T3625" s="84" t="n">
        <f aca="false">IF(AND(ISNUMBER(O3625),ISNUMBER(P3625)),Coef_A+Coef_B1*O3625+Coef_B2*P3625,"")</f>
        <v>24.8679949332896</v>
      </c>
      <c r="U3625" s="84" t="n">
        <f aca="false">IF(AND(R3625=1,ISNUMBER(T3625)),E3625-T3625,"")</f>
        <v>0.532005066710422</v>
      </c>
      <c r="V3625" s="84" t="n">
        <f aca="false">IF(ISNUMBER(T3625),T3625,-99)</f>
        <v>24.8679949332896</v>
      </c>
      <c r="W3625" s="84" t="n">
        <f aca="false">IF(ISNUMBER(U3625),ABS(U3625),"")</f>
        <v>0.532005066710422</v>
      </c>
    </row>
    <row r="3626" customFormat="false" ht="15" hidden="false" customHeight="false" outlineLevel="0" collapsed="false">
      <c r="A3626" s="57" t="n">
        <v>37482</v>
      </c>
      <c r="B3626" s="56" t="n">
        <v>2002</v>
      </c>
      <c r="C3626" s="56" t="n">
        <v>8</v>
      </c>
      <c r="D3626" s="56" t="n">
        <v>106</v>
      </c>
      <c r="E3626" s="56" t="n">
        <v>28.4</v>
      </c>
      <c r="F3626" s="56" t="n">
        <v>0</v>
      </c>
      <c r="G3626" s="56" t="n">
        <v>15.1</v>
      </c>
      <c r="H3626" s="56" t="n">
        <v>0</v>
      </c>
      <c r="I3626" s="56" t="n">
        <v>20.2</v>
      </c>
      <c r="J3626" s="56" t="n">
        <v>0</v>
      </c>
      <c r="K3626" s="56" t="n">
        <v>1019.2</v>
      </c>
      <c r="L3626" s="56" t="n">
        <v>0</v>
      </c>
      <c r="M3626" s="56" t="n">
        <v>73</v>
      </c>
      <c r="N3626" s="56" t="n">
        <v>13.2</v>
      </c>
      <c r="O3626" s="56" t="n">
        <f aca="false">IF(D3626=1,"",E3625)</f>
        <v>25.4</v>
      </c>
      <c r="P3626" s="56" t="n">
        <f aca="false">IF(OR(D3626=1,K3625=""),"",K3625)</f>
        <v>1020.2</v>
      </c>
      <c r="Q3626" s="56" t="n">
        <f aca="false">IF(OR(F3626&lt;&gt;0,AND(I3626&lt;&gt;"",E3626&lt;I3626)),1,0)</f>
        <v>0</v>
      </c>
      <c r="R3626" s="56" t="n">
        <f aca="false">IF(AND(D3626&gt;1,Q3626=0,ISNUMBER(O3626),ISNUMBER(P3626)),IF(Q3625=0,1,0),0)</f>
        <v>1</v>
      </c>
      <c r="S3626" s="56" t="n">
        <f aca="false">R3626*(B3626&gt;=Train_Start)*(B3626&lt;=Train_End)</f>
        <v>0</v>
      </c>
      <c r="T3626" s="84" t="n">
        <f aca="false">IF(AND(ISNUMBER(O3626),ISNUMBER(P3626)),Coef_A+Coef_B1*O3626+Coef_B2*P3626,"")</f>
        <v>24.9017574308752</v>
      </c>
      <c r="U3626" s="84" t="n">
        <f aca="false">IF(AND(R3626=1,ISNUMBER(T3626)),E3626-T3626,"")</f>
        <v>3.49824256912482</v>
      </c>
      <c r="V3626" s="84" t="n">
        <f aca="false">IF(ISNUMBER(T3626),T3626,-99)</f>
        <v>24.9017574308752</v>
      </c>
      <c r="W3626" s="84" t="n">
        <f aca="false">IF(ISNUMBER(U3626),ABS(U3626),"")</f>
        <v>3.49824256912482</v>
      </c>
    </row>
    <row r="3627" customFormat="false" ht="15" hidden="false" customHeight="false" outlineLevel="0" collapsed="false">
      <c r="A3627" s="57" t="n">
        <v>37483</v>
      </c>
      <c r="B3627" s="56" t="n">
        <v>2002</v>
      </c>
      <c r="C3627" s="56" t="n">
        <v>8</v>
      </c>
      <c r="D3627" s="56" t="n">
        <v>107</v>
      </c>
      <c r="E3627" s="56" t="n">
        <v>27.1</v>
      </c>
      <c r="F3627" s="56" t="n">
        <v>0</v>
      </c>
      <c r="G3627" s="56" t="n">
        <v>16.7</v>
      </c>
      <c r="H3627" s="56" t="n">
        <v>0</v>
      </c>
      <c r="I3627" s="56" t="n">
        <v>22.6</v>
      </c>
      <c r="J3627" s="56" t="n">
        <v>0</v>
      </c>
      <c r="K3627" s="56" t="n">
        <v>1016</v>
      </c>
      <c r="L3627" s="56" t="n">
        <v>0</v>
      </c>
      <c r="M3627" s="56" t="n">
        <v>69</v>
      </c>
      <c r="N3627" s="56" t="n">
        <v>7.3</v>
      </c>
      <c r="O3627" s="56" t="n">
        <f aca="false">IF(D3627=1,"",E3626)</f>
        <v>28.4</v>
      </c>
      <c r="P3627" s="56" t="n">
        <f aca="false">IF(OR(D3627=1,K3626=""),"",K3626)</f>
        <v>1019.2</v>
      </c>
      <c r="Q3627" s="56" t="n">
        <f aca="false">IF(OR(F3627&lt;&gt;0,AND(I3627&lt;&gt;"",E3627&lt;I3627)),1,0)</f>
        <v>0</v>
      </c>
      <c r="R3627" s="56" t="n">
        <f aca="false">IF(AND(D3627&gt;1,Q3627=0,ISNUMBER(O3627),ISNUMBER(P3627)),IF(Q3626=0,1,0),0)</f>
        <v>1</v>
      </c>
      <c r="S3627" s="56" t="n">
        <f aca="false">R3627*(B3627&gt;=Train_Start)*(B3627&lt;=Train_End)</f>
        <v>0</v>
      </c>
      <c r="T3627" s="84" t="n">
        <f aca="false">IF(AND(ISNUMBER(O3627),ISNUMBER(P3627)),Coef_A+Coef_B1*O3627+Coef_B2*P3627,"")</f>
        <v>27.3284051153692</v>
      </c>
      <c r="U3627" s="84" t="n">
        <f aca="false">IF(AND(R3627=1,ISNUMBER(T3627)),E3627-T3627,"")</f>
        <v>-0.22840511536916</v>
      </c>
      <c r="V3627" s="84" t="n">
        <f aca="false">IF(ISNUMBER(T3627),T3627,-99)</f>
        <v>27.3284051153692</v>
      </c>
      <c r="W3627" s="84" t="n">
        <f aca="false">IF(ISNUMBER(U3627),ABS(U3627),"")</f>
        <v>0.22840511536916</v>
      </c>
    </row>
    <row r="3628" customFormat="false" ht="15" hidden="false" customHeight="false" outlineLevel="0" collapsed="false">
      <c r="A3628" s="57" t="n">
        <v>37484</v>
      </c>
      <c r="B3628" s="56" t="n">
        <v>2002</v>
      </c>
      <c r="C3628" s="56" t="n">
        <v>8</v>
      </c>
      <c r="D3628" s="56" t="n">
        <v>108</v>
      </c>
      <c r="E3628" s="56" t="n">
        <v>30</v>
      </c>
      <c r="F3628" s="56" t="n">
        <v>0</v>
      </c>
      <c r="G3628" s="56" t="n">
        <v>16.1</v>
      </c>
      <c r="H3628" s="56" t="n">
        <v>0</v>
      </c>
      <c r="I3628" s="56" t="n">
        <v>21.6</v>
      </c>
      <c r="J3628" s="56" t="n">
        <v>0</v>
      </c>
      <c r="K3628" s="56" t="n">
        <v>1017.9</v>
      </c>
      <c r="L3628" s="56" t="n">
        <v>0</v>
      </c>
      <c r="M3628" s="56" t="n">
        <v>68</v>
      </c>
      <c r="N3628" s="56" t="n">
        <v>12.1</v>
      </c>
      <c r="O3628" s="56" t="n">
        <f aca="false">IF(D3628=1,"",E3627)</f>
        <v>27.1</v>
      </c>
      <c r="P3628" s="56" t="n">
        <f aca="false">IF(OR(D3628=1,K3627=""),"",K3627)</f>
        <v>1016</v>
      </c>
      <c r="Q3628" s="56" t="n">
        <f aca="false">IF(OR(F3628&lt;&gt;0,AND(I3628&lt;&gt;"",E3628&lt;I3628)),1,0)</f>
        <v>0</v>
      </c>
      <c r="R3628" s="56" t="n">
        <f aca="false">IF(AND(D3628&gt;1,Q3628=0,ISNUMBER(O3628),ISNUMBER(P3628)),IF(Q3627=0,1,0),0)</f>
        <v>1</v>
      </c>
      <c r="S3628" s="56" t="n">
        <f aca="false">R3628*(B3628&gt;=Train_Start)*(B3628&lt;=Train_End)</f>
        <v>0</v>
      </c>
      <c r="T3628" s="84" t="n">
        <f aca="false">IF(AND(ISNUMBER(O3628),ISNUMBER(P3628)),Coef_A+Coef_B1*O3628+Coef_B2*P3628,"")</f>
        <v>26.1628805015849</v>
      </c>
      <c r="U3628" s="84" t="n">
        <f aca="false">IF(AND(R3628=1,ISNUMBER(T3628)),E3628-T3628,"")</f>
        <v>3.83711949841506</v>
      </c>
      <c r="V3628" s="84" t="n">
        <f aca="false">IF(ISNUMBER(T3628),T3628,-99)</f>
        <v>26.1628805015849</v>
      </c>
      <c r="W3628" s="84" t="n">
        <f aca="false">IF(ISNUMBER(U3628),ABS(U3628),"")</f>
        <v>3.83711949841506</v>
      </c>
    </row>
    <row r="3629" customFormat="false" ht="15" hidden="false" customHeight="false" outlineLevel="0" collapsed="false">
      <c r="A3629" s="57" t="n">
        <v>37485</v>
      </c>
      <c r="B3629" s="56" t="n">
        <v>2002</v>
      </c>
      <c r="C3629" s="56" t="n">
        <v>8</v>
      </c>
      <c r="D3629" s="56" t="n">
        <v>109</v>
      </c>
      <c r="E3629" s="56" t="n">
        <v>25.8</v>
      </c>
      <c r="F3629" s="56" t="n">
        <v>0</v>
      </c>
      <c r="G3629" s="56" t="n">
        <v>15.7</v>
      </c>
      <c r="H3629" s="56" t="n">
        <v>0</v>
      </c>
      <c r="I3629" s="56" t="n">
        <v>22.8</v>
      </c>
      <c r="J3629" s="56" t="n">
        <v>0</v>
      </c>
      <c r="K3629" s="56" t="n">
        <v>1013.7</v>
      </c>
      <c r="L3629" s="56" t="n">
        <v>0</v>
      </c>
      <c r="M3629" s="56" t="n">
        <v>67</v>
      </c>
      <c r="N3629" s="56" t="n">
        <v>9.9</v>
      </c>
      <c r="O3629" s="56" t="n">
        <f aca="false">IF(D3629=1,"",E3628)</f>
        <v>30</v>
      </c>
      <c r="P3629" s="56" t="n">
        <f aca="false">IF(OR(D3629=1,K3628=""),"",K3628)</f>
        <v>1017.9</v>
      </c>
      <c r="Q3629" s="56" t="n">
        <f aca="false">IF(OR(F3629&lt;&gt;0,AND(I3629&lt;&gt;"",E3629&lt;I3629)),1,0)</f>
        <v>0</v>
      </c>
      <c r="R3629" s="56" t="n">
        <f aca="false">IF(AND(D3629&gt;1,Q3629=0,ISNUMBER(O3629),ISNUMBER(P3629)),IF(Q3628=0,1,0),0)</f>
        <v>1</v>
      </c>
      <c r="S3629" s="56" t="n">
        <f aca="false">R3629*(B3629&gt;=Train_Start)*(B3629&lt;=Train_End)</f>
        <v>0</v>
      </c>
      <c r="T3629" s="84" t="n">
        <f aca="false">IF(AND(ISNUMBER(O3629),ISNUMBER(P3629)),Coef_A+Coef_B1*O3629+Coef_B2*P3629,"")</f>
        <v>28.5985669612132</v>
      </c>
      <c r="U3629" s="84" t="n">
        <f aca="false">IF(AND(R3629=1,ISNUMBER(T3629)),E3629-T3629,"")</f>
        <v>-2.79856696121323</v>
      </c>
      <c r="V3629" s="84" t="n">
        <f aca="false">IF(ISNUMBER(T3629),T3629,-99)</f>
        <v>28.5985669612132</v>
      </c>
      <c r="W3629" s="84" t="n">
        <f aca="false">IF(ISNUMBER(U3629),ABS(U3629),"")</f>
        <v>2.79856696121323</v>
      </c>
    </row>
    <row r="3630" customFormat="false" ht="15" hidden="false" customHeight="false" outlineLevel="0" collapsed="false">
      <c r="A3630" s="57" t="n">
        <v>37486</v>
      </c>
      <c r="B3630" s="56" t="n">
        <v>2002</v>
      </c>
      <c r="C3630" s="56" t="n">
        <v>8</v>
      </c>
      <c r="D3630" s="56" t="n">
        <v>110</v>
      </c>
      <c r="E3630" s="56" t="n">
        <v>25.5</v>
      </c>
      <c r="F3630" s="56" t="n">
        <v>0</v>
      </c>
      <c r="G3630" s="56" t="n">
        <v>17.1</v>
      </c>
      <c r="H3630" s="56" t="n">
        <v>0</v>
      </c>
      <c r="I3630" s="56" t="n">
        <v>21.4</v>
      </c>
      <c r="J3630" s="56" t="n">
        <v>0</v>
      </c>
      <c r="K3630" s="56" t="n">
        <v>1010.9</v>
      </c>
      <c r="L3630" s="56" t="n">
        <v>0</v>
      </c>
      <c r="M3630" s="56" t="n">
        <v>71</v>
      </c>
      <c r="N3630" s="56" t="n">
        <v>4.9</v>
      </c>
      <c r="O3630" s="56" t="n">
        <f aca="false">IF(D3630=1,"",E3629)</f>
        <v>25.8</v>
      </c>
      <c r="P3630" s="56" t="n">
        <f aca="false">IF(OR(D3630=1,K3629=""),"",K3629)</f>
        <v>1013.7</v>
      </c>
      <c r="Q3630" s="56" t="n">
        <f aca="false">IF(OR(F3630&lt;&gt;0,AND(I3630&lt;&gt;"",E3630&lt;I3630)),1,0)</f>
        <v>0</v>
      </c>
      <c r="R3630" s="56" t="n">
        <f aca="false">IF(AND(D3630&gt;1,Q3630=0,ISNUMBER(O3630),ISNUMBER(P3630)),IF(Q3629=0,1,0),0)</f>
        <v>1</v>
      </c>
      <c r="S3630" s="56" t="n">
        <f aca="false">R3630*(B3630&gt;=Train_Start)*(B3630&lt;=Train_End)</f>
        <v>0</v>
      </c>
      <c r="T3630" s="84" t="n">
        <f aca="false">IF(AND(ISNUMBER(O3630),ISNUMBER(P3630)),Coef_A+Coef_B1*O3630+Coef_B2*P3630,"")</f>
        <v>25.0255887929713</v>
      </c>
      <c r="U3630" s="84" t="n">
        <f aca="false">IF(AND(R3630=1,ISNUMBER(T3630)),E3630-T3630,"")</f>
        <v>0.474411207028687</v>
      </c>
      <c r="V3630" s="84" t="n">
        <f aca="false">IF(ISNUMBER(T3630),T3630,-99)</f>
        <v>25.0255887929713</v>
      </c>
      <c r="W3630" s="84" t="n">
        <f aca="false">IF(ISNUMBER(U3630),ABS(U3630),"")</f>
        <v>0.474411207028687</v>
      </c>
    </row>
    <row r="3631" customFormat="false" ht="15" hidden="false" customHeight="false" outlineLevel="0" collapsed="false">
      <c r="A3631" s="57" t="n">
        <v>37487</v>
      </c>
      <c r="B3631" s="56" t="n">
        <v>2002</v>
      </c>
      <c r="C3631" s="56" t="n">
        <v>8</v>
      </c>
      <c r="D3631" s="56" t="n">
        <v>111</v>
      </c>
      <c r="E3631" s="56" t="n">
        <v>23.2</v>
      </c>
      <c r="F3631" s="56" t="n">
        <v>0</v>
      </c>
      <c r="G3631" s="56" t="n">
        <v>17.7</v>
      </c>
      <c r="H3631" s="56" t="n">
        <v>0</v>
      </c>
      <c r="I3631" s="56" t="n">
        <v>21.6</v>
      </c>
      <c r="J3631" s="56" t="n">
        <v>0</v>
      </c>
      <c r="K3631" s="56" t="n">
        <v>1012.5</v>
      </c>
      <c r="L3631" s="56" t="n">
        <v>0</v>
      </c>
      <c r="M3631" s="56" t="n">
        <v>75</v>
      </c>
      <c r="N3631" s="56" t="n">
        <v>7.4</v>
      </c>
      <c r="O3631" s="56" t="n">
        <f aca="false">IF(D3631=1,"",E3630)</f>
        <v>25.5</v>
      </c>
      <c r="P3631" s="56" t="n">
        <f aca="false">IF(OR(D3631=1,K3630=""),"",K3630)</f>
        <v>1010.9</v>
      </c>
      <c r="Q3631" s="56" t="n">
        <f aca="false">IF(OR(F3631&lt;&gt;0,AND(I3631&lt;&gt;"",E3631&lt;I3631)),1,0)</f>
        <v>0</v>
      </c>
      <c r="R3631" s="56" t="n">
        <f aca="false">IF(AND(D3631&gt;1,Q3631=0,ISNUMBER(O3631),ISNUMBER(P3631)),IF(Q3630=0,1,0),0)</f>
        <v>1</v>
      </c>
      <c r="S3631" s="56" t="n">
        <f aca="false">R3631*(B3631&gt;=Train_Start)*(B3631&lt;=Train_End)</f>
        <v>0</v>
      </c>
      <c r="T3631" s="84" t="n">
        <f aca="false">IF(AND(ISNUMBER(O3631),ISNUMBER(P3631)),Coef_A+Coef_B1*O3631+Coef_B2*P3631,"")</f>
        <v>24.6919513300833</v>
      </c>
      <c r="U3631" s="84" t="n">
        <f aca="false">IF(AND(R3631=1,ISNUMBER(T3631)),E3631-T3631,"")</f>
        <v>-1.49195133008334</v>
      </c>
      <c r="V3631" s="84" t="n">
        <f aca="false">IF(ISNUMBER(T3631),T3631,-99)</f>
        <v>24.6919513300833</v>
      </c>
      <c r="W3631" s="84" t="n">
        <f aca="false">IF(ISNUMBER(U3631),ABS(U3631),"")</f>
        <v>1.49195133008334</v>
      </c>
    </row>
    <row r="3632" customFormat="false" ht="15" hidden="false" customHeight="false" outlineLevel="0" collapsed="false">
      <c r="A3632" s="57" t="n">
        <v>37488</v>
      </c>
      <c r="B3632" s="56" t="n">
        <v>2002</v>
      </c>
      <c r="C3632" s="56" t="n">
        <v>8</v>
      </c>
      <c r="D3632" s="56" t="n">
        <v>112</v>
      </c>
      <c r="E3632" s="56" t="n">
        <v>23.2</v>
      </c>
      <c r="F3632" s="56" t="n">
        <v>0</v>
      </c>
      <c r="G3632" s="56" t="n">
        <v>16.9</v>
      </c>
      <c r="H3632" s="56" t="n">
        <v>0</v>
      </c>
      <c r="I3632" s="56" t="n">
        <v>20</v>
      </c>
      <c r="J3632" s="56" t="n">
        <v>0</v>
      </c>
      <c r="K3632" s="56" t="n">
        <v>1014.6</v>
      </c>
      <c r="L3632" s="56" t="n">
        <v>0</v>
      </c>
      <c r="M3632" s="56" t="n">
        <v>76</v>
      </c>
      <c r="N3632" s="56" t="n">
        <v>2.6</v>
      </c>
      <c r="O3632" s="56" t="n">
        <f aca="false">IF(D3632=1,"",E3631)</f>
        <v>23.2</v>
      </c>
      <c r="P3632" s="56" t="n">
        <f aca="false">IF(OR(D3632=1,K3631=""),"",K3631)</f>
        <v>1012.5</v>
      </c>
      <c r="Q3632" s="56" t="n">
        <f aca="false">IF(OR(F3632&lt;&gt;0,AND(I3632&lt;&gt;"",E3632&lt;I3632)),1,0)</f>
        <v>0</v>
      </c>
      <c r="R3632" s="56" t="n">
        <f aca="false">IF(AND(D3632&gt;1,Q3632=0,ISNUMBER(O3632),ISNUMBER(P3632)),IF(Q3631=0,1,0),0)</f>
        <v>1</v>
      </c>
      <c r="S3632" s="56" t="n">
        <f aca="false">R3632*(B3632&gt;=Train_Start)*(B3632&lt;=Train_End)</f>
        <v>0</v>
      </c>
      <c r="T3632" s="84" t="n">
        <f aca="false">IF(AND(ISNUMBER(O3632),ISNUMBER(P3632)),Coef_A+Coef_B1*O3632+Coef_B2*P3632,"")</f>
        <v>22.8576630174996</v>
      </c>
      <c r="U3632" s="84" t="n">
        <f aca="false">IF(AND(R3632=1,ISNUMBER(T3632)),E3632-T3632,"")</f>
        <v>0.342336982500388</v>
      </c>
      <c r="V3632" s="84" t="n">
        <f aca="false">IF(ISNUMBER(T3632),T3632,-99)</f>
        <v>22.8576630174996</v>
      </c>
      <c r="W3632" s="84" t="n">
        <f aca="false">IF(ISNUMBER(U3632),ABS(U3632),"")</f>
        <v>0.342336982500388</v>
      </c>
    </row>
    <row r="3633" customFormat="false" ht="15" hidden="false" customHeight="false" outlineLevel="0" collapsed="false">
      <c r="A3633" s="57" t="n">
        <v>37489</v>
      </c>
      <c r="B3633" s="56" t="n">
        <v>2002</v>
      </c>
      <c r="C3633" s="56" t="n">
        <v>8</v>
      </c>
      <c r="D3633" s="56" t="n">
        <v>113</v>
      </c>
      <c r="E3633" s="56" t="n">
        <v>23.5</v>
      </c>
      <c r="F3633" s="56" t="n">
        <v>0</v>
      </c>
      <c r="G3633" s="56" t="n">
        <v>14.3</v>
      </c>
      <c r="H3633" s="56" t="n">
        <v>0</v>
      </c>
      <c r="I3633" s="56" t="n">
        <v>18.8</v>
      </c>
      <c r="J3633" s="56" t="n">
        <v>0</v>
      </c>
      <c r="K3633" s="56" t="n">
        <v>1018.7</v>
      </c>
      <c r="L3633" s="56" t="n">
        <v>0</v>
      </c>
      <c r="M3633" s="56" t="n">
        <v>64</v>
      </c>
      <c r="N3633" s="56" t="n">
        <v>11.4</v>
      </c>
      <c r="O3633" s="56" t="n">
        <f aca="false">IF(D3633=1,"",E3632)</f>
        <v>23.2</v>
      </c>
      <c r="P3633" s="56" t="n">
        <f aca="false">IF(OR(D3633=1,K3632=""),"",K3632)</f>
        <v>1014.6</v>
      </c>
      <c r="Q3633" s="56" t="n">
        <f aca="false">IF(OR(F3633&lt;&gt;0,AND(I3633&lt;&gt;"",E3633&lt;I3633)),1,0)</f>
        <v>0</v>
      </c>
      <c r="R3633" s="56" t="n">
        <f aca="false">IF(AND(D3633&gt;1,Q3633=0,ISNUMBER(O3633),ISNUMBER(P3633)),IF(Q3632=0,1,0),0)</f>
        <v>1</v>
      </c>
      <c r="S3633" s="56" t="n">
        <f aca="false">R3633*(B3633&gt;=Train_Start)*(B3633&lt;=Train_End)</f>
        <v>0</v>
      </c>
      <c r="T3633" s="84" t="n">
        <f aca="false">IF(AND(ISNUMBER(O3633),ISNUMBER(P3633)),Coef_A+Coef_B1*O3633+Coef_B2*P3633,"")</f>
        <v>22.923539796231</v>
      </c>
      <c r="U3633" s="84" t="n">
        <f aca="false">IF(AND(R3633=1,ISNUMBER(T3633)),E3633-T3633,"")</f>
        <v>0.57646020376901</v>
      </c>
      <c r="V3633" s="84" t="n">
        <f aca="false">IF(ISNUMBER(T3633),T3633,-99)</f>
        <v>22.923539796231</v>
      </c>
      <c r="W3633" s="84" t="n">
        <f aca="false">IF(ISNUMBER(U3633),ABS(U3633),"")</f>
        <v>0.57646020376901</v>
      </c>
    </row>
    <row r="3634" customFormat="false" ht="15" hidden="false" customHeight="false" outlineLevel="0" collapsed="false">
      <c r="A3634" s="57" t="n">
        <v>37490</v>
      </c>
      <c r="B3634" s="56" t="n">
        <v>2002</v>
      </c>
      <c r="C3634" s="56" t="n">
        <v>8</v>
      </c>
      <c r="D3634" s="56" t="n">
        <v>114</v>
      </c>
      <c r="E3634" s="56" t="n">
        <v>23.5</v>
      </c>
      <c r="F3634" s="56" t="n">
        <v>0</v>
      </c>
      <c r="G3634" s="56" t="n">
        <v>15</v>
      </c>
      <c r="H3634" s="56" t="n">
        <v>0</v>
      </c>
      <c r="I3634" s="56" t="n">
        <v>19.2</v>
      </c>
      <c r="J3634" s="56" t="n">
        <v>0</v>
      </c>
      <c r="K3634" s="56" t="n">
        <v>1019.3</v>
      </c>
      <c r="L3634" s="56" t="n">
        <v>0</v>
      </c>
      <c r="M3634" s="56" t="n">
        <v>64</v>
      </c>
      <c r="N3634" s="56" t="n">
        <v>7.6</v>
      </c>
      <c r="O3634" s="56" t="n">
        <f aca="false">IF(D3634=1,"",E3633)</f>
        <v>23.5</v>
      </c>
      <c r="P3634" s="56" t="n">
        <f aca="false">IF(OR(D3634=1,K3633=""),"",K3633)</f>
        <v>1018.7</v>
      </c>
      <c r="Q3634" s="56" t="n">
        <f aca="false">IF(OR(F3634&lt;&gt;0,AND(I3634&lt;&gt;"",E3634&lt;I3634)),1,0)</f>
        <v>0</v>
      </c>
      <c r="R3634" s="56" t="n">
        <f aca="false">IF(AND(D3634&gt;1,Q3634=0,ISNUMBER(O3634),ISNUMBER(P3634)),IF(Q3633=0,1,0),0)</f>
        <v>1</v>
      </c>
      <c r="S3634" s="56" t="n">
        <f aca="false">R3634*(B3634&gt;=Train_Start)*(B3634&lt;=Train_End)</f>
        <v>0</v>
      </c>
      <c r="T3634" s="84" t="n">
        <f aca="false">IF(AND(ISNUMBER(O3634),ISNUMBER(P3634)),Coef_A+Coef_B1*O3634+Coef_B2*P3634,"")</f>
        <v>23.2979581221431</v>
      </c>
      <c r="U3634" s="84" t="n">
        <f aca="false">IF(AND(R3634=1,ISNUMBER(T3634)),E3634-T3634,"")</f>
        <v>0.202041877856853</v>
      </c>
      <c r="V3634" s="84" t="n">
        <f aca="false">IF(ISNUMBER(T3634),T3634,-99)</f>
        <v>23.2979581221431</v>
      </c>
      <c r="W3634" s="84" t="n">
        <f aca="false">IF(ISNUMBER(U3634),ABS(U3634),"")</f>
        <v>0.202041877856853</v>
      </c>
    </row>
    <row r="3635" customFormat="false" ht="15" hidden="false" customHeight="false" outlineLevel="0" collapsed="false">
      <c r="A3635" s="57" t="n">
        <v>37491</v>
      </c>
      <c r="B3635" s="56" t="n">
        <v>2002</v>
      </c>
      <c r="C3635" s="56" t="n">
        <v>8</v>
      </c>
      <c r="D3635" s="56" t="n">
        <v>115</v>
      </c>
      <c r="E3635" s="56" t="n">
        <v>23.6</v>
      </c>
      <c r="F3635" s="56" t="n">
        <v>0</v>
      </c>
      <c r="G3635" s="56" t="n">
        <v>14.6</v>
      </c>
      <c r="H3635" s="56" t="n">
        <v>0</v>
      </c>
      <c r="I3635" s="56" t="n">
        <v>19</v>
      </c>
      <c r="J3635" s="56" t="n">
        <v>0</v>
      </c>
      <c r="K3635" s="56" t="n">
        <v>1019</v>
      </c>
      <c r="L3635" s="56" t="n">
        <v>0</v>
      </c>
      <c r="M3635" s="56" t="n">
        <v>71</v>
      </c>
      <c r="N3635" s="56" t="n">
        <v>5.3</v>
      </c>
      <c r="O3635" s="56" t="n">
        <f aca="false">IF(D3635=1,"",E3634)</f>
        <v>23.5</v>
      </c>
      <c r="P3635" s="56" t="n">
        <f aca="false">IF(OR(D3635=1,K3634=""),"",K3634)</f>
        <v>1019.3</v>
      </c>
      <c r="Q3635" s="56" t="n">
        <f aca="false">IF(OR(F3635&lt;&gt;0,AND(I3635&lt;&gt;"",E3635&lt;I3635)),1,0)</f>
        <v>0</v>
      </c>
      <c r="R3635" s="56" t="n">
        <f aca="false">IF(AND(D3635&gt;1,Q3635=0,ISNUMBER(O3635),ISNUMBER(P3635)),IF(Q3634=0,1,0),0)</f>
        <v>1</v>
      </c>
      <c r="S3635" s="56" t="n">
        <f aca="false">R3635*(B3635&gt;=Train_Start)*(B3635&lt;=Train_End)</f>
        <v>0</v>
      </c>
      <c r="T3635" s="84" t="n">
        <f aca="false">IF(AND(ISNUMBER(O3635),ISNUMBER(P3635)),Coef_A+Coef_B1*O3635+Coef_B2*P3635,"")</f>
        <v>23.3167800589235</v>
      </c>
      <c r="U3635" s="84" t="n">
        <f aca="false">IF(AND(R3635=1,ISNUMBER(T3635)),E3635-T3635,"")</f>
        <v>0.283219941076467</v>
      </c>
      <c r="V3635" s="84" t="n">
        <f aca="false">IF(ISNUMBER(T3635),T3635,-99)</f>
        <v>23.3167800589235</v>
      </c>
      <c r="W3635" s="84" t="n">
        <f aca="false">IF(ISNUMBER(U3635),ABS(U3635),"")</f>
        <v>0.283219941076467</v>
      </c>
    </row>
    <row r="3636" customFormat="false" ht="15" hidden="false" customHeight="false" outlineLevel="0" collapsed="false">
      <c r="A3636" s="57" t="n">
        <v>37492</v>
      </c>
      <c r="B3636" s="56" t="n">
        <v>2002</v>
      </c>
      <c r="C3636" s="56" t="n">
        <v>8</v>
      </c>
      <c r="D3636" s="56" t="n">
        <v>116</v>
      </c>
      <c r="E3636" s="56" t="n">
        <v>21.7</v>
      </c>
      <c r="F3636" s="56" t="n">
        <v>0</v>
      </c>
      <c r="G3636" s="56" t="n">
        <v>15.1</v>
      </c>
      <c r="H3636" s="56" t="n">
        <v>0</v>
      </c>
      <c r="I3636" s="56" t="n">
        <v>19.4</v>
      </c>
      <c r="J3636" s="56" t="n">
        <v>0</v>
      </c>
      <c r="K3636" s="56" t="n">
        <v>1020.8</v>
      </c>
      <c r="L3636" s="56" t="n">
        <v>0</v>
      </c>
      <c r="M3636" s="56" t="n">
        <v>65</v>
      </c>
      <c r="N3636" s="56" t="n">
        <v>7.1</v>
      </c>
      <c r="O3636" s="56" t="n">
        <f aca="false">IF(D3636=1,"",E3635)</f>
        <v>23.6</v>
      </c>
      <c r="P3636" s="56" t="n">
        <f aca="false">IF(OR(D3636=1,K3635=""),"",K3635)</f>
        <v>1019</v>
      </c>
      <c r="Q3636" s="56" t="n">
        <f aca="false">IF(OR(F3636&lt;&gt;0,AND(I3636&lt;&gt;"",E3636&lt;I3636)),1,0)</f>
        <v>0</v>
      </c>
      <c r="R3636" s="56" t="n">
        <f aca="false">IF(AND(D3636&gt;1,Q3636=0,ISNUMBER(O3636),ISNUMBER(P3636)),IF(Q3635=0,1,0),0)</f>
        <v>1</v>
      </c>
      <c r="S3636" s="56" t="n">
        <f aca="false">R3636*(B3636&gt;=Train_Start)*(B3636&lt;=Train_End)</f>
        <v>0</v>
      </c>
      <c r="T3636" s="84" t="n">
        <f aca="false">IF(AND(ISNUMBER(O3636),ISNUMBER(P3636)),Coef_A+Coef_B1*O3636+Coef_B2*P3636,"")</f>
        <v>23.3893030098376</v>
      </c>
      <c r="U3636" s="84" t="n">
        <f aca="false">IF(AND(R3636=1,ISNUMBER(T3636)),E3636-T3636,"")</f>
        <v>-1.68930300983761</v>
      </c>
      <c r="V3636" s="84" t="n">
        <f aca="false">IF(ISNUMBER(T3636),T3636,-99)</f>
        <v>23.3893030098376</v>
      </c>
      <c r="W3636" s="84" t="n">
        <f aca="false">IF(ISNUMBER(U3636),ABS(U3636),"")</f>
        <v>1.68930300983761</v>
      </c>
    </row>
    <row r="3637" customFormat="false" ht="15" hidden="false" customHeight="false" outlineLevel="0" collapsed="false">
      <c r="A3637" s="57" t="n">
        <v>37493</v>
      </c>
      <c r="B3637" s="56" t="n">
        <v>2002</v>
      </c>
      <c r="C3637" s="56" t="n">
        <v>8</v>
      </c>
      <c r="D3637" s="56" t="n">
        <v>117</v>
      </c>
      <c r="E3637" s="56" t="n">
        <v>17.6</v>
      </c>
      <c r="F3637" s="56" t="n">
        <v>1</v>
      </c>
      <c r="G3637" s="56" t="n">
        <v>15</v>
      </c>
      <c r="H3637" s="56" t="n">
        <v>0</v>
      </c>
      <c r="I3637" s="56" t="n">
        <v>18.4</v>
      </c>
      <c r="J3637" s="56" t="n">
        <v>1</v>
      </c>
      <c r="K3637" s="56" t="n">
        <v>1024.7</v>
      </c>
      <c r="L3637" s="56" t="n">
        <v>0</v>
      </c>
      <c r="M3637" s="56" t="n">
        <v>73</v>
      </c>
      <c r="N3637" s="56" t="n">
        <v>6.1</v>
      </c>
      <c r="O3637" s="56" t="n">
        <f aca="false">IF(D3637=1,"",E3636)</f>
        <v>21.7</v>
      </c>
      <c r="P3637" s="56" t="n">
        <f aca="false">IF(OR(D3637=1,K3636=""),"",K3636)</f>
        <v>1020.8</v>
      </c>
      <c r="Q3637" s="56" t="n">
        <f aca="false">IF(OR(F3637&lt;&gt;0,AND(I3637&lt;&gt;"",E3637&lt;I3637)),1,0)</f>
        <v>1</v>
      </c>
      <c r="R3637" s="56" t="n">
        <f aca="false">IF(AND(D3637&gt;1,Q3637=0,ISNUMBER(O3637),ISNUMBER(P3637)),IF(Q3636=0,1,0),0)</f>
        <v>0</v>
      </c>
      <c r="S3637" s="56" t="n">
        <f aca="false">R3637*(B3637&gt;=Train_Start)*(B3637&lt;=Train_End)</f>
        <v>0</v>
      </c>
      <c r="T3637" s="84" t="n">
        <f aca="false">IF(AND(ISNUMBER(O3637),ISNUMBER(P3637)),Coef_A+Coef_B1*O3637+Coef_B2*P3637,"")</f>
        <v>21.8890243533977</v>
      </c>
      <c r="U3637" s="84" t="str">
        <f aca="false">IF(AND(R3637=1,ISNUMBER(T3637)),E3637-T3637,"")</f>
        <v/>
      </c>
      <c r="V3637" s="84" t="n">
        <f aca="false">IF(ISNUMBER(T3637),T3637,-99)</f>
        <v>21.8890243533977</v>
      </c>
      <c r="W3637" s="84" t="str">
        <f aca="false">IF(ISNUMBER(U3637),ABS(U3637),"")</f>
        <v/>
      </c>
    </row>
    <row r="3638" customFormat="false" ht="15" hidden="false" customHeight="false" outlineLevel="0" collapsed="false">
      <c r="A3638" s="57" t="n">
        <v>37494</v>
      </c>
      <c r="B3638" s="56" t="n">
        <v>2002</v>
      </c>
      <c r="C3638" s="56" t="n">
        <v>8</v>
      </c>
      <c r="D3638" s="56" t="n">
        <v>118</v>
      </c>
      <c r="E3638" s="56" t="n">
        <v>22.1</v>
      </c>
      <c r="F3638" s="56" t="n">
        <v>0</v>
      </c>
      <c r="G3638" s="56" t="n">
        <v>12.7</v>
      </c>
      <c r="H3638" s="56" t="n">
        <v>0</v>
      </c>
      <c r="I3638" s="56" t="n">
        <v>15.2</v>
      </c>
      <c r="J3638" s="56" t="n">
        <v>0</v>
      </c>
      <c r="K3638" s="56" t="n">
        <v>1023.6</v>
      </c>
      <c r="L3638" s="56" t="n">
        <v>0</v>
      </c>
      <c r="M3638" s="56" t="n">
        <v>79</v>
      </c>
      <c r="N3638" s="56" t="n">
        <v>0</v>
      </c>
      <c r="O3638" s="56" t="n">
        <f aca="false">IF(D3638=1,"",E3637)</f>
        <v>17.6</v>
      </c>
      <c r="P3638" s="56" t="n">
        <f aca="false">IF(OR(D3638=1,K3637=""),"",K3637)</f>
        <v>1024.7</v>
      </c>
      <c r="Q3638" s="56" t="n">
        <f aca="false">IF(OR(F3638&lt;&gt;0,AND(I3638&lt;&gt;"",E3638&lt;I3638)),1,0)</f>
        <v>0</v>
      </c>
      <c r="R3638" s="56" t="n">
        <f aca="false">IF(AND(D3638&gt;1,Q3638=0,ISNUMBER(O3638),ISNUMBER(P3638)),IF(Q3637=0,1,0),0)</f>
        <v>0</v>
      </c>
      <c r="S3638" s="56" t="n">
        <f aca="false">R3638*(B3638&gt;=Train_Start)*(B3638&lt;=Train_End)</f>
        <v>0</v>
      </c>
      <c r="T3638" s="84" t="n">
        <f aca="false">IF(AND(ISNUMBER(O3638),ISNUMBER(P3638)),Coef_A+Coef_B1*O3638+Coef_B2*P3638,"")</f>
        <v>18.6520762509954</v>
      </c>
      <c r="U3638" s="84" t="str">
        <f aca="false">IF(AND(R3638=1,ISNUMBER(T3638)),E3638-T3638,"")</f>
        <v/>
      </c>
      <c r="V3638" s="84" t="n">
        <f aca="false">IF(ISNUMBER(T3638),T3638,-99)</f>
        <v>18.6520762509954</v>
      </c>
      <c r="W3638" s="84" t="str">
        <f aca="false">IF(ISNUMBER(U3638),ABS(U3638),"")</f>
        <v/>
      </c>
    </row>
    <row r="3639" customFormat="false" ht="15" hidden="false" customHeight="false" outlineLevel="0" collapsed="false">
      <c r="A3639" s="57" t="n">
        <v>37495</v>
      </c>
      <c r="B3639" s="56" t="n">
        <v>2002</v>
      </c>
      <c r="C3639" s="56" t="n">
        <v>8</v>
      </c>
      <c r="D3639" s="56" t="n">
        <v>119</v>
      </c>
      <c r="E3639" s="56" t="n">
        <v>24</v>
      </c>
      <c r="F3639" s="56" t="n">
        <v>0</v>
      </c>
      <c r="G3639" s="56" t="n">
        <v>14.7</v>
      </c>
      <c r="H3639" s="56" t="n">
        <v>0</v>
      </c>
      <c r="I3639" s="56" t="n">
        <v>18.4</v>
      </c>
      <c r="J3639" s="56" t="n">
        <v>0</v>
      </c>
      <c r="K3639" s="56" t="n">
        <v>1020.3</v>
      </c>
      <c r="L3639" s="56" t="n">
        <v>0</v>
      </c>
      <c r="M3639" s="56" t="n">
        <v>74</v>
      </c>
      <c r="N3639" s="56" t="n">
        <v>4.4</v>
      </c>
      <c r="O3639" s="56" t="n">
        <f aca="false">IF(D3639=1,"",E3638)</f>
        <v>22.1</v>
      </c>
      <c r="P3639" s="56" t="n">
        <f aca="false">IF(OR(D3639=1,K3638=""),"",K3638)</f>
        <v>1023.6</v>
      </c>
      <c r="Q3639" s="56" t="n">
        <f aca="false">IF(OR(F3639&lt;&gt;0,AND(I3639&lt;&gt;"",E3639&lt;I3639)),1,0)</f>
        <v>0</v>
      </c>
      <c r="R3639" s="56" t="n">
        <f aca="false">IF(AND(D3639&gt;1,Q3639=0,ISNUMBER(O3639),ISNUMBER(P3639)),IF(Q3638=0,1,0),0)</f>
        <v>1</v>
      </c>
      <c r="S3639" s="56" t="n">
        <f aca="false">R3639*(B3639&gt;=Train_Start)*(B3639&lt;=Train_End)</f>
        <v>0</v>
      </c>
      <c r="T3639" s="84" t="n">
        <f aca="false">IF(AND(ISNUMBER(O3639),ISNUMBER(P3639)),Coef_A+Coef_B1*O3639+Coef_B2*P3639,"")</f>
        <v>22.30459573559</v>
      </c>
      <c r="U3639" s="84" t="n">
        <f aca="false">IF(AND(R3639=1,ISNUMBER(T3639)),E3639-T3639,"")</f>
        <v>1.69540426441002</v>
      </c>
      <c r="V3639" s="84" t="n">
        <f aca="false">IF(ISNUMBER(T3639),T3639,-99)</f>
        <v>22.30459573559</v>
      </c>
      <c r="W3639" s="84" t="n">
        <f aca="false">IF(ISNUMBER(U3639),ABS(U3639),"")</f>
        <v>1.69540426441002</v>
      </c>
    </row>
    <row r="3640" customFormat="false" ht="15" hidden="false" customHeight="false" outlineLevel="0" collapsed="false">
      <c r="A3640" s="57" t="n">
        <v>37496</v>
      </c>
      <c r="B3640" s="56" t="n">
        <v>2002</v>
      </c>
      <c r="C3640" s="56" t="n">
        <v>8</v>
      </c>
      <c r="D3640" s="56" t="n">
        <v>120</v>
      </c>
      <c r="E3640" s="56" t="n">
        <v>24.5</v>
      </c>
      <c r="F3640" s="56" t="n">
        <v>0</v>
      </c>
      <c r="G3640" s="56" t="n">
        <v>14.4</v>
      </c>
      <c r="H3640" s="56" t="n">
        <v>0</v>
      </c>
      <c r="I3640" s="56" t="n">
        <v>19.2</v>
      </c>
      <c r="J3640" s="56" t="n">
        <v>0</v>
      </c>
      <c r="K3640" s="56" t="n">
        <v>1020.3</v>
      </c>
      <c r="L3640" s="56" t="n">
        <v>0</v>
      </c>
      <c r="M3640" s="56" t="n">
        <v>74</v>
      </c>
      <c r="N3640" s="56" t="n">
        <v>11.2</v>
      </c>
      <c r="O3640" s="56" t="n">
        <f aca="false">IF(D3640=1,"",E3639)</f>
        <v>24</v>
      </c>
      <c r="P3640" s="56" t="n">
        <f aca="false">IF(OR(D3640=1,K3639=""),"",K3639)</f>
        <v>1020.3</v>
      </c>
      <c r="Q3640" s="56" t="n">
        <f aca="false">IF(OR(F3640&lt;&gt;0,AND(I3640&lt;&gt;"",E3640&lt;I3640)),1,0)</f>
        <v>0</v>
      </c>
      <c r="R3640" s="56" t="n">
        <f aca="false">IF(AND(D3640&gt;1,Q3640=0,ISNUMBER(O3640),ISNUMBER(P3640)),IF(Q3639=0,1,0),0)</f>
        <v>1</v>
      </c>
      <c r="S3640" s="56" t="n">
        <f aca="false">R3640*(B3640&gt;=Train_Start)*(B3640&lt;=Train_End)</f>
        <v>0</v>
      </c>
      <c r="T3640" s="84" t="n">
        <f aca="false">IF(AND(ISNUMBER(O3640),ISNUMBER(P3640)),Coef_A+Coef_B1*O3640+Coef_B2*P3640,"")</f>
        <v>23.7578195500789</v>
      </c>
      <c r="U3640" s="84" t="n">
        <f aca="false">IF(AND(R3640=1,ISNUMBER(T3640)),E3640-T3640,"")</f>
        <v>0.742180449921143</v>
      </c>
      <c r="V3640" s="84" t="n">
        <f aca="false">IF(ISNUMBER(T3640),T3640,-99)</f>
        <v>23.7578195500789</v>
      </c>
      <c r="W3640" s="84" t="n">
        <f aca="false">IF(ISNUMBER(U3640),ABS(U3640),"")</f>
        <v>0.742180449921143</v>
      </c>
    </row>
    <row r="3641" customFormat="false" ht="15" hidden="false" customHeight="false" outlineLevel="0" collapsed="false">
      <c r="A3641" s="57" t="n">
        <v>37497</v>
      </c>
      <c r="B3641" s="56" t="n">
        <v>2002</v>
      </c>
      <c r="C3641" s="56" t="n">
        <v>8</v>
      </c>
      <c r="D3641" s="56" t="n">
        <v>121</v>
      </c>
      <c r="E3641" s="56" t="n">
        <v>22.6</v>
      </c>
      <c r="F3641" s="56" t="n">
        <v>0</v>
      </c>
      <c r="G3641" s="56" t="n">
        <v>14</v>
      </c>
      <c r="H3641" s="56" t="n">
        <v>0</v>
      </c>
      <c r="I3641" s="56" t="n">
        <v>19.2</v>
      </c>
      <c r="J3641" s="56" t="n">
        <v>0</v>
      </c>
      <c r="K3641" s="56" t="n">
        <v>1019</v>
      </c>
      <c r="L3641" s="56" t="n">
        <v>0</v>
      </c>
      <c r="M3641" s="56" t="n">
        <v>81</v>
      </c>
      <c r="N3641" s="56" t="n">
        <v>2.1</v>
      </c>
      <c r="O3641" s="56" t="n">
        <f aca="false">IF(D3641=1,"",E3640)</f>
        <v>24.5</v>
      </c>
      <c r="P3641" s="56" t="n">
        <f aca="false">IF(OR(D3641=1,K3640=""),"",K3640)</f>
        <v>1020.3</v>
      </c>
      <c r="Q3641" s="56" t="n">
        <f aca="false">IF(OR(F3641&lt;&gt;0,AND(I3641&lt;&gt;"",E3641&lt;I3641)),1,0)</f>
        <v>0</v>
      </c>
      <c r="R3641" s="56" t="n">
        <f aca="false">IF(AND(D3641&gt;1,Q3641=0,ISNUMBER(O3641),ISNUMBER(P3641)),IF(Q3640=0,1,0),0)</f>
        <v>1</v>
      </c>
      <c r="S3641" s="56" t="n">
        <f aca="false">R3641*(B3641&gt;=Train_Start)*(B3641&lt;=Train_End)</f>
        <v>0</v>
      </c>
      <c r="T3641" s="84" t="n">
        <f aca="false">IF(AND(ISNUMBER(O3641),ISNUMBER(P3641)),Coef_A+Coef_B1*O3641+Coef_B2*P3641,"")</f>
        <v>24.1674891466002</v>
      </c>
      <c r="U3641" s="84" t="n">
        <f aca="false">IF(AND(R3641=1,ISNUMBER(T3641)),E3641-T3641,"")</f>
        <v>-1.56748914660018</v>
      </c>
      <c r="V3641" s="84" t="n">
        <f aca="false">IF(ISNUMBER(T3641),T3641,-99)</f>
        <v>24.1674891466002</v>
      </c>
      <c r="W3641" s="84" t="n">
        <f aca="false">IF(ISNUMBER(U3641),ABS(U3641),"")</f>
        <v>1.56748914660018</v>
      </c>
    </row>
    <row r="3642" customFormat="false" ht="15" hidden="false" customHeight="false" outlineLevel="0" collapsed="false">
      <c r="A3642" s="57" t="n">
        <v>37498</v>
      </c>
      <c r="B3642" s="56" t="n">
        <v>2002</v>
      </c>
      <c r="C3642" s="56" t="n">
        <v>8</v>
      </c>
      <c r="D3642" s="56" t="n">
        <v>122</v>
      </c>
      <c r="E3642" s="56" t="n">
        <v>20.9</v>
      </c>
      <c r="F3642" s="56" t="n">
        <v>0</v>
      </c>
      <c r="G3642" s="56" t="n">
        <v>16.1</v>
      </c>
      <c r="H3642" s="56" t="n">
        <v>0</v>
      </c>
      <c r="I3642" s="56" t="n">
        <v>19.4</v>
      </c>
      <c r="J3642" s="56" t="n">
        <v>0</v>
      </c>
      <c r="K3642" s="56" t="n">
        <v>1017.1</v>
      </c>
      <c r="L3642" s="56" t="n">
        <v>0</v>
      </c>
      <c r="M3642" s="56" t="n">
        <v>81</v>
      </c>
      <c r="N3642" s="56" t="n">
        <v>1.8</v>
      </c>
      <c r="O3642" s="56" t="n">
        <f aca="false">IF(D3642=1,"",E3641)</f>
        <v>22.6</v>
      </c>
      <c r="P3642" s="56" t="n">
        <f aca="false">IF(OR(D3642=1,K3641=""),"",K3641)</f>
        <v>1019</v>
      </c>
      <c r="Q3642" s="56" t="n">
        <f aca="false">IF(OR(F3642&lt;&gt;0,AND(I3642&lt;&gt;"",E3642&lt;I3642)),1,0)</f>
        <v>0</v>
      </c>
      <c r="R3642" s="56" t="n">
        <f aca="false">IF(AND(D3642&gt;1,Q3642=0,ISNUMBER(O3642),ISNUMBER(P3642)),IF(Q3641=0,1,0),0)</f>
        <v>1</v>
      </c>
      <c r="S3642" s="56" t="n">
        <f aca="false">R3642*(B3642&gt;=Train_Start)*(B3642&lt;=Train_End)</f>
        <v>0</v>
      </c>
      <c r="T3642" s="84" t="n">
        <f aca="false">IF(AND(ISNUMBER(O3642),ISNUMBER(P3642)),Coef_A+Coef_B1*O3642+Coef_B2*P3642,"")</f>
        <v>22.569963816795</v>
      </c>
      <c r="U3642" s="84" t="n">
        <f aca="false">IF(AND(R3642=1,ISNUMBER(T3642)),E3642-T3642,"")</f>
        <v>-1.66996381679495</v>
      </c>
      <c r="V3642" s="84" t="n">
        <f aca="false">IF(ISNUMBER(T3642),T3642,-99)</f>
        <v>22.569963816795</v>
      </c>
      <c r="W3642" s="84" t="n">
        <f aca="false">IF(ISNUMBER(U3642),ABS(U3642),"")</f>
        <v>1.66996381679495</v>
      </c>
    </row>
    <row r="3643" customFormat="false" ht="15" hidden="false" customHeight="false" outlineLevel="0" collapsed="false">
      <c r="A3643" s="57" t="n">
        <v>37499</v>
      </c>
      <c r="B3643" s="56" t="n">
        <v>2002</v>
      </c>
      <c r="C3643" s="56" t="n">
        <v>8</v>
      </c>
      <c r="D3643" s="56" t="n">
        <v>123</v>
      </c>
      <c r="E3643" s="56" t="n">
        <v>21.1</v>
      </c>
      <c r="F3643" s="56" t="n">
        <v>0</v>
      </c>
      <c r="G3643" s="56" t="n">
        <v>13.5</v>
      </c>
      <c r="H3643" s="56" t="n">
        <v>0</v>
      </c>
      <c r="I3643" s="56" t="n">
        <v>17.2</v>
      </c>
      <c r="J3643" s="56" t="n">
        <v>0</v>
      </c>
      <c r="K3643" s="56" t="n">
        <v>1024.1</v>
      </c>
      <c r="L3643" s="56" t="n">
        <v>0</v>
      </c>
      <c r="M3643" s="56" t="n">
        <v>62</v>
      </c>
      <c r="N3643" s="56" t="n">
        <v>10.2</v>
      </c>
      <c r="O3643" s="56" t="n">
        <f aca="false">IF(D3643=1,"",E3642)</f>
        <v>20.9</v>
      </c>
      <c r="P3643" s="56" t="n">
        <f aca="false">IF(OR(D3643=1,K3642=""),"",K3642)</f>
        <v>1017.1</v>
      </c>
      <c r="Q3643" s="56" t="n">
        <f aca="false">IF(OR(F3643&lt;&gt;0,AND(I3643&lt;&gt;"",E3643&lt;I3643)),1,0)</f>
        <v>0</v>
      </c>
      <c r="R3643" s="56" t="n">
        <f aca="false">IF(AND(D3643&gt;1,Q3643=0,ISNUMBER(O3643),ISNUMBER(P3643)),IF(Q3642=0,1,0),0)</f>
        <v>1</v>
      </c>
      <c r="S3643" s="56" t="n">
        <f aca="false">R3643*(B3643&gt;=Train_Start)*(B3643&lt;=Train_End)</f>
        <v>0</v>
      </c>
      <c r="T3643" s="84" t="n">
        <f aca="false">IF(AND(ISNUMBER(O3643),ISNUMBER(P3643)),Coef_A+Coef_B1*O3643+Coef_B2*P3643,"")</f>
        <v>21.1174843888179</v>
      </c>
      <c r="U3643" s="84" t="n">
        <f aca="false">IF(AND(R3643=1,ISNUMBER(T3643)),E3643-T3643,"")</f>
        <v>-0.0174843888178522</v>
      </c>
      <c r="V3643" s="84" t="n">
        <f aca="false">IF(ISNUMBER(T3643),T3643,-99)</f>
        <v>21.1174843888179</v>
      </c>
      <c r="W3643" s="84" t="n">
        <f aca="false">IF(ISNUMBER(U3643),ABS(U3643),"")</f>
        <v>0.0174843888178522</v>
      </c>
    </row>
    <row r="3644" customFormat="false" ht="15" hidden="false" customHeight="false" outlineLevel="0" collapsed="false">
      <c r="A3644" s="57" t="n">
        <v>37500</v>
      </c>
      <c r="B3644" s="56" t="n">
        <v>2002</v>
      </c>
      <c r="C3644" s="56" t="n">
        <v>9</v>
      </c>
      <c r="D3644" s="56" t="n">
        <v>124</v>
      </c>
      <c r="E3644" s="56" t="n">
        <v>22.9</v>
      </c>
      <c r="F3644" s="56" t="n">
        <v>0</v>
      </c>
      <c r="G3644" s="56" t="n">
        <v>9.3</v>
      </c>
      <c r="H3644" s="56" t="n">
        <v>0</v>
      </c>
      <c r="I3644" s="56" t="n">
        <v>15.2</v>
      </c>
      <c r="J3644" s="56" t="n">
        <v>0</v>
      </c>
      <c r="K3644" s="56" t="n">
        <v>1030.8</v>
      </c>
      <c r="L3644" s="56" t="n">
        <v>0</v>
      </c>
      <c r="M3644" s="56" t="n">
        <v>60</v>
      </c>
      <c r="N3644" s="56" t="n">
        <v>10.9</v>
      </c>
      <c r="O3644" s="56" t="n">
        <f aca="false">IF(D3644=1,"",E3643)</f>
        <v>21.1</v>
      </c>
      <c r="P3644" s="56" t="n">
        <f aca="false">IF(OR(D3644=1,K3643=""),"",K3643)</f>
        <v>1024.1</v>
      </c>
      <c r="Q3644" s="56" t="n">
        <f aca="false">IF(OR(F3644&lt;&gt;0,AND(I3644&lt;&gt;"",E3644&lt;I3644)),1,0)</f>
        <v>0</v>
      </c>
      <c r="R3644" s="56" t="n">
        <f aca="false">IF(AND(D3644&gt;1,Q3644=0,ISNUMBER(O3644),ISNUMBER(P3644)),IF(Q3643=0,1,0),0)</f>
        <v>1</v>
      </c>
      <c r="S3644" s="56" t="n">
        <f aca="false">R3644*(B3644&gt;=Train_Start)*(B3644&lt;=Train_End)</f>
        <v>0</v>
      </c>
      <c r="T3644" s="84" t="n">
        <f aca="false">IF(AND(ISNUMBER(O3644),ISNUMBER(P3644)),Coef_A+Coef_B1*O3644+Coef_B2*P3644,"")</f>
        <v>21.5009414898643</v>
      </c>
      <c r="U3644" s="84" t="n">
        <f aca="false">IF(AND(R3644=1,ISNUMBER(T3644)),E3644-T3644,"")</f>
        <v>1.3990585101357</v>
      </c>
      <c r="V3644" s="84" t="n">
        <f aca="false">IF(ISNUMBER(T3644),T3644,-99)</f>
        <v>21.5009414898643</v>
      </c>
      <c r="W3644" s="84" t="n">
        <f aca="false">IF(ISNUMBER(U3644),ABS(U3644),"")</f>
        <v>1.3990585101357</v>
      </c>
    </row>
    <row r="3645" customFormat="false" ht="15" hidden="false" customHeight="false" outlineLevel="0" collapsed="false">
      <c r="A3645" s="57" t="n">
        <v>37501</v>
      </c>
      <c r="B3645" s="56" t="n">
        <v>2002</v>
      </c>
      <c r="C3645" s="56" t="n">
        <v>9</v>
      </c>
      <c r="D3645" s="56" t="n">
        <v>125</v>
      </c>
      <c r="E3645" s="56" t="n">
        <v>24</v>
      </c>
      <c r="F3645" s="56" t="n">
        <v>0</v>
      </c>
      <c r="G3645" s="56" t="n">
        <v>10.2</v>
      </c>
      <c r="H3645" s="56" t="n">
        <v>0</v>
      </c>
      <c r="I3645" s="56" t="n">
        <v>16.6</v>
      </c>
      <c r="J3645" s="56" t="n">
        <v>0</v>
      </c>
      <c r="K3645" s="56" t="n">
        <v>1027.4</v>
      </c>
      <c r="L3645" s="56" t="n">
        <v>0</v>
      </c>
      <c r="M3645" s="56" t="n">
        <v>64</v>
      </c>
      <c r="N3645" s="56" t="n">
        <v>10.2</v>
      </c>
      <c r="O3645" s="56" t="n">
        <f aca="false">IF(D3645=1,"",E3644)</f>
        <v>22.9</v>
      </c>
      <c r="P3645" s="56" t="n">
        <f aca="false">IF(OR(D3645=1,K3644=""),"",K3644)</f>
        <v>1030.8</v>
      </c>
      <c r="Q3645" s="56" t="n">
        <f aca="false">IF(OR(F3645&lt;&gt;0,AND(I3645&lt;&gt;"",E3645&lt;I3645)),1,0)</f>
        <v>0</v>
      </c>
      <c r="R3645" s="56" t="n">
        <f aca="false">IF(AND(D3645&gt;1,Q3645=0,ISNUMBER(O3645),ISNUMBER(P3645)),IF(Q3644=0,1,0),0)</f>
        <v>1</v>
      </c>
      <c r="S3645" s="56" t="n">
        <f aca="false">R3645*(B3645&gt;=Train_Start)*(B3645&lt;=Train_End)</f>
        <v>0</v>
      </c>
      <c r="T3645" s="84" t="n">
        <f aca="false">IF(AND(ISNUMBER(O3645),ISNUMBER(P3645)),Coef_A+Coef_B1*O3645+Coef_B2*P3645,"")</f>
        <v>23.1859303313888</v>
      </c>
      <c r="U3645" s="84" t="n">
        <f aca="false">IF(AND(R3645=1,ISNUMBER(T3645)),E3645-T3645,"")</f>
        <v>0.814069668611179</v>
      </c>
      <c r="V3645" s="84" t="n">
        <f aca="false">IF(ISNUMBER(T3645),T3645,-99)</f>
        <v>23.1859303313888</v>
      </c>
      <c r="W3645" s="84" t="n">
        <f aca="false">IF(ISNUMBER(U3645),ABS(U3645),"")</f>
        <v>0.814069668611179</v>
      </c>
    </row>
    <row r="3646" customFormat="false" ht="15" hidden="false" customHeight="false" outlineLevel="0" collapsed="false">
      <c r="A3646" s="57" t="n">
        <v>37502</v>
      </c>
      <c r="B3646" s="56" t="n">
        <v>2002</v>
      </c>
      <c r="C3646" s="56" t="n">
        <v>9</v>
      </c>
      <c r="D3646" s="56" t="n">
        <v>126</v>
      </c>
      <c r="E3646" s="56" t="n">
        <v>23.4</v>
      </c>
      <c r="F3646" s="56" t="n">
        <v>0</v>
      </c>
      <c r="G3646" s="56" t="n">
        <v>14.7</v>
      </c>
      <c r="H3646" s="56" t="n">
        <v>0</v>
      </c>
      <c r="I3646" s="56" t="n">
        <v>19.4</v>
      </c>
      <c r="J3646" s="56" t="n">
        <v>0</v>
      </c>
      <c r="K3646" s="56" t="n">
        <v>1017</v>
      </c>
      <c r="L3646" s="56" t="n">
        <v>0</v>
      </c>
      <c r="M3646" s="56" t="n">
        <v>70</v>
      </c>
      <c r="N3646" s="56" t="n">
        <v>3.1</v>
      </c>
      <c r="O3646" s="56" t="n">
        <f aca="false">IF(D3646=1,"",E3645)</f>
        <v>24</v>
      </c>
      <c r="P3646" s="56" t="n">
        <f aca="false">IF(OR(D3646=1,K3645=""),"",K3645)</f>
        <v>1027.4</v>
      </c>
      <c r="Q3646" s="56" t="n">
        <f aca="false">IF(OR(F3646&lt;&gt;0,AND(I3646&lt;&gt;"",E3646&lt;I3646)),1,0)</f>
        <v>0</v>
      </c>
      <c r="R3646" s="56" t="n">
        <f aca="false">IF(AND(D3646&gt;1,Q3646=0,ISNUMBER(O3646),ISNUMBER(P3646)),IF(Q3645=0,1,0),0)</f>
        <v>1</v>
      </c>
      <c r="S3646" s="56" t="n">
        <f aca="false">R3646*(B3646&gt;=Train_Start)*(B3646&lt;=Train_End)</f>
        <v>0</v>
      </c>
      <c r="T3646" s="84" t="n">
        <f aca="false">IF(AND(ISNUMBER(O3646),ISNUMBER(P3646)),Coef_A+Coef_B1*O3646+Coef_B2*P3646,"")</f>
        <v>23.9805458019802</v>
      </c>
      <c r="U3646" s="84" t="n">
        <f aca="false">IF(AND(R3646=1,ISNUMBER(T3646)),E3646-T3646,"")</f>
        <v>-0.580545801980186</v>
      </c>
      <c r="V3646" s="84" t="n">
        <f aca="false">IF(ISNUMBER(T3646),T3646,-99)</f>
        <v>23.9805458019802</v>
      </c>
      <c r="W3646" s="84" t="n">
        <f aca="false">IF(ISNUMBER(U3646),ABS(U3646),"")</f>
        <v>0.580545801980186</v>
      </c>
    </row>
    <row r="3647" customFormat="false" ht="15" hidden="false" customHeight="false" outlineLevel="0" collapsed="false">
      <c r="A3647" s="57" t="n">
        <v>37503</v>
      </c>
      <c r="B3647" s="56" t="n">
        <v>2002</v>
      </c>
      <c r="C3647" s="56" t="n">
        <v>9</v>
      </c>
      <c r="D3647" s="56" t="n">
        <v>127</v>
      </c>
      <c r="E3647" s="56" t="n">
        <v>23.4</v>
      </c>
      <c r="F3647" s="56" t="n">
        <v>0</v>
      </c>
      <c r="G3647" s="56" t="n">
        <v>11.3</v>
      </c>
      <c r="H3647" s="56" t="n">
        <v>0</v>
      </c>
      <c r="I3647" s="56" t="n">
        <v>17.4</v>
      </c>
      <c r="J3647" s="56" t="n">
        <v>0</v>
      </c>
      <c r="K3647" s="56" t="n">
        <v>1011.6</v>
      </c>
      <c r="L3647" s="56" t="n">
        <v>0</v>
      </c>
      <c r="M3647" s="56" t="n">
        <v>66</v>
      </c>
      <c r="N3647" s="56" t="n">
        <v>8.3</v>
      </c>
      <c r="O3647" s="56" t="n">
        <f aca="false">IF(D3647=1,"",E3646)</f>
        <v>23.4</v>
      </c>
      <c r="P3647" s="56" t="n">
        <f aca="false">IF(OR(D3647=1,K3646=""),"",K3646)</f>
        <v>1017</v>
      </c>
      <c r="Q3647" s="56" t="n">
        <f aca="false">IF(OR(F3647&lt;&gt;0,AND(I3647&lt;&gt;"",E3647&lt;I3647)),1,0)</f>
        <v>0</v>
      </c>
      <c r="R3647" s="56" t="n">
        <f aca="false">IF(AND(D3647&gt;1,Q3647=0,ISNUMBER(O3647),ISNUMBER(P3647)),IF(Q3646=0,1,0),0)</f>
        <v>1</v>
      </c>
      <c r="S3647" s="56" t="n">
        <f aca="false">R3647*(B3647&gt;=Train_Start)*(B3647&lt;=Train_End)</f>
        <v>0</v>
      </c>
      <c r="T3647" s="84" t="n">
        <f aca="false">IF(AND(ISNUMBER(O3647),ISNUMBER(P3647)),Coef_A+Coef_B1*O3647+Coef_B2*P3647,"")</f>
        <v>23.1626953819611</v>
      </c>
      <c r="U3647" s="84" t="n">
        <f aca="false">IF(AND(R3647=1,ISNUMBER(T3647)),E3647-T3647,"")</f>
        <v>0.237304618038902</v>
      </c>
      <c r="V3647" s="84" t="n">
        <f aca="false">IF(ISNUMBER(T3647),T3647,-99)</f>
        <v>23.1626953819611</v>
      </c>
      <c r="W3647" s="84" t="n">
        <f aca="false">IF(ISNUMBER(U3647),ABS(U3647),"")</f>
        <v>0.237304618038902</v>
      </c>
    </row>
    <row r="3648" customFormat="false" ht="15" hidden="false" customHeight="false" outlineLevel="0" collapsed="false">
      <c r="A3648" s="57" t="n">
        <v>37504</v>
      </c>
      <c r="B3648" s="56" t="n">
        <v>2002</v>
      </c>
      <c r="C3648" s="56" t="n">
        <v>9</v>
      </c>
      <c r="D3648" s="56" t="n">
        <v>128</v>
      </c>
      <c r="E3648" s="56" t="n">
        <v>22.7</v>
      </c>
      <c r="F3648" s="56" t="n">
        <v>0</v>
      </c>
      <c r="G3648" s="56" t="n">
        <v>12.7</v>
      </c>
      <c r="H3648" s="56" t="n">
        <v>0</v>
      </c>
      <c r="I3648" s="56" t="n">
        <v>18</v>
      </c>
      <c r="J3648" s="56" t="n">
        <v>0</v>
      </c>
      <c r="K3648" s="56" t="n">
        <v>1013.2</v>
      </c>
      <c r="L3648" s="56" t="n">
        <v>0</v>
      </c>
      <c r="M3648" s="56" t="n">
        <v>71</v>
      </c>
      <c r="N3648" s="56" t="n">
        <v>7.6</v>
      </c>
      <c r="O3648" s="56" t="n">
        <f aca="false">IF(D3648=1,"",E3647)</f>
        <v>23.4</v>
      </c>
      <c r="P3648" s="56" t="n">
        <f aca="false">IF(OR(D3648=1,K3647=""),"",K3647)</f>
        <v>1011.6</v>
      </c>
      <c r="Q3648" s="56" t="n">
        <f aca="false">IF(OR(F3648&lt;&gt;0,AND(I3648&lt;&gt;"",E3648&lt;I3648)),1,0)</f>
        <v>0</v>
      </c>
      <c r="R3648" s="56" t="n">
        <f aca="false">IF(AND(D3648&gt;1,Q3648=0,ISNUMBER(O3648),ISNUMBER(P3648)),IF(Q3647=0,1,0),0)</f>
        <v>1</v>
      </c>
      <c r="S3648" s="56" t="n">
        <f aca="false">R3648*(B3648&gt;=Train_Start)*(B3648&lt;=Train_End)</f>
        <v>0</v>
      </c>
      <c r="T3648" s="84" t="n">
        <f aca="false">IF(AND(ISNUMBER(O3648),ISNUMBER(P3648)),Coef_A+Coef_B1*O3648+Coef_B2*P3648,"")</f>
        <v>22.9932979509376</v>
      </c>
      <c r="U3648" s="84" t="n">
        <f aca="false">IF(AND(R3648=1,ISNUMBER(T3648)),E3648-T3648,"")</f>
        <v>-0.293297950937554</v>
      </c>
      <c r="V3648" s="84" t="n">
        <f aca="false">IF(ISNUMBER(T3648),T3648,-99)</f>
        <v>22.9932979509376</v>
      </c>
      <c r="W3648" s="84" t="n">
        <f aca="false">IF(ISNUMBER(U3648),ABS(U3648),"")</f>
        <v>0.293297950937554</v>
      </c>
    </row>
    <row r="3649" customFormat="false" ht="15" hidden="false" customHeight="false" outlineLevel="0" collapsed="false">
      <c r="A3649" s="57" t="n">
        <v>37505</v>
      </c>
      <c r="B3649" s="56" t="n">
        <v>2002</v>
      </c>
      <c r="C3649" s="56" t="n">
        <v>9</v>
      </c>
      <c r="D3649" s="56" t="n">
        <v>129</v>
      </c>
      <c r="E3649" s="56" t="n">
        <v>21</v>
      </c>
      <c r="F3649" s="56" t="n">
        <v>0</v>
      </c>
      <c r="G3649" s="56" t="n">
        <v>15.6</v>
      </c>
      <c r="H3649" s="56" t="n">
        <v>0</v>
      </c>
      <c r="I3649" s="56" t="n">
        <v>19.2</v>
      </c>
      <c r="J3649" s="56" t="n">
        <v>0</v>
      </c>
      <c r="K3649" s="56" t="n">
        <v>1011.8</v>
      </c>
      <c r="L3649" s="56" t="n">
        <v>0</v>
      </c>
      <c r="M3649" s="56" t="n">
        <v>73</v>
      </c>
      <c r="N3649" s="56" t="n">
        <v>5</v>
      </c>
      <c r="O3649" s="56" t="n">
        <f aca="false">IF(D3649=1,"",E3648)</f>
        <v>22.7</v>
      </c>
      <c r="P3649" s="56" t="n">
        <f aca="false">IF(OR(D3649=1,K3648=""),"",K3648)</f>
        <v>1013.2</v>
      </c>
      <c r="Q3649" s="56" t="n">
        <f aca="false">IF(OR(F3649&lt;&gt;0,AND(I3649&lt;&gt;"",E3649&lt;I3649)),1,0)</f>
        <v>0</v>
      </c>
      <c r="R3649" s="56" t="n">
        <f aca="false">IF(AND(D3649&gt;1,Q3649=0,ISNUMBER(O3649),ISNUMBER(P3649)),IF(Q3648=0,1,0),0)</f>
        <v>1</v>
      </c>
      <c r="S3649" s="56" t="n">
        <f aca="false">R3649*(B3649&gt;=Train_Start)*(B3649&lt;=Train_End)</f>
        <v>0</v>
      </c>
      <c r="T3649" s="84" t="n">
        <f aca="false">IF(AND(ISNUMBER(O3649),ISNUMBER(P3649)),Coef_A+Coef_B1*O3649+Coef_B2*P3649,"")</f>
        <v>22.4699523472221</v>
      </c>
      <c r="U3649" s="84" t="n">
        <f aca="false">IF(AND(R3649=1,ISNUMBER(T3649)),E3649-T3649,"")</f>
        <v>-1.46995234722208</v>
      </c>
      <c r="V3649" s="84" t="n">
        <f aca="false">IF(ISNUMBER(T3649),T3649,-99)</f>
        <v>22.4699523472221</v>
      </c>
      <c r="W3649" s="84" t="n">
        <f aca="false">IF(ISNUMBER(U3649),ABS(U3649),"")</f>
        <v>1.46995234722208</v>
      </c>
    </row>
    <row r="3650" customFormat="false" ht="15" hidden="false" customHeight="false" outlineLevel="0" collapsed="false">
      <c r="A3650" s="57" t="n">
        <v>37506</v>
      </c>
      <c r="B3650" s="56" t="n">
        <v>2002</v>
      </c>
      <c r="C3650" s="56" t="n">
        <v>9</v>
      </c>
      <c r="D3650" s="56" t="n">
        <v>130</v>
      </c>
      <c r="E3650" s="56" t="n">
        <v>20.6</v>
      </c>
      <c r="F3650" s="56" t="n">
        <v>0</v>
      </c>
      <c r="G3650" s="56" t="n">
        <v>13.7</v>
      </c>
      <c r="H3650" s="56" t="n">
        <v>0</v>
      </c>
      <c r="I3650" s="56" t="n">
        <v>17.4</v>
      </c>
      <c r="J3650" s="56" t="n">
        <v>0</v>
      </c>
      <c r="K3650" s="56" t="n">
        <v>1007.5</v>
      </c>
      <c r="L3650" s="56" t="n">
        <v>0</v>
      </c>
      <c r="M3650" s="56" t="n">
        <v>74</v>
      </c>
      <c r="N3650" s="56" t="n">
        <v>7.3</v>
      </c>
      <c r="O3650" s="56" t="n">
        <f aca="false">IF(D3650=1,"",E3649)</f>
        <v>21</v>
      </c>
      <c r="P3650" s="56" t="n">
        <f aca="false">IF(OR(D3650=1,K3649=""),"",K3649)</f>
        <v>1011.8</v>
      </c>
      <c r="Q3650" s="56" t="n">
        <f aca="false">IF(OR(F3650&lt;&gt;0,AND(I3650&lt;&gt;"",E3650&lt;I3650)),1,0)</f>
        <v>0</v>
      </c>
      <c r="R3650" s="56" t="n">
        <f aca="false">IF(AND(D3650&gt;1,Q3650=0,ISNUMBER(O3650),ISNUMBER(P3650)),IF(Q3649=0,1,0),0)</f>
        <v>1</v>
      </c>
      <c r="S3650" s="56" t="n">
        <f aca="false">R3650*(B3650&gt;=Train_Start)*(B3650&lt;=Train_End)</f>
        <v>0</v>
      </c>
      <c r="T3650" s="84" t="n">
        <f aca="false">IF(AND(ISNUMBER(O3650),ISNUMBER(P3650)),Coef_A+Coef_B1*O3650+Coef_B2*P3650,"")</f>
        <v>21.033157866562</v>
      </c>
      <c r="U3650" s="84" t="n">
        <f aca="false">IF(AND(R3650=1,ISNUMBER(T3650)),E3650-T3650,"")</f>
        <v>-0.43315786656197</v>
      </c>
      <c r="V3650" s="84" t="n">
        <f aca="false">IF(ISNUMBER(T3650),T3650,-99)</f>
        <v>21.033157866562</v>
      </c>
      <c r="W3650" s="84" t="n">
        <f aca="false">IF(ISNUMBER(U3650),ABS(U3650),"")</f>
        <v>0.43315786656197</v>
      </c>
    </row>
    <row r="3651" customFormat="false" ht="15" hidden="false" customHeight="false" outlineLevel="0" collapsed="false">
      <c r="A3651" s="57" t="n">
        <v>37507</v>
      </c>
      <c r="B3651" s="56" t="n">
        <v>2002</v>
      </c>
      <c r="C3651" s="56" t="n">
        <v>9</v>
      </c>
      <c r="D3651" s="56" t="n">
        <v>131</v>
      </c>
      <c r="E3651" s="56" t="n">
        <v>15.6</v>
      </c>
      <c r="F3651" s="56" t="n">
        <v>0</v>
      </c>
      <c r="G3651" s="56" t="n">
        <v>10.1</v>
      </c>
      <c r="H3651" s="56" t="n">
        <v>0</v>
      </c>
      <c r="I3651" s="56" t="n">
        <v>15.4</v>
      </c>
      <c r="J3651" s="56" t="n">
        <v>0</v>
      </c>
      <c r="K3651" s="56" t="n">
        <v>1007.3</v>
      </c>
      <c r="L3651" s="56" t="n">
        <v>0</v>
      </c>
      <c r="M3651" s="56" t="n">
        <v>73</v>
      </c>
      <c r="N3651" s="56" t="n">
        <v>6.7</v>
      </c>
      <c r="O3651" s="56" t="n">
        <f aca="false">IF(D3651=1,"",E3650)</f>
        <v>20.6</v>
      </c>
      <c r="P3651" s="56" t="n">
        <f aca="false">IF(OR(D3651=1,K3650=""),"",K3650)</f>
        <v>1007.5</v>
      </c>
      <c r="Q3651" s="56" t="n">
        <f aca="false">IF(OR(F3651&lt;&gt;0,AND(I3651&lt;&gt;"",E3651&lt;I3651)),1,0)</f>
        <v>0</v>
      </c>
      <c r="R3651" s="56" t="n">
        <f aca="false">IF(AND(D3651&gt;1,Q3651=0,ISNUMBER(O3651),ISNUMBER(P3651)),IF(Q3650=0,1,0),0)</f>
        <v>1</v>
      </c>
      <c r="S3651" s="56" t="n">
        <f aca="false">R3651*(B3651&gt;=Train_Start)*(B3651&lt;=Train_End)</f>
        <v>0</v>
      </c>
      <c r="T3651" s="84" t="n">
        <f aca="false">IF(AND(ISNUMBER(O3651),ISNUMBER(P3651)),Coef_A+Coef_B1*O3651+Coef_B2*P3651,"")</f>
        <v>20.5705316424188</v>
      </c>
      <c r="U3651" s="84" t="n">
        <f aca="false">IF(AND(R3651=1,ISNUMBER(T3651)),E3651-T3651,"")</f>
        <v>-4.97053164241876</v>
      </c>
      <c r="V3651" s="84" t="n">
        <f aca="false">IF(ISNUMBER(T3651),T3651,-99)</f>
        <v>20.5705316424188</v>
      </c>
      <c r="W3651" s="84" t="n">
        <f aca="false">IF(ISNUMBER(U3651),ABS(U3651),"")</f>
        <v>4.97053164241876</v>
      </c>
    </row>
    <row r="3652" customFormat="false" ht="15" hidden="false" customHeight="false" outlineLevel="0" collapsed="false">
      <c r="A3652" s="57" t="n">
        <v>37508</v>
      </c>
      <c r="B3652" s="56" t="n">
        <v>2002</v>
      </c>
      <c r="C3652" s="56" t="n">
        <v>9</v>
      </c>
      <c r="D3652" s="56" t="n">
        <v>132</v>
      </c>
      <c r="E3652" s="56" t="n">
        <v>21.1</v>
      </c>
      <c r="F3652" s="56" t="n">
        <v>0</v>
      </c>
      <c r="G3652" s="56" t="n">
        <v>11.7</v>
      </c>
      <c r="H3652" s="56" t="n">
        <v>0</v>
      </c>
      <c r="I3652" s="56" t="n">
        <v>13.6</v>
      </c>
      <c r="J3652" s="56" t="n">
        <v>0</v>
      </c>
      <c r="K3652" s="56" t="n">
        <v>1006.8</v>
      </c>
      <c r="L3652" s="56" t="n">
        <v>0</v>
      </c>
      <c r="M3652" s="56" t="n">
        <v>91</v>
      </c>
      <c r="N3652" s="56" t="n">
        <v>0</v>
      </c>
      <c r="O3652" s="56" t="n">
        <f aca="false">IF(D3652=1,"",E3651)</f>
        <v>15.6</v>
      </c>
      <c r="P3652" s="56" t="n">
        <f aca="false">IF(OR(D3652=1,K3651=""),"",K3651)</f>
        <v>1007.3</v>
      </c>
      <c r="Q3652" s="56" t="n">
        <f aca="false">IF(OR(F3652&lt;&gt;0,AND(I3652&lt;&gt;"",E3652&lt;I3652)),1,0)</f>
        <v>0</v>
      </c>
      <c r="R3652" s="56" t="n">
        <f aca="false">IF(AND(D3652&gt;1,Q3652=0,ISNUMBER(O3652),ISNUMBER(P3652)),IF(Q3651=0,1,0),0)</f>
        <v>1</v>
      </c>
      <c r="S3652" s="56" t="n">
        <f aca="false">R3652*(B3652&gt;=Train_Start)*(B3652&lt;=Train_End)</f>
        <v>0</v>
      </c>
      <c r="T3652" s="84" t="n">
        <f aca="false">IF(AND(ISNUMBER(O3652),ISNUMBER(P3652)),Coef_A+Coef_B1*O3652+Coef_B2*P3652,"")</f>
        <v>16.4675616982787</v>
      </c>
      <c r="U3652" s="84" t="n">
        <f aca="false">IF(AND(R3652=1,ISNUMBER(T3652)),E3652-T3652,"")</f>
        <v>4.63243830172133</v>
      </c>
      <c r="V3652" s="84" t="n">
        <f aca="false">IF(ISNUMBER(T3652),T3652,-99)</f>
        <v>16.4675616982787</v>
      </c>
      <c r="W3652" s="84" t="n">
        <f aca="false">IF(ISNUMBER(U3652),ABS(U3652),"")</f>
        <v>4.63243830172133</v>
      </c>
    </row>
    <row r="3653" customFormat="false" ht="15" hidden="false" customHeight="false" outlineLevel="0" collapsed="false">
      <c r="A3653" s="57" t="n">
        <v>37509</v>
      </c>
      <c r="B3653" s="56" t="n">
        <v>2002</v>
      </c>
      <c r="C3653" s="56" t="n">
        <v>9</v>
      </c>
      <c r="D3653" s="56" t="n">
        <v>133</v>
      </c>
      <c r="E3653" s="56" t="n">
        <v>22.4</v>
      </c>
      <c r="F3653" s="56" t="n">
        <v>0</v>
      </c>
      <c r="G3653" s="56" t="n">
        <v>10</v>
      </c>
      <c r="H3653" s="56" t="n">
        <v>0</v>
      </c>
      <c r="I3653" s="56" t="n">
        <v>15.6</v>
      </c>
      <c r="J3653" s="56" t="n">
        <v>0</v>
      </c>
      <c r="K3653" s="56" t="n">
        <v>1019.8</v>
      </c>
      <c r="L3653" s="56" t="n">
        <v>0</v>
      </c>
      <c r="M3653" s="56" t="n">
        <v>71</v>
      </c>
      <c r="N3653" s="56" t="n">
        <v>11.5</v>
      </c>
      <c r="O3653" s="56" t="n">
        <f aca="false">IF(D3653=1,"",E3652)</f>
        <v>21.1</v>
      </c>
      <c r="P3653" s="56" t="n">
        <f aca="false">IF(OR(D3653=1,K3652=""),"",K3652)</f>
        <v>1006.8</v>
      </c>
      <c r="Q3653" s="56" t="n">
        <f aca="false">IF(OR(F3653&lt;&gt;0,AND(I3653&lt;&gt;"",E3653&lt;I3653)),1,0)</f>
        <v>0</v>
      </c>
      <c r="R3653" s="56" t="n">
        <f aca="false">IF(AND(D3653&gt;1,Q3653=0,ISNUMBER(O3653),ISNUMBER(P3653)),IF(Q3652=0,1,0),0)</f>
        <v>1</v>
      </c>
      <c r="S3653" s="56" t="n">
        <f aca="false">R3653*(B3653&gt;=Train_Start)*(B3653&lt;=Train_End)</f>
        <v>0</v>
      </c>
      <c r="T3653" s="84" t="n">
        <f aca="false">IF(AND(ISNUMBER(O3653),ISNUMBER(P3653)),Coef_A+Coef_B1*O3653+Coef_B2*P3653,"")</f>
        <v>20.9582423126963</v>
      </c>
      <c r="U3653" s="84" t="n">
        <f aca="false">IF(AND(R3653=1,ISNUMBER(T3653)),E3653-T3653,"")</f>
        <v>1.44175768730371</v>
      </c>
      <c r="V3653" s="84" t="n">
        <f aca="false">IF(ISNUMBER(T3653),T3653,-99)</f>
        <v>20.9582423126963</v>
      </c>
      <c r="W3653" s="84" t="n">
        <f aca="false">IF(ISNUMBER(U3653),ABS(U3653),"")</f>
        <v>1.44175768730371</v>
      </c>
    </row>
    <row r="3654" customFormat="false" ht="15" hidden="false" customHeight="false" outlineLevel="0" collapsed="false">
      <c r="A3654" s="57" t="n">
        <v>37510</v>
      </c>
      <c r="B3654" s="56" t="n">
        <v>2002</v>
      </c>
      <c r="C3654" s="56" t="n">
        <v>9</v>
      </c>
      <c r="D3654" s="56" t="n">
        <v>134</v>
      </c>
      <c r="E3654" s="56" t="n">
        <v>23.5</v>
      </c>
      <c r="F3654" s="56" t="n">
        <v>0</v>
      </c>
      <c r="G3654" s="56" t="n">
        <v>9.9</v>
      </c>
      <c r="H3654" s="56" t="n">
        <v>0</v>
      </c>
      <c r="I3654" s="56" t="n">
        <v>16.2</v>
      </c>
      <c r="J3654" s="56" t="n">
        <v>0</v>
      </c>
      <c r="K3654" s="56" t="n">
        <v>1026.1</v>
      </c>
      <c r="L3654" s="56" t="n">
        <v>0</v>
      </c>
      <c r="M3654" s="56" t="n">
        <v>72</v>
      </c>
      <c r="N3654" s="56" t="n">
        <v>9.6</v>
      </c>
      <c r="O3654" s="56" t="n">
        <f aca="false">IF(D3654=1,"",E3653)</f>
        <v>22.4</v>
      </c>
      <c r="P3654" s="56" t="n">
        <f aca="false">IF(OR(D3654=1,K3653=""),"",K3653)</f>
        <v>1019.8</v>
      </c>
      <c r="Q3654" s="56" t="n">
        <f aca="false">IF(OR(F3654&lt;&gt;0,AND(I3654&lt;&gt;"",E3654&lt;I3654)),1,0)</f>
        <v>0</v>
      </c>
      <c r="R3654" s="56" t="n">
        <f aca="false">IF(AND(D3654&gt;1,Q3654=0,ISNUMBER(O3654),ISNUMBER(P3654)),IF(Q3653=0,1,0),0)</f>
        <v>1</v>
      </c>
      <c r="S3654" s="56" t="n">
        <f aca="false">R3654*(B3654&gt;=Train_Start)*(B3654&lt;=Train_End)</f>
        <v>0</v>
      </c>
      <c r="T3654" s="84" t="n">
        <f aca="false">IF(AND(ISNUMBER(O3654),ISNUMBER(P3654)),Coef_A+Coef_B1*O3654+Coef_B2*P3654,"")</f>
        <v>22.4311918938936</v>
      </c>
      <c r="U3654" s="84" t="n">
        <f aca="false">IF(AND(R3654=1,ISNUMBER(T3654)),E3654-T3654,"")</f>
        <v>1.0688081061064</v>
      </c>
      <c r="V3654" s="84" t="n">
        <f aca="false">IF(ISNUMBER(T3654),T3654,-99)</f>
        <v>22.4311918938936</v>
      </c>
      <c r="W3654" s="84" t="n">
        <f aca="false">IF(ISNUMBER(U3654),ABS(U3654),"")</f>
        <v>1.0688081061064</v>
      </c>
    </row>
    <row r="3655" customFormat="false" ht="15" hidden="false" customHeight="false" outlineLevel="0" collapsed="false">
      <c r="A3655" s="57" t="n">
        <v>37511</v>
      </c>
      <c r="B3655" s="56" t="n">
        <v>2002</v>
      </c>
      <c r="C3655" s="56" t="n">
        <v>9</v>
      </c>
      <c r="D3655" s="56" t="n">
        <v>135</v>
      </c>
      <c r="E3655" s="56" t="n">
        <v>24.6</v>
      </c>
      <c r="F3655" s="56" t="n">
        <v>0</v>
      </c>
      <c r="G3655" s="56" t="n">
        <v>14.3</v>
      </c>
      <c r="H3655" s="56" t="n">
        <v>0</v>
      </c>
      <c r="I3655" s="56" t="n">
        <v>18.9</v>
      </c>
      <c r="J3655" s="56" t="n">
        <v>0</v>
      </c>
      <c r="K3655" s="56" t="n">
        <v>1025.2</v>
      </c>
      <c r="L3655" s="56" t="n">
        <v>0</v>
      </c>
      <c r="M3655" s="56" t="n">
        <v>72</v>
      </c>
      <c r="N3655" s="56" t="n">
        <v>9.2</v>
      </c>
      <c r="O3655" s="56" t="n">
        <f aca="false">IF(D3655=1,"",E3654)</f>
        <v>23.5</v>
      </c>
      <c r="P3655" s="56" t="n">
        <f aca="false">IF(OR(D3655=1,K3654=""),"",K3654)</f>
        <v>1026.1</v>
      </c>
      <c r="Q3655" s="56" t="n">
        <f aca="false">IF(OR(F3655&lt;&gt;0,AND(I3655&lt;&gt;"",E3655&lt;I3655)),1,0)</f>
        <v>0</v>
      </c>
      <c r="R3655" s="56" t="n">
        <f aca="false">IF(AND(D3655&gt;1,Q3655=0,ISNUMBER(O3655),ISNUMBER(P3655)),IF(Q3654=0,1,0),0)</f>
        <v>1</v>
      </c>
      <c r="S3655" s="56" t="n">
        <f aca="false">R3655*(B3655&gt;=Train_Start)*(B3655&lt;=Train_End)</f>
        <v>0</v>
      </c>
      <c r="T3655" s="84" t="n">
        <f aca="false">IF(AND(ISNUMBER(O3655),ISNUMBER(P3655)),Coef_A+Coef_B1*O3655+Coef_B2*P3655,"")</f>
        <v>23.5300953424347</v>
      </c>
      <c r="U3655" s="84" t="n">
        <f aca="false">IF(AND(R3655=1,ISNUMBER(T3655)),E3655-T3655,"")</f>
        <v>1.06990465756534</v>
      </c>
      <c r="V3655" s="84" t="n">
        <f aca="false">IF(ISNUMBER(T3655),T3655,-99)</f>
        <v>23.5300953424347</v>
      </c>
      <c r="W3655" s="84" t="n">
        <f aca="false">IF(ISNUMBER(U3655),ABS(U3655),"")</f>
        <v>1.06990465756534</v>
      </c>
    </row>
    <row r="3656" customFormat="false" ht="15" hidden="false" customHeight="false" outlineLevel="0" collapsed="false">
      <c r="A3656" s="57" t="n">
        <v>37512</v>
      </c>
      <c r="B3656" s="56" t="n">
        <v>2002</v>
      </c>
      <c r="C3656" s="56" t="n">
        <v>9</v>
      </c>
      <c r="D3656" s="56" t="n">
        <v>136</v>
      </c>
      <c r="E3656" s="56" t="n">
        <v>19.3</v>
      </c>
      <c r="F3656" s="56" t="n">
        <v>0</v>
      </c>
      <c r="G3656" s="56" t="n">
        <v>13.3</v>
      </c>
      <c r="H3656" s="56" t="n">
        <v>0</v>
      </c>
      <c r="I3656" s="56" t="n">
        <v>19</v>
      </c>
      <c r="J3656" s="56" t="n">
        <v>0</v>
      </c>
      <c r="K3656" s="56" t="n">
        <v>1025.5</v>
      </c>
      <c r="L3656" s="56" t="n">
        <v>0</v>
      </c>
      <c r="M3656" s="56" t="n">
        <v>69</v>
      </c>
      <c r="N3656" s="56" t="n">
        <v>11.3</v>
      </c>
      <c r="O3656" s="56" t="n">
        <f aca="false">IF(D3656=1,"",E3655)</f>
        <v>24.6</v>
      </c>
      <c r="P3656" s="56" t="n">
        <f aca="false">IF(OR(D3656=1,K3655=""),"",K3655)</f>
        <v>1025.2</v>
      </c>
      <c r="Q3656" s="56" t="n">
        <f aca="false">IF(OR(F3656&lt;&gt;0,AND(I3656&lt;&gt;"",E3656&lt;I3656)),1,0)</f>
        <v>0</v>
      </c>
      <c r="R3656" s="56" t="n">
        <f aca="false">IF(AND(D3656&gt;1,Q3656=0,ISNUMBER(O3656),ISNUMBER(P3656)),IF(Q3655=0,1,0),0)</f>
        <v>1</v>
      </c>
      <c r="S3656" s="56" t="n">
        <f aca="false">R3656*(B3656&gt;=Train_Start)*(B3656&lt;=Train_End)</f>
        <v>0</v>
      </c>
      <c r="T3656" s="84" t="n">
        <f aca="false">IF(AND(ISNUMBER(O3656),ISNUMBER(P3656)),Coef_A+Coef_B1*O3656+Coef_B2*P3656,"")</f>
        <v>24.403135549611</v>
      </c>
      <c r="U3656" s="84" t="n">
        <f aca="false">IF(AND(R3656=1,ISNUMBER(T3656)),E3656-T3656,"")</f>
        <v>-5.103135549611</v>
      </c>
      <c r="V3656" s="84" t="n">
        <f aca="false">IF(ISNUMBER(T3656),T3656,-99)</f>
        <v>24.403135549611</v>
      </c>
      <c r="W3656" s="84" t="n">
        <f aca="false">IF(ISNUMBER(U3656),ABS(U3656),"")</f>
        <v>5.103135549611</v>
      </c>
    </row>
    <row r="3657" customFormat="false" ht="15" hidden="false" customHeight="false" outlineLevel="0" collapsed="false">
      <c r="A3657" s="57" t="n">
        <v>37513</v>
      </c>
      <c r="B3657" s="56" t="n">
        <v>2002</v>
      </c>
      <c r="C3657" s="56" t="n">
        <v>9</v>
      </c>
      <c r="D3657" s="56" t="n">
        <v>137</v>
      </c>
      <c r="E3657" s="56" t="n">
        <v>18.3</v>
      </c>
      <c r="F3657" s="56" t="n">
        <v>0</v>
      </c>
      <c r="G3657" s="56" t="n">
        <v>15</v>
      </c>
      <c r="H3657" s="56" t="n">
        <v>0</v>
      </c>
      <c r="I3657" s="56" t="n">
        <v>17.2</v>
      </c>
      <c r="J3657" s="56" t="n">
        <v>0</v>
      </c>
      <c r="K3657" s="56" t="n">
        <v>1027.3</v>
      </c>
      <c r="L3657" s="56" t="n">
        <v>0</v>
      </c>
      <c r="M3657" s="56" t="n">
        <v>71</v>
      </c>
      <c r="N3657" s="56" t="n">
        <v>2</v>
      </c>
      <c r="O3657" s="56" t="n">
        <f aca="false">IF(D3657=1,"",E3656)</f>
        <v>19.3</v>
      </c>
      <c r="P3657" s="56" t="n">
        <f aca="false">IF(OR(D3657=1,K3656=""),"",K3656)</f>
        <v>1025.5</v>
      </c>
      <c r="Q3657" s="56" t="n">
        <f aca="false">IF(OR(F3657&lt;&gt;0,AND(I3657&lt;&gt;"",E3657&lt;I3657)),1,0)</f>
        <v>0</v>
      </c>
      <c r="R3657" s="56" t="n">
        <f aca="false">IF(AND(D3657&gt;1,Q3657=0,ISNUMBER(O3657),ISNUMBER(P3657)),IF(Q3656=0,1,0),0)</f>
        <v>1</v>
      </c>
      <c r="S3657" s="56" t="n">
        <f aca="false">R3657*(B3657&gt;=Train_Start)*(B3657&lt;=Train_End)</f>
        <v>0</v>
      </c>
      <c r="T3657" s="84" t="n">
        <f aca="false">IF(AND(ISNUMBER(O3657),ISNUMBER(P3657)),Coef_A+Coef_B1*O3657+Coef_B2*P3657,"")</f>
        <v>20.0700487948751</v>
      </c>
      <c r="U3657" s="84" t="n">
        <f aca="false">IF(AND(R3657=1,ISNUMBER(T3657)),E3657-T3657,"")</f>
        <v>-1.77004879487511</v>
      </c>
      <c r="V3657" s="84" t="n">
        <f aca="false">IF(ISNUMBER(T3657),T3657,-99)</f>
        <v>20.0700487948751</v>
      </c>
      <c r="W3657" s="84" t="n">
        <f aca="false">IF(ISNUMBER(U3657),ABS(U3657),"")</f>
        <v>1.77004879487511</v>
      </c>
    </row>
    <row r="3658" customFormat="false" ht="15" hidden="false" customHeight="false" outlineLevel="0" collapsed="false">
      <c r="A3658" s="57" t="n">
        <v>37514</v>
      </c>
      <c r="B3658" s="56" t="n">
        <v>2002</v>
      </c>
      <c r="C3658" s="56" t="n">
        <v>9</v>
      </c>
      <c r="D3658" s="56" t="n">
        <v>138</v>
      </c>
      <c r="E3658" s="56" t="n">
        <v>19.5</v>
      </c>
      <c r="F3658" s="56" t="n">
        <v>0</v>
      </c>
      <c r="G3658" s="56" t="n">
        <v>14.3</v>
      </c>
      <c r="H3658" s="56" t="n">
        <v>0</v>
      </c>
      <c r="I3658" s="56" t="n">
        <v>16.3</v>
      </c>
      <c r="J3658" s="56" t="n">
        <v>0</v>
      </c>
      <c r="K3658" s="56" t="n">
        <v>1025.9</v>
      </c>
      <c r="L3658" s="56" t="n">
        <v>0</v>
      </c>
      <c r="M3658" s="56" t="n">
        <v>63</v>
      </c>
      <c r="N3658" s="56" t="n">
        <v>2.8</v>
      </c>
      <c r="O3658" s="56" t="n">
        <f aca="false">IF(D3658=1,"",E3657)</f>
        <v>18.3</v>
      </c>
      <c r="P3658" s="56" t="n">
        <f aca="false">IF(OR(D3658=1,K3657=""),"",K3657)</f>
        <v>1027.3</v>
      </c>
      <c r="Q3658" s="56" t="n">
        <f aca="false">IF(OR(F3658&lt;&gt;0,AND(I3658&lt;&gt;"",E3658&lt;I3658)),1,0)</f>
        <v>0</v>
      </c>
      <c r="R3658" s="56" t="n">
        <f aca="false">IF(AND(D3658&gt;1,Q3658=0,ISNUMBER(O3658),ISNUMBER(P3658)),IF(Q3657=0,1,0),0)</f>
        <v>1</v>
      </c>
      <c r="S3658" s="56" t="n">
        <f aca="false">R3658*(B3658&gt;=Train_Start)*(B3658&lt;=Train_End)</f>
        <v>0</v>
      </c>
      <c r="T3658" s="84" t="n">
        <f aca="false">IF(AND(ISNUMBER(O3658),ISNUMBER(P3658)),Coef_A+Coef_B1*O3658+Coef_B2*P3658,"")</f>
        <v>19.3071754121736</v>
      </c>
      <c r="U3658" s="84" t="n">
        <f aca="false">IF(AND(R3658=1,ISNUMBER(T3658)),E3658-T3658,"")</f>
        <v>0.192824587826369</v>
      </c>
      <c r="V3658" s="84" t="n">
        <f aca="false">IF(ISNUMBER(T3658),T3658,-99)</f>
        <v>19.3071754121736</v>
      </c>
      <c r="W3658" s="84" t="n">
        <f aca="false">IF(ISNUMBER(U3658),ABS(U3658),"")</f>
        <v>0.192824587826369</v>
      </c>
    </row>
    <row r="3659" customFormat="false" ht="15" hidden="false" customHeight="false" outlineLevel="0" collapsed="false">
      <c r="A3659" s="57" t="n">
        <v>37515</v>
      </c>
      <c r="B3659" s="56" t="n">
        <v>2002</v>
      </c>
      <c r="C3659" s="56" t="n">
        <v>9</v>
      </c>
      <c r="D3659" s="56" t="n">
        <v>139</v>
      </c>
      <c r="E3659" s="56" t="n">
        <v>19.2</v>
      </c>
      <c r="F3659" s="56" t="n">
        <v>0</v>
      </c>
      <c r="G3659" s="56" t="n">
        <v>10.1</v>
      </c>
      <c r="H3659" s="56" t="n">
        <v>0</v>
      </c>
      <c r="I3659" s="56" t="n">
        <v>14.8</v>
      </c>
      <c r="J3659" s="56" t="n">
        <v>0</v>
      </c>
      <c r="K3659" s="56" t="n">
        <v>1022.2</v>
      </c>
      <c r="L3659" s="56" t="n">
        <v>0</v>
      </c>
      <c r="M3659" s="56" t="n">
        <v>69</v>
      </c>
      <c r="N3659" s="56" t="n">
        <v>8.1</v>
      </c>
      <c r="O3659" s="56" t="n">
        <f aca="false">IF(D3659=1,"",E3658)</f>
        <v>19.5</v>
      </c>
      <c r="P3659" s="56" t="n">
        <f aca="false">IF(OR(D3659=1,K3658=""),"",K3658)</f>
        <v>1025.9</v>
      </c>
      <c r="Q3659" s="56" t="n">
        <f aca="false">IF(OR(F3659&lt;&gt;0,AND(I3659&lt;&gt;"",E3659&lt;I3659)),1,0)</f>
        <v>0</v>
      </c>
      <c r="R3659" s="56" t="n">
        <f aca="false">IF(AND(D3659&gt;1,Q3659=0,ISNUMBER(O3659),ISNUMBER(P3659)),IF(Q3658=0,1,0),0)</f>
        <v>1</v>
      </c>
      <c r="S3659" s="56" t="n">
        <f aca="false">R3659*(B3659&gt;=Train_Start)*(B3659&lt;=Train_End)</f>
        <v>0</v>
      </c>
      <c r="T3659" s="84" t="n">
        <f aca="false">IF(AND(ISNUMBER(O3659),ISNUMBER(P3659)),Coef_A+Coef_B1*O3659+Coef_B2*P3659,"")</f>
        <v>20.2464645913372</v>
      </c>
      <c r="U3659" s="84" t="n">
        <f aca="false">IF(AND(R3659=1,ISNUMBER(T3659)),E3659-T3659,"")</f>
        <v>-1.04646459133724</v>
      </c>
      <c r="V3659" s="84" t="n">
        <f aca="false">IF(ISNUMBER(T3659),T3659,-99)</f>
        <v>20.2464645913372</v>
      </c>
      <c r="W3659" s="84" t="n">
        <f aca="false">IF(ISNUMBER(U3659),ABS(U3659),"")</f>
        <v>1.04646459133724</v>
      </c>
    </row>
    <row r="3660" customFormat="false" ht="15" hidden="false" customHeight="false" outlineLevel="0" collapsed="false">
      <c r="A3660" s="57" t="n">
        <v>37516</v>
      </c>
      <c r="B3660" s="56" t="n">
        <v>2002</v>
      </c>
      <c r="C3660" s="56" t="n">
        <v>9</v>
      </c>
      <c r="D3660" s="56" t="n">
        <v>140</v>
      </c>
      <c r="E3660" s="56" t="n">
        <v>18.7</v>
      </c>
      <c r="F3660" s="56" t="n">
        <v>0</v>
      </c>
      <c r="G3660" s="56" t="n">
        <v>11.8</v>
      </c>
      <c r="H3660" s="56" t="n">
        <v>0</v>
      </c>
      <c r="I3660" s="56" t="n">
        <v>15.5</v>
      </c>
      <c r="J3660" s="56" t="n">
        <v>0</v>
      </c>
      <c r="K3660" s="56" t="n">
        <v>1019.6</v>
      </c>
      <c r="L3660" s="56" t="n">
        <v>0</v>
      </c>
      <c r="M3660" s="56" t="n">
        <v>69</v>
      </c>
      <c r="N3660" s="56" t="n">
        <v>2.7</v>
      </c>
      <c r="O3660" s="56" t="n">
        <f aca="false">IF(D3660=1,"",E3659)</f>
        <v>19.2</v>
      </c>
      <c r="P3660" s="56" t="n">
        <f aca="false">IF(OR(D3660=1,K3659=""),"",K3659)</f>
        <v>1022.2</v>
      </c>
      <c r="Q3660" s="56" t="n">
        <f aca="false">IF(OR(F3660&lt;&gt;0,AND(I3660&lt;&gt;"",E3660&lt;I3660)),1,0)</f>
        <v>0</v>
      </c>
      <c r="R3660" s="56" t="n">
        <f aca="false">IF(AND(D3660&gt;1,Q3660=0,ISNUMBER(O3660),ISNUMBER(P3660)),IF(Q3659=0,1,0),0)</f>
        <v>1</v>
      </c>
      <c r="S3660" s="56" t="n">
        <f aca="false">R3660*(B3660&gt;=Train_Start)*(B3660&lt;=Train_End)</f>
        <v>0</v>
      </c>
      <c r="T3660" s="84" t="n">
        <f aca="false">IF(AND(ISNUMBER(O3660),ISNUMBER(P3660)),Coef_A+Coef_B1*O3660+Coef_B2*P3660,"")</f>
        <v>19.8845942232787</v>
      </c>
      <c r="U3660" s="84" t="n">
        <f aca="false">IF(AND(R3660=1,ISNUMBER(T3660)),E3660-T3660,"")</f>
        <v>-1.18459422327868</v>
      </c>
      <c r="V3660" s="84" t="n">
        <f aca="false">IF(ISNUMBER(T3660),T3660,-99)</f>
        <v>19.8845942232787</v>
      </c>
      <c r="W3660" s="84" t="n">
        <f aca="false">IF(ISNUMBER(U3660),ABS(U3660),"")</f>
        <v>1.18459422327868</v>
      </c>
    </row>
    <row r="3661" customFormat="false" ht="15" hidden="false" customHeight="false" outlineLevel="0" collapsed="false">
      <c r="A3661" s="57" t="n">
        <v>37517</v>
      </c>
      <c r="B3661" s="56" t="n">
        <v>2002</v>
      </c>
      <c r="C3661" s="56" t="n">
        <v>9</v>
      </c>
      <c r="D3661" s="56" t="n">
        <v>141</v>
      </c>
      <c r="E3661" s="56" t="n">
        <v>19.7</v>
      </c>
      <c r="F3661" s="56" t="n">
        <v>0</v>
      </c>
      <c r="G3661" s="56" t="n">
        <v>11.6</v>
      </c>
      <c r="H3661" s="56" t="n">
        <v>0</v>
      </c>
      <c r="I3661" s="56" t="n">
        <v>15.2</v>
      </c>
      <c r="J3661" s="56" t="n">
        <v>0</v>
      </c>
      <c r="K3661" s="56" t="n">
        <v>1017.4</v>
      </c>
      <c r="L3661" s="56" t="n">
        <v>0</v>
      </c>
      <c r="M3661" s="56" t="n">
        <v>69</v>
      </c>
      <c r="N3661" s="56" t="n">
        <v>0</v>
      </c>
      <c r="O3661" s="56" t="n">
        <f aca="false">IF(D3661=1,"",E3660)</f>
        <v>18.7</v>
      </c>
      <c r="P3661" s="56" t="n">
        <f aca="false">IF(OR(D3661=1,K3660=""),"",K3660)</f>
        <v>1019.6</v>
      </c>
      <c r="Q3661" s="56" t="n">
        <f aca="false">IF(OR(F3661&lt;&gt;0,AND(I3661&lt;&gt;"",E3661&lt;I3661)),1,0)</f>
        <v>0</v>
      </c>
      <c r="R3661" s="56" t="n">
        <f aca="false">IF(AND(D3661&gt;1,Q3661=0,ISNUMBER(O3661),ISNUMBER(P3661)),IF(Q3660=0,1,0),0)</f>
        <v>1</v>
      </c>
      <c r="S3661" s="56" t="n">
        <f aca="false">R3661*(B3661&gt;=Train_Start)*(B3661&lt;=Train_End)</f>
        <v>0</v>
      </c>
      <c r="T3661" s="84" t="n">
        <f aca="false">IF(AND(ISNUMBER(O3661),ISNUMBER(P3661)),Coef_A+Coef_B1*O3661+Coef_B2*P3661,"")</f>
        <v>19.393362900709</v>
      </c>
      <c r="U3661" s="84" t="n">
        <f aca="false">IF(AND(R3661=1,ISNUMBER(T3661)),E3661-T3661,"")</f>
        <v>0.30663709929102</v>
      </c>
      <c r="V3661" s="84" t="n">
        <f aca="false">IF(ISNUMBER(T3661),T3661,-99)</f>
        <v>19.393362900709</v>
      </c>
      <c r="W3661" s="84" t="n">
        <f aca="false">IF(ISNUMBER(U3661),ABS(U3661),"")</f>
        <v>0.30663709929102</v>
      </c>
    </row>
    <row r="3662" customFormat="false" ht="15" hidden="false" customHeight="false" outlineLevel="0" collapsed="false">
      <c r="A3662" s="57" t="n">
        <v>37518</v>
      </c>
      <c r="B3662" s="56" t="n">
        <v>2002</v>
      </c>
      <c r="C3662" s="56" t="n">
        <v>9</v>
      </c>
      <c r="D3662" s="56" t="n">
        <v>142</v>
      </c>
      <c r="E3662" s="56" t="n">
        <v>18.9</v>
      </c>
      <c r="F3662" s="56" t="n">
        <v>0</v>
      </c>
      <c r="G3662" s="56" t="n">
        <v>12.8</v>
      </c>
      <c r="H3662" s="56" t="n">
        <v>0</v>
      </c>
      <c r="I3662" s="56" t="n">
        <v>16.2</v>
      </c>
      <c r="J3662" s="56" t="n">
        <v>0</v>
      </c>
      <c r="K3662" s="56" t="n">
        <v>1017.1</v>
      </c>
      <c r="L3662" s="56" t="n">
        <v>0</v>
      </c>
      <c r="M3662" s="56" t="n">
        <v>68</v>
      </c>
      <c r="N3662" s="56" t="n">
        <v>1.8</v>
      </c>
      <c r="O3662" s="56" t="n">
        <f aca="false">IF(D3662=1,"",E3661)</f>
        <v>19.7</v>
      </c>
      <c r="P3662" s="56" t="n">
        <f aca="false">IF(OR(D3662=1,K3661=""),"",K3661)</f>
        <v>1017.4</v>
      </c>
      <c r="Q3662" s="56" t="n">
        <f aca="false">IF(OR(F3662&lt;&gt;0,AND(I3662&lt;&gt;"",E3662&lt;I3662)),1,0)</f>
        <v>0</v>
      </c>
      <c r="R3662" s="56" t="n">
        <f aca="false">IF(AND(D3662&gt;1,Q3662=0,ISNUMBER(O3662),ISNUMBER(P3662)),IF(Q3661=0,1,0),0)</f>
        <v>1</v>
      </c>
      <c r="S3662" s="56" t="n">
        <f aca="false">R3662*(B3662&gt;=Train_Start)*(B3662&lt;=Train_End)</f>
        <v>0</v>
      </c>
      <c r="T3662" s="84" t="n">
        <f aca="false">IF(AND(ISNUMBER(O3662),ISNUMBER(P3662)),Coef_A+Coef_B1*O3662+Coef_B2*P3662,"")</f>
        <v>20.1436883255569</v>
      </c>
      <c r="U3662" s="84" t="n">
        <f aca="false">IF(AND(R3662=1,ISNUMBER(T3662)),E3662-T3662,"")</f>
        <v>-1.24368832555686</v>
      </c>
      <c r="V3662" s="84" t="n">
        <f aca="false">IF(ISNUMBER(T3662),T3662,-99)</f>
        <v>20.1436883255569</v>
      </c>
      <c r="W3662" s="84" t="n">
        <f aca="false">IF(ISNUMBER(U3662),ABS(U3662),"")</f>
        <v>1.24368832555686</v>
      </c>
    </row>
    <row r="3663" customFormat="false" ht="15" hidden="false" customHeight="false" outlineLevel="0" collapsed="false">
      <c r="A3663" s="57" t="n">
        <v>37519</v>
      </c>
      <c r="B3663" s="56" t="n">
        <v>2002</v>
      </c>
      <c r="C3663" s="56" t="n">
        <v>9</v>
      </c>
      <c r="D3663" s="56" t="n">
        <v>143</v>
      </c>
      <c r="E3663" s="56" t="n">
        <v>19.1</v>
      </c>
      <c r="F3663" s="56" t="n">
        <v>0</v>
      </c>
      <c r="G3663" s="56" t="n">
        <v>14.2</v>
      </c>
      <c r="H3663" s="56" t="n">
        <v>0</v>
      </c>
      <c r="I3663" s="56" t="n">
        <v>16.6</v>
      </c>
      <c r="J3663" s="56" t="n">
        <v>0</v>
      </c>
      <c r="K3663" s="56" t="n">
        <v>1021.2</v>
      </c>
      <c r="L3663" s="56" t="n">
        <v>0</v>
      </c>
      <c r="M3663" s="56" t="n">
        <v>63</v>
      </c>
      <c r="N3663" s="56" t="n">
        <v>0.3</v>
      </c>
      <c r="O3663" s="56" t="n">
        <f aca="false">IF(D3663=1,"",E3662)</f>
        <v>18.9</v>
      </c>
      <c r="P3663" s="56" t="n">
        <f aca="false">IF(OR(D3663=1,K3662=""),"",K3662)</f>
        <v>1017.1</v>
      </c>
      <c r="Q3663" s="56" t="n">
        <f aca="false">IF(OR(F3663&lt;&gt;0,AND(I3663&lt;&gt;"",E3663&lt;I3663)),1,0)</f>
        <v>0</v>
      </c>
      <c r="R3663" s="56" t="n">
        <f aca="false">IF(AND(D3663&gt;1,Q3663=0,ISNUMBER(O3663),ISNUMBER(P3663)),IF(Q3662=0,1,0),0)</f>
        <v>1</v>
      </c>
      <c r="S3663" s="56" t="n">
        <f aca="false">R3663*(B3663&gt;=Train_Start)*(B3663&lt;=Train_End)</f>
        <v>0</v>
      </c>
      <c r="T3663" s="84" t="n">
        <f aca="false">IF(AND(ISNUMBER(O3663),ISNUMBER(P3663)),Coef_A+Coef_B1*O3663+Coef_B2*P3663,"")</f>
        <v>19.4788060027325</v>
      </c>
      <c r="U3663" s="84" t="n">
        <f aca="false">IF(AND(R3663=1,ISNUMBER(T3663)),E3663-T3663,"")</f>
        <v>-0.378806002732539</v>
      </c>
      <c r="V3663" s="84" t="n">
        <f aca="false">IF(ISNUMBER(T3663),T3663,-99)</f>
        <v>19.4788060027325</v>
      </c>
      <c r="W3663" s="84" t="n">
        <f aca="false">IF(ISNUMBER(U3663),ABS(U3663),"")</f>
        <v>0.378806002732539</v>
      </c>
    </row>
    <row r="3664" customFormat="false" ht="15" hidden="false" customHeight="false" outlineLevel="0" collapsed="false">
      <c r="A3664" s="57" t="n">
        <v>37520</v>
      </c>
      <c r="B3664" s="56" t="n">
        <v>2002</v>
      </c>
      <c r="C3664" s="56" t="n">
        <v>9</v>
      </c>
      <c r="D3664" s="56" t="n">
        <v>144</v>
      </c>
      <c r="E3664" s="56" t="n">
        <v>17.9</v>
      </c>
      <c r="F3664" s="56" t="n">
        <v>0</v>
      </c>
      <c r="G3664" s="56" t="n">
        <v>13.1</v>
      </c>
      <c r="H3664" s="56" t="n">
        <v>0</v>
      </c>
      <c r="I3664" s="56" t="n">
        <v>16.1</v>
      </c>
      <c r="J3664" s="56" t="n">
        <v>0</v>
      </c>
      <c r="K3664" s="56" t="n">
        <v>1019.8</v>
      </c>
      <c r="L3664" s="56" t="n">
        <v>0</v>
      </c>
      <c r="M3664" s="56" t="n">
        <v>60</v>
      </c>
      <c r="N3664" s="56" t="n">
        <v>3.9</v>
      </c>
      <c r="O3664" s="56" t="n">
        <f aca="false">IF(D3664=1,"",E3663)</f>
        <v>19.1</v>
      </c>
      <c r="P3664" s="56" t="n">
        <f aca="false">IF(OR(D3664=1,K3663=""),"",K3663)</f>
        <v>1021.2</v>
      </c>
      <c r="Q3664" s="56" t="n">
        <f aca="false">IF(OR(F3664&lt;&gt;0,AND(I3664&lt;&gt;"",E3664&lt;I3664)),1,0)</f>
        <v>0</v>
      </c>
      <c r="R3664" s="56" t="n">
        <f aca="false">IF(AND(D3664&gt;1,Q3664=0,ISNUMBER(O3664),ISNUMBER(P3664)),IF(Q3663=0,1,0),0)</f>
        <v>1</v>
      </c>
      <c r="S3664" s="56" t="n">
        <f aca="false">R3664*(B3664&gt;=Train_Start)*(B3664&lt;=Train_End)</f>
        <v>0</v>
      </c>
      <c r="T3664" s="84" t="n">
        <f aca="false">IF(AND(ISNUMBER(O3664),ISNUMBER(P3664)),Coef_A+Coef_B1*O3664+Coef_B2*P3664,"")</f>
        <v>19.7712904093404</v>
      </c>
      <c r="U3664" s="84" t="n">
        <f aca="false">IF(AND(R3664=1,ISNUMBER(T3664)),E3664-T3664,"")</f>
        <v>-1.87129040934043</v>
      </c>
      <c r="V3664" s="84" t="n">
        <f aca="false">IF(ISNUMBER(T3664),T3664,-99)</f>
        <v>19.7712904093404</v>
      </c>
      <c r="W3664" s="84" t="n">
        <f aca="false">IF(ISNUMBER(U3664),ABS(U3664),"")</f>
        <v>1.87129040934043</v>
      </c>
    </row>
    <row r="3665" customFormat="false" ht="15" hidden="false" customHeight="false" outlineLevel="0" collapsed="false">
      <c r="A3665" s="57" t="n">
        <v>37521</v>
      </c>
      <c r="B3665" s="56" t="n">
        <v>2002</v>
      </c>
      <c r="C3665" s="56" t="n">
        <v>9</v>
      </c>
      <c r="D3665" s="56" t="n">
        <v>145</v>
      </c>
      <c r="E3665" s="56" t="n">
        <v>19.2</v>
      </c>
      <c r="F3665" s="56" t="n">
        <v>0</v>
      </c>
      <c r="G3665" s="56" t="n">
        <v>12.6</v>
      </c>
      <c r="H3665" s="56" t="n">
        <v>0</v>
      </c>
      <c r="I3665" s="56" t="n">
        <v>15.2</v>
      </c>
      <c r="J3665" s="56" t="n">
        <v>0</v>
      </c>
      <c r="K3665" s="56" t="n">
        <v>1018.2</v>
      </c>
      <c r="L3665" s="56" t="n">
        <v>0</v>
      </c>
      <c r="M3665" s="56" t="n">
        <v>69</v>
      </c>
      <c r="N3665" s="56" t="n">
        <v>4.6</v>
      </c>
      <c r="O3665" s="56" t="n">
        <f aca="false">IF(D3665=1,"",E3664)</f>
        <v>17.9</v>
      </c>
      <c r="P3665" s="56" t="n">
        <f aca="false">IF(OR(D3665=1,K3664=""),"",K3664)</f>
        <v>1019.8</v>
      </c>
      <c r="Q3665" s="56" t="n">
        <f aca="false">IF(OR(F3665&lt;&gt;0,AND(I3665&lt;&gt;"",E3665&lt;I3665)),1,0)</f>
        <v>0</v>
      </c>
      <c r="R3665" s="56" t="n">
        <f aca="false">IF(AND(D3665&gt;1,Q3665=0,ISNUMBER(O3665),ISNUMBER(P3665)),IF(Q3664=0,1,0),0)</f>
        <v>1</v>
      </c>
      <c r="S3665" s="56" t="n">
        <f aca="false">R3665*(B3665&gt;=Train_Start)*(B3665&lt;=Train_End)</f>
        <v>0</v>
      </c>
      <c r="T3665" s="84" t="n">
        <f aca="false">IF(AND(ISNUMBER(O3665),ISNUMBER(P3665)),Coef_A+Coef_B1*O3665+Coef_B2*P3665,"")</f>
        <v>18.7441655252016</v>
      </c>
      <c r="U3665" s="84" t="n">
        <f aca="false">IF(AND(R3665=1,ISNUMBER(T3665)),E3665-T3665,"")</f>
        <v>0.455834474798355</v>
      </c>
      <c r="V3665" s="84" t="n">
        <f aca="false">IF(ISNUMBER(T3665),T3665,-99)</f>
        <v>18.7441655252016</v>
      </c>
      <c r="W3665" s="84" t="n">
        <f aca="false">IF(ISNUMBER(U3665),ABS(U3665),"")</f>
        <v>0.455834474798355</v>
      </c>
    </row>
    <row r="3666" customFormat="false" ht="15" hidden="false" customHeight="false" outlineLevel="0" collapsed="false">
      <c r="A3666" s="57" t="n">
        <v>37522</v>
      </c>
      <c r="B3666" s="56" t="n">
        <v>2002</v>
      </c>
      <c r="C3666" s="56" t="n">
        <v>9</v>
      </c>
      <c r="D3666" s="56" t="n">
        <v>146</v>
      </c>
      <c r="E3666" s="56" t="n">
        <v>18.1</v>
      </c>
      <c r="F3666" s="56" t="n">
        <v>0</v>
      </c>
      <c r="G3666" s="56" t="n">
        <v>10.5</v>
      </c>
      <c r="H3666" s="56" t="n">
        <v>0</v>
      </c>
      <c r="I3666" s="56" t="n">
        <v>14.8</v>
      </c>
      <c r="J3666" s="56" t="n">
        <v>0</v>
      </c>
      <c r="K3666" s="56" t="n">
        <v>1022.1</v>
      </c>
      <c r="L3666" s="56" t="n">
        <v>0</v>
      </c>
      <c r="M3666" s="56" t="n">
        <v>65</v>
      </c>
      <c r="N3666" s="56" t="n">
        <v>8.5</v>
      </c>
      <c r="O3666" s="56" t="n">
        <f aca="false">IF(D3666=1,"",E3665)</f>
        <v>19.2</v>
      </c>
      <c r="P3666" s="56" t="n">
        <f aca="false">IF(OR(D3666=1,K3665=""),"",K3665)</f>
        <v>1018.2</v>
      </c>
      <c r="Q3666" s="56" t="n">
        <f aca="false">IF(OR(F3666&lt;&gt;0,AND(I3666&lt;&gt;"",E3666&lt;I3666)),1,0)</f>
        <v>0</v>
      </c>
      <c r="R3666" s="56" t="n">
        <f aca="false">IF(AND(D3666&gt;1,Q3666=0,ISNUMBER(O3666),ISNUMBER(P3666)),IF(Q3665=0,1,0),0)</f>
        <v>1</v>
      </c>
      <c r="S3666" s="56" t="n">
        <f aca="false">R3666*(B3666&gt;=Train_Start)*(B3666&lt;=Train_End)</f>
        <v>0</v>
      </c>
      <c r="T3666" s="84" t="n">
        <f aca="false">IF(AND(ISNUMBER(O3666),ISNUMBER(P3666)),Coef_A+Coef_B1*O3666+Coef_B2*P3666,"")</f>
        <v>19.7591146447427</v>
      </c>
      <c r="U3666" s="84" t="n">
        <f aca="false">IF(AND(R3666=1,ISNUMBER(T3666)),E3666-T3666,"")</f>
        <v>-1.65911464474272</v>
      </c>
      <c r="V3666" s="84" t="n">
        <f aca="false">IF(ISNUMBER(T3666),T3666,-99)</f>
        <v>19.7591146447427</v>
      </c>
      <c r="W3666" s="84" t="n">
        <f aca="false">IF(ISNUMBER(U3666),ABS(U3666),"")</f>
        <v>1.65911464474272</v>
      </c>
    </row>
    <row r="3667" customFormat="false" ht="15" hidden="false" customHeight="false" outlineLevel="0" collapsed="false">
      <c r="A3667" s="57" t="n">
        <v>37523</v>
      </c>
      <c r="B3667" s="56" t="n">
        <v>2002</v>
      </c>
      <c r="C3667" s="56" t="n">
        <v>9</v>
      </c>
      <c r="D3667" s="56" t="n">
        <v>147</v>
      </c>
      <c r="E3667" s="56" t="n">
        <v>19</v>
      </c>
      <c r="F3667" s="56" t="n">
        <v>0</v>
      </c>
      <c r="G3667" s="56" t="n">
        <v>8.9</v>
      </c>
      <c r="H3667" s="56" t="n">
        <v>0</v>
      </c>
      <c r="I3667" s="56" t="n">
        <v>13.5</v>
      </c>
      <c r="J3667" s="56" t="n">
        <v>0</v>
      </c>
      <c r="K3667" s="56" t="n">
        <v>1025.1</v>
      </c>
      <c r="L3667" s="56" t="n">
        <v>0</v>
      </c>
      <c r="M3667" s="56" t="n">
        <v>63</v>
      </c>
      <c r="N3667" s="56" t="n">
        <v>6.9</v>
      </c>
      <c r="O3667" s="56" t="n">
        <f aca="false">IF(D3667=1,"",E3666)</f>
        <v>18.1</v>
      </c>
      <c r="P3667" s="56" t="n">
        <f aca="false">IF(OR(D3667=1,K3666=""),"",K3666)</f>
        <v>1022.1</v>
      </c>
      <c r="Q3667" s="56" t="n">
        <f aca="false">IF(OR(F3667&lt;&gt;0,AND(I3667&lt;&gt;"",E3667&lt;I3667)),1,0)</f>
        <v>0</v>
      </c>
      <c r="R3667" s="56" t="n">
        <f aca="false">IF(AND(D3667&gt;1,Q3667=0,ISNUMBER(O3667),ISNUMBER(P3667)),IF(Q3666=0,1,0),0)</f>
        <v>1</v>
      </c>
      <c r="S3667" s="56" t="n">
        <f aca="false">R3667*(B3667&gt;=Train_Start)*(B3667&lt;=Train_End)</f>
        <v>0</v>
      </c>
      <c r="T3667" s="84" t="n">
        <f aca="false">IF(AND(ISNUMBER(O3667),ISNUMBER(P3667)),Coef_A+Coef_B1*O3667+Coef_B2*P3667,"")</f>
        <v>18.9801841214684</v>
      </c>
      <c r="U3667" s="84" t="n">
        <f aca="false">IF(AND(R3667=1,ISNUMBER(T3667)),E3667-T3667,"")</f>
        <v>0.0198158785316416</v>
      </c>
      <c r="V3667" s="84" t="n">
        <f aca="false">IF(ISNUMBER(T3667),T3667,-99)</f>
        <v>18.9801841214684</v>
      </c>
      <c r="W3667" s="84" t="n">
        <f aca="false">IF(ISNUMBER(U3667),ABS(U3667),"")</f>
        <v>0.0198158785316416</v>
      </c>
    </row>
    <row r="3668" customFormat="false" ht="15" hidden="false" customHeight="false" outlineLevel="0" collapsed="false">
      <c r="A3668" s="57" t="n">
        <v>37524</v>
      </c>
      <c r="B3668" s="56" t="n">
        <v>2002</v>
      </c>
      <c r="C3668" s="56" t="n">
        <v>9</v>
      </c>
      <c r="D3668" s="56" t="n">
        <v>148</v>
      </c>
      <c r="E3668" s="56" t="n">
        <v>18.2</v>
      </c>
      <c r="F3668" s="56" t="n">
        <v>0</v>
      </c>
      <c r="G3668" s="56" t="n">
        <v>7</v>
      </c>
      <c r="H3668" s="56" t="n">
        <v>0</v>
      </c>
      <c r="I3668" s="56" t="n">
        <v>13</v>
      </c>
      <c r="J3668" s="56" t="n">
        <v>0</v>
      </c>
      <c r="K3668" s="56" t="n">
        <v>1022.1</v>
      </c>
      <c r="L3668" s="56" t="n">
        <v>0</v>
      </c>
      <c r="M3668" s="56" t="n">
        <v>67</v>
      </c>
      <c r="N3668" s="56" t="n">
        <v>5.2</v>
      </c>
      <c r="O3668" s="56" t="n">
        <f aca="false">IF(D3668=1,"",E3667)</f>
        <v>19</v>
      </c>
      <c r="P3668" s="56" t="n">
        <f aca="false">IF(OR(D3668=1,K3667=""),"",K3667)</f>
        <v>1025.1</v>
      </c>
      <c r="Q3668" s="56" t="n">
        <f aca="false">IF(OR(F3668&lt;&gt;0,AND(I3668&lt;&gt;"",E3668&lt;I3668)),1,0)</f>
        <v>0</v>
      </c>
      <c r="R3668" s="56" t="n">
        <f aca="false">IF(AND(D3668&gt;1,Q3668=0,ISNUMBER(O3668),ISNUMBER(P3668)),IF(Q3667=0,1,0),0)</f>
        <v>1</v>
      </c>
      <c r="S3668" s="56" t="n">
        <f aca="false">R3668*(B3668&gt;=Train_Start)*(B3668&lt;=Train_End)</f>
        <v>0</v>
      </c>
      <c r="T3668" s="84" t="n">
        <f aca="false">IF(AND(ISNUMBER(O3668),ISNUMBER(P3668)),Coef_A+Coef_B1*O3668+Coef_B2*P3668,"")</f>
        <v>19.8116990791087</v>
      </c>
      <c r="U3668" s="84" t="n">
        <f aca="false">IF(AND(R3668=1,ISNUMBER(T3668)),E3668-T3668,"")</f>
        <v>-1.61169907910871</v>
      </c>
      <c r="V3668" s="84" t="n">
        <f aca="false">IF(ISNUMBER(T3668),T3668,-99)</f>
        <v>19.8116990791087</v>
      </c>
      <c r="W3668" s="84" t="n">
        <f aca="false">IF(ISNUMBER(U3668),ABS(U3668),"")</f>
        <v>1.61169907910871</v>
      </c>
    </row>
    <row r="3669" customFormat="false" ht="15" hidden="false" customHeight="false" outlineLevel="0" collapsed="false">
      <c r="A3669" s="57" t="n">
        <v>37525</v>
      </c>
      <c r="B3669" s="56" t="n">
        <v>2002</v>
      </c>
      <c r="C3669" s="56" t="n">
        <v>9</v>
      </c>
      <c r="D3669" s="56" t="n">
        <v>149</v>
      </c>
      <c r="E3669" s="56" t="n">
        <v>17.2</v>
      </c>
      <c r="F3669" s="56" t="n">
        <v>0</v>
      </c>
      <c r="G3669" s="56" t="n">
        <v>11</v>
      </c>
      <c r="H3669" s="56" t="n">
        <v>0</v>
      </c>
      <c r="I3669" s="56" t="n">
        <v>14.6</v>
      </c>
      <c r="J3669" s="56" t="n">
        <v>0</v>
      </c>
      <c r="K3669" s="56" t="n">
        <v>1020</v>
      </c>
      <c r="L3669" s="56" t="n">
        <v>0</v>
      </c>
      <c r="M3669" s="56" t="n">
        <v>63</v>
      </c>
      <c r="N3669" s="56" t="n">
        <v>8.7</v>
      </c>
      <c r="O3669" s="56" t="n">
        <f aca="false">IF(D3669=1,"",E3668)</f>
        <v>18.2</v>
      </c>
      <c r="P3669" s="56" t="n">
        <f aca="false">IF(OR(D3669=1,K3668=""),"",K3668)</f>
        <v>1022.1</v>
      </c>
      <c r="Q3669" s="56" t="n">
        <f aca="false">IF(OR(F3669&lt;&gt;0,AND(I3669&lt;&gt;"",E3669&lt;I3669)),1,0)</f>
        <v>0</v>
      </c>
      <c r="R3669" s="56" t="n">
        <f aca="false">IF(AND(D3669&gt;1,Q3669=0,ISNUMBER(O3669),ISNUMBER(P3669)),IF(Q3668=0,1,0),0)</f>
        <v>1</v>
      </c>
      <c r="S3669" s="56" t="n">
        <f aca="false">R3669*(B3669&gt;=Train_Start)*(B3669&lt;=Train_End)</f>
        <v>0</v>
      </c>
      <c r="T3669" s="84" t="n">
        <f aca="false">IF(AND(ISNUMBER(O3669),ISNUMBER(P3669)),Coef_A+Coef_B1*O3669+Coef_B2*P3669,"")</f>
        <v>19.0621180407726</v>
      </c>
      <c r="U3669" s="84" t="n">
        <f aca="false">IF(AND(R3669=1,ISNUMBER(T3669)),E3669-T3669,"")</f>
        <v>-1.86211804077263</v>
      </c>
      <c r="V3669" s="84" t="n">
        <f aca="false">IF(ISNUMBER(T3669),T3669,-99)</f>
        <v>19.0621180407726</v>
      </c>
      <c r="W3669" s="84" t="n">
        <f aca="false">IF(ISNUMBER(U3669),ABS(U3669),"")</f>
        <v>1.86211804077263</v>
      </c>
    </row>
    <row r="3670" customFormat="false" ht="15" hidden="false" customHeight="false" outlineLevel="0" collapsed="false">
      <c r="A3670" s="57" t="n">
        <v>37526</v>
      </c>
      <c r="B3670" s="56" t="n">
        <v>2002</v>
      </c>
      <c r="C3670" s="56" t="n">
        <v>9</v>
      </c>
      <c r="D3670" s="56" t="n">
        <v>150</v>
      </c>
      <c r="E3670" s="56" t="n">
        <v>19.2</v>
      </c>
      <c r="F3670" s="56" t="n">
        <v>0</v>
      </c>
      <c r="G3670" s="56" t="n">
        <v>7.7</v>
      </c>
      <c r="H3670" s="56" t="n">
        <v>0</v>
      </c>
      <c r="I3670" s="56" t="n">
        <v>12.4</v>
      </c>
      <c r="J3670" s="56" t="n">
        <v>0</v>
      </c>
      <c r="K3670" s="56" t="n">
        <v>1025.8</v>
      </c>
      <c r="L3670" s="56" t="n">
        <v>0</v>
      </c>
      <c r="M3670" s="56" t="n">
        <v>79</v>
      </c>
      <c r="N3670" s="56" t="n">
        <v>0</v>
      </c>
      <c r="O3670" s="56" t="n">
        <f aca="false">IF(D3670=1,"",E3669)</f>
        <v>17.2</v>
      </c>
      <c r="P3670" s="56" t="n">
        <f aca="false">IF(OR(D3670=1,K3669=""),"",K3669)</f>
        <v>1020</v>
      </c>
      <c r="Q3670" s="56" t="n">
        <f aca="false">IF(OR(F3670&lt;&gt;0,AND(I3670&lt;&gt;"",E3670&lt;I3670)),1,0)</f>
        <v>0</v>
      </c>
      <c r="R3670" s="56" t="n">
        <f aca="false">IF(AND(D3670&gt;1,Q3670=0,ISNUMBER(O3670),ISNUMBER(P3670)),IF(Q3669=0,1,0),0)</f>
        <v>1</v>
      </c>
      <c r="S3670" s="56" t="n">
        <f aca="false">R3670*(B3670&gt;=Train_Start)*(B3670&lt;=Train_End)</f>
        <v>0</v>
      </c>
      <c r="T3670" s="84" t="n">
        <f aca="false">IF(AND(ISNUMBER(O3670),ISNUMBER(P3670)),Coef_A+Coef_B1*O3670+Coef_B2*P3670,"")</f>
        <v>18.1769020689986</v>
      </c>
      <c r="U3670" s="84" t="n">
        <f aca="false">IF(AND(R3670=1,ISNUMBER(T3670)),E3670-T3670,"")</f>
        <v>1.02309793100141</v>
      </c>
      <c r="V3670" s="84" t="n">
        <f aca="false">IF(ISNUMBER(T3670),T3670,-99)</f>
        <v>18.1769020689986</v>
      </c>
      <c r="W3670" s="84" t="n">
        <f aca="false">IF(ISNUMBER(U3670),ABS(U3670),"")</f>
        <v>1.02309793100141</v>
      </c>
    </row>
    <row r="3671" customFormat="false" ht="15" hidden="false" customHeight="false" outlineLevel="0" collapsed="false">
      <c r="A3671" s="57" t="n">
        <v>37527</v>
      </c>
      <c r="B3671" s="56" t="n">
        <v>2002</v>
      </c>
      <c r="C3671" s="56" t="n">
        <v>9</v>
      </c>
      <c r="D3671" s="56" t="n">
        <v>151</v>
      </c>
      <c r="E3671" s="56" t="n">
        <v>20.7</v>
      </c>
      <c r="F3671" s="56" t="n">
        <v>0</v>
      </c>
      <c r="G3671" s="56" t="n">
        <v>8.6</v>
      </c>
      <c r="H3671" s="56" t="n">
        <v>0</v>
      </c>
      <c r="I3671" s="56" t="n">
        <v>13.9</v>
      </c>
      <c r="J3671" s="56" t="n">
        <v>0</v>
      </c>
      <c r="K3671" s="56" t="n">
        <v>1028</v>
      </c>
      <c r="L3671" s="56" t="n">
        <v>0</v>
      </c>
      <c r="M3671" s="56" t="n">
        <v>76</v>
      </c>
      <c r="N3671" s="56" t="n">
        <v>5.3</v>
      </c>
      <c r="O3671" s="56" t="n">
        <f aca="false">IF(D3671=1,"",E3670)</f>
        <v>19.2</v>
      </c>
      <c r="P3671" s="56" t="n">
        <f aca="false">IF(OR(D3671=1,K3670=""),"",K3670)</f>
        <v>1025.8</v>
      </c>
      <c r="Q3671" s="56" t="n">
        <f aca="false">IF(OR(F3671&lt;&gt;0,AND(I3671&lt;&gt;"",E3671&lt;I3671)),1,0)</f>
        <v>0</v>
      </c>
      <c r="R3671" s="56" t="n">
        <f aca="false">IF(AND(D3671&gt;1,Q3671=0,ISNUMBER(O3671),ISNUMBER(P3671)),IF(Q3670=0,1,0),0)</f>
        <v>1</v>
      </c>
      <c r="S3671" s="56" t="n">
        <f aca="false">R3671*(B3671&gt;=Train_Start)*(B3671&lt;=Train_End)</f>
        <v>0</v>
      </c>
      <c r="T3671" s="84" t="n">
        <f aca="false">IF(AND(ISNUMBER(O3671),ISNUMBER(P3671)),Coef_A+Coef_B1*O3671+Coef_B2*P3671,"")</f>
        <v>19.997525843961</v>
      </c>
      <c r="U3671" s="84" t="n">
        <f aca="false">IF(AND(R3671=1,ISNUMBER(T3671)),E3671-T3671,"")</f>
        <v>0.702474156038957</v>
      </c>
      <c r="V3671" s="84" t="n">
        <f aca="false">IF(ISNUMBER(T3671),T3671,-99)</f>
        <v>19.997525843961</v>
      </c>
      <c r="W3671" s="84" t="n">
        <f aca="false">IF(ISNUMBER(U3671),ABS(U3671),"")</f>
        <v>0.702474156038957</v>
      </c>
    </row>
    <row r="3672" customFormat="false" ht="15" hidden="false" customHeight="false" outlineLevel="0" collapsed="false">
      <c r="A3672" s="57" t="n">
        <v>37528</v>
      </c>
      <c r="B3672" s="56" t="n">
        <v>2002</v>
      </c>
      <c r="C3672" s="56" t="n">
        <v>9</v>
      </c>
      <c r="D3672" s="56" t="n">
        <v>152</v>
      </c>
      <c r="E3672" s="56" t="n">
        <v>21.4</v>
      </c>
      <c r="F3672" s="56" t="n">
        <v>0</v>
      </c>
      <c r="G3672" s="56" t="n">
        <v>9.2</v>
      </c>
      <c r="H3672" s="56" t="n">
        <v>0</v>
      </c>
      <c r="I3672" s="56" t="n">
        <v>15</v>
      </c>
      <c r="J3672" s="56" t="n">
        <v>0</v>
      </c>
      <c r="K3672" s="56" t="n">
        <v>1026</v>
      </c>
      <c r="L3672" s="56" t="n">
        <v>0</v>
      </c>
      <c r="M3672" s="56" t="n">
        <v>69</v>
      </c>
      <c r="N3672" s="56" t="n">
        <v>9.1</v>
      </c>
      <c r="O3672" s="56" t="n">
        <f aca="false">IF(D3672=1,"",E3671)</f>
        <v>20.7</v>
      </c>
      <c r="P3672" s="56" t="n">
        <f aca="false">IF(OR(D3672=1,K3671=""),"",K3671)</f>
        <v>1028</v>
      </c>
      <c r="Q3672" s="56" t="n">
        <f aca="false">IF(OR(F3672&lt;&gt;0,AND(I3672&lt;&gt;"",E3672&lt;I3672)),1,0)</f>
        <v>0</v>
      </c>
      <c r="R3672" s="56" t="n">
        <f aca="false">IF(AND(D3672&gt;1,Q3672=0,ISNUMBER(O3672),ISNUMBER(P3672)),IF(Q3671=0,1,0),0)</f>
        <v>1</v>
      </c>
      <c r="S3672" s="56" t="n">
        <f aca="false">R3672*(B3672&gt;=Train_Start)*(B3672&lt;=Train_End)</f>
        <v>0</v>
      </c>
      <c r="T3672" s="84" t="n">
        <f aca="false">IF(AND(ISNUMBER(O3672),ISNUMBER(P3672)),Coef_A+Coef_B1*O3672+Coef_B2*P3672,"")</f>
        <v>21.2955484017198</v>
      </c>
      <c r="U3672" s="84" t="n">
        <f aca="false">IF(AND(R3672=1,ISNUMBER(T3672)),E3672-T3672,"")</f>
        <v>0.104451598280193</v>
      </c>
      <c r="V3672" s="84" t="n">
        <f aca="false">IF(ISNUMBER(T3672),T3672,-99)</f>
        <v>21.2955484017198</v>
      </c>
      <c r="W3672" s="84" t="n">
        <f aca="false">IF(ISNUMBER(U3672),ABS(U3672),"")</f>
        <v>0.104451598280193</v>
      </c>
    </row>
    <row r="3673" customFormat="false" ht="15" hidden="false" customHeight="false" outlineLevel="0" collapsed="false">
      <c r="A3673" s="57" t="n">
        <v>37529</v>
      </c>
      <c r="B3673" s="56" t="n">
        <v>2002</v>
      </c>
      <c r="C3673" s="56" t="n">
        <v>9</v>
      </c>
      <c r="D3673" s="56" t="n">
        <v>153</v>
      </c>
      <c r="E3673" s="56" t="n">
        <v>21.8</v>
      </c>
      <c r="F3673" s="56" t="n">
        <v>0</v>
      </c>
      <c r="G3673" s="56" t="n">
        <v>9.4</v>
      </c>
      <c r="H3673" s="56" t="n">
        <v>0</v>
      </c>
      <c r="I3673" s="56" t="n">
        <v>15.4</v>
      </c>
      <c r="J3673" s="56" t="n">
        <v>0</v>
      </c>
      <c r="K3673" s="56" t="n">
        <v>1022.3</v>
      </c>
      <c r="L3673" s="56" t="n">
        <v>0</v>
      </c>
      <c r="M3673" s="56" t="n">
        <v>66</v>
      </c>
      <c r="N3673" s="56" t="n">
        <v>7.6</v>
      </c>
      <c r="O3673" s="56" t="n">
        <f aca="false">IF(D3673=1,"",E3672)</f>
        <v>21.4</v>
      </c>
      <c r="P3673" s="56" t="n">
        <f aca="false">IF(OR(D3673=1,K3672=""),"",K3672)</f>
        <v>1026</v>
      </c>
      <c r="Q3673" s="56" t="n">
        <f aca="false">IF(OR(F3673&lt;&gt;0,AND(I3673&lt;&gt;"",E3673&lt;I3673)),1,0)</f>
        <v>0</v>
      </c>
      <c r="R3673" s="56" t="n">
        <f aca="false">IF(AND(D3673&gt;1,Q3673=0,ISNUMBER(O3673),ISNUMBER(P3673)),IF(Q3672=0,1,0),0)</f>
        <v>1</v>
      </c>
      <c r="S3673" s="56" t="n">
        <f aca="false">R3673*(B3673&gt;=Train_Start)*(B3673&lt;=Train_End)</f>
        <v>0</v>
      </c>
      <c r="T3673" s="84" t="n">
        <f aca="false">IF(AND(ISNUMBER(O3673),ISNUMBER(P3673)),Coef_A+Coef_B1*O3673+Coef_B2*P3673,"")</f>
        <v>21.8063460475817</v>
      </c>
      <c r="U3673" s="84" t="n">
        <f aca="false">IF(AND(R3673=1,ISNUMBER(T3673)),E3673-T3673,"")</f>
        <v>-0.00634604758168678</v>
      </c>
      <c r="V3673" s="84" t="n">
        <f aca="false">IF(ISNUMBER(T3673),T3673,-99)</f>
        <v>21.8063460475817</v>
      </c>
      <c r="W3673" s="84" t="n">
        <f aca="false">IF(ISNUMBER(U3673),ABS(U3673),"")</f>
        <v>0.00634604758168678</v>
      </c>
    </row>
    <row r="3674" customFormat="false" ht="15" hidden="false" customHeight="false" outlineLevel="0" collapsed="false">
      <c r="A3674" s="57" t="n">
        <v>37742</v>
      </c>
      <c r="B3674" s="56" t="n">
        <v>2003</v>
      </c>
      <c r="C3674" s="56" t="n">
        <v>5</v>
      </c>
      <c r="D3674" s="56" t="n">
        <v>1</v>
      </c>
      <c r="E3674" s="56" t="n">
        <v>14.6</v>
      </c>
      <c r="F3674" s="56" t="n">
        <v>0</v>
      </c>
      <c r="G3674" s="56" t="n">
        <v>8.6</v>
      </c>
      <c r="H3674" s="56" t="n">
        <v>0</v>
      </c>
      <c r="I3674" s="56" t="n">
        <v>12.8</v>
      </c>
      <c r="J3674" s="56" t="n">
        <v>0</v>
      </c>
      <c r="K3674" s="56" t="n">
        <v>1011.2</v>
      </c>
      <c r="L3674" s="56" t="n">
        <v>0</v>
      </c>
      <c r="M3674" s="56" t="n">
        <v>71</v>
      </c>
      <c r="N3674" s="56" t="n">
        <v>5.7</v>
      </c>
      <c r="O3674" s="56" t="str">
        <f aca="false">IF(D3674=1,"",E3673)</f>
        <v/>
      </c>
      <c r="P3674" s="56" t="str">
        <f aca="false">IF(OR(D3674=1,K3673=""),"",K3673)</f>
        <v/>
      </c>
      <c r="Q3674" s="56" t="n">
        <f aca="false">IF(OR(F3674&lt;&gt;0,AND(I3674&lt;&gt;"",E3674&lt;I3674)),1,0)</f>
        <v>0</v>
      </c>
      <c r="R3674" s="56" t="n">
        <f aca="false">IF(AND(D3674&gt;1,Q3674=0,ISNUMBER(O3674),ISNUMBER(P3674)),IF(Q3673=0,1,0),0)</f>
        <v>0</v>
      </c>
      <c r="S3674" s="56" t="n">
        <f aca="false">R3674*(B3674&gt;=Train_Start)*(B3674&lt;=Train_End)</f>
        <v>0</v>
      </c>
      <c r="T3674" s="84" t="str">
        <f aca="false">IF(AND(ISNUMBER(O3674),ISNUMBER(P3674)),Coef_A+Coef_B1*O3674+Coef_B2*P3674,"")</f>
        <v/>
      </c>
      <c r="U3674" s="84" t="str">
        <f aca="false">IF(AND(R3674=1,ISNUMBER(T3674)),E3674-T3674,"")</f>
        <v/>
      </c>
      <c r="V3674" s="84" t="n">
        <f aca="false">IF(ISNUMBER(T3674),T3674,-99)</f>
        <v>-99</v>
      </c>
      <c r="W3674" s="84" t="str">
        <f aca="false">IF(ISNUMBER(U3674),ABS(U3674),"")</f>
        <v/>
      </c>
    </row>
    <row r="3675" customFormat="false" ht="15" hidden="false" customHeight="false" outlineLevel="0" collapsed="false">
      <c r="A3675" s="57" t="n">
        <v>37743</v>
      </c>
      <c r="B3675" s="56" t="n">
        <v>2003</v>
      </c>
      <c r="C3675" s="56" t="n">
        <v>5</v>
      </c>
      <c r="D3675" s="56" t="n">
        <v>2</v>
      </c>
      <c r="E3675" s="56" t="n">
        <v>16.9</v>
      </c>
      <c r="F3675" s="56" t="n">
        <v>0</v>
      </c>
      <c r="G3675" s="56" t="n">
        <v>9.5</v>
      </c>
      <c r="H3675" s="56" t="n">
        <v>0</v>
      </c>
      <c r="I3675" s="56" t="n">
        <v>12</v>
      </c>
      <c r="J3675" s="56" t="n">
        <v>0</v>
      </c>
      <c r="K3675" s="56" t="n">
        <v>1003.7</v>
      </c>
      <c r="L3675" s="56" t="n">
        <v>0</v>
      </c>
      <c r="M3675" s="56" t="n">
        <v>85</v>
      </c>
      <c r="N3675" s="56" t="n">
        <v>1.5</v>
      </c>
      <c r="O3675" s="56" t="n">
        <f aca="false">IF(D3675=1,"",E3674)</f>
        <v>14.6</v>
      </c>
      <c r="P3675" s="56" t="n">
        <f aca="false">IF(OR(D3675=1,K3674=""),"",K3674)</f>
        <v>1011.2</v>
      </c>
      <c r="Q3675" s="56" t="n">
        <f aca="false">IF(OR(F3675&lt;&gt;0,AND(I3675&lt;&gt;"",E3675&lt;I3675)),1,0)</f>
        <v>0</v>
      </c>
      <c r="R3675" s="56" t="n">
        <f aca="false">IF(AND(D3675&gt;1,Q3675=0,ISNUMBER(O3675),ISNUMBER(P3675)),IF(Q3674=0,1,0),0)</f>
        <v>1</v>
      </c>
      <c r="S3675" s="56" t="n">
        <f aca="false">R3675*(B3675&gt;=Train_Start)*(B3675&lt;=Train_End)</f>
        <v>0</v>
      </c>
      <c r="T3675" s="84" t="n">
        <f aca="false">IF(AND(ISNUMBER(O3675),ISNUMBER(P3675)),Coef_A+Coef_B1*O3675+Coef_B2*P3675,"")</f>
        <v>15.7705650943086</v>
      </c>
      <c r="U3675" s="84" t="n">
        <f aca="false">IF(AND(R3675=1,ISNUMBER(T3675)),E3675-T3675,"")</f>
        <v>1.12943490569143</v>
      </c>
      <c r="V3675" s="84" t="n">
        <f aca="false">IF(ISNUMBER(T3675),T3675,-99)</f>
        <v>15.7705650943086</v>
      </c>
      <c r="W3675" s="84" t="n">
        <f aca="false">IF(ISNUMBER(U3675),ABS(U3675),"")</f>
        <v>1.12943490569143</v>
      </c>
    </row>
    <row r="3676" customFormat="false" ht="15" hidden="false" customHeight="false" outlineLevel="0" collapsed="false">
      <c r="A3676" s="57" t="n">
        <v>37744</v>
      </c>
      <c r="B3676" s="56" t="n">
        <v>2003</v>
      </c>
      <c r="C3676" s="56" t="n">
        <v>5</v>
      </c>
      <c r="D3676" s="56" t="n">
        <v>3</v>
      </c>
      <c r="E3676" s="56" t="n">
        <v>22</v>
      </c>
      <c r="F3676" s="56" t="n">
        <v>0</v>
      </c>
      <c r="G3676" s="56" t="n">
        <v>7.6</v>
      </c>
      <c r="H3676" s="56" t="n">
        <v>0</v>
      </c>
      <c r="I3676" s="56" t="n">
        <v>12.2</v>
      </c>
      <c r="J3676" s="56" t="n">
        <v>0</v>
      </c>
      <c r="K3676" s="56" t="n">
        <v>1016.5</v>
      </c>
      <c r="L3676" s="56" t="n">
        <v>0</v>
      </c>
      <c r="M3676" s="56" t="n">
        <v>70</v>
      </c>
      <c r="N3676" s="56" t="n">
        <v>6.1</v>
      </c>
      <c r="O3676" s="56" t="n">
        <f aca="false">IF(D3676=1,"",E3675)</f>
        <v>16.9</v>
      </c>
      <c r="P3676" s="56" t="n">
        <f aca="false">IF(OR(D3676=1,K3675=""),"",K3675)</f>
        <v>1003.7</v>
      </c>
      <c r="Q3676" s="56" t="n">
        <f aca="false">IF(OR(F3676&lt;&gt;0,AND(I3676&lt;&gt;"",E3676&lt;I3676)),1,0)</f>
        <v>0</v>
      </c>
      <c r="R3676" s="56" t="n">
        <f aca="false">IF(AND(D3676&gt;1,Q3676=0,ISNUMBER(O3676),ISNUMBER(P3676)),IF(Q3675=0,1,0),0)</f>
        <v>1</v>
      </c>
      <c r="S3676" s="56" t="n">
        <f aca="false">R3676*(B3676&gt;=Train_Start)*(B3676&lt;=Train_End)</f>
        <v>0</v>
      </c>
      <c r="T3676" s="84" t="n">
        <f aca="false">IF(AND(ISNUMBER(O3676),ISNUMBER(P3676)),Coef_A+Coef_B1*O3676+Coef_B2*P3676,"")</f>
        <v>17.4197710285518</v>
      </c>
      <c r="U3676" s="84" t="n">
        <f aca="false">IF(AND(R3676=1,ISNUMBER(T3676)),E3676-T3676,"")</f>
        <v>4.58022897144824</v>
      </c>
      <c r="V3676" s="84" t="n">
        <f aca="false">IF(ISNUMBER(T3676),T3676,-99)</f>
        <v>17.4197710285518</v>
      </c>
      <c r="W3676" s="84" t="n">
        <f aca="false">IF(ISNUMBER(U3676),ABS(U3676),"")</f>
        <v>4.58022897144824</v>
      </c>
    </row>
    <row r="3677" customFormat="false" ht="15" hidden="false" customHeight="false" outlineLevel="0" collapsed="false">
      <c r="A3677" s="57" t="n">
        <v>37745</v>
      </c>
      <c r="B3677" s="56" t="n">
        <v>2003</v>
      </c>
      <c r="C3677" s="56" t="n">
        <v>5</v>
      </c>
      <c r="D3677" s="56" t="n">
        <v>4</v>
      </c>
      <c r="E3677" s="56" t="n">
        <v>17.3</v>
      </c>
      <c r="F3677" s="56" t="n">
        <v>0</v>
      </c>
      <c r="G3677" s="56" t="n">
        <v>7.4</v>
      </c>
      <c r="H3677" s="56" t="n">
        <v>0</v>
      </c>
      <c r="I3677" s="56" t="n">
        <v>14.7</v>
      </c>
      <c r="J3677" s="56" t="n">
        <v>0</v>
      </c>
      <c r="K3677" s="56" t="n">
        <v>1010.4</v>
      </c>
      <c r="L3677" s="56" t="n">
        <v>0</v>
      </c>
      <c r="M3677" s="56" t="n">
        <v>61</v>
      </c>
      <c r="N3677" s="56" t="n">
        <v>10.9</v>
      </c>
      <c r="O3677" s="56" t="n">
        <f aca="false">IF(D3677=1,"",E3676)</f>
        <v>22</v>
      </c>
      <c r="P3677" s="56" t="n">
        <f aca="false">IF(OR(D3677=1,K3676=""),"",K3676)</f>
        <v>1016.5</v>
      </c>
      <c r="Q3677" s="56" t="n">
        <f aca="false">IF(OR(F3677&lt;&gt;0,AND(I3677&lt;&gt;"",E3677&lt;I3677)),1,0)</f>
        <v>0</v>
      </c>
      <c r="R3677" s="56" t="n">
        <f aca="false">IF(AND(D3677&gt;1,Q3677=0,ISNUMBER(O3677),ISNUMBER(P3677)),IF(Q3676=0,1,0),0)</f>
        <v>1</v>
      </c>
      <c r="S3677" s="56" t="n">
        <f aca="false">R3677*(B3677&gt;=Train_Start)*(B3677&lt;=Train_End)</f>
        <v>0</v>
      </c>
      <c r="T3677" s="84" t="n">
        <f aca="false">IF(AND(ISNUMBER(O3677),ISNUMBER(P3677)),Coef_A+Coef_B1*O3677+Coef_B2*P3677,"")</f>
        <v>21.9999355643844</v>
      </c>
      <c r="U3677" s="84" t="n">
        <f aca="false">IF(AND(R3677=1,ISNUMBER(T3677)),E3677-T3677,"")</f>
        <v>-4.69993556438438</v>
      </c>
      <c r="V3677" s="84" t="n">
        <f aca="false">IF(ISNUMBER(T3677),T3677,-99)</f>
        <v>21.9999355643844</v>
      </c>
      <c r="W3677" s="84" t="n">
        <f aca="false">IF(ISNUMBER(U3677),ABS(U3677),"")</f>
        <v>4.69993556438438</v>
      </c>
    </row>
    <row r="3678" customFormat="false" ht="15" hidden="false" customHeight="false" outlineLevel="0" collapsed="false">
      <c r="A3678" s="57" t="n">
        <v>37746</v>
      </c>
      <c r="B3678" s="56" t="n">
        <v>2003</v>
      </c>
      <c r="C3678" s="56" t="n">
        <v>5</v>
      </c>
      <c r="D3678" s="56" t="n">
        <v>5</v>
      </c>
      <c r="E3678" s="56" t="n">
        <v>17.6</v>
      </c>
      <c r="F3678" s="56" t="n">
        <v>0</v>
      </c>
      <c r="G3678" s="56" t="n">
        <v>11.6</v>
      </c>
      <c r="H3678" s="56" t="n">
        <v>0</v>
      </c>
      <c r="I3678" s="56" t="n">
        <v>14.4</v>
      </c>
      <c r="J3678" s="56" t="n">
        <v>0</v>
      </c>
      <c r="K3678" s="56" t="n">
        <v>1010.8</v>
      </c>
      <c r="L3678" s="56" t="n">
        <v>0</v>
      </c>
      <c r="M3678" s="56" t="n">
        <v>60</v>
      </c>
      <c r="N3678" s="56" t="n">
        <v>9.7</v>
      </c>
      <c r="O3678" s="56" t="n">
        <f aca="false">IF(D3678=1,"",E3677)</f>
        <v>17.3</v>
      </c>
      <c r="P3678" s="56" t="n">
        <f aca="false">IF(OR(D3678=1,K3677=""),"",K3677)</f>
        <v>1010.4</v>
      </c>
      <c r="Q3678" s="56" t="n">
        <f aca="false">IF(OR(F3678&lt;&gt;0,AND(I3678&lt;&gt;"",E3678&lt;I3678)),1,0)</f>
        <v>0</v>
      </c>
      <c r="R3678" s="56" t="n">
        <f aca="false">IF(AND(D3678&gt;1,Q3678=0,ISNUMBER(O3678),ISNUMBER(P3678)),IF(Q3677=0,1,0),0)</f>
        <v>1</v>
      </c>
      <c r="S3678" s="56" t="n">
        <f aca="false">R3678*(B3678&gt;=Train_Start)*(B3678&lt;=Train_End)</f>
        <v>0</v>
      </c>
      <c r="T3678" s="84" t="n">
        <f aca="false">IF(AND(ISNUMBER(O3678),ISNUMBER(P3678)),Coef_A+Coef_B1*O3678+Coef_B2*P3678,"")</f>
        <v>17.9576849998166</v>
      </c>
      <c r="U3678" s="84" t="n">
        <f aca="false">IF(AND(R3678=1,ISNUMBER(T3678)),E3678-T3678,"")</f>
        <v>-0.357684999816556</v>
      </c>
      <c r="V3678" s="84" t="n">
        <f aca="false">IF(ISNUMBER(T3678),T3678,-99)</f>
        <v>17.9576849998166</v>
      </c>
      <c r="W3678" s="84" t="n">
        <f aca="false">IF(ISNUMBER(U3678),ABS(U3678),"")</f>
        <v>0.357684999816556</v>
      </c>
    </row>
    <row r="3679" customFormat="false" ht="15" hidden="false" customHeight="false" outlineLevel="0" collapsed="false">
      <c r="A3679" s="57" t="n">
        <v>37747</v>
      </c>
      <c r="B3679" s="56" t="n">
        <v>2003</v>
      </c>
      <c r="C3679" s="56" t="n">
        <v>5</v>
      </c>
      <c r="D3679" s="56" t="n">
        <v>6</v>
      </c>
      <c r="E3679" s="56" t="n">
        <v>19.7</v>
      </c>
      <c r="F3679" s="56" t="n">
        <v>0</v>
      </c>
      <c r="G3679" s="56" t="n">
        <v>5.3</v>
      </c>
      <c r="H3679" s="56" t="n">
        <v>0</v>
      </c>
      <c r="I3679" s="56" t="n">
        <v>11.4</v>
      </c>
      <c r="J3679" s="56" t="n">
        <v>0</v>
      </c>
      <c r="K3679" s="56" t="n">
        <v>1022.4</v>
      </c>
      <c r="L3679" s="56" t="n">
        <v>0</v>
      </c>
      <c r="M3679" s="56" t="n">
        <v>59</v>
      </c>
      <c r="N3679" s="56" t="n">
        <v>12.9</v>
      </c>
      <c r="O3679" s="56" t="n">
        <f aca="false">IF(D3679=1,"",E3678)</f>
        <v>17.6</v>
      </c>
      <c r="P3679" s="56" t="n">
        <f aca="false">IF(OR(D3679=1,K3678=""),"",K3678)</f>
        <v>1010.8</v>
      </c>
      <c r="Q3679" s="56" t="n">
        <f aca="false">IF(OR(F3679&lt;&gt;0,AND(I3679&lt;&gt;"",E3679&lt;I3679)),1,0)</f>
        <v>0</v>
      </c>
      <c r="R3679" s="56" t="n">
        <f aca="false">IF(AND(D3679&gt;1,Q3679=0,ISNUMBER(O3679),ISNUMBER(P3679)),IF(Q3678=0,1,0),0)</f>
        <v>1</v>
      </c>
      <c r="S3679" s="56" t="n">
        <f aca="false">R3679*(B3679&gt;=Train_Start)*(B3679&lt;=Train_End)</f>
        <v>0</v>
      </c>
      <c r="T3679" s="84" t="n">
        <f aca="false">IF(AND(ISNUMBER(O3679),ISNUMBER(P3679)),Coef_A+Coef_B1*O3679+Coef_B2*P3679,"")</f>
        <v>18.216034715583</v>
      </c>
      <c r="U3679" s="84" t="n">
        <f aca="false">IF(AND(R3679=1,ISNUMBER(T3679)),E3679-T3679,"")</f>
        <v>1.48396528441705</v>
      </c>
      <c r="V3679" s="84" t="n">
        <f aca="false">IF(ISNUMBER(T3679),T3679,-99)</f>
        <v>18.216034715583</v>
      </c>
      <c r="W3679" s="84" t="n">
        <f aca="false">IF(ISNUMBER(U3679),ABS(U3679),"")</f>
        <v>1.48396528441705</v>
      </c>
    </row>
    <row r="3680" customFormat="false" ht="15" hidden="false" customHeight="false" outlineLevel="0" collapsed="false">
      <c r="A3680" s="57" t="n">
        <v>37748</v>
      </c>
      <c r="B3680" s="56" t="n">
        <v>2003</v>
      </c>
      <c r="C3680" s="56" t="n">
        <v>5</v>
      </c>
      <c r="D3680" s="56" t="n">
        <v>7</v>
      </c>
      <c r="E3680" s="56" t="n">
        <v>15.9</v>
      </c>
      <c r="F3680" s="56" t="n">
        <v>0</v>
      </c>
      <c r="G3680" s="56" t="n">
        <v>6.1</v>
      </c>
      <c r="H3680" s="56" t="n">
        <v>0</v>
      </c>
      <c r="I3680" s="56" t="n">
        <v>12.9</v>
      </c>
      <c r="J3680" s="56" t="n">
        <v>0</v>
      </c>
      <c r="K3680" s="56" t="n">
        <v>1023.9</v>
      </c>
      <c r="L3680" s="56" t="n">
        <v>0</v>
      </c>
      <c r="M3680" s="56" t="n">
        <v>59</v>
      </c>
      <c r="N3680" s="56" t="n">
        <v>12.2</v>
      </c>
      <c r="O3680" s="56" t="n">
        <f aca="false">IF(D3680=1,"",E3679)</f>
        <v>19.7</v>
      </c>
      <c r="P3680" s="56" t="n">
        <f aca="false">IF(OR(D3680=1,K3679=""),"",K3679)</f>
        <v>1022.4</v>
      </c>
      <c r="Q3680" s="56" t="n">
        <f aca="false">IF(OR(F3680&lt;&gt;0,AND(I3680&lt;&gt;"",E3680&lt;I3680)),1,0)</f>
        <v>0</v>
      </c>
      <c r="R3680" s="56" t="n">
        <f aca="false">IF(AND(D3680&gt;1,Q3680=0,ISNUMBER(O3680),ISNUMBER(P3680)),IF(Q3679=0,1,0),0)</f>
        <v>1</v>
      </c>
      <c r="S3680" s="56" t="n">
        <f aca="false">R3680*(B3680&gt;=Train_Start)*(B3680&lt;=Train_End)</f>
        <v>0</v>
      </c>
      <c r="T3680" s="84" t="n">
        <f aca="false">IF(AND(ISNUMBER(O3680),ISNUMBER(P3680)),Coef_A+Coef_B1*O3680+Coef_B2*P3680,"")</f>
        <v>20.3005377987268</v>
      </c>
      <c r="U3680" s="84" t="n">
        <f aca="false">IF(AND(R3680=1,ISNUMBER(T3680)),E3680-T3680,"")</f>
        <v>-4.40053779872681</v>
      </c>
      <c r="V3680" s="84" t="n">
        <f aca="false">IF(ISNUMBER(T3680),T3680,-99)</f>
        <v>20.3005377987268</v>
      </c>
      <c r="W3680" s="84" t="n">
        <f aca="false">IF(ISNUMBER(U3680),ABS(U3680),"")</f>
        <v>4.40053779872681</v>
      </c>
    </row>
    <row r="3681" customFormat="false" ht="15" hidden="false" customHeight="false" outlineLevel="0" collapsed="false">
      <c r="A3681" s="57" t="n">
        <v>37749</v>
      </c>
      <c r="B3681" s="56" t="n">
        <v>2003</v>
      </c>
      <c r="C3681" s="56" t="n">
        <v>5</v>
      </c>
      <c r="D3681" s="56" t="n">
        <v>8</v>
      </c>
      <c r="E3681" s="56" t="n">
        <v>18.1</v>
      </c>
      <c r="F3681" s="56" t="n">
        <v>0</v>
      </c>
      <c r="G3681" s="56" t="n">
        <v>7.5</v>
      </c>
      <c r="H3681" s="56" t="n">
        <v>0</v>
      </c>
      <c r="I3681" s="56" t="n">
        <v>11.7</v>
      </c>
      <c r="J3681" s="56" t="n">
        <v>0</v>
      </c>
      <c r="K3681" s="56" t="n">
        <v>1019.3</v>
      </c>
      <c r="L3681" s="56" t="n">
        <v>0</v>
      </c>
      <c r="M3681" s="56" t="n">
        <v>66</v>
      </c>
      <c r="N3681" s="56" t="n">
        <v>2.4</v>
      </c>
      <c r="O3681" s="56" t="n">
        <f aca="false">IF(D3681=1,"",E3680)</f>
        <v>15.9</v>
      </c>
      <c r="P3681" s="56" t="n">
        <f aca="false">IF(OR(D3681=1,K3680=""),"",K3680)</f>
        <v>1023.9</v>
      </c>
      <c r="Q3681" s="56" t="n">
        <f aca="false">IF(OR(F3681&lt;&gt;0,AND(I3681&lt;&gt;"",E3681&lt;I3681)),1,0)</f>
        <v>0</v>
      </c>
      <c r="R3681" s="56" t="n">
        <f aca="false">IF(AND(D3681&gt;1,Q3681=0,ISNUMBER(O3681),ISNUMBER(P3681)),IF(Q3680=0,1,0),0)</f>
        <v>1</v>
      </c>
      <c r="S3681" s="56" t="n">
        <f aca="false">R3681*(B3681&gt;=Train_Start)*(B3681&lt;=Train_End)</f>
        <v>0</v>
      </c>
      <c r="T3681" s="84" t="n">
        <f aca="false">IF(AND(ISNUMBER(O3681),ISNUMBER(P3681)),Coef_A+Coef_B1*O3681+Coef_B2*P3681,"")</f>
        <v>17.2341037071157</v>
      </c>
      <c r="U3681" s="84" t="n">
        <f aca="false">IF(AND(R3681=1,ISNUMBER(T3681)),E3681-T3681,"")</f>
        <v>0.865896292884308</v>
      </c>
      <c r="V3681" s="84" t="n">
        <f aca="false">IF(ISNUMBER(T3681),T3681,-99)</f>
        <v>17.2341037071157</v>
      </c>
      <c r="W3681" s="84" t="n">
        <f aca="false">IF(ISNUMBER(U3681),ABS(U3681),"")</f>
        <v>0.865896292884308</v>
      </c>
    </row>
    <row r="3682" customFormat="false" ht="15" hidden="false" customHeight="false" outlineLevel="0" collapsed="false">
      <c r="A3682" s="57" t="n">
        <v>37750</v>
      </c>
      <c r="B3682" s="56" t="n">
        <v>2003</v>
      </c>
      <c r="C3682" s="56" t="n">
        <v>5</v>
      </c>
      <c r="D3682" s="56" t="n">
        <v>9</v>
      </c>
      <c r="E3682" s="56" t="n">
        <v>15.3</v>
      </c>
      <c r="F3682" s="56" t="n">
        <v>0</v>
      </c>
      <c r="G3682" s="56" t="n">
        <v>8.2</v>
      </c>
      <c r="H3682" s="56" t="n">
        <v>0</v>
      </c>
      <c r="I3682" s="56" t="n">
        <v>13.2</v>
      </c>
      <c r="J3682" s="56" t="n">
        <v>0</v>
      </c>
      <c r="K3682" s="56" t="n">
        <v>1018.2</v>
      </c>
      <c r="L3682" s="56" t="n">
        <v>0</v>
      </c>
      <c r="M3682" s="56" t="n">
        <v>61</v>
      </c>
      <c r="N3682" s="56" t="n">
        <v>11.8</v>
      </c>
      <c r="O3682" s="56" t="n">
        <f aca="false">IF(D3682=1,"",E3681)</f>
        <v>18.1</v>
      </c>
      <c r="P3682" s="56" t="n">
        <f aca="false">IF(OR(D3682=1,K3681=""),"",K3681)</f>
        <v>1019.3</v>
      </c>
      <c r="Q3682" s="56" t="n">
        <f aca="false">IF(OR(F3682&lt;&gt;0,AND(I3682&lt;&gt;"",E3682&lt;I3682)),1,0)</f>
        <v>0</v>
      </c>
      <c r="R3682" s="56" t="n">
        <f aca="false">IF(AND(D3682&gt;1,Q3682=0,ISNUMBER(O3682),ISNUMBER(P3682)),IF(Q3681=0,1,0),0)</f>
        <v>1</v>
      </c>
      <c r="S3682" s="56" t="n">
        <f aca="false">R3682*(B3682&gt;=Train_Start)*(B3682&lt;=Train_End)</f>
        <v>0</v>
      </c>
      <c r="T3682" s="84" t="n">
        <f aca="false">IF(AND(ISNUMBER(O3682),ISNUMBER(P3682)),Coef_A+Coef_B1*O3682+Coef_B2*P3682,"")</f>
        <v>18.8923484164932</v>
      </c>
      <c r="U3682" s="84" t="n">
        <f aca="false">IF(AND(R3682=1,ISNUMBER(T3682)),E3682-T3682,"")</f>
        <v>-3.59234841649318</v>
      </c>
      <c r="V3682" s="84" t="n">
        <f aca="false">IF(ISNUMBER(T3682),T3682,-99)</f>
        <v>18.8923484164932</v>
      </c>
      <c r="W3682" s="84" t="n">
        <f aca="false">IF(ISNUMBER(U3682),ABS(U3682),"")</f>
        <v>3.59234841649318</v>
      </c>
    </row>
    <row r="3683" customFormat="false" ht="15" hidden="false" customHeight="false" outlineLevel="0" collapsed="false">
      <c r="A3683" s="57" t="n">
        <v>37751</v>
      </c>
      <c r="B3683" s="56" t="n">
        <v>2003</v>
      </c>
      <c r="C3683" s="56" t="n">
        <v>5</v>
      </c>
      <c r="D3683" s="56" t="n">
        <v>10</v>
      </c>
      <c r="E3683" s="56" t="n">
        <v>17.2</v>
      </c>
      <c r="F3683" s="56" t="n">
        <v>0</v>
      </c>
      <c r="G3683" s="56" t="n">
        <v>6.3</v>
      </c>
      <c r="H3683" s="56" t="n">
        <v>0</v>
      </c>
      <c r="I3683" s="56" t="n">
        <v>10.8</v>
      </c>
      <c r="J3683" s="56" t="n">
        <v>0</v>
      </c>
      <c r="K3683" s="56" t="n">
        <v>1019.4</v>
      </c>
      <c r="L3683" s="56" t="n">
        <v>0</v>
      </c>
      <c r="M3683" s="56" t="n">
        <v>72</v>
      </c>
      <c r="N3683" s="56" t="n">
        <v>4.9</v>
      </c>
      <c r="O3683" s="56" t="n">
        <f aca="false">IF(D3683=1,"",E3682)</f>
        <v>15.3</v>
      </c>
      <c r="P3683" s="56" t="n">
        <f aca="false">IF(OR(D3683=1,K3682=""),"",K3682)</f>
        <v>1018.2</v>
      </c>
      <c r="Q3683" s="56" t="n">
        <f aca="false">IF(OR(F3683&lt;&gt;0,AND(I3683&lt;&gt;"",E3683&lt;I3683)),1,0)</f>
        <v>0</v>
      </c>
      <c r="R3683" s="56" t="n">
        <f aca="false">IF(AND(D3683&gt;1,Q3683=0,ISNUMBER(O3683),ISNUMBER(P3683)),IF(Q3682=0,1,0),0)</f>
        <v>1</v>
      </c>
      <c r="S3683" s="56" t="n">
        <f aca="false">R3683*(B3683&gt;=Train_Start)*(B3683&lt;=Train_End)</f>
        <v>0</v>
      </c>
      <c r="T3683" s="84" t="n">
        <f aca="false">IF(AND(ISNUMBER(O3683),ISNUMBER(P3683)),Coef_A+Coef_B1*O3683+Coef_B2*P3683,"")</f>
        <v>16.5636917918764</v>
      </c>
      <c r="U3683" s="84" t="n">
        <f aca="false">IF(AND(R3683=1,ISNUMBER(T3683)),E3683-T3683,"")</f>
        <v>0.636308208123637</v>
      </c>
      <c r="V3683" s="84" t="n">
        <f aca="false">IF(ISNUMBER(T3683),T3683,-99)</f>
        <v>16.5636917918764</v>
      </c>
      <c r="W3683" s="84" t="n">
        <f aca="false">IF(ISNUMBER(U3683),ABS(U3683),"")</f>
        <v>0.636308208123637</v>
      </c>
    </row>
    <row r="3684" customFormat="false" ht="15" hidden="false" customHeight="false" outlineLevel="0" collapsed="false">
      <c r="A3684" s="57" t="n">
        <v>37752</v>
      </c>
      <c r="B3684" s="56" t="n">
        <v>2003</v>
      </c>
      <c r="C3684" s="56" t="n">
        <v>5</v>
      </c>
      <c r="D3684" s="56" t="n">
        <v>11</v>
      </c>
      <c r="E3684" s="56" t="n">
        <v>14.6</v>
      </c>
      <c r="F3684" s="56" t="n">
        <v>0</v>
      </c>
      <c r="G3684" s="56" t="n">
        <v>5.7</v>
      </c>
      <c r="H3684" s="56" t="n">
        <v>0</v>
      </c>
      <c r="I3684" s="56" t="n">
        <v>11.4</v>
      </c>
      <c r="J3684" s="56" t="n">
        <v>0</v>
      </c>
      <c r="K3684" s="56" t="n">
        <v>1017.8</v>
      </c>
      <c r="L3684" s="56" t="n">
        <v>0</v>
      </c>
      <c r="M3684" s="56" t="n">
        <v>73</v>
      </c>
      <c r="N3684" s="56" t="n">
        <v>6.7</v>
      </c>
      <c r="O3684" s="56" t="n">
        <f aca="false">IF(D3684=1,"",E3683)</f>
        <v>17.2</v>
      </c>
      <c r="P3684" s="56" t="n">
        <f aca="false">IF(OR(D3684=1,K3683=""),"",K3683)</f>
        <v>1019.4</v>
      </c>
      <c r="Q3684" s="56" t="n">
        <f aca="false">IF(OR(F3684&lt;&gt;0,AND(I3684&lt;&gt;"",E3684&lt;I3684)),1,0)</f>
        <v>0</v>
      </c>
      <c r="R3684" s="56" t="n">
        <f aca="false">IF(AND(D3684&gt;1,Q3684=0,ISNUMBER(O3684),ISNUMBER(P3684)),IF(Q3683=0,1,0),0)</f>
        <v>1</v>
      </c>
      <c r="S3684" s="56" t="n">
        <f aca="false">R3684*(B3684&gt;=Train_Start)*(B3684&lt;=Train_End)</f>
        <v>0</v>
      </c>
      <c r="T3684" s="84" t="n">
        <f aca="false">IF(AND(ISNUMBER(O3684),ISNUMBER(P3684)),Coef_A+Coef_B1*O3684+Coef_B2*P3684,"")</f>
        <v>18.1580801322182</v>
      </c>
      <c r="U3684" s="84" t="n">
        <f aca="false">IF(AND(R3684=1,ISNUMBER(T3684)),E3684-T3684,"")</f>
        <v>-3.55808013221819</v>
      </c>
      <c r="V3684" s="84" t="n">
        <f aca="false">IF(ISNUMBER(T3684),T3684,-99)</f>
        <v>18.1580801322182</v>
      </c>
      <c r="W3684" s="84" t="n">
        <f aca="false">IF(ISNUMBER(U3684),ABS(U3684),"")</f>
        <v>3.55808013221819</v>
      </c>
    </row>
    <row r="3685" customFormat="false" ht="15" hidden="false" customHeight="false" outlineLevel="0" collapsed="false">
      <c r="A3685" s="57" t="n">
        <v>37753</v>
      </c>
      <c r="B3685" s="56" t="n">
        <v>2003</v>
      </c>
      <c r="C3685" s="56" t="n">
        <v>5</v>
      </c>
      <c r="D3685" s="56" t="n">
        <v>12</v>
      </c>
      <c r="E3685" s="56" t="n">
        <v>13</v>
      </c>
      <c r="F3685" s="56" t="n">
        <v>0</v>
      </c>
      <c r="G3685" s="56" t="n">
        <v>7.2</v>
      </c>
      <c r="H3685" s="56" t="n">
        <v>0</v>
      </c>
      <c r="I3685" s="56" t="n">
        <v>10.9</v>
      </c>
      <c r="J3685" s="56" t="n">
        <v>0</v>
      </c>
      <c r="K3685" s="56" t="n">
        <v>1013.8</v>
      </c>
      <c r="L3685" s="56" t="n">
        <v>0</v>
      </c>
      <c r="M3685" s="56" t="n">
        <v>77</v>
      </c>
      <c r="N3685" s="56" t="n">
        <v>4.8</v>
      </c>
      <c r="O3685" s="56" t="n">
        <f aca="false">IF(D3685=1,"",E3684)</f>
        <v>14.6</v>
      </c>
      <c r="P3685" s="56" t="n">
        <f aca="false">IF(OR(D3685=1,K3684=""),"",K3684)</f>
        <v>1017.8</v>
      </c>
      <c r="Q3685" s="56" t="n">
        <f aca="false">IF(OR(F3685&lt;&gt;0,AND(I3685&lt;&gt;"",E3685&lt;I3685)),1,0)</f>
        <v>0</v>
      </c>
      <c r="R3685" s="56" t="n">
        <f aca="false">IF(AND(D3685&gt;1,Q3685=0,ISNUMBER(O3685),ISNUMBER(P3685)),IF(Q3684=0,1,0),0)</f>
        <v>1</v>
      </c>
      <c r="S3685" s="56" t="n">
        <f aca="false">R3685*(B3685&gt;=Train_Start)*(B3685&lt;=Train_End)</f>
        <v>0</v>
      </c>
      <c r="T3685" s="84" t="n">
        <f aca="false">IF(AND(ISNUMBER(O3685),ISNUMBER(P3685)),Coef_A+Coef_B1*O3685+Coef_B2*P3685,"")</f>
        <v>15.9776063988929</v>
      </c>
      <c r="U3685" s="84" t="n">
        <f aca="false">IF(AND(R3685=1,ISNUMBER(T3685)),E3685-T3685,"")</f>
        <v>-2.9776063988929</v>
      </c>
      <c r="V3685" s="84" t="n">
        <f aca="false">IF(ISNUMBER(T3685),T3685,-99)</f>
        <v>15.9776063988929</v>
      </c>
      <c r="W3685" s="84" t="n">
        <f aca="false">IF(ISNUMBER(U3685),ABS(U3685),"")</f>
        <v>2.9776063988929</v>
      </c>
    </row>
    <row r="3686" customFormat="false" ht="15" hidden="false" customHeight="false" outlineLevel="0" collapsed="false">
      <c r="A3686" s="57" t="n">
        <v>37754</v>
      </c>
      <c r="B3686" s="56" t="n">
        <v>2003</v>
      </c>
      <c r="C3686" s="56" t="n">
        <v>5</v>
      </c>
      <c r="D3686" s="56" t="n">
        <v>13</v>
      </c>
      <c r="E3686" s="56" t="n">
        <v>15.9</v>
      </c>
      <c r="F3686" s="56" t="n">
        <v>0</v>
      </c>
      <c r="G3686" s="56" t="n">
        <v>3.8</v>
      </c>
      <c r="H3686" s="56" t="n">
        <v>0</v>
      </c>
      <c r="I3686" s="56" t="n">
        <v>8.4</v>
      </c>
      <c r="J3686" s="56" t="n">
        <v>0</v>
      </c>
      <c r="K3686" s="56" t="n">
        <v>1016.5</v>
      </c>
      <c r="L3686" s="56" t="n">
        <v>0</v>
      </c>
      <c r="M3686" s="56" t="n">
        <v>77</v>
      </c>
      <c r="N3686" s="56" t="n">
        <v>7.2</v>
      </c>
      <c r="O3686" s="56" t="n">
        <f aca="false">IF(D3686=1,"",E3685)</f>
        <v>13</v>
      </c>
      <c r="P3686" s="56" t="n">
        <f aca="false">IF(OR(D3686=1,K3685=""),"",K3685)</f>
        <v>1013.8</v>
      </c>
      <c r="Q3686" s="56" t="n">
        <f aca="false">IF(OR(F3686&lt;&gt;0,AND(I3686&lt;&gt;"",E3686&lt;I3686)),1,0)</f>
        <v>0</v>
      </c>
      <c r="R3686" s="56" t="n">
        <f aca="false">IF(AND(D3686&gt;1,Q3686=0,ISNUMBER(O3686),ISNUMBER(P3686)),IF(Q3685=0,1,0),0)</f>
        <v>1</v>
      </c>
      <c r="S3686" s="56" t="n">
        <f aca="false">R3686*(B3686&gt;=Train_Start)*(B3686&lt;=Train_End)</f>
        <v>0</v>
      </c>
      <c r="T3686" s="84" t="n">
        <f aca="false">IF(AND(ISNUMBER(O3686),ISNUMBER(P3686)),Coef_A+Coef_B1*O3686+Coef_B2*P3686,"")</f>
        <v>14.5411841114887</v>
      </c>
      <c r="U3686" s="84" t="n">
        <f aca="false">IF(AND(R3686=1,ISNUMBER(T3686)),E3686-T3686,"")</f>
        <v>1.35881588851131</v>
      </c>
      <c r="V3686" s="84" t="n">
        <f aca="false">IF(ISNUMBER(T3686),T3686,-99)</f>
        <v>14.5411841114887</v>
      </c>
      <c r="W3686" s="84" t="n">
        <f aca="false">IF(ISNUMBER(U3686),ABS(U3686),"")</f>
        <v>1.35881588851131</v>
      </c>
    </row>
    <row r="3687" customFormat="false" ht="15" hidden="false" customHeight="false" outlineLevel="0" collapsed="false">
      <c r="A3687" s="57" t="n">
        <v>37755</v>
      </c>
      <c r="B3687" s="56" t="n">
        <v>2003</v>
      </c>
      <c r="C3687" s="56" t="n">
        <v>5</v>
      </c>
      <c r="D3687" s="56" t="n">
        <v>14</v>
      </c>
      <c r="E3687" s="56" t="n">
        <v>16.8</v>
      </c>
      <c r="F3687" s="56" t="n">
        <v>0</v>
      </c>
      <c r="G3687" s="56" t="n">
        <v>4.4</v>
      </c>
      <c r="H3687" s="56" t="n">
        <v>0</v>
      </c>
      <c r="I3687" s="56" t="n">
        <v>10.2</v>
      </c>
      <c r="J3687" s="56" t="n">
        <v>0</v>
      </c>
      <c r="K3687" s="56" t="n">
        <v>1021.4</v>
      </c>
      <c r="L3687" s="56" t="n">
        <v>0</v>
      </c>
      <c r="M3687" s="56" t="n">
        <v>64</v>
      </c>
      <c r="N3687" s="56" t="n">
        <v>7.7</v>
      </c>
      <c r="O3687" s="56" t="n">
        <f aca="false">IF(D3687=1,"",E3686)</f>
        <v>15.9</v>
      </c>
      <c r="P3687" s="56" t="n">
        <f aca="false">IF(OR(D3687=1,K3686=""),"",K3686)</f>
        <v>1016.5</v>
      </c>
      <c r="Q3687" s="56" t="n">
        <f aca="false">IF(OR(F3687&lt;&gt;0,AND(I3687&lt;&gt;"",E3687&lt;I3687)),1,0)</f>
        <v>0</v>
      </c>
      <c r="R3687" s="56" t="n">
        <f aca="false">IF(AND(D3687&gt;1,Q3687=0,ISNUMBER(O3687),ISNUMBER(P3687)),IF(Q3686=0,1,0),0)</f>
        <v>1</v>
      </c>
      <c r="S3687" s="56" t="n">
        <f aca="false">R3687*(B3687&gt;=Train_Start)*(B3687&lt;=Train_End)</f>
        <v>0</v>
      </c>
      <c r="T3687" s="84" t="n">
        <f aca="false">IF(AND(ISNUMBER(O3687),ISNUMBER(P3687)),Coef_A+Coef_B1*O3687+Coef_B2*P3687,"")</f>
        <v>17.0019664868242</v>
      </c>
      <c r="U3687" s="84" t="n">
        <f aca="false">IF(AND(R3687=1,ISNUMBER(T3687)),E3687-T3687,"")</f>
        <v>-0.201966486824173</v>
      </c>
      <c r="V3687" s="84" t="n">
        <f aca="false">IF(ISNUMBER(T3687),T3687,-99)</f>
        <v>17.0019664868242</v>
      </c>
      <c r="W3687" s="84" t="n">
        <f aca="false">IF(ISNUMBER(U3687),ABS(U3687),"")</f>
        <v>0.201966486824173</v>
      </c>
    </row>
    <row r="3688" customFormat="false" ht="15" hidden="false" customHeight="false" outlineLevel="0" collapsed="false">
      <c r="A3688" s="57" t="n">
        <v>37756</v>
      </c>
      <c r="B3688" s="56" t="n">
        <v>2003</v>
      </c>
      <c r="C3688" s="56" t="n">
        <v>5</v>
      </c>
      <c r="D3688" s="56" t="n">
        <v>15</v>
      </c>
      <c r="E3688" s="56" t="n">
        <v>12.9</v>
      </c>
      <c r="F3688" s="56" t="n">
        <v>0</v>
      </c>
      <c r="G3688" s="56" t="n">
        <v>4.4</v>
      </c>
      <c r="H3688" s="56" t="n">
        <v>0</v>
      </c>
      <c r="I3688" s="56" t="n">
        <v>10.6</v>
      </c>
      <c r="J3688" s="56" t="n">
        <v>0</v>
      </c>
      <c r="K3688" s="56" t="n">
        <v>1022.1</v>
      </c>
      <c r="L3688" s="56" t="n">
        <v>0</v>
      </c>
      <c r="M3688" s="56" t="n">
        <v>56</v>
      </c>
      <c r="N3688" s="56" t="n">
        <v>12</v>
      </c>
      <c r="O3688" s="56" t="n">
        <f aca="false">IF(D3688=1,"",E3687)</f>
        <v>16.8</v>
      </c>
      <c r="P3688" s="56" t="n">
        <f aca="false">IF(OR(D3688=1,K3687=""),"",K3687)</f>
        <v>1021.4</v>
      </c>
      <c r="Q3688" s="56" t="n">
        <f aca="false">IF(OR(F3688&lt;&gt;0,AND(I3688&lt;&gt;"",E3688&lt;I3688)),1,0)</f>
        <v>0</v>
      </c>
      <c r="R3688" s="56" t="n">
        <f aca="false">IF(AND(D3688&gt;1,Q3688=0,ISNUMBER(O3688),ISNUMBER(P3688)),IF(Q3687=0,1,0),0)</f>
        <v>1</v>
      </c>
      <c r="S3688" s="56" t="n">
        <f aca="false">R3688*(B3688&gt;=Train_Start)*(B3688&lt;=Train_End)</f>
        <v>0</v>
      </c>
      <c r="T3688" s="84" t="n">
        <f aca="false">IF(AND(ISNUMBER(O3688),ISNUMBER(P3688)),Coef_A+Coef_B1*O3688+Coef_B2*P3688,"")</f>
        <v>17.8930842442691</v>
      </c>
      <c r="U3688" s="84" t="n">
        <f aca="false">IF(AND(R3688=1,ISNUMBER(T3688)),E3688-T3688,"")</f>
        <v>-4.99308424426911</v>
      </c>
      <c r="V3688" s="84" t="n">
        <f aca="false">IF(ISNUMBER(T3688),T3688,-99)</f>
        <v>17.8930842442691</v>
      </c>
      <c r="W3688" s="84" t="n">
        <f aca="false">IF(ISNUMBER(U3688),ABS(U3688),"")</f>
        <v>4.99308424426911</v>
      </c>
    </row>
    <row r="3689" customFormat="false" ht="15" hidden="false" customHeight="false" outlineLevel="0" collapsed="false">
      <c r="A3689" s="57" t="n">
        <v>37757</v>
      </c>
      <c r="B3689" s="56" t="n">
        <v>2003</v>
      </c>
      <c r="C3689" s="56" t="n">
        <v>5</v>
      </c>
      <c r="D3689" s="56" t="n">
        <v>16</v>
      </c>
      <c r="E3689" s="56" t="n">
        <v>16</v>
      </c>
      <c r="F3689" s="56" t="n">
        <v>0</v>
      </c>
      <c r="G3689" s="56" t="n">
        <v>8.5</v>
      </c>
      <c r="H3689" s="56" t="n">
        <v>0</v>
      </c>
      <c r="I3689" s="56" t="n">
        <v>10.7</v>
      </c>
      <c r="J3689" s="56" t="n">
        <v>0</v>
      </c>
      <c r="K3689" s="56" t="n">
        <v>1013.3</v>
      </c>
      <c r="L3689" s="56" t="n">
        <v>0</v>
      </c>
      <c r="M3689" s="56" t="n">
        <v>83</v>
      </c>
      <c r="N3689" s="56" t="n">
        <v>0</v>
      </c>
      <c r="O3689" s="56" t="n">
        <f aca="false">IF(D3689=1,"",E3688)</f>
        <v>12.9</v>
      </c>
      <c r="P3689" s="56" t="n">
        <f aca="false">IF(OR(D3689=1,K3688=""),"",K3688)</f>
        <v>1022.1</v>
      </c>
      <c r="Q3689" s="56" t="n">
        <f aca="false">IF(OR(F3689&lt;&gt;0,AND(I3689&lt;&gt;"",E3689&lt;I3689)),1,0)</f>
        <v>0</v>
      </c>
      <c r="R3689" s="56" t="n">
        <f aca="false">IF(AND(D3689&gt;1,Q3689=0,ISNUMBER(O3689),ISNUMBER(P3689)),IF(Q3688=0,1,0),0)</f>
        <v>1</v>
      </c>
      <c r="S3689" s="56" t="n">
        <f aca="false">R3689*(B3689&gt;=Train_Start)*(B3689&lt;=Train_End)</f>
        <v>0</v>
      </c>
      <c r="T3689" s="84" t="n">
        <f aca="false">IF(AND(ISNUMBER(O3689),ISNUMBER(P3689)),Coef_A+Coef_B1*O3689+Coef_B2*P3689,"")</f>
        <v>14.7196203176465</v>
      </c>
      <c r="U3689" s="84" t="n">
        <f aca="false">IF(AND(R3689=1,ISNUMBER(T3689)),E3689-T3689,"")</f>
        <v>1.28037968235346</v>
      </c>
      <c r="V3689" s="84" t="n">
        <f aca="false">IF(ISNUMBER(T3689),T3689,-99)</f>
        <v>14.7196203176465</v>
      </c>
      <c r="W3689" s="84" t="n">
        <f aca="false">IF(ISNUMBER(U3689),ABS(U3689),"")</f>
        <v>1.28037968235346</v>
      </c>
    </row>
    <row r="3690" customFormat="false" ht="15" hidden="false" customHeight="false" outlineLevel="0" collapsed="false">
      <c r="A3690" s="57" t="n">
        <v>37758</v>
      </c>
      <c r="B3690" s="56" t="n">
        <v>2003</v>
      </c>
      <c r="C3690" s="56" t="n">
        <v>5</v>
      </c>
      <c r="D3690" s="56" t="n">
        <v>17</v>
      </c>
      <c r="E3690" s="56" t="n">
        <v>16.7</v>
      </c>
      <c r="F3690" s="56" t="n">
        <v>0</v>
      </c>
      <c r="G3690" s="56" t="n">
        <v>10.6</v>
      </c>
      <c r="H3690" s="56" t="n">
        <v>0</v>
      </c>
      <c r="I3690" s="56" t="n">
        <v>13.3</v>
      </c>
      <c r="J3690" s="56" t="n">
        <v>0</v>
      </c>
      <c r="K3690" s="56" t="n">
        <v>1005.1</v>
      </c>
      <c r="L3690" s="56" t="n">
        <v>0</v>
      </c>
      <c r="M3690" s="56" t="n">
        <v>85</v>
      </c>
      <c r="N3690" s="56" t="n">
        <v>2.1</v>
      </c>
      <c r="O3690" s="56" t="n">
        <f aca="false">IF(D3690=1,"",E3689)</f>
        <v>16</v>
      </c>
      <c r="P3690" s="56" t="n">
        <f aca="false">IF(OR(D3690=1,K3689=""),"",K3689)</f>
        <v>1013.3</v>
      </c>
      <c r="Q3690" s="56" t="n">
        <f aca="false">IF(OR(F3690&lt;&gt;0,AND(I3690&lt;&gt;"",E3690&lt;I3690)),1,0)</f>
        <v>0</v>
      </c>
      <c r="R3690" s="56" t="n">
        <f aca="false">IF(AND(D3690&gt;1,Q3690=0,ISNUMBER(O3690),ISNUMBER(P3690)),IF(Q3689=0,1,0),0)</f>
        <v>1</v>
      </c>
      <c r="S3690" s="56" t="n">
        <f aca="false">R3690*(B3690&gt;=Train_Start)*(B3690&lt;=Train_End)</f>
        <v>0</v>
      </c>
      <c r="T3690" s="84" t="n">
        <f aca="false">IF(AND(ISNUMBER(O3690),ISNUMBER(P3690)),Coef_A+Coef_B1*O3690+Coef_B2*P3690,"")</f>
        <v>16.9835167432997</v>
      </c>
      <c r="U3690" s="84" t="n">
        <f aca="false">IF(AND(R3690=1,ISNUMBER(T3690)),E3690-T3690,"")</f>
        <v>-0.283516743299668</v>
      </c>
      <c r="V3690" s="84" t="n">
        <f aca="false">IF(ISNUMBER(T3690),T3690,-99)</f>
        <v>16.9835167432997</v>
      </c>
      <c r="W3690" s="84" t="n">
        <f aca="false">IF(ISNUMBER(U3690),ABS(U3690),"")</f>
        <v>0.283516743299668</v>
      </c>
    </row>
    <row r="3691" customFormat="false" ht="15" hidden="false" customHeight="false" outlineLevel="0" collapsed="false">
      <c r="A3691" s="57" t="n">
        <v>37759</v>
      </c>
      <c r="B3691" s="56" t="n">
        <v>2003</v>
      </c>
      <c r="C3691" s="56" t="n">
        <v>5</v>
      </c>
      <c r="D3691" s="56" t="n">
        <v>18</v>
      </c>
      <c r="E3691" s="56" t="n">
        <v>16.5</v>
      </c>
      <c r="F3691" s="56" t="n">
        <v>0</v>
      </c>
      <c r="G3691" s="56" t="n">
        <v>11</v>
      </c>
      <c r="H3691" s="56" t="n">
        <v>0</v>
      </c>
      <c r="I3691" s="56" t="n">
        <v>13.8</v>
      </c>
      <c r="J3691" s="56" t="n">
        <v>0</v>
      </c>
      <c r="K3691" s="56" t="n">
        <v>1007.3</v>
      </c>
      <c r="L3691" s="56" t="n">
        <v>0</v>
      </c>
      <c r="M3691" s="56" t="n">
        <v>75</v>
      </c>
      <c r="N3691" s="56" t="n">
        <v>1.6</v>
      </c>
      <c r="O3691" s="56" t="n">
        <f aca="false">IF(D3691=1,"",E3690)</f>
        <v>16.7</v>
      </c>
      <c r="P3691" s="56" t="n">
        <f aca="false">IF(OR(D3691=1,K3690=""),"",K3690)</f>
        <v>1005.1</v>
      </c>
      <c r="Q3691" s="56" t="n">
        <f aca="false">IF(OR(F3691&lt;&gt;0,AND(I3691&lt;&gt;"",E3691&lt;I3691)),1,0)</f>
        <v>0</v>
      </c>
      <c r="R3691" s="56" t="n">
        <f aca="false">IF(AND(D3691&gt;1,Q3691=0,ISNUMBER(O3691),ISNUMBER(P3691)),IF(Q3690=0,1,0),0)</f>
        <v>1</v>
      </c>
      <c r="S3691" s="56" t="n">
        <f aca="false">R3691*(B3691&gt;=Train_Start)*(B3691&lt;=Train_End)</f>
        <v>0</v>
      </c>
      <c r="T3691" s="84" t="n">
        <f aca="false">IF(AND(ISNUMBER(O3691),ISNUMBER(P3691)),Coef_A+Coef_B1*O3691+Coef_B2*P3691,"")</f>
        <v>17.2998210424308</v>
      </c>
      <c r="U3691" s="84" t="n">
        <f aca="false">IF(AND(R3691=1,ISNUMBER(T3691)),E3691-T3691,"")</f>
        <v>-0.799821042430818</v>
      </c>
      <c r="V3691" s="84" t="n">
        <f aca="false">IF(ISNUMBER(T3691),T3691,-99)</f>
        <v>17.2998210424308</v>
      </c>
      <c r="W3691" s="84" t="n">
        <f aca="false">IF(ISNUMBER(U3691),ABS(U3691),"")</f>
        <v>0.799821042430818</v>
      </c>
    </row>
    <row r="3692" customFormat="false" ht="15" hidden="false" customHeight="false" outlineLevel="0" collapsed="false">
      <c r="A3692" s="57" t="n">
        <v>37760</v>
      </c>
      <c r="B3692" s="56" t="n">
        <v>2003</v>
      </c>
      <c r="C3692" s="56" t="n">
        <v>5</v>
      </c>
      <c r="D3692" s="56" t="n">
        <v>19</v>
      </c>
      <c r="E3692" s="56" t="n">
        <v>15</v>
      </c>
      <c r="F3692" s="56" t="n">
        <v>0</v>
      </c>
      <c r="G3692" s="56" t="n">
        <v>10.9</v>
      </c>
      <c r="H3692" s="56" t="n">
        <v>0</v>
      </c>
      <c r="I3692" s="56" t="n">
        <v>13.7</v>
      </c>
      <c r="J3692" s="56" t="n">
        <v>0</v>
      </c>
      <c r="K3692" s="56" t="n">
        <v>1007.6</v>
      </c>
      <c r="L3692" s="56" t="n">
        <v>0</v>
      </c>
      <c r="M3692" s="56" t="n">
        <v>76</v>
      </c>
      <c r="N3692" s="56" t="n">
        <v>4.6</v>
      </c>
      <c r="O3692" s="56" t="n">
        <f aca="false">IF(D3692=1,"",E3691)</f>
        <v>16.5</v>
      </c>
      <c r="P3692" s="56" t="n">
        <f aca="false">IF(OR(D3692=1,K3691=""),"",K3691)</f>
        <v>1007.3</v>
      </c>
      <c r="Q3692" s="56" t="n">
        <f aca="false">IF(OR(F3692&lt;&gt;0,AND(I3692&lt;&gt;"",E3692&lt;I3692)),1,0)</f>
        <v>0</v>
      </c>
      <c r="R3692" s="56" t="n">
        <f aca="false">IF(AND(D3692&gt;1,Q3692=0,ISNUMBER(O3692),ISNUMBER(P3692)),IF(Q3691=0,1,0),0)</f>
        <v>1</v>
      </c>
      <c r="S3692" s="56" t="n">
        <f aca="false">R3692*(B3692&gt;=Train_Start)*(B3692&lt;=Train_End)</f>
        <v>0</v>
      </c>
      <c r="T3692" s="84" t="n">
        <f aca="false">IF(AND(ISNUMBER(O3692),ISNUMBER(P3692)),Coef_A+Coef_B1*O3692+Coef_B2*P3692,"")</f>
        <v>17.2049669720171</v>
      </c>
      <c r="U3692" s="84" t="n">
        <f aca="false">IF(AND(R3692=1,ISNUMBER(T3692)),E3692-T3692,"")</f>
        <v>-2.20496697201706</v>
      </c>
      <c r="V3692" s="84" t="n">
        <f aca="false">IF(ISNUMBER(T3692),T3692,-99)</f>
        <v>17.2049669720171</v>
      </c>
      <c r="W3692" s="84" t="n">
        <f aca="false">IF(ISNUMBER(U3692),ABS(U3692),"")</f>
        <v>2.20496697201706</v>
      </c>
    </row>
    <row r="3693" customFormat="false" ht="15" hidden="false" customHeight="false" outlineLevel="0" collapsed="false">
      <c r="A3693" s="57" t="n">
        <v>37761</v>
      </c>
      <c r="B3693" s="56" t="n">
        <v>2003</v>
      </c>
      <c r="C3693" s="56" t="n">
        <v>5</v>
      </c>
      <c r="D3693" s="56" t="n">
        <v>20</v>
      </c>
      <c r="E3693" s="56" t="n">
        <v>16.6</v>
      </c>
      <c r="F3693" s="56" t="n">
        <v>0</v>
      </c>
      <c r="G3693" s="56" t="n">
        <v>8</v>
      </c>
      <c r="H3693" s="56" t="n">
        <v>0</v>
      </c>
      <c r="I3693" s="56" t="n">
        <v>11.5</v>
      </c>
      <c r="J3693" s="56" t="n">
        <v>0</v>
      </c>
      <c r="K3693" s="56" t="n">
        <v>1013.9</v>
      </c>
      <c r="L3693" s="56" t="n">
        <v>0</v>
      </c>
      <c r="M3693" s="56" t="n">
        <v>74</v>
      </c>
      <c r="N3693" s="56" t="n">
        <v>2.2</v>
      </c>
      <c r="O3693" s="56" t="n">
        <f aca="false">IF(D3693=1,"",E3692)</f>
        <v>15</v>
      </c>
      <c r="P3693" s="56" t="n">
        <f aca="false">IF(OR(D3693=1,K3692=""),"",K3692)</f>
        <v>1007.6</v>
      </c>
      <c r="Q3693" s="56" t="n">
        <f aca="false">IF(OR(F3693&lt;&gt;0,AND(I3693&lt;&gt;"",E3693&lt;I3693)),1,0)</f>
        <v>0</v>
      </c>
      <c r="R3693" s="56" t="n">
        <f aca="false">IF(AND(D3693&gt;1,Q3693=0,ISNUMBER(O3693),ISNUMBER(P3693)),IF(Q3692=0,1,0),0)</f>
        <v>1</v>
      </c>
      <c r="S3693" s="56" t="n">
        <f aca="false">R3693*(B3693&gt;=Train_Start)*(B3693&lt;=Train_End)</f>
        <v>0</v>
      </c>
      <c r="T3693" s="84" t="n">
        <f aca="false">IF(AND(ISNUMBER(O3693),ISNUMBER(P3693)),Coef_A+Coef_B1*O3693+Coef_B2*P3693,"")</f>
        <v>15.9853691508433</v>
      </c>
      <c r="U3693" s="84" t="n">
        <f aca="false">IF(AND(R3693=1,ISNUMBER(T3693)),E3693-T3693,"")</f>
        <v>0.614630849156725</v>
      </c>
      <c r="V3693" s="84" t="n">
        <f aca="false">IF(ISNUMBER(T3693),T3693,-99)</f>
        <v>15.9853691508433</v>
      </c>
      <c r="W3693" s="84" t="n">
        <f aca="false">IF(ISNUMBER(U3693),ABS(U3693),"")</f>
        <v>0.614630849156725</v>
      </c>
    </row>
    <row r="3694" customFormat="false" ht="15" hidden="false" customHeight="false" outlineLevel="0" collapsed="false">
      <c r="A3694" s="57" t="n">
        <v>37762</v>
      </c>
      <c r="B3694" s="56" t="n">
        <v>2003</v>
      </c>
      <c r="C3694" s="56" t="n">
        <v>5</v>
      </c>
      <c r="D3694" s="56" t="n">
        <v>21</v>
      </c>
      <c r="E3694" s="56" t="n">
        <v>19</v>
      </c>
      <c r="F3694" s="56" t="n">
        <v>0</v>
      </c>
      <c r="G3694" s="56" t="n">
        <v>10</v>
      </c>
      <c r="H3694" s="56" t="n">
        <v>0</v>
      </c>
      <c r="I3694" s="56" t="n">
        <v>13.3</v>
      </c>
      <c r="J3694" s="56" t="n">
        <v>0</v>
      </c>
      <c r="K3694" s="56" t="n">
        <v>1021.2</v>
      </c>
      <c r="L3694" s="56" t="n">
        <v>0</v>
      </c>
      <c r="M3694" s="56" t="n">
        <v>77</v>
      </c>
      <c r="N3694" s="56" t="n">
        <v>4.8</v>
      </c>
      <c r="O3694" s="56" t="n">
        <f aca="false">IF(D3694=1,"",E3693)</f>
        <v>16.6</v>
      </c>
      <c r="P3694" s="56" t="n">
        <f aca="false">IF(OR(D3694=1,K3693=""),"",K3693)</f>
        <v>1013.9</v>
      </c>
      <c r="Q3694" s="56" t="n">
        <f aca="false">IF(OR(F3694&lt;&gt;0,AND(I3694&lt;&gt;"",E3694&lt;I3694)),1,0)</f>
        <v>0</v>
      </c>
      <c r="R3694" s="56" t="n">
        <f aca="false">IF(AND(D3694&gt;1,Q3694=0,ISNUMBER(O3694),ISNUMBER(P3694)),IF(Q3693=0,1,0),0)</f>
        <v>1</v>
      </c>
      <c r="S3694" s="56" t="n">
        <f aca="false">R3694*(B3694&gt;=Train_Start)*(B3694&lt;=Train_End)</f>
        <v>0</v>
      </c>
      <c r="T3694" s="84" t="n">
        <f aca="false">IF(AND(ISNUMBER(O3694),ISNUMBER(P3694)),Coef_A+Coef_B1*O3694+Coef_B2*P3694,"")</f>
        <v>17.4939421959057</v>
      </c>
      <c r="U3694" s="84" t="n">
        <f aca="false">IF(AND(R3694=1,ISNUMBER(T3694)),E3694-T3694,"")</f>
        <v>1.50605780409434</v>
      </c>
      <c r="V3694" s="84" t="n">
        <f aca="false">IF(ISNUMBER(T3694),T3694,-99)</f>
        <v>17.4939421959057</v>
      </c>
      <c r="W3694" s="84" t="n">
        <f aca="false">IF(ISNUMBER(U3694),ABS(U3694),"")</f>
        <v>1.50605780409434</v>
      </c>
    </row>
    <row r="3695" customFormat="false" ht="15" hidden="false" customHeight="false" outlineLevel="0" collapsed="false">
      <c r="A3695" s="57" t="n">
        <v>37763</v>
      </c>
      <c r="B3695" s="56" t="n">
        <v>2003</v>
      </c>
      <c r="C3695" s="56" t="n">
        <v>5</v>
      </c>
      <c r="D3695" s="56" t="n">
        <v>22</v>
      </c>
      <c r="E3695" s="56" t="n">
        <v>18</v>
      </c>
      <c r="F3695" s="56" t="n">
        <v>0</v>
      </c>
      <c r="G3695" s="56" t="n">
        <v>13</v>
      </c>
      <c r="H3695" s="56" t="n">
        <v>0</v>
      </c>
      <c r="I3695" s="56" t="n">
        <v>16</v>
      </c>
      <c r="J3695" s="56" t="n">
        <v>0</v>
      </c>
      <c r="K3695" s="56" t="n">
        <v>1019.6</v>
      </c>
      <c r="L3695" s="56" t="n">
        <v>0</v>
      </c>
      <c r="M3695" s="56" t="n">
        <v>82</v>
      </c>
      <c r="N3695" s="56" t="n">
        <v>0.4</v>
      </c>
      <c r="O3695" s="56" t="n">
        <f aca="false">IF(D3695=1,"",E3694)</f>
        <v>19</v>
      </c>
      <c r="P3695" s="56" t="n">
        <f aca="false">IF(OR(D3695=1,K3694=""),"",K3694)</f>
        <v>1021.2</v>
      </c>
      <c r="Q3695" s="56" t="n">
        <f aca="false">IF(OR(F3695&lt;&gt;0,AND(I3695&lt;&gt;"",E3695&lt;I3695)),1,0)</f>
        <v>0</v>
      </c>
      <c r="R3695" s="56" t="n">
        <f aca="false">IF(AND(D3695&gt;1,Q3695=0,ISNUMBER(O3695),ISNUMBER(P3695)),IF(Q3694=0,1,0),0)</f>
        <v>1</v>
      </c>
      <c r="S3695" s="56" t="n">
        <f aca="false">R3695*(B3695&gt;=Train_Start)*(B3695&lt;=Train_End)</f>
        <v>0</v>
      </c>
      <c r="T3695" s="84" t="n">
        <f aca="false">IF(AND(ISNUMBER(O3695),ISNUMBER(P3695)),Coef_A+Coef_B1*O3695+Coef_B2*P3695,"")</f>
        <v>19.6893564900362</v>
      </c>
      <c r="U3695" s="84" t="n">
        <f aca="false">IF(AND(R3695=1,ISNUMBER(T3695)),E3695-T3695,"")</f>
        <v>-1.68935649003616</v>
      </c>
      <c r="V3695" s="84" t="n">
        <f aca="false">IF(ISNUMBER(T3695),T3695,-99)</f>
        <v>19.6893564900362</v>
      </c>
      <c r="W3695" s="84" t="n">
        <f aca="false">IF(ISNUMBER(U3695),ABS(U3695),"")</f>
        <v>1.68935649003616</v>
      </c>
    </row>
    <row r="3696" customFormat="false" ht="15" hidden="false" customHeight="false" outlineLevel="0" collapsed="false">
      <c r="A3696" s="57" t="n">
        <v>37764</v>
      </c>
      <c r="B3696" s="56" t="n">
        <v>2003</v>
      </c>
      <c r="C3696" s="56" t="n">
        <v>5</v>
      </c>
      <c r="D3696" s="56" t="n">
        <v>23</v>
      </c>
      <c r="E3696" s="56" t="n">
        <v>17.8</v>
      </c>
      <c r="F3696" s="56" t="n">
        <v>0</v>
      </c>
      <c r="G3696" s="56" t="n">
        <v>12.5</v>
      </c>
      <c r="H3696" s="56" t="n">
        <v>0</v>
      </c>
      <c r="I3696" s="56" t="n">
        <v>15.2</v>
      </c>
      <c r="J3696" s="56" t="n">
        <v>0</v>
      </c>
      <c r="K3696" s="56" t="n">
        <v>1010</v>
      </c>
      <c r="L3696" s="56" t="n">
        <v>0</v>
      </c>
      <c r="M3696" s="56" t="n">
        <v>73</v>
      </c>
      <c r="N3696" s="56" t="n">
        <v>3.4</v>
      </c>
      <c r="O3696" s="56" t="n">
        <f aca="false">IF(D3696=1,"",E3695)</f>
        <v>18</v>
      </c>
      <c r="P3696" s="56" t="n">
        <f aca="false">IF(OR(D3696=1,K3695=""),"",K3695)</f>
        <v>1019.6</v>
      </c>
      <c r="Q3696" s="56" t="n">
        <f aca="false">IF(OR(F3696&lt;&gt;0,AND(I3696&lt;&gt;"",E3696&lt;I3696)),1,0)</f>
        <v>0</v>
      </c>
      <c r="R3696" s="56" t="n">
        <f aca="false">IF(AND(D3696&gt;1,Q3696=0,ISNUMBER(O3696),ISNUMBER(P3696)),IF(Q3695=0,1,0),0)</f>
        <v>1</v>
      </c>
      <c r="S3696" s="56" t="n">
        <f aca="false">R3696*(B3696&gt;=Train_Start)*(B3696&lt;=Train_End)</f>
        <v>0</v>
      </c>
      <c r="T3696" s="84" t="n">
        <f aca="false">IF(AND(ISNUMBER(O3696),ISNUMBER(P3696)),Coef_A+Coef_B1*O3696+Coef_B2*P3696,"")</f>
        <v>18.8198254655791</v>
      </c>
      <c r="U3696" s="84" t="n">
        <f aca="false">IF(AND(R3696=1,ISNUMBER(T3696)),E3696-T3696,"")</f>
        <v>-1.01982546557912</v>
      </c>
      <c r="V3696" s="84" t="n">
        <f aca="false">IF(ISNUMBER(T3696),T3696,-99)</f>
        <v>18.8198254655791</v>
      </c>
      <c r="W3696" s="84" t="n">
        <f aca="false">IF(ISNUMBER(U3696),ABS(U3696),"")</f>
        <v>1.01982546557912</v>
      </c>
    </row>
    <row r="3697" customFormat="false" ht="15" hidden="false" customHeight="false" outlineLevel="0" collapsed="false">
      <c r="A3697" s="57" t="n">
        <v>37765</v>
      </c>
      <c r="B3697" s="56" t="n">
        <v>2003</v>
      </c>
      <c r="C3697" s="56" t="n">
        <v>5</v>
      </c>
      <c r="D3697" s="56" t="n">
        <v>24</v>
      </c>
      <c r="E3697" s="56" t="n">
        <v>18.3</v>
      </c>
      <c r="F3697" s="56" t="n">
        <v>0</v>
      </c>
      <c r="G3697" s="56" t="n">
        <v>9.4</v>
      </c>
      <c r="H3697" s="56" t="n">
        <v>0</v>
      </c>
      <c r="I3697" s="56" t="n">
        <v>13.6</v>
      </c>
      <c r="J3697" s="56" t="n">
        <v>0</v>
      </c>
      <c r="K3697" s="56" t="n">
        <v>1006.4</v>
      </c>
      <c r="L3697" s="56" t="n">
        <v>0</v>
      </c>
      <c r="M3697" s="56" t="n">
        <v>70</v>
      </c>
      <c r="N3697" s="56" t="n">
        <v>5.5</v>
      </c>
      <c r="O3697" s="56" t="n">
        <f aca="false">IF(D3697=1,"",E3696)</f>
        <v>17.8</v>
      </c>
      <c r="P3697" s="56" t="n">
        <f aca="false">IF(OR(D3697=1,K3696=""),"",K3696)</f>
        <v>1010</v>
      </c>
      <c r="Q3697" s="56" t="n">
        <f aca="false">IF(OR(F3697&lt;&gt;0,AND(I3697&lt;&gt;"",E3697&lt;I3697)),1,0)</f>
        <v>0</v>
      </c>
      <c r="R3697" s="56" t="n">
        <f aca="false">IF(AND(D3697&gt;1,Q3697=0,ISNUMBER(O3697),ISNUMBER(P3697)),IF(Q3696=0,1,0),0)</f>
        <v>1</v>
      </c>
      <c r="S3697" s="56" t="n">
        <f aca="false">R3697*(B3697&gt;=Train_Start)*(B3697&lt;=Train_End)</f>
        <v>0</v>
      </c>
      <c r="T3697" s="84" t="n">
        <f aca="false">IF(AND(ISNUMBER(O3697),ISNUMBER(P3697)),Coef_A+Coef_B1*O3697+Coef_B2*P3697,"")</f>
        <v>18.3548066384843</v>
      </c>
      <c r="U3697" s="84" t="n">
        <f aca="false">IF(AND(R3697=1,ISNUMBER(T3697)),E3697-T3697,"")</f>
        <v>-0.0548066384842869</v>
      </c>
      <c r="V3697" s="84" t="n">
        <f aca="false">IF(ISNUMBER(T3697),T3697,-99)</f>
        <v>18.3548066384843</v>
      </c>
      <c r="W3697" s="84" t="n">
        <f aca="false">IF(ISNUMBER(U3697),ABS(U3697),"")</f>
        <v>0.0548066384842869</v>
      </c>
    </row>
    <row r="3698" customFormat="false" ht="15" hidden="false" customHeight="false" outlineLevel="0" collapsed="false">
      <c r="A3698" s="57" t="n">
        <v>37766</v>
      </c>
      <c r="B3698" s="56" t="n">
        <v>2003</v>
      </c>
      <c r="C3698" s="56" t="n">
        <v>5</v>
      </c>
      <c r="D3698" s="56" t="n">
        <v>25</v>
      </c>
      <c r="E3698" s="56" t="n">
        <v>19.9</v>
      </c>
      <c r="F3698" s="56" t="n">
        <v>0</v>
      </c>
      <c r="G3698" s="56" t="n">
        <v>8.4</v>
      </c>
      <c r="H3698" s="56" t="n">
        <v>0</v>
      </c>
      <c r="I3698" s="56" t="n">
        <v>13.4</v>
      </c>
      <c r="J3698" s="56" t="n">
        <v>0</v>
      </c>
      <c r="K3698" s="56" t="n">
        <v>1014.8</v>
      </c>
      <c r="L3698" s="56" t="n">
        <v>0</v>
      </c>
      <c r="M3698" s="56" t="n">
        <v>70</v>
      </c>
      <c r="N3698" s="56" t="n">
        <v>6.3</v>
      </c>
      <c r="O3698" s="56" t="n">
        <f aca="false">IF(D3698=1,"",E3697)</f>
        <v>18.3</v>
      </c>
      <c r="P3698" s="56" t="n">
        <f aca="false">IF(OR(D3698=1,K3697=""),"",K3697)</f>
        <v>1006.4</v>
      </c>
      <c r="Q3698" s="56" t="n">
        <f aca="false">IF(OR(F3698&lt;&gt;0,AND(I3698&lt;&gt;"",E3698&lt;I3698)),1,0)</f>
        <v>0</v>
      </c>
      <c r="R3698" s="56" t="n">
        <f aca="false">IF(AND(D3698&gt;1,Q3698=0,ISNUMBER(O3698),ISNUMBER(P3698)),IF(Q3697=0,1,0),0)</f>
        <v>1</v>
      </c>
      <c r="S3698" s="56" t="n">
        <f aca="false">R3698*(B3698&gt;=Train_Start)*(B3698&lt;=Train_End)</f>
        <v>0</v>
      </c>
      <c r="T3698" s="84" t="n">
        <f aca="false">IF(AND(ISNUMBER(O3698),ISNUMBER(P3698)),Coef_A+Coef_B1*O3698+Coef_B2*P3698,"")</f>
        <v>18.6515446143233</v>
      </c>
      <c r="U3698" s="84" t="n">
        <f aca="false">IF(AND(R3698=1,ISNUMBER(T3698)),E3698-T3698,"")</f>
        <v>1.24845538567674</v>
      </c>
      <c r="V3698" s="84" t="n">
        <f aca="false">IF(ISNUMBER(T3698),T3698,-99)</f>
        <v>18.6515446143233</v>
      </c>
      <c r="W3698" s="84" t="n">
        <f aca="false">IF(ISNUMBER(U3698),ABS(U3698),"")</f>
        <v>1.24845538567674</v>
      </c>
    </row>
    <row r="3699" customFormat="false" ht="15" hidden="false" customHeight="false" outlineLevel="0" collapsed="false">
      <c r="A3699" s="57" t="n">
        <v>37767</v>
      </c>
      <c r="B3699" s="56" t="n">
        <v>2003</v>
      </c>
      <c r="C3699" s="56" t="n">
        <v>5</v>
      </c>
      <c r="D3699" s="56" t="n">
        <v>26</v>
      </c>
      <c r="E3699" s="56" t="n">
        <v>19.3</v>
      </c>
      <c r="F3699" s="56" t="n">
        <v>0</v>
      </c>
      <c r="G3699" s="56" t="n">
        <v>8.3</v>
      </c>
      <c r="H3699" s="56" t="n">
        <v>0</v>
      </c>
      <c r="I3699" s="56" t="n">
        <v>14.1</v>
      </c>
      <c r="J3699" s="56" t="n">
        <v>0</v>
      </c>
      <c r="K3699" s="56" t="n">
        <v>1023.1</v>
      </c>
      <c r="L3699" s="56" t="n">
        <v>0</v>
      </c>
      <c r="M3699" s="56" t="n">
        <v>65</v>
      </c>
      <c r="N3699" s="56" t="n">
        <v>12.4</v>
      </c>
      <c r="O3699" s="56" t="n">
        <f aca="false">IF(D3699=1,"",E3698)</f>
        <v>19.9</v>
      </c>
      <c r="P3699" s="56" t="n">
        <f aca="false">IF(OR(D3699=1,K3698=""),"",K3698)</f>
        <v>1014.8</v>
      </c>
      <c r="Q3699" s="56" t="n">
        <f aca="false">IF(OR(F3699&lt;&gt;0,AND(I3699&lt;&gt;"",E3699&lt;I3699)),1,0)</f>
        <v>0</v>
      </c>
      <c r="R3699" s="56" t="n">
        <f aca="false">IF(AND(D3699&gt;1,Q3699=0,ISNUMBER(O3699),ISNUMBER(P3699)),IF(Q3698=0,1,0),0)</f>
        <v>1</v>
      </c>
      <c r="S3699" s="56" t="n">
        <f aca="false">R3699*(B3699&gt;=Train_Start)*(B3699&lt;=Train_End)</f>
        <v>0</v>
      </c>
      <c r="T3699" s="84" t="n">
        <f aca="false">IF(AND(ISNUMBER(O3699),ISNUMBER(P3699)),Coef_A+Coef_B1*O3699+Coef_B2*P3699,"")</f>
        <v>20.225994438117</v>
      </c>
      <c r="U3699" s="84" t="n">
        <f aca="false">IF(AND(R3699=1,ISNUMBER(T3699)),E3699-T3699,"")</f>
        <v>-0.925994438117016</v>
      </c>
      <c r="V3699" s="84" t="n">
        <f aca="false">IF(ISNUMBER(T3699),T3699,-99)</f>
        <v>20.225994438117</v>
      </c>
      <c r="W3699" s="84" t="n">
        <f aca="false">IF(ISNUMBER(U3699),ABS(U3699),"")</f>
        <v>0.925994438117016</v>
      </c>
    </row>
    <row r="3700" customFormat="false" ht="15" hidden="false" customHeight="false" outlineLevel="0" collapsed="false">
      <c r="A3700" s="57" t="n">
        <v>37768</v>
      </c>
      <c r="B3700" s="56" t="n">
        <v>2003</v>
      </c>
      <c r="C3700" s="56" t="n">
        <v>5</v>
      </c>
      <c r="D3700" s="56" t="n">
        <v>27</v>
      </c>
      <c r="E3700" s="56" t="n">
        <v>23.7</v>
      </c>
      <c r="F3700" s="56" t="n">
        <v>0</v>
      </c>
      <c r="G3700" s="56" t="n">
        <v>11.2</v>
      </c>
      <c r="H3700" s="56" t="n">
        <v>0</v>
      </c>
      <c r="I3700" s="56" t="n">
        <v>15.2</v>
      </c>
      <c r="J3700" s="56" t="n">
        <v>0</v>
      </c>
      <c r="K3700" s="56" t="n">
        <v>1025.6</v>
      </c>
      <c r="L3700" s="56" t="n">
        <v>0</v>
      </c>
      <c r="M3700" s="56" t="n">
        <v>79</v>
      </c>
      <c r="N3700" s="56" t="n">
        <v>0.1</v>
      </c>
      <c r="O3700" s="56" t="n">
        <f aca="false">IF(D3700=1,"",E3699)</f>
        <v>19.3</v>
      </c>
      <c r="P3700" s="56" t="n">
        <f aca="false">IF(OR(D3700=1,K3699=""),"",K3699)</f>
        <v>1023.1</v>
      </c>
      <c r="Q3700" s="56" t="n">
        <f aca="false">IF(OR(F3700&lt;&gt;0,AND(I3700&lt;&gt;"",E3700&lt;I3700)),1,0)</f>
        <v>0</v>
      </c>
      <c r="R3700" s="56" t="n">
        <f aca="false">IF(AND(D3700&gt;1,Q3700=0,ISNUMBER(O3700),ISNUMBER(P3700)),IF(Q3699=0,1,0),0)</f>
        <v>1</v>
      </c>
      <c r="S3700" s="56" t="n">
        <f aca="false">R3700*(B3700&gt;=Train_Start)*(B3700&lt;=Train_End)</f>
        <v>0</v>
      </c>
      <c r="T3700" s="84" t="n">
        <f aca="false">IF(AND(ISNUMBER(O3700),ISNUMBER(P3700)),Coef_A+Coef_B1*O3700+Coef_B2*P3700,"")</f>
        <v>19.9947610477535</v>
      </c>
      <c r="U3700" s="84" t="n">
        <f aca="false">IF(AND(R3700=1,ISNUMBER(T3700)),E3700-T3700,"")</f>
        <v>3.70523895224646</v>
      </c>
      <c r="V3700" s="84" t="n">
        <f aca="false">IF(ISNUMBER(T3700),T3700,-99)</f>
        <v>19.9947610477535</v>
      </c>
      <c r="W3700" s="84" t="n">
        <f aca="false">IF(ISNUMBER(U3700),ABS(U3700),"")</f>
        <v>3.70523895224646</v>
      </c>
    </row>
    <row r="3701" customFormat="false" ht="15" hidden="false" customHeight="false" outlineLevel="0" collapsed="false">
      <c r="A3701" s="57" t="n">
        <v>37769</v>
      </c>
      <c r="B3701" s="56" t="n">
        <v>2003</v>
      </c>
      <c r="C3701" s="56" t="n">
        <v>5</v>
      </c>
      <c r="D3701" s="56" t="n">
        <v>28</v>
      </c>
      <c r="E3701" s="56" t="n">
        <v>25.8</v>
      </c>
      <c r="F3701" s="56" t="n">
        <v>0</v>
      </c>
      <c r="G3701" s="56" t="n">
        <v>11.7</v>
      </c>
      <c r="H3701" s="56" t="n">
        <v>0</v>
      </c>
      <c r="I3701" s="56" t="n">
        <v>17.7</v>
      </c>
      <c r="J3701" s="56" t="n">
        <v>0</v>
      </c>
      <c r="K3701" s="56" t="n">
        <v>1023.4</v>
      </c>
      <c r="L3701" s="56" t="n">
        <v>0</v>
      </c>
      <c r="M3701" s="56" t="n">
        <v>64</v>
      </c>
      <c r="N3701" s="56" t="n">
        <v>8.8</v>
      </c>
      <c r="O3701" s="56" t="n">
        <f aca="false">IF(D3701=1,"",E3700)</f>
        <v>23.7</v>
      </c>
      <c r="P3701" s="56" t="n">
        <f aca="false">IF(OR(D3701=1,K3700=""),"",K3700)</f>
        <v>1025.6</v>
      </c>
      <c r="Q3701" s="56" t="n">
        <f aca="false">IF(OR(F3701&lt;&gt;0,AND(I3701&lt;&gt;"",E3701&lt;I3701)),1,0)</f>
        <v>0</v>
      </c>
      <c r="R3701" s="56" t="n">
        <f aca="false">IF(AND(D3701&gt;1,Q3701=0,ISNUMBER(O3701),ISNUMBER(P3701)),IF(Q3700=0,1,0),0)</f>
        <v>1</v>
      </c>
      <c r="S3701" s="56" t="n">
        <f aca="false">R3701*(B3701&gt;=Train_Start)*(B3701&lt;=Train_End)</f>
        <v>0</v>
      </c>
      <c r="T3701" s="84" t="n">
        <f aca="false">IF(AND(ISNUMBER(O3701),ISNUMBER(P3701)),Coef_A+Coef_B1*O3701+Coef_B2*P3701,"")</f>
        <v>23.6782782337262</v>
      </c>
      <c r="U3701" s="84" t="n">
        <f aca="false">IF(AND(R3701=1,ISNUMBER(T3701)),E3701-T3701,"")</f>
        <v>2.1217217662738</v>
      </c>
      <c r="V3701" s="84" t="n">
        <f aca="false">IF(ISNUMBER(T3701),T3701,-99)</f>
        <v>23.6782782337262</v>
      </c>
      <c r="W3701" s="84" t="n">
        <f aca="false">IF(ISNUMBER(U3701),ABS(U3701),"")</f>
        <v>2.1217217662738</v>
      </c>
    </row>
    <row r="3702" customFormat="false" ht="15" hidden="false" customHeight="false" outlineLevel="0" collapsed="false">
      <c r="A3702" s="57" t="n">
        <v>37770</v>
      </c>
      <c r="B3702" s="56" t="n">
        <v>2003</v>
      </c>
      <c r="C3702" s="56" t="n">
        <v>5</v>
      </c>
      <c r="D3702" s="56" t="n">
        <v>29</v>
      </c>
      <c r="E3702" s="56" t="n">
        <v>27.2</v>
      </c>
      <c r="F3702" s="56" t="n">
        <v>0</v>
      </c>
      <c r="G3702" s="56" t="n">
        <v>11.9</v>
      </c>
      <c r="H3702" s="56" t="n">
        <v>0</v>
      </c>
      <c r="I3702" s="56" t="n">
        <v>18.8</v>
      </c>
      <c r="J3702" s="56" t="n">
        <v>0</v>
      </c>
      <c r="K3702" s="56" t="n">
        <v>1018.6</v>
      </c>
      <c r="L3702" s="56" t="n">
        <v>0</v>
      </c>
      <c r="M3702" s="56" t="n">
        <v>59</v>
      </c>
      <c r="N3702" s="56" t="n">
        <v>12.4</v>
      </c>
      <c r="O3702" s="56" t="n">
        <f aca="false">IF(D3702=1,"",E3701)</f>
        <v>25.8</v>
      </c>
      <c r="P3702" s="56" t="n">
        <f aca="false">IF(OR(D3702=1,K3701=""),"",K3701)</f>
        <v>1023.4</v>
      </c>
      <c r="Q3702" s="56" t="n">
        <f aca="false">IF(OR(F3702&lt;&gt;0,AND(I3702&lt;&gt;"",E3702&lt;I3702)),1,0)</f>
        <v>0</v>
      </c>
      <c r="R3702" s="56" t="n">
        <f aca="false">IF(AND(D3702&gt;1,Q3702=0,ISNUMBER(O3702),ISNUMBER(P3702)),IF(Q3701=0,1,0),0)</f>
        <v>1</v>
      </c>
      <c r="S3702" s="56" t="n">
        <f aca="false">R3702*(B3702&gt;=Train_Start)*(B3702&lt;=Train_End)</f>
        <v>0</v>
      </c>
      <c r="T3702" s="84" t="n">
        <f aca="false">IF(AND(ISNUMBER(O3702),ISNUMBER(P3702)),Coef_A+Coef_B1*O3702+Coef_B2*P3702,"")</f>
        <v>25.329876770921</v>
      </c>
      <c r="U3702" s="84" t="n">
        <f aca="false">IF(AND(R3702=1,ISNUMBER(T3702)),E3702-T3702,"")</f>
        <v>1.87012322907899</v>
      </c>
      <c r="V3702" s="84" t="n">
        <f aca="false">IF(ISNUMBER(T3702),T3702,-99)</f>
        <v>25.329876770921</v>
      </c>
      <c r="W3702" s="84" t="n">
        <f aca="false">IF(ISNUMBER(U3702),ABS(U3702),"")</f>
        <v>1.87012322907899</v>
      </c>
    </row>
    <row r="3703" customFormat="false" ht="15" hidden="false" customHeight="false" outlineLevel="0" collapsed="false">
      <c r="A3703" s="57" t="n">
        <v>37771</v>
      </c>
      <c r="B3703" s="56" t="n">
        <v>2003</v>
      </c>
      <c r="C3703" s="56" t="n">
        <v>5</v>
      </c>
      <c r="D3703" s="56" t="n">
        <v>30</v>
      </c>
      <c r="E3703" s="56" t="n">
        <v>28.9</v>
      </c>
      <c r="F3703" s="56" t="n">
        <v>0</v>
      </c>
      <c r="G3703" s="56" t="n">
        <v>12.5</v>
      </c>
      <c r="H3703" s="56" t="n">
        <v>0</v>
      </c>
      <c r="I3703" s="56" t="n">
        <v>19.8</v>
      </c>
      <c r="J3703" s="56" t="n">
        <v>0</v>
      </c>
      <c r="K3703" s="56" t="n">
        <v>1015.4</v>
      </c>
      <c r="L3703" s="56" t="n">
        <v>0</v>
      </c>
      <c r="M3703" s="56" t="n">
        <v>56</v>
      </c>
      <c r="N3703" s="56" t="n">
        <v>10.4</v>
      </c>
      <c r="O3703" s="56" t="n">
        <f aca="false">IF(D3703=1,"",E3702)</f>
        <v>27.2</v>
      </c>
      <c r="P3703" s="56" t="n">
        <f aca="false">IF(OR(D3703=1,K3702=""),"",K3702)</f>
        <v>1018.6</v>
      </c>
      <c r="Q3703" s="56" t="n">
        <f aca="false">IF(OR(F3703&lt;&gt;0,AND(I3703&lt;&gt;"",E3703&lt;I3703)),1,0)</f>
        <v>0</v>
      </c>
      <c r="R3703" s="56" t="n">
        <f aca="false">IF(AND(D3703&gt;1,Q3703=0,ISNUMBER(O3703),ISNUMBER(P3703)),IF(Q3702=0,1,0),0)</f>
        <v>1</v>
      </c>
      <c r="S3703" s="56" t="n">
        <f aca="false">R3703*(B3703&gt;=Train_Start)*(B3703&lt;=Train_End)</f>
        <v>0</v>
      </c>
      <c r="T3703" s="84" t="n">
        <f aca="false">IF(AND(ISNUMBER(O3703),ISNUMBER(P3703)),Coef_A+Coef_B1*O3703+Coef_B2*P3703,"")</f>
        <v>26.3263761469376</v>
      </c>
      <c r="U3703" s="84" t="n">
        <f aca="false">IF(AND(R3703=1,ISNUMBER(T3703)),E3703-T3703,"")</f>
        <v>2.57362385306242</v>
      </c>
      <c r="V3703" s="84" t="n">
        <f aca="false">IF(ISNUMBER(T3703),T3703,-99)</f>
        <v>26.3263761469376</v>
      </c>
      <c r="W3703" s="84" t="n">
        <f aca="false">IF(ISNUMBER(U3703),ABS(U3703),"")</f>
        <v>2.57362385306242</v>
      </c>
    </row>
    <row r="3704" customFormat="false" ht="15" hidden="false" customHeight="false" outlineLevel="0" collapsed="false">
      <c r="A3704" s="57" t="n">
        <v>37772</v>
      </c>
      <c r="B3704" s="56" t="n">
        <v>2003</v>
      </c>
      <c r="C3704" s="56" t="n">
        <v>5</v>
      </c>
      <c r="D3704" s="56" t="n">
        <v>31</v>
      </c>
      <c r="E3704" s="56" t="n">
        <v>24</v>
      </c>
      <c r="F3704" s="56" t="n">
        <v>0</v>
      </c>
      <c r="G3704" s="56" t="n">
        <v>15.8</v>
      </c>
      <c r="H3704" s="56" t="n">
        <v>0</v>
      </c>
      <c r="I3704" s="56" t="n">
        <v>22.4</v>
      </c>
      <c r="J3704" s="56" t="n">
        <v>0</v>
      </c>
      <c r="K3704" s="56" t="n">
        <v>1012.4</v>
      </c>
      <c r="L3704" s="56" t="n">
        <v>0</v>
      </c>
      <c r="M3704" s="56" t="n">
        <v>60</v>
      </c>
      <c r="N3704" s="56" t="n">
        <v>14</v>
      </c>
      <c r="O3704" s="56" t="n">
        <f aca="false">IF(D3704=1,"",E3703)</f>
        <v>28.9</v>
      </c>
      <c r="P3704" s="56" t="n">
        <f aca="false">IF(OR(D3704=1,K3703=""),"",K3703)</f>
        <v>1015.4</v>
      </c>
      <c r="Q3704" s="56" t="n">
        <f aca="false">IF(OR(F3704&lt;&gt;0,AND(I3704&lt;&gt;"",E3704&lt;I3704)),1,0)</f>
        <v>0</v>
      </c>
      <c r="R3704" s="56" t="n">
        <f aca="false">IF(AND(D3704&gt;1,Q3704=0,ISNUMBER(O3704),ISNUMBER(P3704)),IF(Q3703=0,1,0),0)</f>
        <v>1</v>
      </c>
      <c r="S3704" s="56" t="n">
        <f aca="false">R3704*(B3704&gt;=Train_Start)*(B3704&lt;=Train_End)</f>
        <v>0</v>
      </c>
      <c r="T3704" s="84" t="n">
        <f aca="false">IF(AND(ISNUMBER(O3704),ISNUMBER(P3704)),Coef_A+Coef_B1*O3704+Coef_B2*P3704,"")</f>
        <v>27.6188691122813</v>
      </c>
      <c r="U3704" s="84" t="n">
        <f aca="false">IF(AND(R3704=1,ISNUMBER(T3704)),E3704-T3704,"")</f>
        <v>-3.61886911228133</v>
      </c>
      <c r="V3704" s="84" t="n">
        <f aca="false">IF(ISNUMBER(T3704),T3704,-99)</f>
        <v>27.6188691122813</v>
      </c>
      <c r="W3704" s="84" t="n">
        <f aca="false">IF(ISNUMBER(U3704),ABS(U3704),"")</f>
        <v>3.61886911228133</v>
      </c>
    </row>
    <row r="3705" customFormat="false" ht="15" hidden="false" customHeight="false" outlineLevel="0" collapsed="false">
      <c r="A3705" s="57" t="n">
        <v>37773</v>
      </c>
      <c r="B3705" s="56" t="n">
        <v>2003</v>
      </c>
      <c r="C3705" s="56" t="n">
        <v>6</v>
      </c>
      <c r="D3705" s="56" t="n">
        <v>32</v>
      </c>
      <c r="E3705" s="56" t="n">
        <v>22.7</v>
      </c>
      <c r="F3705" s="56" t="n">
        <v>0</v>
      </c>
      <c r="G3705" s="56" t="n">
        <v>14.4</v>
      </c>
      <c r="H3705" s="56" t="n">
        <v>0</v>
      </c>
      <c r="I3705" s="56" t="n">
        <v>19.2</v>
      </c>
      <c r="J3705" s="56" t="n">
        <v>0</v>
      </c>
      <c r="K3705" s="56" t="n">
        <v>1009.4</v>
      </c>
      <c r="L3705" s="56" t="n">
        <v>0</v>
      </c>
      <c r="M3705" s="56" t="n">
        <v>76</v>
      </c>
      <c r="N3705" s="56" t="n">
        <v>1.5</v>
      </c>
      <c r="O3705" s="56" t="n">
        <f aca="false">IF(D3705=1,"",E3704)</f>
        <v>24</v>
      </c>
      <c r="P3705" s="56" t="n">
        <f aca="false">IF(OR(D3705=1,K3704=""),"",K3704)</f>
        <v>1012.4</v>
      </c>
      <c r="Q3705" s="56" t="n">
        <f aca="false">IF(OR(F3705&lt;&gt;0,AND(I3705&lt;&gt;"",E3705&lt;I3705)),1,0)</f>
        <v>0</v>
      </c>
      <c r="R3705" s="56" t="n">
        <f aca="false">IF(AND(D3705&gt;1,Q3705=0,ISNUMBER(O3705),ISNUMBER(P3705)),IF(Q3704=0,1,0),0)</f>
        <v>1</v>
      </c>
      <c r="S3705" s="56" t="n">
        <f aca="false">R3705*(B3705&gt;=Train_Start)*(B3705&lt;=Train_End)</f>
        <v>0</v>
      </c>
      <c r="T3705" s="84" t="n">
        <f aca="false">IF(AND(ISNUMBER(O3705),ISNUMBER(P3705)),Coef_A+Coef_B1*O3705+Coef_B2*P3705,"")</f>
        <v>23.5099973824703</v>
      </c>
      <c r="U3705" s="84" t="n">
        <f aca="false">IF(AND(R3705=1,ISNUMBER(T3705)),E3705-T3705,"")</f>
        <v>-0.809997382470339</v>
      </c>
      <c r="V3705" s="84" t="n">
        <f aca="false">IF(ISNUMBER(T3705),T3705,-99)</f>
        <v>23.5099973824703</v>
      </c>
      <c r="W3705" s="84" t="n">
        <f aca="false">IF(ISNUMBER(U3705),ABS(U3705),"")</f>
        <v>0.809997382470339</v>
      </c>
    </row>
    <row r="3706" customFormat="false" ht="15" hidden="false" customHeight="false" outlineLevel="0" collapsed="false">
      <c r="A3706" s="57" t="n">
        <v>37774</v>
      </c>
      <c r="B3706" s="56" t="n">
        <v>2003</v>
      </c>
      <c r="C3706" s="56" t="n">
        <v>6</v>
      </c>
      <c r="D3706" s="56" t="n">
        <v>33</v>
      </c>
      <c r="E3706" s="56" t="n">
        <v>22.5</v>
      </c>
      <c r="F3706" s="56" t="n">
        <v>0</v>
      </c>
      <c r="G3706" s="56" t="n">
        <v>14.7</v>
      </c>
      <c r="H3706" s="56" t="n">
        <v>0</v>
      </c>
      <c r="I3706" s="56" t="n">
        <v>18.7</v>
      </c>
      <c r="J3706" s="56" t="n">
        <v>0</v>
      </c>
      <c r="K3706" s="56" t="n">
        <v>1008.9</v>
      </c>
      <c r="L3706" s="56" t="n">
        <v>0</v>
      </c>
      <c r="M3706" s="56" t="n">
        <v>71</v>
      </c>
      <c r="N3706" s="56" t="n">
        <v>5.7</v>
      </c>
      <c r="O3706" s="56" t="n">
        <f aca="false">IF(D3706=1,"",E3705)</f>
        <v>22.7</v>
      </c>
      <c r="P3706" s="56" t="n">
        <f aca="false">IF(OR(D3706=1,K3705=""),"",K3705)</f>
        <v>1009.4</v>
      </c>
      <c r="Q3706" s="56" t="n">
        <f aca="false">IF(OR(F3706&lt;&gt;0,AND(I3706&lt;&gt;"",E3706&lt;I3706)),1,0)</f>
        <v>0</v>
      </c>
      <c r="R3706" s="56" t="n">
        <f aca="false">IF(AND(D3706&gt;1,Q3706=0,ISNUMBER(O3706),ISNUMBER(P3706)),IF(Q3705=0,1,0),0)</f>
        <v>1</v>
      </c>
      <c r="S3706" s="56" t="n">
        <f aca="false">R3706*(B3706&gt;=Train_Start)*(B3706&lt;=Train_End)</f>
        <v>0</v>
      </c>
      <c r="T3706" s="84" t="n">
        <f aca="false">IF(AND(ISNUMBER(O3706),ISNUMBER(P3706)),Coef_A+Coef_B1*O3706+Coef_B2*P3706,"")</f>
        <v>22.3507467476129</v>
      </c>
      <c r="U3706" s="84" t="n">
        <f aca="false">IF(AND(R3706=1,ISNUMBER(T3706)),E3706-T3706,"")</f>
        <v>0.149253252387087</v>
      </c>
      <c r="V3706" s="84" t="n">
        <f aca="false">IF(ISNUMBER(T3706),T3706,-99)</f>
        <v>22.3507467476129</v>
      </c>
      <c r="W3706" s="84" t="n">
        <f aca="false">IF(ISNUMBER(U3706),ABS(U3706),"")</f>
        <v>0.149253252387087</v>
      </c>
    </row>
    <row r="3707" customFormat="false" ht="15" hidden="false" customHeight="false" outlineLevel="0" collapsed="false">
      <c r="A3707" s="57" t="n">
        <v>37775</v>
      </c>
      <c r="B3707" s="56" t="n">
        <v>2003</v>
      </c>
      <c r="C3707" s="56" t="n">
        <v>6</v>
      </c>
      <c r="D3707" s="56" t="n">
        <v>34</v>
      </c>
      <c r="E3707" s="56" t="n">
        <v>21.5</v>
      </c>
      <c r="F3707" s="56" t="n">
        <v>0</v>
      </c>
      <c r="G3707" s="56" t="n">
        <v>11.5</v>
      </c>
      <c r="H3707" s="56" t="n">
        <v>0</v>
      </c>
      <c r="I3707" s="56" t="n">
        <v>17</v>
      </c>
      <c r="J3707" s="56" t="n">
        <v>0</v>
      </c>
      <c r="K3707" s="56" t="n">
        <v>1010.1</v>
      </c>
      <c r="L3707" s="56" t="n">
        <v>0</v>
      </c>
      <c r="M3707" s="56" t="n">
        <v>73</v>
      </c>
      <c r="N3707" s="56" t="n">
        <v>3.3</v>
      </c>
      <c r="O3707" s="56" t="n">
        <f aca="false">IF(D3707=1,"",E3706)</f>
        <v>22.5</v>
      </c>
      <c r="P3707" s="56" t="n">
        <f aca="false">IF(OR(D3707=1,K3706=""),"",K3706)</f>
        <v>1008.9</v>
      </c>
      <c r="Q3707" s="56" t="n">
        <f aca="false">IF(OR(F3707&lt;&gt;0,AND(I3707&lt;&gt;"",E3707&lt;I3707)),1,0)</f>
        <v>0</v>
      </c>
      <c r="R3707" s="56" t="n">
        <f aca="false">IF(AND(D3707&gt;1,Q3707=0,ISNUMBER(O3707),ISNUMBER(P3707)),IF(Q3706=0,1,0),0)</f>
        <v>1</v>
      </c>
      <c r="S3707" s="56" t="n">
        <f aca="false">R3707*(B3707&gt;=Train_Start)*(B3707&lt;=Train_End)</f>
        <v>0</v>
      </c>
      <c r="T3707" s="84" t="n">
        <f aca="false">IF(AND(ISNUMBER(O3707),ISNUMBER(P3707)),Coef_A+Coef_B1*O3707+Coef_B2*P3707,"")</f>
        <v>22.1711939616874</v>
      </c>
      <c r="U3707" s="84" t="n">
        <f aca="false">IF(AND(R3707=1,ISNUMBER(T3707)),E3707-T3707,"")</f>
        <v>-0.671193961687393</v>
      </c>
      <c r="V3707" s="84" t="n">
        <f aca="false">IF(ISNUMBER(T3707),T3707,-99)</f>
        <v>22.1711939616874</v>
      </c>
      <c r="W3707" s="84" t="n">
        <f aca="false">IF(ISNUMBER(U3707),ABS(U3707),"")</f>
        <v>0.671193961687393</v>
      </c>
    </row>
    <row r="3708" customFormat="false" ht="15" hidden="false" customHeight="false" outlineLevel="0" collapsed="false">
      <c r="A3708" s="57" t="n">
        <v>37776</v>
      </c>
      <c r="B3708" s="56" t="n">
        <v>2003</v>
      </c>
      <c r="C3708" s="56" t="n">
        <v>6</v>
      </c>
      <c r="D3708" s="56" t="n">
        <v>35</v>
      </c>
      <c r="E3708" s="56" t="n">
        <v>21.8</v>
      </c>
      <c r="F3708" s="56" t="n">
        <v>0</v>
      </c>
      <c r="G3708" s="56" t="n">
        <v>13.4</v>
      </c>
      <c r="H3708" s="56" t="n">
        <v>0</v>
      </c>
      <c r="I3708" s="56" t="n">
        <v>17.4</v>
      </c>
      <c r="J3708" s="56" t="n">
        <v>0</v>
      </c>
      <c r="K3708" s="56" t="n">
        <v>1010.8</v>
      </c>
      <c r="L3708" s="56" t="n">
        <v>0</v>
      </c>
      <c r="M3708" s="56" t="n">
        <v>78</v>
      </c>
      <c r="N3708" s="56" t="n">
        <v>4.1</v>
      </c>
      <c r="O3708" s="56" t="n">
        <f aca="false">IF(D3708=1,"",E3707)</f>
        <v>21.5</v>
      </c>
      <c r="P3708" s="56" t="n">
        <f aca="false">IF(OR(D3708=1,K3707=""),"",K3707)</f>
        <v>1010.1</v>
      </c>
      <c r="Q3708" s="56" t="n">
        <f aca="false">IF(OR(F3708&lt;&gt;0,AND(I3708&lt;&gt;"",E3708&lt;I3708)),1,0)</f>
        <v>0</v>
      </c>
      <c r="R3708" s="56" t="n">
        <f aca="false">IF(AND(D3708&gt;1,Q3708=0,ISNUMBER(O3708),ISNUMBER(P3708)),IF(Q3707=0,1,0),0)</f>
        <v>1</v>
      </c>
      <c r="S3708" s="56" t="n">
        <f aca="false">R3708*(B3708&gt;=Train_Start)*(B3708&lt;=Train_End)</f>
        <v>0</v>
      </c>
      <c r="T3708" s="84" t="n">
        <f aca="false">IF(AND(ISNUMBER(O3708),ISNUMBER(P3708)),Coef_A+Coef_B1*O3708+Coef_B2*P3708,"")</f>
        <v>21.3894986422055</v>
      </c>
      <c r="U3708" s="84" t="n">
        <f aca="false">IF(AND(R3708=1,ISNUMBER(T3708)),E3708-T3708,"")</f>
        <v>0.41050135779448</v>
      </c>
      <c r="V3708" s="84" t="n">
        <f aca="false">IF(ISNUMBER(T3708),T3708,-99)</f>
        <v>21.3894986422055</v>
      </c>
      <c r="W3708" s="84" t="n">
        <f aca="false">IF(ISNUMBER(U3708),ABS(U3708),"")</f>
        <v>0.41050135779448</v>
      </c>
    </row>
    <row r="3709" customFormat="false" ht="15" hidden="false" customHeight="false" outlineLevel="0" collapsed="false">
      <c r="A3709" s="57" t="n">
        <v>37777</v>
      </c>
      <c r="B3709" s="56" t="n">
        <v>2003</v>
      </c>
      <c r="C3709" s="56" t="n">
        <v>6</v>
      </c>
      <c r="D3709" s="56" t="n">
        <v>36</v>
      </c>
      <c r="E3709" s="56" t="n">
        <v>19.1</v>
      </c>
      <c r="F3709" s="56" t="n">
        <v>0</v>
      </c>
      <c r="G3709" s="56" t="n">
        <v>10.5</v>
      </c>
      <c r="H3709" s="56" t="n">
        <v>0</v>
      </c>
      <c r="I3709" s="56" t="n">
        <v>16.2</v>
      </c>
      <c r="J3709" s="56" t="n">
        <v>0</v>
      </c>
      <c r="K3709" s="56" t="n">
        <v>1018.7</v>
      </c>
      <c r="L3709" s="56" t="n">
        <v>0</v>
      </c>
      <c r="M3709" s="56" t="n">
        <v>64</v>
      </c>
      <c r="N3709" s="56" t="n">
        <v>13.7</v>
      </c>
      <c r="O3709" s="56" t="n">
        <f aca="false">IF(D3709=1,"",E3708)</f>
        <v>21.8</v>
      </c>
      <c r="P3709" s="56" t="n">
        <f aca="false">IF(OR(D3709=1,K3708=""),"",K3708)</f>
        <v>1010.8</v>
      </c>
      <c r="Q3709" s="56" t="n">
        <f aca="false">IF(OR(F3709&lt;&gt;0,AND(I3709&lt;&gt;"",E3709&lt;I3709)),1,0)</f>
        <v>0</v>
      </c>
      <c r="R3709" s="56" t="n">
        <f aca="false">IF(AND(D3709&gt;1,Q3709=0,ISNUMBER(O3709),ISNUMBER(P3709)),IF(Q3708=0,1,0),0)</f>
        <v>1</v>
      </c>
      <c r="S3709" s="56" t="n">
        <f aca="false">R3709*(B3709&gt;=Train_Start)*(B3709&lt;=Train_End)</f>
        <v>0</v>
      </c>
      <c r="T3709" s="84" t="n">
        <f aca="false">IF(AND(ISNUMBER(O3709),ISNUMBER(P3709)),Coef_A+Coef_B1*O3709+Coef_B2*P3709,"")</f>
        <v>21.6572593263621</v>
      </c>
      <c r="U3709" s="84" t="n">
        <f aca="false">IF(AND(R3709=1,ISNUMBER(T3709)),E3709-T3709,"")</f>
        <v>-2.55725932636211</v>
      </c>
      <c r="V3709" s="84" t="n">
        <f aca="false">IF(ISNUMBER(T3709),T3709,-99)</f>
        <v>21.6572593263621</v>
      </c>
      <c r="W3709" s="84" t="n">
        <f aca="false">IF(ISNUMBER(U3709),ABS(U3709),"")</f>
        <v>2.55725932636211</v>
      </c>
    </row>
    <row r="3710" customFormat="false" ht="15" hidden="false" customHeight="false" outlineLevel="0" collapsed="false">
      <c r="A3710" s="57" t="n">
        <v>37778</v>
      </c>
      <c r="B3710" s="56" t="n">
        <v>2003</v>
      </c>
      <c r="C3710" s="56" t="n">
        <v>6</v>
      </c>
      <c r="D3710" s="56" t="n">
        <v>37</v>
      </c>
      <c r="E3710" s="56" t="n">
        <v>23.2</v>
      </c>
      <c r="F3710" s="56" t="n">
        <v>0</v>
      </c>
      <c r="G3710" s="56" t="n">
        <v>12.1</v>
      </c>
      <c r="H3710" s="56" t="n">
        <v>0</v>
      </c>
      <c r="I3710" s="56" t="n">
        <v>15.6</v>
      </c>
      <c r="J3710" s="56" t="n">
        <v>0</v>
      </c>
      <c r="K3710" s="56" t="n">
        <v>1018.4</v>
      </c>
      <c r="L3710" s="56" t="n">
        <v>0</v>
      </c>
      <c r="M3710" s="56" t="n">
        <v>82</v>
      </c>
      <c r="N3710" s="56" t="n">
        <v>0.1</v>
      </c>
      <c r="O3710" s="56" t="n">
        <f aca="false">IF(D3710=1,"",E3709)</f>
        <v>19.1</v>
      </c>
      <c r="P3710" s="56" t="n">
        <f aca="false">IF(OR(D3710=1,K3709=""),"",K3709)</f>
        <v>1018.7</v>
      </c>
      <c r="Q3710" s="56" t="n">
        <f aca="false">IF(OR(F3710&lt;&gt;0,AND(I3710&lt;&gt;"",E3710&lt;I3710)),1,0)</f>
        <v>0</v>
      </c>
      <c r="R3710" s="56" t="n">
        <f aca="false">IF(AND(D3710&gt;1,Q3710=0,ISNUMBER(O3710),ISNUMBER(P3710)),IF(Q3709=0,1,0),0)</f>
        <v>1</v>
      </c>
      <c r="S3710" s="56" t="n">
        <f aca="false">R3710*(B3710&gt;=Train_Start)*(B3710&lt;=Train_End)</f>
        <v>0</v>
      </c>
      <c r="T3710" s="84" t="n">
        <f aca="false">IF(AND(ISNUMBER(O3710),ISNUMBER(P3710)),Coef_A+Coef_B1*O3710+Coef_B2*P3710,"")</f>
        <v>19.6928656727555</v>
      </c>
      <c r="U3710" s="84" t="n">
        <f aca="false">IF(AND(R3710=1,ISNUMBER(T3710)),E3710-T3710,"")</f>
        <v>3.50713432724454</v>
      </c>
      <c r="V3710" s="84" t="n">
        <f aca="false">IF(ISNUMBER(T3710),T3710,-99)</f>
        <v>19.6928656727555</v>
      </c>
      <c r="W3710" s="84" t="n">
        <f aca="false">IF(ISNUMBER(U3710),ABS(U3710),"")</f>
        <v>3.50713432724454</v>
      </c>
    </row>
    <row r="3711" customFormat="false" ht="15" hidden="false" customHeight="false" outlineLevel="0" collapsed="false">
      <c r="A3711" s="57" t="n">
        <v>37779</v>
      </c>
      <c r="B3711" s="56" t="n">
        <v>2003</v>
      </c>
      <c r="C3711" s="56" t="n">
        <v>6</v>
      </c>
      <c r="D3711" s="56" t="n">
        <v>38</v>
      </c>
      <c r="E3711" s="56" t="n">
        <v>21.9</v>
      </c>
      <c r="F3711" s="56" t="n">
        <v>0</v>
      </c>
      <c r="G3711" s="56" t="n">
        <v>15.1</v>
      </c>
      <c r="H3711" s="56" t="n">
        <v>0</v>
      </c>
      <c r="I3711" s="56" t="n">
        <v>19.2</v>
      </c>
      <c r="J3711" s="56" t="n">
        <v>0</v>
      </c>
      <c r="K3711" s="56" t="n">
        <v>1015.4</v>
      </c>
      <c r="L3711" s="56" t="n">
        <v>0</v>
      </c>
      <c r="M3711" s="56" t="n">
        <v>70</v>
      </c>
      <c r="N3711" s="56" t="n">
        <v>7.2</v>
      </c>
      <c r="O3711" s="56" t="n">
        <f aca="false">IF(D3711=1,"",E3710)</f>
        <v>23.2</v>
      </c>
      <c r="P3711" s="56" t="n">
        <f aca="false">IF(OR(D3711=1,K3710=""),"",K3710)</f>
        <v>1018.4</v>
      </c>
      <c r="Q3711" s="56" t="n">
        <f aca="false">IF(OR(F3711&lt;&gt;0,AND(I3711&lt;&gt;"",E3711&lt;I3711)),1,0)</f>
        <v>0</v>
      </c>
      <c r="R3711" s="56" t="n">
        <f aca="false">IF(AND(D3711&gt;1,Q3711=0,ISNUMBER(O3711),ISNUMBER(P3711)),IF(Q3710=0,1,0),0)</f>
        <v>1</v>
      </c>
      <c r="S3711" s="56" t="n">
        <f aca="false">R3711*(B3711&gt;=Train_Start)*(B3711&lt;=Train_End)</f>
        <v>0</v>
      </c>
      <c r="T3711" s="84" t="n">
        <f aca="false">IF(AND(ISNUMBER(O3711),ISNUMBER(P3711)),Coef_A+Coef_B1*O3711+Coef_B2*P3711,"")</f>
        <v>23.0427453958402</v>
      </c>
      <c r="U3711" s="84" t="n">
        <f aca="false">IF(AND(R3711=1,ISNUMBER(T3711)),E3711-T3711,"")</f>
        <v>-1.14274539584015</v>
      </c>
      <c r="V3711" s="84" t="n">
        <f aca="false">IF(ISNUMBER(T3711),T3711,-99)</f>
        <v>23.0427453958402</v>
      </c>
      <c r="W3711" s="84" t="n">
        <f aca="false">IF(ISNUMBER(U3711),ABS(U3711),"")</f>
        <v>1.14274539584015</v>
      </c>
    </row>
    <row r="3712" customFormat="false" ht="15" hidden="false" customHeight="false" outlineLevel="0" collapsed="false">
      <c r="A3712" s="57" t="n">
        <v>37780</v>
      </c>
      <c r="B3712" s="56" t="n">
        <v>2003</v>
      </c>
      <c r="C3712" s="56" t="n">
        <v>6</v>
      </c>
      <c r="D3712" s="56" t="n">
        <v>39</v>
      </c>
      <c r="E3712" s="56" t="n">
        <v>21</v>
      </c>
      <c r="F3712" s="56" t="n">
        <v>0</v>
      </c>
      <c r="G3712" s="56" t="n">
        <v>11.9</v>
      </c>
      <c r="H3712" s="56" t="n">
        <v>0</v>
      </c>
      <c r="I3712" s="56" t="n">
        <v>16.9</v>
      </c>
      <c r="J3712" s="56" t="n">
        <v>0</v>
      </c>
      <c r="K3712" s="56" t="n">
        <v>1011.9</v>
      </c>
      <c r="L3712" s="56" t="n">
        <v>0</v>
      </c>
      <c r="M3712" s="56" t="n">
        <v>72</v>
      </c>
      <c r="N3712" s="56" t="n">
        <v>7</v>
      </c>
      <c r="O3712" s="56" t="n">
        <f aca="false">IF(D3712=1,"",E3711)</f>
        <v>21.9</v>
      </c>
      <c r="P3712" s="56" t="n">
        <f aca="false">IF(OR(D3712=1,K3711=""),"",K3711)</f>
        <v>1015.4</v>
      </c>
      <c r="Q3712" s="56" t="n">
        <f aca="false">IF(OR(F3712&lt;&gt;0,AND(I3712&lt;&gt;"",E3712&lt;I3712)),1,0)</f>
        <v>0</v>
      </c>
      <c r="R3712" s="56" t="n">
        <f aca="false">IF(AND(D3712&gt;1,Q3712=0,ISNUMBER(O3712),ISNUMBER(P3712)),IF(Q3711=0,1,0),0)</f>
        <v>1</v>
      </c>
      <c r="S3712" s="56" t="n">
        <f aca="false">R3712*(B3712&gt;=Train_Start)*(B3712&lt;=Train_End)</f>
        <v>0</v>
      </c>
      <c r="T3712" s="84" t="n">
        <f aca="false">IF(AND(ISNUMBER(O3712),ISNUMBER(P3712)),Coef_A+Coef_B1*O3712+Coef_B2*P3712,"")</f>
        <v>21.8834947609827</v>
      </c>
      <c r="U3712" s="84" t="n">
        <f aca="false">IF(AND(R3712=1,ISNUMBER(T3712)),E3712-T3712,"")</f>
        <v>-0.883494760982728</v>
      </c>
      <c r="V3712" s="84" t="n">
        <f aca="false">IF(ISNUMBER(T3712),T3712,-99)</f>
        <v>21.8834947609827</v>
      </c>
      <c r="W3712" s="84" t="n">
        <f aca="false">IF(ISNUMBER(U3712),ABS(U3712),"")</f>
        <v>0.883494760982728</v>
      </c>
    </row>
    <row r="3713" customFormat="false" ht="15" hidden="false" customHeight="false" outlineLevel="0" collapsed="false">
      <c r="A3713" s="57" t="n">
        <v>37781</v>
      </c>
      <c r="B3713" s="56" t="n">
        <v>2003</v>
      </c>
      <c r="C3713" s="56" t="n">
        <v>6</v>
      </c>
      <c r="D3713" s="56" t="n">
        <v>40</v>
      </c>
      <c r="E3713" s="56" t="n">
        <v>22.7</v>
      </c>
      <c r="F3713" s="56" t="n">
        <v>0</v>
      </c>
      <c r="G3713" s="56" t="n">
        <v>9.9</v>
      </c>
      <c r="H3713" s="56" t="n">
        <v>0</v>
      </c>
      <c r="I3713" s="56" t="n">
        <v>15.4</v>
      </c>
      <c r="J3713" s="56" t="n">
        <v>0</v>
      </c>
      <c r="K3713" s="56" t="n">
        <v>1017.4</v>
      </c>
      <c r="L3713" s="56" t="n">
        <v>0</v>
      </c>
      <c r="M3713" s="56" t="n">
        <v>61</v>
      </c>
      <c r="N3713" s="56" t="n">
        <v>12.4</v>
      </c>
      <c r="O3713" s="56" t="n">
        <f aca="false">IF(D3713=1,"",E3712)</f>
        <v>21</v>
      </c>
      <c r="P3713" s="56" t="n">
        <f aca="false">IF(OR(D3713=1,K3712=""),"",K3712)</f>
        <v>1011.9</v>
      </c>
      <c r="Q3713" s="56" t="n">
        <f aca="false">IF(OR(F3713&lt;&gt;0,AND(I3713&lt;&gt;"",E3713&lt;I3713)),1,0)</f>
        <v>0</v>
      </c>
      <c r="R3713" s="56" t="n">
        <f aca="false">IF(AND(D3713&gt;1,Q3713=0,ISNUMBER(O3713),ISNUMBER(P3713)),IF(Q3712=0,1,0),0)</f>
        <v>1</v>
      </c>
      <c r="S3713" s="56" t="n">
        <f aca="false">R3713*(B3713&gt;=Train_Start)*(B3713&lt;=Train_End)</f>
        <v>0</v>
      </c>
      <c r="T3713" s="84" t="n">
        <f aca="false">IF(AND(ISNUMBER(O3713),ISNUMBER(P3713)),Coef_A+Coef_B1*O3713+Coef_B2*P3713,"")</f>
        <v>21.0362948560254</v>
      </c>
      <c r="U3713" s="84" t="n">
        <f aca="false">IF(AND(R3713=1,ISNUMBER(T3713)),E3713-T3713,"")</f>
        <v>1.66370514397463</v>
      </c>
      <c r="V3713" s="84" t="n">
        <f aca="false">IF(ISNUMBER(T3713),T3713,-99)</f>
        <v>21.0362948560254</v>
      </c>
      <c r="W3713" s="84" t="n">
        <f aca="false">IF(ISNUMBER(U3713),ABS(U3713),"")</f>
        <v>1.66370514397463</v>
      </c>
    </row>
    <row r="3714" customFormat="false" ht="15" hidden="false" customHeight="false" outlineLevel="0" collapsed="false">
      <c r="A3714" s="57" t="n">
        <v>37782</v>
      </c>
      <c r="B3714" s="56" t="n">
        <v>2003</v>
      </c>
      <c r="C3714" s="56" t="n">
        <v>6</v>
      </c>
      <c r="D3714" s="56" t="n">
        <v>41</v>
      </c>
      <c r="E3714" s="56" t="n">
        <v>21.6</v>
      </c>
      <c r="F3714" s="56" t="n">
        <v>0</v>
      </c>
      <c r="G3714" s="56" t="n">
        <v>14.9</v>
      </c>
      <c r="H3714" s="56" t="n">
        <v>0</v>
      </c>
      <c r="I3714" s="56" t="n">
        <v>18.8</v>
      </c>
      <c r="J3714" s="56" t="n">
        <v>0</v>
      </c>
      <c r="K3714" s="56" t="n">
        <v>1011.2</v>
      </c>
      <c r="L3714" s="56" t="n">
        <v>0</v>
      </c>
      <c r="M3714" s="56" t="n">
        <v>69</v>
      </c>
      <c r="N3714" s="56" t="n">
        <v>6.2</v>
      </c>
      <c r="O3714" s="56" t="n">
        <f aca="false">IF(D3714=1,"",E3713)</f>
        <v>22.7</v>
      </c>
      <c r="P3714" s="56" t="n">
        <f aca="false">IF(OR(D3714=1,K3713=""),"",K3713)</f>
        <v>1017.4</v>
      </c>
      <c r="Q3714" s="56" t="n">
        <f aca="false">IF(OR(F3714&lt;&gt;0,AND(I3714&lt;&gt;"",E3714&lt;I3714)),1,0)</f>
        <v>0</v>
      </c>
      <c r="R3714" s="56" t="n">
        <f aca="false">IF(AND(D3714&gt;1,Q3714=0,ISNUMBER(O3714),ISNUMBER(P3714)),IF(Q3713=0,1,0),0)</f>
        <v>1</v>
      </c>
      <c r="S3714" s="56" t="n">
        <f aca="false">R3714*(B3714&gt;=Train_Start)*(B3714&lt;=Train_End)</f>
        <v>0</v>
      </c>
      <c r="T3714" s="84" t="n">
        <f aca="false">IF(AND(ISNUMBER(O3714),ISNUMBER(P3714)),Coef_A+Coef_B1*O3714+Coef_B2*P3714,"")</f>
        <v>22.6017059046848</v>
      </c>
      <c r="U3714" s="84" t="n">
        <f aca="false">IF(AND(R3714=1,ISNUMBER(T3714)),E3714-T3714,"")</f>
        <v>-1.00170590468483</v>
      </c>
      <c r="V3714" s="84" t="n">
        <f aca="false">IF(ISNUMBER(T3714),T3714,-99)</f>
        <v>22.6017059046848</v>
      </c>
      <c r="W3714" s="84" t="n">
        <f aca="false">IF(ISNUMBER(U3714),ABS(U3714),"")</f>
        <v>1.00170590468483</v>
      </c>
    </row>
    <row r="3715" customFormat="false" ht="15" hidden="false" customHeight="false" outlineLevel="0" collapsed="false">
      <c r="A3715" s="57" t="n">
        <v>37783</v>
      </c>
      <c r="B3715" s="56" t="n">
        <v>2003</v>
      </c>
      <c r="C3715" s="56" t="n">
        <v>6</v>
      </c>
      <c r="D3715" s="56" t="n">
        <v>42</v>
      </c>
      <c r="E3715" s="56" t="n">
        <v>23.5</v>
      </c>
      <c r="F3715" s="56" t="n">
        <v>0</v>
      </c>
      <c r="G3715" s="56" t="n">
        <v>13.6</v>
      </c>
      <c r="H3715" s="56" t="n">
        <v>0</v>
      </c>
      <c r="I3715" s="56" t="n">
        <v>17.6</v>
      </c>
      <c r="J3715" s="56" t="n">
        <v>0</v>
      </c>
      <c r="K3715" s="56" t="n">
        <v>1017.9</v>
      </c>
      <c r="L3715" s="56" t="n">
        <v>0</v>
      </c>
      <c r="M3715" s="56" t="n">
        <v>63</v>
      </c>
      <c r="N3715" s="56" t="n">
        <v>10</v>
      </c>
      <c r="O3715" s="56" t="n">
        <f aca="false">IF(D3715=1,"",E3714)</f>
        <v>21.6</v>
      </c>
      <c r="P3715" s="56" t="n">
        <f aca="false">IF(OR(D3715=1,K3714=""),"",K3714)</f>
        <v>1011.2</v>
      </c>
      <c r="Q3715" s="56" t="n">
        <f aca="false">IF(OR(F3715&lt;&gt;0,AND(I3715&lt;&gt;"",E3715&lt;I3715)),1,0)</f>
        <v>0</v>
      </c>
      <c r="R3715" s="56" t="n">
        <f aca="false">IF(AND(D3715&gt;1,Q3715=0,ISNUMBER(O3715),ISNUMBER(P3715)),IF(Q3714=0,1,0),0)</f>
        <v>1</v>
      </c>
      <c r="S3715" s="56" t="n">
        <f aca="false">R3715*(B3715&gt;=Train_Start)*(B3715&lt;=Train_End)</f>
        <v>0</v>
      </c>
      <c r="T3715" s="84" t="n">
        <f aca="false">IF(AND(ISNUMBER(O3715),ISNUMBER(P3715)),Coef_A+Coef_B1*O3715+Coef_B2*P3715,"")</f>
        <v>21.5059394456072</v>
      </c>
      <c r="U3715" s="84" t="n">
        <f aca="false">IF(AND(R3715=1,ISNUMBER(T3715)),E3715-T3715,"")</f>
        <v>1.99406055439282</v>
      </c>
      <c r="V3715" s="84" t="n">
        <f aca="false">IF(ISNUMBER(T3715),T3715,-99)</f>
        <v>21.5059394456072</v>
      </c>
      <c r="W3715" s="84" t="n">
        <f aca="false">IF(ISNUMBER(U3715),ABS(U3715),"")</f>
        <v>1.99406055439282</v>
      </c>
    </row>
    <row r="3716" customFormat="false" ht="15" hidden="false" customHeight="false" outlineLevel="0" collapsed="false">
      <c r="A3716" s="57" t="n">
        <v>37784</v>
      </c>
      <c r="B3716" s="56" t="n">
        <v>2003</v>
      </c>
      <c r="C3716" s="56" t="n">
        <v>6</v>
      </c>
      <c r="D3716" s="56" t="n">
        <v>43</v>
      </c>
      <c r="E3716" s="56" t="n">
        <v>23.6</v>
      </c>
      <c r="F3716" s="56" t="n">
        <v>0</v>
      </c>
      <c r="G3716" s="56" t="n">
        <v>12.7</v>
      </c>
      <c r="H3716" s="56" t="n">
        <v>0</v>
      </c>
      <c r="I3716" s="56" t="n">
        <v>18.1</v>
      </c>
      <c r="J3716" s="56" t="n">
        <v>0</v>
      </c>
      <c r="K3716" s="56" t="n">
        <v>1020.1</v>
      </c>
      <c r="L3716" s="56" t="n">
        <v>0</v>
      </c>
      <c r="M3716" s="56" t="n">
        <v>58</v>
      </c>
      <c r="N3716" s="56" t="n">
        <v>11.2</v>
      </c>
      <c r="O3716" s="56" t="n">
        <f aca="false">IF(D3716=1,"",E3715)</f>
        <v>23.5</v>
      </c>
      <c r="P3716" s="56" t="n">
        <f aca="false">IF(OR(D3716=1,K3715=""),"",K3715)</f>
        <v>1017.9</v>
      </c>
      <c r="Q3716" s="56" t="n">
        <f aca="false">IF(OR(F3716&lt;&gt;0,AND(I3716&lt;&gt;"",E3716&lt;I3716)),1,0)</f>
        <v>0</v>
      </c>
      <c r="R3716" s="56" t="n">
        <f aca="false">IF(AND(D3716&gt;1,Q3716=0,ISNUMBER(O3716),ISNUMBER(P3716)),IF(Q3715=0,1,0),0)</f>
        <v>1</v>
      </c>
      <c r="S3716" s="56" t="n">
        <f aca="false">R3716*(B3716&gt;=Train_Start)*(B3716&lt;=Train_End)</f>
        <v>0</v>
      </c>
      <c r="T3716" s="84" t="n">
        <f aca="false">IF(AND(ISNUMBER(O3716),ISNUMBER(P3716)),Coef_A+Coef_B1*O3716+Coef_B2*P3716,"")</f>
        <v>23.272862206436</v>
      </c>
      <c r="U3716" s="84" t="n">
        <f aca="false">IF(AND(R3716=1,ISNUMBER(T3716)),E3716-T3716,"")</f>
        <v>0.327137793564049</v>
      </c>
      <c r="V3716" s="84" t="n">
        <f aca="false">IF(ISNUMBER(T3716),T3716,-99)</f>
        <v>23.272862206436</v>
      </c>
      <c r="W3716" s="84" t="n">
        <f aca="false">IF(ISNUMBER(U3716),ABS(U3716),"")</f>
        <v>0.327137793564049</v>
      </c>
    </row>
    <row r="3717" customFormat="false" ht="15" hidden="false" customHeight="false" outlineLevel="0" collapsed="false">
      <c r="A3717" s="57" t="n">
        <v>37785</v>
      </c>
      <c r="B3717" s="56" t="n">
        <v>2003</v>
      </c>
      <c r="C3717" s="56" t="n">
        <v>6</v>
      </c>
      <c r="D3717" s="56" t="n">
        <v>44</v>
      </c>
      <c r="E3717" s="56" t="n">
        <v>24.8</v>
      </c>
      <c r="F3717" s="56" t="n">
        <v>0</v>
      </c>
      <c r="G3717" s="56" t="n">
        <v>10.6</v>
      </c>
      <c r="H3717" s="56" t="n">
        <v>0</v>
      </c>
      <c r="I3717" s="56" t="n">
        <v>17.1</v>
      </c>
      <c r="J3717" s="56" t="n">
        <v>0</v>
      </c>
      <c r="K3717" s="56" t="n">
        <v>1023.6</v>
      </c>
      <c r="L3717" s="56" t="n">
        <v>0</v>
      </c>
      <c r="M3717" s="56" t="n">
        <v>53</v>
      </c>
      <c r="N3717" s="56" t="n">
        <v>14.2</v>
      </c>
      <c r="O3717" s="56" t="n">
        <f aca="false">IF(D3717=1,"",E3716)</f>
        <v>23.6</v>
      </c>
      <c r="P3717" s="56" t="n">
        <f aca="false">IF(OR(D3717=1,K3716=""),"",K3716)</f>
        <v>1020.1</v>
      </c>
      <c r="Q3717" s="56" t="n">
        <f aca="false">IF(OR(F3717&lt;&gt;0,AND(I3717&lt;&gt;"",E3717&lt;I3717)),1,0)</f>
        <v>0</v>
      </c>
      <c r="R3717" s="56" t="n">
        <f aca="false">IF(AND(D3717&gt;1,Q3717=0,ISNUMBER(O3717),ISNUMBER(P3717)),IF(Q3716=0,1,0),0)</f>
        <v>1</v>
      </c>
      <c r="S3717" s="56" t="n">
        <f aca="false">R3717*(B3717&gt;=Train_Start)*(B3717&lt;=Train_End)</f>
        <v>0</v>
      </c>
      <c r="T3717" s="84" t="n">
        <f aca="false">IF(AND(ISNUMBER(O3717),ISNUMBER(P3717)),Coef_A+Coef_B1*O3717+Coef_B2*P3717,"")</f>
        <v>23.423809893935</v>
      </c>
      <c r="U3717" s="84" t="n">
        <f aca="false">IF(AND(R3717=1,ISNUMBER(T3717)),E3717-T3717,"")</f>
        <v>1.376190106065</v>
      </c>
      <c r="V3717" s="84" t="n">
        <f aca="false">IF(ISNUMBER(T3717),T3717,-99)</f>
        <v>23.423809893935</v>
      </c>
      <c r="W3717" s="84" t="n">
        <f aca="false">IF(ISNUMBER(U3717),ABS(U3717),"")</f>
        <v>1.376190106065</v>
      </c>
    </row>
    <row r="3718" customFormat="false" ht="15" hidden="false" customHeight="false" outlineLevel="0" collapsed="false">
      <c r="A3718" s="57" t="n">
        <v>37786</v>
      </c>
      <c r="B3718" s="56" t="n">
        <v>2003</v>
      </c>
      <c r="C3718" s="56" t="n">
        <v>6</v>
      </c>
      <c r="D3718" s="56" t="n">
        <v>45</v>
      </c>
      <c r="E3718" s="56" t="n">
        <v>26.5</v>
      </c>
      <c r="F3718" s="56" t="n">
        <v>0</v>
      </c>
      <c r="G3718" s="56" t="n">
        <v>16</v>
      </c>
      <c r="H3718" s="56" t="n">
        <v>0</v>
      </c>
      <c r="I3718" s="56" t="n">
        <v>20.4</v>
      </c>
      <c r="J3718" s="56" t="n">
        <v>0</v>
      </c>
      <c r="K3718" s="56" t="n">
        <v>1021.5</v>
      </c>
      <c r="L3718" s="56" t="n">
        <v>0</v>
      </c>
      <c r="M3718" s="56" t="n">
        <v>47</v>
      </c>
      <c r="N3718" s="56" t="n">
        <v>12.7</v>
      </c>
      <c r="O3718" s="56" t="n">
        <f aca="false">IF(D3718=1,"",E3717)</f>
        <v>24.8</v>
      </c>
      <c r="P3718" s="56" t="n">
        <f aca="false">IF(OR(D3718=1,K3717=""),"",K3717)</f>
        <v>1023.6</v>
      </c>
      <c r="Q3718" s="56" t="n">
        <f aca="false">IF(OR(F3718&lt;&gt;0,AND(I3718&lt;&gt;"",E3718&lt;I3718)),1,0)</f>
        <v>0</v>
      </c>
      <c r="R3718" s="56" t="n">
        <f aca="false">IF(AND(D3718&gt;1,Q3718=0,ISNUMBER(O3718),ISNUMBER(P3718)),IF(Q3717=0,1,0),0)</f>
        <v>1</v>
      </c>
      <c r="S3718" s="56" t="n">
        <f aca="false">R3718*(B3718&gt;=Train_Start)*(B3718&lt;=Train_End)</f>
        <v>0</v>
      </c>
      <c r="T3718" s="84" t="n">
        <f aca="false">IF(AND(ISNUMBER(O3718),ISNUMBER(P3718)),Coef_A+Coef_B1*O3718+Coef_B2*P3718,"")</f>
        <v>24.5168115568052</v>
      </c>
      <c r="U3718" s="84" t="n">
        <f aca="false">IF(AND(R3718=1,ISNUMBER(T3718)),E3718-T3718,"")</f>
        <v>1.98318844319485</v>
      </c>
      <c r="V3718" s="84" t="n">
        <f aca="false">IF(ISNUMBER(T3718),T3718,-99)</f>
        <v>24.5168115568052</v>
      </c>
      <c r="W3718" s="84" t="n">
        <f aca="false">IF(ISNUMBER(U3718),ABS(U3718),"")</f>
        <v>1.98318844319485</v>
      </c>
    </row>
    <row r="3719" customFormat="false" ht="15" hidden="false" customHeight="false" outlineLevel="0" collapsed="false">
      <c r="A3719" s="57" t="n">
        <v>37787</v>
      </c>
      <c r="B3719" s="56" t="n">
        <v>2003</v>
      </c>
      <c r="C3719" s="56" t="n">
        <v>6</v>
      </c>
      <c r="D3719" s="56" t="n">
        <v>46</v>
      </c>
      <c r="E3719" s="56" t="n">
        <v>27.5</v>
      </c>
      <c r="F3719" s="56" t="n">
        <v>0</v>
      </c>
      <c r="G3719" s="56" t="n">
        <v>12.1</v>
      </c>
      <c r="H3719" s="56" t="n">
        <v>0</v>
      </c>
      <c r="I3719" s="56" t="n">
        <v>19.3</v>
      </c>
      <c r="J3719" s="56" t="n">
        <v>0</v>
      </c>
      <c r="K3719" s="56" t="n">
        <v>1021.1</v>
      </c>
      <c r="L3719" s="56" t="n">
        <v>0</v>
      </c>
      <c r="M3719" s="56" t="n">
        <v>52</v>
      </c>
      <c r="N3719" s="56" t="n">
        <v>15</v>
      </c>
      <c r="O3719" s="56" t="n">
        <f aca="false">IF(D3719=1,"",E3718)</f>
        <v>26.5</v>
      </c>
      <c r="P3719" s="56" t="n">
        <f aca="false">IF(OR(D3719=1,K3718=""),"",K3718)</f>
        <v>1021.5</v>
      </c>
      <c r="Q3719" s="56" t="n">
        <f aca="false">IF(OR(F3719&lt;&gt;0,AND(I3719&lt;&gt;"",E3719&lt;I3719)),1,0)</f>
        <v>0</v>
      </c>
      <c r="R3719" s="56" t="n">
        <f aca="false">IF(AND(D3719&gt;1,Q3719=0,ISNUMBER(O3719),ISNUMBER(P3719)),IF(Q3718=0,1,0),0)</f>
        <v>1</v>
      </c>
      <c r="S3719" s="56" t="n">
        <f aca="false">R3719*(B3719&gt;=Train_Start)*(B3719&lt;=Train_End)</f>
        <v>0</v>
      </c>
      <c r="T3719" s="84" t="n">
        <f aca="false">IF(AND(ISNUMBER(O3719),ISNUMBER(P3719)),Coef_A+Coef_B1*O3719+Coef_B2*P3719,"")</f>
        <v>25.8438114062463</v>
      </c>
      <c r="U3719" s="84" t="n">
        <f aca="false">IF(AND(R3719=1,ISNUMBER(T3719)),E3719-T3719,"")</f>
        <v>1.65618859375371</v>
      </c>
      <c r="V3719" s="84" t="n">
        <f aca="false">IF(ISNUMBER(T3719),T3719,-99)</f>
        <v>25.8438114062463</v>
      </c>
      <c r="W3719" s="84" t="n">
        <f aca="false">IF(ISNUMBER(U3719),ABS(U3719),"")</f>
        <v>1.65618859375371</v>
      </c>
    </row>
    <row r="3720" customFormat="false" ht="15" hidden="false" customHeight="false" outlineLevel="0" collapsed="false">
      <c r="A3720" s="57" t="n">
        <v>37788</v>
      </c>
      <c r="B3720" s="56" t="n">
        <v>2003</v>
      </c>
      <c r="C3720" s="56" t="n">
        <v>6</v>
      </c>
      <c r="D3720" s="56" t="n">
        <v>47</v>
      </c>
      <c r="E3720" s="56" t="n">
        <v>26.1</v>
      </c>
      <c r="F3720" s="56" t="n">
        <v>0</v>
      </c>
      <c r="G3720" s="56" t="n">
        <v>14.8</v>
      </c>
      <c r="H3720" s="56" t="n">
        <v>0</v>
      </c>
      <c r="I3720" s="56" t="n">
        <v>21.2</v>
      </c>
      <c r="J3720" s="56" t="n">
        <v>0</v>
      </c>
      <c r="K3720" s="56" t="n">
        <v>1015.8</v>
      </c>
      <c r="L3720" s="56" t="n">
        <v>0</v>
      </c>
      <c r="M3720" s="56" t="n">
        <v>54</v>
      </c>
      <c r="N3720" s="56" t="n">
        <v>13</v>
      </c>
      <c r="O3720" s="56" t="n">
        <f aca="false">IF(D3720=1,"",E3719)</f>
        <v>27.5</v>
      </c>
      <c r="P3720" s="56" t="n">
        <f aca="false">IF(OR(D3720=1,K3719=""),"",K3719)</f>
        <v>1021.1</v>
      </c>
      <c r="Q3720" s="56" t="n">
        <f aca="false">IF(OR(F3720&lt;&gt;0,AND(I3720&lt;&gt;"",E3720&lt;I3720)),1,0)</f>
        <v>0</v>
      </c>
      <c r="R3720" s="56" t="n">
        <f aca="false">IF(AND(D3720&gt;1,Q3720=0,ISNUMBER(O3720),ISNUMBER(P3720)),IF(Q3719=0,1,0),0)</f>
        <v>1</v>
      </c>
      <c r="S3720" s="56" t="n">
        <f aca="false">R3720*(B3720&gt;=Train_Start)*(B3720&lt;=Train_End)</f>
        <v>0</v>
      </c>
      <c r="T3720" s="84" t="n">
        <f aca="false">IF(AND(ISNUMBER(O3720),ISNUMBER(P3720)),Coef_A+Coef_B1*O3720+Coef_B2*P3720,"")</f>
        <v>26.6506026414354</v>
      </c>
      <c r="U3720" s="84" t="n">
        <f aca="false">IF(AND(R3720=1,ISNUMBER(T3720)),E3720-T3720,"")</f>
        <v>-0.550602641435347</v>
      </c>
      <c r="V3720" s="84" t="n">
        <f aca="false">IF(ISNUMBER(T3720),T3720,-99)</f>
        <v>26.6506026414354</v>
      </c>
      <c r="W3720" s="84" t="n">
        <f aca="false">IF(ISNUMBER(U3720),ABS(U3720),"")</f>
        <v>0.550602641435347</v>
      </c>
    </row>
    <row r="3721" customFormat="false" ht="15" hidden="false" customHeight="false" outlineLevel="0" collapsed="false">
      <c r="A3721" s="57" t="n">
        <v>37789</v>
      </c>
      <c r="B3721" s="56" t="n">
        <v>2003</v>
      </c>
      <c r="C3721" s="56" t="n">
        <v>6</v>
      </c>
      <c r="D3721" s="56" t="n">
        <v>48</v>
      </c>
      <c r="E3721" s="56" t="n">
        <v>21.1</v>
      </c>
      <c r="F3721" s="56" t="n">
        <v>0</v>
      </c>
      <c r="G3721" s="56" t="n">
        <v>15.7</v>
      </c>
      <c r="H3721" s="56" t="n">
        <v>0</v>
      </c>
      <c r="I3721" s="56" t="n">
        <v>20.9</v>
      </c>
      <c r="J3721" s="56" t="n">
        <v>0</v>
      </c>
      <c r="K3721" s="56" t="n">
        <v>1011.9</v>
      </c>
      <c r="L3721" s="56" t="n">
        <v>0</v>
      </c>
      <c r="M3721" s="56" t="n">
        <v>67</v>
      </c>
      <c r="N3721" s="56" t="n">
        <v>3.9</v>
      </c>
      <c r="O3721" s="56" t="n">
        <f aca="false">IF(D3721=1,"",E3720)</f>
        <v>26.1</v>
      </c>
      <c r="P3721" s="56" t="n">
        <f aca="false">IF(OR(D3721=1,K3720=""),"",K3720)</f>
        <v>1015.8</v>
      </c>
      <c r="Q3721" s="56" t="n">
        <f aca="false">IF(OR(F3721&lt;&gt;0,AND(I3721&lt;&gt;"",E3721&lt;I3721)),1,0)</f>
        <v>0</v>
      </c>
      <c r="R3721" s="56" t="n">
        <f aca="false">IF(AND(D3721&gt;1,Q3721=0,ISNUMBER(O3721),ISNUMBER(P3721)),IF(Q3720=0,1,0),0)</f>
        <v>1</v>
      </c>
      <c r="S3721" s="56" t="n">
        <f aca="false">R3721*(B3721&gt;=Train_Start)*(B3721&lt;=Train_End)</f>
        <v>0</v>
      </c>
      <c r="T3721" s="84" t="n">
        <f aca="false">IF(AND(ISNUMBER(O3721),ISNUMBER(P3721)),Coef_A+Coef_B1*O3721+Coef_B2*P3721,"")</f>
        <v>25.3372673296155</v>
      </c>
      <c r="U3721" s="84" t="n">
        <f aca="false">IF(AND(R3721=1,ISNUMBER(T3721)),E3721-T3721,"")</f>
        <v>-4.23726732961548</v>
      </c>
      <c r="V3721" s="84" t="n">
        <f aca="false">IF(ISNUMBER(T3721),T3721,-99)</f>
        <v>25.3372673296155</v>
      </c>
      <c r="W3721" s="84" t="n">
        <f aca="false">IF(ISNUMBER(U3721),ABS(U3721),"")</f>
        <v>4.23726732961548</v>
      </c>
    </row>
    <row r="3722" customFormat="false" ht="15" hidden="false" customHeight="false" outlineLevel="0" collapsed="false">
      <c r="A3722" s="57" t="n">
        <v>37790</v>
      </c>
      <c r="B3722" s="56" t="n">
        <v>2003</v>
      </c>
      <c r="C3722" s="56" t="n">
        <v>6</v>
      </c>
      <c r="D3722" s="56" t="n">
        <v>49</v>
      </c>
      <c r="E3722" s="56" t="n">
        <v>24.7</v>
      </c>
      <c r="F3722" s="56" t="n">
        <v>0</v>
      </c>
      <c r="G3722" s="56" t="n">
        <v>13.3</v>
      </c>
      <c r="H3722" s="56" t="n">
        <v>0</v>
      </c>
      <c r="I3722" s="56" t="n">
        <v>17.2</v>
      </c>
      <c r="J3722" s="56" t="n">
        <v>0</v>
      </c>
      <c r="K3722" s="56" t="n">
        <v>1018.8</v>
      </c>
      <c r="L3722" s="56" t="n">
        <v>0</v>
      </c>
      <c r="M3722" s="56" t="n">
        <v>71</v>
      </c>
      <c r="N3722" s="56" t="n">
        <v>3.7</v>
      </c>
      <c r="O3722" s="56" t="n">
        <f aca="false">IF(D3722=1,"",E3721)</f>
        <v>21.1</v>
      </c>
      <c r="P3722" s="56" t="n">
        <f aca="false">IF(OR(D3722=1,K3721=""),"",K3721)</f>
        <v>1011.9</v>
      </c>
      <c r="Q3722" s="56" t="n">
        <f aca="false">IF(OR(F3722&lt;&gt;0,AND(I3722&lt;&gt;"",E3722&lt;I3722)),1,0)</f>
        <v>0</v>
      </c>
      <c r="R3722" s="56" t="n">
        <f aca="false">IF(AND(D3722&gt;1,Q3722=0,ISNUMBER(O3722),ISNUMBER(P3722)),IF(Q3721=0,1,0),0)</f>
        <v>1</v>
      </c>
      <c r="S3722" s="56" t="n">
        <f aca="false">R3722*(B3722&gt;=Train_Start)*(B3722&lt;=Train_End)</f>
        <v>0</v>
      </c>
      <c r="T3722" s="84" t="n">
        <f aca="false">IF(AND(ISNUMBER(O3722),ISNUMBER(P3722)),Coef_A+Coef_B1*O3722+Coef_B2*P3722,"")</f>
        <v>21.1182287753296</v>
      </c>
      <c r="U3722" s="84" t="n">
        <f aca="false">IF(AND(R3722=1,ISNUMBER(T3722)),E3722-T3722,"")</f>
        <v>3.58177122467036</v>
      </c>
      <c r="V3722" s="84" t="n">
        <f aca="false">IF(ISNUMBER(T3722),T3722,-99)</f>
        <v>21.1182287753296</v>
      </c>
      <c r="W3722" s="84" t="n">
        <f aca="false">IF(ISNUMBER(U3722),ABS(U3722),"")</f>
        <v>3.58177122467036</v>
      </c>
    </row>
    <row r="3723" customFormat="false" ht="15" hidden="false" customHeight="false" outlineLevel="0" collapsed="false">
      <c r="A3723" s="57" t="n">
        <v>37791</v>
      </c>
      <c r="B3723" s="56" t="n">
        <v>2003</v>
      </c>
      <c r="C3723" s="56" t="n">
        <v>6</v>
      </c>
      <c r="D3723" s="56" t="n">
        <v>50</v>
      </c>
      <c r="E3723" s="56" t="n">
        <v>22.4</v>
      </c>
      <c r="F3723" s="56" t="n">
        <v>0</v>
      </c>
      <c r="G3723" s="56" t="n">
        <v>16.6</v>
      </c>
      <c r="H3723" s="56" t="n">
        <v>0</v>
      </c>
      <c r="I3723" s="56" t="n">
        <v>20.6</v>
      </c>
      <c r="J3723" s="56" t="n">
        <v>0</v>
      </c>
      <c r="K3723" s="56" t="n">
        <v>1021.1</v>
      </c>
      <c r="L3723" s="56" t="n">
        <v>0</v>
      </c>
      <c r="M3723" s="56" t="n">
        <v>71</v>
      </c>
      <c r="N3723" s="56" t="n">
        <v>4.4</v>
      </c>
      <c r="O3723" s="56" t="n">
        <f aca="false">IF(D3723=1,"",E3722)</f>
        <v>24.7</v>
      </c>
      <c r="P3723" s="56" t="n">
        <f aca="false">IF(OR(D3723=1,K3722=""),"",K3722)</f>
        <v>1018.8</v>
      </c>
      <c r="Q3723" s="56" t="n">
        <f aca="false">IF(OR(F3723&lt;&gt;0,AND(I3723&lt;&gt;"",E3723&lt;I3723)),1,0)</f>
        <v>0</v>
      </c>
      <c r="R3723" s="56" t="n">
        <f aca="false">IF(AND(D3723&gt;1,Q3723=0,ISNUMBER(O3723),ISNUMBER(P3723)),IF(Q3722=0,1,0),0)</f>
        <v>1</v>
      </c>
      <c r="S3723" s="56" t="n">
        <f aca="false">R3723*(B3723&gt;=Train_Start)*(B3723&lt;=Train_End)</f>
        <v>0</v>
      </c>
      <c r="T3723" s="84" t="n">
        <f aca="false">IF(AND(ISNUMBER(O3723),ISNUMBER(P3723)),Coef_A+Coef_B1*O3723+Coef_B2*P3723,"")</f>
        <v>24.2843021432577</v>
      </c>
      <c r="U3723" s="84" t="n">
        <f aca="false">IF(AND(R3723=1,ISNUMBER(T3723)),E3723-T3723,"")</f>
        <v>-1.88430214325773</v>
      </c>
      <c r="V3723" s="84" t="n">
        <f aca="false">IF(ISNUMBER(T3723),T3723,-99)</f>
        <v>24.2843021432577</v>
      </c>
      <c r="W3723" s="84" t="n">
        <f aca="false">IF(ISNUMBER(U3723),ABS(U3723),"")</f>
        <v>1.88430214325773</v>
      </c>
    </row>
    <row r="3724" customFormat="false" ht="15" hidden="false" customHeight="false" outlineLevel="0" collapsed="false">
      <c r="A3724" s="57" t="n">
        <v>37792</v>
      </c>
      <c r="B3724" s="56" t="n">
        <v>2003</v>
      </c>
      <c r="C3724" s="56" t="n">
        <v>6</v>
      </c>
      <c r="D3724" s="56" t="n">
        <v>51</v>
      </c>
      <c r="E3724" s="56" t="n">
        <v>25.3</v>
      </c>
      <c r="F3724" s="56" t="n">
        <v>0</v>
      </c>
      <c r="G3724" s="56" t="n">
        <v>12</v>
      </c>
      <c r="H3724" s="56" t="n">
        <v>0</v>
      </c>
      <c r="I3724" s="56" t="n">
        <v>17.2</v>
      </c>
      <c r="J3724" s="56" t="n">
        <v>0</v>
      </c>
      <c r="K3724" s="56" t="n">
        <v>1022.3</v>
      </c>
      <c r="L3724" s="56" t="n">
        <v>0</v>
      </c>
      <c r="M3724" s="56" t="n">
        <v>59</v>
      </c>
      <c r="N3724" s="56" t="n">
        <v>15.4</v>
      </c>
      <c r="O3724" s="56" t="n">
        <f aca="false">IF(D3724=1,"",E3723)</f>
        <v>22.4</v>
      </c>
      <c r="P3724" s="56" t="n">
        <f aca="false">IF(OR(D3724=1,K3723=""),"",K3723)</f>
        <v>1021.1</v>
      </c>
      <c r="Q3724" s="56" t="n">
        <f aca="false">IF(OR(F3724&lt;&gt;0,AND(I3724&lt;&gt;"",E3724&lt;I3724)),1,0)</f>
        <v>0</v>
      </c>
      <c r="R3724" s="56" t="n">
        <f aca="false">IF(AND(D3724&gt;1,Q3724=0,ISNUMBER(O3724),ISNUMBER(P3724)),IF(Q3723=0,1,0),0)</f>
        <v>1</v>
      </c>
      <c r="S3724" s="56" t="n">
        <f aca="false">R3724*(B3724&gt;=Train_Start)*(B3724&lt;=Train_End)</f>
        <v>0</v>
      </c>
      <c r="T3724" s="84" t="n">
        <f aca="false">IF(AND(ISNUMBER(O3724),ISNUMBER(P3724)),Coef_A+Coef_B1*O3724+Coef_B2*P3724,"")</f>
        <v>22.4719727569178</v>
      </c>
      <c r="U3724" s="84" t="n">
        <f aca="false">IF(AND(R3724=1,ISNUMBER(T3724)),E3724-T3724,"")</f>
        <v>2.82802724308221</v>
      </c>
      <c r="V3724" s="84" t="n">
        <f aca="false">IF(ISNUMBER(T3724),T3724,-99)</f>
        <v>22.4719727569178</v>
      </c>
      <c r="W3724" s="84" t="n">
        <f aca="false">IF(ISNUMBER(U3724),ABS(U3724),"")</f>
        <v>2.82802724308221</v>
      </c>
    </row>
    <row r="3725" customFormat="false" ht="15" hidden="false" customHeight="false" outlineLevel="0" collapsed="false">
      <c r="A3725" s="57" t="n">
        <v>37793</v>
      </c>
      <c r="B3725" s="56" t="n">
        <v>2003</v>
      </c>
      <c r="C3725" s="56" t="n">
        <v>6</v>
      </c>
      <c r="D3725" s="56" t="n">
        <v>52</v>
      </c>
      <c r="E3725" s="56" t="n">
        <v>25.7</v>
      </c>
      <c r="F3725" s="56" t="n">
        <v>0</v>
      </c>
      <c r="G3725" s="56" t="n">
        <v>11.6</v>
      </c>
      <c r="H3725" s="56" t="n">
        <v>0</v>
      </c>
      <c r="I3725" s="56" t="n">
        <v>18.4</v>
      </c>
      <c r="J3725" s="56" t="n">
        <v>0</v>
      </c>
      <c r="K3725" s="56" t="n">
        <v>1019</v>
      </c>
      <c r="L3725" s="56" t="n">
        <v>0</v>
      </c>
      <c r="M3725" s="56" t="n">
        <v>51</v>
      </c>
      <c r="N3725" s="56" t="n">
        <v>12.3</v>
      </c>
      <c r="O3725" s="56" t="n">
        <f aca="false">IF(D3725=1,"",E3724)</f>
        <v>25.3</v>
      </c>
      <c r="P3725" s="56" t="n">
        <f aca="false">IF(OR(D3725=1,K3724=""),"",K3724)</f>
        <v>1022.3</v>
      </c>
      <c r="Q3725" s="56" t="n">
        <f aca="false">IF(OR(F3725&lt;&gt;0,AND(I3725&lt;&gt;"",E3725&lt;I3725)),1,0)</f>
        <v>0</v>
      </c>
      <c r="R3725" s="56" t="n">
        <f aca="false">IF(AND(D3725&gt;1,Q3725=0,ISNUMBER(O3725),ISNUMBER(P3725)),IF(Q3724=0,1,0),0)</f>
        <v>1</v>
      </c>
      <c r="S3725" s="56" t="n">
        <f aca="false">R3725*(B3725&gt;=Train_Start)*(B3725&lt;=Train_End)</f>
        <v>0</v>
      </c>
      <c r="T3725" s="84" t="n">
        <f aca="false">IF(AND(ISNUMBER(O3725),ISNUMBER(P3725)),Coef_A+Coef_B1*O3725+Coef_B2*P3725,"")</f>
        <v>24.8857002903023</v>
      </c>
      <c r="U3725" s="84" t="n">
        <f aca="false">IF(AND(R3725=1,ISNUMBER(T3725)),E3725-T3725,"")</f>
        <v>0.814299709697707</v>
      </c>
      <c r="V3725" s="84" t="n">
        <f aca="false">IF(ISNUMBER(T3725),T3725,-99)</f>
        <v>24.8857002903023</v>
      </c>
      <c r="W3725" s="84" t="n">
        <f aca="false">IF(ISNUMBER(U3725),ABS(U3725),"")</f>
        <v>0.814299709697707</v>
      </c>
    </row>
    <row r="3726" customFormat="false" ht="15" hidden="false" customHeight="false" outlineLevel="0" collapsed="false">
      <c r="A3726" s="57" t="n">
        <v>37794</v>
      </c>
      <c r="B3726" s="56" t="n">
        <v>2003</v>
      </c>
      <c r="C3726" s="56" t="n">
        <v>6</v>
      </c>
      <c r="D3726" s="56" t="n">
        <v>53</v>
      </c>
      <c r="E3726" s="56" t="n">
        <v>23.4</v>
      </c>
      <c r="F3726" s="56" t="n">
        <v>0</v>
      </c>
      <c r="G3726" s="56" t="n">
        <v>14.9</v>
      </c>
      <c r="H3726" s="56" t="n">
        <v>0</v>
      </c>
      <c r="I3726" s="56" t="n">
        <v>20.3</v>
      </c>
      <c r="J3726" s="56" t="n">
        <v>0</v>
      </c>
      <c r="K3726" s="56" t="n">
        <v>1008.6</v>
      </c>
      <c r="L3726" s="56" t="n">
        <v>0</v>
      </c>
      <c r="M3726" s="56" t="n">
        <v>68</v>
      </c>
      <c r="N3726" s="56" t="n">
        <v>1.4</v>
      </c>
      <c r="O3726" s="56" t="n">
        <f aca="false">IF(D3726=1,"",E3725)</f>
        <v>25.7</v>
      </c>
      <c r="P3726" s="56" t="n">
        <f aca="false">IF(OR(D3726=1,K3725=""),"",K3725)</f>
        <v>1019</v>
      </c>
      <c r="Q3726" s="56" t="n">
        <f aca="false">IF(OR(F3726&lt;&gt;0,AND(I3726&lt;&gt;"",E3726&lt;I3726)),1,0)</f>
        <v>0</v>
      </c>
      <c r="R3726" s="56" t="n">
        <f aca="false">IF(AND(D3726&gt;1,Q3726=0,ISNUMBER(O3726),ISNUMBER(P3726)),IF(Q3725=0,1,0),0)</f>
        <v>1</v>
      </c>
      <c r="S3726" s="56" t="n">
        <f aca="false">R3726*(B3726&gt;=Train_Start)*(B3726&lt;=Train_End)</f>
        <v>0</v>
      </c>
      <c r="T3726" s="84" t="n">
        <f aca="false">IF(AND(ISNUMBER(O3726),ISNUMBER(P3726)),Coef_A+Coef_B1*O3726+Coef_B2*P3726,"")</f>
        <v>25.1099153152272</v>
      </c>
      <c r="U3726" s="84" t="n">
        <f aca="false">IF(AND(R3726=1,ISNUMBER(T3726)),E3726-T3726,"")</f>
        <v>-1.70991531522719</v>
      </c>
      <c r="V3726" s="84" t="n">
        <f aca="false">IF(ISNUMBER(T3726),T3726,-99)</f>
        <v>25.1099153152272</v>
      </c>
      <c r="W3726" s="84" t="n">
        <f aca="false">IF(ISNUMBER(U3726),ABS(U3726),"")</f>
        <v>1.70991531522719</v>
      </c>
    </row>
    <row r="3727" customFormat="false" ht="15" hidden="false" customHeight="false" outlineLevel="0" collapsed="false">
      <c r="A3727" s="57" t="n">
        <v>37795</v>
      </c>
      <c r="B3727" s="56" t="n">
        <v>2003</v>
      </c>
      <c r="C3727" s="56" t="n">
        <v>6</v>
      </c>
      <c r="D3727" s="56" t="n">
        <v>54</v>
      </c>
      <c r="E3727" s="56" t="n">
        <v>23.6</v>
      </c>
      <c r="F3727" s="56" t="n">
        <v>0</v>
      </c>
      <c r="G3727" s="56" t="n">
        <v>15.8</v>
      </c>
      <c r="H3727" s="56" t="n">
        <v>0</v>
      </c>
      <c r="I3727" s="56" t="n">
        <v>19.6</v>
      </c>
      <c r="J3727" s="56" t="n">
        <v>0</v>
      </c>
      <c r="K3727" s="56" t="n">
        <v>1009.2</v>
      </c>
      <c r="L3727" s="56" t="n">
        <v>0</v>
      </c>
      <c r="M3727" s="56" t="n">
        <v>71</v>
      </c>
      <c r="N3727" s="56" t="n">
        <v>8.4</v>
      </c>
      <c r="O3727" s="56" t="n">
        <f aca="false">IF(D3727=1,"",E3726)</f>
        <v>23.4</v>
      </c>
      <c r="P3727" s="56" t="n">
        <f aca="false">IF(OR(D3727=1,K3726=""),"",K3726)</f>
        <v>1008.6</v>
      </c>
      <c r="Q3727" s="56" t="n">
        <f aca="false">IF(OR(F3727&lt;&gt;0,AND(I3727&lt;&gt;"",E3727&lt;I3727)),1,0)</f>
        <v>0</v>
      </c>
      <c r="R3727" s="56" t="n">
        <f aca="false">IF(AND(D3727&gt;1,Q3727=0,ISNUMBER(O3727),ISNUMBER(P3727)),IF(Q3726=0,1,0),0)</f>
        <v>1</v>
      </c>
      <c r="S3727" s="56" t="n">
        <f aca="false">R3727*(B3727&gt;=Train_Start)*(B3727&lt;=Train_End)</f>
        <v>0</v>
      </c>
      <c r="T3727" s="84" t="n">
        <f aca="false">IF(AND(ISNUMBER(O3727),ISNUMBER(P3727)),Coef_A+Coef_B1*O3727+Coef_B2*P3727,"")</f>
        <v>22.8991882670356</v>
      </c>
      <c r="U3727" s="84" t="n">
        <f aca="false">IF(AND(R3727=1,ISNUMBER(T3727)),E3727-T3727,"")</f>
        <v>0.700811732964414</v>
      </c>
      <c r="V3727" s="84" t="n">
        <f aca="false">IF(ISNUMBER(T3727),T3727,-99)</f>
        <v>22.8991882670356</v>
      </c>
      <c r="W3727" s="84" t="n">
        <f aca="false">IF(ISNUMBER(U3727),ABS(U3727),"")</f>
        <v>0.700811732964414</v>
      </c>
    </row>
    <row r="3728" customFormat="false" ht="15" hidden="false" customHeight="false" outlineLevel="0" collapsed="false">
      <c r="A3728" s="57" t="n">
        <v>37796</v>
      </c>
      <c r="B3728" s="56" t="n">
        <v>2003</v>
      </c>
      <c r="C3728" s="56" t="n">
        <v>6</v>
      </c>
      <c r="D3728" s="56" t="n">
        <v>55</v>
      </c>
      <c r="E3728" s="56" t="n">
        <v>22.8</v>
      </c>
      <c r="F3728" s="56" t="n">
        <v>0</v>
      </c>
      <c r="G3728" s="56" t="n">
        <v>11.1</v>
      </c>
      <c r="H3728" s="56" t="n">
        <v>0</v>
      </c>
      <c r="I3728" s="56" t="n">
        <v>17.4</v>
      </c>
      <c r="J3728" s="56" t="n">
        <v>0</v>
      </c>
      <c r="K3728" s="56" t="n">
        <v>1020.1</v>
      </c>
      <c r="L3728" s="56" t="n">
        <v>0</v>
      </c>
      <c r="M3728" s="56" t="n">
        <v>60</v>
      </c>
      <c r="N3728" s="56" t="n">
        <v>15.4</v>
      </c>
      <c r="O3728" s="56" t="n">
        <f aca="false">IF(D3728=1,"",E3727)</f>
        <v>23.6</v>
      </c>
      <c r="P3728" s="56" t="n">
        <f aca="false">IF(OR(D3728=1,K3727=""),"",K3727)</f>
        <v>1009.2</v>
      </c>
      <c r="Q3728" s="56" t="n">
        <f aca="false">IF(OR(F3728&lt;&gt;0,AND(I3728&lt;&gt;"",E3728&lt;I3728)),1,0)</f>
        <v>0</v>
      </c>
      <c r="R3728" s="56" t="n">
        <f aca="false">IF(AND(D3728&gt;1,Q3728=0,ISNUMBER(O3728),ISNUMBER(P3728)),IF(Q3727=0,1,0),0)</f>
        <v>1</v>
      </c>
      <c r="S3728" s="56" t="n">
        <f aca="false">R3728*(B3728&gt;=Train_Start)*(B3728&lt;=Train_End)</f>
        <v>0</v>
      </c>
      <c r="T3728" s="84" t="n">
        <f aca="false">IF(AND(ISNUMBER(O3728),ISNUMBER(P3728)),Coef_A+Coef_B1*O3728+Coef_B2*P3728,"")</f>
        <v>23.0818780424245</v>
      </c>
      <c r="U3728" s="84" t="n">
        <f aca="false">IF(AND(R3728=1,ISNUMBER(T3728)),E3728-T3728,"")</f>
        <v>-0.281878042424516</v>
      </c>
      <c r="V3728" s="84" t="n">
        <f aca="false">IF(ISNUMBER(T3728),T3728,-99)</f>
        <v>23.0818780424245</v>
      </c>
      <c r="W3728" s="84" t="n">
        <f aca="false">IF(ISNUMBER(U3728),ABS(U3728),"")</f>
        <v>0.281878042424516</v>
      </c>
    </row>
    <row r="3729" customFormat="false" ht="15" hidden="false" customHeight="false" outlineLevel="0" collapsed="false">
      <c r="A3729" s="57" t="n">
        <v>37797</v>
      </c>
      <c r="B3729" s="56" t="n">
        <v>2003</v>
      </c>
      <c r="C3729" s="56" t="n">
        <v>6</v>
      </c>
      <c r="D3729" s="56" t="n">
        <v>56</v>
      </c>
      <c r="E3729" s="56" t="n">
        <v>24.4</v>
      </c>
      <c r="F3729" s="56" t="n">
        <v>0</v>
      </c>
      <c r="G3729" s="56" t="n">
        <v>13.4</v>
      </c>
      <c r="H3729" s="56" t="n">
        <v>0</v>
      </c>
      <c r="I3729" s="56" t="n">
        <v>18.1</v>
      </c>
      <c r="J3729" s="56" t="n">
        <v>0</v>
      </c>
      <c r="K3729" s="56" t="n">
        <v>1021.3</v>
      </c>
      <c r="L3729" s="56" t="n">
        <v>0</v>
      </c>
      <c r="M3729" s="56" t="n">
        <v>60</v>
      </c>
      <c r="N3729" s="56" t="n">
        <v>10.4</v>
      </c>
      <c r="O3729" s="56" t="n">
        <f aca="false">IF(D3729=1,"",E3728)</f>
        <v>22.8</v>
      </c>
      <c r="P3729" s="56" t="n">
        <f aca="false">IF(OR(D3729=1,K3728=""),"",K3728)</f>
        <v>1020.1</v>
      </c>
      <c r="Q3729" s="56" t="n">
        <f aca="false">IF(OR(F3729&lt;&gt;0,AND(I3729&lt;&gt;"",E3729&lt;I3729)),1,0)</f>
        <v>0</v>
      </c>
      <c r="R3729" s="56" t="n">
        <f aca="false">IF(AND(D3729&gt;1,Q3729=0,ISNUMBER(O3729),ISNUMBER(P3729)),IF(Q3728=0,1,0),0)</f>
        <v>1</v>
      </c>
      <c r="S3729" s="56" t="n">
        <f aca="false">R3729*(B3729&gt;=Train_Start)*(B3729&lt;=Train_End)</f>
        <v>0</v>
      </c>
      <c r="T3729" s="84" t="n">
        <f aca="false">IF(AND(ISNUMBER(O3729),ISNUMBER(P3729)),Coef_A+Coef_B1*O3729+Coef_B2*P3729,"")</f>
        <v>22.7683385395009</v>
      </c>
      <c r="U3729" s="84" t="n">
        <f aca="false">IF(AND(R3729=1,ISNUMBER(T3729)),E3729-T3729,"")</f>
        <v>1.63166146049913</v>
      </c>
      <c r="V3729" s="84" t="n">
        <f aca="false">IF(ISNUMBER(T3729),T3729,-99)</f>
        <v>22.7683385395009</v>
      </c>
      <c r="W3729" s="84" t="n">
        <f aca="false">IF(ISNUMBER(U3729),ABS(U3729),"")</f>
        <v>1.63166146049913</v>
      </c>
    </row>
    <row r="3730" customFormat="false" ht="15" hidden="false" customHeight="false" outlineLevel="0" collapsed="false">
      <c r="A3730" s="57" t="n">
        <v>37798</v>
      </c>
      <c r="B3730" s="56" t="n">
        <v>2003</v>
      </c>
      <c r="C3730" s="56" t="n">
        <v>6</v>
      </c>
      <c r="D3730" s="56" t="n">
        <v>57</v>
      </c>
      <c r="E3730" s="56" t="n">
        <v>22.3</v>
      </c>
      <c r="F3730" s="56" t="n">
        <v>0</v>
      </c>
      <c r="G3730" s="56" t="n">
        <v>14.9</v>
      </c>
      <c r="H3730" s="56" t="n">
        <v>0</v>
      </c>
      <c r="I3730" s="56" t="n">
        <v>19.6</v>
      </c>
      <c r="J3730" s="56" t="n">
        <v>0</v>
      </c>
      <c r="K3730" s="56" t="n">
        <v>1016.5</v>
      </c>
      <c r="L3730" s="56" t="n">
        <v>0</v>
      </c>
      <c r="M3730" s="56" t="n">
        <v>67</v>
      </c>
      <c r="N3730" s="56" t="n">
        <v>7.7</v>
      </c>
      <c r="O3730" s="56" t="n">
        <f aca="false">IF(D3730=1,"",E3729)</f>
        <v>24.4</v>
      </c>
      <c r="P3730" s="56" t="n">
        <f aca="false">IF(OR(D3730=1,K3729=""),"",K3729)</f>
        <v>1021.3</v>
      </c>
      <c r="Q3730" s="56" t="n">
        <f aca="false">IF(OR(F3730&lt;&gt;0,AND(I3730&lt;&gt;"",E3730&lt;I3730)),1,0)</f>
        <v>0</v>
      </c>
      <c r="R3730" s="56" t="n">
        <f aca="false">IF(AND(D3730&gt;1,Q3730=0,ISNUMBER(O3730),ISNUMBER(P3730)),IF(Q3729=0,1,0),0)</f>
        <v>1</v>
      </c>
      <c r="S3730" s="56" t="n">
        <f aca="false">R3730*(B3730&gt;=Train_Start)*(B3730&lt;=Train_End)</f>
        <v>0</v>
      </c>
      <c r="T3730" s="84" t="n">
        <f aca="false">IF(AND(ISNUMBER(O3730),ISNUMBER(P3730)),Coef_A+Coef_B1*O3730+Coef_B2*P3730,"")</f>
        <v>24.1169251219299</v>
      </c>
      <c r="U3730" s="84" t="n">
        <f aca="false">IF(AND(R3730=1,ISNUMBER(T3730)),E3730-T3730,"")</f>
        <v>-1.81692512192991</v>
      </c>
      <c r="V3730" s="84" t="n">
        <f aca="false">IF(ISNUMBER(T3730),T3730,-99)</f>
        <v>24.1169251219299</v>
      </c>
      <c r="W3730" s="84" t="n">
        <f aca="false">IF(ISNUMBER(U3730),ABS(U3730),"")</f>
        <v>1.81692512192991</v>
      </c>
    </row>
    <row r="3731" customFormat="false" ht="15" hidden="false" customHeight="false" outlineLevel="0" collapsed="false">
      <c r="A3731" s="57" t="n">
        <v>37799</v>
      </c>
      <c r="B3731" s="56" t="n">
        <v>2003</v>
      </c>
      <c r="C3731" s="56" t="n">
        <v>6</v>
      </c>
      <c r="D3731" s="56" t="n">
        <v>58</v>
      </c>
      <c r="E3731" s="56" t="n">
        <v>22.5</v>
      </c>
      <c r="F3731" s="56" t="n">
        <v>0</v>
      </c>
      <c r="G3731" s="56" t="n">
        <v>15.8</v>
      </c>
      <c r="H3731" s="56" t="n">
        <v>0</v>
      </c>
      <c r="I3731" s="56" t="n">
        <v>19</v>
      </c>
      <c r="J3731" s="56" t="n">
        <v>0</v>
      </c>
      <c r="K3731" s="56" t="n">
        <v>1015.7</v>
      </c>
      <c r="L3731" s="56" t="n">
        <v>0</v>
      </c>
      <c r="M3731" s="56" t="n">
        <v>74</v>
      </c>
      <c r="N3731" s="56" t="n">
        <v>0.1</v>
      </c>
      <c r="O3731" s="56" t="n">
        <f aca="false">IF(D3731=1,"",E3730)</f>
        <v>22.3</v>
      </c>
      <c r="P3731" s="56" t="n">
        <f aca="false">IF(OR(D3731=1,K3730=""),"",K3730)</f>
        <v>1016.5</v>
      </c>
      <c r="Q3731" s="56" t="n">
        <f aca="false">IF(OR(F3731&lt;&gt;0,AND(I3731&lt;&gt;"",E3731&lt;I3731)),1,0)</f>
        <v>0</v>
      </c>
      <c r="R3731" s="56" t="n">
        <f aca="false">IF(AND(D3731&gt;1,Q3731=0,ISNUMBER(O3731),ISNUMBER(P3731)),IF(Q3730=0,1,0),0)</f>
        <v>1</v>
      </c>
      <c r="S3731" s="56" t="n">
        <f aca="false">R3731*(B3731&gt;=Train_Start)*(B3731&lt;=Train_End)</f>
        <v>0</v>
      </c>
      <c r="T3731" s="84" t="n">
        <f aca="false">IF(AND(ISNUMBER(O3731),ISNUMBER(P3731)),Coef_A+Coef_B1*O3731+Coef_B2*P3731,"")</f>
        <v>22.2457373222972</v>
      </c>
      <c r="U3731" s="84" t="n">
        <f aca="false">IF(AND(R3731=1,ISNUMBER(T3731)),E3731-T3731,"")</f>
        <v>0.254262677702819</v>
      </c>
      <c r="V3731" s="84" t="n">
        <f aca="false">IF(ISNUMBER(T3731),T3731,-99)</f>
        <v>22.2457373222972</v>
      </c>
      <c r="W3731" s="84" t="n">
        <f aca="false">IF(ISNUMBER(U3731),ABS(U3731),"")</f>
        <v>0.254262677702819</v>
      </c>
    </row>
    <row r="3732" customFormat="false" ht="15" hidden="false" customHeight="false" outlineLevel="0" collapsed="false">
      <c r="A3732" s="57" t="n">
        <v>37800</v>
      </c>
      <c r="B3732" s="56" t="n">
        <v>2003</v>
      </c>
      <c r="C3732" s="56" t="n">
        <v>6</v>
      </c>
      <c r="D3732" s="56" t="n">
        <v>59</v>
      </c>
      <c r="E3732" s="56" t="n">
        <v>26.3</v>
      </c>
      <c r="F3732" s="56" t="n">
        <v>0</v>
      </c>
      <c r="G3732" s="56" t="n">
        <v>10.7</v>
      </c>
      <c r="H3732" s="56" t="n">
        <v>0</v>
      </c>
      <c r="I3732" s="56" t="n">
        <v>16.6</v>
      </c>
      <c r="J3732" s="56" t="n">
        <v>0</v>
      </c>
      <c r="K3732" s="56" t="n">
        <v>1015.2</v>
      </c>
      <c r="L3732" s="56" t="n">
        <v>0</v>
      </c>
      <c r="M3732" s="56" t="n">
        <v>62</v>
      </c>
      <c r="N3732" s="56" t="n">
        <v>10.5</v>
      </c>
      <c r="O3732" s="56" t="n">
        <f aca="false">IF(D3732=1,"",E3731)</f>
        <v>22.5</v>
      </c>
      <c r="P3732" s="56" t="n">
        <f aca="false">IF(OR(D3732=1,K3731=""),"",K3731)</f>
        <v>1015.7</v>
      </c>
      <c r="Q3732" s="56" t="n">
        <f aca="false">IF(OR(F3732&lt;&gt;0,AND(I3732&lt;&gt;"",E3732&lt;I3732)),1,0)</f>
        <v>0</v>
      </c>
      <c r="R3732" s="56" t="n">
        <f aca="false">IF(AND(D3732&gt;1,Q3732=0,ISNUMBER(O3732),ISNUMBER(P3732)),IF(Q3731=0,1,0),0)</f>
        <v>1</v>
      </c>
      <c r="S3732" s="56" t="n">
        <f aca="false">R3732*(B3732&gt;=Train_Start)*(B3732&lt;=Train_End)</f>
        <v>0</v>
      </c>
      <c r="T3732" s="84" t="n">
        <f aca="false">IF(AND(ISNUMBER(O3732),ISNUMBER(P3732)),Coef_A+Coef_B1*O3732+Coef_B2*P3732,"")</f>
        <v>22.3845092451985</v>
      </c>
      <c r="U3732" s="84" t="n">
        <f aca="false">IF(AND(R3732=1,ISNUMBER(T3732)),E3732-T3732,"")</f>
        <v>3.91549075480148</v>
      </c>
      <c r="V3732" s="84" t="n">
        <f aca="false">IF(ISNUMBER(T3732),T3732,-99)</f>
        <v>22.3845092451985</v>
      </c>
      <c r="W3732" s="84" t="n">
        <f aca="false">IF(ISNUMBER(U3732),ABS(U3732),"")</f>
        <v>3.91549075480148</v>
      </c>
    </row>
    <row r="3733" customFormat="false" ht="15" hidden="false" customHeight="false" outlineLevel="0" collapsed="false">
      <c r="A3733" s="57" t="n">
        <v>37801</v>
      </c>
      <c r="B3733" s="56" t="n">
        <v>2003</v>
      </c>
      <c r="C3733" s="56" t="n">
        <v>6</v>
      </c>
      <c r="D3733" s="56" t="n">
        <v>60</v>
      </c>
      <c r="E3733" s="56" t="n">
        <v>21.2</v>
      </c>
      <c r="F3733" s="56" t="n">
        <v>0</v>
      </c>
      <c r="G3733" s="56" t="n">
        <v>10.9</v>
      </c>
      <c r="H3733" s="56" t="n">
        <v>0</v>
      </c>
      <c r="I3733" s="56" t="n">
        <v>18.6</v>
      </c>
      <c r="J3733" s="56" t="n">
        <v>0</v>
      </c>
      <c r="K3733" s="56" t="n">
        <v>1008.7</v>
      </c>
      <c r="L3733" s="56" t="n">
        <v>0</v>
      </c>
      <c r="M3733" s="56" t="n">
        <v>54</v>
      </c>
      <c r="N3733" s="56" t="n">
        <v>11.8</v>
      </c>
      <c r="O3733" s="56" t="n">
        <f aca="false">IF(D3733=1,"",E3732)</f>
        <v>26.3</v>
      </c>
      <c r="P3733" s="56" t="n">
        <f aca="false">IF(OR(D3733=1,K3732=""),"",K3732)</f>
        <v>1015.2</v>
      </c>
      <c r="Q3733" s="56" t="n">
        <f aca="false">IF(OR(F3733&lt;&gt;0,AND(I3733&lt;&gt;"",E3733&lt;I3733)),1,0)</f>
        <v>0</v>
      </c>
      <c r="R3733" s="56" t="n">
        <f aca="false">IF(AND(D3733&gt;1,Q3733=0,ISNUMBER(O3733),ISNUMBER(P3733)),IF(Q3732=0,1,0),0)</f>
        <v>1</v>
      </c>
      <c r="S3733" s="56" t="n">
        <f aca="false">R3733*(B3733&gt;=Train_Start)*(B3733&lt;=Train_End)</f>
        <v>0</v>
      </c>
      <c r="T3733" s="84" t="n">
        <f aca="false">IF(AND(ISNUMBER(O3733),ISNUMBER(P3733)),Coef_A+Coef_B1*O3733+Coef_B2*P3733,"")</f>
        <v>25.4823132314436</v>
      </c>
      <c r="U3733" s="84" t="n">
        <f aca="false">IF(AND(R3733=1,ISNUMBER(T3733)),E3733-T3733,"")</f>
        <v>-4.28231323144363</v>
      </c>
      <c r="V3733" s="84" t="n">
        <f aca="false">IF(ISNUMBER(T3733),T3733,-99)</f>
        <v>25.4823132314436</v>
      </c>
      <c r="W3733" s="84" t="n">
        <f aca="false">IF(ISNUMBER(U3733),ABS(U3733),"")</f>
        <v>4.28231323144363</v>
      </c>
    </row>
    <row r="3734" customFormat="false" ht="15" hidden="false" customHeight="false" outlineLevel="0" collapsed="false">
      <c r="A3734" s="57" t="n">
        <v>37802</v>
      </c>
      <c r="B3734" s="56" t="n">
        <v>2003</v>
      </c>
      <c r="C3734" s="56" t="n">
        <v>6</v>
      </c>
      <c r="D3734" s="56" t="n">
        <v>61</v>
      </c>
      <c r="E3734" s="56" t="n">
        <v>20.3</v>
      </c>
      <c r="F3734" s="56" t="n">
        <v>0</v>
      </c>
      <c r="G3734" s="56" t="n">
        <v>15.4</v>
      </c>
      <c r="H3734" s="56" t="n">
        <v>0</v>
      </c>
      <c r="I3734" s="56" t="n">
        <v>18.3</v>
      </c>
      <c r="J3734" s="56" t="n">
        <v>0</v>
      </c>
      <c r="K3734" s="56" t="n">
        <v>1002.5</v>
      </c>
      <c r="L3734" s="56" t="n">
        <v>0</v>
      </c>
      <c r="M3734" s="56" t="n">
        <v>77</v>
      </c>
      <c r="N3734" s="56" t="n">
        <v>2.8</v>
      </c>
      <c r="O3734" s="56" t="n">
        <f aca="false">IF(D3734=1,"",E3733)</f>
        <v>21.2</v>
      </c>
      <c r="P3734" s="56" t="n">
        <f aca="false">IF(OR(D3734=1,K3733=""),"",K3733)</f>
        <v>1008.7</v>
      </c>
      <c r="Q3734" s="56" t="n">
        <f aca="false">IF(OR(F3734&lt;&gt;0,AND(I3734&lt;&gt;"",E3734&lt;I3734)),1,0)</f>
        <v>0</v>
      </c>
      <c r="R3734" s="56" t="n">
        <f aca="false">IF(AND(D3734&gt;1,Q3734=0,ISNUMBER(O3734),ISNUMBER(P3734)),IF(Q3733=0,1,0),0)</f>
        <v>1</v>
      </c>
      <c r="S3734" s="56" t="n">
        <f aca="false">R3734*(B3734&gt;=Train_Start)*(B3734&lt;=Train_End)</f>
        <v>0</v>
      </c>
      <c r="T3734" s="84" t="n">
        <f aca="false">IF(AND(ISNUMBER(O3734),ISNUMBER(P3734)),Coef_A+Coef_B1*O3734+Coef_B2*P3734,"")</f>
        <v>21.0997790318051</v>
      </c>
      <c r="U3734" s="84" t="n">
        <f aca="false">IF(AND(R3734=1,ISNUMBER(T3734)),E3734-T3734,"")</f>
        <v>-0.799779031805141</v>
      </c>
      <c r="V3734" s="84" t="n">
        <f aca="false">IF(ISNUMBER(T3734),T3734,-99)</f>
        <v>21.0997790318051</v>
      </c>
      <c r="W3734" s="84" t="n">
        <f aca="false">IF(ISNUMBER(U3734),ABS(U3734),"")</f>
        <v>0.799779031805141</v>
      </c>
    </row>
    <row r="3735" customFormat="false" ht="15" hidden="false" customHeight="false" outlineLevel="0" collapsed="false">
      <c r="A3735" s="57" t="n">
        <v>37803</v>
      </c>
      <c r="B3735" s="56" t="n">
        <v>2003</v>
      </c>
      <c r="C3735" s="56" t="n">
        <v>7</v>
      </c>
      <c r="D3735" s="56" t="n">
        <v>62</v>
      </c>
      <c r="E3735" s="56" t="n">
        <v>20.4</v>
      </c>
      <c r="F3735" s="56" t="n">
        <v>0</v>
      </c>
      <c r="G3735" s="56" t="n">
        <v>13.8</v>
      </c>
      <c r="H3735" s="56" t="n">
        <v>0</v>
      </c>
      <c r="I3735" s="56" t="n">
        <v>17</v>
      </c>
      <c r="J3735" s="56" t="n">
        <v>0</v>
      </c>
      <c r="K3735" s="56" t="n">
        <v>999.4</v>
      </c>
      <c r="L3735" s="56" t="n">
        <v>0</v>
      </c>
      <c r="M3735" s="56" t="n">
        <v>76</v>
      </c>
      <c r="N3735" s="56" t="n">
        <v>1.2</v>
      </c>
      <c r="O3735" s="56" t="n">
        <f aca="false">IF(D3735=1,"",E3734)</f>
        <v>20.3</v>
      </c>
      <c r="P3735" s="56" t="n">
        <f aca="false">IF(OR(D3735=1,K3734=""),"",K3734)</f>
        <v>1002.5</v>
      </c>
      <c r="Q3735" s="56" t="n">
        <f aca="false">IF(OR(F3735&lt;&gt;0,AND(I3735&lt;&gt;"",E3735&lt;I3735)),1,0)</f>
        <v>0</v>
      </c>
      <c r="R3735" s="56" t="n">
        <f aca="false">IF(AND(D3735&gt;1,Q3735=0,ISNUMBER(O3735),ISNUMBER(P3735)),IF(Q3734=0,1,0),0)</f>
        <v>1</v>
      </c>
      <c r="S3735" s="56" t="n">
        <f aca="false">R3735*(B3735&gt;=Train_Start)*(B3735&lt;=Train_End)</f>
        <v>0</v>
      </c>
      <c r="T3735" s="84" t="n">
        <f aca="false">IF(AND(ISNUMBER(O3735),ISNUMBER(P3735)),Coef_A+Coef_B1*O3735+Coef_B2*P3735,"")</f>
        <v>20.167880411336</v>
      </c>
      <c r="U3735" s="84" t="n">
        <f aca="false">IF(AND(R3735=1,ISNUMBER(T3735)),E3735-T3735,"")</f>
        <v>0.232119588663988</v>
      </c>
      <c r="V3735" s="84" t="n">
        <f aca="false">IF(ISNUMBER(T3735),T3735,-99)</f>
        <v>20.167880411336</v>
      </c>
      <c r="W3735" s="84" t="n">
        <f aca="false">IF(ISNUMBER(U3735),ABS(U3735),"")</f>
        <v>0.232119588663988</v>
      </c>
    </row>
    <row r="3736" customFormat="false" ht="15" hidden="false" customHeight="false" outlineLevel="0" collapsed="false">
      <c r="A3736" s="57" t="n">
        <v>37804</v>
      </c>
      <c r="B3736" s="56" t="n">
        <v>2003</v>
      </c>
      <c r="C3736" s="56" t="n">
        <v>7</v>
      </c>
      <c r="D3736" s="56" t="n">
        <v>63</v>
      </c>
      <c r="E3736" s="56" t="n">
        <v>19.8</v>
      </c>
      <c r="F3736" s="56" t="n">
        <v>0</v>
      </c>
      <c r="G3736" s="56" t="n">
        <v>14.4</v>
      </c>
      <c r="H3736" s="56" t="n">
        <v>0</v>
      </c>
      <c r="I3736" s="56" t="n">
        <v>17.4</v>
      </c>
      <c r="J3736" s="56" t="n">
        <v>0</v>
      </c>
      <c r="K3736" s="56" t="n">
        <v>1005.3</v>
      </c>
      <c r="L3736" s="56" t="n">
        <v>0</v>
      </c>
      <c r="M3736" s="56" t="n">
        <v>76</v>
      </c>
      <c r="N3736" s="56" t="n">
        <v>1.5</v>
      </c>
      <c r="O3736" s="56" t="n">
        <f aca="false">IF(D3736=1,"",E3735)</f>
        <v>20.4</v>
      </c>
      <c r="P3736" s="56" t="n">
        <f aca="false">IF(OR(D3736=1,K3735=""),"",K3735)</f>
        <v>999.4</v>
      </c>
      <c r="Q3736" s="56" t="n">
        <f aca="false">IF(OR(F3736&lt;&gt;0,AND(I3736&lt;&gt;"",E3736&lt;I3736)),1,0)</f>
        <v>0</v>
      </c>
      <c r="R3736" s="56" t="n">
        <f aca="false">IF(AND(D3736&gt;1,Q3736=0,ISNUMBER(O3736),ISNUMBER(P3736)),IF(Q3735=0,1,0),0)</f>
        <v>1</v>
      </c>
      <c r="S3736" s="56" t="n">
        <f aca="false">R3736*(B3736&gt;=Train_Start)*(B3736&lt;=Train_End)</f>
        <v>0</v>
      </c>
      <c r="T3736" s="84" t="n">
        <f aca="false">IF(AND(ISNUMBER(O3736),ISNUMBER(P3736)),Coef_A+Coef_B1*O3736+Coef_B2*P3736,"")</f>
        <v>20.1525676572749</v>
      </c>
      <c r="U3736" s="84" t="n">
        <f aca="false">IF(AND(R3736=1,ISNUMBER(T3736)),E3736-T3736,"")</f>
        <v>-0.352567657274907</v>
      </c>
      <c r="V3736" s="84" t="n">
        <f aca="false">IF(ISNUMBER(T3736),T3736,-99)</f>
        <v>20.1525676572749</v>
      </c>
      <c r="W3736" s="84" t="n">
        <f aca="false">IF(ISNUMBER(U3736),ABS(U3736),"")</f>
        <v>0.352567657274907</v>
      </c>
    </row>
    <row r="3737" customFormat="false" ht="15" hidden="false" customHeight="false" outlineLevel="0" collapsed="false">
      <c r="A3737" s="57" t="n">
        <v>37805</v>
      </c>
      <c r="B3737" s="56" t="n">
        <v>2003</v>
      </c>
      <c r="C3737" s="56" t="n">
        <v>7</v>
      </c>
      <c r="D3737" s="56" t="n">
        <v>64</v>
      </c>
      <c r="E3737" s="56" t="n">
        <v>22.1</v>
      </c>
      <c r="F3737" s="56" t="n">
        <v>0</v>
      </c>
      <c r="G3737" s="56" t="n">
        <v>13.6</v>
      </c>
      <c r="H3737" s="56" t="n">
        <v>0</v>
      </c>
      <c r="I3737" s="56" t="n">
        <v>16.7</v>
      </c>
      <c r="J3737" s="56" t="n">
        <v>0</v>
      </c>
      <c r="K3737" s="56" t="n">
        <v>1011.7</v>
      </c>
      <c r="L3737" s="56" t="n">
        <v>0</v>
      </c>
      <c r="M3737" s="56" t="n">
        <v>75</v>
      </c>
      <c r="N3737" s="56" t="n">
        <v>0.2</v>
      </c>
      <c r="O3737" s="56" t="n">
        <f aca="false">IF(D3737=1,"",E3736)</f>
        <v>19.8</v>
      </c>
      <c r="P3737" s="56" t="n">
        <f aca="false">IF(OR(D3737=1,K3736=""),"",K3736)</f>
        <v>1005.3</v>
      </c>
      <c r="Q3737" s="56" t="n">
        <f aca="false">IF(OR(F3737&lt;&gt;0,AND(I3737&lt;&gt;"",E3737&lt;I3737)),1,0)</f>
        <v>0</v>
      </c>
      <c r="R3737" s="56" t="n">
        <f aca="false">IF(AND(D3737&gt;1,Q3737=0,ISNUMBER(O3737),ISNUMBER(P3737)),IF(Q3736=0,1,0),0)</f>
        <v>1</v>
      </c>
      <c r="S3737" s="56" t="n">
        <f aca="false">R3737*(B3737&gt;=Train_Start)*(B3737&lt;=Train_End)</f>
        <v>0</v>
      </c>
      <c r="T3737" s="84" t="n">
        <f aca="false">IF(AND(ISNUMBER(O3737),ISNUMBER(P3737)),Coef_A+Coef_B1*O3737+Coef_B2*P3737,"")</f>
        <v>19.8460465197899</v>
      </c>
      <c r="U3737" s="84" t="n">
        <f aca="false">IF(AND(R3737=1,ISNUMBER(T3737)),E3737-T3737,"")</f>
        <v>2.25395348021015</v>
      </c>
      <c r="V3737" s="84" t="n">
        <f aca="false">IF(ISNUMBER(T3737),T3737,-99)</f>
        <v>19.8460465197899</v>
      </c>
      <c r="W3737" s="84" t="n">
        <f aca="false">IF(ISNUMBER(U3737),ABS(U3737),"")</f>
        <v>2.25395348021015</v>
      </c>
    </row>
    <row r="3738" customFormat="false" ht="15" hidden="false" customHeight="false" outlineLevel="0" collapsed="false">
      <c r="A3738" s="57" t="n">
        <v>37806</v>
      </c>
      <c r="B3738" s="56" t="n">
        <v>2003</v>
      </c>
      <c r="C3738" s="56" t="n">
        <v>7</v>
      </c>
      <c r="D3738" s="56" t="n">
        <v>65</v>
      </c>
      <c r="E3738" s="56" t="n">
        <v>19.4</v>
      </c>
      <c r="F3738" s="56" t="n">
        <v>0</v>
      </c>
      <c r="G3738" s="56" t="n">
        <v>11.5</v>
      </c>
      <c r="H3738" s="56" t="n">
        <v>0</v>
      </c>
      <c r="I3738" s="56" t="n">
        <v>16.8</v>
      </c>
      <c r="J3738" s="56" t="n">
        <v>0</v>
      </c>
      <c r="K3738" s="56" t="n">
        <v>1016.3</v>
      </c>
      <c r="L3738" s="56" t="n">
        <v>0</v>
      </c>
      <c r="M3738" s="56" t="n">
        <v>66</v>
      </c>
      <c r="N3738" s="56" t="n">
        <v>3.1</v>
      </c>
      <c r="O3738" s="56" t="n">
        <f aca="false">IF(D3738=1,"",E3737)</f>
        <v>22.1</v>
      </c>
      <c r="P3738" s="56" t="n">
        <f aca="false">IF(OR(D3738=1,K3737=""),"",K3737)</f>
        <v>1011.7</v>
      </c>
      <c r="Q3738" s="56" t="n">
        <f aca="false">IF(OR(F3738&lt;&gt;0,AND(I3738&lt;&gt;"",E3738&lt;I3738)),1,0)</f>
        <v>0</v>
      </c>
      <c r="R3738" s="56" t="n">
        <f aca="false">IF(AND(D3738&gt;1,Q3738=0,ISNUMBER(O3738),ISNUMBER(P3738)),IF(Q3737=0,1,0),0)</f>
        <v>1</v>
      </c>
      <c r="S3738" s="56" t="n">
        <f aca="false">R3738*(B3738&gt;=Train_Start)*(B3738&lt;=Train_End)</f>
        <v>0</v>
      </c>
      <c r="T3738" s="84" t="n">
        <f aca="false">IF(AND(ISNUMBER(O3738),ISNUMBER(P3738)),Coef_A+Coef_B1*O3738+Coef_B2*P3738,"")</f>
        <v>21.9312939894455</v>
      </c>
      <c r="U3738" s="84" t="n">
        <f aca="false">IF(AND(R3738=1,ISNUMBER(T3738)),E3738-T3738,"")</f>
        <v>-2.5312939894455</v>
      </c>
      <c r="V3738" s="84" t="n">
        <f aca="false">IF(ISNUMBER(T3738),T3738,-99)</f>
        <v>21.9312939894455</v>
      </c>
      <c r="W3738" s="84" t="n">
        <f aca="false">IF(ISNUMBER(U3738),ABS(U3738),"")</f>
        <v>2.5312939894455</v>
      </c>
    </row>
    <row r="3739" customFormat="false" ht="15" hidden="false" customHeight="false" outlineLevel="0" collapsed="false">
      <c r="A3739" s="57" t="n">
        <v>37807</v>
      </c>
      <c r="B3739" s="56" t="n">
        <v>2003</v>
      </c>
      <c r="C3739" s="56" t="n">
        <v>7</v>
      </c>
      <c r="D3739" s="56" t="n">
        <v>66</v>
      </c>
      <c r="E3739" s="56" t="n">
        <v>23.2</v>
      </c>
      <c r="F3739" s="56" t="n">
        <v>0</v>
      </c>
      <c r="G3739" s="56" t="n">
        <v>11.9</v>
      </c>
      <c r="H3739" s="56" t="n">
        <v>0</v>
      </c>
      <c r="I3739" s="56" t="n">
        <v>15.6</v>
      </c>
      <c r="J3739" s="56" t="n">
        <v>0</v>
      </c>
      <c r="K3739" s="56" t="n">
        <v>1019.2</v>
      </c>
      <c r="L3739" s="56" t="n">
        <v>0</v>
      </c>
      <c r="M3739" s="56" t="n">
        <v>68</v>
      </c>
      <c r="N3739" s="56" t="n">
        <v>4.7</v>
      </c>
      <c r="O3739" s="56" t="n">
        <f aca="false">IF(D3739=1,"",E3738)</f>
        <v>19.4</v>
      </c>
      <c r="P3739" s="56" t="n">
        <f aca="false">IF(OR(D3739=1,K3738=""),"",K3738)</f>
        <v>1016.3</v>
      </c>
      <c r="Q3739" s="56" t="n">
        <f aca="false">IF(OR(F3739&lt;&gt;0,AND(I3739&lt;&gt;"",E3739&lt;I3739)),1,0)</f>
        <v>0</v>
      </c>
      <c r="R3739" s="56" t="n">
        <f aca="false">IF(AND(D3739&gt;1,Q3739=0,ISNUMBER(O3739),ISNUMBER(P3739)),IF(Q3738=0,1,0),0)</f>
        <v>1</v>
      </c>
      <c r="S3739" s="56" t="n">
        <f aca="false">R3739*(B3739&gt;=Train_Start)*(B3739&lt;=Train_End)</f>
        <v>0</v>
      </c>
      <c r="T3739" s="84" t="n">
        <f aca="false">IF(AND(ISNUMBER(O3739),ISNUMBER(P3739)),Coef_A+Coef_B1*O3739+Coef_B2*P3739,"")</f>
        <v>19.8633796835467</v>
      </c>
      <c r="U3739" s="84" t="n">
        <f aca="false">IF(AND(R3739=1,ISNUMBER(T3739)),E3739-T3739,"")</f>
        <v>3.33662031645333</v>
      </c>
      <c r="V3739" s="84" t="n">
        <f aca="false">IF(ISNUMBER(T3739),T3739,-99)</f>
        <v>19.8633796835467</v>
      </c>
      <c r="W3739" s="84" t="n">
        <f aca="false">IF(ISNUMBER(U3739),ABS(U3739),"")</f>
        <v>3.33662031645333</v>
      </c>
    </row>
    <row r="3740" customFormat="false" ht="15" hidden="false" customHeight="false" outlineLevel="0" collapsed="false">
      <c r="A3740" s="57" t="n">
        <v>37808</v>
      </c>
      <c r="B3740" s="56" t="n">
        <v>2003</v>
      </c>
      <c r="C3740" s="56" t="n">
        <v>7</v>
      </c>
      <c r="D3740" s="56" t="n">
        <v>67</v>
      </c>
      <c r="E3740" s="56" t="n">
        <v>22</v>
      </c>
      <c r="F3740" s="56" t="n">
        <v>0</v>
      </c>
      <c r="G3740" s="56" t="n">
        <v>15</v>
      </c>
      <c r="H3740" s="56" t="n">
        <v>0</v>
      </c>
      <c r="I3740" s="56" t="n">
        <v>19.1</v>
      </c>
      <c r="J3740" s="56" t="n">
        <v>0</v>
      </c>
      <c r="K3740" s="56" t="n">
        <v>1021</v>
      </c>
      <c r="L3740" s="56" t="n">
        <v>0</v>
      </c>
      <c r="M3740" s="56" t="n">
        <v>60</v>
      </c>
      <c r="N3740" s="56" t="n">
        <v>7.7</v>
      </c>
      <c r="O3740" s="56" t="n">
        <f aca="false">IF(D3740=1,"",E3739)</f>
        <v>23.2</v>
      </c>
      <c r="P3740" s="56" t="n">
        <f aca="false">IF(OR(D3740=1,K3739=""),"",K3739)</f>
        <v>1019.2</v>
      </c>
      <c r="Q3740" s="56" t="n">
        <f aca="false">IF(OR(F3740&lt;&gt;0,AND(I3740&lt;&gt;"",E3740&lt;I3740)),1,0)</f>
        <v>0</v>
      </c>
      <c r="R3740" s="56" t="n">
        <f aca="false">IF(AND(D3740&gt;1,Q3740=0,ISNUMBER(O3740),ISNUMBER(P3740)),IF(Q3739=0,1,0),0)</f>
        <v>1</v>
      </c>
      <c r="S3740" s="56" t="n">
        <f aca="false">R3740*(B3740&gt;=Train_Start)*(B3740&lt;=Train_End)</f>
        <v>0</v>
      </c>
      <c r="T3740" s="84" t="n">
        <f aca="false">IF(AND(ISNUMBER(O3740),ISNUMBER(P3740)),Coef_A+Coef_B1*O3740+Coef_B2*P3740,"")</f>
        <v>23.0678413115473</v>
      </c>
      <c r="U3740" s="84" t="n">
        <f aca="false">IF(AND(R3740=1,ISNUMBER(T3740)),E3740-T3740,"")</f>
        <v>-1.06784131154734</v>
      </c>
      <c r="V3740" s="84" t="n">
        <f aca="false">IF(ISNUMBER(T3740),T3740,-99)</f>
        <v>23.0678413115473</v>
      </c>
      <c r="W3740" s="84" t="n">
        <f aca="false">IF(ISNUMBER(U3740),ABS(U3740),"")</f>
        <v>1.06784131154734</v>
      </c>
    </row>
    <row r="3741" customFormat="false" ht="15" hidden="false" customHeight="false" outlineLevel="0" collapsed="false">
      <c r="A3741" s="57" t="n">
        <v>37809</v>
      </c>
      <c r="B3741" s="56" t="n">
        <v>2003</v>
      </c>
      <c r="C3741" s="56" t="n">
        <v>7</v>
      </c>
      <c r="D3741" s="56" t="n">
        <v>68</v>
      </c>
      <c r="E3741" s="56" t="n">
        <v>25</v>
      </c>
      <c r="F3741" s="56" t="n">
        <v>0</v>
      </c>
      <c r="G3741" s="56" t="n">
        <v>12.1</v>
      </c>
      <c r="H3741" s="56" t="n">
        <v>0</v>
      </c>
      <c r="I3741" s="56" t="n">
        <v>17</v>
      </c>
      <c r="J3741" s="56" t="n">
        <v>0</v>
      </c>
      <c r="K3741" s="56" t="n">
        <v>1022.7</v>
      </c>
      <c r="L3741" s="56" t="n">
        <v>0</v>
      </c>
      <c r="M3741" s="56" t="n">
        <v>64</v>
      </c>
      <c r="N3741" s="56" t="n">
        <v>9.6</v>
      </c>
      <c r="O3741" s="56" t="n">
        <f aca="false">IF(D3741=1,"",E3740)</f>
        <v>22</v>
      </c>
      <c r="P3741" s="56" t="n">
        <f aca="false">IF(OR(D3741=1,K3740=""),"",K3740)</f>
        <v>1021</v>
      </c>
      <c r="Q3741" s="56" t="n">
        <f aca="false">IF(OR(F3741&lt;&gt;0,AND(I3741&lt;&gt;"",E3741&lt;I3741)),1,0)</f>
        <v>0</v>
      </c>
      <c r="R3741" s="56" t="n">
        <f aca="false">IF(AND(D3741&gt;1,Q3741=0,ISNUMBER(O3741),ISNUMBER(P3741)),IF(Q3740=0,1,0),0)</f>
        <v>1</v>
      </c>
      <c r="S3741" s="56" t="n">
        <f aca="false">R3741*(B3741&gt;=Train_Start)*(B3741&lt;=Train_End)</f>
        <v>0</v>
      </c>
      <c r="T3741" s="84" t="n">
        <f aca="false">IF(AND(ISNUMBER(O3741),ISNUMBER(P3741)),Coef_A+Coef_B1*O3741+Coef_B2*P3741,"")</f>
        <v>22.1411000902373</v>
      </c>
      <c r="U3741" s="84" t="n">
        <f aca="false">IF(AND(R3741=1,ISNUMBER(T3741)),E3741-T3741,"")</f>
        <v>2.85889990976267</v>
      </c>
      <c r="V3741" s="84" t="n">
        <f aca="false">IF(ISNUMBER(T3741),T3741,-99)</f>
        <v>22.1411000902373</v>
      </c>
      <c r="W3741" s="84" t="n">
        <f aca="false">IF(ISNUMBER(U3741),ABS(U3741),"")</f>
        <v>2.85889990976267</v>
      </c>
    </row>
    <row r="3742" customFormat="false" ht="15" hidden="false" customHeight="false" outlineLevel="0" collapsed="false">
      <c r="A3742" s="57" t="n">
        <v>37810</v>
      </c>
      <c r="B3742" s="56" t="n">
        <v>2003</v>
      </c>
      <c r="C3742" s="56" t="n">
        <v>7</v>
      </c>
      <c r="D3742" s="56" t="n">
        <v>69</v>
      </c>
      <c r="E3742" s="56" t="n">
        <v>28.3</v>
      </c>
      <c r="F3742" s="56" t="n">
        <v>0</v>
      </c>
      <c r="G3742" s="56" t="n">
        <v>13.8</v>
      </c>
      <c r="H3742" s="56" t="n">
        <v>0</v>
      </c>
      <c r="I3742" s="56" t="n">
        <v>19.4</v>
      </c>
      <c r="J3742" s="56" t="n">
        <v>0</v>
      </c>
      <c r="K3742" s="56" t="n">
        <v>1021.8</v>
      </c>
      <c r="L3742" s="56" t="n">
        <v>0</v>
      </c>
      <c r="M3742" s="56" t="n">
        <v>71</v>
      </c>
      <c r="N3742" s="56" t="n">
        <v>1.4</v>
      </c>
      <c r="O3742" s="56" t="n">
        <f aca="false">IF(D3742=1,"",E3741)</f>
        <v>25</v>
      </c>
      <c r="P3742" s="56" t="n">
        <f aca="false">IF(OR(D3742=1,K3741=""),"",K3741)</f>
        <v>1022.7</v>
      </c>
      <c r="Q3742" s="56" t="n">
        <f aca="false">IF(OR(F3742&lt;&gt;0,AND(I3742&lt;&gt;"",E3742&lt;I3742)),1,0)</f>
        <v>0</v>
      </c>
      <c r="R3742" s="56" t="n">
        <f aca="false">IF(AND(D3742&gt;1,Q3742=0,ISNUMBER(O3742),ISNUMBER(P3742)),IF(Q3741=0,1,0),0)</f>
        <v>1</v>
      </c>
      <c r="S3742" s="56" t="n">
        <f aca="false">R3742*(B3742&gt;=Train_Start)*(B3742&lt;=Train_End)</f>
        <v>0</v>
      </c>
      <c r="T3742" s="84" t="n">
        <f aca="false">IF(AND(ISNUMBER(O3742),ISNUMBER(P3742)),Coef_A+Coef_B1*O3742+Coef_B2*P3742,"")</f>
        <v>24.6524464902431</v>
      </c>
      <c r="U3742" s="84" t="n">
        <f aca="false">IF(AND(R3742=1,ISNUMBER(T3742)),E3742-T3742,"")</f>
        <v>3.64755350975691</v>
      </c>
      <c r="V3742" s="84" t="n">
        <f aca="false">IF(ISNUMBER(T3742),T3742,-99)</f>
        <v>24.6524464902431</v>
      </c>
      <c r="W3742" s="84" t="n">
        <f aca="false">IF(ISNUMBER(U3742),ABS(U3742),"")</f>
        <v>3.64755350975691</v>
      </c>
    </row>
    <row r="3743" customFormat="false" ht="15" hidden="false" customHeight="false" outlineLevel="0" collapsed="false">
      <c r="A3743" s="57" t="n">
        <v>37811</v>
      </c>
      <c r="B3743" s="56" t="n">
        <v>2003</v>
      </c>
      <c r="C3743" s="56" t="n">
        <v>7</v>
      </c>
      <c r="D3743" s="56" t="n">
        <v>70</v>
      </c>
      <c r="E3743" s="56" t="n">
        <v>29.3</v>
      </c>
      <c r="F3743" s="56" t="n">
        <v>0</v>
      </c>
      <c r="G3743" s="56" t="n">
        <v>16.1</v>
      </c>
      <c r="H3743" s="56" t="n">
        <v>0</v>
      </c>
      <c r="I3743" s="56" t="n">
        <v>22.2</v>
      </c>
      <c r="J3743" s="56" t="n">
        <v>0</v>
      </c>
      <c r="K3743" s="56" t="n">
        <v>1020.7</v>
      </c>
      <c r="L3743" s="56" t="n">
        <v>0</v>
      </c>
      <c r="M3743" s="56" t="n">
        <v>64</v>
      </c>
      <c r="N3743" s="56" t="n">
        <v>8.4</v>
      </c>
      <c r="O3743" s="56" t="n">
        <f aca="false">IF(D3743=1,"",E3742)</f>
        <v>28.3</v>
      </c>
      <c r="P3743" s="56" t="n">
        <f aca="false">IF(OR(D3743=1,K3742=""),"",K3742)</f>
        <v>1021.8</v>
      </c>
      <c r="Q3743" s="56" t="n">
        <f aca="false">IF(OR(F3743&lt;&gt;0,AND(I3743&lt;&gt;"",E3743&lt;I3743)),1,0)</f>
        <v>0</v>
      </c>
      <c r="R3743" s="56" t="n">
        <f aca="false">IF(AND(D3743&gt;1,Q3743=0,ISNUMBER(O3743),ISNUMBER(P3743)),IF(Q3742=0,1,0),0)</f>
        <v>1</v>
      </c>
      <c r="S3743" s="56" t="n">
        <f aca="false">R3743*(B3743&gt;=Train_Start)*(B3743&lt;=Train_End)</f>
        <v>0</v>
      </c>
      <c r="T3743" s="84" t="n">
        <f aca="false">IF(AND(ISNUMBER(O3743),ISNUMBER(P3743)),Coef_A+Coef_B1*O3743+Coef_B2*P3743,"")</f>
        <v>27.3280329221133</v>
      </c>
      <c r="U3743" s="84" t="n">
        <f aca="false">IF(AND(R3743=1,ISNUMBER(T3743)),E3743-T3743,"")</f>
        <v>1.97196707788673</v>
      </c>
      <c r="V3743" s="84" t="n">
        <f aca="false">IF(ISNUMBER(T3743),T3743,-99)</f>
        <v>27.3280329221133</v>
      </c>
      <c r="W3743" s="84" t="n">
        <f aca="false">IF(ISNUMBER(U3743),ABS(U3743),"")</f>
        <v>1.97196707788673</v>
      </c>
    </row>
    <row r="3744" customFormat="false" ht="15" hidden="false" customHeight="false" outlineLevel="0" collapsed="false">
      <c r="A3744" s="57" t="n">
        <v>37812</v>
      </c>
      <c r="B3744" s="56" t="n">
        <v>2003</v>
      </c>
      <c r="C3744" s="56" t="n">
        <v>7</v>
      </c>
      <c r="D3744" s="56" t="n">
        <v>71</v>
      </c>
      <c r="E3744" s="56" t="n">
        <v>23.9</v>
      </c>
      <c r="F3744" s="56" t="n">
        <v>0</v>
      </c>
      <c r="G3744" s="56" t="n">
        <v>16.2</v>
      </c>
      <c r="H3744" s="56" t="n">
        <v>0</v>
      </c>
      <c r="I3744" s="56" t="n">
        <v>22.8</v>
      </c>
      <c r="J3744" s="56" t="n">
        <v>0</v>
      </c>
      <c r="K3744" s="56" t="n">
        <v>1018.2</v>
      </c>
      <c r="L3744" s="56" t="n">
        <v>0</v>
      </c>
      <c r="M3744" s="56" t="n">
        <v>60</v>
      </c>
      <c r="N3744" s="56" t="n">
        <v>11.5</v>
      </c>
      <c r="O3744" s="56" t="n">
        <f aca="false">IF(D3744=1,"",E3743)</f>
        <v>29.3</v>
      </c>
      <c r="P3744" s="56" t="n">
        <f aca="false">IF(OR(D3744=1,K3743=""),"",K3743)</f>
        <v>1020.7</v>
      </c>
      <c r="Q3744" s="56" t="n">
        <f aca="false">IF(OR(F3744&lt;&gt;0,AND(I3744&lt;&gt;"",E3744&lt;I3744)),1,0)</f>
        <v>0</v>
      </c>
      <c r="R3744" s="56" t="n">
        <f aca="false">IF(AND(D3744&gt;1,Q3744=0,ISNUMBER(O3744),ISNUMBER(P3744)),IF(Q3743=0,1,0),0)</f>
        <v>1</v>
      </c>
      <c r="S3744" s="56" t="n">
        <f aca="false">R3744*(B3744&gt;=Train_Start)*(B3744&lt;=Train_End)</f>
        <v>0</v>
      </c>
      <c r="T3744" s="84" t="n">
        <f aca="false">IF(AND(ISNUMBER(O3744),ISNUMBER(P3744)),Coef_A+Coef_B1*O3744+Coef_B2*P3744,"")</f>
        <v>28.1128652310585</v>
      </c>
      <c r="U3744" s="84" t="n">
        <f aca="false">IF(AND(R3744=1,ISNUMBER(T3744)),E3744-T3744,"")</f>
        <v>-4.21286523105854</v>
      </c>
      <c r="V3744" s="84" t="n">
        <f aca="false">IF(ISNUMBER(T3744),T3744,-99)</f>
        <v>28.1128652310585</v>
      </c>
      <c r="W3744" s="84" t="n">
        <f aca="false">IF(ISNUMBER(U3744),ABS(U3744),"")</f>
        <v>4.21286523105854</v>
      </c>
    </row>
    <row r="3745" customFormat="false" ht="15" hidden="false" customHeight="false" outlineLevel="0" collapsed="false">
      <c r="A3745" s="57" t="n">
        <v>37813</v>
      </c>
      <c r="B3745" s="56" t="n">
        <v>2003</v>
      </c>
      <c r="C3745" s="56" t="n">
        <v>7</v>
      </c>
      <c r="D3745" s="56" t="n">
        <v>72</v>
      </c>
      <c r="E3745" s="56" t="n">
        <v>26.7</v>
      </c>
      <c r="F3745" s="56" t="n">
        <v>0</v>
      </c>
      <c r="G3745" s="56" t="n">
        <v>14.4</v>
      </c>
      <c r="H3745" s="56" t="n">
        <v>0</v>
      </c>
      <c r="I3745" s="56" t="n">
        <v>19.2</v>
      </c>
      <c r="J3745" s="56" t="n">
        <v>0</v>
      </c>
      <c r="K3745" s="56" t="n">
        <v>1020.2</v>
      </c>
      <c r="L3745" s="56" t="n">
        <v>0</v>
      </c>
      <c r="M3745" s="56" t="n">
        <v>56</v>
      </c>
      <c r="N3745" s="56" t="n">
        <v>12.9</v>
      </c>
      <c r="O3745" s="56" t="n">
        <f aca="false">IF(D3745=1,"",E3744)</f>
        <v>23.9</v>
      </c>
      <c r="P3745" s="56" t="n">
        <f aca="false">IF(OR(D3745=1,K3744=""),"",K3744)</f>
        <v>1018.2</v>
      </c>
      <c r="Q3745" s="56" t="n">
        <f aca="false">IF(OR(F3745&lt;&gt;0,AND(I3745&lt;&gt;"",E3745&lt;I3745)),1,0)</f>
        <v>0</v>
      </c>
      <c r="R3745" s="56" t="n">
        <f aca="false">IF(AND(D3745&gt;1,Q3745=0,ISNUMBER(O3745),ISNUMBER(P3745)),IF(Q3744=0,1,0),0)</f>
        <v>1</v>
      </c>
      <c r="S3745" s="56" t="n">
        <f aca="false">R3745*(B3745&gt;=Train_Start)*(B3745&lt;=Train_End)</f>
        <v>0</v>
      </c>
      <c r="T3745" s="84" t="n">
        <f aca="false">IF(AND(ISNUMBER(O3745),ISNUMBER(P3745)),Coef_A+Coef_B1*O3745+Coef_B2*P3745,"")</f>
        <v>23.6100088520432</v>
      </c>
      <c r="U3745" s="84" t="n">
        <f aca="false">IF(AND(R3745=1,ISNUMBER(T3745)),E3745-T3745,"")</f>
        <v>3.08999114795678</v>
      </c>
      <c r="V3745" s="84" t="n">
        <f aca="false">IF(ISNUMBER(T3745),T3745,-99)</f>
        <v>23.6100088520432</v>
      </c>
      <c r="W3745" s="84" t="n">
        <f aca="false">IF(ISNUMBER(U3745),ABS(U3745),"")</f>
        <v>3.08999114795678</v>
      </c>
    </row>
    <row r="3746" customFormat="false" ht="15" hidden="false" customHeight="false" outlineLevel="0" collapsed="false">
      <c r="A3746" s="57" t="n">
        <v>37814</v>
      </c>
      <c r="B3746" s="56" t="n">
        <v>2003</v>
      </c>
      <c r="C3746" s="56" t="n">
        <v>7</v>
      </c>
      <c r="D3746" s="56" t="n">
        <v>73</v>
      </c>
      <c r="E3746" s="56" t="n">
        <v>28.5</v>
      </c>
      <c r="F3746" s="56" t="n">
        <v>0</v>
      </c>
      <c r="G3746" s="56" t="n">
        <v>12.3</v>
      </c>
      <c r="H3746" s="56" t="n">
        <v>0</v>
      </c>
      <c r="I3746" s="56" t="n">
        <v>19.5</v>
      </c>
      <c r="J3746" s="56" t="n">
        <v>0</v>
      </c>
      <c r="K3746" s="56" t="n">
        <v>1022.4</v>
      </c>
      <c r="L3746" s="56" t="n">
        <v>0</v>
      </c>
      <c r="M3746" s="56" t="n">
        <v>53</v>
      </c>
      <c r="N3746" s="56" t="n">
        <v>15.1</v>
      </c>
      <c r="O3746" s="56" t="n">
        <f aca="false">IF(D3746=1,"",E3745)</f>
        <v>26.7</v>
      </c>
      <c r="P3746" s="56" t="n">
        <f aca="false">IF(OR(D3746=1,K3745=""),"",K3745)</f>
        <v>1020.2</v>
      </c>
      <c r="Q3746" s="56" t="n">
        <f aca="false">IF(OR(F3746&lt;&gt;0,AND(I3746&lt;&gt;"",E3746&lt;I3746)),1,0)</f>
        <v>0</v>
      </c>
      <c r="R3746" s="56" t="n">
        <f aca="false">IF(AND(D3746&gt;1,Q3746=0,ISNUMBER(O3746),ISNUMBER(P3746)),IF(Q3745=0,1,0),0)</f>
        <v>1</v>
      </c>
      <c r="S3746" s="56" t="n">
        <f aca="false">R3746*(B3746&gt;=Train_Start)*(B3746&lt;=Train_End)</f>
        <v>0</v>
      </c>
      <c r="T3746" s="84" t="n">
        <f aca="false">IF(AND(ISNUMBER(O3746),ISNUMBER(P3746)),Coef_A+Coef_B1*O3746+Coef_B2*P3746,"")</f>
        <v>25.9668983818306</v>
      </c>
      <c r="U3746" s="84" t="n">
        <f aca="false">IF(AND(R3746=1,ISNUMBER(T3746)),E3746-T3746,"")</f>
        <v>2.53310161816937</v>
      </c>
      <c r="V3746" s="84" t="n">
        <f aca="false">IF(ISNUMBER(T3746),T3746,-99)</f>
        <v>25.9668983818306</v>
      </c>
      <c r="W3746" s="84" t="n">
        <f aca="false">IF(ISNUMBER(U3746),ABS(U3746),"")</f>
        <v>2.53310161816937</v>
      </c>
    </row>
    <row r="3747" customFormat="false" ht="15" hidden="false" customHeight="false" outlineLevel="0" collapsed="false">
      <c r="A3747" s="57" t="n">
        <v>37815</v>
      </c>
      <c r="B3747" s="56" t="n">
        <v>2003</v>
      </c>
      <c r="C3747" s="56" t="n">
        <v>7</v>
      </c>
      <c r="D3747" s="56" t="n">
        <v>74</v>
      </c>
      <c r="E3747" s="56" t="n">
        <v>29.6</v>
      </c>
      <c r="F3747" s="56" t="n">
        <v>0</v>
      </c>
      <c r="G3747" s="56" t="n">
        <v>14.8</v>
      </c>
      <c r="H3747" s="56" t="n">
        <v>0</v>
      </c>
      <c r="I3747" s="56" t="n">
        <v>21.6</v>
      </c>
      <c r="J3747" s="56" t="n">
        <v>0</v>
      </c>
      <c r="K3747" s="56" t="n">
        <v>1019.3</v>
      </c>
      <c r="L3747" s="56" t="n">
        <v>0</v>
      </c>
      <c r="M3747" s="56" t="n">
        <v>46</v>
      </c>
      <c r="N3747" s="56" t="n">
        <v>15.4</v>
      </c>
      <c r="O3747" s="56" t="n">
        <f aca="false">IF(D3747=1,"",E3746)</f>
        <v>28.5</v>
      </c>
      <c r="P3747" s="56" t="n">
        <f aca="false">IF(OR(D3747=1,K3746=""),"",K3746)</f>
        <v>1022.4</v>
      </c>
      <c r="Q3747" s="56" t="n">
        <f aca="false">IF(OR(F3747&lt;&gt;0,AND(I3747&lt;&gt;"",E3747&lt;I3747)),1,0)</f>
        <v>0</v>
      </c>
      <c r="R3747" s="56" t="n">
        <f aca="false">IF(AND(D3747&gt;1,Q3747=0,ISNUMBER(O3747),ISNUMBER(P3747)),IF(Q3746=0,1,0),0)</f>
        <v>1</v>
      </c>
      <c r="S3747" s="56" t="n">
        <f aca="false">R3747*(B3747&gt;=Train_Start)*(B3747&lt;=Train_End)</f>
        <v>0</v>
      </c>
      <c r="T3747" s="84" t="n">
        <f aca="false">IF(AND(ISNUMBER(O3747),ISNUMBER(P3747)),Coef_A+Coef_B1*O3747+Coef_B2*P3747,"")</f>
        <v>27.5107226975022</v>
      </c>
      <c r="U3747" s="84" t="n">
        <f aca="false">IF(AND(R3747=1,ISNUMBER(T3747)),E3747-T3747,"")</f>
        <v>2.08927730249781</v>
      </c>
      <c r="V3747" s="84" t="n">
        <f aca="false">IF(ISNUMBER(T3747),T3747,-99)</f>
        <v>27.5107226975022</v>
      </c>
      <c r="W3747" s="84" t="n">
        <f aca="false">IF(ISNUMBER(U3747),ABS(U3747),"")</f>
        <v>2.08927730249781</v>
      </c>
    </row>
    <row r="3748" customFormat="false" ht="15" hidden="false" customHeight="false" outlineLevel="0" collapsed="false">
      <c r="A3748" s="57" t="n">
        <v>37816</v>
      </c>
      <c r="B3748" s="56" t="n">
        <v>2003</v>
      </c>
      <c r="C3748" s="56" t="n">
        <v>7</v>
      </c>
      <c r="D3748" s="56" t="n">
        <v>75</v>
      </c>
      <c r="E3748" s="56" t="n">
        <v>32.8</v>
      </c>
      <c r="F3748" s="56" t="n">
        <v>0</v>
      </c>
      <c r="G3748" s="56" t="n">
        <v>15.6</v>
      </c>
      <c r="H3748" s="56" t="n">
        <v>0</v>
      </c>
      <c r="I3748" s="56" t="n">
        <v>22.6</v>
      </c>
      <c r="J3748" s="56" t="n">
        <v>0</v>
      </c>
      <c r="K3748" s="56" t="n">
        <v>1014.2</v>
      </c>
      <c r="L3748" s="56" t="n">
        <v>0</v>
      </c>
      <c r="M3748" s="56" t="n">
        <v>54</v>
      </c>
      <c r="N3748" s="56" t="n">
        <v>15.3</v>
      </c>
      <c r="O3748" s="56" t="n">
        <f aca="false">IF(D3748=1,"",E3747)</f>
        <v>29.6</v>
      </c>
      <c r="P3748" s="56" t="n">
        <f aca="false">IF(OR(D3748=1,K3747=""),"",K3747)</f>
        <v>1019.3</v>
      </c>
      <c r="Q3748" s="56" t="n">
        <f aca="false">IF(OR(F3748&lt;&gt;0,AND(I3748&lt;&gt;"",E3748&lt;I3748)),1,0)</f>
        <v>0</v>
      </c>
      <c r="R3748" s="56" t="n">
        <f aca="false">IF(AND(D3748&gt;1,Q3748=0,ISNUMBER(O3748),ISNUMBER(P3748)),IF(Q3747=0,1,0),0)</f>
        <v>1</v>
      </c>
      <c r="S3748" s="56" t="n">
        <f aca="false">R3748*(B3748&gt;=Train_Start)*(B3748&lt;=Train_End)</f>
        <v>0</v>
      </c>
      <c r="T3748" s="84" t="n">
        <f aca="false">IF(AND(ISNUMBER(O3748),ISNUMBER(P3748)),Coef_A+Coef_B1*O3748+Coef_B2*P3748,"")</f>
        <v>28.3147491364837</v>
      </c>
      <c r="U3748" s="84" t="n">
        <f aca="false">IF(AND(R3748=1,ISNUMBER(T3748)),E3748-T3748,"")</f>
        <v>4.48525086351625</v>
      </c>
      <c r="V3748" s="84" t="n">
        <f aca="false">IF(ISNUMBER(T3748),T3748,-99)</f>
        <v>28.3147491364837</v>
      </c>
      <c r="W3748" s="84" t="n">
        <f aca="false">IF(ISNUMBER(U3748),ABS(U3748),"")</f>
        <v>4.48525086351625</v>
      </c>
    </row>
    <row r="3749" customFormat="false" ht="15" hidden="false" customHeight="false" outlineLevel="0" collapsed="false">
      <c r="A3749" s="57" t="n">
        <v>37817</v>
      </c>
      <c r="B3749" s="56" t="n">
        <v>2003</v>
      </c>
      <c r="C3749" s="56" t="n">
        <v>7</v>
      </c>
      <c r="D3749" s="56" t="n">
        <v>76</v>
      </c>
      <c r="E3749" s="56" t="n">
        <v>24.4</v>
      </c>
      <c r="F3749" s="56" t="n">
        <v>1</v>
      </c>
      <c r="G3749" s="56" t="n">
        <v>17</v>
      </c>
      <c r="H3749" s="56" t="n">
        <v>0</v>
      </c>
      <c r="I3749" s="56" t="n">
        <v>24.9</v>
      </c>
      <c r="J3749" s="56" t="n">
        <v>1</v>
      </c>
      <c r="K3749" s="56" t="n">
        <v>1009.3</v>
      </c>
      <c r="L3749" s="56" t="n">
        <v>0</v>
      </c>
      <c r="M3749" s="56" t="n">
        <v>46</v>
      </c>
      <c r="N3749" s="56" t="n">
        <v>14.8</v>
      </c>
      <c r="O3749" s="56" t="n">
        <f aca="false">IF(D3749=1,"",E3748)</f>
        <v>32.8</v>
      </c>
      <c r="P3749" s="56" t="n">
        <f aca="false">IF(OR(D3749=1,K3748=""),"",K3748)</f>
        <v>1014.2</v>
      </c>
      <c r="Q3749" s="56" t="n">
        <f aca="false">IF(OR(F3749&lt;&gt;0,AND(I3749&lt;&gt;"",E3749&lt;I3749)),1,0)</f>
        <v>1</v>
      </c>
      <c r="R3749" s="56" t="n">
        <f aca="false">IF(AND(D3749&gt;1,Q3749=0,ISNUMBER(O3749),ISNUMBER(P3749)),IF(Q3748=0,1,0),0)</f>
        <v>0</v>
      </c>
      <c r="S3749" s="56" t="n">
        <f aca="false">R3749*(B3749&gt;=Train_Start)*(B3749&lt;=Train_End)</f>
        <v>0</v>
      </c>
      <c r="T3749" s="84" t="n">
        <f aca="false">IF(AND(ISNUMBER(O3749),ISNUMBER(P3749)),Coef_A+Coef_B1*O3749+Coef_B2*P3749,"")</f>
        <v>30.7766480915869</v>
      </c>
      <c r="U3749" s="84" t="str">
        <f aca="false">IF(AND(R3749=1,ISNUMBER(T3749)),E3749-T3749,"")</f>
        <v/>
      </c>
      <c r="V3749" s="84" t="n">
        <f aca="false">IF(ISNUMBER(T3749),T3749,-99)</f>
        <v>30.7766480915869</v>
      </c>
      <c r="W3749" s="84" t="str">
        <f aca="false">IF(ISNUMBER(U3749),ABS(U3749),"")</f>
        <v/>
      </c>
    </row>
    <row r="3750" customFormat="false" ht="15" hidden="false" customHeight="false" outlineLevel="0" collapsed="false">
      <c r="A3750" s="57" t="n">
        <v>37818</v>
      </c>
      <c r="B3750" s="56" t="n">
        <v>2003</v>
      </c>
      <c r="C3750" s="56" t="n">
        <v>7</v>
      </c>
      <c r="D3750" s="56" t="n">
        <v>77</v>
      </c>
      <c r="E3750" s="56" t="n">
        <v>21</v>
      </c>
      <c r="F3750" s="56" t="n">
        <v>1</v>
      </c>
      <c r="G3750" s="56" t="n">
        <v>18.7</v>
      </c>
      <c r="H3750" s="56" t="n">
        <v>0</v>
      </c>
      <c r="I3750" s="56" t="n">
        <v>21.6</v>
      </c>
      <c r="J3750" s="56" t="n">
        <v>1</v>
      </c>
      <c r="K3750" s="56" t="n">
        <v>1006.2</v>
      </c>
      <c r="L3750" s="56" t="n">
        <v>0</v>
      </c>
      <c r="M3750" s="56" t="n">
        <v>73</v>
      </c>
      <c r="N3750" s="56" t="n">
        <v>3.3</v>
      </c>
      <c r="O3750" s="56" t="n">
        <f aca="false">IF(D3750=1,"",E3749)</f>
        <v>24.4</v>
      </c>
      <c r="P3750" s="56" t="n">
        <f aca="false">IF(OR(D3750=1,K3749=""),"",K3749)</f>
        <v>1009.3</v>
      </c>
      <c r="Q3750" s="56" t="n">
        <f aca="false">IF(OR(F3750&lt;&gt;0,AND(I3750&lt;&gt;"",E3750&lt;I3750)),1,0)</f>
        <v>1</v>
      </c>
      <c r="R3750" s="56" t="n">
        <f aca="false">IF(AND(D3750&gt;1,Q3750=0,ISNUMBER(O3750),ISNUMBER(P3750)),IF(Q3749=0,1,0),0)</f>
        <v>0</v>
      </c>
      <c r="S3750" s="56" t="n">
        <f aca="false">R3750*(B3750&gt;=Train_Start)*(B3750&lt;=Train_End)</f>
        <v>0</v>
      </c>
      <c r="T3750" s="84" t="n">
        <f aca="false">IF(AND(ISNUMBER(O3750),ISNUMBER(P3750)),Coef_A+Coef_B1*O3750+Coef_B2*P3750,"")</f>
        <v>23.740486386322</v>
      </c>
      <c r="U3750" s="84" t="str">
        <f aca="false">IF(AND(R3750=1,ISNUMBER(T3750)),E3750-T3750,"")</f>
        <v/>
      </c>
      <c r="V3750" s="84" t="n">
        <f aca="false">IF(ISNUMBER(T3750),T3750,-99)</f>
        <v>23.740486386322</v>
      </c>
      <c r="W3750" s="84" t="str">
        <f aca="false">IF(ISNUMBER(U3750),ABS(U3750),"")</f>
        <v/>
      </c>
    </row>
    <row r="3751" customFormat="false" ht="15" hidden="false" customHeight="false" outlineLevel="0" collapsed="false">
      <c r="A3751" s="57" t="n">
        <v>37819</v>
      </c>
      <c r="B3751" s="56" t="n">
        <v>2003</v>
      </c>
      <c r="C3751" s="56" t="n">
        <v>7</v>
      </c>
      <c r="D3751" s="56" t="n">
        <v>78</v>
      </c>
      <c r="E3751" s="56" t="n">
        <v>25.1</v>
      </c>
      <c r="F3751" s="56" t="n">
        <v>0</v>
      </c>
      <c r="G3751" s="56" t="n">
        <v>17.3</v>
      </c>
      <c r="H3751" s="56" t="n">
        <v>0</v>
      </c>
      <c r="I3751" s="56" t="n">
        <v>19.2</v>
      </c>
      <c r="J3751" s="56" t="n">
        <v>0</v>
      </c>
      <c r="K3751" s="56" t="n">
        <v>1011.7</v>
      </c>
      <c r="L3751" s="56" t="n">
        <v>0</v>
      </c>
      <c r="M3751" s="56" t="n">
        <v>83</v>
      </c>
      <c r="N3751" s="56" t="n">
        <v>0.1</v>
      </c>
      <c r="O3751" s="56" t="n">
        <f aca="false">IF(D3751=1,"",E3750)</f>
        <v>21</v>
      </c>
      <c r="P3751" s="56" t="n">
        <f aca="false">IF(OR(D3751=1,K3750=""),"",K3750)</f>
        <v>1006.2</v>
      </c>
      <c r="Q3751" s="56" t="n">
        <f aca="false">IF(OR(F3751&lt;&gt;0,AND(I3751&lt;&gt;"",E3751&lt;I3751)),1,0)</f>
        <v>0</v>
      </c>
      <c r="R3751" s="56" t="n">
        <f aca="false">IF(AND(D3751&gt;1,Q3751=0,ISNUMBER(O3751),ISNUMBER(P3751)),IF(Q3750=0,1,0),0)</f>
        <v>0</v>
      </c>
      <c r="S3751" s="56" t="n">
        <f aca="false">R3751*(B3751&gt;=Train_Start)*(B3751&lt;=Train_End)</f>
        <v>0</v>
      </c>
      <c r="T3751" s="84" t="n">
        <f aca="false">IF(AND(ISNUMBER(O3751),ISNUMBER(P3751)),Coef_A+Coef_B1*O3751+Coef_B2*P3751,"")</f>
        <v>20.8574864566116</v>
      </c>
      <c r="U3751" s="84" t="str">
        <f aca="false">IF(AND(R3751=1,ISNUMBER(T3751)),E3751-T3751,"")</f>
        <v/>
      </c>
      <c r="V3751" s="84" t="n">
        <f aca="false">IF(ISNUMBER(T3751),T3751,-99)</f>
        <v>20.8574864566116</v>
      </c>
      <c r="W3751" s="84" t="str">
        <f aca="false">IF(ISNUMBER(U3751),ABS(U3751),"")</f>
        <v/>
      </c>
    </row>
    <row r="3752" customFormat="false" ht="15" hidden="false" customHeight="false" outlineLevel="0" collapsed="false">
      <c r="A3752" s="57" t="n">
        <v>37820</v>
      </c>
      <c r="B3752" s="56" t="n">
        <v>2003</v>
      </c>
      <c r="C3752" s="56" t="n">
        <v>7</v>
      </c>
      <c r="D3752" s="56" t="n">
        <v>79</v>
      </c>
      <c r="E3752" s="56" t="n">
        <v>28.5</v>
      </c>
      <c r="F3752" s="56" t="n">
        <v>0</v>
      </c>
      <c r="G3752" s="56" t="n">
        <v>15.7</v>
      </c>
      <c r="H3752" s="56" t="n">
        <v>0</v>
      </c>
      <c r="I3752" s="56" t="n">
        <v>20.4</v>
      </c>
      <c r="J3752" s="56" t="n">
        <v>0</v>
      </c>
      <c r="K3752" s="56" t="n">
        <v>1018.8</v>
      </c>
      <c r="L3752" s="56" t="n">
        <v>0</v>
      </c>
      <c r="M3752" s="56" t="n">
        <v>68</v>
      </c>
      <c r="N3752" s="56" t="n">
        <v>8.3</v>
      </c>
      <c r="O3752" s="56" t="n">
        <f aca="false">IF(D3752=1,"",E3751)</f>
        <v>25.1</v>
      </c>
      <c r="P3752" s="56" t="n">
        <f aca="false">IF(OR(D3752=1,K3751=""),"",K3751)</f>
        <v>1011.7</v>
      </c>
      <c r="Q3752" s="56" t="n">
        <f aca="false">IF(OR(F3752&lt;&gt;0,AND(I3752&lt;&gt;"",E3752&lt;I3752)),1,0)</f>
        <v>0</v>
      </c>
      <c r="R3752" s="56" t="n">
        <f aca="false">IF(AND(D3752&gt;1,Q3752=0,ISNUMBER(O3752),ISNUMBER(P3752)),IF(Q3751=0,1,0),0)</f>
        <v>1</v>
      </c>
      <c r="S3752" s="56" t="n">
        <f aca="false">R3752*(B3752&gt;=Train_Start)*(B3752&lt;=Train_End)</f>
        <v>0</v>
      </c>
      <c r="T3752" s="84" t="n">
        <f aca="false">IF(AND(ISNUMBER(O3752),ISNUMBER(P3752)),Coef_A+Coef_B1*O3752+Coef_B2*P3752,"")</f>
        <v>24.3893115685735</v>
      </c>
      <c r="U3752" s="84" t="n">
        <f aca="false">IF(AND(R3752=1,ISNUMBER(T3752)),E3752-T3752,"")</f>
        <v>4.11068843142653</v>
      </c>
      <c r="V3752" s="84" t="n">
        <f aca="false">IF(ISNUMBER(T3752),T3752,-99)</f>
        <v>24.3893115685735</v>
      </c>
      <c r="W3752" s="84" t="n">
        <f aca="false">IF(ISNUMBER(U3752),ABS(U3752),"")</f>
        <v>4.11068843142653</v>
      </c>
    </row>
    <row r="3753" customFormat="false" ht="15" hidden="false" customHeight="false" outlineLevel="0" collapsed="false">
      <c r="A3753" s="57" t="n">
        <v>37821</v>
      </c>
      <c r="B3753" s="56" t="n">
        <v>2003</v>
      </c>
      <c r="C3753" s="56" t="n">
        <v>7</v>
      </c>
      <c r="D3753" s="56" t="n">
        <v>80</v>
      </c>
      <c r="E3753" s="56" t="n">
        <v>24.4</v>
      </c>
      <c r="F3753" s="56" t="n">
        <v>0</v>
      </c>
      <c r="G3753" s="56" t="n">
        <v>15.4</v>
      </c>
      <c r="H3753" s="56" t="n">
        <v>0</v>
      </c>
      <c r="I3753" s="56" t="n">
        <v>22</v>
      </c>
      <c r="J3753" s="56" t="n">
        <v>0</v>
      </c>
      <c r="K3753" s="56" t="n">
        <v>1016.7</v>
      </c>
      <c r="L3753" s="56" t="n">
        <v>0</v>
      </c>
      <c r="M3753" s="56" t="n">
        <v>60</v>
      </c>
      <c r="N3753" s="56" t="n">
        <v>10.7</v>
      </c>
      <c r="O3753" s="56" t="n">
        <f aca="false">IF(D3753=1,"",E3752)</f>
        <v>28.5</v>
      </c>
      <c r="P3753" s="56" t="n">
        <f aca="false">IF(OR(D3753=1,K3752=""),"",K3752)</f>
        <v>1018.8</v>
      </c>
      <c r="Q3753" s="56" t="n">
        <f aca="false">IF(OR(F3753&lt;&gt;0,AND(I3753&lt;&gt;"",E3753&lt;I3753)),1,0)</f>
        <v>0</v>
      </c>
      <c r="R3753" s="56" t="n">
        <f aca="false">IF(AND(D3753&gt;1,Q3753=0,ISNUMBER(O3753),ISNUMBER(P3753)),IF(Q3752=0,1,0),0)</f>
        <v>1</v>
      </c>
      <c r="S3753" s="56" t="n">
        <f aca="false">R3753*(B3753&gt;=Train_Start)*(B3753&lt;=Train_End)</f>
        <v>0</v>
      </c>
      <c r="T3753" s="84" t="n">
        <f aca="false">IF(AND(ISNUMBER(O3753),ISNUMBER(P3753)),Coef_A+Coef_B1*O3753+Coef_B2*P3753,"")</f>
        <v>27.3977910768198</v>
      </c>
      <c r="U3753" s="84" t="n">
        <f aca="false">IF(AND(R3753=1,ISNUMBER(T3753)),E3753-T3753,"")</f>
        <v>-2.99779107681983</v>
      </c>
      <c r="V3753" s="84" t="n">
        <f aca="false">IF(ISNUMBER(T3753),T3753,-99)</f>
        <v>27.3977910768198</v>
      </c>
      <c r="W3753" s="84" t="n">
        <f aca="false">IF(ISNUMBER(U3753),ABS(U3753),"")</f>
        <v>2.99779107681983</v>
      </c>
    </row>
    <row r="3754" customFormat="false" ht="15" hidden="false" customHeight="false" outlineLevel="0" collapsed="false">
      <c r="A3754" s="57" t="n">
        <v>37822</v>
      </c>
      <c r="B3754" s="56" t="n">
        <v>2003</v>
      </c>
      <c r="C3754" s="56" t="n">
        <v>7</v>
      </c>
      <c r="D3754" s="56" t="n">
        <v>81</v>
      </c>
      <c r="E3754" s="56" t="n">
        <v>25.1</v>
      </c>
      <c r="F3754" s="56" t="n">
        <v>0</v>
      </c>
      <c r="G3754" s="56" t="n">
        <v>16.1</v>
      </c>
      <c r="H3754" s="56" t="n">
        <v>0</v>
      </c>
      <c r="I3754" s="56" t="n">
        <v>20.2</v>
      </c>
      <c r="J3754" s="56" t="n">
        <v>0</v>
      </c>
      <c r="K3754" s="56" t="n">
        <v>1014</v>
      </c>
      <c r="L3754" s="56" t="n">
        <v>0</v>
      </c>
      <c r="M3754" s="56" t="n">
        <v>60</v>
      </c>
      <c r="N3754" s="56" t="n">
        <v>12.5</v>
      </c>
      <c r="O3754" s="56" t="n">
        <f aca="false">IF(D3754=1,"",E3753)</f>
        <v>24.4</v>
      </c>
      <c r="P3754" s="56" t="n">
        <f aca="false">IF(OR(D3754=1,K3753=""),"",K3753)</f>
        <v>1016.7</v>
      </c>
      <c r="Q3754" s="56" t="n">
        <f aca="false">IF(OR(F3754&lt;&gt;0,AND(I3754&lt;&gt;"",E3754&lt;I3754)),1,0)</f>
        <v>0</v>
      </c>
      <c r="R3754" s="56" t="n">
        <f aca="false">IF(AND(D3754&gt;1,Q3754=0,ISNUMBER(O3754),ISNUMBER(P3754)),IF(Q3753=0,1,0),0)</f>
        <v>1</v>
      </c>
      <c r="S3754" s="56" t="n">
        <f aca="false">R3754*(B3754&gt;=Train_Start)*(B3754&lt;=Train_End)</f>
        <v>0</v>
      </c>
      <c r="T3754" s="84" t="n">
        <f aca="false">IF(AND(ISNUMBER(O3754),ISNUMBER(P3754)),Coef_A+Coef_B1*O3754+Coef_B2*P3754,"")</f>
        <v>23.9726236066136</v>
      </c>
      <c r="U3754" s="84" t="n">
        <f aca="false">IF(AND(R3754=1,ISNUMBER(T3754)),E3754-T3754,"")</f>
        <v>1.12737639338644</v>
      </c>
      <c r="V3754" s="84" t="n">
        <f aca="false">IF(ISNUMBER(T3754),T3754,-99)</f>
        <v>23.9726236066136</v>
      </c>
      <c r="W3754" s="84" t="n">
        <f aca="false">IF(ISNUMBER(U3754),ABS(U3754),"")</f>
        <v>1.12737639338644</v>
      </c>
    </row>
    <row r="3755" customFormat="false" ht="15" hidden="false" customHeight="false" outlineLevel="0" collapsed="false">
      <c r="A3755" s="57" t="n">
        <v>37823</v>
      </c>
      <c r="B3755" s="56" t="n">
        <v>2003</v>
      </c>
      <c r="C3755" s="56" t="n">
        <v>7</v>
      </c>
      <c r="D3755" s="56" t="n">
        <v>82</v>
      </c>
      <c r="E3755" s="56" t="n">
        <v>24.2</v>
      </c>
      <c r="F3755" s="56" t="n">
        <v>0</v>
      </c>
      <c r="G3755" s="56" t="n">
        <v>14.7</v>
      </c>
      <c r="H3755" s="56" t="n">
        <v>0</v>
      </c>
      <c r="I3755" s="56" t="n">
        <v>19.9</v>
      </c>
      <c r="J3755" s="56" t="n">
        <v>0</v>
      </c>
      <c r="K3755" s="56" t="n">
        <v>1013.7</v>
      </c>
      <c r="L3755" s="56" t="n">
        <v>0</v>
      </c>
      <c r="M3755" s="56" t="n">
        <v>64</v>
      </c>
      <c r="N3755" s="56" t="n">
        <v>10.6</v>
      </c>
      <c r="O3755" s="56" t="n">
        <f aca="false">IF(D3755=1,"",E3754)</f>
        <v>25.1</v>
      </c>
      <c r="P3755" s="56" t="n">
        <f aca="false">IF(OR(D3755=1,K3754=""),"",K3754)</f>
        <v>1014</v>
      </c>
      <c r="Q3755" s="56" t="n">
        <f aca="false">IF(OR(F3755&lt;&gt;0,AND(I3755&lt;&gt;"",E3755&lt;I3755)),1,0)</f>
        <v>0</v>
      </c>
      <c r="R3755" s="56" t="n">
        <f aca="false">IF(AND(D3755&gt;1,Q3755=0,ISNUMBER(O3755),ISNUMBER(P3755)),IF(Q3754=0,1,0),0)</f>
        <v>1</v>
      </c>
      <c r="S3755" s="56" t="n">
        <f aca="false">R3755*(B3755&gt;=Train_Start)*(B3755&lt;=Train_End)</f>
        <v>0</v>
      </c>
      <c r="T3755" s="84" t="n">
        <f aca="false">IF(AND(ISNUMBER(O3755),ISNUMBER(P3755)),Coef_A+Coef_B1*O3755+Coef_B2*P3755,"")</f>
        <v>24.4614623262316</v>
      </c>
      <c r="U3755" s="84" t="n">
        <f aca="false">IF(AND(R3755=1,ISNUMBER(T3755)),E3755-T3755,"")</f>
        <v>-0.261462326231648</v>
      </c>
      <c r="V3755" s="84" t="n">
        <f aca="false">IF(ISNUMBER(T3755),T3755,-99)</f>
        <v>24.4614623262316</v>
      </c>
      <c r="W3755" s="84" t="n">
        <f aca="false">IF(ISNUMBER(U3755),ABS(U3755),"")</f>
        <v>0.261462326231648</v>
      </c>
    </row>
    <row r="3756" customFormat="false" ht="15" hidden="false" customHeight="false" outlineLevel="0" collapsed="false">
      <c r="A3756" s="57" t="n">
        <v>37824</v>
      </c>
      <c r="B3756" s="56" t="n">
        <v>2003</v>
      </c>
      <c r="C3756" s="56" t="n">
        <v>7</v>
      </c>
      <c r="D3756" s="56" t="n">
        <v>83</v>
      </c>
      <c r="E3756" s="56" t="n">
        <v>24.6</v>
      </c>
      <c r="F3756" s="56" t="n">
        <v>0</v>
      </c>
      <c r="G3756" s="56" t="n">
        <v>14.6</v>
      </c>
      <c r="H3756" s="56" t="n">
        <v>0</v>
      </c>
      <c r="I3756" s="56" t="n">
        <v>19.4</v>
      </c>
      <c r="J3756" s="56" t="n">
        <v>0</v>
      </c>
      <c r="K3756" s="56" t="n">
        <v>1017.9</v>
      </c>
      <c r="L3756" s="56" t="n">
        <v>0</v>
      </c>
      <c r="M3756" s="56" t="n">
        <v>67</v>
      </c>
      <c r="N3756" s="56" t="n">
        <v>6.9</v>
      </c>
      <c r="O3756" s="56" t="n">
        <f aca="false">IF(D3756=1,"",E3755)</f>
        <v>24.2</v>
      </c>
      <c r="P3756" s="56" t="n">
        <f aca="false">IF(OR(D3756=1,K3755=""),"",K3755)</f>
        <v>1013.7</v>
      </c>
      <c r="Q3756" s="56" t="n">
        <f aca="false">IF(OR(F3756&lt;&gt;0,AND(I3756&lt;&gt;"",E3756&lt;I3756)),1,0)</f>
        <v>0</v>
      </c>
      <c r="R3756" s="56" t="n">
        <f aca="false">IF(AND(D3756&gt;1,Q3756=0,ISNUMBER(O3756),ISNUMBER(P3756)),IF(Q3755=0,1,0),0)</f>
        <v>1</v>
      </c>
      <c r="S3756" s="56" t="n">
        <f aca="false">R3756*(B3756&gt;=Train_Start)*(B3756&lt;=Train_End)</f>
        <v>0</v>
      </c>
      <c r="T3756" s="84" t="n">
        <f aca="false">IF(AND(ISNUMBER(O3756),ISNUMBER(P3756)),Coef_A+Coef_B1*O3756+Coef_B2*P3756,"")</f>
        <v>23.7146460841031</v>
      </c>
      <c r="U3756" s="84" t="n">
        <f aca="false">IF(AND(R3756=1,ISNUMBER(T3756)),E3756-T3756,"")</f>
        <v>0.885353915896943</v>
      </c>
      <c r="V3756" s="84" t="n">
        <f aca="false">IF(ISNUMBER(T3756),T3756,-99)</f>
        <v>23.7146460841031</v>
      </c>
      <c r="W3756" s="84" t="n">
        <f aca="false">IF(ISNUMBER(U3756),ABS(U3756),"")</f>
        <v>0.885353915896943</v>
      </c>
    </row>
    <row r="3757" customFormat="false" ht="15" hidden="false" customHeight="false" outlineLevel="0" collapsed="false">
      <c r="A3757" s="57" t="n">
        <v>37825</v>
      </c>
      <c r="B3757" s="56" t="n">
        <v>2003</v>
      </c>
      <c r="C3757" s="56" t="n">
        <v>7</v>
      </c>
      <c r="D3757" s="56" t="n">
        <v>84</v>
      </c>
      <c r="E3757" s="56" t="n">
        <v>24.2</v>
      </c>
      <c r="F3757" s="56" t="n">
        <v>0</v>
      </c>
      <c r="G3757" s="56" t="n">
        <v>15.2</v>
      </c>
      <c r="H3757" s="56" t="n">
        <v>0</v>
      </c>
      <c r="I3757" s="56" t="n">
        <v>19.9</v>
      </c>
      <c r="J3757" s="56" t="n">
        <v>0</v>
      </c>
      <c r="K3757" s="56" t="n">
        <v>1016.1</v>
      </c>
      <c r="L3757" s="56" t="n">
        <v>0</v>
      </c>
      <c r="M3757" s="56" t="n">
        <v>69</v>
      </c>
      <c r="N3757" s="56" t="n">
        <v>3.4</v>
      </c>
      <c r="O3757" s="56" t="n">
        <f aca="false">IF(D3757=1,"",E3756)</f>
        <v>24.6</v>
      </c>
      <c r="P3757" s="56" t="n">
        <f aca="false">IF(OR(D3757=1,K3756=""),"",K3756)</f>
        <v>1017.9</v>
      </c>
      <c r="Q3757" s="56" t="n">
        <f aca="false">IF(OR(F3757&lt;&gt;0,AND(I3757&lt;&gt;"",E3757&lt;I3757)),1,0)</f>
        <v>0</v>
      </c>
      <c r="R3757" s="56" t="n">
        <f aca="false">IF(AND(D3757&gt;1,Q3757=0,ISNUMBER(O3757),ISNUMBER(P3757)),IF(Q3756=0,1,0),0)</f>
        <v>1</v>
      </c>
      <c r="S3757" s="56" t="n">
        <f aca="false">R3757*(B3757&gt;=Train_Start)*(B3757&lt;=Train_End)</f>
        <v>0</v>
      </c>
      <c r="T3757" s="84" t="n">
        <f aca="false">IF(AND(ISNUMBER(O3757),ISNUMBER(P3757)),Coef_A+Coef_B1*O3757+Coef_B2*P3757,"")</f>
        <v>24.1741353187829</v>
      </c>
      <c r="U3757" s="84" t="n">
        <f aca="false">IF(AND(R3757=1,ISNUMBER(T3757)),E3757-T3757,"")</f>
        <v>0.0258646812171222</v>
      </c>
      <c r="V3757" s="84" t="n">
        <f aca="false">IF(ISNUMBER(T3757),T3757,-99)</f>
        <v>24.1741353187829</v>
      </c>
      <c r="W3757" s="84" t="n">
        <f aca="false">IF(ISNUMBER(U3757),ABS(U3757),"")</f>
        <v>0.0258646812171222</v>
      </c>
    </row>
    <row r="3758" customFormat="false" ht="15" hidden="false" customHeight="false" outlineLevel="0" collapsed="false">
      <c r="A3758" s="57" t="n">
        <v>37826</v>
      </c>
      <c r="B3758" s="56" t="n">
        <v>2003</v>
      </c>
      <c r="C3758" s="56" t="n">
        <v>7</v>
      </c>
      <c r="D3758" s="56" t="n">
        <v>85</v>
      </c>
      <c r="E3758" s="56" t="n">
        <v>21.4</v>
      </c>
      <c r="F3758" s="56" t="n">
        <v>0</v>
      </c>
      <c r="G3758" s="56" t="n">
        <v>15.2</v>
      </c>
      <c r="H3758" s="56" t="n">
        <v>0</v>
      </c>
      <c r="I3758" s="56" t="n">
        <v>19.7</v>
      </c>
      <c r="J3758" s="56" t="n">
        <v>0</v>
      </c>
      <c r="K3758" s="56" t="n">
        <v>1013</v>
      </c>
      <c r="L3758" s="56" t="n">
        <v>0</v>
      </c>
      <c r="M3758" s="56" t="n">
        <v>70</v>
      </c>
      <c r="N3758" s="56" t="n">
        <v>5.2</v>
      </c>
      <c r="O3758" s="56" t="n">
        <f aca="false">IF(D3758=1,"",E3757)</f>
        <v>24.2</v>
      </c>
      <c r="P3758" s="56" t="n">
        <f aca="false">IF(OR(D3758=1,K3757=""),"",K3757)</f>
        <v>1016.1</v>
      </c>
      <c r="Q3758" s="56" t="n">
        <f aca="false">IF(OR(F3758&lt;&gt;0,AND(I3758&lt;&gt;"",E3758&lt;I3758)),1,0)</f>
        <v>0</v>
      </c>
      <c r="R3758" s="56" t="n">
        <f aca="false">IF(AND(D3758&gt;1,Q3758=0,ISNUMBER(O3758),ISNUMBER(P3758)),IF(Q3757=0,1,0),0)</f>
        <v>1</v>
      </c>
      <c r="S3758" s="56" t="n">
        <f aca="false">R3758*(B3758&gt;=Train_Start)*(B3758&lt;=Train_End)</f>
        <v>0</v>
      </c>
      <c r="T3758" s="84" t="n">
        <f aca="false">IF(AND(ISNUMBER(O3758),ISNUMBER(P3758)),Coef_A+Coef_B1*O3758+Coef_B2*P3758,"")</f>
        <v>23.7899338312246</v>
      </c>
      <c r="U3758" s="84" t="n">
        <f aca="false">IF(AND(R3758=1,ISNUMBER(T3758)),E3758-T3758,"")</f>
        <v>-2.38993383122464</v>
      </c>
      <c r="V3758" s="84" t="n">
        <f aca="false">IF(ISNUMBER(T3758),T3758,-99)</f>
        <v>23.7899338312246</v>
      </c>
      <c r="W3758" s="84" t="n">
        <f aca="false">IF(ISNUMBER(U3758),ABS(U3758),"")</f>
        <v>2.38993383122464</v>
      </c>
    </row>
    <row r="3759" customFormat="false" ht="15" hidden="false" customHeight="false" outlineLevel="0" collapsed="false">
      <c r="A3759" s="57" t="n">
        <v>37827</v>
      </c>
      <c r="B3759" s="56" t="n">
        <v>2003</v>
      </c>
      <c r="C3759" s="56" t="n">
        <v>7</v>
      </c>
      <c r="D3759" s="56" t="n">
        <v>86</v>
      </c>
      <c r="E3759" s="56" t="n">
        <v>20.7</v>
      </c>
      <c r="F3759" s="56" t="n">
        <v>0</v>
      </c>
      <c r="G3759" s="56" t="n">
        <v>15.5</v>
      </c>
      <c r="H3759" s="56" t="n">
        <v>0</v>
      </c>
      <c r="I3759" s="56" t="n">
        <v>18.4</v>
      </c>
      <c r="J3759" s="56" t="n">
        <v>0</v>
      </c>
      <c r="K3759" s="56" t="n">
        <v>1007</v>
      </c>
      <c r="L3759" s="56" t="n">
        <v>0</v>
      </c>
      <c r="M3759" s="56" t="n">
        <v>82</v>
      </c>
      <c r="N3759" s="56" t="n">
        <v>1.8</v>
      </c>
      <c r="O3759" s="56" t="n">
        <f aca="false">IF(D3759=1,"",E3758)</f>
        <v>21.4</v>
      </c>
      <c r="P3759" s="56" t="n">
        <f aca="false">IF(OR(D3759=1,K3758=""),"",K3758)</f>
        <v>1013</v>
      </c>
      <c r="Q3759" s="56" t="n">
        <f aca="false">IF(OR(F3759&lt;&gt;0,AND(I3759&lt;&gt;"",E3759&lt;I3759)),1,0)</f>
        <v>0</v>
      </c>
      <c r="R3759" s="56" t="n">
        <f aca="false">IF(AND(D3759&gt;1,Q3759=0,ISNUMBER(O3759),ISNUMBER(P3759)),IF(Q3758=0,1,0),0)</f>
        <v>1</v>
      </c>
      <c r="S3759" s="56" t="n">
        <f aca="false">R3759*(B3759&gt;=Train_Start)*(B3759&lt;=Train_End)</f>
        <v>0</v>
      </c>
      <c r="T3759" s="84" t="n">
        <f aca="false">IF(AND(ISNUMBER(O3759),ISNUMBER(P3759)),Coef_A+Coef_B1*O3759+Coef_B2*P3759,"")</f>
        <v>21.3985374173398</v>
      </c>
      <c r="U3759" s="84" t="n">
        <f aca="false">IF(AND(R3759=1,ISNUMBER(T3759)),E3759-T3759,"")</f>
        <v>-0.698537417339825</v>
      </c>
      <c r="V3759" s="84" t="n">
        <f aca="false">IF(ISNUMBER(T3759),T3759,-99)</f>
        <v>21.3985374173398</v>
      </c>
      <c r="W3759" s="84" t="n">
        <f aca="false">IF(ISNUMBER(U3759),ABS(U3759),"")</f>
        <v>0.698537417339825</v>
      </c>
    </row>
    <row r="3760" customFormat="false" ht="15" hidden="false" customHeight="false" outlineLevel="0" collapsed="false">
      <c r="A3760" s="57" t="n">
        <v>37828</v>
      </c>
      <c r="B3760" s="56" t="n">
        <v>2003</v>
      </c>
      <c r="C3760" s="56" t="n">
        <v>7</v>
      </c>
      <c r="D3760" s="56" t="n">
        <v>87</v>
      </c>
      <c r="E3760" s="56" t="n">
        <v>23.5</v>
      </c>
      <c r="F3760" s="56" t="n">
        <v>0</v>
      </c>
      <c r="G3760" s="56" t="n">
        <v>12.5</v>
      </c>
      <c r="H3760" s="56" t="n">
        <v>0</v>
      </c>
      <c r="I3760" s="56" t="n">
        <v>16.6</v>
      </c>
      <c r="J3760" s="56" t="n">
        <v>0</v>
      </c>
      <c r="K3760" s="56" t="n">
        <v>1007</v>
      </c>
      <c r="L3760" s="56" t="n">
        <v>0</v>
      </c>
      <c r="M3760" s="56" t="n">
        <v>80</v>
      </c>
      <c r="N3760" s="56" t="n">
        <v>1.4</v>
      </c>
      <c r="O3760" s="56" t="n">
        <f aca="false">IF(D3760=1,"",E3759)</f>
        <v>20.7</v>
      </c>
      <c r="P3760" s="56" t="n">
        <f aca="false">IF(OR(D3760=1,K3759=""),"",K3759)</f>
        <v>1007</v>
      </c>
      <c r="Q3760" s="56" t="n">
        <f aca="false">IF(OR(F3760&lt;&gt;0,AND(I3760&lt;&gt;"",E3760&lt;I3760)),1,0)</f>
        <v>0</v>
      </c>
      <c r="R3760" s="56" t="n">
        <f aca="false">IF(AND(D3760&gt;1,Q3760=0,ISNUMBER(O3760),ISNUMBER(P3760)),IF(Q3759=0,1,0),0)</f>
        <v>1</v>
      </c>
      <c r="S3760" s="56" t="n">
        <f aca="false">R3760*(B3760&gt;=Train_Start)*(B3760&lt;=Train_End)</f>
        <v>0</v>
      </c>
      <c r="T3760" s="84" t="n">
        <f aca="false">IF(AND(ISNUMBER(O3760),ISNUMBER(P3760)),Coef_A+Coef_B1*O3760+Coef_B2*P3760,"")</f>
        <v>20.636780614406</v>
      </c>
      <c r="U3760" s="84" t="n">
        <f aca="false">IF(AND(R3760=1,ISNUMBER(T3760)),E3760-T3760,"")</f>
        <v>2.86321938559397</v>
      </c>
      <c r="V3760" s="84" t="n">
        <f aca="false">IF(ISNUMBER(T3760),T3760,-99)</f>
        <v>20.636780614406</v>
      </c>
      <c r="W3760" s="84" t="n">
        <f aca="false">IF(ISNUMBER(U3760),ABS(U3760),"")</f>
        <v>2.86321938559397</v>
      </c>
    </row>
    <row r="3761" customFormat="false" ht="15" hidden="false" customHeight="false" outlineLevel="0" collapsed="false">
      <c r="A3761" s="57" t="n">
        <v>37829</v>
      </c>
      <c r="B3761" s="56" t="n">
        <v>2003</v>
      </c>
      <c r="C3761" s="56" t="n">
        <v>7</v>
      </c>
      <c r="D3761" s="56" t="n">
        <v>88</v>
      </c>
      <c r="E3761" s="56" t="n">
        <v>23.1</v>
      </c>
      <c r="F3761" s="56" t="n">
        <v>0</v>
      </c>
      <c r="G3761" s="56" t="n">
        <v>14.5</v>
      </c>
      <c r="H3761" s="56" t="n">
        <v>0</v>
      </c>
      <c r="I3761" s="56" t="n">
        <v>19</v>
      </c>
      <c r="J3761" s="56" t="n">
        <v>0</v>
      </c>
      <c r="K3761" s="56" t="n">
        <v>1010.7</v>
      </c>
      <c r="L3761" s="56" t="n">
        <v>0</v>
      </c>
      <c r="M3761" s="56" t="n">
        <v>65</v>
      </c>
      <c r="N3761" s="56" t="n">
        <v>9.4</v>
      </c>
      <c r="O3761" s="56" t="n">
        <f aca="false">IF(D3761=1,"",E3760)</f>
        <v>23.5</v>
      </c>
      <c r="P3761" s="56" t="n">
        <f aca="false">IF(OR(D3761=1,K3760=""),"",K3760)</f>
        <v>1007</v>
      </c>
      <c r="Q3761" s="56" t="n">
        <f aca="false">IF(OR(F3761&lt;&gt;0,AND(I3761&lt;&gt;"",E3761&lt;I3761)),1,0)</f>
        <v>0</v>
      </c>
      <c r="R3761" s="56" t="n">
        <f aca="false">IF(AND(D3761&gt;1,Q3761=0,ISNUMBER(O3761),ISNUMBER(P3761)),IF(Q3760=0,1,0),0)</f>
        <v>1</v>
      </c>
      <c r="S3761" s="56" t="n">
        <f aca="false">R3761*(B3761&gt;=Train_Start)*(B3761&lt;=Train_End)</f>
        <v>0</v>
      </c>
      <c r="T3761" s="84" t="n">
        <f aca="false">IF(AND(ISNUMBER(O3761),ISNUMBER(P3761)),Coef_A+Coef_B1*O3761+Coef_B2*P3761,"")</f>
        <v>22.9309303549255</v>
      </c>
      <c r="U3761" s="84" t="n">
        <f aca="false">IF(AND(R3761=1,ISNUMBER(T3761)),E3761-T3761,"")</f>
        <v>0.169069645074533</v>
      </c>
      <c r="V3761" s="84" t="n">
        <f aca="false">IF(ISNUMBER(T3761),T3761,-99)</f>
        <v>22.9309303549255</v>
      </c>
      <c r="W3761" s="84" t="n">
        <f aca="false">IF(ISNUMBER(U3761),ABS(U3761),"")</f>
        <v>0.169069645074533</v>
      </c>
    </row>
    <row r="3762" customFormat="false" ht="15" hidden="false" customHeight="false" outlineLevel="0" collapsed="false">
      <c r="A3762" s="57" t="n">
        <v>37830</v>
      </c>
      <c r="B3762" s="56" t="n">
        <v>2003</v>
      </c>
      <c r="C3762" s="56" t="n">
        <v>7</v>
      </c>
      <c r="D3762" s="56" t="n">
        <v>89</v>
      </c>
      <c r="E3762" s="56" t="n">
        <v>21.4</v>
      </c>
      <c r="F3762" s="56" t="n">
        <v>0</v>
      </c>
      <c r="G3762" s="56" t="n">
        <v>11.8</v>
      </c>
      <c r="H3762" s="56" t="n">
        <v>0</v>
      </c>
      <c r="I3762" s="56" t="n">
        <v>17.4</v>
      </c>
      <c r="J3762" s="56" t="n">
        <v>0</v>
      </c>
      <c r="K3762" s="56" t="n">
        <v>1019.6</v>
      </c>
      <c r="L3762" s="56" t="n">
        <v>0</v>
      </c>
      <c r="M3762" s="56" t="n">
        <v>65</v>
      </c>
      <c r="N3762" s="56" t="n">
        <v>7.4</v>
      </c>
      <c r="O3762" s="56" t="n">
        <f aca="false">IF(D3762=1,"",E3761)</f>
        <v>23.1</v>
      </c>
      <c r="P3762" s="56" t="n">
        <f aca="false">IF(OR(D3762=1,K3761=""),"",K3761)</f>
        <v>1010.7</v>
      </c>
      <c r="Q3762" s="56" t="n">
        <f aca="false">IF(OR(F3762&lt;&gt;0,AND(I3762&lt;&gt;"",E3762&lt;I3762)),1,0)</f>
        <v>0</v>
      </c>
      <c r="R3762" s="56" t="n">
        <f aca="false">IF(AND(D3762&gt;1,Q3762=0,ISNUMBER(O3762),ISNUMBER(P3762)),IF(Q3761=0,1,0),0)</f>
        <v>1</v>
      </c>
      <c r="S3762" s="56" t="n">
        <f aca="false">R3762*(B3762&gt;=Train_Start)*(B3762&lt;=Train_End)</f>
        <v>0</v>
      </c>
      <c r="T3762" s="84" t="n">
        <f aca="false">IF(AND(ISNUMBER(O3762),ISNUMBER(P3762)),Coef_A+Coef_B1*O3762+Coef_B2*P3762,"")</f>
        <v>22.7192632878542</v>
      </c>
      <c r="U3762" s="84" t="n">
        <f aca="false">IF(AND(R3762=1,ISNUMBER(T3762)),E3762-T3762,"")</f>
        <v>-1.31926328785417</v>
      </c>
      <c r="V3762" s="84" t="n">
        <f aca="false">IF(ISNUMBER(T3762),T3762,-99)</f>
        <v>22.7192632878542</v>
      </c>
      <c r="W3762" s="84" t="n">
        <f aca="false">IF(ISNUMBER(U3762),ABS(U3762),"")</f>
        <v>1.31926328785417</v>
      </c>
    </row>
    <row r="3763" customFormat="false" ht="15" hidden="false" customHeight="false" outlineLevel="0" collapsed="false">
      <c r="A3763" s="57" t="n">
        <v>37831</v>
      </c>
      <c r="B3763" s="56" t="n">
        <v>2003</v>
      </c>
      <c r="C3763" s="56" t="n">
        <v>7</v>
      </c>
      <c r="D3763" s="56" t="n">
        <v>90</v>
      </c>
      <c r="E3763" s="56" t="n">
        <v>24.8</v>
      </c>
      <c r="F3763" s="56" t="n">
        <v>0</v>
      </c>
      <c r="G3763" s="56" t="n">
        <v>16.1</v>
      </c>
      <c r="H3763" s="56" t="n">
        <v>0</v>
      </c>
      <c r="I3763" s="56" t="n">
        <v>18.8</v>
      </c>
      <c r="J3763" s="56" t="n">
        <v>0</v>
      </c>
      <c r="K3763" s="56" t="n">
        <v>1018.6</v>
      </c>
      <c r="L3763" s="56" t="n">
        <v>0</v>
      </c>
      <c r="M3763" s="56" t="n">
        <v>82</v>
      </c>
      <c r="N3763" s="56" t="n">
        <v>0.2</v>
      </c>
      <c r="O3763" s="56" t="n">
        <f aca="false">IF(D3763=1,"",E3762)</f>
        <v>21.4</v>
      </c>
      <c r="P3763" s="56" t="n">
        <f aca="false">IF(OR(D3763=1,K3762=""),"",K3762)</f>
        <v>1019.6</v>
      </c>
      <c r="Q3763" s="56" t="n">
        <f aca="false">IF(OR(F3763&lt;&gt;0,AND(I3763&lt;&gt;"",E3763&lt;I3763)),1,0)</f>
        <v>0</v>
      </c>
      <c r="R3763" s="56" t="n">
        <f aca="false">IF(AND(D3763&gt;1,Q3763=0,ISNUMBER(O3763),ISNUMBER(P3763)),IF(Q3762=0,1,0),0)</f>
        <v>1</v>
      </c>
      <c r="S3763" s="56" t="n">
        <f aca="false">R3763*(B3763&gt;=Train_Start)*(B3763&lt;=Train_End)</f>
        <v>0</v>
      </c>
      <c r="T3763" s="84" t="n">
        <f aca="false">IF(AND(ISNUMBER(O3763),ISNUMBER(P3763)),Coef_A+Coef_B1*O3763+Coef_B2*P3763,"")</f>
        <v>21.6055787219242</v>
      </c>
      <c r="U3763" s="84" t="n">
        <f aca="false">IF(AND(R3763=1,ISNUMBER(T3763)),E3763-T3763,"")</f>
        <v>3.19442127807585</v>
      </c>
      <c r="V3763" s="84" t="n">
        <f aca="false">IF(ISNUMBER(T3763),T3763,-99)</f>
        <v>21.6055787219242</v>
      </c>
      <c r="W3763" s="84" t="n">
        <f aca="false">IF(ISNUMBER(U3763),ABS(U3763),"")</f>
        <v>3.19442127807585</v>
      </c>
    </row>
    <row r="3764" customFormat="false" ht="15" hidden="false" customHeight="false" outlineLevel="0" collapsed="false">
      <c r="A3764" s="57" t="n">
        <v>37832</v>
      </c>
      <c r="B3764" s="56" t="n">
        <v>2003</v>
      </c>
      <c r="C3764" s="56" t="n">
        <v>7</v>
      </c>
      <c r="D3764" s="56" t="n">
        <v>91</v>
      </c>
      <c r="E3764" s="56" t="n">
        <v>23.1</v>
      </c>
      <c r="F3764" s="56" t="n">
        <v>0</v>
      </c>
      <c r="G3764" s="56" t="n">
        <v>15.9</v>
      </c>
      <c r="H3764" s="56" t="n">
        <v>0</v>
      </c>
      <c r="I3764" s="56" t="n">
        <v>20.4</v>
      </c>
      <c r="J3764" s="56" t="n">
        <v>0</v>
      </c>
      <c r="K3764" s="56" t="n">
        <v>1014.8</v>
      </c>
      <c r="L3764" s="56" t="n">
        <v>0</v>
      </c>
      <c r="M3764" s="56" t="n">
        <v>71</v>
      </c>
      <c r="N3764" s="56" t="n">
        <v>7.9</v>
      </c>
      <c r="O3764" s="56" t="n">
        <f aca="false">IF(D3764=1,"",E3763)</f>
        <v>24.8</v>
      </c>
      <c r="P3764" s="56" t="n">
        <f aca="false">IF(OR(D3764=1,K3763=""),"",K3763)</f>
        <v>1018.6</v>
      </c>
      <c r="Q3764" s="56" t="n">
        <f aca="false">IF(OR(F3764&lt;&gt;0,AND(I3764&lt;&gt;"",E3764&lt;I3764)),1,0)</f>
        <v>0</v>
      </c>
      <c r="R3764" s="56" t="n">
        <f aca="false">IF(AND(D3764&gt;1,Q3764=0,ISNUMBER(O3764),ISNUMBER(P3764)),IF(Q3763=0,1,0),0)</f>
        <v>1</v>
      </c>
      <c r="S3764" s="56" t="n">
        <f aca="false">R3764*(B3764&gt;=Train_Start)*(B3764&lt;=Train_End)</f>
        <v>0</v>
      </c>
      <c r="T3764" s="84" t="n">
        <f aca="false">IF(AND(ISNUMBER(O3764),ISNUMBER(P3764)),Coef_A+Coef_B1*O3764+Coef_B2*P3764,"")</f>
        <v>24.3599620836352</v>
      </c>
      <c r="U3764" s="84" t="n">
        <f aca="false">IF(AND(R3764=1,ISNUMBER(T3764)),E3764-T3764,"")</f>
        <v>-1.2599620836352</v>
      </c>
      <c r="V3764" s="84" t="n">
        <f aca="false">IF(ISNUMBER(T3764),T3764,-99)</f>
        <v>24.3599620836352</v>
      </c>
      <c r="W3764" s="84" t="n">
        <f aca="false">IF(ISNUMBER(U3764),ABS(U3764),"")</f>
        <v>1.2599620836352</v>
      </c>
    </row>
    <row r="3765" customFormat="false" ht="15" hidden="false" customHeight="false" outlineLevel="0" collapsed="false">
      <c r="A3765" s="57" t="n">
        <v>37833</v>
      </c>
      <c r="B3765" s="56" t="n">
        <v>2003</v>
      </c>
      <c r="C3765" s="56" t="n">
        <v>7</v>
      </c>
      <c r="D3765" s="56" t="n">
        <v>92</v>
      </c>
      <c r="E3765" s="56" t="n">
        <v>19.5</v>
      </c>
      <c r="F3765" s="56" t="n">
        <v>0</v>
      </c>
      <c r="G3765" s="56" t="n">
        <v>15</v>
      </c>
      <c r="H3765" s="56" t="n">
        <v>0</v>
      </c>
      <c r="I3765" s="56" t="n">
        <v>19</v>
      </c>
      <c r="J3765" s="56" t="n">
        <v>0</v>
      </c>
      <c r="K3765" s="56" t="n">
        <v>1017</v>
      </c>
      <c r="L3765" s="56" t="n">
        <v>0</v>
      </c>
      <c r="M3765" s="56" t="n">
        <v>71</v>
      </c>
      <c r="N3765" s="56" t="n">
        <v>2</v>
      </c>
      <c r="O3765" s="56" t="n">
        <f aca="false">IF(D3765=1,"",E3764)</f>
        <v>23.1</v>
      </c>
      <c r="P3765" s="56" t="n">
        <f aca="false">IF(OR(D3765=1,K3764=""),"",K3764)</f>
        <v>1014.8</v>
      </c>
      <c r="Q3765" s="56" t="n">
        <f aca="false">IF(OR(F3765&lt;&gt;0,AND(I3765&lt;&gt;"",E3765&lt;I3765)),1,0)</f>
        <v>0</v>
      </c>
      <c r="R3765" s="56" t="n">
        <f aca="false">IF(AND(D3765&gt;1,Q3765=0,ISNUMBER(O3765),ISNUMBER(P3765)),IF(Q3764=0,1,0),0)</f>
        <v>1</v>
      </c>
      <c r="S3765" s="56" t="n">
        <f aca="false">R3765*(B3765&gt;=Train_Start)*(B3765&lt;=Train_End)</f>
        <v>0</v>
      </c>
      <c r="T3765" s="84" t="n">
        <f aca="false">IF(AND(ISNUMBER(O3765),ISNUMBER(P3765)),Coef_A+Coef_B1*O3765+Coef_B2*P3765,"")</f>
        <v>22.8478798558535</v>
      </c>
      <c r="U3765" s="84" t="n">
        <f aca="false">IF(AND(R3765=1,ISNUMBER(T3765)),E3765-T3765,"")</f>
        <v>-3.34787985585352</v>
      </c>
      <c r="V3765" s="84" t="n">
        <f aca="false">IF(ISNUMBER(T3765),T3765,-99)</f>
        <v>22.8478798558535</v>
      </c>
      <c r="W3765" s="84" t="n">
        <f aca="false">IF(ISNUMBER(U3765),ABS(U3765),"")</f>
        <v>3.34787985585352</v>
      </c>
    </row>
    <row r="3766" customFormat="false" ht="15" hidden="false" customHeight="false" outlineLevel="0" collapsed="false">
      <c r="A3766" s="57" t="n">
        <v>37834</v>
      </c>
      <c r="B3766" s="56" t="n">
        <v>2003</v>
      </c>
      <c r="C3766" s="56" t="n">
        <v>8</v>
      </c>
      <c r="D3766" s="56" t="n">
        <v>93</v>
      </c>
      <c r="E3766" s="56" t="n">
        <v>25.1</v>
      </c>
      <c r="F3766" s="56" t="n">
        <v>0</v>
      </c>
      <c r="G3766" s="56" t="n">
        <v>15.2</v>
      </c>
      <c r="H3766" s="56" t="n">
        <v>0</v>
      </c>
      <c r="I3766" s="56" t="n">
        <v>17.4</v>
      </c>
      <c r="J3766" s="56" t="n">
        <v>0</v>
      </c>
      <c r="K3766" s="56" t="n">
        <v>1018</v>
      </c>
      <c r="L3766" s="56" t="n">
        <v>0</v>
      </c>
      <c r="M3766" s="56" t="n">
        <v>84</v>
      </c>
      <c r="N3766" s="56" t="n">
        <v>0</v>
      </c>
      <c r="O3766" s="56" t="n">
        <f aca="false">IF(D3766=1,"",E3765)</f>
        <v>19.5</v>
      </c>
      <c r="P3766" s="56" t="n">
        <f aca="false">IF(OR(D3766=1,K3765=""),"",K3765)</f>
        <v>1017</v>
      </c>
      <c r="Q3766" s="56" t="n">
        <f aca="false">IF(OR(F3766&lt;&gt;0,AND(I3766&lt;&gt;"",E3766&lt;I3766)),1,0)</f>
        <v>0</v>
      </c>
      <c r="R3766" s="56" t="n">
        <f aca="false">IF(AND(D3766&gt;1,Q3766=0,ISNUMBER(O3766),ISNUMBER(P3766)),IF(Q3765=0,1,0),0)</f>
        <v>1</v>
      </c>
      <c r="S3766" s="56" t="n">
        <f aca="false">R3766*(B3766&gt;=Train_Start)*(B3766&lt;=Train_End)</f>
        <v>0</v>
      </c>
      <c r="T3766" s="84" t="n">
        <f aca="false">IF(AND(ISNUMBER(O3766),ISNUMBER(P3766)),Coef_A+Coef_B1*O3766+Coef_B2*P3766,"")</f>
        <v>19.9672725290947</v>
      </c>
      <c r="U3766" s="84" t="n">
        <f aca="false">IF(AND(R3766=1,ISNUMBER(T3766)),E3766-T3766,"")</f>
        <v>5.13272747090527</v>
      </c>
      <c r="V3766" s="84" t="n">
        <f aca="false">IF(ISNUMBER(T3766),T3766,-99)</f>
        <v>19.9672725290947</v>
      </c>
      <c r="W3766" s="84" t="n">
        <f aca="false">IF(ISNUMBER(U3766),ABS(U3766),"")</f>
        <v>5.13272747090527</v>
      </c>
    </row>
    <row r="3767" customFormat="false" ht="15" hidden="false" customHeight="false" outlineLevel="0" collapsed="false">
      <c r="A3767" s="57" t="n">
        <v>37835</v>
      </c>
      <c r="B3767" s="56" t="n">
        <v>2003</v>
      </c>
      <c r="C3767" s="56" t="n">
        <v>8</v>
      </c>
      <c r="D3767" s="56" t="n">
        <v>94</v>
      </c>
      <c r="E3767" s="56" t="n">
        <v>29.5</v>
      </c>
      <c r="F3767" s="56" t="n">
        <v>0</v>
      </c>
      <c r="G3767" s="56" t="n">
        <v>12.3</v>
      </c>
      <c r="H3767" s="56" t="n">
        <v>0</v>
      </c>
      <c r="I3767" s="56" t="n">
        <v>18.7</v>
      </c>
      <c r="J3767" s="56" t="n">
        <v>0</v>
      </c>
      <c r="K3767" s="56" t="n">
        <v>1021.8</v>
      </c>
      <c r="L3767" s="56" t="n">
        <v>0</v>
      </c>
      <c r="M3767" s="56" t="n">
        <v>61</v>
      </c>
      <c r="N3767" s="56" t="n">
        <v>14.5</v>
      </c>
      <c r="O3767" s="56" t="n">
        <f aca="false">IF(D3767=1,"",E3766)</f>
        <v>25.1</v>
      </c>
      <c r="P3767" s="56" t="n">
        <f aca="false">IF(OR(D3767=1,K3766=""),"",K3766)</f>
        <v>1018</v>
      </c>
      <c r="Q3767" s="56" t="n">
        <f aca="false">IF(OR(F3767&lt;&gt;0,AND(I3767&lt;&gt;"",E3767&lt;I3767)),1,0)</f>
        <v>0</v>
      </c>
      <c r="R3767" s="56" t="n">
        <f aca="false">IF(AND(D3767&gt;1,Q3767=0,ISNUMBER(O3767),ISNUMBER(P3767)),IF(Q3766=0,1,0),0)</f>
        <v>1</v>
      </c>
      <c r="S3767" s="56" t="n">
        <f aca="false">R3767*(B3767&gt;=Train_Start)*(B3767&lt;=Train_End)</f>
        <v>0</v>
      </c>
      <c r="T3767" s="84" t="n">
        <f aca="false">IF(AND(ISNUMBER(O3767),ISNUMBER(P3767)),Coef_A+Coef_B1*O3767+Coef_B2*P3767,"")</f>
        <v>24.5869419047676</v>
      </c>
      <c r="U3767" s="84" t="n">
        <f aca="false">IF(AND(R3767=1,ISNUMBER(T3767)),E3767-T3767,"")</f>
        <v>4.91305809523239</v>
      </c>
      <c r="V3767" s="84" t="n">
        <f aca="false">IF(ISNUMBER(T3767),T3767,-99)</f>
        <v>24.5869419047676</v>
      </c>
      <c r="W3767" s="84" t="n">
        <f aca="false">IF(ISNUMBER(U3767),ABS(U3767),"")</f>
        <v>4.91305809523239</v>
      </c>
    </row>
    <row r="3768" customFormat="false" ht="15" hidden="false" customHeight="false" outlineLevel="0" collapsed="false">
      <c r="A3768" s="57" t="n">
        <v>37836</v>
      </c>
      <c r="B3768" s="56" t="n">
        <v>2003</v>
      </c>
      <c r="C3768" s="56" t="n">
        <v>8</v>
      </c>
      <c r="D3768" s="56" t="n">
        <v>95</v>
      </c>
      <c r="E3768" s="56" t="n">
        <v>31.8</v>
      </c>
      <c r="F3768" s="56" t="n">
        <v>0</v>
      </c>
      <c r="G3768" s="56" t="n">
        <v>13.1</v>
      </c>
      <c r="H3768" s="56" t="n">
        <v>0</v>
      </c>
      <c r="I3768" s="56" t="n">
        <v>21.3</v>
      </c>
      <c r="J3768" s="56" t="n">
        <v>0</v>
      </c>
      <c r="K3768" s="56" t="n">
        <v>1022.2</v>
      </c>
      <c r="L3768" s="56" t="n">
        <v>0</v>
      </c>
      <c r="M3768" s="56" t="n">
        <v>54</v>
      </c>
      <c r="N3768" s="56" t="n">
        <v>13.9</v>
      </c>
      <c r="O3768" s="56" t="n">
        <f aca="false">IF(D3768=1,"",E3767)</f>
        <v>29.5</v>
      </c>
      <c r="P3768" s="56" t="n">
        <f aca="false">IF(OR(D3768=1,K3767=""),"",K3767)</f>
        <v>1021.8</v>
      </c>
      <c r="Q3768" s="56" t="n">
        <f aca="false">IF(OR(F3768&lt;&gt;0,AND(I3768&lt;&gt;"",E3768&lt;I3768)),1,0)</f>
        <v>0</v>
      </c>
      <c r="R3768" s="56" t="n">
        <f aca="false">IF(AND(D3768&gt;1,Q3768=0,ISNUMBER(O3768),ISNUMBER(P3768)),IF(Q3767=0,1,0),0)</f>
        <v>1</v>
      </c>
      <c r="S3768" s="56" t="n">
        <f aca="false">R3768*(B3768&gt;=Train_Start)*(B3768&lt;=Train_End)</f>
        <v>0</v>
      </c>
      <c r="T3768" s="84" t="n">
        <f aca="false">IF(AND(ISNUMBER(O3768),ISNUMBER(P3768)),Coef_A+Coef_B1*O3768+Coef_B2*P3768,"")</f>
        <v>28.3112399537645</v>
      </c>
      <c r="U3768" s="84" t="n">
        <f aca="false">IF(AND(R3768=1,ISNUMBER(T3768)),E3768-T3768,"")</f>
        <v>3.48876004623554</v>
      </c>
      <c r="V3768" s="84" t="n">
        <f aca="false">IF(ISNUMBER(T3768),T3768,-99)</f>
        <v>28.3112399537645</v>
      </c>
      <c r="W3768" s="84" t="n">
        <f aca="false">IF(ISNUMBER(U3768),ABS(U3768),"")</f>
        <v>3.48876004623554</v>
      </c>
    </row>
    <row r="3769" customFormat="false" ht="15" hidden="false" customHeight="false" outlineLevel="0" collapsed="false">
      <c r="A3769" s="57" t="n">
        <v>37837</v>
      </c>
      <c r="B3769" s="56" t="n">
        <v>2003</v>
      </c>
      <c r="C3769" s="56" t="n">
        <v>8</v>
      </c>
      <c r="D3769" s="56" t="n">
        <v>96</v>
      </c>
      <c r="E3769" s="56" t="n">
        <v>32.2</v>
      </c>
      <c r="F3769" s="56" t="n">
        <v>0</v>
      </c>
      <c r="G3769" s="56" t="n">
        <v>16.7</v>
      </c>
      <c r="H3769" s="56" t="n">
        <v>0</v>
      </c>
      <c r="I3769" s="56" t="n">
        <v>24.2</v>
      </c>
      <c r="J3769" s="56" t="n">
        <v>0</v>
      </c>
      <c r="K3769" s="56" t="n">
        <v>1023.5</v>
      </c>
      <c r="L3769" s="56" t="n">
        <v>0</v>
      </c>
      <c r="M3769" s="56" t="n">
        <v>59</v>
      </c>
      <c r="N3769" s="56" t="n">
        <v>12</v>
      </c>
      <c r="O3769" s="56" t="n">
        <f aca="false">IF(D3769=1,"",E3768)</f>
        <v>31.8</v>
      </c>
      <c r="P3769" s="56" t="n">
        <f aca="false">IF(OR(D3769=1,K3768=""),"",K3768)</f>
        <v>1022.2</v>
      </c>
      <c r="Q3769" s="56" t="n">
        <f aca="false">IF(OR(F3769&lt;&gt;0,AND(I3769&lt;&gt;"",E3769&lt;I3769)),1,0)</f>
        <v>0</v>
      </c>
      <c r="R3769" s="56" t="n">
        <f aca="false">IF(AND(D3769&gt;1,Q3769=0,ISNUMBER(O3769),ISNUMBER(P3769)),IF(Q3768=0,1,0),0)</f>
        <v>1</v>
      </c>
      <c r="S3769" s="56" t="n">
        <f aca="false">R3769*(B3769&gt;=Train_Start)*(B3769&lt;=Train_End)</f>
        <v>0</v>
      </c>
      <c r="T3769" s="84" t="n">
        <f aca="false">IF(AND(ISNUMBER(O3769),ISNUMBER(P3769)),Coef_A+Coef_B1*O3769+Coef_B2*P3769,"")</f>
        <v>30.2082680556162</v>
      </c>
      <c r="U3769" s="84" t="n">
        <f aca="false">IF(AND(R3769=1,ISNUMBER(T3769)),E3769-T3769,"")</f>
        <v>1.99173194438384</v>
      </c>
      <c r="V3769" s="84" t="n">
        <f aca="false">IF(ISNUMBER(T3769),T3769,-99)</f>
        <v>30.2082680556162</v>
      </c>
      <c r="W3769" s="84" t="n">
        <f aca="false">IF(ISNUMBER(U3769),ABS(U3769),"")</f>
        <v>1.99173194438384</v>
      </c>
    </row>
    <row r="3770" customFormat="false" ht="15" hidden="false" customHeight="false" outlineLevel="0" collapsed="false">
      <c r="A3770" s="57" t="n">
        <v>37838</v>
      </c>
      <c r="B3770" s="56" t="n">
        <v>2003</v>
      </c>
      <c r="C3770" s="56" t="n">
        <v>8</v>
      </c>
      <c r="D3770" s="56" t="n">
        <v>97</v>
      </c>
      <c r="E3770" s="56" t="n">
        <v>35.2</v>
      </c>
      <c r="F3770" s="56" t="n">
        <v>0</v>
      </c>
      <c r="G3770" s="56" t="n">
        <v>18.7</v>
      </c>
      <c r="H3770" s="56" t="n">
        <v>0</v>
      </c>
      <c r="I3770" s="56" t="n">
        <v>25.4</v>
      </c>
      <c r="J3770" s="56" t="n">
        <v>0</v>
      </c>
      <c r="K3770" s="56" t="n">
        <v>1023.5</v>
      </c>
      <c r="L3770" s="56" t="n">
        <v>0</v>
      </c>
      <c r="M3770" s="56" t="n">
        <v>55</v>
      </c>
      <c r="N3770" s="56" t="n">
        <v>10</v>
      </c>
      <c r="O3770" s="56" t="n">
        <f aca="false">IF(D3770=1,"",E3769)</f>
        <v>32.2</v>
      </c>
      <c r="P3770" s="56" t="n">
        <f aca="false">IF(OR(D3770=1,K3769=""),"",K3769)</f>
        <v>1023.5</v>
      </c>
      <c r="Q3770" s="56" t="n">
        <f aca="false">IF(OR(F3770&lt;&gt;0,AND(I3770&lt;&gt;"",E3770&lt;I3770)),1,0)</f>
        <v>0</v>
      </c>
      <c r="R3770" s="56" t="n">
        <f aca="false">IF(AND(D3770&gt;1,Q3770=0,ISNUMBER(O3770),ISNUMBER(P3770)),IF(Q3769=0,1,0),0)</f>
        <v>1</v>
      </c>
      <c r="S3770" s="56" t="n">
        <f aca="false">R3770*(B3770&gt;=Train_Start)*(B3770&lt;=Train_End)</f>
        <v>0</v>
      </c>
      <c r="T3770" s="84" t="n">
        <f aca="false">IF(AND(ISNUMBER(O3770),ISNUMBER(P3770)),Coef_A+Coef_B1*O3770+Coef_B2*P3770,"")</f>
        <v>30.5767845958574</v>
      </c>
      <c r="U3770" s="84" t="n">
        <f aca="false">IF(AND(R3770=1,ISNUMBER(T3770)),E3770-T3770,"")</f>
        <v>4.62321540414258</v>
      </c>
      <c r="V3770" s="84" t="n">
        <f aca="false">IF(ISNUMBER(T3770),T3770,-99)</f>
        <v>30.5767845958574</v>
      </c>
      <c r="W3770" s="84" t="n">
        <f aca="false">IF(ISNUMBER(U3770),ABS(U3770),"")</f>
        <v>4.62321540414258</v>
      </c>
    </row>
    <row r="3771" customFormat="false" ht="15" hidden="false" customHeight="false" outlineLevel="0" collapsed="false">
      <c r="A3771" s="57" t="n">
        <v>37839</v>
      </c>
      <c r="B3771" s="56" t="n">
        <v>2003</v>
      </c>
      <c r="C3771" s="56" t="n">
        <v>8</v>
      </c>
      <c r="D3771" s="56" t="n">
        <v>98</v>
      </c>
      <c r="E3771" s="56" t="n">
        <v>29.7</v>
      </c>
      <c r="F3771" s="56" t="n">
        <v>0</v>
      </c>
      <c r="G3771" s="56" t="n">
        <v>20.3</v>
      </c>
      <c r="H3771" s="56" t="n">
        <v>0</v>
      </c>
      <c r="I3771" s="56" t="n">
        <v>27.8</v>
      </c>
      <c r="J3771" s="56" t="n">
        <v>0</v>
      </c>
      <c r="K3771" s="56" t="n">
        <v>1019.9</v>
      </c>
      <c r="L3771" s="56" t="n">
        <v>0</v>
      </c>
      <c r="M3771" s="56" t="n">
        <v>50</v>
      </c>
      <c r="N3771" s="56" t="n">
        <v>12.7</v>
      </c>
      <c r="O3771" s="56" t="n">
        <f aca="false">IF(D3771=1,"",E3770)</f>
        <v>35.2</v>
      </c>
      <c r="P3771" s="56" t="n">
        <f aca="false">IF(OR(D3771=1,K3770=""),"",K3770)</f>
        <v>1023.5</v>
      </c>
      <c r="Q3771" s="56" t="n">
        <f aca="false">IF(OR(F3771&lt;&gt;0,AND(I3771&lt;&gt;"",E3771&lt;I3771)),1,0)</f>
        <v>0</v>
      </c>
      <c r="R3771" s="56" t="n">
        <f aca="false">IF(AND(D3771&gt;1,Q3771=0,ISNUMBER(O3771),ISNUMBER(P3771)),IF(Q3770=0,1,0),0)</f>
        <v>1</v>
      </c>
      <c r="S3771" s="56" t="n">
        <f aca="false">R3771*(B3771&gt;=Train_Start)*(B3771&lt;=Train_End)</f>
        <v>0</v>
      </c>
      <c r="T3771" s="84" t="n">
        <f aca="false">IF(AND(ISNUMBER(O3771),ISNUMBER(P3771)),Coef_A+Coef_B1*O3771+Coef_B2*P3771,"")</f>
        <v>33.0348021749854</v>
      </c>
      <c r="U3771" s="84" t="n">
        <f aca="false">IF(AND(R3771=1,ISNUMBER(T3771)),E3771-T3771,"")</f>
        <v>-3.3348021749854</v>
      </c>
      <c r="V3771" s="84" t="n">
        <f aca="false">IF(ISNUMBER(T3771),T3771,-99)</f>
        <v>33.0348021749854</v>
      </c>
      <c r="W3771" s="84" t="n">
        <f aca="false">IF(ISNUMBER(U3771),ABS(U3771),"")</f>
        <v>3.3348021749854</v>
      </c>
    </row>
    <row r="3772" customFormat="false" ht="15" hidden="false" customHeight="false" outlineLevel="0" collapsed="false">
      <c r="A3772" s="57" t="n">
        <v>37840</v>
      </c>
      <c r="B3772" s="56" t="n">
        <v>2003</v>
      </c>
      <c r="C3772" s="56" t="n">
        <v>8</v>
      </c>
      <c r="D3772" s="56" t="n">
        <v>99</v>
      </c>
      <c r="E3772" s="56" t="n">
        <v>30.7</v>
      </c>
      <c r="F3772" s="56" t="n">
        <v>0</v>
      </c>
      <c r="G3772" s="56" t="n">
        <v>18</v>
      </c>
      <c r="H3772" s="56" t="n">
        <v>0</v>
      </c>
      <c r="I3772" s="56" t="n">
        <v>23.8</v>
      </c>
      <c r="J3772" s="56" t="n">
        <v>0</v>
      </c>
      <c r="K3772" s="56" t="n">
        <v>1021.1</v>
      </c>
      <c r="L3772" s="56" t="n">
        <v>0</v>
      </c>
      <c r="M3772" s="56" t="n">
        <v>65</v>
      </c>
      <c r="N3772" s="56" t="n">
        <v>12.9</v>
      </c>
      <c r="O3772" s="56" t="n">
        <f aca="false">IF(D3772=1,"",E3771)</f>
        <v>29.7</v>
      </c>
      <c r="P3772" s="56" t="n">
        <f aca="false">IF(OR(D3772=1,K3771=""),"",K3771)</f>
        <v>1019.9</v>
      </c>
      <c r="Q3772" s="56" t="n">
        <f aca="false">IF(OR(F3772&lt;&gt;0,AND(I3772&lt;&gt;"",E3772&lt;I3772)),1,0)</f>
        <v>0</v>
      </c>
      <c r="R3772" s="56" t="n">
        <f aca="false">IF(AND(D3772&gt;1,Q3772=0,ISNUMBER(O3772),ISNUMBER(P3772)),IF(Q3771=0,1,0),0)</f>
        <v>1</v>
      </c>
      <c r="S3772" s="56" t="n">
        <f aca="false">R3772*(B3772&gt;=Train_Start)*(B3772&lt;=Train_End)</f>
        <v>0</v>
      </c>
      <c r="T3772" s="84" t="n">
        <f aca="false">IF(AND(ISNUMBER(O3772),ISNUMBER(P3772)),Coef_A+Coef_B1*O3772+Coef_B2*P3772,"")</f>
        <v>28.4155049925684</v>
      </c>
      <c r="U3772" s="84" t="n">
        <f aca="false">IF(AND(R3772=1,ISNUMBER(T3772)),E3772-T3772,"")</f>
        <v>2.28449500743159</v>
      </c>
      <c r="V3772" s="84" t="n">
        <f aca="false">IF(ISNUMBER(T3772),T3772,-99)</f>
        <v>28.4155049925684</v>
      </c>
      <c r="W3772" s="84" t="n">
        <f aca="false">IF(ISNUMBER(U3772),ABS(U3772),"")</f>
        <v>2.28449500743159</v>
      </c>
    </row>
    <row r="3773" customFormat="false" ht="15" hidden="false" customHeight="false" outlineLevel="0" collapsed="false">
      <c r="A3773" s="57" t="n">
        <v>37841</v>
      </c>
      <c r="B3773" s="56" t="n">
        <v>2003</v>
      </c>
      <c r="C3773" s="56" t="n">
        <v>8</v>
      </c>
      <c r="D3773" s="56" t="n">
        <v>100</v>
      </c>
      <c r="E3773" s="56" t="n">
        <v>35</v>
      </c>
      <c r="F3773" s="56" t="n">
        <v>0</v>
      </c>
      <c r="G3773" s="56" t="n">
        <v>18.8</v>
      </c>
      <c r="H3773" s="56" t="n">
        <v>0</v>
      </c>
      <c r="I3773" s="56" t="n">
        <v>24.8</v>
      </c>
      <c r="J3773" s="56" t="n">
        <v>0</v>
      </c>
      <c r="K3773" s="56" t="n">
        <v>1020</v>
      </c>
      <c r="L3773" s="56" t="n">
        <v>0</v>
      </c>
      <c r="M3773" s="56" t="n">
        <v>63</v>
      </c>
      <c r="N3773" s="56" t="n">
        <v>12.3</v>
      </c>
      <c r="O3773" s="56" t="n">
        <f aca="false">IF(D3773=1,"",E3772)</f>
        <v>30.7</v>
      </c>
      <c r="P3773" s="56" t="n">
        <f aca="false">IF(OR(D3773=1,K3772=""),"",K3772)</f>
        <v>1021.1</v>
      </c>
      <c r="Q3773" s="56" t="n">
        <f aca="false">IF(OR(F3773&lt;&gt;0,AND(I3773&lt;&gt;"",E3773&lt;I3773)),1,0)</f>
        <v>0</v>
      </c>
      <c r="R3773" s="56" t="n">
        <f aca="false">IF(AND(D3773&gt;1,Q3773=0,ISNUMBER(O3773),ISNUMBER(P3773)),IF(Q3772=0,1,0),0)</f>
        <v>1</v>
      </c>
      <c r="S3773" s="56" t="n">
        <f aca="false">R3773*(B3773&gt;=Train_Start)*(B3773&lt;=Train_End)</f>
        <v>0</v>
      </c>
      <c r="T3773" s="84" t="n">
        <f aca="false">IF(AND(ISNUMBER(O3773),ISNUMBER(P3773)),Coef_A+Coef_B1*O3773+Coef_B2*P3773,"")</f>
        <v>29.2724880591719</v>
      </c>
      <c r="U3773" s="84" t="n">
        <f aca="false">IF(AND(R3773=1,ISNUMBER(T3773)),E3773-T3773,"")</f>
        <v>5.72751194082815</v>
      </c>
      <c r="V3773" s="84" t="n">
        <f aca="false">IF(ISNUMBER(T3773),T3773,-99)</f>
        <v>29.2724880591719</v>
      </c>
      <c r="W3773" s="84" t="n">
        <f aca="false">IF(ISNUMBER(U3773),ABS(U3773),"")</f>
        <v>5.72751194082815</v>
      </c>
    </row>
    <row r="3774" customFormat="false" ht="15" hidden="false" customHeight="false" outlineLevel="0" collapsed="false">
      <c r="A3774" s="57" t="n">
        <v>37842</v>
      </c>
      <c r="B3774" s="56" t="n">
        <v>2003</v>
      </c>
      <c r="C3774" s="56" t="n">
        <v>8</v>
      </c>
      <c r="D3774" s="56" t="n">
        <v>101</v>
      </c>
      <c r="E3774" s="56" t="n">
        <v>37.9</v>
      </c>
      <c r="F3774" s="56" t="n">
        <v>0</v>
      </c>
      <c r="G3774" s="56" t="n">
        <v>18.3</v>
      </c>
      <c r="H3774" s="56" t="n">
        <v>0</v>
      </c>
      <c r="I3774" s="56" t="n">
        <v>26.6</v>
      </c>
      <c r="J3774" s="56" t="n">
        <v>0</v>
      </c>
      <c r="K3774" s="56" t="n">
        <v>1018.7</v>
      </c>
      <c r="L3774" s="56" t="n">
        <v>0</v>
      </c>
      <c r="M3774" s="56" t="n">
        <v>56</v>
      </c>
      <c r="N3774" s="56" t="n">
        <v>13</v>
      </c>
      <c r="O3774" s="56" t="n">
        <f aca="false">IF(D3774=1,"",E3773)</f>
        <v>35</v>
      </c>
      <c r="P3774" s="56" t="n">
        <f aca="false">IF(OR(D3774=1,K3773=""),"",K3773)</f>
        <v>1020</v>
      </c>
      <c r="Q3774" s="56" t="n">
        <f aca="false">IF(OR(F3774&lt;&gt;0,AND(I3774&lt;&gt;"",E3774&lt;I3774)),1,0)</f>
        <v>0</v>
      </c>
      <c r="R3774" s="56" t="n">
        <f aca="false">IF(AND(D3774&gt;1,Q3774=0,ISNUMBER(O3774),ISNUMBER(P3774)),IF(Q3773=0,1,0),0)</f>
        <v>1</v>
      </c>
      <c r="S3774" s="56" t="n">
        <f aca="false">R3774*(B3774&gt;=Train_Start)*(B3774&lt;=Train_End)</f>
        <v>0</v>
      </c>
      <c r="T3774" s="84" t="n">
        <f aca="false">IF(AND(ISNUMBER(O3774),ISNUMBER(P3774)),Coef_A+Coef_B1*O3774+Coef_B2*P3774,"")</f>
        <v>32.7611397051579</v>
      </c>
      <c r="U3774" s="84" t="n">
        <f aca="false">IF(AND(R3774=1,ISNUMBER(T3774)),E3774-T3774,"")</f>
        <v>5.13886029484211</v>
      </c>
      <c r="V3774" s="84" t="n">
        <f aca="false">IF(ISNUMBER(T3774),T3774,-99)</f>
        <v>32.7611397051579</v>
      </c>
      <c r="W3774" s="84" t="n">
        <f aca="false">IF(ISNUMBER(U3774),ABS(U3774),"")</f>
        <v>5.13886029484211</v>
      </c>
    </row>
    <row r="3775" customFormat="false" ht="15" hidden="false" customHeight="false" outlineLevel="0" collapsed="false">
      <c r="A3775" s="57" t="n">
        <v>37843</v>
      </c>
      <c r="B3775" s="56" t="n">
        <v>2003</v>
      </c>
      <c r="C3775" s="56" t="n">
        <v>8</v>
      </c>
      <c r="D3775" s="56" t="n">
        <v>102</v>
      </c>
      <c r="E3775" s="56" t="n">
        <v>33.7</v>
      </c>
      <c r="F3775" s="56" t="n">
        <v>0</v>
      </c>
      <c r="G3775" s="56" t="n">
        <v>20.1</v>
      </c>
      <c r="H3775" s="56" t="n">
        <v>0</v>
      </c>
      <c r="I3775" s="56" t="n">
        <v>29</v>
      </c>
      <c r="J3775" s="56" t="n">
        <v>0</v>
      </c>
      <c r="K3775" s="56" t="n">
        <v>1016.4</v>
      </c>
      <c r="L3775" s="56" t="n">
        <v>0</v>
      </c>
      <c r="M3775" s="56" t="n">
        <v>51</v>
      </c>
      <c r="N3775" s="56" t="n">
        <v>12.5</v>
      </c>
      <c r="O3775" s="56" t="n">
        <f aca="false">IF(D3775=1,"",E3774)</f>
        <v>37.9</v>
      </c>
      <c r="P3775" s="56" t="n">
        <f aca="false">IF(OR(D3775=1,K3774=""),"",K3774)</f>
        <v>1018.7</v>
      </c>
      <c r="Q3775" s="56" t="n">
        <f aca="false">IF(OR(F3775&lt;&gt;0,AND(I3775&lt;&gt;"",E3775&lt;I3775)),1,0)</f>
        <v>0</v>
      </c>
      <c r="R3775" s="56" t="n">
        <f aca="false">IF(AND(D3775&gt;1,Q3775=0,ISNUMBER(O3775),ISNUMBER(P3775)),IF(Q3774=0,1,0),0)</f>
        <v>1</v>
      </c>
      <c r="S3775" s="56" t="n">
        <f aca="false">R3775*(B3775&gt;=Train_Start)*(B3775&lt;=Train_End)</f>
        <v>0</v>
      </c>
      <c r="T3775" s="84" t="n">
        <f aca="false">IF(AND(ISNUMBER(O3775),ISNUMBER(P3775)),Coef_A+Coef_B1*O3775+Coef_B2*P3775,"")</f>
        <v>35.0964425019574</v>
      </c>
      <c r="U3775" s="84" t="n">
        <f aca="false">IF(AND(R3775=1,ISNUMBER(T3775)),E3775-T3775,"")</f>
        <v>-1.39644250195741</v>
      </c>
      <c r="V3775" s="84" t="n">
        <f aca="false">IF(ISNUMBER(T3775),T3775,-99)</f>
        <v>35.0964425019574</v>
      </c>
      <c r="W3775" s="84" t="n">
        <f aca="false">IF(ISNUMBER(U3775),ABS(U3775),"")</f>
        <v>1.39644250195741</v>
      </c>
    </row>
    <row r="3776" customFormat="false" ht="15" hidden="false" customHeight="false" outlineLevel="0" collapsed="false">
      <c r="A3776" s="57" t="n">
        <v>37844</v>
      </c>
      <c r="B3776" s="56" t="n">
        <v>2003</v>
      </c>
      <c r="C3776" s="56" t="n">
        <v>8</v>
      </c>
      <c r="D3776" s="56" t="n">
        <v>103</v>
      </c>
      <c r="E3776" s="56" t="n">
        <v>30.1</v>
      </c>
      <c r="F3776" s="56" t="n">
        <v>0</v>
      </c>
      <c r="G3776" s="56" t="n">
        <v>20</v>
      </c>
      <c r="H3776" s="56" t="n">
        <v>0</v>
      </c>
      <c r="I3776" s="56" t="n">
        <v>26.8</v>
      </c>
      <c r="J3776" s="56" t="n">
        <v>0</v>
      </c>
      <c r="K3776" s="56" t="n">
        <v>1017.5</v>
      </c>
      <c r="L3776" s="56" t="n">
        <v>0</v>
      </c>
      <c r="M3776" s="56" t="n">
        <v>59</v>
      </c>
      <c r="N3776" s="56" t="n">
        <v>10.4</v>
      </c>
      <c r="O3776" s="56" t="n">
        <f aca="false">IF(D3776=1,"",E3775)</f>
        <v>33.7</v>
      </c>
      <c r="P3776" s="56" t="n">
        <f aca="false">IF(OR(D3776=1,K3775=""),"",K3775)</f>
        <v>1016.4</v>
      </c>
      <c r="Q3776" s="56" t="n">
        <f aca="false">IF(OR(F3776&lt;&gt;0,AND(I3776&lt;&gt;"",E3776&lt;I3776)),1,0)</f>
        <v>0</v>
      </c>
      <c r="R3776" s="56" t="n">
        <f aca="false">IF(AND(D3776&gt;1,Q3776=0,ISNUMBER(O3776),ISNUMBER(P3776)),IF(Q3775=0,1,0),0)</f>
        <v>1</v>
      </c>
      <c r="S3776" s="56" t="n">
        <f aca="false">R3776*(B3776&gt;=Train_Start)*(B3776&lt;=Train_End)</f>
        <v>0</v>
      </c>
      <c r="T3776" s="84" t="n">
        <f aca="false">IF(AND(ISNUMBER(O3776),ISNUMBER(P3776)),Coef_A+Coef_B1*O3776+Coef_B2*P3776,"")</f>
        <v>31.5830671335201</v>
      </c>
      <c r="U3776" s="84" t="n">
        <f aca="false">IF(AND(R3776=1,ISNUMBER(T3776)),E3776-T3776,"")</f>
        <v>-1.48306713352008</v>
      </c>
      <c r="V3776" s="84" t="n">
        <f aca="false">IF(ISNUMBER(T3776),T3776,-99)</f>
        <v>31.5830671335201</v>
      </c>
      <c r="W3776" s="84" t="n">
        <f aca="false">IF(ISNUMBER(U3776),ABS(U3776),"")</f>
        <v>1.48306713352008</v>
      </c>
    </row>
    <row r="3777" customFormat="false" ht="15" hidden="false" customHeight="false" outlineLevel="0" collapsed="false">
      <c r="A3777" s="57" t="n">
        <v>37845</v>
      </c>
      <c r="B3777" s="56" t="n">
        <v>2003</v>
      </c>
      <c r="C3777" s="56" t="n">
        <v>8</v>
      </c>
      <c r="D3777" s="56" t="n">
        <v>104</v>
      </c>
      <c r="E3777" s="56" t="n">
        <v>28.5</v>
      </c>
      <c r="F3777" s="56" t="n">
        <v>0</v>
      </c>
      <c r="G3777" s="56" t="n">
        <v>18.7</v>
      </c>
      <c r="H3777" s="56" t="n">
        <v>0</v>
      </c>
      <c r="I3777" s="56" t="n">
        <v>24.4</v>
      </c>
      <c r="J3777" s="56" t="n">
        <v>0</v>
      </c>
      <c r="K3777" s="56" t="n">
        <v>1020.1</v>
      </c>
      <c r="L3777" s="56" t="n">
        <v>0</v>
      </c>
      <c r="M3777" s="56" t="n">
        <v>67</v>
      </c>
      <c r="N3777" s="56" t="n">
        <v>8.6</v>
      </c>
      <c r="O3777" s="56" t="n">
        <f aca="false">IF(D3777=1,"",E3776)</f>
        <v>30.1</v>
      </c>
      <c r="P3777" s="56" t="n">
        <f aca="false">IF(OR(D3777=1,K3776=""),"",K3776)</f>
        <v>1017.5</v>
      </c>
      <c r="Q3777" s="56" t="n">
        <f aca="false">IF(OR(F3777&lt;&gt;0,AND(I3777&lt;&gt;"",E3777&lt;I3777)),1,0)</f>
        <v>0</v>
      </c>
      <c r="R3777" s="56" t="n">
        <f aca="false">IF(AND(D3777&gt;1,Q3777=0,ISNUMBER(O3777),ISNUMBER(P3777)),IF(Q3776=0,1,0),0)</f>
        <v>1</v>
      </c>
      <c r="S3777" s="56" t="n">
        <f aca="false">R3777*(B3777&gt;=Train_Start)*(B3777&lt;=Train_End)</f>
        <v>0</v>
      </c>
      <c r="T3777" s="84" t="n">
        <f aca="false">IF(AND(ISNUMBER(O3777),ISNUMBER(P3777)),Coef_A+Coef_B1*O3777+Coef_B2*P3777,"")</f>
        <v>28.6679529226639</v>
      </c>
      <c r="U3777" s="84" t="n">
        <f aca="false">IF(AND(R3777=1,ISNUMBER(T3777)),E3777-T3777,"")</f>
        <v>-0.167952922663901</v>
      </c>
      <c r="V3777" s="84" t="n">
        <f aca="false">IF(ISNUMBER(T3777),T3777,-99)</f>
        <v>28.6679529226639</v>
      </c>
      <c r="W3777" s="84" t="n">
        <f aca="false">IF(ISNUMBER(U3777),ABS(U3777),"")</f>
        <v>0.167952922663901</v>
      </c>
    </row>
    <row r="3778" customFormat="false" ht="15" hidden="false" customHeight="false" outlineLevel="0" collapsed="false">
      <c r="A3778" s="57" t="n">
        <v>37846</v>
      </c>
      <c r="B3778" s="56" t="n">
        <v>2003</v>
      </c>
      <c r="C3778" s="56" t="n">
        <v>8</v>
      </c>
      <c r="D3778" s="56" t="n">
        <v>105</v>
      </c>
      <c r="E3778" s="56" t="n">
        <v>25.1</v>
      </c>
      <c r="F3778" s="56" t="n">
        <v>0</v>
      </c>
      <c r="G3778" s="56" t="n">
        <v>17.5</v>
      </c>
      <c r="H3778" s="56" t="n">
        <v>0</v>
      </c>
      <c r="I3778" s="56" t="n">
        <v>23</v>
      </c>
      <c r="J3778" s="56" t="n">
        <v>0</v>
      </c>
      <c r="K3778" s="56" t="n">
        <v>1020.7</v>
      </c>
      <c r="L3778" s="56" t="n">
        <v>0</v>
      </c>
      <c r="M3778" s="56" t="n">
        <v>54</v>
      </c>
      <c r="N3778" s="56" t="n">
        <v>10.5</v>
      </c>
      <c r="O3778" s="56" t="n">
        <f aca="false">IF(D3778=1,"",E3777)</f>
        <v>28.5</v>
      </c>
      <c r="P3778" s="56" t="n">
        <f aca="false">IF(OR(D3778=1,K3777=""),"",K3777)</f>
        <v>1020.1</v>
      </c>
      <c r="Q3778" s="56" t="n">
        <f aca="false">IF(OR(F3778&lt;&gt;0,AND(I3778&lt;&gt;"",E3778&lt;I3778)),1,0)</f>
        <v>0</v>
      </c>
      <c r="R3778" s="56" t="n">
        <f aca="false">IF(AND(D3778&gt;1,Q3778=0,ISNUMBER(O3778),ISNUMBER(P3778)),IF(Q3777=0,1,0),0)</f>
        <v>1</v>
      </c>
      <c r="S3778" s="56" t="n">
        <f aca="false">R3778*(B3778&gt;=Train_Start)*(B3778&lt;=Train_End)</f>
        <v>0</v>
      </c>
      <c r="T3778" s="84" t="n">
        <f aca="false">IF(AND(ISNUMBER(O3778),ISNUMBER(P3778)),Coef_A+Coef_B1*O3778+Coef_B2*P3778,"")</f>
        <v>27.438571939844</v>
      </c>
      <c r="U3778" s="84" t="n">
        <f aca="false">IF(AND(R3778=1,ISNUMBER(T3778)),E3778-T3778,"")</f>
        <v>-2.33857193984402</v>
      </c>
      <c r="V3778" s="84" t="n">
        <f aca="false">IF(ISNUMBER(T3778),T3778,-99)</f>
        <v>27.438571939844</v>
      </c>
      <c r="W3778" s="84" t="n">
        <f aca="false">IF(ISNUMBER(U3778),ABS(U3778),"")</f>
        <v>2.33857193984402</v>
      </c>
    </row>
    <row r="3779" customFormat="false" ht="15" hidden="false" customHeight="false" outlineLevel="0" collapsed="false">
      <c r="A3779" s="57" t="n">
        <v>37847</v>
      </c>
      <c r="B3779" s="56" t="n">
        <v>2003</v>
      </c>
      <c r="C3779" s="56" t="n">
        <v>8</v>
      </c>
      <c r="D3779" s="56" t="n">
        <v>106</v>
      </c>
      <c r="E3779" s="56" t="n">
        <v>24.5</v>
      </c>
      <c r="F3779" s="56" t="n">
        <v>0</v>
      </c>
      <c r="G3779" s="56" t="n">
        <v>15.5</v>
      </c>
      <c r="H3779" s="56" t="n">
        <v>0</v>
      </c>
      <c r="I3779" s="56" t="n">
        <v>20.3</v>
      </c>
      <c r="J3779" s="56" t="n">
        <v>0</v>
      </c>
      <c r="K3779" s="56" t="n">
        <v>1019.6</v>
      </c>
      <c r="L3779" s="56" t="n">
        <v>0</v>
      </c>
      <c r="M3779" s="56" t="n">
        <v>46</v>
      </c>
      <c r="N3779" s="56" t="n">
        <v>13.5</v>
      </c>
      <c r="O3779" s="56" t="n">
        <f aca="false">IF(D3779=1,"",E3778)</f>
        <v>25.1</v>
      </c>
      <c r="P3779" s="56" t="n">
        <f aca="false">IF(OR(D3779=1,K3778=""),"",K3778)</f>
        <v>1020.7</v>
      </c>
      <c r="Q3779" s="56" t="n">
        <f aca="false">IF(OR(F3779&lt;&gt;0,AND(I3779&lt;&gt;"",E3779&lt;I3779)),1,0)</f>
        <v>0</v>
      </c>
      <c r="R3779" s="56" t="n">
        <f aca="false">IF(AND(D3779&gt;1,Q3779=0,ISNUMBER(O3779),ISNUMBER(P3779)),IF(Q3778=0,1,0),0)</f>
        <v>1</v>
      </c>
      <c r="S3779" s="56" t="n">
        <f aca="false">R3779*(B3779&gt;=Train_Start)*(B3779&lt;=Train_End)</f>
        <v>0</v>
      </c>
      <c r="T3779" s="84" t="n">
        <f aca="false">IF(AND(ISNUMBER(O3779),ISNUMBER(P3779)),Coef_A+Coef_B1*O3779+Coef_B2*P3779,"")</f>
        <v>24.6716406202794</v>
      </c>
      <c r="U3779" s="84" t="n">
        <f aca="false">IF(AND(R3779=1,ISNUMBER(T3779)),E3779-T3779,"")</f>
        <v>-0.17164062027938</v>
      </c>
      <c r="V3779" s="84" t="n">
        <f aca="false">IF(ISNUMBER(T3779),T3779,-99)</f>
        <v>24.6716406202794</v>
      </c>
      <c r="W3779" s="84" t="n">
        <f aca="false">IF(ISNUMBER(U3779),ABS(U3779),"")</f>
        <v>0.17164062027938</v>
      </c>
    </row>
    <row r="3780" customFormat="false" ht="15" hidden="false" customHeight="false" outlineLevel="0" collapsed="false">
      <c r="A3780" s="57" t="n">
        <v>37848</v>
      </c>
      <c r="B3780" s="56" t="n">
        <v>2003</v>
      </c>
      <c r="C3780" s="56" t="n">
        <v>8</v>
      </c>
      <c r="D3780" s="56" t="n">
        <v>107</v>
      </c>
      <c r="E3780" s="56" t="n">
        <v>24</v>
      </c>
      <c r="F3780" s="56" t="n">
        <v>0</v>
      </c>
      <c r="G3780" s="56" t="n">
        <v>13.4</v>
      </c>
      <c r="H3780" s="56" t="n">
        <v>0</v>
      </c>
      <c r="I3780" s="56" t="n">
        <v>19</v>
      </c>
      <c r="J3780" s="56" t="n">
        <v>0</v>
      </c>
      <c r="K3780" s="56" t="n">
        <v>1019.5</v>
      </c>
      <c r="L3780" s="56" t="n">
        <v>0</v>
      </c>
      <c r="M3780" s="56" t="n">
        <v>53</v>
      </c>
      <c r="N3780" s="56" t="n">
        <v>12.6</v>
      </c>
      <c r="O3780" s="56" t="n">
        <f aca="false">IF(D3780=1,"",E3779)</f>
        <v>24.5</v>
      </c>
      <c r="P3780" s="56" t="n">
        <f aca="false">IF(OR(D3780=1,K3779=""),"",K3779)</f>
        <v>1019.6</v>
      </c>
      <c r="Q3780" s="56" t="n">
        <f aca="false">IF(OR(F3780&lt;&gt;0,AND(I3780&lt;&gt;"",E3780&lt;I3780)),1,0)</f>
        <v>0</v>
      </c>
      <c r="R3780" s="56" t="n">
        <f aca="false">IF(AND(D3780&gt;1,Q3780=0,ISNUMBER(O3780),ISNUMBER(P3780)),IF(Q3779=0,1,0),0)</f>
        <v>1</v>
      </c>
      <c r="S3780" s="56" t="n">
        <f aca="false">R3780*(B3780&gt;=Train_Start)*(B3780&lt;=Train_End)</f>
        <v>0</v>
      </c>
      <c r="T3780" s="84" t="n">
        <f aca="false">IF(AND(ISNUMBER(O3780),ISNUMBER(P3780)),Coef_A+Coef_B1*O3780+Coef_B2*P3780,"")</f>
        <v>24.1455302203564</v>
      </c>
      <c r="U3780" s="84" t="n">
        <f aca="false">IF(AND(R3780=1,ISNUMBER(T3780)),E3780-T3780,"")</f>
        <v>-0.145530220356392</v>
      </c>
      <c r="V3780" s="84" t="n">
        <f aca="false">IF(ISNUMBER(T3780),T3780,-99)</f>
        <v>24.1455302203564</v>
      </c>
      <c r="W3780" s="84" t="n">
        <f aca="false">IF(ISNUMBER(U3780),ABS(U3780),"")</f>
        <v>0.145530220356392</v>
      </c>
    </row>
    <row r="3781" customFormat="false" ht="15" hidden="false" customHeight="false" outlineLevel="0" collapsed="false">
      <c r="A3781" s="57" t="n">
        <v>37849</v>
      </c>
      <c r="B3781" s="56" t="n">
        <v>2003</v>
      </c>
      <c r="C3781" s="56" t="n">
        <v>8</v>
      </c>
      <c r="D3781" s="56" t="n">
        <v>108</v>
      </c>
      <c r="E3781" s="56" t="n">
        <v>27</v>
      </c>
      <c r="F3781" s="56" t="n">
        <v>0</v>
      </c>
      <c r="G3781" s="56" t="n">
        <v>14.8</v>
      </c>
      <c r="H3781" s="56" t="n">
        <v>0</v>
      </c>
      <c r="I3781" s="56" t="n">
        <v>19.4</v>
      </c>
      <c r="J3781" s="56" t="n">
        <v>0</v>
      </c>
      <c r="K3781" s="56" t="n">
        <v>1019.7</v>
      </c>
      <c r="L3781" s="56" t="n">
        <v>0</v>
      </c>
      <c r="M3781" s="56" t="n">
        <v>61</v>
      </c>
      <c r="N3781" s="56" t="n">
        <v>3.7</v>
      </c>
      <c r="O3781" s="56" t="n">
        <f aca="false">IF(D3781=1,"",E3780)</f>
        <v>24</v>
      </c>
      <c r="P3781" s="56" t="n">
        <f aca="false">IF(OR(D3781=1,K3780=""),"",K3780)</f>
        <v>1019.5</v>
      </c>
      <c r="Q3781" s="56" t="n">
        <f aca="false">IF(OR(F3781&lt;&gt;0,AND(I3781&lt;&gt;"",E3781&lt;I3781)),1,0)</f>
        <v>0</v>
      </c>
      <c r="R3781" s="56" t="n">
        <f aca="false">IF(AND(D3781&gt;1,Q3781=0,ISNUMBER(O3781),ISNUMBER(P3781)),IF(Q3780=0,1,0),0)</f>
        <v>1</v>
      </c>
      <c r="S3781" s="56" t="n">
        <f aca="false">R3781*(B3781&gt;=Train_Start)*(B3781&lt;=Train_End)</f>
        <v>0</v>
      </c>
      <c r="T3781" s="84" t="n">
        <f aca="false">IF(AND(ISNUMBER(O3781),ISNUMBER(P3781)),Coef_A+Coef_B1*O3781+Coef_B2*P3781,"")</f>
        <v>23.7327236343717</v>
      </c>
      <c r="U3781" s="84" t="n">
        <f aca="false">IF(AND(R3781=1,ISNUMBER(T3781)),E3781-T3781,"")</f>
        <v>3.26727636562834</v>
      </c>
      <c r="V3781" s="84" t="n">
        <f aca="false">IF(ISNUMBER(T3781),T3781,-99)</f>
        <v>23.7327236343717</v>
      </c>
      <c r="W3781" s="84" t="n">
        <f aca="false">IF(ISNUMBER(U3781),ABS(U3781),"")</f>
        <v>3.26727636562834</v>
      </c>
    </row>
    <row r="3782" customFormat="false" ht="15" hidden="false" customHeight="false" outlineLevel="0" collapsed="false">
      <c r="A3782" s="57" t="n">
        <v>37850</v>
      </c>
      <c r="B3782" s="56" t="n">
        <v>2003</v>
      </c>
      <c r="C3782" s="56" t="n">
        <v>8</v>
      </c>
      <c r="D3782" s="56" t="n">
        <v>109</v>
      </c>
      <c r="E3782" s="56" t="n">
        <v>25.3</v>
      </c>
      <c r="F3782" s="56" t="n">
        <v>0</v>
      </c>
      <c r="G3782" s="56" t="n">
        <v>15</v>
      </c>
      <c r="H3782" s="56" t="n">
        <v>0</v>
      </c>
      <c r="I3782" s="56" t="n">
        <v>21</v>
      </c>
      <c r="J3782" s="56" t="n">
        <v>0</v>
      </c>
      <c r="K3782" s="56" t="n">
        <v>1014.7</v>
      </c>
      <c r="L3782" s="56" t="n">
        <v>0</v>
      </c>
      <c r="M3782" s="56" t="n">
        <v>59</v>
      </c>
      <c r="N3782" s="56" t="n">
        <v>7.1</v>
      </c>
      <c r="O3782" s="56" t="n">
        <f aca="false">IF(D3782=1,"",E3781)</f>
        <v>27</v>
      </c>
      <c r="P3782" s="56" t="n">
        <f aca="false">IF(OR(D3782=1,K3781=""),"",K3781)</f>
        <v>1019.7</v>
      </c>
      <c r="Q3782" s="56" t="n">
        <f aca="false">IF(OR(F3782&lt;&gt;0,AND(I3782&lt;&gt;"",E3782&lt;I3782)),1,0)</f>
        <v>0</v>
      </c>
      <c r="R3782" s="56" t="n">
        <f aca="false">IF(AND(D3782&gt;1,Q3782=0,ISNUMBER(O3782),ISNUMBER(P3782)),IF(Q3781=0,1,0),0)</f>
        <v>1</v>
      </c>
      <c r="S3782" s="56" t="n">
        <f aca="false">R3782*(B3782&gt;=Train_Start)*(B3782&lt;=Train_End)</f>
        <v>0</v>
      </c>
      <c r="T3782" s="84" t="n">
        <f aca="false">IF(AND(ISNUMBER(O3782),ISNUMBER(P3782)),Coef_A+Coef_B1*O3782+Coef_B2*P3782,"")</f>
        <v>26.1970151924264</v>
      </c>
      <c r="U3782" s="84" t="n">
        <f aca="false">IF(AND(R3782=1,ISNUMBER(T3782)),E3782-T3782,"")</f>
        <v>-0.897015192426434</v>
      </c>
      <c r="V3782" s="84" t="n">
        <f aca="false">IF(ISNUMBER(T3782),T3782,-99)</f>
        <v>26.1970151924264</v>
      </c>
      <c r="W3782" s="84" t="n">
        <f aca="false">IF(ISNUMBER(U3782),ABS(U3782),"")</f>
        <v>0.897015192426434</v>
      </c>
    </row>
    <row r="3783" customFormat="false" ht="15" hidden="false" customHeight="false" outlineLevel="0" collapsed="false">
      <c r="A3783" s="57" t="n">
        <v>37851</v>
      </c>
      <c r="B3783" s="56" t="n">
        <v>2003</v>
      </c>
      <c r="C3783" s="56" t="n">
        <v>8</v>
      </c>
      <c r="D3783" s="56" t="n">
        <v>110</v>
      </c>
      <c r="E3783" s="56" t="n">
        <v>23.2</v>
      </c>
      <c r="F3783" s="56" t="n">
        <v>0</v>
      </c>
      <c r="G3783" s="56" t="n">
        <v>16.9</v>
      </c>
      <c r="H3783" s="56" t="n">
        <v>0</v>
      </c>
      <c r="I3783" s="56" t="n">
        <v>21.1</v>
      </c>
      <c r="J3783" s="56" t="n">
        <v>0</v>
      </c>
      <c r="K3783" s="56" t="n">
        <v>1014.2</v>
      </c>
      <c r="L3783" s="56" t="n">
        <v>0</v>
      </c>
      <c r="M3783" s="56" t="n">
        <v>70</v>
      </c>
      <c r="N3783" s="56" t="n">
        <v>5.7</v>
      </c>
      <c r="O3783" s="56" t="n">
        <f aca="false">IF(D3783=1,"",E3782)</f>
        <v>25.3</v>
      </c>
      <c r="P3783" s="56" t="n">
        <f aca="false">IF(OR(D3783=1,K3782=""),"",K3782)</f>
        <v>1014.7</v>
      </c>
      <c r="Q3783" s="56" t="n">
        <f aca="false">IF(OR(F3783&lt;&gt;0,AND(I3783&lt;&gt;"",E3783&lt;I3783)),1,0)</f>
        <v>0</v>
      </c>
      <c r="R3783" s="56" t="n">
        <f aca="false">IF(AND(D3783&gt;1,Q3783=0,ISNUMBER(O3783),ISNUMBER(P3783)),IF(Q3782=0,1,0),0)</f>
        <v>1</v>
      </c>
      <c r="S3783" s="56" t="n">
        <f aca="false">R3783*(B3783&gt;=Train_Start)*(B3783&lt;=Train_End)</f>
        <v>0</v>
      </c>
      <c r="T3783" s="84" t="n">
        <f aca="false">IF(AND(ISNUMBER(O3783),ISNUMBER(P3783)),Coef_A+Coef_B1*O3783+Coef_B2*P3783,"")</f>
        <v>24.647289091084</v>
      </c>
      <c r="U3783" s="84" t="n">
        <f aca="false">IF(AND(R3783=1,ISNUMBER(T3783)),E3783-T3783,"")</f>
        <v>-1.44728909108397</v>
      </c>
      <c r="V3783" s="84" t="n">
        <f aca="false">IF(ISNUMBER(T3783),T3783,-99)</f>
        <v>24.647289091084</v>
      </c>
      <c r="W3783" s="84" t="n">
        <f aca="false">IF(ISNUMBER(U3783),ABS(U3783),"")</f>
        <v>1.44728909108397</v>
      </c>
    </row>
    <row r="3784" customFormat="false" ht="15" hidden="false" customHeight="false" outlineLevel="0" collapsed="false">
      <c r="A3784" s="57" t="n">
        <v>37852</v>
      </c>
      <c r="B3784" s="56" t="n">
        <v>2003</v>
      </c>
      <c r="C3784" s="56" t="n">
        <v>8</v>
      </c>
      <c r="D3784" s="56" t="n">
        <v>111</v>
      </c>
      <c r="E3784" s="56" t="n">
        <v>23.4</v>
      </c>
      <c r="F3784" s="56" t="n">
        <v>0</v>
      </c>
      <c r="G3784" s="56" t="n">
        <v>11.4</v>
      </c>
      <c r="H3784" s="56" t="n">
        <v>0</v>
      </c>
      <c r="I3784" s="56" t="n">
        <v>17.3</v>
      </c>
      <c r="J3784" s="56" t="n">
        <v>0</v>
      </c>
      <c r="K3784" s="56" t="n">
        <v>1020.9</v>
      </c>
      <c r="L3784" s="56" t="n">
        <v>0</v>
      </c>
      <c r="M3784" s="56" t="n">
        <v>58</v>
      </c>
      <c r="N3784" s="56" t="n">
        <v>7.3</v>
      </c>
      <c r="O3784" s="56" t="n">
        <f aca="false">IF(D3784=1,"",E3783)</f>
        <v>23.2</v>
      </c>
      <c r="P3784" s="56" t="n">
        <f aca="false">IF(OR(D3784=1,K3783=""),"",K3783)</f>
        <v>1014.2</v>
      </c>
      <c r="Q3784" s="56" t="n">
        <f aca="false">IF(OR(F3784&lt;&gt;0,AND(I3784&lt;&gt;"",E3784&lt;I3784)),1,0)</f>
        <v>0</v>
      </c>
      <c r="R3784" s="56" t="n">
        <f aca="false">IF(AND(D3784&gt;1,Q3784=0,ISNUMBER(O3784),ISNUMBER(P3784)),IF(Q3783=0,1,0),0)</f>
        <v>1</v>
      </c>
      <c r="S3784" s="56" t="n">
        <f aca="false">R3784*(B3784&gt;=Train_Start)*(B3784&lt;=Train_End)</f>
        <v>0</v>
      </c>
      <c r="T3784" s="84" t="n">
        <f aca="false">IF(AND(ISNUMBER(O3784),ISNUMBER(P3784)),Coef_A+Coef_B1*O3784+Coef_B2*P3784,"")</f>
        <v>22.9109918383774</v>
      </c>
      <c r="U3784" s="84" t="n">
        <f aca="false">IF(AND(R3784=1,ISNUMBER(T3784)),E3784-T3784,"")</f>
        <v>0.489008161622603</v>
      </c>
      <c r="V3784" s="84" t="n">
        <f aca="false">IF(ISNUMBER(T3784),T3784,-99)</f>
        <v>22.9109918383774</v>
      </c>
      <c r="W3784" s="84" t="n">
        <f aca="false">IF(ISNUMBER(U3784),ABS(U3784),"")</f>
        <v>0.489008161622603</v>
      </c>
    </row>
    <row r="3785" customFormat="false" ht="15" hidden="false" customHeight="false" outlineLevel="0" collapsed="false">
      <c r="A3785" s="57" t="n">
        <v>37853</v>
      </c>
      <c r="B3785" s="56" t="n">
        <v>2003</v>
      </c>
      <c r="C3785" s="56" t="n">
        <v>8</v>
      </c>
      <c r="D3785" s="56" t="n">
        <v>112</v>
      </c>
      <c r="E3785" s="56" t="n">
        <v>23.7</v>
      </c>
      <c r="F3785" s="56" t="n">
        <v>0</v>
      </c>
      <c r="G3785" s="56" t="n">
        <v>10.6</v>
      </c>
      <c r="H3785" s="56" t="n">
        <v>0</v>
      </c>
      <c r="I3785" s="56" t="n">
        <v>17</v>
      </c>
      <c r="J3785" s="56" t="n">
        <v>0</v>
      </c>
      <c r="K3785" s="56" t="n">
        <v>1021.3</v>
      </c>
      <c r="L3785" s="56" t="n">
        <v>0</v>
      </c>
      <c r="M3785" s="56" t="n">
        <v>56</v>
      </c>
      <c r="N3785" s="56" t="n">
        <v>13</v>
      </c>
      <c r="O3785" s="56" t="n">
        <f aca="false">IF(D3785=1,"",E3784)</f>
        <v>23.4</v>
      </c>
      <c r="P3785" s="56" t="n">
        <f aca="false">IF(OR(D3785=1,K3784=""),"",K3784)</f>
        <v>1020.9</v>
      </c>
      <c r="Q3785" s="56" t="n">
        <f aca="false">IF(OR(F3785&lt;&gt;0,AND(I3785&lt;&gt;"",E3785&lt;I3785)),1,0)</f>
        <v>0</v>
      </c>
      <c r="R3785" s="56" t="n">
        <f aca="false">IF(AND(D3785&gt;1,Q3785=0,ISNUMBER(O3785),ISNUMBER(P3785)),IF(Q3784=0,1,0),0)</f>
        <v>1</v>
      </c>
      <c r="S3785" s="56" t="n">
        <f aca="false">R3785*(B3785&gt;=Train_Start)*(B3785&lt;=Train_End)</f>
        <v>0</v>
      </c>
      <c r="T3785" s="84" t="n">
        <f aca="false">IF(AND(ISNUMBER(O3785),ISNUMBER(P3785)),Coef_A+Coef_B1*O3785+Coef_B2*P3785,"")</f>
        <v>23.2850379710337</v>
      </c>
      <c r="U3785" s="84" t="n">
        <f aca="false">IF(AND(R3785=1,ISNUMBER(T3785)),E3785-T3785,"")</f>
        <v>0.414962028966347</v>
      </c>
      <c r="V3785" s="84" t="n">
        <f aca="false">IF(ISNUMBER(T3785),T3785,-99)</f>
        <v>23.2850379710337</v>
      </c>
      <c r="W3785" s="84" t="n">
        <f aca="false">IF(ISNUMBER(U3785),ABS(U3785),"")</f>
        <v>0.414962028966347</v>
      </c>
    </row>
    <row r="3786" customFormat="false" ht="15" hidden="false" customHeight="false" outlineLevel="0" collapsed="false">
      <c r="A3786" s="57" t="n">
        <v>37854</v>
      </c>
      <c r="B3786" s="56" t="n">
        <v>2003</v>
      </c>
      <c r="C3786" s="56" t="n">
        <v>8</v>
      </c>
      <c r="D3786" s="56" t="n">
        <v>113</v>
      </c>
      <c r="E3786" s="56" t="n">
        <v>26.3</v>
      </c>
      <c r="F3786" s="56" t="n">
        <v>0</v>
      </c>
      <c r="G3786" s="56" t="n">
        <v>14</v>
      </c>
      <c r="H3786" s="56" t="n">
        <v>0</v>
      </c>
      <c r="I3786" s="56" t="n">
        <v>18.8</v>
      </c>
      <c r="J3786" s="56" t="n">
        <v>0</v>
      </c>
      <c r="K3786" s="56" t="n">
        <v>1017.3</v>
      </c>
      <c r="L3786" s="56" t="n">
        <v>0</v>
      </c>
      <c r="M3786" s="56" t="n">
        <v>63</v>
      </c>
      <c r="N3786" s="56" t="n">
        <v>4.4</v>
      </c>
      <c r="O3786" s="56" t="n">
        <f aca="false">IF(D3786=1,"",E3785)</f>
        <v>23.7</v>
      </c>
      <c r="P3786" s="56" t="n">
        <f aca="false">IF(OR(D3786=1,K3785=""),"",K3785)</f>
        <v>1021.3</v>
      </c>
      <c r="Q3786" s="56" t="n">
        <f aca="false">IF(OR(F3786&lt;&gt;0,AND(I3786&lt;&gt;"",E3786&lt;I3786)),1,0)</f>
        <v>0</v>
      </c>
      <c r="R3786" s="56" t="n">
        <f aca="false">IF(AND(D3786&gt;1,Q3786=0,ISNUMBER(O3786),ISNUMBER(P3786)),IF(Q3785=0,1,0),0)</f>
        <v>1</v>
      </c>
      <c r="S3786" s="56" t="n">
        <f aca="false">R3786*(B3786&gt;=Train_Start)*(B3786&lt;=Train_End)</f>
        <v>0</v>
      </c>
      <c r="T3786" s="84" t="n">
        <f aca="false">IF(AND(ISNUMBER(O3786),ISNUMBER(P3786)),Coef_A+Coef_B1*O3786+Coef_B2*P3786,"")</f>
        <v>23.5433876868001</v>
      </c>
      <c r="U3786" s="84" t="n">
        <f aca="false">IF(AND(R3786=1,ISNUMBER(T3786)),E3786-T3786,"")</f>
        <v>2.75661231319995</v>
      </c>
      <c r="V3786" s="84" t="n">
        <f aca="false">IF(ISNUMBER(T3786),T3786,-99)</f>
        <v>23.5433876868001</v>
      </c>
      <c r="W3786" s="84" t="n">
        <f aca="false">IF(ISNUMBER(U3786),ABS(U3786),"")</f>
        <v>2.75661231319995</v>
      </c>
    </row>
    <row r="3787" customFormat="false" ht="15" hidden="false" customHeight="false" outlineLevel="0" collapsed="false">
      <c r="A3787" s="57" t="n">
        <v>37855</v>
      </c>
      <c r="B3787" s="56" t="n">
        <v>2003</v>
      </c>
      <c r="C3787" s="56" t="n">
        <v>8</v>
      </c>
      <c r="D3787" s="56" t="n">
        <v>114</v>
      </c>
      <c r="E3787" s="56" t="n">
        <v>27.1</v>
      </c>
      <c r="F3787" s="56" t="n">
        <v>0</v>
      </c>
      <c r="G3787" s="56" t="n">
        <v>17.6</v>
      </c>
      <c r="H3787" s="56" t="n">
        <v>0</v>
      </c>
      <c r="I3787" s="56" t="n">
        <v>22</v>
      </c>
      <c r="J3787" s="56" t="n">
        <v>0</v>
      </c>
      <c r="K3787" s="56" t="n">
        <v>1016.6</v>
      </c>
      <c r="L3787" s="56" t="n">
        <v>0</v>
      </c>
      <c r="M3787" s="56" t="n">
        <v>68</v>
      </c>
      <c r="N3787" s="56" t="n">
        <v>4.6</v>
      </c>
      <c r="O3787" s="56" t="n">
        <f aca="false">IF(D3787=1,"",E3786)</f>
        <v>26.3</v>
      </c>
      <c r="P3787" s="56" t="n">
        <f aca="false">IF(OR(D3787=1,K3786=""),"",K3786)</f>
        <v>1017.3</v>
      </c>
      <c r="Q3787" s="56" t="n">
        <f aca="false">IF(OR(F3787&lt;&gt;0,AND(I3787&lt;&gt;"",E3787&lt;I3787)),1,0)</f>
        <v>0</v>
      </c>
      <c r="R3787" s="56" t="n">
        <f aca="false">IF(AND(D3787&gt;1,Q3787=0,ISNUMBER(O3787),ISNUMBER(P3787)),IF(Q3786=0,1,0),0)</f>
        <v>1</v>
      </c>
      <c r="S3787" s="56" t="n">
        <f aca="false">R3787*(B3787&gt;=Train_Start)*(B3787&lt;=Train_End)</f>
        <v>0</v>
      </c>
      <c r="T3787" s="84" t="n">
        <f aca="false">IF(AND(ISNUMBER(O3787),ISNUMBER(P3787)),Coef_A+Coef_B1*O3787+Coef_B2*P3787,"")</f>
        <v>25.548190010175</v>
      </c>
      <c r="U3787" s="84" t="n">
        <f aca="false">IF(AND(R3787=1,ISNUMBER(T3787)),E3787-T3787,"")</f>
        <v>1.551809989825</v>
      </c>
      <c r="V3787" s="84" t="n">
        <f aca="false">IF(ISNUMBER(T3787),T3787,-99)</f>
        <v>25.548190010175</v>
      </c>
      <c r="W3787" s="84" t="n">
        <f aca="false">IF(ISNUMBER(U3787),ABS(U3787),"")</f>
        <v>1.551809989825</v>
      </c>
    </row>
    <row r="3788" customFormat="false" ht="15" hidden="false" customHeight="false" outlineLevel="0" collapsed="false">
      <c r="A3788" s="57" t="n">
        <v>37856</v>
      </c>
      <c r="B3788" s="56" t="n">
        <v>2003</v>
      </c>
      <c r="C3788" s="56" t="n">
        <v>8</v>
      </c>
      <c r="D3788" s="56" t="n">
        <v>115</v>
      </c>
      <c r="E3788" s="56" t="n">
        <v>25.4</v>
      </c>
      <c r="F3788" s="56" t="n">
        <v>0</v>
      </c>
      <c r="G3788" s="56" t="n">
        <v>17.4</v>
      </c>
      <c r="H3788" s="56" t="n">
        <v>0</v>
      </c>
      <c r="I3788" s="56" t="n">
        <v>22.2</v>
      </c>
      <c r="J3788" s="56" t="n">
        <v>0</v>
      </c>
      <c r="K3788" s="56" t="n">
        <v>1020.3</v>
      </c>
      <c r="L3788" s="56" t="n">
        <v>0</v>
      </c>
      <c r="M3788" s="56" t="n">
        <v>69</v>
      </c>
      <c r="N3788" s="56" t="n">
        <v>4.2</v>
      </c>
      <c r="O3788" s="56" t="n">
        <f aca="false">IF(D3788=1,"",E3787)</f>
        <v>27.1</v>
      </c>
      <c r="P3788" s="56" t="n">
        <f aca="false">IF(OR(D3788=1,K3787=""),"",K3787)</f>
        <v>1016.6</v>
      </c>
      <c r="Q3788" s="56" t="n">
        <f aca="false">IF(OR(F3788&lt;&gt;0,AND(I3788&lt;&gt;"",E3788&lt;I3788)),1,0)</f>
        <v>0</v>
      </c>
      <c r="R3788" s="56" t="n">
        <f aca="false">IF(AND(D3788&gt;1,Q3788=0,ISNUMBER(O3788),ISNUMBER(P3788)),IF(Q3787=0,1,0),0)</f>
        <v>1</v>
      </c>
      <c r="S3788" s="56" t="n">
        <f aca="false">R3788*(B3788&gt;=Train_Start)*(B3788&lt;=Train_End)</f>
        <v>0</v>
      </c>
      <c r="T3788" s="84" t="n">
        <f aca="false">IF(AND(ISNUMBER(O3788),ISNUMBER(P3788)),Coef_A+Coef_B1*O3788+Coef_B2*P3788,"")</f>
        <v>26.1817024383653</v>
      </c>
      <c r="U3788" s="84" t="n">
        <f aca="false">IF(AND(R3788=1,ISNUMBER(T3788)),E3788-T3788,"")</f>
        <v>-0.78170243836534</v>
      </c>
      <c r="V3788" s="84" t="n">
        <f aca="false">IF(ISNUMBER(T3788),T3788,-99)</f>
        <v>26.1817024383653</v>
      </c>
      <c r="W3788" s="84" t="n">
        <f aca="false">IF(ISNUMBER(U3788),ABS(U3788),"")</f>
        <v>0.78170243836534</v>
      </c>
    </row>
    <row r="3789" customFormat="false" ht="15" hidden="false" customHeight="false" outlineLevel="0" collapsed="false">
      <c r="A3789" s="57" t="n">
        <v>37857</v>
      </c>
      <c r="B3789" s="56" t="n">
        <v>2003</v>
      </c>
      <c r="C3789" s="56" t="n">
        <v>8</v>
      </c>
      <c r="D3789" s="56" t="n">
        <v>116</v>
      </c>
      <c r="E3789" s="56" t="n">
        <v>21.3</v>
      </c>
      <c r="F3789" s="56" t="n">
        <v>1</v>
      </c>
      <c r="G3789" s="56" t="n">
        <v>19.7</v>
      </c>
      <c r="H3789" s="56" t="n">
        <v>0</v>
      </c>
      <c r="I3789" s="56" t="n">
        <v>22.6</v>
      </c>
      <c r="J3789" s="56" t="n">
        <v>1</v>
      </c>
      <c r="K3789" s="56" t="n">
        <v>1021.5</v>
      </c>
      <c r="L3789" s="56" t="n">
        <v>0</v>
      </c>
      <c r="M3789" s="56" t="n">
        <v>66</v>
      </c>
      <c r="N3789" s="56" t="n">
        <v>8.1</v>
      </c>
      <c r="O3789" s="56" t="n">
        <f aca="false">IF(D3789=1,"",E3788)</f>
        <v>25.4</v>
      </c>
      <c r="P3789" s="56" t="n">
        <f aca="false">IF(OR(D3789=1,K3788=""),"",K3788)</f>
        <v>1020.3</v>
      </c>
      <c r="Q3789" s="56" t="n">
        <f aca="false">IF(OR(F3789&lt;&gt;0,AND(I3789&lt;&gt;"",E3789&lt;I3789)),1,0)</f>
        <v>1</v>
      </c>
      <c r="R3789" s="56" t="n">
        <f aca="false">IF(AND(D3789&gt;1,Q3789=0,ISNUMBER(O3789),ISNUMBER(P3789)),IF(Q3788=0,1,0),0)</f>
        <v>0</v>
      </c>
      <c r="S3789" s="56" t="n">
        <f aca="false">R3789*(B3789&gt;=Train_Start)*(B3789&lt;=Train_End)</f>
        <v>0</v>
      </c>
      <c r="T3789" s="84" t="n">
        <f aca="false">IF(AND(ISNUMBER(O3789),ISNUMBER(P3789)),Coef_A+Coef_B1*O3789+Coef_B2*P3789,"")</f>
        <v>24.9048944203386</v>
      </c>
      <c r="U3789" s="84" t="str">
        <f aca="false">IF(AND(R3789=1,ISNUMBER(T3789)),E3789-T3789,"")</f>
        <v/>
      </c>
      <c r="V3789" s="84" t="n">
        <f aca="false">IF(ISNUMBER(T3789),T3789,-99)</f>
        <v>24.9048944203386</v>
      </c>
      <c r="W3789" s="84" t="str">
        <f aca="false">IF(ISNUMBER(U3789),ABS(U3789),"")</f>
        <v/>
      </c>
    </row>
    <row r="3790" customFormat="false" ht="15" hidden="false" customHeight="false" outlineLevel="0" collapsed="false">
      <c r="A3790" s="57" t="n">
        <v>37858</v>
      </c>
      <c r="B3790" s="56" t="n">
        <v>2003</v>
      </c>
      <c r="C3790" s="56" t="n">
        <v>8</v>
      </c>
      <c r="D3790" s="56" t="n">
        <v>117</v>
      </c>
      <c r="E3790" s="56" t="n">
        <v>23.1</v>
      </c>
      <c r="F3790" s="56" t="n">
        <v>0</v>
      </c>
      <c r="G3790" s="56" t="n">
        <v>15</v>
      </c>
      <c r="H3790" s="56" t="n">
        <v>0</v>
      </c>
      <c r="I3790" s="56" t="n">
        <v>18.2</v>
      </c>
      <c r="J3790" s="56" t="n">
        <v>0</v>
      </c>
      <c r="K3790" s="56" t="n">
        <v>1019.7</v>
      </c>
      <c r="L3790" s="56" t="n">
        <v>0</v>
      </c>
      <c r="M3790" s="56" t="n">
        <v>62</v>
      </c>
      <c r="N3790" s="56" t="n">
        <v>0.1</v>
      </c>
      <c r="O3790" s="56" t="n">
        <f aca="false">IF(D3790=1,"",E3789)</f>
        <v>21.3</v>
      </c>
      <c r="P3790" s="56" t="n">
        <f aca="false">IF(OR(D3790=1,K3789=""),"",K3789)</f>
        <v>1021.5</v>
      </c>
      <c r="Q3790" s="56" t="n">
        <f aca="false">IF(OR(F3790&lt;&gt;0,AND(I3790&lt;&gt;"",E3790&lt;I3790)),1,0)</f>
        <v>0</v>
      </c>
      <c r="R3790" s="56" t="n">
        <f aca="false">IF(AND(D3790&gt;1,Q3790=0,ISNUMBER(O3790),ISNUMBER(P3790)),IF(Q3789=0,1,0),0)</f>
        <v>0</v>
      </c>
      <c r="S3790" s="56" t="n">
        <f aca="false">R3790*(B3790&gt;=Train_Start)*(B3790&lt;=Train_End)</f>
        <v>0</v>
      </c>
      <c r="T3790" s="84" t="n">
        <f aca="false">IF(AND(ISNUMBER(O3790),ISNUMBER(P3790)),Coef_A+Coef_B1*O3790+Coef_B2*P3790,"")</f>
        <v>21.5832476024245</v>
      </c>
      <c r="U3790" s="84" t="str">
        <f aca="false">IF(AND(R3790=1,ISNUMBER(T3790)),E3790-T3790,"")</f>
        <v/>
      </c>
      <c r="V3790" s="84" t="n">
        <f aca="false">IF(ISNUMBER(T3790),T3790,-99)</f>
        <v>21.5832476024245</v>
      </c>
      <c r="W3790" s="84" t="str">
        <f aca="false">IF(ISNUMBER(U3790),ABS(U3790),"")</f>
        <v/>
      </c>
    </row>
    <row r="3791" customFormat="false" ht="15" hidden="false" customHeight="false" outlineLevel="0" collapsed="false">
      <c r="A3791" s="57" t="n">
        <v>37859</v>
      </c>
      <c r="B3791" s="56" t="n">
        <v>2003</v>
      </c>
      <c r="C3791" s="56" t="n">
        <v>8</v>
      </c>
      <c r="D3791" s="56" t="n">
        <v>118</v>
      </c>
      <c r="E3791" s="56" t="n">
        <v>23.2</v>
      </c>
      <c r="F3791" s="56" t="n">
        <v>0</v>
      </c>
      <c r="G3791" s="56" t="n">
        <v>14.6</v>
      </c>
      <c r="H3791" s="56" t="n">
        <v>0</v>
      </c>
      <c r="I3791" s="56" t="n">
        <v>18.8</v>
      </c>
      <c r="J3791" s="56" t="n">
        <v>0</v>
      </c>
      <c r="K3791" s="56" t="n">
        <v>1017.3</v>
      </c>
      <c r="L3791" s="56" t="n">
        <v>0</v>
      </c>
      <c r="M3791" s="56" t="n">
        <v>61</v>
      </c>
      <c r="N3791" s="56" t="n">
        <v>1.8</v>
      </c>
      <c r="O3791" s="56" t="n">
        <f aca="false">IF(D3791=1,"",E3790)</f>
        <v>23.1</v>
      </c>
      <c r="P3791" s="56" t="n">
        <f aca="false">IF(OR(D3791=1,K3790=""),"",K3790)</f>
        <v>1019.7</v>
      </c>
      <c r="Q3791" s="56" t="n">
        <f aca="false">IF(OR(F3791&lt;&gt;0,AND(I3791&lt;&gt;"",E3791&lt;I3791)),1,0)</f>
        <v>0</v>
      </c>
      <c r="R3791" s="56" t="n">
        <f aca="false">IF(AND(D3791&gt;1,Q3791=0,ISNUMBER(O3791),ISNUMBER(P3791)),IF(Q3790=0,1,0),0)</f>
        <v>1</v>
      </c>
      <c r="S3791" s="56" t="n">
        <f aca="false">R3791*(B3791&gt;=Train_Start)*(B3791&lt;=Train_End)</f>
        <v>0</v>
      </c>
      <c r="T3791" s="84" t="n">
        <f aca="false">IF(AND(ISNUMBER(O3791),ISNUMBER(P3791)),Coef_A+Coef_B1*O3791+Coef_B2*P3791,"")</f>
        <v>23.0015923395601</v>
      </c>
      <c r="U3791" s="84" t="n">
        <f aca="false">IF(AND(R3791=1,ISNUMBER(T3791)),E3791-T3791,"")</f>
        <v>0.198407660439926</v>
      </c>
      <c r="V3791" s="84" t="n">
        <f aca="false">IF(ISNUMBER(T3791),T3791,-99)</f>
        <v>23.0015923395601</v>
      </c>
      <c r="W3791" s="84" t="n">
        <f aca="false">IF(ISNUMBER(U3791),ABS(U3791),"")</f>
        <v>0.198407660439926</v>
      </c>
    </row>
    <row r="3792" customFormat="false" ht="15" hidden="false" customHeight="false" outlineLevel="0" collapsed="false">
      <c r="A3792" s="57" t="n">
        <v>37860</v>
      </c>
      <c r="B3792" s="56" t="n">
        <v>2003</v>
      </c>
      <c r="C3792" s="56" t="n">
        <v>8</v>
      </c>
      <c r="D3792" s="56" t="n">
        <v>119</v>
      </c>
      <c r="E3792" s="56" t="n">
        <v>18.8</v>
      </c>
      <c r="F3792" s="56" t="n">
        <v>1</v>
      </c>
      <c r="G3792" s="56" t="n">
        <v>16.8</v>
      </c>
      <c r="H3792" s="56" t="n">
        <v>0</v>
      </c>
      <c r="I3792" s="56" t="n">
        <v>20</v>
      </c>
      <c r="J3792" s="56" t="n">
        <v>1</v>
      </c>
      <c r="K3792" s="56" t="n">
        <v>1014.7</v>
      </c>
      <c r="L3792" s="56" t="n">
        <v>0</v>
      </c>
      <c r="M3792" s="56" t="n">
        <v>62</v>
      </c>
      <c r="N3792" s="56" t="n">
        <v>2.2</v>
      </c>
      <c r="O3792" s="56" t="n">
        <f aca="false">IF(D3792=1,"",E3791)</f>
        <v>23.2</v>
      </c>
      <c r="P3792" s="56" t="n">
        <f aca="false">IF(OR(D3792=1,K3791=""),"",K3791)</f>
        <v>1017.3</v>
      </c>
      <c r="Q3792" s="56" t="n">
        <f aca="false">IF(OR(F3792&lt;&gt;0,AND(I3792&lt;&gt;"",E3792&lt;I3792)),1,0)</f>
        <v>1</v>
      </c>
      <c r="R3792" s="56" t="n">
        <f aca="false">IF(AND(D3792&gt;1,Q3792=0,ISNUMBER(O3792),ISNUMBER(P3792)),IF(Q3791=0,1,0),0)</f>
        <v>0</v>
      </c>
      <c r="S3792" s="56" t="n">
        <f aca="false">R3792*(B3792&gt;=Train_Start)*(B3792&lt;=Train_End)</f>
        <v>0</v>
      </c>
      <c r="T3792" s="84" t="n">
        <f aca="false">IF(AND(ISNUMBER(O3792),ISNUMBER(P3792)),Coef_A+Coef_B1*O3792+Coef_B2*P3792,"")</f>
        <v>23.0082385117428</v>
      </c>
      <c r="U3792" s="84" t="str">
        <f aca="false">IF(AND(R3792=1,ISNUMBER(T3792)),E3792-T3792,"")</f>
        <v/>
      </c>
      <c r="V3792" s="84" t="n">
        <f aca="false">IF(ISNUMBER(T3792),T3792,-99)</f>
        <v>23.0082385117428</v>
      </c>
      <c r="W3792" s="84" t="str">
        <f aca="false">IF(ISNUMBER(U3792),ABS(U3792),"")</f>
        <v/>
      </c>
    </row>
    <row r="3793" customFormat="false" ht="15" hidden="false" customHeight="false" outlineLevel="0" collapsed="false">
      <c r="A3793" s="57" t="n">
        <v>37861</v>
      </c>
      <c r="B3793" s="56" t="n">
        <v>2003</v>
      </c>
      <c r="C3793" s="56" t="n">
        <v>8</v>
      </c>
      <c r="D3793" s="56" t="n">
        <v>120</v>
      </c>
      <c r="E3793" s="56" t="n">
        <v>19.2</v>
      </c>
      <c r="F3793" s="56" t="n">
        <v>0</v>
      </c>
      <c r="G3793" s="56" t="n">
        <v>15.5</v>
      </c>
      <c r="H3793" s="56" t="n">
        <v>0</v>
      </c>
      <c r="I3793" s="56" t="n">
        <v>17.2</v>
      </c>
      <c r="J3793" s="56" t="n">
        <v>0</v>
      </c>
      <c r="K3793" s="56" t="n">
        <v>1008.8</v>
      </c>
      <c r="L3793" s="56" t="n">
        <v>0</v>
      </c>
      <c r="M3793" s="56" t="n">
        <v>69</v>
      </c>
      <c r="N3793" s="56" t="n">
        <v>0.3</v>
      </c>
      <c r="O3793" s="56" t="n">
        <f aca="false">IF(D3793=1,"",E3792)</f>
        <v>18.8</v>
      </c>
      <c r="P3793" s="56" t="n">
        <f aca="false">IF(OR(D3793=1,K3792=""),"",K3792)</f>
        <v>1014.7</v>
      </c>
      <c r="Q3793" s="56" t="n">
        <f aca="false">IF(OR(F3793&lt;&gt;0,AND(I3793&lt;&gt;"",E3793&lt;I3793)),1,0)</f>
        <v>0</v>
      </c>
      <c r="R3793" s="56" t="n">
        <f aca="false">IF(AND(D3793&gt;1,Q3793=0,ISNUMBER(O3793),ISNUMBER(P3793)),IF(Q3792=0,1,0),0)</f>
        <v>0</v>
      </c>
      <c r="S3793" s="56" t="n">
        <f aca="false">R3793*(B3793&gt;=Train_Start)*(B3793&lt;=Train_End)</f>
        <v>0</v>
      </c>
      <c r="T3793" s="84" t="n">
        <f aca="false">IF(AND(ISNUMBER(O3793),ISNUMBER(P3793)),Coef_A+Coef_B1*O3793+Coef_B2*P3793,"")</f>
        <v>19.3215843363067</v>
      </c>
      <c r="U3793" s="84" t="str">
        <f aca="false">IF(AND(R3793=1,ISNUMBER(T3793)),E3793-T3793,"")</f>
        <v/>
      </c>
      <c r="V3793" s="84" t="n">
        <f aca="false">IF(ISNUMBER(T3793),T3793,-99)</f>
        <v>19.3215843363067</v>
      </c>
      <c r="W3793" s="84" t="str">
        <f aca="false">IF(ISNUMBER(U3793),ABS(U3793),"")</f>
        <v/>
      </c>
    </row>
    <row r="3794" customFormat="false" ht="15" hidden="false" customHeight="false" outlineLevel="0" collapsed="false">
      <c r="A3794" s="57" t="n">
        <v>37862</v>
      </c>
      <c r="B3794" s="56" t="n">
        <v>2003</v>
      </c>
      <c r="C3794" s="56" t="n">
        <v>8</v>
      </c>
      <c r="D3794" s="56" t="n">
        <v>121</v>
      </c>
      <c r="E3794" s="56" t="n">
        <v>19.5</v>
      </c>
      <c r="F3794" s="56" t="n">
        <v>0</v>
      </c>
      <c r="G3794" s="56" t="n">
        <v>12.8</v>
      </c>
      <c r="H3794" s="56" t="n">
        <v>0</v>
      </c>
      <c r="I3794" s="56" t="n">
        <v>16</v>
      </c>
      <c r="J3794" s="56" t="n">
        <v>0</v>
      </c>
      <c r="K3794" s="56" t="n">
        <v>1007.6</v>
      </c>
      <c r="L3794" s="56" t="n">
        <v>0</v>
      </c>
      <c r="M3794" s="56" t="n">
        <v>74</v>
      </c>
      <c r="N3794" s="56" t="n">
        <v>1</v>
      </c>
      <c r="O3794" s="56" t="n">
        <f aca="false">IF(D3794=1,"",E3793)</f>
        <v>19.2</v>
      </c>
      <c r="P3794" s="56" t="n">
        <f aca="false">IF(OR(D3794=1,K3793=""),"",K3793)</f>
        <v>1008.8</v>
      </c>
      <c r="Q3794" s="56" t="n">
        <f aca="false">IF(OR(F3794&lt;&gt;0,AND(I3794&lt;&gt;"",E3794&lt;I3794)),1,0)</f>
        <v>0</v>
      </c>
      <c r="R3794" s="56" t="n">
        <f aca="false">IF(AND(D3794&gt;1,Q3794=0,ISNUMBER(O3794),ISNUMBER(P3794)),IF(Q3793=0,1,0),0)</f>
        <v>1</v>
      </c>
      <c r="S3794" s="56" t="n">
        <f aca="false">R3794*(B3794&gt;=Train_Start)*(B3794&lt;=Train_End)</f>
        <v>0</v>
      </c>
      <c r="T3794" s="84" t="n">
        <f aca="false">IF(AND(ISNUMBER(O3794),ISNUMBER(P3794)),Coef_A+Coef_B1*O3794+Coef_B2*P3794,"")</f>
        <v>19.4642376351832</v>
      </c>
      <c r="U3794" s="84" t="n">
        <f aca="false">IF(AND(R3794=1,ISNUMBER(T3794)),E3794-T3794,"")</f>
        <v>0.035762364816776</v>
      </c>
      <c r="V3794" s="84" t="n">
        <f aca="false">IF(ISNUMBER(T3794),T3794,-99)</f>
        <v>19.4642376351832</v>
      </c>
      <c r="W3794" s="84" t="n">
        <f aca="false">IF(ISNUMBER(U3794),ABS(U3794),"")</f>
        <v>0.035762364816776</v>
      </c>
    </row>
    <row r="3795" customFormat="false" ht="15" hidden="false" customHeight="false" outlineLevel="0" collapsed="false">
      <c r="A3795" s="57" t="n">
        <v>37863</v>
      </c>
      <c r="B3795" s="56" t="n">
        <v>2003</v>
      </c>
      <c r="C3795" s="56" t="n">
        <v>8</v>
      </c>
      <c r="D3795" s="56" t="n">
        <v>122</v>
      </c>
      <c r="E3795" s="56" t="n">
        <v>20.5</v>
      </c>
      <c r="F3795" s="56" t="n">
        <v>0</v>
      </c>
      <c r="G3795" s="56" t="n">
        <v>9.1</v>
      </c>
      <c r="H3795" s="56" t="n">
        <v>0</v>
      </c>
      <c r="I3795" s="56" t="n">
        <v>14.3</v>
      </c>
      <c r="J3795" s="56" t="n">
        <v>0</v>
      </c>
      <c r="K3795" s="56" t="n">
        <v>1017.2</v>
      </c>
      <c r="L3795" s="56" t="n">
        <v>0</v>
      </c>
      <c r="M3795" s="56" t="n">
        <v>59</v>
      </c>
      <c r="N3795" s="56" t="n">
        <v>12.5</v>
      </c>
      <c r="O3795" s="56" t="n">
        <f aca="false">IF(D3795=1,"",E3794)</f>
        <v>19.5</v>
      </c>
      <c r="P3795" s="56" t="n">
        <f aca="false">IF(OR(D3795=1,K3794=""),"",K3794)</f>
        <v>1007.6</v>
      </c>
      <c r="Q3795" s="56" t="n">
        <f aca="false">IF(OR(F3795&lt;&gt;0,AND(I3795&lt;&gt;"",E3795&lt;I3795)),1,0)</f>
        <v>0</v>
      </c>
      <c r="R3795" s="56" t="n">
        <f aca="false">IF(AND(D3795&gt;1,Q3795=0,ISNUMBER(O3795),ISNUMBER(P3795)),IF(Q3794=0,1,0),0)</f>
        <v>1</v>
      </c>
      <c r="S3795" s="56" t="n">
        <f aca="false">R3795*(B3795&gt;=Train_Start)*(B3795&lt;=Train_End)</f>
        <v>0</v>
      </c>
      <c r="T3795" s="84" t="n">
        <f aca="false">IF(AND(ISNUMBER(O3795),ISNUMBER(P3795)),Coef_A+Coef_B1*O3795+Coef_B2*P3795,"")</f>
        <v>19.6723955195352</v>
      </c>
      <c r="U3795" s="84" t="n">
        <f aca="false">IF(AND(R3795=1,ISNUMBER(T3795)),E3795-T3795,"")</f>
        <v>0.827604480464764</v>
      </c>
      <c r="V3795" s="84" t="n">
        <f aca="false">IF(ISNUMBER(T3795),T3795,-99)</f>
        <v>19.6723955195352</v>
      </c>
      <c r="W3795" s="84" t="n">
        <f aca="false">IF(ISNUMBER(U3795),ABS(U3795),"")</f>
        <v>0.827604480464764</v>
      </c>
    </row>
    <row r="3796" customFormat="false" ht="15" hidden="false" customHeight="false" outlineLevel="0" collapsed="false">
      <c r="A3796" s="57" t="n">
        <v>37864</v>
      </c>
      <c r="B3796" s="56" t="n">
        <v>2003</v>
      </c>
      <c r="C3796" s="56" t="n">
        <v>8</v>
      </c>
      <c r="D3796" s="56" t="n">
        <v>123</v>
      </c>
      <c r="E3796" s="56" t="n">
        <v>19.4</v>
      </c>
      <c r="F3796" s="56" t="n">
        <v>0</v>
      </c>
      <c r="G3796" s="56" t="n">
        <v>8.4</v>
      </c>
      <c r="H3796" s="56" t="n">
        <v>0</v>
      </c>
      <c r="I3796" s="56" t="n">
        <v>14.4</v>
      </c>
      <c r="J3796" s="56" t="n">
        <v>0</v>
      </c>
      <c r="K3796" s="56" t="n">
        <v>1021.1</v>
      </c>
      <c r="L3796" s="56" t="n">
        <v>0</v>
      </c>
      <c r="M3796" s="56" t="n">
        <v>58</v>
      </c>
      <c r="N3796" s="56" t="n">
        <v>9.9</v>
      </c>
      <c r="O3796" s="56" t="n">
        <f aca="false">IF(D3796=1,"",E3795)</f>
        <v>20.5</v>
      </c>
      <c r="P3796" s="56" t="n">
        <f aca="false">IF(OR(D3796=1,K3795=""),"",K3795)</f>
        <v>1017.2</v>
      </c>
      <c r="Q3796" s="56" t="n">
        <f aca="false">IF(OR(F3796&lt;&gt;0,AND(I3796&lt;&gt;"",E3796&lt;I3796)),1,0)</f>
        <v>0</v>
      </c>
      <c r="R3796" s="56" t="n">
        <f aca="false">IF(AND(D3796&gt;1,Q3796=0,ISNUMBER(O3796),ISNUMBER(P3796)),IF(Q3795=0,1,0),0)</f>
        <v>1</v>
      </c>
      <c r="S3796" s="56" t="n">
        <f aca="false">R3796*(B3796&gt;=Train_Start)*(B3796&lt;=Train_End)</f>
        <v>0</v>
      </c>
      <c r="T3796" s="84" t="n">
        <f aca="false">IF(AND(ISNUMBER(O3796),ISNUMBER(P3796)),Coef_A+Coef_B1*O3796+Coef_B2*P3796,"")</f>
        <v>20.7928857010642</v>
      </c>
      <c r="U3796" s="84" t="n">
        <f aca="false">IF(AND(R3796=1,ISNUMBER(T3796)),E3796-T3796,"")</f>
        <v>-1.39288570106419</v>
      </c>
      <c r="V3796" s="84" t="n">
        <f aca="false">IF(ISNUMBER(T3796),T3796,-99)</f>
        <v>20.7928857010642</v>
      </c>
      <c r="W3796" s="84" t="n">
        <f aca="false">IF(ISNUMBER(U3796),ABS(U3796),"")</f>
        <v>1.39288570106419</v>
      </c>
    </row>
    <row r="3797" customFormat="false" ht="15" hidden="false" customHeight="false" outlineLevel="0" collapsed="false">
      <c r="A3797" s="57" t="n">
        <v>37865</v>
      </c>
      <c r="B3797" s="56" t="n">
        <v>2003</v>
      </c>
      <c r="C3797" s="56" t="n">
        <v>9</v>
      </c>
      <c r="D3797" s="56" t="n">
        <v>124</v>
      </c>
      <c r="E3797" s="56" t="n">
        <v>21</v>
      </c>
      <c r="F3797" s="56" t="n">
        <v>0</v>
      </c>
      <c r="G3797" s="56" t="n">
        <v>13</v>
      </c>
      <c r="H3797" s="56" t="n">
        <v>0</v>
      </c>
      <c r="I3797" s="56" t="n">
        <v>16.2</v>
      </c>
      <c r="J3797" s="56" t="n">
        <v>0</v>
      </c>
      <c r="K3797" s="56" t="n">
        <v>1023.6</v>
      </c>
      <c r="L3797" s="56" t="n">
        <v>0</v>
      </c>
      <c r="M3797" s="56" t="n">
        <v>52</v>
      </c>
      <c r="N3797" s="56" t="n">
        <v>6.8</v>
      </c>
      <c r="O3797" s="56" t="n">
        <f aca="false">IF(D3797=1,"",E3796)</f>
        <v>19.4</v>
      </c>
      <c r="P3797" s="56" t="n">
        <f aca="false">IF(OR(D3797=1,K3796=""),"",K3796)</f>
        <v>1021.1</v>
      </c>
      <c r="Q3797" s="56" t="n">
        <f aca="false">IF(OR(F3797&lt;&gt;0,AND(I3797&lt;&gt;"",E3797&lt;I3797)),1,0)</f>
        <v>0</v>
      </c>
      <c r="R3797" s="56" t="n">
        <f aca="false">IF(AND(D3797&gt;1,Q3797=0,ISNUMBER(O3797),ISNUMBER(P3797)),IF(Q3796=0,1,0),0)</f>
        <v>1</v>
      </c>
      <c r="S3797" s="56" t="n">
        <f aca="false">R3797*(B3797&gt;=Train_Start)*(B3797&lt;=Train_End)</f>
        <v>0</v>
      </c>
      <c r="T3797" s="84" t="n">
        <f aca="false">IF(AND(ISNUMBER(O3797),ISNUMBER(P3797)),Coef_A+Coef_B1*O3797+Coef_B2*P3797,"")</f>
        <v>20.0139551777898</v>
      </c>
      <c r="U3797" s="84" t="n">
        <f aca="false">IF(AND(R3797=1,ISNUMBER(T3797)),E3797-T3797,"")</f>
        <v>0.986044822210179</v>
      </c>
      <c r="V3797" s="84" t="n">
        <f aca="false">IF(ISNUMBER(T3797),T3797,-99)</f>
        <v>20.0139551777898</v>
      </c>
      <c r="W3797" s="84" t="n">
        <f aca="false">IF(ISNUMBER(U3797),ABS(U3797),"")</f>
        <v>0.986044822210179</v>
      </c>
    </row>
    <row r="3798" customFormat="false" ht="15" hidden="false" customHeight="false" outlineLevel="0" collapsed="false">
      <c r="A3798" s="57" t="n">
        <v>37866</v>
      </c>
      <c r="B3798" s="56" t="n">
        <v>2003</v>
      </c>
      <c r="C3798" s="56" t="n">
        <v>9</v>
      </c>
      <c r="D3798" s="56" t="n">
        <v>125</v>
      </c>
      <c r="E3798" s="56" t="n">
        <v>22.4</v>
      </c>
      <c r="F3798" s="56" t="n">
        <v>0</v>
      </c>
      <c r="G3798" s="56" t="n">
        <v>11.5</v>
      </c>
      <c r="H3798" s="56" t="n">
        <v>0</v>
      </c>
      <c r="I3798" s="56" t="n">
        <v>16.2</v>
      </c>
      <c r="J3798" s="56" t="n">
        <v>0</v>
      </c>
      <c r="K3798" s="56" t="n">
        <v>1027.8</v>
      </c>
      <c r="L3798" s="56" t="n">
        <v>0</v>
      </c>
      <c r="M3798" s="56" t="n">
        <v>57</v>
      </c>
      <c r="N3798" s="56" t="n">
        <v>2.3</v>
      </c>
      <c r="O3798" s="56" t="n">
        <f aca="false">IF(D3798=1,"",E3797)</f>
        <v>21</v>
      </c>
      <c r="P3798" s="56" t="n">
        <f aca="false">IF(OR(D3798=1,K3797=""),"",K3797)</f>
        <v>1023.6</v>
      </c>
      <c r="Q3798" s="56" t="n">
        <f aca="false">IF(OR(F3798&lt;&gt;0,AND(I3798&lt;&gt;"",E3798&lt;I3798)),1,0)</f>
        <v>0</v>
      </c>
      <c r="R3798" s="56" t="n">
        <f aca="false">IF(AND(D3798&gt;1,Q3798=0,ISNUMBER(O3798),ISNUMBER(P3798)),IF(Q3797=0,1,0),0)</f>
        <v>1</v>
      </c>
      <c r="S3798" s="56" t="n">
        <f aca="false">R3798*(B3798&gt;=Train_Start)*(B3798&lt;=Train_End)</f>
        <v>0</v>
      </c>
      <c r="T3798" s="84" t="n">
        <f aca="false">IF(AND(ISNUMBER(O3798),ISNUMBER(P3798)),Coef_A+Coef_B1*O3798+Coef_B2*P3798,"")</f>
        <v>21.4033226232431</v>
      </c>
      <c r="U3798" s="84" t="n">
        <f aca="false">IF(AND(R3798=1,ISNUMBER(T3798)),E3798-T3798,"")</f>
        <v>0.996677376756946</v>
      </c>
      <c r="V3798" s="84" t="n">
        <f aca="false">IF(ISNUMBER(T3798),T3798,-99)</f>
        <v>21.4033226232431</v>
      </c>
      <c r="W3798" s="84" t="n">
        <f aca="false">IF(ISNUMBER(U3798),ABS(U3798),"")</f>
        <v>0.996677376756946</v>
      </c>
    </row>
    <row r="3799" customFormat="false" ht="15" hidden="false" customHeight="false" outlineLevel="0" collapsed="false">
      <c r="A3799" s="57" t="n">
        <v>37867</v>
      </c>
      <c r="B3799" s="56" t="n">
        <v>2003</v>
      </c>
      <c r="C3799" s="56" t="n">
        <v>9</v>
      </c>
      <c r="D3799" s="56" t="n">
        <v>126</v>
      </c>
      <c r="E3799" s="56" t="n">
        <v>24.5</v>
      </c>
      <c r="F3799" s="56" t="n">
        <v>0</v>
      </c>
      <c r="G3799" s="56" t="n">
        <v>14.9</v>
      </c>
      <c r="H3799" s="56" t="n">
        <v>0</v>
      </c>
      <c r="I3799" s="56" t="n">
        <v>18.6</v>
      </c>
      <c r="J3799" s="56" t="n">
        <v>0</v>
      </c>
      <c r="K3799" s="56" t="n">
        <v>1030.1</v>
      </c>
      <c r="L3799" s="56" t="n">
        <v>0</v>
      </c>
      <c r="M3799" s="56" t="n">
        <v>57</v>
      </c>
      <c r="N3799" s="56" t="n">
        <v>0.5</v>
      </c>
      <c r="O3799" s="56" t="n">
        <f aca="false">IF(D3799=1,"",E3798)</f>
        <v>22.4</v>
      </c>
      <c r="P3799" s="56" t="n">
        <f aca="false">IF(OR(D3799=1,K3798=""),"",K3798)</f>
        <v>1027.8</v>
      </c>
      <c r="Q3799" s="56" t="n">
        <f aca="false">IF(OR(F3799&lt;&gt;0,AND(I3799&lt;&gt;"",E3799&lt;I3799)),1,0)</f>
        <v>0</v>
      </c>
      <c r="R3799" s="56" t="n">
        <f aca="false">IF(AND(D3799&gt;1,Q3799=0,ISNUMBER(O3799),ISNUMBER(P3799)),IF(Q3798=0,1,0),0)</f>
        <v>1</v>
      </c>
      <c r="S3799" s="56" t="n">
        <f aca="false">R3799*(B3799&gt;=Train_Start)*(B3799&lt;=Train_End)</f>
        <v>0</v>
      </c>
      <c r="T3799" s="84" t="n">
        <f aca="false">IF(AND(ISNUMBER(O3799),ISNUMBER(P3799)),Coef_A+Coef_B1*O3799+Coef_B2*P3799,"")</f>
        <v>22.6821510509655</v>
      </c>
      <c r="U3799" s="84" t="n">
        <f aca="false">IF(AND(R3799=1,ISNUMBER(T3799)),E3799-T3799,"")</f>
        <v>1.81784894903448</v>
      </c>
      <c r="V3799" s="84" t="n">
        <f aca="false">IF(ISNUMBER(T3799),T3799,-99)</f>
        <v>22.6821510509655</v>
      </c>
      <c r="W3799" s="84" t="n">
        <f aca="false">IF(ISNUMBER(U3799),ABS(U3799),"")</f>
        <v>1.81784894903448</v>
      </c>
    </row>
    <row r="3800" customFormat="false" ht="15" hidden="false" customHeight="false" outlineLevel="0" collapsed="false">
      <c r="A3800" s="57" t="n">
        <v>37868</v>
      </c>
      <c r="B3800" s="56" t="n">
        <v>2003</v>
      </c>
      <c r="C3800" s="56" t="n">
        <v>9</v>
      </c>
      <c r="D3800" s="56" t="n">
        <v>127</v>
      </c>
      <c r="E3800" s="56" t="n">
        <v>26.9</v>
      </c>
      <c r="F3800" s="56" t="n">
        <v>0</v>
      </c>
      <c r="G3800" s="56" t="n">
        <v>11.2</v>
      </c>
      <c r="H3800" s="56" t="n">
        <v>0</v>
      </c>
      <c r="I3800" s="56" t="n">
        <v>17.8</v>
      </c>
      <c r="J3800" s="56" t="n">
        <v>0</v>
      </c>
      <c r="K3800" s="56" t="n">
        <v>1027.7</v>
      </c>
      <c r="L3800" s="56" t="n">
        <v>0</v>
      </c>
      <c r="M3800" s="56" t="n">
        <v>62</v>
      </c>
      <c r="N3800" s="56" t="n">
        <v>11.8</v>
      </c>
      <c r="O3800" s="56" t="n">
        <f aca="false">IF(D3800=1,"",E3799)</f>
        <v>24.5</v>
      </c>
      <c r="P3800" s="56" t="n">
        <f aca="false">IF(OR(D3800=1,K3799=""),"",K3799)</f>
        <v>1030.1</v>
      </c>
      <c r="Q3800" s="56" t="n">
        <f aca="false">IF(OR(F3800&lt;&gt;0,AND(I3800&lt;&gt;"",E3800&lt;I3800)),1,0)</f>
        <v>0</v>
      </c>
      <c r="R3800" s="56" t="n">
        <f aca="false">IF(AND(D3800&gt;1,Q3800=0,ISNUMBER(O3800),ISNUMBER(P3800)),IF(Q3799=0,1,0),0)</f>
        <v>1</v>
      </c>
      <c r="S3800" s="56" t="n">
        <f aca="false">R3800*(B3800&gt;=Train_Start)*(B3800&lt;=Train_End)</f>
        <v>0</v>
      </c>
      <c r="T3800" s="84" t="n">
        <f aca="false">IF(AND(ISNUMBER(O3800),ISNUMBER(P3800)),Coef_A+Coef_B1*O3800+Coef_B2*P3800,"")</f>
        <v>24.4749141140133</v>
      </c>
      <c r="U3800" s="84" t="n">
        <f aca="false">IF(AND(R3800=1,ISNUMBER(T3800)),E3800-T3800,"")</f>
        <v>2.42508588598672</v>
      </c>
      <c r="V3800" s="84" t="n">
        <f aca="false">IF(ISNUMBER(T3800),T3800,-99)</f>
        <v>24.4749141140133</v>
      </c>
      <c r="W3800" s="84" t="n">
        <f aca="false">IF(ISNUMBER(U3800),ABS(U3800),"")</f>
        <v>2.42508588598672</v>
      </c>
    </row>
    <row r="3801" customFormat="false" ht="15" hidden="false" customHeight="false" outlineLevel="0" collapsed="false">
      <c r="A3801" s="57" t="n">
        <v>37869</v>
      </c>
      <c r="B3801" s="56" t="n">
        <v>2003</v>
      </c>
      <c r="C3801" s="56" t="n">
        <v>9</v>
      </c>
      <c r="D3801" s="56" t="n">
        <v>128</v>
      </c>
      <c r="E3801" s="56" t="n">
        <v>21.8</v>
      </c>
      <c r="F3801" s="56" t="n">
        <v>0</v>
      </c>
      <c r="G3801" s="56" t="n">
        <v>13.1</v>
      </c>
      <c r="H3801" s="56" t="n">
        <v>0</v>
      </c>
      <c r="I3801" s="56" t="n">
        <v>20</v>
      </c>
      <c r="J3801" s="56" t="n">
        <v>0</v>
      </c>
      <c r="K3801" s="56" t="n">
        <v>1018.1</v>
      </c>
      <c r="L3801" s="56" t="n">
        <v>0</v>
      </c>
      <c r="M3801" s="56" t="n">
        <v>63</v>
      </c>
      <c r="N3801" s="56" t="n">
        <v>5.6</v>
      </c>
      <c r="O3801" s="56" t="n">
        <f aca="false">IF(D3801=1,"",E3800)</f>
        <v>26.9</v>
      </c>
      <c r="P3801" s="56" t="n">
        <f aca="false">IF(OR(D3801=1,K3800=""),"",K3800)</f>
        <v>1027.7</v>
      </c>
      <c r="Q3801" s="56" t="n">
        <f aca="false">IF(OR(F3801&lt;&gt;0,AND(I3801&lt;&gt;"",E3801&lt;I3801)),1,0)</f>
        <v>0</v>
      </c>
      <c r="R3801" s="56" t="n">
        <f aca="false">IF(AND(D3801&gt;1,Q3801=0,ISNUMBER(O3801),ISNUMBER(P3801)),IF(Q3800=0,1,0),0)</f>
        <v>1</v>
      </c>
      <c r="S3801" s="56" t="n">
        <f aca="false">R3801*(B3801&gt;=Train_Start)*(B3801&lt;=Train_End)</f>
        <v>0</v>
      </c>
      <c r="T3801" s="84" t="n">
        <f aca="false">IF(AND(ISNUMBER(O3801),ISNUMBER(P3801)),Coef_A+Coef_B1*O3801+Coef_B2*P3801,"")</f>
        <v>26.3660404301941</v>
      </c>
      <c r="U3801" s="84" t="n">
        <f aca="false">IF(AND(R3801=1,ISNUMBER(T3801)),E3801-T3801,"")</f>
        <v>-4.56604043019408</v>
      </c>
      <c r="V3801" s="84" t="n">
        <f aca="false">IF(ISNUMBER(T3801),T3801,-99)</f>
        <v>26.3660404301941</v>
      </c>
      <c r="W3801" s="84" t="n">
        <f aca="false">IF(ISNUMBER(U3801),ABS(U3801),"")</f>
        <v>4.56604043019408</v>
      </c>
    </row>
    <row r="3802" customFormat="false" ht="15" hidden="false" customHeight="false" outlineLevel="0" collapsed="false">
      <c r="A3802" s="57" t="n">
        <v>37870</v>
      </c>
      <c r="B3802" s="56" t="n">
        <v>2003</v>
      </c>
      <c r="C3802" s="56" t="n">
        <v>9</v>
      </c>
      <c r="D3802" s="56" t="n">
        <v>129</v>
      </c>
      <c r="E3802" s="56" t="n">
        <v>19.3</v>
      </c>
      <c r="F3802" s="56" t="n">
        <v>0</v>
      </c>
      <c r="G3802" s="56" t="n">
        <v>14.2</v>
      </c>
      <c r="H3802" s="56" t="n">
        <v>0</v>
      </c>
      <c r="I3802" s="56" t="n">
        <v>18</v>
      </c>
      <c r="J3802" s="56" t="n">
        <v>0</v>
      </c>
      <c r="K3802" s="56" t="n">
        <v>1014.8</v>
      </c>
      <c r="L3802" s="56" t="n">
        <v>0</v>
      </c>
      <c r="M3802" s="56" t="n">
        <v>69</v>
      </c>
      <c r="N3802" s="56" t="n">
        <v>6.8</v>
      </c>
      <c r="O3802" s="56" t="n">
        <f aca="false">IF(D3802=1,"",E3801)</f>
        <v>21.8</v>
      </c>
      <c r="P3802" s="56" t="n">
        <f aca="false">IF(OR(D3802=1,K3801=""),"",K3801)</f>
        <v>1018.1</v>
      </c>
      <c r="Q3802" s="56" t="n">
        <f aca="false">IF(OR(F3802&lt;&gt;0,AND(I3802&lt;&gt;"",E3802&lt;I3802)),1,0)</f>
        <v>0</v>
      </c>
      <c r="R3802" s="56" t="n">
        <f aca="false">IF(AND(D3802&gt;1,Q3802=0,ISNUMBER(O3802),ISNUMBER(P3802)),IF(Q3801=0,1,0),0)</f>
        <v>1</v>
      </c>
      <c r="S3802" s="56" t="n">
        <f aca="false">R3802*(B3802&gt;=Train_Start)*(B3802&lt;=Train_End)</f>
        <v>0</v>
      </c>
      <c r="T3802" s="84" t="n">
        <f aca="false">IF(AND(ISNUMBER(O3802),ISNUMBER(P3802)),Coef_A+Coef_B1*O3802+Coef_B2*P3802,"")</f>
        <v>21.8862595571902</v>
      </c>
      <c r="U3802" s="84" t="n">
        <f aca="false">IF(AND(R3802=1,ISNUMBER(T3802)),E3802-T3802,"")</f>
        <v>-2.58625955719024</v>
      </c>
      <c r="V3802" s="84" t="n">
        <f aca="false">IF(ISNUMBER(T3802),T3802,-99)</f>
        <v>21.8862595571902</v>
      </c>
      <c r="W3802" s="84" t="n">
        <f aca="false">IF(ISNUMBER(U3802),ABS(U3802),"")</f>
        <v>2.58625955719024</v>
      </c>
    </row>
    <row r="3803" customFormat="false" ht="15" hidden="false" customHeight="false" outlineLevel="0" collapsed="false">
      <c r="A3803" s="57" t="n">
        <v>37871</v>
      </c>
      <c r="B3803" s="56" t="n">
        <v>2003</v>
      </c>
      <c r="C3803" s="56" t="n">
        <v>9</v>
      </c>
      <c r="D3803" s="56" t="n">
        <v>130</v>
      </c>
      <c r="E3803" s="56" t="n">
        <v>22.1</v>
      </c>
      <c r="F3803" s="56" t="n">
        <v>0</v>
      </c>
      <c r="G3803" s="56" t="n">
        <v>9.5</v>
      </c>
      <c r="H3803" s="56" t="n">
        <v>0</v>
      </c>
      <c r="I3803" s="56" t="n">
        <v>14.4</v>
      </c>
      <c r="J3803" s="56" t="n">
        <v>0</v>
      </c>
      <c r="K3803" s="56" t="n">
        <v>1015.1</v>
      </c>
      <c r="L3803" s="56" t="n">
        <v>0</v>
      </c>
      <c r="M3803" s="56" t="n">
        <v>69</v>
      </c>
      <c r="N3803" s="56" t="n">
        <v>2.8</v>
      </c>
      <c r="O3803" s="56" t="n">
        <f aca="false">IF(D3803=1,"",E3802)</f>
        <v>19.3</v>
      </c>
      <c r="P3803" s="56" t="n">
        <f aca="false">IF(OR(D3803=1,K3802=""),"",K3802)</f>
        <v>1014.8</v>
      </c>
      <c r="Q3803" s="56" t="n">
        <f aca="false">IF(OR(F3803&lt;&gt;0,AND(I3803&lt;&gt;"",E3803&lt;I3803)),1,0)</f>
        <v>0</v>
      </c>
      <c r="R3803" s="56" t="n">
        <f aca="false">IF(AND(D3803&gt;1,Q3803=0,ISNUMBER(O3803),ISNUMBER(P3803)),IF(Q3802=0,1,0),0)</f>
        <v>1</v>
      </c>
      <c r="S3803" s="56" t="n">
        <f aca="false">R3803*(B3803&gt;=Train_Start)*(B3803&lt;=Train_End)</f>
        <v>0</v>
      </c>
      <c r="T3803" s="84" t="n">
        <f aca="false">IF(AND(ISNUMBER(O3803),ISNUMBER(P3803)),Coef_A+Coef_B1*O3803+Coef_B2*P3803,"")</f>
        <v>19.7343909222914</v>
      </c>
      <c r="U3803" s="84" t="n">
        <f aca="false">IF(AND(R3803=1,ISNUMBER(T3803)),E3803-T3803,"")</f>
        <v>2.36560907770858</v>
      </c>
      <c r="V3803" s="84" t="n">
        <f aca="false">IF(ISNUMBER(T3803),T3803,-99)</f>
        <v>19.7343909222914</v>
      </c>
      <c r="W3803" s="84" t="n">
        <f aca="false">IF(ISNUMBER(U3803),ABS(U3803),"")</f>
        <v>2.36560907770858</v>
      </c>
    </row>
    <row r="3804" customFormat="false" ht="15" hidden="false" customHeight="false" outlineLevel="0" collapsed="false">
      <c r="A3804" s="57" t="n">
        <v>37872</v>
      </c>
      <c r="B3804" s="56" t="n">
        <v>2003</v>
      </c>
      <c r="C3804" s="56" t="n">
        <v>9</v>
      </c>
      <c r="D3804" s="56" t="n">
        <v>131</v>
      </c>
      <c r="E3804" s="56" t="n">
        <v>20.8</v>
      </c>
      <c r="F3804" s="56" t="n">
        <v>0</v>
      </c>
      <c r="G3804" s="56" t="n">
        <v>10.3</v>
      </c>
      <c r="H3804" s="56" t="n">
        <v>0</v>
      </c>
      <c r="I3804" s="56" t="n">
        <v>16.2</v>
      </c>
      <c r="J3804" s="56" t="n">
        <v>0</v>
      </c>
      <c r="K3804" s="56" t="n">
        <v>1008.6</v>
      </c>
      <c r="L3804" s="56" t="n">
        <v>0</v>
      </c>
      <c r="M3804" s="56" t="n">
        <v>65</v>
      </c>
      <c r="N3804" s="56" t="n">
        <v>5.4</v>
      </c>
      <c r="O3804" s="56" t="n">
        <f aca="false">IF(D3804=1,"",E3803)</f>
        <v>22.1</v>
      </c>
      <c r="P3804" s="56" t="n">
        <f aca="false">IF(OR(D3804=1,K3803=""),"",K3803)</f>
        <v>1015.1</v>
      </c>
      <c r="Q3804" s="56" t="n">
        <f aca="false">IF(OR(F3804&lt;&gt;0,AND(I3804&lt;&gt;"",E3804&lt;I3804)),1,0)</f>
        <v>0</v>
      </c>
      <c r="R3804" s="56" t="n">
        <f aca="false">IF(AND(D3804&gt;1,Q3804=0,ISNUMBER(O3804),ISNUMBER(P3804)),IF(Q3803=0,1,0),0)</f>
        <v>1</v>
      </c>
      <c r="S3804" s="56" t="n">
        <f aca="false">R3804*(B3804&gt;=Train_Start)*(B3804&lt;=Train_End)</f>
        <v>0</v>
      </c>
      <c r="T3804" s="84" t="n">
        <f aca="false">IF(AND(ISNUMBER(O3804),ISNUMBER(P3804)),Coef_A+Coef_B1*O3804+Coef_B2*P3804,"")</f>
        <v>22.0379516312011</v>
      </c>
      <c r="U3804" s="84" t="n">
        <f aca="false">IF(AND(R3804=1,ISNUMBER(T3804)),E3804-T3804,"")</f>
        <v>-1.23795163120106</v>
      </c>
      <c r="V3804" s="84" t="n">
        <f aca="false">IF(ISNUMBER(T3804),T3804,-99)</f>
        <v>22.0379516312011</v>
      </c>
      <c r="W3804" s="84" t="n">
        <f aca="false">IF(ISNUMBER(U3804),ABS(U3804),"")</f>
        <v>1.23795163120106</v>
      </c>
    </row>
    <row r="3805" customFormat="false" ht="15" hidden="false" customHeight="false" outlineLevel="0" collapsed="false">
      <c r="A3805" s="57" t="n">
        <v>37873</v>
      </c>
      <c r="B3805" s="56" t="n">
        <v>2003</v>
      </c>
      <c r="C3805" s="56" t="n">
        <v>9</v>
      </c>
      <c r="D3805" s="56" t="n">
        <v>132</v>
      </c>
      <c r="E3805" s="56" t="n">
        <v>21.9</v>
      </c>
      <c r="F3805" s="56" t="n">
        <v>0</v>
      </c>
      <c r="G3805" s="56" t="n">
        <v>13.1</v>
      </c>
      <c r="H3805" s="56" t="n">
        <v>0</v>
      </c>
      <c r="I3805" s="56" t="n">
        <v>17</v>
      </c>
      <c r="J3805" s="56" t="n">
        <v>0</v>
      </c>
      <c r="K3805" s="56" t="n">
        <v>1014.4</v>
      </c>
      <c r="L3805" s="56" t="n">
        <v>0</v>
      </c>
      <c r="M3805" s="56" t="n">
        <v>58</v>
      </c>
      <c r="N3805" s="56" t="n">
        <v>6.9</v>
      </c>
      <c r="O3805" s="56" t="n">
        <f aca="false">IF(D3805=1,"",E3804)</f>
        <v>20.8</v>
      </c>
      <c r="P3805" s="56" t="n">
        <f aca="false">IF(OR(D3805=1,K3804=""),"",K3804)</f>
        <v>1008.6</v>
      </c>
      <c r="Q3805" s="56" t="n">
        <f aca="false">IF(OR(F3805&lt;&gt;0,AND(I3805&lt;&gt;"",E3805&lt;I3805)),1,0)</f>
        <v>0</v>
      </c>
      <c r="R3805" s="56" t="n">
        <f aca="false">IF(AND(D3805&gt;1,Q3805=0,ISNUMBER(O3805),ISNUMBER(P3805)),IF(Q3804=0,1,0),0)</f>
        <v>1</v>
      </c>
      <c r="S3805" s="56" t="n">
        <f aca="false">R3805*(B3805&gt;=Train_Start)*(B3805&lt;=Train_End)</f>
        <v>0</v>
      </c>
      <c r="T3805" s="84" t="n">
        <f aca="false">IF(AND(ISNUMBER(O3805),ISNUMBER(P3805)),Coef_A+Coef_B1*O3805+Coef_B2*P3805,"")</f>
        <v>20.7689063651247</v>
      </c>
      <c r="U3805" s="84" t="n">
        <f aca="false">IF(AND(R3805=1,ISNUMBER(T3805)),E3805-T3805,"")</f>
        <v>1.13109363487532</v>
      </c>
      <c r="V3805" s="84" t="n">
        <f aca="false">IF(ISNUMBER(T3805),T3805,-99)</f>
        <v>20.7689063651247</v>
      </c>
      <c r="W3805" s="84" t="n">
        <f aca="false">IF(ISNUMBER(U3805),ABS(U3805),"")</f>
        <v>1.13109363487532</v>
      </c>
    </row>
    <row r="3806" customFormat="false" ht="15" hidden="false" customHeight="false" outlineLevel="0" collapsed="false">
      <c r="A3806" s="57" t="n">
        <v>37874</v>
      </c>
      <c r="B3806" s="56" t="n">
        <v>2003</v>
      </c>
      <c r="C3806" s="56" t="n">
        <v>9</v>
      </c>
      <c r="D3806" s="56" t="n">
        <v>133</v>
      </c>
      <c r="E3806" s="56" t="n">
        <v>18.5</v>
      </c>
      <c r="F3806" s="56" t="n">
        <v>0</v>
      </c>
      <c r="G3806" s="56" t="n">
        <v>12.1</v>
      </c>
      <c r="H3806" s="56" t="n">
        <v>0</v>
      </c>
      <c r="I3806" s="56" t="n">
        <v>17</v>
      </c>
      <c r="J3806" s="56" t="n">
        <v>0</v>
      </c>
      <c r="K3806" s="56" t="n">
        <v>1013.4</v>
      </c>
      <c r="L3806" s="56" t="n">
        <v>0</v>
      </c>
      <c r="M3806" s="56" t="n">
        <v>79</v>
      </c>
      <c r="N3806" s="56" t="n">
        <v>4</v>
      </c>
      <c r="O3806" s="56" t="n">
        <f aca="false">IF(D3806=1,"",E3805)</f>
        <v>21.9</v>
      </c>
      <c r="P3806" s="56" t="n">
        <f aca="false">IF(OR(D3806=1,K3805=""),"",K3805)</f>
        <v>1014.4</v>
      </c>
      <c r="Q3806" s="56" t="n">
        <f aca="false">IF(OR(F3806&lt;&gt;0,AND(I3806&lt;&gt;"",E3806&lt;I3806)),1,0)</f>
        <v>0</v>
      </c>
      <c r="R3806" s="56" t="n">
        <f aca="false">IF(AND(D3806&gt;1,Q3806=0,ISNUMBER(O3806),ISNUMBER(P3806)),IF(Q3805=0,1,0),0)</f>
        <v>1</v>
      </c>
      <c r="S3806" s="56" t="n">
        <f aca="false">R3806*(B3806&gt;=Train_Start)*(B3806&lt;=Train_End)</f>
        <v>0</v>
      </c>
      <c r="T3806" s="84" t="n">
        <f aca="false">IF(AND(ISNUMBER(O3806),ISNUMBER(P3806)),Coef_A+Coef_B1*O3806+Coef_B2*P3806,"")</f>
        <v>21.8521248663487</v>
      </c>
      <c r="U3806" s="84" t="n">
        <f aca="false">IF(AND(R3806=1,ISNUMBER(T3806)),E3806-T3806,"")</f>
        <v>-3.35212486634874</v>
      </c>
      <c r="V3806" s="84" t="n">
        <f aca="false">IF(ISNUMBER(T3806),T3806,-99)</f>
        <v>21.8521248663487</v>
      </c>
      <c r="W3806" s="84" t="n">
        <f aca="false">IF(ISNUMBER(U3806),ABS(U3806),"")</f>
        <v>3.35212486634874</v>
      </c>
    </row>
    <row r="3807" customFormat="false" ht="15" hidden="false" customHeight="false" outlineLevel="0" collapsed="false">
      <c r="A3807" s="57" t="n">
        <v>37875</v>
      </c>
      <c r="B3807" s="56" t="n">
        <v>2003</v>
      </c>
      <c r="C3807" s="56" t="n">
        <v>9</v>
      </c>
      <c r="D3807" s="56" t="n">
        <v>134</v>
      </c>
      <c r="E3807" s="56" t="n">
        <v>20.9</v>
      </c>
      <c r="F3807" s="56" t="n">
        <v>0</v>
      </c>
      <c r="G3807" s="56" t="n">
        <v>10.5</v>
      </c>
      <c r="H3807" s="56" t="n">
        <v>0</v>
      </c>
      <c r="I3807" s="56" t="n">
        <v>14.5</v>
      </c>
      <c r="J3807" s="56" t="n">
        <v>0</v>
      </c>
      <c r="K3807" s="56" t="n">
        <v>1021.4</v>
      </c>
      <c r="L3807" s="56" t="n">
        <v>0</v>
      </c>
      <c r="M3807" s="56" t="n">
        <v>84</v>
      </c>
      <c r="N3807" s="56" t="n">
        <v>1.1</v>
      </c>
      <c r="O3807" s="56" t="n">
        <f aca="false">IF(D3807=1,"",E3806)</f>
        <v>18.5</v>
      </c>
      <c r="P3807" s="56" t="n">
        <f aca="false">IF(OR(D3807=1,K3806=""),"",K3806)</f>
        <v>1013.4</v>
      </c>
      <c r="Q3807" s="56" t="n">
        <f aca="false">IF(OR(F3807&lt;&gt;0,AND(I3807&lt;&gt;"",E3807&lt;I3807)),1,0)</f>
        <v>0</v>
      </c>
      <c r="R3807" s="56" t="n">
        <f aca="false">IF(AND(D3807&gt;1,Q3807=0,ISNUMBER(O3807),ISNUMBER(P3807)),IF(Q3806=0,1,0),0)</f>
        <v>1</v>
      </c>
      <c r="S3807" s="56" t="n">
        <f aca="false">R3807*(B3807&gt;=Train_Start)*(B3807&lt;=Train_End)</f>
        <v>0</v>
      </c>
      <c r="T3807" s="84" t="n">
        <f aca="false">IF(AND(ISNUMBER(O3807),ISNUMBER(P3807)),Coef_A+Coef_B1*O3807+Coef_B2*P3807,"")</f>
        <v>19.0350017153697</v>
      </c>
      <c r="U3807" s="84" t="n">
        <f aca="false">IF(AND(R3807=1,ISNUMBER(T3807)),E3807-T3807,"")</f>
        <v>1.86499828463029</v>
      </c>
      <c r="V3807" s="84" t="n">
        <f aca="false">IF(ISNUMBER(T3807),T3807,-99)</f>
        <v>19.0350017153697</v>
      </c>
      <c r="W3807" s="84" t="n">
        <f aca="false">IF(ISNUMBER(U3807),ABS(U3807),"")</f>
        <v>1.86499828463029</v>
      </c>
    </row>
    <row r="3808" customFormat="false" ht="15" hidden="false" customHeight="false" outlineLevel="0" collapsed="false">
      <c r="A3808" s="57" t="n">
        <v>37876</v>
      </c>
      <c r="B3808" s="56" t="n">
        <v>2003</v>
      </c>
      <c r="C3808" s="56" t="n">
        <v>9</v>
      </c>
      <c r="D3808" s="56" t="n">
        <v>135</v>
      </c>
      <c r="E3808" s="56" t="n">
        <v>23.9</v>
      </c>
      <c r="F3808" s="56" t="n">
        <v>0</v>
      </c>
      <c r="G3808" s="56" t="n">
        <v>12.8</v>
      </c>
      <c r="H3808" s="56" t="n">
        <v>0</v>
      </c>
      <c r="I3808" s="56" t="n">
        <v>16.8</v>
      </c>
      <c r="J3808" s="56" t="n">
        <v>0</v>
      </c>
      <c r="K3808" s="56" t="n">
        <v>1029.4</v>
      </c>
      <c r="L3808" s="56" t="n">
        <v>0</v>
      </c>
      <c r="M3808" s="56" t="n">
        <v>60</v>
      </c>
      <c r="N3808" s="56" t="n">
        <v>8.7</v>
      </c>
      <c r="O3808" s="56" t="n">
        <f aca="false">IF(D3808=1,"",E3807)</f>
        <v>20.9</v>
      </c>
      <c r="P3808" s="56" t="n">
        <f aca="false">IF(OR(D3808=1,K3807=""),"",K3807)</f>
        <v>1021.4</v>
      </c>
      <c r="Q3808" s="56" t="n">
        <f aca="false">IF(OR(F3808&lt;&gt;0,AND(I3808&lt;&gt;"",E3808&lt;I3808)),1,0)</f>
        <v>0</v>
      </c>
      <c r="R3808" s="56" t="n">
        <f aca="false">IF(AND(D3808&gt;1,Q3808=0,ISNUMBER(O3808),ISNUMBER(P3808)),IF(Q3807=0,1,0),0)</f>
        <v>1</v>
      </c>
      <c r="S3808" s="56" t="n">
        <f aca="false">R3808*(B3808&gt;=Train_Start)*(B3808&lt;=Train_End)</f>
        <v>0</v>
      </c>
      <c r="T3808" s="84" t="n">
        <f aca="false">IF(AND(ISNUMBER(O3808),ISNUMBER(P3808)),Coef_A+Coef_B1*O3808+Coef_B2*P3808,"")</f>
        <v>21.252374935744</v>
      </c>
      <c r="U3808" s="84" t="n">
        <f aca="false">IF(AND(R3808=1,ISNUMBER(T3808)),E3808-T3808,"")</f>
        <v>2.64762506425599</v>
      </c>
      <c r="V3808" s="84" t="n">
        <f aca="false">IF(ISNUMBER(T3808),T3808,-99)</f>
        <v>21.252374935744</v>
      </c>
      <c r="W3808" s="84" t="n">
        <f aca="false">IF(ISNUMBER(U3808),ABS(U3808),"")</f>
        <v>2.64762506425599</v>
      </c>
    </row>
    <row r="3809" customFormat="false" ht="15" hidden="false" customHeight="false" outlineLevel="0" collapsed="false">
      <c r="A3809" s="57" t="n">
        <v>37877</v>
      </c>
      <c r="B3809" s="56" t="n">
        <v>2003</v>
      </c>
      <c r="C3809" s="56" t="n">
        <v>9</v>
      </c>
      <c r="D3809" s="56" t="n">
        <v>136</v>
      </c>
      <c r="E3809" s="56" t="n">
        <v>26</v>
      </c>
      <c r="F3809" s="56" t="n">
        <v>0</v>
      </c>
      <c r="G3809" s="56" t="n">
        <v>10.5</v>
      </c>
      <c r="H3809" s="56" t="n">
        <v>0</v>
      </c>
      <c r="I3809" s="56" t="n">
        <v>17.2</v>
      </c>
      <c r="J3809" s="56" t="n">
        <v>0</v>
      </c>
      <c r="K3809" s="56" t="n">
        <v>1031.3</v>
      </c>
      <c r="L3809" s="56" t="n">
        <v>0</v>
      </c>
      <c r="M3809" s="56" t="n">
        <v>62</v>
      </c>
      <c r="N3809" s="56" t="n">
        <v>11.4</v>
      </c>
      <c r="O3809" s="56" t="n">
        <f aca="false">IF(D3809=1,"",E3808)</f>
        <v>23.9</v>
      </c>
      <c r="P3809" s="56" t="n">
        <f aca="false">IF(OR(D3809=1,K3808=""),"",K3808)</f>
        <v>1029.4</v>
      </c>
      <c r="Q3809" s="56" t="n">
        <f aca="false">IF(OR(F3809&lt;&gt;0,AND(I3809&lt;&gt;"",E3809&lt;I3809)),1,0)</f>
        <v>0</v>
      </c>
      <c r="R3809" s="56" t="n">
        <f aca="false">IF(AND(D3809&gt;1,Q3809=0,ISNUMBER(O3809),ISNUMBER(P3809)),IF(Q3808=0,1,0),0)</f>
        <v>1</v>
      </c>
      <c r="S3809" s="56" t="n">
        <f aca="false">R3809*(B3809&gt;=Train_Start)*(B3809&lt;=Train_End)</f>
        <v>0</v>
      </c>
      <c r="T3809" s="84" t="n">
        <f aca="false">IF(AND(ISNUMBER(O3809),ISNUMBER(P3809)),Coef_A+Coef_B1*O3809+Coef_B2*P3809,"")</f>
        <v>23.9613516719439</v>
      </c>
      <c r="U3809" s="84" t="n">
        <f aca="false">IF(AND(R3809=1,ISNUMBER(T3809)),E3809-T3809,"")</f>
        <v>2.0386483280561</v>
      </c>
      <c r="V3809" s="84" t="n">
        <f aca="false">IF(ISNUMBER(T3809),T3809,-99)</f>
        <v>23.9613516719439</v>
      </c>
      <c r="W3809" s="84" t="n">
        <f aca="false">IF(ISNUMBER(U3809),ABS(U3809),"")</f>
        <v>2.0386483280561</v>
      </c>
    </row>
    <row r="3810" customFormat="false" ht="15" hidden="false" customHeight="false" outlineLevel="0" collapsed="false">
      <c r="A3810" s="57" t="n">
        <v>37878</v>
      </c>
      <c r="B3810" s="56" t="n">
        <v>2003</v>
      </c>
      <c r="C3810" s="56" t="n">
        <v>9</v>
      </c>
      <c r="D3810" s="56" t="n">
        <v>137</v>
      </c>
      <c r="E3810" s="56" t="n">
        <v>26.1</v>
      </c>
      <c r="F3810" s="56" t="n">
        <v>0</v>
      </c>
      <c r="G3810" s="56" t="n">
        <v>11.3</v>
      </c>
      <c r="H3810" s="56" t="n">
        <v>0</v>
      </c>
      <c r="I3810" s="56" t="n">
        <v>18.6</v>
      </c>
      <c r="J3810" s="56" t="n">
        <v>0</v>
      </c>
      <c r="K3810" s="56" t="n">
        <v>1029.9</v>
      </c>
      <c r="L3810" s="56" t="n">
        <v>0</v>
      </c>
      <c r="M3810" s="56" t="n">
        <v>56</v>
      </c>
      <c r="N3810" s="56" t="n">
        <v>11.1</v>
      </c>
      <c r="O3810" s="56" t="n">
        <f aca="false">IF(D3810=1,"",E3809)</f>
        <v>26</v>
      </c>
      <c r="P3810" s="56" t="n">
        <f aca="false">IF(OR(D3810=1,K3809=""),"",K3809)</f>
        <v>1031.3</v>
      </c>
      <c r="Q3810" s="56" t="n">
        <f aca="false">IF(OR(F3810&lt;&gt;0,AND(I3810&lt;&gt;"",E3810&lt;I3810)),1,0)</f>
        <v>0</v>
      </c>
      <c r="R3810" s="56" t="n">
        <f aca="false">IF(AND(D3810&gt;1,Q3810=0,ISNUMBER(O3810),ISNUMBER(P3810)),IF(Q3809=0,1,0),0)</f>
        <v>1</v>
      </c>
      <c r="S3810" s="56" t="n">
        <f aca="false">R3810*(B3810&gt;=Train_Start)*(B3810&lt;=Train_End)</f>
        <v>0</v>
      </c>
      <c r="T3810" s="84" t="n">
        <f aca="false">IF(AND(ISNUMBER(O3810),ISNUMBER(P3810)),Coef_A+Coef_B1*O3810+Coef_B2*P3810,"")</f>
        <v>25.7415667771381</v>
      </c>
      <c r="U3810" s="84" t="n">
        <f aca="false">IF(AND(R3810=1,ISNUMBER(T3810)),E3810-T3810,"")</f>
        <v>0.358433222861947</v>
      </c>
      <c r="V3810" s="84" t="n">
        <f aca="false">IF(ISNUMBER(T3810),T3810,-99)</f>
        <v>25.7415667771381</v>
      </c>
      <c r="W3810" s="84" t="n">
        <f aca="false">IF(ISNUMBER(U3810),ABS(U3810),"")</f>
        <v>0.358433222861947</v>
      </c>
    </row>
    <row r="3811" customFormat="false" ht="15" hidden="false" customHeight="false" outlineLevel="0" collapsed="false">
      <c r="A3811" s="57" t="n">
        <v>37879</v>
      </c>
      <c r="B3811" s="56" t="n">
        <v>2003</v>
      </c>
      <c r="C3811" s="56" t="n">
        <v>9</v>
      </c>
      <c r="D3811" s="56" t="n">
        <v>138</v>
      </c>
      <c r="E3811" s="56" t="n">
        <v>27</v>
      </c>
      <c r="F3811" s="56" t="n">
        <v>0</v>
      </c>
      <c r="G3811" s="56" t="n">
        <v>11.1</v>
      </c>
      <c r="H3811" s="56" t="n">
        <v>0</v>
      </c>
      <c r="I3811" s="56" t="n">
        <v>18.6</v>
      </c>
      <c r="J3811" s="56" t="n">
        <v>0</v>
      </c>
      <c r="K3811" s="56" t="n">
        <v>1026</v>
      </c>
      <c r="L3811" s="56" t="n">
        <v>0</v>
      </c>
      <c r="M3811" s="56" t="n">
        <v>57</v>
      </c>
      <c r="N3811" s="56" t="n">
        <v>9.8</v>
      </c>
      <c r="O3811" s="56" t="n">
        <f aca="false">IF(D3811=1,"",E3810)</f>
        <v>26.1</v>
      </c>
      <c r="P3811" s="56" t="n">
        <f aca="false">IF(OR(D3811=1,K3810=""),"",K3810)</f>
        <v>1029.9</v>
      </c>
      <c r="Q3811" s="56" t="n">
        <f aca="false">IF(OR(F3811&lt;&gt;0,AND(I3811&lt;&gt;"",E3811&lt;I3811)),1,0)</f>
        <v>0</v>
      </c>
      <c r="R3811" s="56" t="n">
        <f aca="false">IF(AND(D3811&gt;1,Q3811=0,ISNUMBER(O3811),ISNUMBER(P3811)),IF(Q3810=0,1,0),0)</f>
        <v>1</v>
      </c>
      <c r="S3811" s="56" t="n">
        <f aca="false">R3811*(B3811&gt;=Train_Start)*(B3811&lt;=Train_End)</f>
        <v>0</v>
      </c>
      <c r="T3811" s="84" t="n">
        <f aca="false">IF(AND(ISNUMBER(O3811),ISNUMBER(P3811)),Coef_A+Coef_B1*O3811+Coef_B2*P3811,"")</f>
        <v>25.7795828439547</v>
      </c>
      <c r="U3811" s="84" t="n">
        <f aca="false">IF(AND(R3811=1,ISNUMBER(T3811)),E3811-T3811,"")</f>
        <v>1.22041715604526</v>
      </c>
      <c r="V3811" s="84" t="n">
        <f aca="false">IF(ISNUMBER(T3811),T3811,-99)</f>
        <v>25.7795828439547</v>
      </c>
      <c r="W3811" s="84" t="n">
        <f aca="false">IF(ISNUMBER(U3811),ABS(U3811),"")</f>
        <v>1.22041715604526</v>
      </c>
    </row>
    <row r="3812" customFormat="false" ht="15" hidden="false" customHeight="false" outlineLevel="0" collapsed="false">
      <c r="A3812" s="57" t="n">
        <v>37880</v>
      </c>
      <c r="B3812" s="56" t="n">
        <v>2003</v>
      </c>
      <c r="C3812" s="56" t="n">
        <v>9</v>
      </c>
      <c r="D3812" s="56" t="n">
        <v>139</v>
      </c>
      <c r="E3812" s="56" t="n">
        <v>27.9</v>
      </c>
      <c r="F3812" s="56" t="n">
        <v>0</v>
      </c>
      <c r="G3812" s="56" t="n">
        <v>11.9</v>
      </c>
      <c r="H3812" s="56" t="n">
        <v>0</v>
      </c>
      <c r="I3812" s="56" t="n">
        <v>19.4</v>
      </c>
      <c r="J3812" s="56" t="n">
        <v>0</v>
      </c>
      <c r="K3812" s="56" t="n">
        <v>1024.3</v>
      </c>
      <c r="L3812" s="56" t="n">
        <v>0</v>
      </c>
      <c r="M3812" s="56" t="n">
        <v>59</v>
      </c>
      <c r="N3812" s="56" t="n">
        <v>10.8</v>
      </c>
      <c r="O3812" s="56" t="n">
        <f aca="false">IF(D3812=1,"",E3811)</f>
        <v>27</v>
      </c>
      <c r="P3812" s="56" t="n">
        <f aca="false">IF(OR(D3812=1,K3811=""),"",K3811)</f>
        <v>1026</v>
      </c>
      <c r="Q3812" s="56" t="n">
        <f aca="false">IF(OR(F3812&lt;&gt;0,AND(I3812&lt;&gt;"",E3812&lt;I3812)),1,0)</f>
        <v>0</v>
      </c>
      <c r="R3812" s="56" t="n">
        <f aca="false">IF(AND(D3812&gt;1,Q3812=0,ISNUMBER(O3812),ISNUMBER(P3812)),IF(Q3811=0,1,0),0)</f>
        <v>1</v>
      </c>
      <c r="S3812" s="56" t="n">
        <f aca="false">R3812*(B3812&gt;=Train_Start)*(B3812&lt;=Train_End)</f>
        <v>0</v>
      </c>
      <c r="T3812" s="84" t="n">
        <f aca="false">IF(AND(ISNUMBER(O3812),ISNUMBER(P3812)),Coef_A+Coef_B1*O3812+Coef_B2*P3812,"")</f>
        <v>26.3946455286206</v>
      </c>
      <c r="U3812" s="84" t="n">
        <f aca="false">IF(AND(R3812=1,ISNUMBER(T3812)),E3812-T3812,"")</f>
        <v>1.50535447137943</v>
      </c>
      <c r="V3812" s="84" t="n">
        <f aca="false">IF(ISNUMBER(T3812),T3812,-99)</f>
        <v>26.3946455286206</v>
      </c>
      <c r="W3812" s="84" t="n">
        <f aca="false">IF(ISNUMBER(U3812),ABS(U3812),"")</f>
        <v>1.50535447137943</v>
      </c>
    </row>
    <row r="3813" customFormat="false" ht="15" hidden="false" customHeight="false" outlineLevel="0" collapsed="false">
      <c r="A3813" s="57" t="n">
        <v>37881</v>
      </c>
      <c r="B3813" s="56" t="n">
        <v>2003</v>
      </c>
      <c r="C3813" s="56" t="n">
        <v>9</v>
      </c>
      <c r="D3813" s="56" t="n">
        <v>140</v>
      </c>
      <c r="E3813" s="56" t="n">
        <v>21.7</v>
      </c>
      <c r="F3813" s="56" t="n">
        <v>0</v>
      </c>
      <c r="G3813" s="56" t="n">
        <v>11.8</v>
      </c>
      <c r="H3813" s="56" t="n">
        <v>0</v>
      </c>
      <c r="I3813" s="56" t="n">
        <v>19.8</v>
      </c>
      <c r="J3813" s="56" t="n">
        <v>0</v>
      </c>
      <c r="K3813" s="56" t="n">
        <v>1020.3</v>
      </c>
      <c r="L3813" s="56" t="n">
        <v>0</v>
      </c>
      <c r="M3813" s="56" t="n">
        <v>59</v>
      </c>
      <c r="N3813" s="56" t="n">
        <v>11.3</v>
      </c>
      <c r="O3813" s="56" t="n">
        <f aca="false">IF(D3813=1,"",E3812)</f>
        <v>27.9</v>
      </c>
      <c r="P3813" s="56" t="n">
        <f aca="false">IF(OR(D3813=1,K3812=""),"",K3812)</f>
        <v>1024.3</v>
      </c>
      <c r="Q3813" s="56" t="n">
        <f aca="false">IF(OR(F3813&lt;&gt;0,AND(I3813&lt;&gt;"",E3813&lt;I3813)),1,0)</f>
        <v>0</v>
      </c>
      <c r="R3813" s="56" t="n">
        <f aca="false">IF(AND(D3813&gt;1,Q3813=0,ISNUMBER(O3813),ISNUMBER(P3813)),IF(Q3812=0,1,0),0)</f>
        <v>1</v>
      </c>
      <c r="S3813" s="56" t="n">
        <f aca="false">R3813*(B3813&gt;=Train_Start)*(B3813&lt;=Train_End)</f>
        <v>0</v>
      </c>
      <c r="T3813" s="84" t="n">
        <f aca="false">IF(AND(ISNUMBER(O3813),ISNUMBER(P3813)),Coef_A+Coef_B1*O3813+Coef_B2*P3813,"")</f>
        <v>27.0787219814812</v>
      </c>
      <c r="U3813" s="84" t="n">
        <f aca="false">IF(AND(R3813=1,ISNUMBER(T3813)),E3813-T3813,"")</f>
        <v>-5.37872198148117</v>
      </c>
      <c r="V3813" s="84" t="n">
        <f aca="false">IF(ISNUMBER(T3813),T3813,-99)</f>
        <v>27.0787219814812</v>
      </c>
      <c r="W3813" s="84" t="n">
        <f aca="false">IF(ISNUMBER(U3813),ABS(U3813),"")</f>
        <v>5.37872198148117</v>
      </c>
    </row>
    <row r="3814" customFormat="false" ht="15" hidden="false" customHeight="false" outlineLevel="0" collapsed="false">
      <c r="A3814" s="57" t="n">
        <v>37882</v>
      </c>
      <c r="B3814" s="56" t="n">
        <v>2003</v>
      </c>
      <c r="C3814" s="56" t="n">
        <v>9</v>
      </c>
      <c r="D3814" s="56" t="n">
        <v>141</v>
      </c>
      <c r="E3814" s="56" t="n">
        <v>23.5</v>
      </c>
      <c r="F3814" s="56" t="n">
        <v>0</v>
      </c>
      <c r="G3814" s="56" t="n">
        <v>12.2</v>
      </c>
      <c r="H3814" s="56" t="n">
        <v>0</v>
      </c>
      <c r="I3814" s="56" t="n">
        <v>17</v>
      </c>
      <c r="J3814" s="56" t="n">
        <v>0</v>
      </c>
      <c r="K3814" s="56" t="n">
        <v>1016.2</v>
      </c>
      <c r="L3814" s="56" t="n">
        <v>0</v>
      </c>
      <c r="M3814" s="56" t="n">
        <v>70</v>
      </c>
      <c r="N3814" s="56" t="n">
        <v>3.2</v>
      </c>
      <c r="O3814" s="56" t="n">
        <f aca="false">IF(D3814=1,"",E3813)</f>
        <v>21.7</v>
      </c>
      <c r="P3814" s="56" t="n">
        <f aca="false">IF(OR(D3814=1,K3813=""),"",K3813)</f>
        <v>1020.3</v>
      </c>
      <c r="Q3814" s="56" t="n">
        <f aca="false">IF(OR(F3814&lt;&gt;0,AND(I3814&lt;&gt;"",E3814&lt;I3814)),1,0)</f>
        <v>0</v>
      </c>
      <c r="R3814" s="56" t="n">
        <f aca="false">IF(AND(D3814&gt;1,Q3814=0,ISNUMBER(O3814),ISNUMBER(P3814)),IF(Q3813=0,1,0),0)</f>
        <v>1</v>
      </c>
      <c r="S3814" s="56" t="n">
        <f aca="false">R3814*(B3814&gt;=Train_Start)*(B3814&lt;=Train_End)</f>
        <v>0</v>
      </c>
      <c r="T3814" s="84" t="n">
        <f aca="false">IF(AND(ISNUMBER(O3814),ISNUMBER(P3814)),Coef_A+Coef_B1*O3814+Coef_B2*P3814,"")</f>
        <v>21.8733394060807</v>
      </c>
      <c r="U3814" s="84" t="n">
        <f aca="false">IF(AND(R3814=1,ISNUMBER(T3814)),E3814-T3814,"")</f>
        <v>1.62666059391925</v>
      </c>
      <c r="V3814" s="84" t="n">
        <f aca="false">IF(ISNUMBER(T3814),T3814,-99)</f>
        <v>21.8733394060807</v>
      </c>
      <c r="W3814" s="84" t="n">
        <f aca="false">IF(ISNUMBER(U3814),ABS(U3814),"")</f>
        <v>1.62666059391925</v>
      </c>
    </row>
    <row r="3815" customFormat="false" ht="15" hidden="false" customHeight="false" outlineLevel="0" collapsed="false">
      <c r="A3815" s="57" t="n">
        <v>37883</v>
      </c>
      <c r="B3815" s="56" t="n">
        <v>2003</v>
      </c>
      <c r="C3815" s="56" t="n">
        <v>9</v>
      </c>
      <c r="D3815" s="56" t="n">
        <v>142</v>
      </c>
      <c r="E3815" s="56" t="n">
        <v>27</v>
      </c>
      <c r="F3815" s="56" t="n">
        <v>0</v>
      </c>
      <c r="G3815" s="56" t="n">
        <v>12.1</v>
      </c>
      <c r="H3815" s="56" t="n">
        <v>0</v>
      </c>
      <c r="I3815" s="56" t="n">
        <v>17.8</v>
      </c>
      <c r="J3815" s="56" t="n">
        <v>0</v>
      </c>
      <c r="K3815" s="56" t="n">
        <v>1016.9</v>
      </c>
      <c r="L3815" s="56" t="n">
        <v>0</v>
      </c>
      <c r="M3815" s="56" t="n">
        <v>72</v>
      </c>
      <c r="N3815" s="56" t="n">
        <v>7.1</v>
      </c>
      <c r="O3815" s="56" t="n">
        <f aca="false">IF(D3815=1,"",E3814)</f>
        <v>23.5</v>
      </c>
      <c r="P3815" s="56" t="n">
        <f aca="false">IF(OR(D3815=1,K3814=""),"",K3814)</f>
        <v>1016.2</v>
      </c>
      <c r="Q3815" s="56" t="n">
        <f aca="false">IF(OR(F3815&lt;&gt;0,AND(I3815&lt;&gt;"",E3815&lt;I3815)),1,0)</f>
        <v>0</v>
      </c>
      <c r="R3815" s="56" t="n">
        <f aca="false">IF(AND(D3815&gt;1,Q3815=0,ISNUMBER(O3815),ISNUMBER(P3815)),IF(Q3814=0,1,0),0)</f>
        <v>1</v>
      </c>
      <c r="S3815" s="56" t="n">
        <f aca="false">R3815*(B3815&gt;=Train_Start)*(B3815&lt;=Train_End)</f>
        <v>0</v>
      </c>
      <c r="T3815" s="84" t="n">
        <f aca="false">IF(AND(ISNUMBER(O3815),ISNUMBER(P3815)),Coef_A+Coef_B1*O3815+Coef_B2*P3815,"")</f>
        <v>23.2195333855582</v>
      </c>
      <c r="U3815" s="84" t="n">
        <f aca="false">IF(AND(R3815=1,ISNUMBER(T3815)),E3815-T3815,"")</f>
        <v>3.78046661444183</v>
      </c>
      <c r="V3815" s="84" t="n">
        <f aca="false">IF(ISNUMBER(T3815),T3815,-99)</f>
        <v>23.2195333855582</v>
      </c>
      <c r="W3815" s="84" t="n">
        <f aca="false">IF(ISNUMBER(U3815),ABS(U3815),"")</f>
        <v>3.78046661444183</v>
      </c>
    </row>
    <row r="3816" customFormat="false" ht="15" hidden="false" customHeight="false" outlineLevel="0" collapsed="false">
      <c r="A3816" s="57" t="n">
        <v>37884</v>
      </c>
      <c r="B3816" s="56" t="n">
        <v>2003</v>
      </c>
      <c r="C3816" s="56" t="n">
        <v>9</v>
      </c>
      <c r="D3816" s="56" t="n">
        <v>143</v>
      </c>
      <c r="E3816" s="56" t="n">
        <v>26.8</v>
      </c>
      <c r="F3816" s="56" t="n">
        <v>0</v>
      </c>
      <c r="G3816" s="56" t="n">
        <v>11.1</v>
      </c>
      <c r="H3816" s="56" t="n">
        <v>0</v>
      </c>
      <c r="I3816" s="56" t="n">
        <v>19</v>
      </c>
      <c r="J3816" s="56" t="n">
        <v>0</v>
      </c>
      <c r="K3816" s="56" t="n">
        <v>1018.6</v>
      </c>
      <c r="L3816" s="56" t="n">
        <v>0</v>
      </c>
      <c r="M3816" s="56" t="n">
        <v>69</v>
      </c>
      <c r="N3816" s="56" t="n">
        <v>9.6</v>
      </c>
      <c r="O3816" s="56" t="n">
        <f aca="false">IF(D3816=1,"",E3815)</f>
        <v>27</v>
      </c>
      <c r="P3816" s="56" t="n">
        <f aca="false">IF(OR(D3816=1,K3815=""),"",K3815)</f>
        <v>1016.9</v>
      </c>
      <c r="Q3816" s="56" t="n">
        <f aca="false">IF(OR(F3816&lt;&gt;0,AND(I3816&lt;&gt;"",E3816&lt;I3816)),1,0)</f>
        <v>0</v>
      </c>
      <c r="R3816" s="56" t="n">
        <f aca="false">IF(AND(D3816&gt;1,Q3816=0,ISNUMBER(O3816),ISNUMBER(P3816)),IF(Q3815=0,1,0),0)</f>
        <v>1</v>
      </c>
      <c r="S3816" s="56" t="n">
        <f aca="false">R3816*(B3816&gt;=Train_Start)*(B3816&lt;=Train_End)</f>
        <v>0</v>
      </c>
      <c r="T3816" s="84" t="n">
        <f aca="false">IF(AND(ISNUMBER(O3816),ISNUMBER(P3816)),Coef_A+Coef_B1*O3816+Coef_B2*P3816,"")</f>
        <v>26.1091794874513</v>
      </c>
      <c r="U3816" s="84" t="n">
        <f aca="false">IF(AND(R3816=1,ISNUMBER(T3816)),E3816-T3816,"")</f>
        <v>0.690820512548736</v>
      </c>
      <c r="V3816" s="84" t="n">
        <f aca="false">IF(ISNUMBER(T3816),T3816,-99)</f>
        <v>26.1091794874513</v>
      </c>
      <c r="W3816" s="84" t="n">
        <f aca="false">IF(ISNUMBER(U3816),ABS(U3816),"")</f>
        <v>0.690820512548736</v>
      </c>
    </row>
    <row r="3817" customFormat="false" ht="15" hidden="false" customHeight="false" outlineLevel="0" collapsed="false">
      <c r="A3817" s="57" t="n">
        <v>37885</v>
      </c>
      <c r="B3817" s="56" t="n">
        <v>2003</v>
      </c>
      <c r="C3817" s="56" t="n">
        <v>9</v>
      </c>
      <c r="D3817" s="56" t="n">
        <v>144</v>
      </c>
      <c r="E3817" s="56" t="n">
        <v>21.9</v>
      </c>
      <c r="F3817" s="56" t="n">
        <v>0</v>
      </c>
      <c r="G3817" s="56" t="n">
        <v>13.1</v>
      </c>
      <c r="H3817" s="56" t="n">
        <v>0</v>
      </c>
      <c r="I3817" s="56" t="n">
        <v>20</v>
      </c>
      <c r="J3817" s="56" t="n">
        <v>0</v>
      </c>
      <c r="K3817" s="56" t="n">
        <v>1017.1</v>
      </c>
      <c r="L3817" s="56" t="n">
        <v>0</v>
      </c>
      <c r="M3817" s="56" t="n">
        <v>69</v>
      </c>
      <c r="N3817" s="56" t="n">
        <v>7.8</v>
      </c>
      <c r="O3817" s="56" t="n">
        <f aca="false">IF(D3817=1,"",E3816)</f>
        <v>26.8</v>
      </c>
      <c r="P3817" s="56" t="n">
        <f aca="false">IF(OR(D3817=1,K3816=""),"",K3816)</f>
        <v>1018.6</v>
      </c>
      <c r="Q3817" s="56" t="n">
        <f aca="false">IF(OR(F3817&lt;&gt;0,AND(I3817&lt;&gt;"",E3817&lt;I3817)),1,0)</f>
        <v>0</v>
      </c>
      <c r="R3817" s="56" t="n">
        <f aca="false">IF(AND(D3817&gt;1,Q3817=0,ISNUMBER(O3817),ISNUMBER(P3817)),IF(Q3816=0,1,0),0)</f>
        <v>1</v>
      </c>
      <c r="S3817" s="56" t="n">
        <f aca="false">R3817*(B3817&gt;=Train_Start)*(B3817&lt;=Train_End)</f>
        <v>0</v>
      </c>
      <c r="T3817" s="84" t="n">
        <f aca="false">IF(AND(ISNUMBER(O3817),ISNUMBER(P3817)),Coef_A+Coef_B1*O3817+Coef_B2*P3817,"")</f>
        <v>25.9986404697205</v>
      </c>
      <c r="U3817" s="84" t="n">
        <f aca="false">IF(AND(R3817=1,ISNUMBER(T3817)),E3817-T3817,"")</f>
        <v>-4.09864046972052</v>
      </c>
      <c r="V3817" s="84" t="n">
        <f aca="false">IF(ISNUMBER(T3817),T3817,-99)</f>
        <v>25.9986404697205</v>
      </c>
      <c r="W3817" s="84" t="n">
        <f aca="false">IF(ISNUMBER(U3817),ABS(U3817),"")</f>
        <v>4.09864046972052</v>
      </c>
    </row>
    <row r="3818" customFormat="false" ht="15" hidden="false" customHeight="false" outlineLevel="0" collapsed="false">
      <c r="A3818" s="57" t="n">
        <v>37886</v>
      </c>
      <c r="B3818" s="56" t="n">
        <v>2003</v>
      </c>
      <c r="C3818" s="56" t="n">
        <v>9</v>
      </c>
      <c r="D3818" s="56" t="n">
        <v>145</v>
      </c>
      <c r="E3818" s="56" t="n">
        <v>14.9</v>
      </c>
      <c r="F3818" s="56" t="n">
        <v>1</v>
      </c>
      <c r="G3818" s="56" t="n">
        <v>16.1</v>
      </c>
      <c r="H3818" s="56" t="n">
        <v>1</v>
      </c>
      <c r="I3818" s="56" t="n">
        <v>19</v>
      </c>
      <c r="J3818" s="56" t="n">
        <v>1</v>
      </c>
      <c r="K3818" s="56" t="n">
        <v>1006.8</v>
      </c>
      <c r="L3818" s="56" t="n">
        <v>0</v>
      </c>
      <c r="M3818" s="56" t="n">
        <v>84</v>
      </c>
      <c r="N3818" s="56" t="n">
        <v>3.5</v>
      </c>
      <c r="O3818" s="56" t="n">
        <f aca="false">IF(D3818=1,"",E3817)</f>
        <v>21.9</v>
      </c>
      <c r="P3818" s="56" t="n">
        <f aca="false">IF(OR(D3818=1,K3817=""),"",K3817)</f>
        <v>1017.1</v>
      </c>
      <c r="Q3818" s="56" t="n">
        <f aca="false">IF(OR(F3818&lt;&gt;0,AND(I3818&lt;&gt;"",E3818&lt;I3818)),1,0)</f>
        <v>1</v>
      </c>
      <c r="R3818" s="56" t="n">
        <f aca="false">IF(AND(D3818&gt;1,Q3818=0,ISNUMBER(O3818),ISNUMBER(P3818)),IF(Q3817=0,1,0),0)</f>
        <v>0</v>
      </c>
      <c r="S3818" s="56" t="n">
        <f aca="false">R3818*(B3818&gt;=Train_Start)*(B3818&lt;=Train_End)</f>
        <v>0</v>
      </c>
      <c r="T3818" s="84" t="n">
        <f aca="false">IF(AND(ISNUMBER(O3818),ISNUMBER(P3818)),Coef_A+Coef_B1*O3818+Coef_B2*P3818,"")</f>
        <v>21.9368235818605</v>
      </c>
      <c r="U3818" s="84" t="str">
        <f aca="false">IF(AND(R3818=1,ISNUMBER(T3818)),E3818-T3818,"")</f>
        <v/>
      </c>
      <c r="V3818" s="84" t="n">
        <f aca="false">IF(ISNUMBER(T3818),T3818,-99)</f>
        <v>21.9368235818605</v>
      </c>
      <c r="W3818" s="84" t="str">
        <f aca="false">IF(ISNUMBER(U3818),ABS(U3818),"")</f>
        <v/>
      </c>
    </row>
    <row r="3819" customFormat="false" ht="15" hidden="false" customHeight="false" outlineLevel="0" collapsed="false">
      <c r="A3819" s="57" t="n">
        <v>37887</v>
      </c>
      <c r="B3819" s="56" t="n">
        <v>2003</v>
      </c>
      <c r="C3819" s="56" t="n">
        <v>9</v>
      </c>
      <c r="D3819" s="56" t="n">
        <v>146</v>
      </c>
      <c r="E3819" s="56" t="n">
        <v>17.3</v>
      </c>
      <c r="F3819" s="56" t="n">
        <v>0</v>
      </c>
      <c r="G3819" s="56" t="n">
        <v>6.7</v>
      </c>
      <c r="H3819" s="56" t="n">
        <v>0</v>
      </c>
      <c r="I3819" s="56" t="n">
        <v>10.8</v>
      </c>
      <c r="J3819" s="56" t="n">
        <v>0</v>
      </c>
      <c r="K3819" s="56" t="n">
        <v>1020.3</v>
      </c>
      <c r="L3819" s="56" t="n">
        <v>0</v>
      </c>
      <c r="M3819" s="56" t="n">
        <v>59</v>
      </c>
      <c r="N3819" s="56" t="n">
        <v>9.9</v>
      </c>
      <c r="O3819" s="56" t="n">
        <f aca="false">IF(D3819=1,"",E3818)</f>
        <v>14.9</v>
      </c>
      <c r="P3819" s="56" t="n">
        <f aca="false">IF(OR(D3819=1,K3818=""),"",K3818)</f>
        <v>1006.8</v>
      </c>
      <c r="Q3819" s="56" t="n">
        <f aca="false">IF(OR(F3819&lt;&gt;0,AND(I3819&lt;&gt;"",E3819&lt;I3819)),1,0)</f>
        <v>0</v>
      </c>
      <c r="R3819" s="56" t="n">
        <f aca="false">IF(AND(D3819&gt;1,Q3819=0,ISNUMBER(O3819),ISNUMBER(P3819)),IF(Q3818=0,1,0),0)</f>
        <v>0</v>
      </c>
      <c r="S3819" s="56" t="n">
        <f aca="false">R3819*(B3819&gt;=Train_Start)*(B3819&lt;=Train_End)</f>
        <v>0</v>
      </c>
      <c r="T3819" s="84" t="n">
        <f aca="false">IF(AND(ISNUMBER(O3819),ISNUMBER(P3819)),Coef_A+Coef_B1*O3819+Coef_B2*P3819,"")</f>
        <v>15.8783393158318</v>
      </c>
      <c r="U3819" s="84" t="str">
        <f aca="false">IF(AND(R3819=1,ISNUMBER(T3819)),E3819-T3819,"")</f>
        <v/>
      </c>
      <c r="V3819" s="84" t="n">
        <f aca="false">IF(ISNUMBER(T3819),T3819,-99)</f>
        <v>15.8783393158318</v>
      </c>
      <c r="W3819" s="84" t="str">
        <f aca="false">IF(ISNUMBER(U3819),ABS(U3819),"")</f>
        <v/>
      </c>
    </row>
    <row r="3820" customFormat="false" ht="15" hidden="false" customHeight="false" outlineLevel="0" collapsed="false">
      <c r="A3820" s="57" t="n">
        <v>37888</v>
      </c>
      <c r="B3820" s="56" t="n">
        <v>2003</v>
      </c>
      <c r="C3820" s="56" t="n">
        <v>9</v>
      </c>
      <c r="D3820" s="56" t="n">
        <v>147</v>
      </c>
      <c r="E3820" s="56" t="n">
        <v>19.7</v>
      </c>
      <c r="F3820" s="56" t="n">
        <v>0</v>
      </c>
      <c r="G3820" s="56" t="n">
        <v>4</v>
      </c>
      <c r="H3820" s="56" t="n">
        <v>0</v>
      </c>
      <c r="I3820" s="56" t="n">
        <v>10.6</v>
      </c>
      <c r="J3820" s="56" t="n">
        <v>0</v>
      </c>
      <c r="K3820" s="56" t="n">
        <v>1031.7</v>
      </c>
      <c r="L3820" s="56" t="n">
        <v>0</v>
      </c>
      <c r="M3820" s="56" t="n">
        <v>60</v>
      </c>
      <c r="N3820" s="56" t="n">
        <v>10.7</v>
      </c>
      <c r="O3820" s="56" t="n">
        <f aca="false">IF(D3820=1,"",E3819)</f>
        <v>17.3</v>
      </c>
      <c r="P3820" s="56" t="n">
        <f aca="false">IF(OR(D3820=1,K3819=""),"",K3819)</f>
        <v>1020.3</v>
      </c>
      <c r="Q3820" s="56" t="n">
        <f aca="false">IF(OR(F3820&lt;&gt;0,AND(I3820&lt;&gt;"",E3820&lt;I3820)),1,0)</f>
        <v>0</v>
      </c>
      <c r="R3820" s="56" t="n">
        <f aca="false">IF(AND(D3820&gt;1,Q3820=0,ISNUMBER(O3820),ISNUMBER(P3820)),IF(Q3819=0,1,0),0)</f>
        <v>1</v>
      </c>
      <c r="S3820" s="56" t="n">
        <f aca="false">R3820*(B3820&gt;=Train_Start)*(B3820&lt;=Train_End)</f>
        <v>0</v>
      </c>
      <c r="T3820" s="84" t="n">
        <f aca="false">IF(AND(ISNUMBER(O3820),ISNUMBER(P3820)),Coef_A+Coef_B1*O3820+Coef_B2*P3820,"")</f>
        <v>18.2682469566931</v>
      </c>
      <c r="U3820" s="84" t="n">
        <f aca="false">IF(AND(R3820=1,ISNUMBER(T3820)),E3820-T3820,"")</f>
        <v>1.43175304330694</v>
      </c>
      <c r="V3820" s="84" t="n">
        <f aca="false">IF(ISNUMBER(T3820),T3820,-99)</f>
        <v>18.2682469566931</v>
      </c>
      <c r="W3820" s="84" t="n">
        <f aca="false">IF(ISNUMBER(U3820),ABS(U3820),"")</f>
        <v>1.43175304330694</v>
      </c>
    </row>
    <row r="3821" customFormat="false" ht="15" hidden="false" customHeight="false" outlineLevel="0" collapsed="false">
      <c r="A3821" s="57" t="n">
        <v>37889</v>
      </c>
      <c r="B3821" s="56" t="n">
        <v>2003</v>
      </c>
      <c r="C3821" s="56" t="n">
        <v>9</v>
      </c>
      <c r="D3821" s="56" t="n">
        <v>148</v>
      </c>
      <c r="E3821" s="56" t="n">
        <v>20.4</v>
      </c>
      <c r="F3821" s="56" t="n">
        <v>0</v>
      </c>
      <c r="G3821" s="56" t="n">
        <v>5.7</v>
      </c>
      <c r="H3821" s="56" t="n">
        <v>0</v>
      </c>
      <c r="I3821" s="56" t="n">
        <v>12.7</v>
      </c>
      <c r="J3821" s="56" t="n">
        <v>0</v>
      </c>
      <c r="K3821" s="56" t="n">
        <v>1026.2</v>
      </c>
      <c r="L3821" s="56" t="n">
        <v>0</v>
      </c>
      <c r="M3821" s="56" t="n">
        <v>56</v>
      </c>
      <c r="N3821" s="56" t="n">
        <v>10.7</v>
      </c>
      <c r="O3821" s="56" t="n">
        <f aca="false">IF(D3821=1,"",E3820)</f>
        <v>19.7</v>
      </c>
      <c r="P3821" s="56" t="n">
        <f aca="false">IF(OR(D3821=1,K3820=""),"",K3820)</f>
        <v>1031.7</v>
      </c>
      <c r="Q3821" s="56" t="n">
        <f aca="false">IF(OR(F3821&lt;&gt;0,AND(I3821&lt;&gt;"",E3821&lt;I3821)),1,0)</f>
        <v>0</v>
      </c>
      <c r="R3821" s="56" t="n">
        <f aca="false">IF(AND(D3821&gt;1,Q3821=0,ISNUMBER(O3821),ISNUMBER(P3821)),IF(Q3820=0,1,0),0)</f>
        <v>1</v>
      </c>
      <c r="S3821" s="56" t="n">
        <f aca="false">R3821*(B3821&gt;=Train_Start)*(B3821&lt;=Train_End)</f>
        <v>0</v>
      </c>
      <c r="T3821" s="84" t="n">
        <f aca="false">IF(AND(ISNUMBER(O3821),ISNUMBER(P3821)),Coef_A+Coef_B1*O3821+Coef_B2*P3821,"")</f>
        <v>20.5922778188229</v>
      </c>
      <c r="U3821" s="84" t="n">
        <f aca="false">IF(AND(R3821=1,ISNUMBER(T3821)),E3821-T3821,"")</f>
        <v>-0.192277818822909</v>
      </c>
      <c r="V3821" s="84" t="n">
        <f aca="false">IF(ISNUMBER(T3821),T3821,-99)</f>
        <v>20.5922778188229</v>
      </c>
      <c r="W3821" s="84" t="n">
        <f aca="false">IF(ISNUMBER(U3821),ABS(U3821),"")</f>
        <v>0.192277818822909</v>
      </c>
    </row>
    <row r="3822" customFormat="false" ht="15" hidden="false" customHeight="false" outlineLevel="0" collapsed="false">
      <c r="A3822" s="57" t="n">
        <v>37890</v>
      </c>
      <c r="B3822" s="56" t="n">
        <v>2003</v>
      </c>
      <c r="C3822" s="56" t="n">
        <v>9</v>
      </c>
      <c r="D3822" s="56" t="n">
        <v>149</v>
      </c>
      <c r="E3822" s="56" t="n">
        <v>17.6</v>
      </c>
      <c r="F3822" s="56" t="n">
        <v>0</v>
      </c>
      <c r="G3822" s="56" t="n">
        <v>7.3</v>
      </c>
      <c r="H3822" s="56" t="n">
        <v>0</v>
      </c>
      <c r="I3822" s="56" t="n">
        <v>13.8</v>
      </c>
      <c r="J3822" s="56" t="n">
        <v>0</v>
      </c>
      <c r="K3822" s="56" t="n">
        <v>1019.6</v>
      </c>
      <c r="L3822" s="56" t="n">
        <v>0</v>
      </c>
      <c r="M3822" s="56" t="n">
        <v>73</v>
      </c>
      <c r="N3822" s="56" t="n">
        <v>5.7</v>
      </c>
      <c r="O3822" s="56" t="n">
        <f aca="false">IF(D3822=1,"",E3821)</f>
        <v>20.4</v>
      </c>
      <c r="P3822" s="56" t="n">
        <f aca="false">IF(OR(D3822=1,K3821=""),"",K3821)</f>
        <v>1026.2</v>
      </c>
      <c r="Q3822" s="56" t="n">
        <f aca="false">IF(OR(F3822&lt;&gt;0,AND(I3822&lt;&gt;"",E3822&lt;I3822)),1,0)</f>
        <v>0</v>
      </c>
      <c r="R3822" s="56" t="n">
        <f aca="false">IF(AND(D3822&gt;1,Q3822=0,ISNUMBER(O3822),ISNUMBER(P3822)),IF(Q3821=0,1,0),0)</f>
        <v>1</v>
      </c>
      <c r="S3822" s="56" t="n">
        <f aca="false">R3822*(B3822&gt;=Train_Start)*(B3822&lt;=Train_End)</f>
        <v>0</v>
      </c>
      <c r="T3822" s="84" t="n">
        <f aca="false">IF(AND(ISNUMBER(O3822),ISNUMBER(P3822)),Coef_A+Coef_B1*O3822+Coef_B2*P3822,"")</f>
        <v>20.9932808334658</v>
      </c>
      <c r="U3822" s="84" t="n">
        <f aca="false">IF(AND(R3822=1,ISNUMBER(T3822)),E3822-T3822,"")</f>
        <v>-3.39328083346583</v>
      </c>
      <c r="V3822" s="84" t="n">
        <f aca="false">IF(ISNUMBER(T3822),T3822,-99)</f>
        <v>20.9932808334658</v>
      </c>
      <c r="W3822" s="84" t="n">
        <f aca="false">IF(ISNUMBER(U3822),ABS(U3822),"")</f>
        <v>3.39328083346583</v>
      </c>
    </row>
    <row r="3823" customFormat="false" ht="15" hidden="false" customHeight="false" outlineLevel="0" collapsed="false">
      <c r="A3823" s="57" t="n">
        <v>37891</v>
      </c>
      <c r="B3823" s="56" t="n">
        <v>2003</v>
      </c>
      <c r="C3823" s="56" t="n">
        <v>9</v>
      </c>
      <c r="D3823" s="56" t="n">
        <v>150</v>
      </c>
      <c r="E3823" s="56" t="n">
        <v>16.1</v>
      </c>
      <c r="F3823" s="56" t="n">
        <v>0</v>
      </c>
      <c r="G3823" s="56" t="n">
        <v>10.5</v>
      </c>
      <c r="H3823" s="56" t="n">
        <v>0</v>
      </c>
      <c r="I3823" s="56" t="n">
        <v>14</v>
      </c>
      <c r="J3823" s="56" t="n">
        <v>0</v>
      </c>
      <c r="K3823" s="56" t="n">
        <v>1019.3</v>
      </c>
      <c r="L3823" s="56" t="n">
        <v>0</v>
      </c>
      <c r="M3823" s="56" t="n">
        <v>67</v>
      </c>
      <c r="N3823" s="56" t="n">
        <v>2.6</v>
      </c>
      <c r="O3823" s="56" t="n">
        <f aca="false">IF(D3823=1,"",E3822)</f>
        <v>17.6</v>
      </c>
      <c r="P3823" s="56" t="n">
        <f aca="false">IF(OR(D3823=1,K3822=""),"",K3822)</f>
        <v>1019.6</v>
      </c>
      <c r="Q3823" s="56" t="n">
        <f aca="false">IF(OR(F3823&lt;&gt;0,AND(I3823&lt;&gt;"",E3823&lt;I3823)),1,0)</f>
        <v>0</v>
      </c>
      <c r="R3823" s="56" t="n">
        <f aca="false">IF(AND(D3823&gt;1,Q3823=0,ISNUMBER(O3823),ISNUMBER(P3823)),IF(Q3822=0,1,0),0)</f>
        <v>1</v>
      </c>
      <c r="S3823" s="56" t="n">
        <f aca="false">R3823*(B3823&gt;=Train_Start)*(B3823&lt;=Train_End)</f>
        <v>0</v>
      </c>
      <c r="T3823" s="84" t="n">
        <f aca="false">IF(AND(ISNUMBER(O3823),ISNUMBER(P3823)),Coef_A+Coef_B1*O3823+Coef_B2*P3823,"")</f>
        <v>18.4920897883621</v>
      </c>
      <c r="U3823" s="84" t="n">
        <f aca="false">IF(AND(R3823=1,ISNUMBER(T3823)),E3823-T3823,"")</f>
        <v>-2.39208978836206</v>
      </c>
      <c r="V3823" s="84" t="n">
        <f aca="false">IF(ISNUMBER(T3823),T3823,-99)</f>
        <v>18.4920897883621</v>
      </c>
      <c r="W3823" s="84" t="n">
        <f aca="false">IF(ISNUMBER(U3823),ABS(U3823),"")</f>
        <v>2.39208978836206</v>
      </c>
    </row>
    <row r="3824" customFormat="false" ht="15" hidden="false" customHeight="false" outlineLevel="0" collapsed="false">
      <c r="A3824" s="57" t="n">
        <v>37892</v>
      </c>
      <c r="B3824" s="56" t="n">
        <v>2003</v>
      </c>
      <c r="C3824" s="56" t="n">
        <v>9</v>
      </c>
      <c r="D3824" s="56" t="n">
        <v>151</v>
      </c>
      <c r="E3824" s="56" t="n">
        <v>18.8</v>
      </c>
      <c r="F3824" s="56" t="n">
        <v>0</v>
      </c>
      <c r="G3824" s="56" t="n">
        <v>8.9</v>
      </c>
      <c r="H3824" s="56" t="n">
        <v>0</v>
      </c>
      <c r="I3824" s="56" t="n">
        <v>12.5</v>
      </c>
      <c r="J3824" s="56" t="n">
        <v>0</v>
      </c>
      <c r="K3824" s="56" t="n">
        <v>1014</v>
      </c>
      <c r="L3824" s="56" t="n">
        <v>0</v>
      </c>
      <c r="M3824" s="56" t="n">
        <v>68</v>
      </c>
      <c r="N3824" s="56" t="n">
        <v>4.4</v>
      </c>
      <c r="O3824" s="56" t="n">
        <f aca="false">IF(D3824=1,"",E3823)</f>
        <v>16.1</v>
      </c>
      <c r="P3824" s="56" t="n">
        <f aca="false">IF(OR(D3824=1,K3823=""),"",K3823)</f>
        <v>1019.3</v>
      </c>
      <c r="Q3824" s="56" t="n">
        <f aca="false">IF(OR(F3824&lt;&gt;0,AND(I3824&lt;&gt;"",E3824&lt;I3824)),1,0)</f>
        <v>0</v>
      </c>
      <c r="R3824" s="56" t="n">
        <f aca="false">IF(AND(D3824&gt;1,Q3824=0,ISNUMBER(O3824),ISNUMBER(P3824)),IF(Q3823=0,1,0),0)</f>
        <v>1</v>
      </c>
      <c r="S3824" s="56" t="n">
        <f aca="false">R3824*(B3824&gt;=Train_Start)*(B3824&lt;=Train_End)</f>
        <v>0</v>
      </c>
      <c r="T3824" s="84" t="n">
        <f aca="false">IF(AND(ISNUMBER(O3824),ISNUMBER(P3824)),Coef_A+Coef_B1*O3824+Coef_B2*P3824,"")</f>
        <v>17.2536700304079</v>
      </c>
      <c r="U3824" s="84" t="n">
        <f aca="false">IF(AND(R3824=1,ISNUMBER(T3824)),E3824-T3824,"")</f>
        <v>1.54632996959213</v>
      </c>
      <c r="V3824" s="84" t="n">
        <f aca="false">IF(ISNUMBER(T3824),T3824,-99)</f>
        <v>17.2536700304079</v>
      </c>
      <c r="W3824" s="84" t="n">
        <f aca="false">IF(ISNUMBER(U3824),ABS(U3824),"")</f>
        <v>1.54632996959213</v>
      </c>
    </row>
    <row r="3825" customFormat="false" ht="15" hidden="false" customHeight="false" outlineLevel="0" collapsed="false">
      <c r="A3825" s="57" t="n">
        <v>37893</v>
      </c>
      <c r="B3825" s="56" t="n">
        <v>2003</v>
      </c>
      <c r="C3825" s="56" t="n">
        <v>9</v>
      </c>
      <c r="D3825" s="56" t="n">
        <v>152</v>
      </c>
      <c r="E3825" s="56" t="n">
        <v>20.8</v>
      </c>
      <c r="F3825" s="56" t="n">
        <v>0</v>
      </c>
      <c r="G3825" s="56" t="n">
        <v>5.4</v>
      </c>
      <c r="H3825" s="56" t="n">
        <v>0</v>
      </c>
      <c r="I3825" s="56" t="n">
        <v>12.1</v>
      </c>
      <c r="J3825" s="56" t="n">
        <v>0</v>
      </c>
      <c r="K3825" s="56" t="n">
        <v>1013.9</v>
      </c>
      <c r="L3825" s="56" t="n">
        <v>0</v>
      </c>
      <c r="M3825" s="56" t="n">
        <v>66</v>
      </c>
      <c r="N3825" s="56" t="n">
        <v>10.1</v>
      </c>
      <c r="O3825" s="56" t="n">
        <f aca="false">IF(D3825=1,"",E3824)</f>
        <v>18.8</v>
      </c>
      <c r="P3825" s="56" t="n">
        <f aca="false">IF(OR(D3825=1,K3824=""),"",K3824)</f>
        <v>1014</v>
      </c>
      <c r="Q3825" s="56" t="n">
        <f aca="false">IF(OR(F3825&lt;&gt;0,AND(I3825&lt;&gt;"",E3825&lt;I3825)),1,0)</f>
        <v>0</v>
      </c>
      <c r="R3825" s="56" t="n">
        <f aca="false">IF(AND(D3825&gt;1,Q3825=0,ISNUMBER(O3825),ISNUMBER(P3825)),IF(Q3824=0,1,0),0)</f>
        <v>1</v>
      </c>
      <c r="S3825" s="56" t="n">
        <f aca="false">R3825*(B3825&gt;=Train_Start)*(B3825&lt;=Train_End)</f>
        <v>0</v>
      </c>
      <c r="T3825" s="84" t="n">
        <f aca="false">IF(AND(ISNUMBER(O3825),ISNUMBER(P3825)),Coef_A+Coef_B1*O3825+Coef_B2*P3825,"")</f>
        <v>19.2996254100629</v>
      </c>
      <c r="U3825" s="84" t="n">
        <f aca="false">IF(AND(R3825=1,ISNUMBER(T3825)),E3825-T3825,"")</f>
        <v>1.5003745899371</v>
      </c>
      <c r="V3825" s="84" t="n">
        <f aca="false">IF(ISNUMBER(T3825),T3825,-99)</f>
        <v>19.2996254100629</v>
      </c>
      <c r="W3825" s="84" t="n">
        <f aca="false">IF(ISNUMBER(U3825),ABS(U3825),"")</f>
        <v>1.5003745899371</v>
      </c>
    </row>
    <row r="3826" customFormat="false" ht="15" hidden="false" customHeight="false" outlineLevel="0" collapsed="false">
      <c r="A3826" s="57" t="n">
        <v>37894</v>
      </c>
      <c r="B3826" s="56" t="n">
        <v>2003</v>
      </c>
      <c r="C3826" s="56" t="n">
        <v>9</v>
      </c>
      <c r="D3826" s="56" t="n">
        <v>153</v>
      </c>
      <c r="E3826" s="56" t="n">
        <v>18.6</v>
      </c>
      <c r="F3826" s="56" t="n">
        <v>0</v>
      </c>
      <c r="G3826" s="56" t="n">
        <v>9</v>
      </c>
      <c r="H3826" s="56" t="n">
        <v>0</v>
      </c>
      <c r="I3826" s="56" t="n">
        <v>14.9</v>
      </c>
      <c r="J3826" s="56" t="n">
        <v>0</v>
      </c>
      <c r="K3826" s="56" t="n">
        <v>1010.6</v>
      </c>
      <c r="L3826" s="56" t="n">
        <v>0</v>
      </c>
      <c r="M3826" s="56" t="n">
        <v>62</v>
      </c>
      <c r="N3826" s="56" t="n">
        <v>4.3</v>
      </c>
      <c r="O3826" s="56" t="n">
        <f aca="false">IF(D3826=1,"",E3825)</f>
        <v>20.8</v>
      </c>
      <c r="P3826" s="56" t="n">
        <f aca="false">IF(OR(D3826=1,K3825=""),"",K3825)</f>
        <v>1013.9</v>
      </c>
      <c r="Q3826" s="56" t="n">
        <f aca="false">IF(OR(F3826&lt;&gt;0,AND(I3826&lt;&gt;"",E3826&lt;I3826)),1,0)</f>
        <v>0</v>
      </c>
      <c r="R3826" s="56" t="n">
        <f aca="false">IF(AND(D3826&gt;1,Q3826=0,ISNUMBER(O3826),ISNUMBER(P3826)),IF(Q3825=0,1,0),0)</f>
        <v>1</v>
      </c>
      <c r="S3826" s="56" t="n">
        <f aca="false">R3826*(B3826&gt;=Train_Start)*(B3826&lt;=Train_End)</f>
        <v>0</v>
      </c>
      <c r="T3826" s="84" t="n">
        <f aca="false">IF(AND(ISNUMBER(O3826),ISNUMBER(P3826)),Coef_A+Coef_B1*O3826+Coef_B2*P3826,"")</f>
        <v>20.9351668066848</v>
      </c>
      <c r="U3826" s="84" t="n">
        <f aca="false">IF(AND(R3826=1,ISNUMBER(T3826)),E3826-T3826,"")</f>
        <v>-2.33516680668482</v>
      </c>
      <c r="V3826" s="84" t="n">
        <f aca="false">IF(ISNUMBER(T3826),T3826,-99)</f>
        <v>20.9351668066848</v>
      </c>
      <c r="W3826" s="84" t="n">
        <f aca="false">IF(ISNUMBER(U3826),ABS(U3826),"")</f>
        <v>2.33516680668482</v>
      </c>
    </row>
    <row r="3827" customFormat="false" ht="15" hidden="false" customHeight="false" outlineLevel="0" collapsed="false">
      <c r="A3827" s="57" t="n">
        <v>38108</v>
      </c>
      <c r="B3827" s="56" t="n">
        <v>2004</v>
      </c>
      <c r="C3827" s="56" t="n">
        <v>5</v>
      </c>
      <c r="D3827" s="56" t="n">
        <v>1</v>
      </c>
      <c r="E3827" s="56" t="n">
        <v>19</v>
      </c>
      <c r="F3827" s="56" t="n">
        <v>0</v>
      </c>
      <c r="G3827" s="56" t="n">
        <v>9.1</v>
      </c>
      <c r="H3827" s="56" t="n">
        <v>0</v>
      </c>
      <c r="I3827" s="56" t="n">
        <v>11.2</v>
      </c>
      <c r="J3827" s="56" t="n">
        <v>0</v>
      </c>
      <c r="K3827" s="56" t="n">
        <v>1006.5</v>
      </c>
      <c r="L3827" s="56" t="n">
        <v>0</v>
      </c>
      <c r="M3827" s="56" t="n">
        <v>90</v>
      </c>
      <c r="N3827" s="56" t="n">
        <v>0</v>
      </c>
      <c r="O3827" s="56" t="str">
        <f aca="false">IF(D3827=1,"",E3826)</f>
        <v/>
      </c>
      <c r="P3827" s="56" t="str">
        <f aca="false">IF(OR(D3827=1,K3826=""),"",K3826)</f>
        <v/>
      </c>
      <c r="Q3827" s="56" t="n">
        <f aca="false">IF(OR(F3827&lt;&gt;0,AND(I3827&lt;&gt;"",E3827&lt;I3827)),1,0)</f>
        <v>0</v>
      </c>
      <c r="R3827" s="56" t="n">
        <f aca="false">IF(AND(D3827&gt;1,Q3827=0,ISNUMBER(O3827),ISNUMBER(P3827)),IF(Q3826=0,1,0),0)</f>
        <v>0</v>
      </c>
      <c r="S3827" s="56" t="n">
        <f aca="false">R3827*(B3827&gt;=Train_Start)*(B3827&lt;=Train_End)</f>
        <v>0</v>
      </c>
      <c r="T3827" s="84" t="str">
        <f aca="false">IF(AND(ISNUMBER(O3827),ISNUMBER(P3827)),Coef_A+Coef_B1*O3827+Coef_B2*P3827,"")</f>
        <v/>
      </c>
      <c r="U3827" s="84" t="str">
        <f aca="false">IF(AND(R3827=1,ISNUMBER(T3827)),E3827-T3827,"")</f>
        <v/>
      </c>
      <c r="V3827" s="84" t="n">
        <f aca="false">IF(ISNUMBER(T3827),T3827,-99)</f>
        <v>-99</v>
      </c>
      <c r="W3827" s="84" t="str">
        <f aca="false">IF(ISNUMBER(U3827),ABS(U3827),"")</f>
        <v/>
      </c>
    </row>
    <row r="3828" customFormat="false" ht="15" hidden="false" customHeight="false" outlineLevel="0" collapsed="false">
      <c r="A3828" s="57" t="n">
        <v>38109</v>
      </c>
      <c r="B3828" s="56" t="n">
        <v>2004</v>
      </c>
      <c r="C3828" s="56" t="n">
        <v>5</v>
      </c>
      <c r="D3828" s="56" t="n">
        <v>2</v>
      </c>
      <c r="E3828" s="56" t="n">
        <v>13.5</v>
      </c>
      <c r="F3828" s="56" t="n">
        <v>0</v>
      </c>
      <c r="G3828" s="56" t="n">
        <v>6.6</v>
      </c>
      <c r="H3828" s="56" t="n">
        <v>0</v>
      </c>
      <c r="I3828" s="56" t="n">
        <v>12.8</v>
      </c>
      <c r="J3828" s="56" t="n">
        <v>0</v>
      </c>
      <c r="K3828" s="56" t="n">
        <v>1008.8</v>
      </c>
      <c r="L3828" s="56" t="n">
        <v>0</v>
      </c>
      <c r="M3828" s="56" t="n">
        <v>76</v>
      </c>
      <c r="N3828" s="56" t="n">
        <v>9.6</v>
      </c>
      <c r="O3828" s="56" t="n">
        <f aca="false">IF(D3828=1,"",E3827)</f>
        <v>19</v>
      </c>
      <c r="P3828" s="56" t="n">
        <f aca="false">IF(OR(D3828=1,K3827=""),"",K3827)</f>
        <v>1006.5</v>
      </c>
      <c r="Q3828" s="56" t="n">
        <f aca="false">IF(OR(F3828&lt;&gt;0,AND(I3828&lt;&gt;"",E3828&lt;I3828)),1,0)</f>
        <v>0</v>
      </c>
      <c r="R3828" s="56" t="n">
        <f aca="false">IF(AND(D3828&gt;1,Q3828=0,ISNUMBER(O3828),ISNUMBER(P3828)),IF(Q3827=0,1,0),0)</f>
        <v>1</v>
      </c>
      <c r="S3828" s="56" t="n">
        <f aca="false">R3828*(B3828&gt;=Train_Start)*(B3828&lt;=Train_End)</f>
        <v>0</v>
      </c>
      <c r="T3828" s="84" t="n">
        <f aca="false">IF(AND(ISNUMBER(O3828),ISNUMBER(P3828)),Coef_A+Coef_B1*O3828+Coef_B2*P3828,"")</f>
        <v>19.2282190389165</v>
      </c>
      <c r="U3828" s="84" t="n">
        <f aca="false">IF(AND(R3828=1,ISNUMBER(T3828)),E3828-T3828,"")</f>
        <v>-5.72821903891651</v>
      </c>
      <c r="V3828" s="84" t="n">
        <f aca="false">IF(ISNUMBER(T3828),T3828,-99)</f>
        <v>19.2282190389165</v>
      </c>
      <c r="W3828" s="84" t="n">
        <f aca="false">IF(ISNUMBER(U3828),ABS(U3828),"")</f>
        <v>5.72821903891651</v>
      </c>
    </row>
    <row r="3829" customFormat="false" ht="15" hidden="false" customHeight="false" outlineLevel="0" collapsed="false">
      <c r="A3829" s="57" t="n">
        <v>38110</v>
      </c>
      <c r="B3829" s="56" t="n">
        <v>2004</v>
      </c>
      <c r="C3829" s="56" t="n">
        <v>5</v>
      </c>
      <c r="D3829" s="56" t="n">
        <v>3</v>
      </c>
      <c r="E3829" s="56" t="n">
        <v>11.6</v>
      </c>
      <c r="F3829" s="56" t="n">
        <v>0</v>
      </c>
      <c r="G3829" s="56" t="n">
        <v>9.3</v>
      </c>
      <c r="H3829" s="56" t="n">
        <v>0</v>
      </c>
      <c r="I3829" s="56" t="n">
        <v>11.4</v>
      </c>
      <c r="J3829" s="56" t="n">
        <v>0</v>
      </c>
      <c r="K3829" s="56" t="n">
        <v>1003.4</v>
      </c>
      <c r="L3829" s="56" t="n">
        <v>0</v>
      </c>
      <c r="M3829" s="56" t="n">
        <v>82</v>
      </c>
      <c r="N3829" s="56" t="n">
        <v>3</v>
      </c>
      <c r="O3829" s="56" t="n">
        <f aca="false">IF(D3829=1,"",E3828)</f>
        <v>13.5</v>
      </c>
      <c r="P3829" s="56" t="n">
        <f aca="false">IF(OR(D3829=1,K3828=""),"",K3828)</f>
        <v>1008.8</v>
      </c>
      <c r="Q3829" s="56" t="n">
        <f aca="false">IF(OR(F3829&lt;&gt;0,AND(I3829&lt;&gt;"",E3829&lt;I3829)),1,0)</f>
        <v>0</v>
      </c>
      <c r="R3829" s="56" t="n">
        <f aca="false">IF(AND(D3829&gt;1,Q3829=0,ISNUMBER(O3829),ISNUMBER(P3829)),IF(Q3828=0,1,0),0)</f>
        <v>1</v>
      </c>
      <c r="S3829" s="56" t="n">
        <f aca="false">R3829*(B3829&gt;=Train_Start)*(B3829&lt;=Train_End)</f>
        <v>0</v>
      </c>
      <c r="T3829" s="84" t="n">
        <f aca="false">IF(AND(ISNUMBER(O3829),ISNUMBER(P3829)),Coef_A+Coef_B1*O3829+Coef_B2*P3829,"")</f>
        <v>14.7940042348401</v>
      </c>
      <c r="U3829" s="84" t="n">
        <f aca="false">IF(AND(R3829=1,ISNUMBER(T3829)),E3829-T3829,"")</f>
        <v>-3.19400423484007</v>
      </c>
      <c r="V3829" s="84" t="n">
        <f aca="false">IF(ISNUMBER(T3829),T3829,-99)</f>
        <v>14.7940042348401</v>
      </c>
      <c r="W3829" s="84" t="n">
        <f aca="false">IF(ISNUMBER(U3829),ABS(U3829),"")</f>
        <v>3.19400423484007</v>
      </c>
    </row>
    <row r="3830" customFormat="false" ht="15" hidden="false" customHeight="false" outlineLevel="0" collapsed="false">
      <c r="A3830" s="57" t="n">
        <v>38111</v>
      </c>
      <c r="B3830" s="56" t="n">
        <v>2004</v>
      </c>
      <c r="C3830" s="56" t="n">
        <v>5</v>
      </c>
      <c r="D3830" s="56" t="n">
        <v>4</v>
      </c>
      <c r="E3830" s="56" t="n">
        <v>13.5</v>
      </c>
      <c r="F3830" s="56" t="n">
        <v>0</v>
      </c>
      <c r="G3830" s="56" t="n">
        <v>7</v>
      </c>
      <c r="H3830" s="56" t="n">
        <v>0</v>
      </c>
      <c r="I3830" s="56" t="n">
        <v>9.3</v>
      </c>
      <c r="J3830" s="56" t="n">
        <v>0</v>
      </c>
      <c r="K3830" s="56" t="n">
        <v>984.7</v>
      </c>
      <c r="L3830" s="56" t="n">
        <v>0</v>
      </c>
      <c r="M3830" s="56" t="n">
        <v>85</v>
      </c>
      <c r="N3830" s="56" t="n">
        <v>1.9</v>
      </c>
      <c r="O3830" s="56" t="n">
        <f aca="false">IF(D3830=1,"",E3829)</f>
        <v>11.6</v>
      </c>
      <c r="P3830" s="56" t="n">
        <f aca="false">IF(OR(D3830=1,K3829=""),"",K3829)</f>
        <v>1003.4</v>
      </c>
      <c r="Q3830" s="56" t="n">
        <f aca="false">IF(OR(F3830&lt;&gt;0,AND(I3830&lt;&gt;"",E3830&lt;I3830)),1,0)</f>
        <v>0</v>
      </c>
      <c r="R3830" s="56" t="n">
        <f aca="false">IF(AND(D3830&gt;1,Q3830=0,ISNUMBER(O3830),ISNUMBER(P3830)),IF(Q3829=0,1,0),0)</f>
        <v>1</v>
      </c>
      <c r="S3830" s="56" t="n">
        <f aca="false">R3830*(B3830&gt;=Train_Start)*(B3830&lt;=Train_End)</f>
        <v>0</v>
      </c>
      <c r="T3830" s="84" t="n">
        <f aca="false">IF(AND(ISNUMBER(O3830),ISNUMBER(P3830)),Coef_A+Coef_B1*O3830+Coef_B2*P3830,"")</f>
        <v>13.0678623370355</v>
      </c>
      <c r="U3830" s="84" t="n">
        <f aca="false">IF(AND(R3830=1,ISNUMBER(T3830)),E3830-T3830,"")</f>
        <v>0.432137662964518</v>
      </c>
      <c r="V3830" s="84" t="n">
        <f aca="false">IF(ISNUMBER(T3830),T3830,-99)</f>
        <v>13.0678623370355</v>
      </c>
      <c r="W3830" s="84" t="n">
        <f aca="false">IF(ISNUMBER(U3830),ABS(U3830),"")</f>
        <v>0.432137662964518</v>
      </c>
    </row>
    <row r="3831" customFormat="false" ht="15" hidden="false" customHeight="false" outlineLevel="0" collapsed="false">
      <c r="A3831" s="57" t="n">
        <v>38112</v>
      </c>
      <c r="B3831" s="56" t="n">
        <v>2004</v>
      </c>
      <c r="C3831" s="56" t="n">
        <v>5</v>
      </c>
      <c r="D3831" s="56" t="n">
        <v>5</v>
      </c>
      <c r="E3831" s="56" t="n">
        <v>14.8</v>
      </c>
      <c r="F3831" s="56" t="n">
        <v>0</v>
      </c>
      <c r="G3831" s="56" t="n">
        <v>5.5</v>
      </c>
      <c r="H3831" s="56" t="n">
        <v>0</v>
      </c>
      <c r="I3831" s="56" t="n">
        <v>9.5</v>
      </c>
      <c r="J3831" s="56" t="n">
        <v>0</v>
      </c>
      <c r="K3831" s="56" t="n">
        <v>980.9</v>
      </c>
      <c r="L3831" s="56" t="n">
        <v>0</v>
      </c>
      <c r="M3831" s="56" t="n">
        <v>79</v>
      </c>
      <c r="N3831" s="56" t="n">
        <v>6.8</v>
      </c>
      <c r="O3831" s="56" t="n">
        <f aca="false">IF(D3831=1,"",E3830)</f>
        <v>13.5</v>
      </c>
      <c r="P3831" s="56" t="n">
        <f aca="false">IF(OR(D3831=1,K3830=""),"",K3830)</f>
        <v>984.7</v>
      </c>
      <c r="Q3831" s="56" t="n">
        <f aca="false">IF(OR(F3831&lt;&gt;0,AND(I3831&lt;&gt;"",E3831&lt;I3831)),1,0)</f>
        <v>0</v>
      </c>
      <c r="R3831" s="56" t="n">
        <f aca="false">IF(AND(D3831&gt;1,Q3831=0,ISNUMBER(O3831),ISNUMBER(P3831)),IF(Q3830=0,1,0),0)</f>
        <v>1</v>
      </c>
      <c r="S3831" s="56" t="n">
        <f aca="false">R3831*(B3831&gt;=Train_Start)*(B3831&lt;=Train_End)</f>
        <v>0</v>
      </c>
      <c r="T3831" s="84" t="n">
        <f aca="false">IF(AND(ISNUMBER(O3831),ISNUMBER(P3831)),Coef_A+Coef_B1*O3831+Coef_B2*P3831,"")</f>
        <v>14.0379897741609</v>
      </c>
      <c r="U3831" s="84" t="n">
        <f aca="false">IF(AND(R3831=1,ISNUMBER(T3831)),E3831-T3831,"")</f>
        <v>0.76201022583907</v>
      </c>
      <c r="V3831" s="84" t="n">
        <f aca="false">IF(ISNUMBER(T3831),T3831,-99)</f>
        <v>14.0379897741609</v>
      </c>
      <c r="W3831" s="84" t="n">
        <f aca="false">IF(ISNUMBER(U3831),ABS(U3831),"")</f>
        <v>0.76201022583907</v>
      </c>
    </row>
    <row r="3832" customFormat="false" ht="15" hidden="false" customHeight="false" outlineLevel="0" collapsed="false">
      <c r="A3832" s="57" t="n">
        <v>38113</v>
      </c>
      <c r="B3832" s="56" t="n">
        <v>2004</v>
      </c>
      <c r="C3832" s="56" t="n">
        <v>5</v>
      </c>
      <c r="D3832" s="56" t="n">
        <v>6</v>
      </c>
      <c r="E3832" s="56" t="n">
        <v>16.9</v>
      </c>
      <c r="F3832" s="56" t="n">
        <v>0</v>
      </c>
      <c r="G3832" s="56" t="n">
        <v>6.8</v>
      </c>
      <c r="H3832" s="56" t="n">
        <v>0</v>
      </c>
      <c r="I3832" s="56" t="n">
        <v>10.8</v>
      </c>
      <c r="J3832" s="56" t="n">
        <v>0</v>
      </c>
      <c r="K3832" s="56" t="n">
        <v>994.2</v>
      </c>
      <c r="L3832" s="56" t="n">
        <v>0</v>
      </c>
      <c r="M3832" s="56" t="n">
        <v>71</v>
      </c>
      <c r="N3832" s="56" t="n">
        <v>4.5</v>
      </c>
      <c r="O3832" s="56" t="n">
        <f aca="false">IF(D3832=1,"",E3831)</f>
        <v>14.8</v>
      </c>
      <c r="P3832" s="56" t="n">
        <f aca="false">IF(OR(D3832=1,K3831=""),"",K3831)</f>
        <v>980.9</v>
      </c>
      <c r="Q3832" s="56" t="n">
        <f aca="false">IF(OR(F3832&lt;&gt;0,AND(I3832&lt;&gt;"",E3832&lt;I3832)),1,0)</f>
        <v>0</v>
      </c>
      <c r="R3832" s="56" t="n">
        <f aca="false">IF(AND(D3832&gt;1,Q3832=0,ISNUMBER(O3832),ISNUMBER(P3832)),IF(Q3831=0,1,0),0)</f>
        <v>1</v>
      </c>
      <c r="S3832" s="56" t="n">
        <f aca="false">R3832*(B3832&gt;=Train_Start)*(B3832&lt;=Train_End)</f>
        <v>0</v>
      </c>
      <c r="T3832" s="84" t="n">
        <f aca="false">IF(AND(ISNUMBER(O3832),ISNUMBER(P3832)),Coef_A+Coef_B1*O3832+Coef_B2*P3832,"")</f>
        <v>14.9839251255072</v>
      </c>
      <c r="U3832" s="84" t="n">
        <f aca="false">IF(AND(R3832=1,ISNUMBER(T3832)),E3832-T3832,"")</f>
        <v>1.91607487449278</v>
      </c>
      <c r="V3832" s="84" t="n">
        <f aca="false">IF(ISNUMBER(T3832),T3832,-99)</f>
        <v>14.9839251255072</v>
      </c>
      <c r="W3832" s="84" t="n">
        <f aca="false">IF(ISNUMBER(U3832),ABS(U3832),"")</f>
        <v>1.91607487449278</v>
      </c>
    </row>
    <row r="3833" customFormat="false" ht="15" hidden="false" customHeight="false" outlineLevel="0" collapsed="false">
      <c r="A3833" s="57" t="n">
        <v>38114</v>
      </c>
      <c r="B3833" s="56" t="n">
        <v>2004</v>
      </c>
      <c r="C3833" s="56" t="n">
        <v>5</v>
      </c>
      <c r="D3833" s="56" t="n">
        <v>7</v>
      </c>
      <c r="E3833" s="56" t="n">
        <v>12.7</v>
      </c>
      <c r="F3833" s="56" t="n">
        <v>0</v>
      </c>
      <c r="G3833" s="56" t="n">
        <v>7.4</v>
      </c>
      <c r="H3833" s="56" t="n">
        <v>0</v>
      </c>
      <c r="I3833" s="56" t="n">
        <v>12.2</v>
      </c>
      <c r="J3833" s="56" t="n">
        <v>0</v>
      </c>
      <c r="K3833" s="56" t="n">
        <v>1002.4</v>
      </c>
      <c r="L3833" s="56" t="n">
        <v>0</v>
      </c>
      <c r="M3833" s="56" t="n">
        <v>65</v>
      </c>
      <c r="N3833" s="56" t="n">
        <v>6.1</v>
      </c>
      <c r="O3833" s="56" t="n">
        <f aca="false">IF(D3833=1,"",E3832)</f>
        <v>16.9</v>
      </c>
      <c r="P3833" s="56" t="n">
        <f aca="false">IF(OR(D3833=1,K3832=""),"",K3832)</f>
        <v>994.2</v>
      </c>
      <c r="Q3833" s="56" t="n">
        <f aca="false">IF(OR(F3833&lt;&gt;0,AND(I3833&lt;&gt;"",E3833&lt;I3833)),1,0)</f>
        <v>0</v>
      </c>
      <c r="R3833" s="56" t="n">
        <f aca="false">IF(AND(D3833&gt;1,Q3833=0,ISNUMBER(O3833),ISNUMBER(P3833)),IF(Q3832=0,1,0),0)</f>
        <v>1</v>
      </c>
      <c r="S3833" s="56" t="n">
        <f aca="false">R3833*(B3833&gt;=Train_Start)*(B3833&lt;=Train_End)</f>
        <v>0</v>
      </c>
      <c r="T3833" s="84" t="n">
        <f aca="false">IF(AND(ISNUMBER(O3833),ISNUMBER(P3833)),Coef_A+Coef_B1*O3833+Coef_B2*P3833,"")</f>
        <v>17.1217570295289</v>
      </c>
      <c r="U3833" s="84" t="n">
        <f aca="false">IF(AND(R3833=1,ISNUMBER(T3833)),E3833-T3833,"")</f>
        <v>-4.42175702952887</v>
      </c>
      <c r="V3833" s="84" t="n">
        <f aca="false">IF(ISNUMBER(T3833),T3833,-99)</f>
        <v>17.1217570295289</v>
      </c>
      <c r="W3833" s="84" t="n">
        <f aca="false">IF(ISNUMBER(U3833),ABS(U3833),"")</f>
        <v>4.42175702952887</v>
      </c>
    </row>
    <row r="3834" customFormat="false" ht="15" hidden="false" customHeight="false" outlineLevel="0" collapsed="false">
      <c r="A3834" s="57" t="n">
        <v>38115</v>
      </c>
      <c r="B3834" s="56" t="n">
        <v>2004</v>
      </c>
      <c r="C3834" s="56" t="n">
        <v>5</v>
      </c>
      <c r="D3834" s="56" t="n">
        <v>8</v>
      </c>
      <c r="E3834" s="56" t="n">
        <v>15.6</v>
      </c>
      <c r="F3834" s="56" t="n">
        <v>0</v>
      </c>
      <c r="G3834" s="56" t="n">
        <v>9.5</v>
      </c>
      <c r="H3834" s="56" t="n">
        <v>0</v>
      </c>
      <c r="I3834" s="56" t="n">
        <v>11.1</v>
      </c>
      <c r="J3834" s="56" t="n">
        <v>0</v>
      </c>
      <c r="K3834" s="56" t="n">
        <v>1003.1</v>
      </c>
      <c r="L3834" s="56" t="n">
        <v>0</v>
      </c>
      <c r="M3834" s="56" t="n">
        <v>86</v>
      </c>
      <c r="N3834" s="56" t="n">
        <v>0</v>
      </c>
      <c r="O3834" s="56" t="n">
        <f aca="false">IF(D3834=1,"",E3833)</f>
        <v>12.7</v>
      </c>
      <c r="P3834" s="56" t="n">
        <f aca="false">IF(OR(D3834=1,K3833=""),"",K3833)</f>
        <v>1002.4</v>
      </c>
      <c r="Q3834" s="56" t="n">
        <f aca="false">IF(OR(F3834&lt;&gt;0,AND(I3834&lt;&gt;"",E3834&lt;I3834)),1,0)</f>
        <v>0</v>
      </c>
      <c r="R3834" s="56" t="n">
        <f aca="false">IF(AND(D3834&gt;1,Q3834=0,ISNUMBER(O3834),ISNUMBER(P3834)),IF(Q3833=0,1,0),0)</f>
        <v>1</v>
      </c>
      <c r="S3834" s="56" t="n">
        <f aca="false">R3834*(B3834&gt;=Train_Start)*(B3834&lt;=Train_End)</f>
        <v>0</v>
      </c>
      <c r="T3834" s="84" t="n">
        <f aca="false">IF(AND(ISNUMBER(O3834),ISNUMBER(P3834)),Coef_A+Coef_B1*O3834+Coef_B2*P3834,"")</f>
        <v>13.9377655547484</v>
      </c>
      <c r="U3834" s="84" t="n">
        <f aca="false">IF(AND(R3834=1,ISNUMBER(T3834)),E3834-T3834,"")</f>
        <v>1.66223444525159</v>
      </c>
      <c r="V3834" s="84" t="n">
        <f aca="false">IF(ISNUMBER(T3834),T3834,-99)</f>
        <v>13.9377655547484</v>
      </c>
      <c r="W3834" s="84" t="n">
        <f aca="false">IF(ISNUMBER(U3834),ABS(U3834),"")</f>
        <v>1.66223444525159</v>
      </c>
    </row>
    <row r="3835" customFormat="false" ht="15" hidden="false" customHeight="false" outlineLevel="0" collapsed="false">
      <c r="A3835" s="57" t="n">
        <v>38116</v>
      </c>
      <c r="B3835" s="56" t="n">
        <v>2004</v>
      </c>
      <c r="C3835" s="56" t="n">
        <v>5</v>
      </c>
      <c r="D3835" s="56" t="n">
        <v>9</v>
      </c>
      <c r="E3835" s="56" t="n">
        <v>19.5</v>
      </c>
      <c r="F3835" s="56" t="n">
        <v>0</v>
      </c>
      <c r="G3835" s="56" t="n">
        <v>10.1</v>
      </c>
      <c r="H3835" s="56" t="n">
        <v>0</v>
      </c>
      <c r="I3835" s="56" t="n">
        <v>12.8</v>
      </c>
      <c r="J3835" s="56" t="n">
        <v>0</v>
      </c>
      <c r="K3835" s="56" t="n">
        <v>1008</v>
      </c>
      <c r="L3835" s="56" t="n">
        <v>0</v>
      </c>
      <c r="M3835" s="56" t="n">
        <v>82</v>
      </c>
      <c r="N3835" s="56" t="n">
        <v>0.9</v>
      </c>
      <c r="O3835" s="56" t="n">
        <f aca="false">IF(D3835=1,"",E3834)</f>
        <v>15.6</v>
      </c>
      <c r="P3835" s="56" t="n">
        <f aca="false">IF(OR(D3835=1,K3834=""),"",K3834)</f>
        <v>1003.1</v>
      </c>
      <c r="Q3835" s="56" t="n">
        <f aca="false">IF(OR(F3835&lt;&gt;0,AND(I3835&lt;&gt;"",E3835&lt;I3835)),1,0)</f>
        <v>0</v>
      </c>
      <c r="R3835" s="56" t="n">
        <f aca="false">IF(AND(D3835&gt;1,Q3835=0,ISNUMBER(O3835),ISNUMBER(P3835)),IF(Q3834=0,1,0),0)</f>
        <v>1</v>
      </c>
      <c r="S3835" s="56" t="n">
        <f aca="false">R3835*(B3835&gt;=Train_Start)*(B3835&lt;=Train_End)</f>
        <v>0</v>
      </c>
      <c r="T3835" s="84" t="n">
        <f aca="false">IF(AND(ISNUMBER(O3835),ISNUMBER(P3835)),Coef_A+Coef_B1*O3835+Coef_B2*P3835,"")</f>
        <v>16.3358081408159</v>
      </c>
      <c r="U3835" s="84" t="n">
        <f aca="false">IF(AND(R3835=1,ISNUMBER(T3835)),E3835-T3835,"")</f>
        <v>3.16419185918409</v>
      </c>
      <c r="V3835" s="84" t="n">
        <f aca="false">IF(ISNUMBER(T3835),T3835,-99)</f>
        <v>16.3358081408159</v>
      </c>
      <c r="W3835" s="84" t="n">
        <f aca="false">IF(ISNUMBER(U3835),ABS(U3835),"")</f>
        <v>3.16419185918409</v>
      </c>
    </row>
    <row r="3836" customFormat="false" ht="15" hidden="false" customHeight="false" outlineLevel="0" collapsed="false">
      <c r="A3836" s="57" t="n">
        <v>38117</v>
      </c>
      <c r="B3836" s="56" t="n">
        <v>2004</v>
      </c>
      <c r="C3836" s="56" t="n">
        <v>5</v>
      </c>
      <c r="D3836" s="56" t="n">
        <v>10</v>
      </c>
      <c r="E3836" s="56" t="n">
        <v>15.7</v>
      </c>
      <c r="F3836" s="56" t="n">
        <v>1</v>
      </c>
      <c r="G3836" s="56" t="n">
        <v>12.6</v>
      </c>
      <c r="H3836" s="56" t="n">
        <v>0</v>
      </c>
      <c r="I3836" s="56" t="n">
        <v>16</v>
      </c>
      <c r="J3836" s="56" t="n">
        <v>1</v>
      </c>
      <c r="K3836" s="56" t="n">
        <v>1013.3</v>
      </c>
      <c r="L3836" s="56" t="n">
        <v>0</v>
      </c>
      <c r="M3836" s="56" t="n">
        <v>78</v>
      </c>
      <c r="N3836" s="56" t="n">
        <v>7.7</v>
      </c>
      <c r="O3836" s="56" t="n">
        <f aca="false">IF(D3836=1,"",E3835)</f>
        <v>19.5</v>
      </c>
      <c r="P3836" s="56" t="n">
        <f aca="false">IF(OR(D3836=1,K3835=""),"",K3835)</f>
        <v>1008</v>
      </c>
      <c r="Q3836" s="56" t="n">
        <f aca="false">IF(OR(F3836&lt;&gt;0,AND(I3836&lt;&gt;"",E3836&lt;I3836)),1,0)</f>
        <v>1</v>
      </c>
      <c r="R3836" s="56" t="n">
        <f aca="false">IF(AND(D3836&gt;1,Q3836=0,ISNUMBER(O3836),ISNUMBER(P3836)),IF(Q3835=0,1,0),0)</f>
        <v>0</v>
      </c>
      <c r="S3836" s="56" t="n">
        <f aca="false">R3836*(B3836&gt;=Train_Start)*(B3836&lt;=Train_End)</f>
        <v>0</v>
      </c>
      <c r="T3836" s="84" t="n">
        <f aca="false">IF(AND(ISNUMBER(O3836),ISNUMBER(P3836)),Coef_A+Coef_B1*O3836+Coef_B2*P3836,"")</f>
        <v>19.6849434773888</v>
      </c>
      <c r="U3836" s="84" t="str">
        <f aca="false">IF(AND(R3836=1,ISNUMBER(T3836)),E3836-T3836,"")</f>
        <v/>
      </c>
      <c r="V3836" s="84" t="n">
        <f aca="false">IF(ISNUMBER(T3836),T3836,-99)</f>
        <v>19.6849434773888</v>
      </c>
      <c r="W3836" s="84" t="str">
        <f aca="false">IF(ISNUMBER(U3836),ABS(U3836),"")</f>
        <v/>
      </c>
    </row>
    <row r="3837" customFormat="false" ht="15" hidden="false" customHeight="false" outlineLevel="0" collapsed="false">
      <c r="A3837" s="57" t="n">
        <v>38118</v>
      </c>
      <c r="B3837" s="56" t="n">
        <v>2004</v>
      </c>
      <c r="C3837" s="56" t="n">
        <v>5</v>
      </c>
      <c r="D3837" s="56" t="n">
        <v>11</v>
      </c>
      <c r="E3837" s="56" t="n">
        <v>13.6</v>
      </c>
      <c r="F3837" s="56" t="n">
        <v>0</v>
      </c>
      <c r="G3837" s="56" t="n">
        <v>10.3</v>
      </c>
      <c r="H3837" s="56" t="n">
        <v>0</v>
      </c>
      <c r="I3837" s="56" t="n">
        <v>13</v>
      </c>
      <c r="J3837" s="56" t="n">
        <v>0</v>
      </c>
      <c r="K3837" s="56" t="n">
        <v>1020.7</v>
      </c>
      <c r="L3837" s="56" t="n">
        <v>0</v>
      </c>
      <c r="M3837" s="56" t="n">
        <v>82</v>
      </c>
      <c r="N3837" s="56" t="n">
        <v>4.2</v>
      </c>
      <c r="O3837" s="56" t="n">
        <f aca="false">IF(D3837=1,"",E3836)</f>
        <v>15.7</v>
      </c>
      <c r="P3837" s="56" t="n">
        <f aca="false">IF(OR(D3837=1,K3836=""),"",K3836)</f>
        <v>1013.3</v>
      </c>
      <c r="Q3837" s="56" t="n">
        <f aca="false">IF(OR(F3837&lt;&gt;0,AND(I3837&lt;&gt;"",E3837&lt;I3837)),1,0)</f>
        <v>0</v>
      </c>
      <c r="R3837" s="56" t="n">
        <f aca="false">IF(AND(D3837&gt;1,Q3837=0,ISNUMBER(O3837),ISNUMBER(P3837)),IF(Q3836=0,1,0),0)</f>
        <v>0</v>
      </c>
      <c r="S3837" s="56" t="n">
        <f aca="false">R3837*(B3837&gt;=Train_Start)*(B3837&lt;=Train_End)</f>
        <v>0</v>
      </c>
      <c r="T3837" s="84" t="n">
        <f aca="false">IF(AND(ISNUMBER(O3837),ISNUMBER(P3837)),Coef_A+Coef_B1*O3837+Coef_B2*P3837,"")</f>
        <v>16.7377149853869</v>
      </c>
      <c r="U3837" s="84" t="str">
        <f aca="false">IF(AND(R3837=1,ISNUMBER(T3837)),E3837-T3837,"")</f>
        <v/>
      </c>
      <c r="V3837" s="84" t="n">
        <f aca="false">IF(ISNUMBER(T3837),T3837,-99)</f>
        <v>16.7377149853869</v>
      </c>
      <c r="W3837" s="84" t="str">
        <f aca="false">IF(ISNUMBER(U3837),ABS(U3837),"")</f>
        <v/>
      </c>
    </row>
    <row r="3838" customFormat="false" ht="15" hidden="false" customHeight="false" outlineLevel="0" collapsed="false">
      <c r="A3838" s="57" t="n">
        <v>38119</v>
      </c>
      <c r="B3838" s="56" t="n">
        <v>2004</v>
      </c>
      <c r="C3838" s="56" t="n">
        <v>5</v>
      </c>
      <c r="D3838" s="56" t="n">
        <v>12</v>
      </c>
      <c r="E3838" s="56" t="n">
        <v>18</v>
      </c>
      <c r="F3838" s="56" t="n">
        <v>0</v>
      </c>
      <c r="G3838" s="56" t="n">
        <v>8.6</v>
      </c>
      <c r="H3838" s="56" t="n">
        <v>0</v>
      </c>
      <c r="I3838" s="56" t="n">
        <v>11.1</v>
      </c>
      <c r="J3838" s="56" t="n">
        <v>0</v>
      </c>
      <c r="K3838" s="56" t="n">
        <v>1023.9</v>
      </c>
      <c r="L3838" s="56" t="n">
        <v>0</v>
      </c>
      <c r="M3838" s="56" t="n">
        <v>76</v>
      </c>
      <c r="N3838" s="56" t="n">
        <v>0</v>
      </c>
      <c r="O3838" s="56" t="n">
        <f aca="false">IF(D3838=1,"",E3837)</f>
        <v>13.6</v>
      </c>
      <c r="P3838" s="56" t="n">
        <f aca="false">IF(OR(D3838=1,K3837=""),"",K3837)</f>
        <v>1020.7</v>
      </c>
      <c r="Q3838" s="56" t="n">
        <f aca="false">IF(OR(F3838&lt;&gt;0,AND(I3838&lt;&gt;"",E3838&lt;I3838)),1,0)</f>
        <v>0</v>
      </c>
      <c r="R3838" s="56" t="n">
        <f aca="false">IF(AND(D3838&gt;1,Q3838=0,ISNUMBER(O3838),ISNUMBER(P3838)),IF(Q3837=0,1,0),0)</f>
        <v>1</v>
      </c>
      <c r="S3838" s="56" t="n">
        <f aca="false">R3838*(B3838&gt;=Train_Start)*(B3838&lt;=Train_End)</f>
        <v>0</v>
      </c>
      <c r="T3838" s="84" t="n">
        <f aca="false">IF(AND(ISNUMBER(O3838),ISNUMBER(P3838)),Coef_A+Coef_B1*O3838+Coef_B2*P3838,"")</f>
        <v>15.2492399002888</v>
      </c>
      <c r="U3838" s="84" t="n">
        <f aca="false">IF(AND(R3838=1,ISNUMBER(T3838)),E3838-T3838,"")</f>
        <v>2.75076009971118</v>
      </c>
      <c r="V3838" s="84" t="n">
        <f aca="false">IF(ISNUMBER(T3838),T3838,-99)</f>
        <v>15.2492399002888</v>
      </c>
      <c r="W3838" s="84" t="n">
        <f aca="false">IF(ISNUMBER(U3838),ABS(U3838),"")</f>
        <v>2.75076009971118</v>
      </c>
    </row>
    <row r="3839" customFormat="false" ht="15" hidden="false" customHeight="false" outlineLevel="0" collapsed="false">
      <c r="A3839" s="57" t="n">
        <v>38120</v>
      </c>
      <c r="B3839" s="56" t="n">
        <v>2004</v>
      </c>
      <c r="C3839" s="56" t="n">
        <v>5</v>
      </c>
      <c r="D3839" s="56" t="n">
        <v>13</v>
      </c>
      <c r="E3839" s="56" t="n">
        <v>20.3</v>
      </c>
      <c r="F3839" s="56" t="n">
        <v>0</v>
      </c>
      <c r="G3839" s="56" t="n">
        <v>8.5</v>
      </c>
      <c r="H3839" s="56" t="n">
        <v>0</v>
      </c>
      <c r="I3839" s="56" t="n">
        <v>13.2</v>
      </c>
      <c r="J3839" s="56" t="n">
        <v>0</v>
      </c>
      <c r="K3839" s="56" t="n">
        <v>1023</v>
      </c>
      <c r="L3839" s="56" t="n">
        <v>0</v>
      </c>
      <c r="M3839" s="56" t="n">
        <v>65</v>
      </c>
      <c r="N3839" s="56" t="n">
        <v>5.2</v>
      </c>
      <c r="O3839" s="56" t="n">
        <f aca="false">IF(D3839=1,"",E3838)</f>
        <v>18</v>
      </c>
      <c r="P3839" s="56" t="n">
        <f aca="false">IF(OR(D3839=1,K3838=""),"",K3838)</f>
        <v>1023.9</v>
      </c>
      <c r="Q3839" s="56" t="n">
        <f aca="false">IF(OR(F3839&lt;&gt;0,AND(I3839&lt;&gt;"",E3839&lt;I3839)),1,0)</f>
        <v>0</v>
      </c>
      <c r="R3839" s="56" t="n">
        <f aca="false">IF(AND(D3839&gt;1,Q3839=0,ISNUMBER(O3839),ISNUMBER(P3839)),IF(Q3838=0,1,0),0)</f>
        <v>1</v>
      </c>
      <c r="S3839" s="56" t="n">
        <f aca="false">R3839*(B3839&gt;=Train_Start)*(B3839&lt;=Train_End)</f>
        <v>0</v>
      </c>
      <c r="T3839" s="84" t="n">
        <f aca="false">IF(AND(ISNUMBER(O3839),ISNUMBER(P3839)),Coef_A+Coef_B1*O3839+Coef_B2*P3839,"")</f>
        <v>18.9547160125053</v>
      </c>
      <c r="U3839" s="84" t="n">
        <f aca="false">IF(AND(R3839=1,ISNUMBER(T3839)),E3839-T3839,"")</f>
        <v>1.34528398749473</v>
      </c>
      <c r="V3839" s="84" t="n">
        <f aca="false">IF(ISNUMBER(T3839),T3839,-99)</f>
        <v>18.9547160125053</v>
      </c>
      <c r="W3839" s="84" t="n">
        <f aca="false">IF(ISNUMBER(U3839),ABS(U3839),"")</f>
        <v>1.34528398749473</v>
      </c>
    </row>
    <row r="3840" customFormat="false" ht="15" hidden="false" customHeight="false" outlineLevel="0" collapsed="false">
      <c r="A3840" s="57" t="n">
        <v>38121</v>
      </c>
      <c r="B3840" s="56" t="n">
        <v>2004</v>
      </c>
      <c r="C3840" s="56" t="n">
        <v>5</v>
      </c>
      <c r="D3840" s="56" t="n">
        <v>14</v>
      </c>
      <c r="E3840" s="56" t="n">
        <v>21.9</v>
      </c>
      <c r="F3840" s="56" t="n">
        <v>0</v>
      </c>
      <c r="G3840" s="56" t="n">
        <v>8.4</v>
      </c>
      <c r="H3840" s="56" t="n">
        <v>0</v>
      </c>
      <c r="I3840" s="56" t="n">
        <v>14.4</v>
      </c>
      <c r="J3840" s="56" t="n">
        <v>0</v>
      </c>
      <c r="K3840" s="56" t="n">
        <v>1025</v>
      </c>
      <c r="L3840" s="56" t="n">
        <v>0</v>
      </c>
      <c r="M3840" s="56" t="n">
        <v>71</v>
      </c>
      <c r="N3840" s="56" t="n">
        <v>9.9</v>
      </c>
      <c r="O3840" s="56" t="n">
        <f aca="false">IF(D3840=1,"",E3839)</f>
        <v>20.3</v>
      </c>
      <c r="P3840" s="56" t="n">
        <f aca="false">IF(OR(D3840=1,K3839=""),"",K3839)</f>
        <v>1023</v>
      </c>
      <c r="Q3840" s="56" t="n">
        <f aca="false">IF(OR(F3840&lt;&gt;0,AND(I3840&lt;&gt;"",E3840&lt;I3840)),1,0)</f>
        <v>0</v>
      </c>
      <c r="R3840" s="56" t="n">
        <f aca="false">IF(AND(D3840&gt;1,Q3840=0,ISNUMBER(O3840),ISNUMBER(P3840)),IF(Q3839=0,1,0),0)</f>
        <v>1</v>
      </c>
      <c r="S3840" s="56" t="n">
        <f aca="false">R3840*(B3840&gt;=Train_Start)*(B3840&lt;=Train_End)</f>
        <v>0</v>
      </c>
      <c r="T3840" s="84" t="n">
        <f aca="false">IF(AND(ISNUMBER(O3840),ISNUMBER(P3840)),Coef_A+Coef_B1*O3840+Coef_B2*P3840,"")</f>
        <v>20.8109632513328</v>
      </c>
      <c r="U3840" s="84" t="n">
        <f aca="false">IF(AND(R3840=1,ISNUMBER(T3840)),E3840-T3840,"")</f>
        <v>1.0890367486672</v>
      </c>
      <c r="V3840" s="84" t="n">
        <f aca="false">IF(ISNUMBER(T3840),T3840,-99)</f>
        <v>20.8109632513328</v>
      </c>
      <c r="W3840" s="84" t="n">
        <f aca="false">IF(ISNUMBER(U3840),ABS(U3840),"")</f>
        <v>1.0890367486672</v>
      </c>
    </row>
    <row r="3841" customFormat="false" ht="15" hidden="false" customHeight="false" outlineLevel="0" collapsed="false">
      <c r="A3841" s="57" t="n">
        <v>38122</v>
      </c>
      <c r="B3841" s="56" t="n">
        <v>2004</v>
      </c>
      <c r="C3841" s="56" t="n">
        <v>5</v>
      </c>
      <c r="D3841" s="56" t="n">
        <v>15</v>
      </c>
      <c r="E3841" s="56" t="n">
        <v>22.6</v>
      </c>
      <c r="F3841" s="56" t="n">
        <v>0</v>
      </c>
      <c r="G3841" s="56" t="n">
        <v>11.1</v>
      </c>
      <c r="H3841" s="56" t="n">
        <v>0</v>
      </c>
      <c r="I3841" s="56" t="n">
        <v>16.5</v>
      </c>
      <c r="J3841" s="56" t="n">
        <v>0</v>
      </c>
      <c r="K3841" s="56" t="n">
        <v>1029.5</v>
      </c>
      <c r="L3841" s="56" t="n">
        <v>0</v>
      </c>
      <c r="M3841" s="56" t="n">
        <v>70</v>
      </c>
      <c r="N3841" s="56" t="n">
        <v>11.1</v>
      </c>
      <c r="O3841" s="56" t="n">
        <f aca="false">IF(D3841=1,"",E3840)</f>
        <v>21.9</v>
      </c>
      <c r="P3841" s="56" t="n">
        <f aca="false">IF(OR(D3841=1,K3840=""),"",K3840)</f>
        <v>1025</v>
      </c>
      <c r="Q3841" s="56" t="n">
        <f aca="false">IF(OR(F3841&lt;&gt;0,AND(I3841&lt;&gt;"",E3841&lt;I3841)),1,0)</f>
        <v>0</v>
      </c>
      <c r="R3841" s="56" t="n">
        <f aca="false">IF(AND(D3841&gt;1,Q3841=0,ISNUMBER(O3841),ISNUMBER(P3841)),IF(Q3840=0,1,0),0)</f>
        <v>1</v>
      </c>
      <c r="S3841" s="56" t="n">
        <f aca="false">R3841*(B3841&gt;=Train_Start)*(B3841&lt;=Train_End)</f>
        <v>0</v>
      </c>
      <c r="T3841" s="84" t="n">
        <f aca="false">IF(AND(ISNUMBER(O3841),ISNUMBER(P3841)),Coef_A+Coef_B1*O3841+Coef_B2*P3841,"")</f>
        <v>22.184645749469</v>
      </c>
      <c r="U3841" s="84" t="n">
        <f aca="false">IF(AND(R3841=1,ISNUMBER(T3841)),E3841-T3841,"")</f>
        <v>0.415354250530974</v>
      </c>
      <c r="V3841" s="84" t="n">
        <f aca="false">IF(ISNUMBER(T3841),T3841,-99)</f>
        <v>22.184645749469</v>
      </c>
      <c r="W3841" s="84" t="n">
        <f aca="false">IF(ISNUMBER(U3841),ABS(U3841),"")</f>
        <v>0.415354250530974</v>
      </c>
    </row>
    <row r="3842" customFormat="false" ht="15" hidden="false" customHeight="false" outlineLevel="0" collapsed="false">
      <c r="A3842" s="57" t="n">
        <v>38123</v>
      </c>
      <c r="B3842" s="56" t="n">
        <v>2004</v>
      </c>
      <c r="C3842" s="56" t="n">
        <v>5</v>
      </c>
      <c r="D3842" s="56" t="n">
        <v>16</v>
      </c>
      <c r="E3842" s="56" t="n">
        <v>24.5</v>
      </c>
      <c r="F3842" s="56" t="n">
        <v>0</v>
      </c>
      <c r="G3842" s="56" t="n">
        <v>12.3</v>
      </c>
      <c r="H3842" s="56" t="n">
        <v>0</v>
      </c>
      <c r="I3842" s="56" t="n">
        <v>17.4</v>
      </c>
      <c r="J3842" s="56" t="n">
        <v>0</v>
      </c>
      <c r="K3842" s="56" t="n">
        <v>1029.7</v>
      </c>
      <c r="L3842" s="56" t="n">
        <v>0</v>
      </c>
      <c r="M3842" s="56" t="n">
        <v>67</v>
      </c>
      <c r="N3842" s="56" t="n">
        <v>7.3</v>
      </c>
      <c r="O3842" s="56" t="n">
        <f aca="false">IF(D3842=1,"",E3841)</f>
        <v>22.6</v>
      </c>
      <c r="P3842" s="56" t="n">
        <f aca="false">IF(OR(D3842=1,K3841=""),"",K3841)</f>
        <v>1029.5</v>
      </c>
      <c r="Q3842" s="56" t="n">
        <f aca="false">IF(OR(F3842&lt;&gt;0,AND(I3842&lt;&gt;"",E3842&lt;I3842)),1,0)</f>
        <v>0</v>
      </c>
      <c r="R3842" s="56" t="n">
        <f aca="false">IF(AND(D3842&gt;1,Q3842=0,ISNUMBER(O3842),ISNUMBER(P3842)),IF(Q3841=0,1,0),0)</f>
        <v>1</v>
      </c>
      <c r="S3842" s="56" t="n">
        <f aca="false">R3842*(B3842&gt;=Train_Start)*(B3842&lt;=Train_End)</f>
        <v>0</v>
      </c>
      <c r="T3842" s="84" t="n">
        <f aca="false">IF(AND(ISNUMBER(O3842),ISNUMBER(P3842)),Coef_A+Coef_B1*O3842+Coef_B2*P3842,"")</f>
        <v>22.8993477104518</v>
      </c>
      <c r="U3842" s="84" t="n">
        <f aca="false">IF(AND(R3842=1,ISNUMBER(T3842)),E3842-T3842,"")</f>
        <v>1.60065228954816</v>
      </c>
      <c r="V3842" s="84" t="n">
        <f aca="false">IF(ISNUMBER(T3842),T3842,-99)</f>
        <v>22.8993477104518</v>
      </c>
      <c r="W3842" s="84" t="n">
        <f aca="false">IF(ISNUMBER(U3842),ABS(U3842),"")</f>
        <v>1.60065228954816</v>
      </c>
    </row>
    <row r="3843" customFormat="false" ht="15" hidden="false" customHeight="false" outlineLevel="0" collapsed="false">
      <c r="A3843" s="57" t="n">
        <v>38124</v>
      </c>
      <c r="B3843" s="56" t="n">
        <v>2004</v>
      </c>
      <c r="C3843" s="56" t="n">
        <v>5</v>
      </c>
      <c r="D3843" s="56" t="n">
        <v>17</v>
      </c>
      <c r="E3843" s="56" t="n">
        <v>23.3</v>
      </c>
      <c r="F3843" s="56" t="n">
        <v>0</v>
      </c>
      <c r="G3843" s="56" t="n">
        <v>10.6</v>
      </c>
      <c r="H3843" s="56" t="n">
        <v>0</v>
      </c>
      <c r="I3843" s="56" t="n">
        <v>17.6</v>
      </c>
      <c r="J3843" s="56" t="n">
        <v>0</v>
      </c>
      <c r="K3843" s="56" t="n">
        <v>1025.6</v>
      </c>
      <c r="L3843" s="56" t="n">
        <v>0</v>
      </c>
      <c r="M3843" s="56" t="n">
        <v>66</v>
      </c>
      <c r="N3843" s="56" t="n">
        <v>12.5</v>
      </c>
      <c r="O3843" s="56" t="n">
        <f aca="false">IF(D3843=1,"",E3842)</f>
        <v>24.5</v>
      </c>
      <c r="P3843" s="56" t="n">
        <f aca="false">IF(OR(D3843=1,K3842=""),"",K3842)</f>
        <v>1029.7</v>
      </c>
      <c r="Q3843" s="56" t="n">
        <f aca="false">IF(OR(F3843&lt;&gt;0,AND(I3843&lt;&gt;"",E3843&lt;I3843)),1,0)</f>
        <v>0</v>
      </c>
      <c r="R3843" s="56" t="n">
        <f aca="false">IF(AND(D3843&gt;1,Q3843=0,ISNUMBER(O3843),ISNUMBER(P3843)),IF(Q3842=0,1,0),0)</f>
        <v>1</v>
      </c>
      <c r="S3843" s="56" t="n">
        <f aca="false">R3843*(B3843&gt;=Train_Start)*(B3843&lt;=Train_End)</f>
        <v>0</v>
      </c>
      <c r="T3843" s="84" t="n">
        <f aca="false">IF(AND(ISNUMBER(O3843),ISNUMBER(P3843)),Coef_A+Coef_B1*O3843+Coef_B2*P3843,"")</f>
        <v>24.4623661561597</v>
      </c>
      <c r="U3843" s="84" t="n">
        <f aca="false">IF(AND(R3843=1,ISNUMBER(T3843)),E3843-T3843,"")</f>
        <v>-1.16236615615968</v>
      </c>
      <c r="V3843" s="84" t="n">
        <f aca="false">IF(ISNUMBER(T3843),T3843,-99)</f>
        <v>24.4623661561597</v>
      </c>
      <c r="W3843" s="84" t="n">
        <f aca="false">IF(ISNUMBER(U3843),ABS(U3843),"")</f>
        <v>1.16236615615968</v>
      </c>
    </row>
    <row r="3844" customFormat="false" ht="15" hidden="false" customHeight="false" outlineLevel="0" collapsed="false">
      <c r="A3844" s="57" t="n">
        <v>38125</v>
      </c>
      <c r="B3844" s="56" t="n">
        <v>2004</v>
      </c>
      <c r="C3844" s="56" t="n">
        <v>5</v>
      </c>
      <c r="D3844" s="56" t="n">
        <v>18</v>
      </c>
      <c r="E3844" s="56" t="n">
        <v>23.9</v>
      </c>
      <c r="F3844" s="56" t="n">
        <v>0</v>
      </c>
      <c r="G3844" s="56" t="n">
        <v>13.3</v>
      </c>
      <c r="H3844" s="56" t="n">
        <v>0</v>
      </c>
      <c r="I3844" s="56" t="n">
        <v>18.3</v>
      </c>
      <c r="J3844" s="56" t="n">
        <v>0</v>
      </c>
      <c r="K3844" s="56" t="n">
        <v>1025.2</v>
      </c>
      <c r="L3844" s="56" t="n">
        <v>0</v>
      </c>
      <c r="M3844" s="56" t="n">
        <v>62</v>
      </c>
      <c r="N3844" s="56" t="n">
        <v>13.5</v>
      </c>
      <c r="O3844" s="56" t="n">
        <f aca="false">IF(D3844=1,"",E3843)</f>
        <v>23.3</v>
      </c>
      <c r="P3844" s="56" t="n">
        <f aca="false">IF(OR(D3844=1,K3843=""),"",K3843)</f>
        <v>1025.6</v>
      </c>
      <c r="Q3844" s="56" t="n">
        <f aca="false">IF(OR(F3844&lt;&gt;0,AND(I3844&lt;&gt;"",E3844&lt;I3844)),1,0)</f>
        <v>0</v>
      </c>
      <c r="R3844" s="56" t="n">
        <f aca="false">IF(AND(D3844&gt;1,Q3844=0,ISNUMBER(O3844),ISNUMBER(P3844)),IF(Q3843=0,1,0),0)</f>
        <v>1</v>
      </c>
      <c r="S3844" s="56" t="n">
        <f aca="false">R3844*(B3844&gt;=Train_Start)*(B3844&lt;=Train_End)</f>
        <v>0</v>
      </c>
      <c r="T3844" s="84" t="n">
        <f aca="false">IF(AND(ISNUMBER(O3844),ISNUMBER(P3844)),Coef_A+Coef_B1*O3844+Coef_B2*P3844,"")</f>
        <v>23.3505425565091</v>
      </c>
      <c r="U3844" s="84" t="n">
        <f aca="false">IF(AND(R3844=1,ISNUMBER(T3844)),E3844-T3844,"")</f>
        <v>0.549457443490859</v>
      </c>
      <c r="V3844" s="84" t="n">
        <f aca="false">IF(ISNUMBER(T3844),T3844,-99)</f>
        <v>23.3505425565091</v>
      </c>
      <c r="W3844" s="84" t="n">
        <f aca="false">IF(ISNUMBER(U3844),ABS(U3844),"")</f>
        <v>0.549457443490859</v>
      </c>
    </row>
    <row r="3845" customFormat="false" ht="15" hidden="false" customHeight="false" outlineLevel="0" collapsed="false">
      <c r="A3845" s="57" t="n">
        <v>38126</v>
      </c>
      <c r="B3845" s="56" t="n">
        <v>2004</v>
      </c>
      <c r="C3845" s="56" t="n">
        <v>5</v>
      </c>
      <c r="D3845" s="56" t="n">
        <v>19</v>
      </c>
      <c r="E3845" s="56" t="n">
        <v>21.7</v>
      </c>
      <c r="F3845" s="56" t="n">
        <v>0</v>
      </c>
      <c r="G3845" s="56" t="n">
        <v>11.2</v>
      </c>
      <c r="H3845" s="56" t="n">
        <v>0</v>
      </c>
      <c r="I3845" s="56" t="n">
        <v>17.6</v>
      </c>
      <c r="J3845" s="56" t="n">
        <v>0</v>
      </c>
      <c r="K3845" s="56" t="n">
        <v>1023.8</v>
      </c>
      <c r="L3845" s="56" t="n">
        <v>0</v>
      </c>
      <c r="M3845" s="56" t="n">
        <v>64</v>
      </c>
      <c r="N3845" s="56" t="n">
        <v>14.2</v>
      </c>
      <c r="O3845" s="56" t="n">
        <f aca="false">IF(D3845=1,"",E3844)</f>
        <v>23.9</v>
      </c>
      <c r="P3845" s="56" t="n">
        <f aca="false">IF(OR(D3845=1,K3844=""),"",K3844)</f>
        <v>1025.2</v>
      </c>
      <c r="Q3845" s="56" t="n">
        <f aca="false">IF(OR(F3845&lt;&gt;0,AND(I3845&lt;&gt;"",E3845&lt;I3845)),1,0)</f>
        <v>0</v>
      </c>
      <c r="R3845" s="56" t="n">
        <f aca="false">IF(AND(D3845&gt;1,Q3845=0,ISNUMBER(O3845),ISNUMBER(P3845)),IF(Q3844=0,1,0),0)</f>
        <v>1</v>
      </c>
      <c r="S3845" s="56" t="n">
        <f aca="false">R3845*(B3845&gt;=Train_Start)*(B3845&lt;=Train_End)</f>
        <v>0</v>
      </c>
      <c r="T3845" s="84" t="n">
        <f aca="false">IF(AND(ISNUMBER(O3845),ISNUMBER(P3845)),Coef_A+Coef_B1*O3845+Coef_B2*P3845,"")</f>
        <v>23.8295981144811</v>
      </c>
      <c r="U3845" s="84" t="n">
        <f aca="false">IF(AND(R3845=1,ISNUMBER(T3845)),E3845-T3845,"")</f>
        <v>-2.12959811448114</v>
      </c>
      <c r="V3845" s="84" t="n">
        <f aca="false">IF(ISNUMBER(T3845),T3845,-99)</f>
        <v>23.8295981144811</v>
      </c>
      <c r="W3845" s="84" t="n">
        <f aca="false">IF(ISNUMBER(U3845),ABS(U3845),"")</f>
        <v>2.12959811448114</v>
      </c>
    </row>
    <row r="3846" customFormat="false" ht="15" hidden="false" customHeight="false" outlineLevel="0" collapsed="false">
      <c r="A3846" s="57" t="n">
        <v>38127</v>
      </c>
      <c r="B3846" s="56" t="n">
        <v>2004</v>
      </c>
      <c r="C3846" s="56" t="n">
        <v>5</v>
      </c>
      <c r="D3846" s="56" t="n">
        <v>20</v>
      </c>
      <c r="E3846" s="56" t="n">
        <v>15.3</v>
      </c>
      <c r="F3846" s="56" t="n">
        <v>1</v>
      </c>
      <c r="G3846" s="56" t="n">
        <v>14.7</v>
      </c>
      <c r="H3846" s="56" t="n">
        <v>0</v>
      </c>
      <c r="I3846" s="56" t="n">
        <v>18.2</v>
      </c>
      <c r="J3846" s="56" t="n">
        <v>1</v>
      </c>
      <c r="K3846" s="56" t="n">
        <v>1020.6</v>
      </c>
      <c r="L3846" s="56" t="n">
        <v>0</v>
      </c>
      <c r="M3846" s="56" t="n">
        <v>70</v>
      </c>
      <c r="N3846" s="56" t="n">
        <v>6.4</v>
      </c>
      <c r="O3846" s="56" t="n">
        <f aca="false">IF(D3846=1,"",E3845)</f>
        <v>21.7</v>
      </c>
      <c r="P3846" s="56" t="n">
        <f aca="false">IF(OR(D3846=1,K3845=""),"",K3845)</f>
        <v>1023.8</v>
      </c>
      <c r="Q3846" s="56" t="n">
        <f aca="false">IF(OR(F3846&lt;&gt;0,AND(I3846&lt;&gt;"",E3846&lt;I3846)),1,0)</f>
        <v>1</v>
      </c>
      <c r="R3846" s="56" t="n">
        <f aca="false">IF(AND(D3846&gt;1,Q3846=0,ISNUMBER(O3846),ISNUMBER(P3846)),IF(Q3845=0,1,0),0)</f>
        <v>0</v>
      </c>
      <c r="S3846" s="56" t="n">
        <f aca="false">R3846*(B3846&gt;=Train_Start)*(B3846&lt;=Train_End)</f>
        <v>0</v>
      </c>
      <c r="T3846" s="84" t="n">
        <f aca="false">IF(AND(ISNUMBER(O3846),ISNUMBER(P3846)),Coef_A+Coef_B1*O3846+Coef_B2*P3846,"")</f>
        <v>21.9831340372997</v>
      </c>
      <c r="U3846" s="84" t="str">
        <f aca="false">IF(AND(R3846=1,ISNUMBER(T3846)),E3846-T3846,"")</f>
        <v/>
      </c>
      <c r="V3846" s="84" t="n">
        <f aca="false">IF(ISNUMBER(T3846),T3846,-99)</f>
        <v>21.9831340372997</v>
      </c>
      <c r="W3846" s="84" t="str">
        <f aca="false">IF(ISNUMBER(U3846),ABS(U3846),"")</f>
        <v/>
      </c>
    </row>
    <row r="3847" customFormat="false" ht="15" hidden="false" customHeight="false" outlineLevel="0" collapsed="false">
      <c r="A3847" s="57" t="n">
        <v>38128</v>
      </c>
      <c r="B3847" s="56" t="n">
        <v>2004</v>
      </c>
      <c r="C3847" s="56" t="n">
        <v>5</v>
      </c>
      <c r="D3847" s="56" t="n">
        <v>21</v>
      </c>
      <c r="E3847" s="56" t="n">
        <v>15.8</v>
      </c>
      <c r="F3847" s="56" t="n">
        <v>0</v>
      </c>
      <c r="G3847" s="56" t="n">
        <v>9.2</v>
      </c>
      <c r="H3847" s="56" t="n">
        <v>0</v>
      </c>
      <c r="I3847" s="56" t="n">
        <v>12.2</v>
      </c>
      <c r="J3847" s="56" t="n">
        <v>0</v>
      </c>
      <c r="K3847" s="56" t="n">
        <v>1022.8</v>
      </c>
      <c r="L3847" s="56" t="n">
        <v>0</v>
      </c>
      <c r="M3847" s="56" t="n">
        <v>70</v>
      </c>
      <c r="N3847" s="56" t="n">
        <v>5.5</v>
      </c>
      <c r="O3847" s="56" t="n">
        <f aca="false">IF(D3847=1,"",E3846)</f>
        <v>15.3</v>
      </c>
      <c r="P3847" s="56" t="n">
        <f aca="false">IF(OR(D3847=1,K3846=""),"",K3846)</f>
        <v>1020.6</v>
      </c>
      <c r="Q3847" s="56" t="n">
        <f aca="false">IF(OR(F3847&lt;&gt;0,AND(I3847&lt;&gt;"",E3847&lt;I3847)),1,0)</f>
        <v>0</v>
      </c>
      <c r="R3847" s="56" t="n">
        <f aca="false">IF(AND(D3847&gt;1,Q3847=0,ISNUMBER(O3847),ISNUMBER(P3847)),IF(Q3846=0,1,0),0)</f>
        <v>0</v>
      </c>
      <c r="S3847" s="56" t="n">
        <f aca="false">R3847*(B3847&gt;=Train_Start)*(B3847&lt;=Train_End)</f>
        <v>0</v>
      </c>
      <c r="T3847" s="84" t="n">
        <f aca="false">IF(AND(ISNUMBER(O3847),ISNUMBER(P3847)),Coef_A+Coef_B1*O3847+Coef_B2*P3847,"")</f>
        <v>16.6389795389979</v>
      </c>
      <c r="U3847" s="84" t="str">
        <f aca="false">IF(AND(R3847=1,ISNUMBER(T3847)),E3847-T3847,"")</f>
        <v/>
      </c>
      <c r="V3847" s="84" t="n">
        <f aca="false">IF(ISNUMBER(T3847),T3847,-99)</f>
        <v>16.6389795389979</v>
      </c>
      <c r="W3847" s="84" t="str">
        <f aca="false">IF(ISNUMBER(U3847),ABS(U3847),"")</f>
        <v/>
      </c>
    </row>
    <row r="3848" customFormat="false" ht="15" hidden="false" customHeight="false" outlineLevel="0" collapsed="false">
      <c r="A3848" s="57" t="n">
        <v>38129</v>
      </c>
      <c r="B3848" s="56" t="n">
        <v>2004</v>
      </c>
      <c r="C3848" s="56" t="n">
        <v>5</v>
      </c>
      <c r="D3848" s="56" t="n">
        <v>22</v>
      </c>
      <c r="E3848" s="56" t="n">
        <v>18.9</v>
      </c>
      <c r="F3848" s="56" t="n">
        <v>0</v>
      </c>
      <c r="G3848" s="56" t="n">
        <v>5.3</v>
      </c>
      <c r="H3848" s="56" t="n">
        <v>0</v>
      </c>
      <c r="I3848" s="56" t="n">
        <v>10.6</v>
      </c>
      <c r="J3848" s="56" t="n">
        <v>0</v>
      </c>
      <c r="K3848" s="56" t="n">
        <v>1029.5</v>
      </c>
      <c r="L3848" s="56" t="n">
        <v>0</v>
      </c>
      <c r="M3848" s="56" t="n">
        <v>59</v>
      </c>
      <c r="N3848" s="56" t="n">
        <v>14.7</v>
      </c>
      <c r="O3848" s="56" t="n">
        <f aca="false">IF(D3848=1,"",E3847)</f>
        <v>15.8</v>
      </c>
      <c r="P3848" s="56" t="n">
        <f aca="false">IF(OR(D3848=1,K3847=""),"",K3847)</f>
        <v>1022.8</v>
      </c>
      <c r="Q3848" s="56" t="n">
        <f aca="false">IF(OR(F3848&lt;&gt;0,AND(I3848&lt;&gt;"",E3848&lt;I3848)),1,0)</f>
        <v>0</v>
      </c>
      <c r="R3848" s="56" t="n">
        <f aca="false">IF(AND(D3848&gt;1,Q3848=0,ISNUMBER(O3848),ISNUMBER(P3848)),IF(Q3847=0,1,0),0)</f>
        <v>1</v>
      </c>
      <c r="S3848" s="56" t="n">
        <f aca="false">R3848*(B3848&gt;=Train_Start)*(B3848&lt;=Train_End)</f>
        <v>0</v>
      </c>
      <c r="T3848" s="84" t="n">
        <f aca="false">IF(AND(ISNUMBER(O3848),ISNUMBER(P3848)),Coef_A+Coef_B1*O3848+Coef_B2*P3848,"")</f>
        <v>17.117662903714</v>
      </c>
      <c r="U3848" s="84" t="n">
        <f aca="false">IF(AND(R3848=1,ISNUMBER(T3848)),E3848-T3848,"")</f>
        <v>1.78233709628596</v>
      </c>
      <c r="V3848" s="84" t="n">
        <f aca="false">IF(ISNUMBER(T3848),T3848,-99)</f>
        <v>17.117662903714</v>
      </c>
      <c r="W3848" s="84" t="n">
        <f aca="false">IF(ISNUMBER(U3848),ABS(U3848),"")</f>
        <v>1.78233709628596</v>
      </c>
    </row>
    <row r="3849" customFormat="false" ht="15" hidden="false" customHeight="false" outlineLevel="0" collapsed="false">
      <c r="A3849" s="57" t="n">
        <v>38130</v>
      </c>
      <c r="B3849" s="56" t="n">
        <v>2004</v>
      </c>
      <c r="C3849" s="56" t="n">
        <v>5</v>
      </c>
      <c r="D3849" s="56" t="n">
        <v>23</v>
      </c>
      <c r="E3849" s="56" t="n">
        <v>20.4</v>
      </c>
      <c r="F3849" s="56" t="n">
        <v>0</v>
      </c>
      <c r="G3849" s="56" t="n">
        <v>6</v>
      </c>
      <c r="H3849" s="56" t="n">
        <v>0</v>
      </c>
      <c r="I3849" s="56" t="n">
        <v>12.4</v>
      </c>
      <c r="J3849" s="56" t="n">
        <v>0</v>
      </c>
      <c r="K3849" s="56" t="n">
        <v>1029.6</v>
      </c>
      <c r="L3849" s="56" t="n">
        <v>0</v>
      </c>
      <c r="M3849" s="56" t="n">
        <v>59</v>
      </c>
      <c r="N3849" s="56" t="n">
        <v>12.6</v>
      </c>
      <c r="O3849" s="56" t="n">
        <f aca="false">IF(D3849=1,"",E3848)</f>
        <v>18.9</v>
      </c>
      <c r="P3849" s="56" t="n">
        <f aca="false">IF(OR(D3849=1,K3848=""),"",K3848)</f>
        <v>1029.5</v>
      </c>
      <c r="Q3849" s="56" t="n">
        <f aca="false">IF(OR(F3849&lt;&gt;0,AND(I3849&lt;&gt;"",E3849&lt;I3849)),1,0)</f>
        <v>0</v>
      </c>
      <c r="R3849" s="56" t="n">
        <f aca="false">IF(AND(D3849&gt;1,Q3849=0,ISNUMBER(O3849),ISNUMBER(P3849)),IF(Q3848=0,1,0),0)</f>
        <v>1</v>
      </c>
      <c r="S3849" s="56" t="n">
        <f aca="false">R3849*(B3849&gt;=Train_Start)*(B3849&lt;=Train_End)</f>
        <v>0</v>
      </c>
      <c r="T3849" s="84" t="n">
        <f aca="false">IF(AND(ISNUMBER(O3849),ISNUMBER(P3849)),Coef_A+Coef_B1*O3849+Coef_B2*P3849,"")</f>
        <v>19.867792696194</v>
      </c>
      <c r="U3849" s="84" t="n">
        <f aca="false">IF(AND(R3849=1,ISNUMBER(T3849)),E3849-T3849,"")</f>
        <v>0.532207303805997</v>
      </c>
      <c r="V3849" s="84" t="n">
        <f aca="false">IF(ISNUMBER(T3849),T3849,-99)</f>
        <v>19.867792696194</v>
      </c>
      <c r="W3849" s="84" t="n">
        <f aca="false">IF(ISNUMBER(U3849),ABS(U3849),"")</f>
        <v>0.532207303805997</v>
      </c>
    </row>
    <row r="3850" customFormat="false" ht="15" hidden="false" customHeight="false" outlineLevel="0" collapsed="false">
      <c r="A3850" s="57" t="n">
        <v>38131</v>
      </c>
      <c r="B3850" s="56" t="n">
        <v>2004</v>
      </c>
      <c r="C3850" s="56" t="n">
        <v>5</v>
      </c>
      <c r="D3850" s="56" t="n">
        <v>24</v>
      </c>
      <c r="E3850" s="56" t="n">
        <v>19.6</v>
      </c>
      <c r="F3850" s="56" t="n">
        <v>0</v>
      </c>
      <c r="G3850" s="56" t="n">
        <v>8.3</v>
      </c>
      <c r="H3850" s="56" t="n">
        <v>0</v>
      </c>
      <c r="I3850" s="56" t="n">
        <v>14.4</v>
      </c>
      <c r="J3850" s="56" t="n">
        <v>0</v>
      </c>
      <c r="K3850" s="56" t="n">
        <v>1026.3</v>
      </c>
      <c r="L3850" s="56" t="n">
        <v>0</v>
      </c>
      <c r="M3850" s="56" t="n">
        <v>59</v>
      </c>
      <c r="N3850" s="56" t="n">
        <v>11.6</v>
      </c>
      <c r="O3850" s="56" t="n">
        <f aca="false">IF(D3850=1,"",E3849)</f>
        <v>20.4</v>
      </c>
      <c r="P3850" s="56" t="n">
        <f aca="false">IF(OR(D3850=1,K3849=""),"",K3849)</f>
        <v>1029.6</v>
      </c>
      <c r="Q3850" s="56" t="n">
        <f aca="false">IF(OR(F3850&lt;&gt;0,AND(I3850&lt;&gt;"",E3850&lt;I3850)),1,0)</f>
        <v>0</v>
      </c>
      <c r="R3850" s="56" t="n">
        <f aca="false">IF(AND(D3850&gt;1,Q3850=0,ISNUMBER(O3850),ISNUMBER(P3850)),IF(Q3849=0,1,0),0)</f>
        <v>1</v>
      </c>
      <c r="S3850" s="56" t="n">
        <f aca="false">R3850*(B3850&gt;=Train_Start)*(B3850&lt;=Train_End)</f>
        <v>0</v>
      </c>
      <c r="T3850" s="84" t="n">
        <f aca="false">IF(AND(ISNUMBER(O3850),ISNUMBER(P3850)),Coef_A+Coef_B1*O3850+Coef_B2*P3850,"")</f>
        <v>21.0999384752214</v>
      </c>
      <c r="U3850" s="84" t="n">
        <f aca="false">IF(AND(R3850=1,ISNUMBER(T3850)),E3850-T3850,"")</f>
        <v>-1.49993847522139</v>
      </c>
      <c r="V3850" s="84" t="n">
        <f aca="false">IF(ISNUMBER(T3850),T3850,-99)</f>
        <v>21.0999384752214</v>
      </c>
      <c r="W3850" s="84" t="n">
        <f aca="false">IF(ISNUMBER(U3850),ABS(U3850),"")</f>
        <v>1.49993847522139</v>
      </c>
    </row>
    <row r="3851" customFormat="false" ht="15" hidden="false" customHeight="false" outlineLevel="0" collapsed="false">
      <c r="A3851" s="57" t="n">
        <v>38132</v>
      </c>
      <c r="B3851" s="56" t="n">
        <v>2004</v>
      </c>
      <c r="C3851" s="56" t="n">
        <v>5</v>
      </c>
      <c r="D3851" s="56" t="n">
        <v>25</v>
      </c>
      <c r="E3851" s="56" t="n">
        <v>18.4</v>
      </c>
      <c r="F3851" s="56" t="n">
        <v>0</v>
      </c>
      <c r="G3851" s="56" t="n">
        <v>10.7</v>
      </c>
      <c r="H3851" s="56" t="n">
        <v>0</v>
      </c>
      <c r="I3851" s="56" t="n">
        <v>15.2</v>
      </c>
      <c r="J3851" s="56" t="n">
        <v>0</v>
      </c>
      <c r="K3851" s="56" t="n">
        <v>1022.6</v>
      </c>
      <c r="L3851" s="56" t="n">
        <v>0</v>
      </c>
      <c r="M3851" s="56" t="n">
        <v>58</v>
      </c>
      <c r="N3851" s="56" t="n">
        <v>6.8</v>
      </c>
      <c r="O3851" s="56" t="n">
        <f aca="false">IF(D3851=1,"",E3850)</f>
        <v>19.6</v>
      </c>
      <c r="P3851" s="56" t="n">
        <f aca="false">IF(OR(D3851=1,K3850=""),"",K3850)</f>
        <v>1026.3</v>
      </c>
      <c r="Q3851" s="56" t="n">
        <f aca="false">IF(OR(F3851&lt;&gt;0,AND(I3851&lt;&gt;"",E3851&lt;I3851)),1,0)</f>
        <v>0</v>
      </c>
      <c r="R3851" s="56" t="n">
        <f aca="false">IF(AND(D3851&gt;1,Q3851=0,ISNUMBER(O3851),ISNUMBER(P3851)),IF(Q3850=0,1,0),0)</f>
        <v>1</v>
      </c>
      <c r="S3851" s="56" t="n">
        <f aca="false">R3851*(B3851&gt;=Train_Start)*(B3851&lt;=Train_End)</f>
        <v>0</v>
      </c>
      <c r="T3851" s="84" t="n">
        <f aca="false">IF(AND(ISNUMBER(O3851),ISNUMBER(P3851)),Coef_A+Coef_B1*O3851+Coef_B2*P3851,"")</f>
        <v>20.3409464684951</v>
      </c>
      <c r="U3851" s="84" t="n">
        <f aca="false">IF(AND(R3851=1,ISNUMBER(T3851)),E3851-T3851,"")</f>
        <v>-1.9409464684951</v>
      </c>
      <c r="V3851" s="84" t="n">
        <f aca="false">IF(ISNUMBER(T3851),T3851,-99)</f>
        <v>20.3409464684951</v>
      </c>
      <c r="W3851" s="84" t="n">
        <f aca="false">IF(ISNUMBER(U3851),ABS(U3851),"")</f>
        <v>1.9409464684951</v>
      </c>
    </row>
    <row r="3852" customFormat="false" ht="15" hidden="false" customHeight="false" outlineLevel="0" collapsed="false">
      <c r="A3852" s="57" t="n">
        <v>38133</v>
      </c>
      <c r="B3852" s="56" t="n">
        <v>2004</v>
      </c>
      <c r="C3852" s="56" t="n">
        <v>5</v>
      </c>
      <c r="D3852" s="56" t="n">
        <v>26</v>
      </c>
      <c r="E3852" s="56" t="n">
        <v>17.7</v>
      </c>
      <c r="F3852" s="56" t="n">
        <v>0</v>
      </c>
      <c r="G3852" s="56" t="n">
        <v>11.1</v>
      </c>
      <c r="H3852" s="56" t="n">
        <v>0</v>
      </c>
      <c r="I3852" s="56" t="n">
        <v>14.8</v>
      </c>
      <c r="J3852" s="56" t="n">
        <v>0</v>
      </c>
      <c r="K3852" s="56" t="n">
        <v>1021.2</v>
      </c>
      <c r="L3852" s="56" t="n">
        <v>0</v>
      </c>
      <c r="M3852" s="56" t="n">
        <v>69</v>
      </c>
      <c r="N3852" s="56" t="n">
        <v>3.7</v>
      </c>
      <c r="O3852" s="56" t="n">
        <f aca="false">IF(D3852=1,"",E3851)</f>
        <v>18.4</v>
      </c>
      <c r="P3852" s="56" t="n">
        <f aca="false">IF(OR(D3852=1,K3851=""),"",K3851)</f>
        <v>1022.6</v>
      </c>
      <c r="Q3852" s="56" t="n">
        <f aca="false">IF(OR(F3852&lt;&gt;0,AND(I3852&lt;&gt;"",E3852&lt;I3852)),1,0)</f>
        <v>0</v>
      </c>
      <c r="R3852" s="56" t="n">
        <f aca="false">IF(AND(D3852&gt;1,Q3852=0,ISNUMBER(O3852),ISNUMBER(P3852)),IF(Q3851=0,1,0),0)</f>
        <v>1</v>
      </c>
      <c r="S3852" s="56" t="n">
        <f aca="false">R3852*(B3852&gt;=Train_Start)*(B3852&lt;=Train_End)</f>
        <v>0</v>
      </c>
      <c r="T3852" s="84" t="n">
        <f aca="false">IF(AND(ISNUMBER(O3852),ISNUMBER(P3852)),Coef_A+Coef_B1*O3852+Coef_B2*P3852,"")</f>
        <v>19.2416708266982</v>
      </c>
      <c r="U3852" s="84" t="n">
        <f aca="false">IF(AND(R3852=1,ISNUMBER(T3852)),E3852-T3852,"")</f>
        <v>-1.54167082669816</v>
      </c>
      <c r="V3852" s="84" t="n">
        <f aca="false">IF(ISNUMBER(T3852),T3852,-99)</f>
        <v>19.2416708266982</v>
      </c>
      <c r="W3852" s="84" t="n">
        <f aca="false">IF(ISNUMBER(U3852),ABS(U3852),"")</f>
        <v>1.54167082669816</v>
      </c>
    </row>
    <row r="3853" customFormat="false" ht="15" hidden="false" customHeight="false" outlineLevel="0" collapsed="false">
      <c r="A3853" s="57" t="n">
        <v>38134</v>
      </c>
      <c r="B3853" s="56" t="n">
        <v>2004</v>
      </c>
      <c r="C3853" s="56" t="n">
        <v>5</v>
      </c>
      <c r="D3853" s="56" t="n">
        <v>27</v>
      </c>
      <c r="E3853" s="56" t="n">
        <v>20.1</v>
      </c>
      <c r="F3853" s="56" t="n">
        <v>0</v>
      </c>
      <c r="G3853" s="56" t="n">
        <v>9.4</v>
      </c>
      <c r="H3853" s="56" t="n">
        <v>0</v>
      </c>
      <c r="I3853" s="56" t="n">
        <v>13.6</v>
      </c>
      <c r="J3853" s="56" t="n">
        <v>0</v>
      </c>
      <c r="K3853" s="56" t="n">
        <v>1024.3</v>
      </c>
      <c r="L3853" s="56" t="n">
        <v>0</v>
      </c>
      <c r="M3853" s="56" t="n">
        <v>67</v>
      </c>
      <c r="N3853" s="56" t="n">
        <v>5.8</v>
      </c>
      <c r="O3853" s="56" t="n">
        <f aca="false">IF(D3853=1,"",E3852)</f>
        <v>17.7</v>
      </c>
      <c r="P3853" s="56" t="n">
        <f aca="false">IF(OR(D3853=1,K3852=""),"",K3852)</f>
        <v>1021.2</v>
      </c>
      <c r="Q3853" s="56" t="n">
        <f aca="false">IF(OR(F3853&lt;&gt;0,AND(I3853&lt;&gt;"",E3853&lt;I3853)),1,0)</f>
        <v>0</v>
      </c>
      <c r="R3853" s="56" t="n">
        <f aca="false">IF(AND(D3853&gt;1,Q3853=0,ISNUMBER(O3853),ISNUMBER(P3853)),IF(Q3852=0,1,0),0)</f>
        <v>1</v>
      </c>
      <c r="S3853" s="56" t="n">
        <f aca="false">R3853*(B3853&gt;=Train_Start)*(B3853&lt;=Train_End)</f>
        <v>0</v>
      </c>
      <c r="T3853" s="84" t="n">
        <f aca="false">IF(AND(ISNUMBER(O3853),ISNUMBER(P3853)),Coef_A+Coef_B1*O3853+Coef_B2*P3853,"")</f>
        <v>18.6242155390807</v>
      </c>
      <c r="U3853" s="84" t="n">
        <f aca="false">IF(AND(R3853=1,ISNUMBER(T3853)),E3853-T3853,"")</f>
        <v>1.4757844609193</v>
      </c>
      <c r="V3853" s="84" t="n">
        <f aca="false">IF(ISNUMBER(T3853),T3853,-99)</f>
        <v>18.6242155390807</v>
      </c>
      <c r="W3853" s="84" t="n">
        <f aca="false">IF(ISNUMBER(U3853),ABS(U3853),"")</f>
        <v>1.4757844609193</v>
      </c>
    </row>
    <row r="3854" customFormat="false" ht="15" hidden="false" customHeight="false" outlineLevel="0" collapsed="false">
      <c r="A3854" s="57" t="n">
        <v>38135</v>
      </c>
      <c r="B3854" s="56" t="n">
        <v>2004</v>
      </c>
      <c r="C3854" s="56" t="n">
        <v>5</v>
      </c>
      <c r="D3854" s="56" t="n">
        <v>28</v>
      </c>
      <c r="E3854" s="56" t="n">
        <v>20.5</v>
      </c>
      <c r="F3854" s="56" t="n">
        <v>0</v>
      </c>
      <c r="G3854" s="56" t="n">
        <v>7.3</v>
      </c>
      <c r="H3854" s="56" t="n">
        <v>0</v>
      </c>
      <c r="I3854" s="56" t="n">
        <v>13.7</v>
      </c>
      <c r="J3854" s="56" t="n">
        <v>0</v>
      </c>
      <c r="K3854" s="56" t="n">
        <v>1024.3</v>
      </c>
      <c r="L3854" s="56" t="n">
        <v>0</v>
      </c>
      <c r="M3854" s="56" t="n">
        <v>56</v>
      </c>
      <c r="N3854" s="56" t="n">
        <v>6.4</v>
      </c>
      <c r="O3854" s="56" t="n">
        <f aca="false">IF(D3854=1,"",E3853)</f>
        <v>20.1</v>
      </c>
      <c r="P3854" s="56" t="n">
        <f aca="false">IF(OR(D3854=1,K3853=""),"",K3853)</f>
        <v>1024.3</v>
      </c>
      <c r="Q3854" s="56" t="n">
        <f aca="false">IF(OR(F3854&lt;&gt;0,AND(I3854&lt;&gt;"",E3854&lt;I3854)),1,0)</f>
        <v>0</v>
      </c>
      <c r="R3854" s="56" t="n">
        <f aca="false">IF(AND(D3854&gt;1,Q3854=0,ISNUMBER(O3854),ISNUMBER(P3854)),IF(Q3853=0,1,0),0)</f>
        <v>1</v>
      </c>
      <c r="S3854" s="56" t="n">
        <f aca="false">R3854*(B3854&gt;=Train_Start)*(B3854&lt;=Train_End)</f>
        <v>0</v>
      </c>
      <c r="T3854" s="84" t="n">
        <f aca="false">IF(AND(ISNUMBER(O3854),ISNUMBER(P3854)),Coef_A+Coef_B1*O3854+Coef_B2*P3854,"")</f>
        <v>20.6878762757484</v>
      </c>
      <c r="U3854" s="84" t="n">
        <f aca="false">IF(AND(R3854=1,ISNUMBER(T3854)),E3854-T3854,"")</f>
        <v>-0.187876275748447</v>
      </c>
      <c r="V3854" s="84" t="n">
        <f aca="false">IF(ISNUMBER(T3854),T3854,-99)</f>
        <v>20.6878762757484</v>
      </c>
      <c r="W3854" s="84" t="n">
        <f aca="false">IF(ISNUMBER(U3854),ABS(U3854),"")</f>
        <v>0.187876275748447</v>
      </c>
    </row>
    <row r="3855" customFormat="false" ht="15" hidden="false" customHeight="false" outlineLevel="0" collapsed="false">
      <c r="A3855" s="57" t="n">
        <v>38136</v>
      </c>
      <c r="B3855" s="56" t="n">
        <v>2004</v>
      </c>
      <c r="C3855" s="56" t="n">
        <v>5</v>
      </c>
      <c r="D3855" s="56" t="n">
        <v>29</v>
      </c>
      <c r="E3855" s="56" t="n">
        <v>18.7</v>
      </c>
      <c r="F3855" s="56" t="n">
        <v>0</v>
      </c>
      <c r="G3855" s="56" t="n">
        <v>14.5</v>
      </c>
      <c r="H3855" s="56" t="n">
        <v>0</v>
      </c>
      <c r="I3855" s="56" t="n">
        <v>17.5</v>
      </c>
      <c r="J3855" s="56" t="n">
        <v>0</v>
      </c>
      <c r="K3855" s="56" t="n">
        <v>1020.9</v>
      </c>
      <c r="L3855" s="56" t="n">
        <v>0</v>
      </c>
      <c r="M3855" s="56" t="n">
        <v>67</v>
      </c>
      <c r="N3855" s="56" t="n">
        <v>0.1</v>
      </c>
      <c r="O3855" s="56" t="n">
        <f aca="false">IF(D3855=1,"",E3854)</f>
        <v>20.5</v>
      </c>
      <c r="P3855" s="56" t="n">
        <f aca="false">IF(OR(D3855=1,K3854=""),"",K3854)</f>
        <v>1024.3</v>
      </c>
      <c r="Q3855" s="56" t="n">
        <f aca="false">IF(OR(F3855&lt;&gt;0,AND(I3855&lt;&gt;"",E3855&lt;I3855)),1,0)</f>
        <v>0</v>
      </c>
      <c r="R3855" s="56" t="n">
        <f aca="false">IF(AND(D3855&gt;1,Q3855=0,ISNUMBER(O3855),ISNUMBER(P3855)),IF(Q3854=0,1,0),0)</f>
        <v>1</v>
      </c>
      <c r="S3855" s="56" t="n">
        <f aca="false">R3855*(B3855&gt;=Train_Start)*(B3855&lt;=Train_End)</f>
        <v>0</v>
      </c>
      <c r="T3855" s="84" t="n">
        <f aca="false">IF(AND(ISNUMBER(O3855),ISNUMBER(P3855)),Coef_A+Coef_B1*O3855+Coef_B2*P3855,"")</f>
        <v>21.0156119529655</v>
      </c>
      <c r="U3855" s="84" t="n">
        <f aca="false">IF(AND(R3855=1,ISNUMBER(T3855)),E3855-T3855,"")</f>
        <v>-2.31561195296551</v>
      </c>
      <c r="V3855" s="84" t="n">
        <f aca="false">IF(ISNUMBER(T3855),T3855,-99)</f>
        <v>21.0156119529655</v>
      </c>
      <c r="W3855" s="84" t="n">
        <f aca="false">IF(ISNUMBER(U3855),ABS(U3855),"")</f>
        <v>2.31561195296551</v>
      </c>
    </row>
    <row r="3856" customFormat="false" ht="15" hidden="false" customHeight="false" outlineLevel="0" collapsed="false">
      <c r="A3856" s="57" t="n">
        <v>38137</v>
      </c>
      <c r="B3856" s="56" t="n">
        <v>2004</v>
      </c>
      <c r="C3856" s="56" t="n">
        <v>5</v>
      </c>
      <c r="D3856" s="56" t="n">
        <v>30</v>
      </c>
      <c r="E3856" s="56" t="n">
        <v>21.6</v>
      </c>
      <c r="F3856" s="56" t="n">
        <v>0</v>
      </c>
      <c r="G3856" s="56" t="n">
        <v>11.7</v>
      </c>
      <c r="H3856" s="56" t="n">
        <v>0</v>
      </c>
      <c r="I3856" s="56" t="n">
        <v>15.2</v>
      </c>
      <c r="J3856" s="56" t="n">
        <v>0</v>
      </c>
      <c r="K3856" s="56" t="n">
        <v>1019.4</v>
      </c>
      <c r="L3856" s="56" t="n">
        <v>0</v>
      </c>
      <c r="M3856" s="56" t="n">
        <v>71</v>
      </c>
      <c r="N3856" s="56" t="n">
        <v>5.5</v>
      </c>
      <c r="O3856" s="56" t="n">
        <f aca="false">IF(D3856=1,"",E3855)</f>
        <v>18.7</v>
      </c>
      <c r="P3856" s="56" t="n">
        <f aca="false">IF(OR(D3856=1,K3855=""),"",K3855)</f>
        <v>1020.9</v>
      </c>
      <c r="Q3856" s="56" t="n">
        <f aca="false">IF(OR(F3856&lt;&gt;0,AND(I3856&lt;&gt;"",E3856&lt;I3856)),1,0)</f>
        <v>0</v>
      </c>
      <c r="R3856" s="56" t="n">
        <f aca="false">IF(AND(D3856&gt;1,Q3856=0,ISNUMBER(O3856),ISNUMBER(P3856)),IF(Q3855=0,1,0),0)</f>
        <v>1</v>
      </c>
      <c r="S3856" s="56" t="n">
        <f aca="false">R3856*(B3856&gt;=Train_Start)*(B3856&lt;=Train_End)</f>
        <v>0</v>
      </c>
      <c r="T3856" s="84" t="n">
        <f aca="false">IF(AND(ISNUMBER(O3856),ISNUMBER(P3856)),Coef_A+Coef_B1*O3856+Coef_B2*P3856,"")</f>
        <v>19.4341437637332</v>
      </c>
      <c r="U3856" s="84" t="n">
        <f aca="false">IF(AND(R3856=1,ISNUMBER(T3856)),E3856-T3856,"")</f>
        <v>2.16585623626684</v>
      </c>
      <c r="V3856" s="84" t="n">
        <f aca="false">IF(ISNUMBER(T3856),T3856,-99)</f>
        <v>19.4341437637332</v>
      </c>
      <c r="W3856" s="84" t="n">
        <f aca="false">IF(ISNUMBER(U3856),ABS(U3856),"")</f>
        <v>2.16585623626684</v>
      </c>
    </row>
    <row r="3857" customFormat="false" ht="15" hidden="false" customHeight="false" outlineLevel="0" collapsed="false">
      <c r="A3857" s="57" t="n">
        <v>38138</v>
      </c>
      <c r="B3857" s="56" t="n">
        <v>2004</v>
      </c>
      <c r="C3857" s="56" t="n">
        <v>5</v>
      </c>
      <c r="D3857" s="56" t="n">
        <v>31</v>
      </c>
      <c r="E3857" s="56" t="n">
        <v>17</v>
      </c>
      <c r="F3857" s="56" t="n">
        <v>0</v>
      </c>
      <c r="G3857" s="56" t="n">
        <v>9</v>
      </c>
      <c r="H3857" s="56" t="n">
        <v>0</v>
      </c>
      <c r="I3857" s="56" t="n">
        <v>15.3</v>
      </c>
      <c r="J3857" s="56" t="n">
        <v>0</v>
      </c>
      <c r="K3857" s="56" t="n">
        <v>1017.8</v>
      </c>
      <c r="L3857" s="56" t="n">
        <v>0</v>
      </c>
      <c r="M3857" s="56" t="n">
        <v>68</v>
      </c>
      <c r="N3857" s="56" t="n">
        <v>10.7</v>
      </c>
      <c r="O3857" s="56" t="n">
        <f aca="false">IF(D3857=1,"",E3856)</f>
        <v>21.6</v>
      </c>
      <c r="P3857" s="56" t="n">
        <f aca="false">IF(OR(D3857=1,K3856=""),"",K3856)</f>
        <v>1019.4</v>
      </c>
      <c r="Q3857" s="56" t="n">
        <f aca="false">IF(OR(F3857&lt;&gt;0,AND(I3857&lt;&gt;"",E3857&lt;I3857)),1,0)</f>
        <v>0</v>
      </c>
      <c r="R3857" s="56" t="n">
        <f aca="false">IF(AND(D3857&gt;1,Q3857=0,ISNUMBER(O3857),ISNUMBER(P3857)),IF(Q3856=0,1,0),0)</f>
        <v>1</v>
      </c>
      <c r="S3857" s="56" t="n">
        <f aca="false">R3857*(B3857&gt;=Train_Start)*(B3857&lt;=Train_End)</f>
        <v>0</v>
      </c>
      <c r="T3857" s="84" t="n">
        <f aca="false">IF(AND(ISNUMBER(O3857),ISNUMBER(P3857)),Coef_A+Coef_B1*O3857+Coef_B2*P3857,"")</f>
        <v>21.7631725816059</v>
      </c>
      <c r="U3857" s="84" t="n">
        <f aca="false">IF(AND(R3857=1,ISNUMBER(T3857)),E3857-T3857,"")</f>
        <v>-4.76317258160589</v>
      </c>
      <c r="V3857" s="84" t="n">
        <f aca="false">IF(ISNUMBER(T3857),T3857,-99)</f>
        <v>21.7631725816059</v>
      </c>
      <c r="W3857" s="84" t="n">
        <f aca="false">IF(ISNUMBER(U3857),ABS(U3857),"")</f>
        <v>4.76317258160589</v>
      </c>
    </row>
    <row r="3858" customFormat="false" ht="15" hidden="false" customHeight="false" outlineLevel="0" collapsed="false">
      <c r="A3858" s="57" t="n">
        <v>38139</v>
      </c>
      <c r="B3858" s="56" t="n">
        <v>2004</v>
      </c>
      <c r="C3858" s="56" t="n">
        <v>6</v>
      </c>
      <c r="D3858" s="56" t="n">
        <v>32</v>
      </c>
      <c r="E3858" s="56" t="n">
        <v>20.5</v>
      </c>
      <c r="F3858" s="56" t="n">
        <v>0</v>
      </c>
      <c r="G3858" s="56" t="n">
        <v>12</v>
      </c>
      <c r="H3858" s="56" t="n">
        <v>0</v>
      </c>
      <c r="I3858" s="56" t="n">
        <v>14.5</v>
      </c>
      <c r="J3858" s="56" t="n">
        <v>0</v>
      </c>
      <c r="K3858" s="56" t="n">
        <v>1015.1</v>
      </c>
      <c r="L3858" s="56" t="n">
        <v>0</v>
      </c>
      <c r="M3858" s="56" t="n">
        <v>89</v>
      </c>
      <c r="N3858" s="56" t="n">
        <v>0</v>
      </c>
      <c r="O3858" s="56" t="n">
        <f aca="false">IF(D3858=1,"",E3857)</f>
        <v>17</v>
      </c>
      <c r="P3858" s="56" t="n">
        <f aca="false">IF(OR(D3858=1,K3857=""),"",K3857)</f>
        <v>1017.8</v>
      </c>
      <c r="Q3858" s="56" t="n">
        <f aca="false">IF(OR(F3858&lt;&gt;0,AND(I3858&lt;&gt;"",E3858&lt;I3858)),1,0)</f>
        <v>0</v>
      </c>
      <c r="R3858" s="56" t="n">
        <f aca="false">IF(AND(D3858&gt;1,Q3858=0,ISNUMBER(O3858),ISNUMBER(P3858)),IF(Q3857=0,1,0),0)</f>
        <v>1</v>
      </c>
      <c r="S3858" s="56" t="n">
        <f aca="false">R3858*(B3858&gt;=Train_Start)*(B3858&lt;=Train_End)</f>
        <v>0</v>
      </c>
      <c r="T3858" s="84" t="n">
        <f aca="false">IF(AND(ISNUMBER(O3858),ISNUMBER(P3858)),Coef_A+Coef_B1*O3858+Coef_B2*P3858,"")</f>
        <v>17.9440204621953</v>
      </c>
      <c r="U3858" s="84" t="n">
        <f aca="false">IF(AND(R3858=1,ISNUMBER(T3858)),E3858-T3858,"")</f>
        <v>2.55597953780472</v>
      </c>
      <c r="V3858" s="84" t="n">
        <f aca="false">IF(ISNUMBER(T3858),T3858,-99)</f>
        <v>17.9440204621953</v>
      </c>
      <c r="W3858" s="84" t="n">
        <f aca="false">IF(ISNUMBER(U3858),ABS(U3858),"")</f>
        <v>2.55597953780472</v>
      </c>
    </row>
    <row r="3859" customFormat="false" ht="15" hidden="false" customHeight="false" outlineLevel="0" collapsed="false">
      <c r="A3859" s="57" t="n">
        <v>38140</v>
      </c>
      <c r="B3859" s="56" t="n">
        <v>2004</v>
      </c>
      <c r="C3859" s="56" t="n">
        <v>6</v>
      </c>
      <c r="D3859" s="56" t="n">
        <v>33</v>
      </c>
      <c r="E3859" s="56" t="n">
        <v>20.6</v>
      </c>
      <c r="F3859" s="56" t="n">
        <v>0</v>
      </c>
      <c r="G3859" s="56" t="n">
        <v>11.3</v>
      </c>
      <c r="H3859" s="56" t="n">
        <v>0</v>
      </c>
      <c r="I3859" s="56" t="n">
        <v>15.9</v>
      </c>
      <c r="J3859" s="56" t="n">
        <v>0</v>
      </c>
      <c r="K3859" s="56" t="n">
        <v>1025.3</v>
      </c>
      <c r="L3859" s="56" t="n">
        <v>0</v>
      </c>
      <c r="M3859" s="56" t="n">
        <v>67</v>
      </c>
      <c r="N3859" s="56" t="n">
        <v>11.5</v>
      </c>
      <c r="O3859" s="56" t="n">
        <f aca="false">IF(D3859=1,"",E3858)</f>
        <v>20.5</v>
      </c>
      <c r="P3859" s="56" t="n">
        <f aca="false">IF(OR(D3859=1,K3858=""),"",K3858)</f>
        <v>1015.1</v>
      </c>
      <c r="Q3859" s="56" t="n">
        <f aca="false">IF(OR(F3859&lt;&gt;0,AND(I3859&lt;&gt;"",E3859&lt;I3859)),1,0)</f>
        <v>0</v>
      </c>
      <c r="R3859" s="56" t="n">
        <f aca="false">IF(AND(D3859&gt;1,Q3859=0,ISNUMBER(O3859),ISNUMBER(P3859)),IF(Q3858=0,1,0),0)</f>
        <v>1</v>
      </c>
      <c r="S3859" s="56" t="n">
        <f aca="false">R3859*(B3859&gt;=Train_Start)*(B3859&lt;=Train_End)</f>
        <v>0</v>
      </c>
      <c r="T3859" s="84" t="n">
        <f aca="false">IF(AND(ISNUMBER(O3859),ISNUMBER(P3859)),Coef_A+Coef_B1*O3859+Coef_B2*P3859,"")</f>
        <v>20.7270089223328</v>
      </c>
      <c r="U3859" s="84" t="n">
        <f aca="false">IF(AND(R3859=1,ISNUMBER(T3859)),E3859-T3859,"")</f>
        <v>-0.127008922332809</v>
      </c>
      <c r="V3859" s="84" t="n">
        <f aca="false">IF(ISNUMBER(T3859),T3859,-99)</f>
        <v>20.7270089223328</v>
      </c>
      <c r="W3859" s="84" t="n">
        <f aca="false">IF(ISNUMBER(U3859),ABS(U3859),"")</f>
        <v>0.127008922332809</v>
      </c>
    </row>
    <row r="3860" customFormat="false" ht="15" hidden="false" customHeight="false" outlineLevel="0" collapsed="false">
      <c r="A3860" s="57" t="n">
        <v>38141</v>
      </c>
      <c r="B3860" s="56" t="n">
        <v>2004</v>
      </c>
      <c r="C3860" s="56" t="n">
        <v>6</v>
      </c>
      <c r="D3860" s="56" t="n">
        <v>34</v>
      </c>
      <c r="E3860" s="56" t="n">
        <v>23.3</v>
      </c>
      <c r="F3860" s="56" t="n">
        <v>0</v>
      </c>
      <c r="G3860" s="56" t="n">
        <v>11.4</v>
      </c>
      <c r="H3860" s="56" t="n">
        <v>0</v>
      </c>
      <c r="I3860" s="56" t="n">
        <v>16</v>
      </c>
      <c r="J3860" s="56" t="n">
        <v>0</v>
      </c>
      <c r="K3860" s="56" t="n">
        <v>1028.2</v>
      </c>
      <c r="L3860" s="56" t="n">
        <v>0</v>
      </c>
      <c r="M3860" s="56" t="n">
        <v>66</v>
      </c>
      <c r="N3860" s="56" t="n">
        <v>5.1</v>
      </c>
      <c r="O3860" s="56" t="n">
        <f aca="false">IF(D3860=1,"",E3859)</f>
        <v>20.6</v>
      </c>
      <c r="P3860" s="56" t="n">
        <f aca="false">IF(OR(D3860=1,K3859=""),"",K3859)</f>
        <v>1025.3</v>
      </c>
      <c r="Q3860" s="56" t="n">
        <f aca="false">IF(OR(F3860&lt;&gt;0,AND(I3860&lt;&gt;"",E3860&lt;I3860)),1,0)</f>
        <v>0</v>
      </c>
      <c r="R3860" s="56" t="n">
        <f aca="false">IF(AND(D3860&gt;1,Q3860=0,ISNUMBER(O3860),ISNUMBER(P3860)),IF(Q3859=0,1,0),0)</f>
        <v>1</v>
      </c>
      <c r="S3860" s="56" t="n">
        <f aca="false">R3860*(B3860&gt;=Train_Start)*(B3860&lt;=Train_End)</f>
        <v>0</v>
      </c>
      <c r="T3860" s="84" t="n">
        <f aca="false">IF(AND(ISNUMBER(O3860),ISNUMBER(P3860)),Coef_A+Coef_B1*O3860+Coef_B2*P3860,"")</f>
        <v>21.1289157669038</v>
      </c>
      <c r="U3860" s="84" t="n">
        <f aca="false">IF(AND(R3860=1,ISNUMBER(T3860)),E3860-T3860,"")</f>
        <v>2.17108423309623</v>
      </c>
      <c r="V3860" s="84" t="n">
        <f aca="false">IF(ISNUMBER(T3860),T3860,-99)</f>
        <v>21.1289157669038</v>
      </c>
      <c r="W3860" s="84" t="n">
        <f aca="false">IF(ISNUMBER(U3860),ABS(U3860),"")</f>
        <v>2.17108423309623</v>
      </c>
    </row>
    <row r="3861" customFormat="false" ht="15" hidden="false" customHeight="false" outlineLevel="0" collapsed="false">
      <c r="A3861" s="57" t="n">
        <v>38142</v>
      </c>
      <c r="B3861" s="56" t="n">
        <v>2004</v>
      </c>
      <c r="C3861" s="56" t="n">
        <v>6</v>
      </c>
      <c r="D3861" s="56" t="n">
        <v>35</v>
      </c>
      <c r="E3861" s="56" t="n">
        <v>20.3</v>
      </c>
      <c r="F3861" s="56" t="n">
        <v>0</v>
      </c>
      <c r="G3861" s="56" t="n">
        <v>15.2</v>
      </c>
      <c r="H3861" s="56" t="n">
        <v>0</v>
      </c>
      <c r="I3861" s="56" t="n">
        <v>19.2</v>
      </c>
      <c r="J3861" s="56" t="n">
        <v>0</v>
      </c>
      <c r="K3861" s="56" t="n">
        <v>1021.5</v>
      </c>
      <c r="L3861" s="56" t="n">
        <v>0</v>
      </c>
      <c r="M3861" s="56" t="n">
        <v>71</v>
      </c>
      <c r="N3861" s="56" t="n">
        <v>6</v>
      </c>
      <c r="O3861" s="56" t="n">
        <f aca="false">IF(D3861=1,"",E3860)</f>
        <v>23.3</v>
      </c>
      <c r="P3861" s="56" t="n">
        <f aca="false">IF(OR(D3861=1,K3860=""),"",K3860)</f>
        <v>1028.2</v>
      </c>
      <c r="Q3861" s="56" t="n">
        <f aca="false">IF(OR(F3861&lt;&gt;0,AND(I3861&lt;&gt;"",E3861&lt;I3861)),1,0)</f>
        <v>0</v>
      </c>
      <c r="R3861" s="56" t="n">
        <f aca="false">IF(AND(D3861&gt;1,Q3861=0,ISNUMBER(O3861),ISNUMBER(P3861)),IF(Q3860=0,1,0),0)</f>
        <v>1</v>
      </c>
      <c r="S3861" s="56" t="n">
        <f aca="false">R3861*(B3861&gt;=Train_Start)*(B3861&lt;=Train_End)</f>
        <v>0</v>
      </c>
      <c r="T3861" s="84" t="n">
        <f aca="false">IF(AND(ISNUMBER(O3861),ISNUMBER(P3861)),Coef_A+Coef_B1*O3861+Coef_B2*P3861,"")</f>
        <v>23.4321042825575</v>
      </c>
      <c r="U3861" s="84" t="n">
        <f aca="false">IF(AND(R3861=1,ISNUMBER(T3861)),E3861-T3861,"")</f>
        <v>-3.13210428255752</v>
      </c>
      <c r="V3861" s="84" t="n">
        <f aca="false">IF(ISNUMBER(T3861),T3861,-99)</f>
        <v>23.4321042825575</v>
      </c>
      <c r="W3861" s="84" t="n">
        <f aca="false">IF(ISNUMBER(U3861),ABS(U3861),"")</f>
        <v>3.13210428255752</v>
      </c>
    </row>
    <row r="3862" customFormat="false" ht="15" hidden="false" customHeight="false" outlineLevel="0" collapsed="false">
      <c r="A3862" s="57" t="n">
        <v>38143</v>
      </c>
      <c r="B3862" s="56" t="n">
        <v>2004</v>
      </c>
      <c r="C3862" s="56" t="n">
        <v>6</v>
      </c>
      <c r="D3862" s="56" t="n">
        <v>36</v>
      </c>
      <c r="E3862" s="56" t="n">
        <v>24.4</v>
      </c>
      <c r="F3862" s="56" t="n">
        <v>0</v>
      </c>
      <c r="G3862" s="56" t="n">
        <v>15.9</v>
      </c>
      <c r="H3862" s="56" t="n">
        <v>0</v>
      </c>
      <c r="I3862" s="56" t="n">
        <v>18.1</v>
      </c>
      <c r="J3862" s="56" t="n">
        <v>0</v>
      </c>
      <c r="K3862" s="56" t="n">
        <v>1020.4</v>
      </c>
      <c r="L3862" s="56" t="n">
        <v>0</v>
      </c>
      <c r="M3862" s="56" t="n">
        <v>73</v>
      </c>
      <c r="N3862" s="56" t="n">
        <v>1.1</v>
      </c>
      <c r="O3862" s="56" t="n">
        <f aca="false">IF(D3862=1,"",E3861)</f>
        <v>20.3</v>
      </c>
      <c r="P3862" s="56" t="n">
        <f aca="false">IF(OR(D3862=1,K3861=""),"",K3861)</f>
        <v>1021.5</v>
      </c>
      <c r="Q3862" s="56" t="n">
        <f aca="false">IF(OR(F3862&lt;&gt;0,AND(I3862&lt;&gt;"",E3862&lt;I3862)),1,0)</f>
        <v>0</v>
      </c>
      <c r="R3862" s="56" t="n">
        <f aca="false">IF(AND(D3862&gt;1,Q3862=0,ISNUMBER(O3862),ISNUMBER(P3862)),IF(Q3861=0,1,0),0)</f>
        <v>1</v>
      </c>
      <c r="S3862" s="56" t="n">
        <f aca="false">R3862*(B3862&gt;=Train_Start)*(B3862&lt;=Train_End)</f>
        <v>0</v>
      </c>
      <c r="T3862" s="84" t="n">
        <f aca="false">IF(AND(ISNUMBER(O3862),ISNUMBER(P3862)),Coef_A+Coef_B1*O3862+Coef_B2*P3862,"")</f>
        <v>20.7639084093818</v>
      </c>
      <c r="U3862" s="84" t="n">
        <f aca="false">IF(AND(R3862=1,ISNUMBER(T3862)),E3862-T3862,"")</f>
        <v>3.63609159061819</v>
      </c>
      <c r="V3862" s="84" t="n">
        <f aca="false">IF(ISNUMBER(T3862),T3862,-99)</f>
        <v>20.7639084093818</v>
      </c>
      <c r="W3862" s="84" t="n">
        <f aca="false">IF(ISNUMBER(U3862),ABS(U3862),"")</f>
        <v>3.63609159061819</v>
      </c>
    </row>
    <row r="3863" customFormat="false" ht="15" hidden="false" customHeight="false" outlineLevel="0" collapsed="false">
      <c r="A3863" s="57" t="n">
        <v>38144</v>
      </c>
      <c r="B3863" s="56" t="n">
        <v>2004</v>
      </c>
      <c r="C3863" s="56" t="n">
        <v>6</v>
      </c>
      <c r="D3863" s="56" t="n">
        <v>37</v>
      </c>
      <c r="E3863" s="56" t="n">
        <v>27.7</v>
      </c>
      <c r="F3863" s="56" t="n">
        <v>0</v>
      </c>
      <c r="G3863" s="56" t="n">
        <v>14.3</v>
      </c>
      <c r="H3863" s="56" t="n">
        <v>0</v>
      </c>
      <c r="I3863" s="56" t="n">
        <v>19.4</v>
      </c>
      <c r="J3863" s="56" t="n">
        <v>0</v>
      </c>
      <c r="K3863" s="56" t="n">
        <v>1019.1</v>
      </c>
      <c r="L3863" s="56" t="n">
        <v>0</v>
      </c>
      <c r="M3863" s="56" t="n">
        <v>72</v>
      </c>
      <c r="N3863" s="56" t="n">
        <v>3.9</v>
      </c>
      <c r="O3863" s="56" t="n">
        <f aca="false">IF(D3863=1,"",E3862)</f>
        <v>24.4</v>
      </c>
      <c r="P3863" s="56" t="n">
        <f aca="false">IF(OR(D3863=1,K3862=""),"",K3862)</f>
        <v>1020.4</v>
      </c>
      <c r="Q3863" s="56" t="n">
        <f aca="false">IF(OR(F3863&lt;&gt;0,AND(I3863&lt;&gt;"",E3863&lt;I3863)),1,0)</f>
        <v>0</v>
      </c>
      <c r="R3863" s="56" t="n">
        <f aca="false">IF(AND(D3863&gt;1,Q3863=0,ISNUMBER(O3863),ISNUMBER(P3863)),IF(Q3862=0,1,0),0)</f>
        <v>1</v>
      </c>
      <c r="S3863" s="56" t="n">
        <f aca="false">R3863*(B3863&gt;=Train_Start)*(B3863&lt;=Train_End)</f>
        <v>0</v>
      </c>
      <c r="T3863" s="84" t="n">
        <f aca="false">IF(AND(ISNUMBER(O3863),ISNUMBER(P3863)),Coef_A+Coef_B1*O3863+Coef_B2*P3863,"")</f>
        <v>24.0886922167593</v>
      </c>
      <c r="U3863" s="84" t="n">
        <f aca="false">IF(AND(R3863=1,ISNUMBER(T3863)),E3863-T3863,"")</f>
        <v>3.61130778324068</v>
      </c>
      <c r="V3863" s="84" t="n">
        <f aca="false">IF(ISNUMBER(T3863),T3863,-99)</f>
        <v>24.0886922167593</v>
      </c>
      <c r="W3863" s="84" t="n">
        <f aca="false">IF(ISNUMBER(U3863),ABS(U3863),"")</f>
        <v>3.61130778324068</v>
      </c>
    </row>
    <row r="3864" customFormat="false" ht="15" hidden="false" customHeight="false" outlineLevel="0" collapsed="false">
      <c r="A3864" s="57" t="n">
        <v>38145</v>
      </c>
      <c r="B3864" s="56" t="n">
        <v>2004</v>
      </c>
      <c r="C3864" s="56" t="n">
        <v>6</v>
      </c>
      <c r="D3864" s="56" t="n">
        <v>38</v>
      </c>
      <c r="E3864" s="56" t="n">
        <v>30.5</v>
      </c>
      <c r="F3864" s="56" t="n">
        <v>0</v>
      </c>
      <c r="G3864" s="56" t="n">
        <v>14.3</v>
      </c>
      <c r="H3864" s="56" t="n">
        <v>0</v>
      </c>
      <c r="I3864" s="56" t="n">
        <v>21</v>
      </c>
      <c r="J3864" s="56" t="n">
        <v>0</v>
      </c>
      <c r="K3864" s="56" t="n">
        <v>1018.4</v>
      </c>
      <c r="L3864" s="56" t="n">
        <v>0</v>
      </c>
      <c r="M3864" s="56" t="n">
        <v>64</v>
      </c>
      <c r="N3864" s="56" t="n">
        <v>13.6</v>
      </c>
      <c r="O3864" s="56" t="n">
        <f aca="false">IF(D3864=1,"",E3863)</f>
        <v>27.7</v>
      </c>
      <c r="P3864" s="56" t="n">
        <f aca="false">IF(OR(D3864=1,K3863=""),"",K3863)</f>
        <v>1019.1</v>
      </c>
      <c r="Q3864" s="56" t="n">
        <f aca="false">IF(OR(F3864&lt;&gt;0,AND(I3864&lt;&gt;"",E3864&lt;I3864)),1,0)</f>
        <v>0</v>
      </c>
      <c r="R3864" s="56" t="n">
        <f aca="false">IF(AND(D3864&gt;1,Q3864=0,ISNUMBER(O3864),ISNUMBER(P3864)),IF(Q3863=0,1,0),0)</f>
        <v>1</v>
      </c>
      <c r="S3864" s="56" t="n">
        <f aca="false">R3864*(B3864&gt;=Train_Start)*(B3864&lt;=Train_End)</f>
        <v>0</v>
      </c>
      <c r="T3864" s="84" t="n">
        <f aca="false">IF(AND(ISNUMBER(O3864),ISNUMBER(P3864)),Coef_A+Coef_B1*O3864+Coef_B2*P3864,"")</f>
        <v>26.7517306907759</v>
      </c>
      <c r="U3864" s="84" t="n">
        <f aca="false">IF(AND(R3864=1,ISNUMBER(T3864)),E3864-T3864,"")</f>
        <v>3.7482693092241</v>
      </c>
      <c r="V3864" s="84" t="n">
        <f aca="false">IF(ISNUMBER(T3864),T3864,-99)</f>
        <v>26.7517306907759</v>
      </c>
      <c r="W3864" s="84" t="n">
        <f aca="false">IF(ISNUMBER(U3864),ABS(U3864),"")</f>
        <v>3.7482693092241</v>
      </c>
    </row>
    <row r="3865" customFormat="false" ht="15" hidden="false" customHeight="false" outlineLevel="0" collapsed="false">
      <c r="A3865" s="57" t="n">
        <v>38146</v>
      </c>
      <c r="B3865" s="56" t="n">
        <v>2004</v>
      </c>
      <c r="C3865" s="56" t="n">
        <v>6</v>
      </c>
      <c r="D3865" s="56" t="n">
        <v>39</v>
      </c>
      <c r="E3865" s="56" t="n">
        <v>24</v>
      </c>
      <c r="F3865" s="56" t="n">
        <v>0</v>
      </c>
      <c r="G3865" s="56" t="n">
        <v>16</v>
      </c>
      <c r="H3865" s="56" t="n">
        <v>0</v>
      </c>
      <c r="I3865" s="56" t="n">
        <v>23.2</v>
      </c>
      <c r="J3865" s="56" t="n">
        <v>0</v>
      </c>
      <c r="K3865" s="56" t="n">
        <v>1016.9</v>
      </c>
      <c r="L3865" s="56" t="n">
        <v>0</v>
      </c>
      <c r="M3865" s="56" t="n">
        <v>63</v>
      </c>
      <c r="N3865" s="56" t="n">
        <v>11.4</v>
      </c>
      <c r="O3865" s="56" t="n">
        <f aca="false">IF(D3865=1,"",E3864)</f>
        <v>30.5</v>
      </c>
      <c r="P3865" s="56" t="n">
        <f aca="false">IF(OR(D3865=1,K3864=""),"",K3864)</f>
        <v>1018.4</v>
      </c>
      <c r="Q3865" s="56" t="n">
        <f aca="false">IF(OR(F3865&lt;&gt;0,AND(I3865&lt;&gt;"",E3865&lt;I3865)),1,0)</f>
        <v>0</v>
      </c>
      <c r="R3865" s="56" t="n">
        <f aca="false">IF(AND(D3865&gt;1,Q3865=0,ISNUMBER(O3865),ISNUMBER(P3865)),IF(Q3864=0,1,0),0)</f>
        <v>1</v>
      </c>
      <c r="S3865" s="56" t="n">
        <f aca="false">R3865*(B3865&gt;=Train_Start)*(B3865&lt;=Train_End)</f>
        <v>0</v>
      </c>
      <c r="T3865" s="84" t="n">
        <f aca="false">IF(AND(ISNUMBER(O3865),ISNUMBER(P3865)),Coef_A+Coef_B1*O3865+Coef_B2*P3865,"")</f>
        <v>29.0239215050516</v>
      </c>
      <c r="U3865" s="84" t="n">
        <f aca="false">IF(AND(R3865=1,ISNUMBER(T3865)),E3865-T3865,"")</f>
        <v>-5.02392150505155</v>
      </c>
      <c r="V3865" s="84" t="n">
        <f aca="false">IF(ISNUMBER(T3865),T3865,-99)</f>
        <v>29.0239215050516</v>
      </c>
      <c r="W3865" s="84" t="n">
        <f aca="false">IF(ISNUMBER(U3865),ABS(U3865),"")</f>
        <v>5.02392150505155</v>
      </c>
    </row>
    <row r="3866" customFormat="false" ht="15" hidden="false" customHeight="false" outlineLevel="0" collapsed="false">
      <c r="A3866" s="57" t="n">
        <v>38147</v>
      </c>
      <c r="B3866" s="56" t="n">
        <v>2004</v>
      </c>
      <c r="C3866" s="56" t="n">
        <v>6</v>
      </c>
      <c r="D3866" s="56" t="n">
        <v>40</v>
      </c>
      <c r="E3866" s="56" t="n">
        <v>24.6</v>
      </c>
      <c r="F3866" s="56" t="n">
        <v>0</v>
      </c>
      <c r="G3866" s="56" t="n">
        <v>14.8</v>
      </c>
      <c r="H3866" s="56" t="n">
        <v>0</v>
      </c>
      <c r="I3866" s="56" t="n">
        <v>19.4</v>
      </c>
      <c r="J3866" s="56" t="n">
        <v>0</v>
      </c>
      <c r="K3866" s="56" t="n">
        <v>1019.3</v>
      </c>
      <c r="L3866" s="56" t="n">
        <v>0</v>
      </c>
      <c r="M3866" s="56" t="n">
        <v>71</v>
      </c>
      <c r="N3866" s="56" t="n">
        <v>5.4</v>
      </c>
      <c r="O3866" s="56" t="n">
        <f aca="false">IF(D3866=1,"",E3865)</f>
        <v>24</v>
      </c>
      <c r="P3866" s="56" t="n">
        <f aca="false">IF(OR(D3866=1,K3865=""),"",K3865)</f>
        <v>1016.9</v>
      </c>
      <c r="Q3866" s="56" t="n">
        <f aca="false">IF(OR(F3866&lt;&gt;0,AND(I3866&lt;&gt;"",E3866&lt;I3866)),1,0)</f>
        <v>0</v>
      </c>
      <c r="R3866" s="56" t="n">
        <f aca="false">IF(AND(D3866&gt;1,Q3866=0,ISNUMBER(O3866),ISNUMBER(P3866)),IF(Q3865=0,1,0),0)</f>
        <v>1</v>
      </c>
      <c r="S3866" s="56" t="n">
        <f aca="false">R3866*(B3866&gt;=Train_Start)*(B3866&lt;=Train_End)</f>
        <v>0</v>
      </c>
      <c r="T3866" s="84" t="n">
        <f aca="false">IF(AND(ISNUMBER(O3866),ISNUMBER(P3866)),Coef_A+Coef_B1*O3866+Coef_B2*P3866,"")</f>
        <v>23.6511619083233</v>
      </c>
      <c r="U3866" s="84" t="n">
        <f aca="false">IF(AND(R3866=1,ISNUMBER(T3866)),E3866-T3866,"")</f>
        <v>0.948838091676709</v>
      </c>
      <c r="V3866" s="84" t="n">
        <f aca="false">IF(ISNUMBER(T3866),T3866,-99)</f>
        <v>23.6511619083233</v>
      </c>
      <c r="W3866" s="84" t="n">
        <f aca="false">IF(ISNUMBER(U3866),ABS(U3866),"")</f>
        <v>0.948838091676709</v>
      </c>
    </row>
    <row r="3867" customFormat="false" ht="15" hidden="false" customHeight="false" outlineLevel="0" collapsed="false">
      <c r="A3867" s="57" t="n">
        <v>38148</v>
      </c>
      <c r="B3867" s="56" t="n">
        <v>2004</v>
      </c>
      <c r="C3867" s="56" t="n">
        <v>6</v>
      </c>
      <c r="D3867" s="56" t="n">
        <v>41</v>
      </c>
      <c r="E3867" s="56" t="n">
        <v>22.1</v>
      </c>
      <c r="F3867" s="56" t="n">
        <v>0</v>
      </c>
      <c r="G3867" s="56" t="n">
        <v>14.7</v>
      </c>
      <c r="H3867" s="56" t="n">
        <v>0</v>
      </c>
      <c r="I3867" s="56" t="n">
        <v>19.6</v>
      </c>
      <c r="J3867" s="56" t="n">
        <v>0</v>
      </c>
      <c r="K3867" s="56" t="n">
        <v>1018.4</v>
      </c>
      <c r="L3867" s="56" t="n">
        <v>0</v>
      </c>
      <c r="M3867" s="56" t="n">
        <v>70</v>
      </c>
      <c r="N3867" s="56" t="n">
        <v>6.6</v>
      </c>
      <c r="O3867" s="56" t="n">
        <f aca="false">IF(D3867=1,"",E3866)</f>
        <v>24.6</v>
      </c>
      <c r="P3867" s="56" t="n">
        <f aca="false">IF(OR(D3867=1,K3866=""),"",K3866)</f>
        <v>1019.3</v>
      </c>
      <c r="Q3867" s="56" t="n">
        <f aca="false">IF(OR(F3867&lt;&gt;0,AND(I3867&lt;&gt;"",E3867&lt;I3867)),1,0)</f>
        <v>0</v>
      </c>
      <c r="R3867" s="56" t="n">
        <f aca="false">IF(AND(D3867&gt;1,Q3867=0,ISNUMBER(O3867),ISNUMBER(P3867)),IF(Q3866=0,1,0),0)</f>
        <v>1</v>
      </c>
      <c r="S3867" s="56" t="n">
        <f aca="false">R3867*(B3867&gt;=Train_Start)*(B3867&lt;=Train_End)</f>
        <v>0</v>
      </c>
      <c r="T3867" s="84" t="n">
        <f aca="false">IF(AND(ISNUMBER(O3867),ISNUMBER(P3867)),Coef_A+Coef_B1*O3867+Coef_B2*P3867,"")</f>
        <v>24.2180531712705</v>
      </c>
      <c r="U3867" s="84" t="n">
        <f aca="false">IF(AND(R3867=1,ISNUMBER(T3867)),E3867-T3867,"")</f>
        <v>-2.11805317127046</v>
      </c>
      <c r="V3867" s="84" t="n">
        <f aca="false">IF(ISNUMBER(T3867),T3867,-99)</f>
        <v>24.2180531712705</v>
      </c>
      <c r="W3867" s="84" t="n">
        <f aca="false">IF(ISNUMBER(U3867),ABS(U3867),"")</f>
        <v>2.11805317127046</v>
      </c>
    </row>
    <row r="3868" customFormat="false" ht="15" hidden="false" customHeight="false" outlineLevel="0" collapsed="false">
      <c r="A3868" s="57" t="n">
        <v>38149</v>
      </c>
      <c r="B3868" s="56" t="n">
        <v>2004</v>
      </c>
      <c r="C3868" s="56" t="n">
        <v>6</v>
      </c>
      <c r="D3868" s="56" t="n">
        <v>42</v>
      </c>
      <c r="E3868" s="56" t="n">
        <v>21.7</v>
      </c>
      <c r="F3868" s="56" t="n">
        <v>0</v>
      </c>
      <c r="G3868" s="56" t="n">
        <v>13.5</v>
      </c>
      <c r="H3868" s="56" t="n">
        <v>0</v>
      </c>
      <c r="I3868" s="56" t="n">
        <v>17.8</v>
      </c>
      <c r="J3868" s="56" t="n">
        <v>0</v>
      </c>
      <c r="K3868" s="56" t="n">
        <v>1018.9</v>
      </c>
      <c r="L3868" s="56" t="n">
        <v>0</v>
      </c>
      <c r="M3868" s="56" t="n">
        <v>60</v>
      </c>
      <c r="N3868" s="56" t="n">
        <v>10.8</v>
      </c>
      <c r="O3868" s="56" t="n">
        <f aca="false">IF(D3868=1,"",E3867)</f>
        <v>22.1</v>
      </c>
      <c r="P3868" s="56" t="n">
        <f aca="false">IF(OR(D3868=1,K3867=""),"",K3867)</f>
        <v>1018.4</v>
      </c>
      <c r="Q3868" s="56" t="n">
        <f aca="false">IF(OR(F3868&lt;&gt;0,AND(I3868&lt;&gt;"",E3868&lt;I3868)),1,0)</f>
        <v>0</v>
      </c>
      <c r="R3868" s="56" t="n">
        <f aca="false">IF(AND(D3868&gt;1,Q3868=0,ISNUMBER(O3868),ISNUMBER(P3868)),IF(Q3867=0,1,0),0)</f>
        <v>1</v>
      </c>
      <c r="S3868" s="56" t="n">
        <f aca="false">R3868*(B3868&gt;=Train_Start)*(B3868&lt;=Train_End)</f>
        <v>0</v>
      </c>
      <c r="T3868" s="84" t="n">
        <f aca="false">IF(AND(ISNUMBER(O3868),ISNUMBER(P3868)),Coef_A+Coef_B1*O3868+Coef_B2*P3868,"")</f>
        <v>22.1414722834932</v>
      </c>
      <c r="U3868" s="84" t="n">
        <f aca="false">IF(AND(R3868=1,ISNUMBER(T3868)),E3868-T3868,"")</f>
        <v>-0.44147228349323</v>
      </c>
      <c r="V3868" s="84" t="n">
        <f aca="false">IF(ISNUMBER(T3868),T3868,-99)</f>
        <v>22.1414722834932</v>
      </c>
      <c r="W3868" s="84" t="n">
        <f aca="false">IF(ISNUMBER(U3868),ABS(U3868),"")</f>
        <v>0.44147228349323</v>
      </c>
    </row>
    <row r="3869" customFormat="false" ht="15" hidden="false" customHeight="false" outlineLevel="0" collapsed="false">
      <c r="A3869" s="57" t="n">
        <v>38150</v>
      </c>
      <c r="B3869" s="56" t="n">
        <v>2004</v>
      </c>
      <c r="C3869" s="56" t="n">
        <v>6</v>
      </c>
      <c r="D3869" s="56" t="n">
        <v>43</v>
      </c>
      <c r="E3869" s="56" t="n">
        <v>25.3</v>
      </c>
      <c r="F3869" s="56" t="n">
        <v>0</v>
      </c>
      <c r="G3869" s="56" t="n">
        <v>11.5</v>
      </c>
      <c r="H3869" s="56" t="n">
        <v>0</v>
      </c>
      <c r="I3869" s="56" t="n">
        <v>16.6</v>
      </c>
      <c r="J3869" s="56" t="n">
        <v>0</v>
      </c>
      <c r="K3869" s="56" t="n">
        <v>1023.9</v>
      </c>
      <c r="L3869" s="56" t="n">
        <v>0</v>
      </c>
      <c r="M3869" s="56" t="n">
        <v>63</v>
      </c>
      <c r="N3869" s="56" t="n">
        <v>7.7</v>
      </c>
      <c r="O3869" s="56" t="n">
        <f aca="false">IF(D3869=1,"",E3868)</f>
        <v>21.7</v>
      </c>
      <c r="P3869" s="56" t="n">
        <f aca="false">IF(OR(D3869=1,K3868=""),"",K3868)</f>
        <v>1018.9</v>
      </c>
      <c r="Q3869" s="56" t="n">
        <f aca="false">IF(OR(F3869&lt;&gt;0,AND(I3869&lt;&gt;"",E3869&lt;I3869)),1,0)</f>
        <v>0</v>
      </c>
      <c r="R3869" s="56" t="n">
        <f aca="false">IF(AND(D3869&gt;1,Q3869=0,ISNUMBER(O3869),ISNUMBER(P3869)),IF(Q3868=0,1,0),0)</f>
        <v>1</v>
      </c>
      <c r="S3869" s="56" t="n">
        <f aca="false">R3869*(B3869&gt;=Train_Start)*(B3869&lt;=Train_End)</f>
        <v>0</v>
      </c>
      <c r="T3869" s="84" t="n">
        <f aca="false">IF(AND(ISNUMBER(O3869),ISNUMBER(P3869)),Coef_A+Coef_B1*O3869+Coef_B2*P3869,"")</f>
        <v>21.8294215535932</v>
      </c>
      <c r="U3869" s="84" t="n">
        <f aca="false">IF(AND(R3869=1,ISNUMBER(T3869)),E3869-T3869,"")</f>
        <v>3.47057844640684</v>
      </c>
      <c r="V3869" s="84" t="n">
        <f aca="false">IF(ISNUMBER(T3869),T3869,-99)</f>
        <v>21.8294215535932</v>
      </c>
      <c r="W3869" s="84" t="n">
        <f aca="false">IF(ISNUMBER(U3869),ABS(U3869),"")</f>
        <v>3.47057844640684</v>
      </c>
    </row>
    <row r="3870" customFormat="false" ht="15" hidden="false" customHeight="false" outlineLevel="0" collapsed="false">
      <c r="A3870" s="57" t="n">
        <v>38151</v>
      </c>
      <c r="B3870" s="56" t="n">
        <v>2004</v>
      </c>
      <c r="C3870" s="56" t="n">
        <v>6</v>
      </c>
      <c r="D3870" s="56" t="n">
        <v>44</v>
      </c>
      <c r="E3870" s="56" t="n">
        <v>29</v>
      </c>
      <c r="F3870" s="56" t="n">
        <v>0</v>
      </c>
      <c r="G3870" s="56" t="n">
        <v>12</v>
      </c>
      <c r="H3870" s="56" t="n">
        <v>0</v>
      </c>
      <c r="I3870" s="56" t="n">
        <v>18.6</v>
      </c>
      <c r="J3870" s="56" t="n">
        <v>0</v>
      </c>
      <c r="K3870" s="56" t="n">
        <v>1031.7</v>
      </c>
      <c r="L3870" s="56" t="n">
        <v>0</v>
      </c>
      <c r="M3870" s="56" t="n">
        <v>57</v>
      </c>
      <c r="N3870" s="56" t="n">
        <v>15.2</v>
      </c>
      <c r="O3870" s="56" t="n">
        <f aca="false">IF(D3870=1,"",E3869)</f>
        <v>25.3</v>
      </c>
      <c r="P3870" s="56" t="n">
        <f aca="false">IF(OR(D3870=1,K3869=""),"",K3869)</f>
        <v>1023.9</v>
      </c>
      <c r="Q3870" s="56" t="n">
        <f aca="false">IF(OR(F3870&lt;&gt;0,AND(I3870&lt;&gt;"",E3870&lt;I3870)),1,0)</f>
        <v>0</v>
      </c>
      <c r="R3870" s="56" t="n">
        <f aca="false">IF(AND(D3870&gt;1,Q3870=0,ISNUMBER(O3870),ISNUMBER(P3870)),IF(Q3869=0,1,0),0)</f>
        <v>1</v>
      </c>
      <c r="S3870" s="56" t="n">
        <f aca="false">R3870*(B3870&gt;=Train_Start)*(B3870&lt;=Train_End)</f>
        <v>0</v>
      </c>
      <c r="T3870" s="84" t="n">
        <f aca="false">IF(AND(ISNUMBER(O3870),ISNUMBER(P3870)),Coef_A+Coef_B1*O3870+Coef_B2*P3870,"")</f>
        <v>24.9358921217167</v>
      </c>
      <c r="U3870" s="84" t="n">
        <f aca="false">IF(AND(R3870=1,ISNUMBER(T3870)),E3870-T3870,"")</f>
        <v>4.06410787828333</v>
      </c>
      <c r="V3870" s="84" t="n">
        <f aca="false">IF(ISNUMBER(T3870),T3870,-99)</f>
        <v>24.9358921217167</v>
      </c>
      <c r="W3870" s="84" t="n">
        <f aca="false">IF(ISNUMBER(U3870),ABS(U3870),"")</f>
        <v>4.06410787828333</v>
      </c>
    </row>
    <row r="3871" customFormat="false" ht="15" hidden="false" customHeight="false" outlineLevel="0" collapsed="false">
      <c r="A3871" s="57" t="n">
        <v>38152</v>
      </c>
      <c r="B3871" s="56" t="n">
        <v>2004</v>
      </c>
      <c r="C3871" s="56" t="n">
        <v>6</v>
      </c>
      <c r="D3871" s="56" t="n">
        <v>45</v>
      </c>
      <c r="E3871" s="56" t="n">
        <v>27</v>
      </c>
      <c r="F3871" s="56" t="n">
        <v>0</v>
      </c>
      <c r="G3871" s="56" t="n">
        <v>14.6</v>
      </c>
      <c r="H3871" s="56" t="n">
        <v>0</v>
      </c>
      <c r="I3871" s="56" t="n">
        <v>21.8</v>
      </c>
      <c r="J3871" s="56" t="n">
        <v>0</v>
      </c>
      <c r="K3871" s="56" t="n">
        <v>1029.5</v>
      </c>
      <c r="L3871" s="56" t="n">
        <v>0</v>
      </c>
      <c r="M3871" s="56" t="n">
        <v>56</v>
      </c>
      <c r="N3871" s="56" t="n">
        <v>11.6</v>
      </c>
      <c r="O3871" s="56" t="n">
        <f aca="false">IF(D3871=1,"",E3870)</f>
        <v>29</v>
      </c>
      <c r="P3871" s="56" t="n">
        <f aca="false">IF(OR(D3871=1,K3870=""),"",K3870)</f>
        <v>1031.7</v>
      </c>
      <c r="Q3871" s="56" t="n">
        <f aca="false">IF(OR(F3871&lt;&gt;0,AND(I3871&lt;&gt;"",E3871&lt;I3871)),1,0)</f>
        <v>0</v>
      </c>
      <c r="R3871" s="56" t="n">
        <f aca="false">IF(AND(D3871&gt;1,Q3871=0,ISNUMBER(O3871),ISNUMBER(P3871)),IF(Q3870=0,1,0),0)</f>
        <v>1</v>
      </c>
      <c r="S3871" s="56" t="n">
        <f aca="false">R3871*(B3871&gt;=Train_Start)*(B3871&lt;=Train_End)</f>
        <v>0</v>
      </c>
      <c r="T3871" s="84" t="n">
        <f aca="false">IF(AND(ISNUMBER(O3871),ISNUMBER(P3871)),Coef_A+Coef_B1*O3871+Coef_B2*P3871,"")</f>
        <v>28.2121323141196</v>
      </c>
      <c r="U3871" s="84" t="n">
        <f aca="false">IF(AND(R3871=1,ISNUMBER(T3871)),E3871-T3871,"")</f>
        <v>-1.21213231411963</v>
      </c>
      <c r="V3871" s="84" t="n">
        <f aca="false">IF(ISNUMBER(T3871),T3871,-99)</f>
        <v>28.2121323141196</v>
      </c>
      <c r="W3871" s="84" t="n">
        <f aca="false">IF(ISNUMBER(U3871),ABS(U3871),"")</f>
        <v>1.21213231411963</v>
      </c>
    </row>
    <row r="3872" customFormat="false" ht="15" hidden="false" customHeight="false" outlineLevel="0" collapsed="false">
      <c r="A3872" s="57" t="n">
        <v>38153</v>
      </c>
      <c r="B3872" s="56" t="n">
        <v>2004</v>
      </c>
      <c r="C3872" s="56" t="n">
        <v>6</v>
      </c>
      <c r="D3872" s="56" t="n">
        <v>46</v>
      </c>
      <c r="E3872" s="56" t="n">
        <v>26.8</v>
      </c>
      <c r="F3872" s="56" t="n">
        <v>0</v>
      </c>
      <c r="G3872" s="56" t="n">
        <v>14.8</v>
      </c>
      <c r="H3872" s="56" t="n">
        <v>0</v>
      </c>
      <c r="I3872" s="56" t="n">
        <v>20.9</v>
      </c>
      <c r="J3872" s="56" t="n">
        <v>0</v>
      </c>
      <c r="K3872" s="56" t="n">
        <v>1023.7</v>
      </c>
      <c r="L3872" s="56" t="n">
        <v>0</v>
      </c>
      <c r="M3872" s="56" t="n">
        <v>60</v>
      </c>
      <c r="N3872" s="56" t="n">
        <v>12.7</v>
      </c>
      <c r="O3872" s="56" t="n">
        <f aca="false">IF(D3872=1,"",E3871)</f>
        <v>27</v>
      </c>
      <c r="P3872" s="56" t="n">
        <f aca="false">IF(OR(D3872=1,K3871=""),"",K3871)</f>
        <v>1029.5</v>
      </c>
      <c r="Q3872" s="56" t="n">
        <f aca="false">IF(OR(F3872&lt;&gt;0,AND(I3872&lt;&gt;"",E3872&lt;I3872)),1,0)</f>
        <v>0</v>
      </c>
      <c r="R3872" s="56" t="n">
        <f aca="false">IF(AND(D3872&gt;1,Q3872=0,ISNUMBER(O3872),ISNUMBER(P3872)),IF(Q3871=0,1,0),0)</f>
        <v>1</v>
      </c>
      <c r="S3872" s="56" t="n">
        <f aca="false">R3872*(B3872&gt;=Train_Start)*(B3872&lt;=Train_End)</f>
        <v>0</v>
      </c>
      <c r="T3872" s="84" t="n">
        <f aca="false">IF(AND(ISNUMBER(O3872),ISNUMBER(P3872)),Coef_A+Coef_B1*O3872+Coef_B2*P3872,"")</f>
        <v>26.5044401598395</v>
      </c>
      <c r="U3872" s="84" t="n">
        <f aca="false">IF(AND(R3872=1,ISNUMBER(T3872)),E3872-T3872,"")</f>
        <v>0.295559840160472</v>
      </c>
      <c r="V3872" s="84" t="n">
        <f aca="false">IF(ISNUMBER(T3872),T3872,-99)</f>
        <v>26.5044401598395</v>
      </c>
      <c r="W3872" s="84" t="n">
        <f aca="false">IF(ISNUMBER(U3872),ABS(U3872),"")</f>
        <v>0.295559840160472</v>
      </c>
    </row>
    <row r="3873" customFormat="false" ht="15" hidden="false" customHeight="false" outlineLevel="0" collapsed="false">
      <c r="A3873" s="57" t="n">
        <v>38154</v>
      </c>
      <c r="B3873" s="56" t="n">
        <v>2004</v>
      </c>
      <c r="C3873" s="56" t="n">
        <v>6</v>
      </c>
      <c r="D3873" s="56" t="n">
        <v>47</v>
      </c>
      <c r="E3873" s="56" t="n">
        <v>19.3</v>
      </c>
      <c r="F3873" s="56" t="n">
        <v>1</v>
      </c>
      <c r="G3873" s="56" t="n">
        <v>13.1</v>
      </c>
      <c r="H3873" s="56" t="n">
        <v>0</v>
      </c>
      <c r="I3873" s="56" t="n">
        <v>20</v>
      </c>
      <c r="J3873" s="56" t="n">
        <v>1</v>
      </c>
      <c r="K3873" s="56" t="n">
        <v>1020.1</v>
      </c>
      <c r="L3873" s="56" t="n">
        <v>0</v>
      </c>
      <c r="M3873" s="56" t="n">
        <v>56</v>
      </c>
      <c r="N3873" s="56" t="n">
        <v>13.8</v>
      </c>
      <c r="O3873" s="56" t="n">
        <f aca="false">IF(D3873=1,"",E3872)</f>
        <v>26.8</v>
      </c>
      <c r="P3873" s="56" t="n">
        <f aca="false">IF(OR(D3873=1,K3872=""),"",K3872)</f>
        <v>1023.7</v>
      </c>
      <c r="Q3873" s="56" t="n">
        <f aca="false">IF(OR(F3873&lt;&gt;0,AND(I3873&lt;&gt;"",E3873&lt;I3873)),1,0)</f>
        <v>1</v>
      </c>
      <c r="R3873" s="56" t="n">
        <f aca="false">IF(AND(D3873&gt;1,Q3873=0,ISNUMBER(O3873),ISNUMBER(P3873)),IF(Q3872=0,1,0),0)</f>
        <v>0</v>
      </c>
      <c r="S3873" s="56" t="n">
        <f aca="false">R3873*(B3873&gt;=Train_Start)*(B3873&lt;=Train_End)</f>
        <v>0</v>
      </c>
      <c r="T3873" s="84" t="n">
        <f aca="false">IF(AND(ISNUMBER(O3873),ISNUMBER(P3873)),Coef_A+Coef_B1*O3873+Coef_B2*P3873,"")</f>
        <v>26.1586269323539</v>
      </c>
      <c r="U3873" s="84" t="str">
        <f aca="false">IF(AND(R3873=1,ISNUMBER(T3873)),E3873-T3873,"")</f>
        <v/>
      </c>
      <c r="V3873" s="84" t="n">
        <f aca="false">IF(ISNUMBER(T3873),T3873,-99)</f>
        <v>26.1586269323539</v>
      </c>
      <c r="W3873" s="84" t="str">
        <f aca="false">IF(ISNUMBER(U3873),ABS(U3873),"")</f>
        <v/>
      </c>
    </row>
    <row r="3874" customFormat="false" ht="15" hidden="false" customHeight="false" outlineLevel="0" collapsed="false">
      <c r="A3874" s="57" t="n">
        <v>38155</v>
      </c>
      <c r="B3874" s="56" t="n">
        <v>2004</v>
      </c>
      <c r="C3874" s="56" t="n">
        <v>6</v>
      </c>
      <c r="D3874" s="56" t="n">
        <v>48</v>
      </c>
      <c r="E3874" s="56" t="n">
        <v>18.4</v>
      </c>
      <c r="F3874" s="56" t="n">
        <v>0</v>
      </c>
      <c r="G3874" s="56" t="n">
        <v>14.8</v>
      </c>
      <c r="H3874" s="56" t="n">
        <v>0</v>
      </c>
      <c r="I3874" s="56" t="n">
        <v>17</v>
      </c>
      <c r="J3874" s="56" t="n">
        <v>0</v>
      </c>
      <c r="K3874" s="56" t="n">
        <v>1012.3</v>
      </c>
      <c r="L3874" s="56" t="n">
        <v>0</v>
      </c>
      <c r="M3874" s="56" t="n">
        <v>60</v>
      </c>
      <c r="N3874" s="56" t="n">
        <v>4.7</v>
      </c>
      <c r="O3874" s="56" t="n">
        <f aca="false">IF(D3874=1,"",E3873)</f>
        <v>19.3</v>
      </c>
      <c r="P3874" s="56" t="n">
        <f aca="false">IF(OR(D3874=1,K3873=""),"",K3873)</f>
        <v>1020.1</v>
      </c>
      <c r="Q3874" s="56" t="n">
        <f aca="false">IF(OR(F3874&lt;&gt;0,AND(I3874&lt;&gt;"",E3874&lt;I3874)),1,0)</f>
        <v>0</v>
      </c>
      <c r="R3874" s="56" t="n">
        <f aca="false">IF(AND(D3874&gt;1,Q3874=0,ISNUMBER(O3874),ISNUMBER(P3874)),IF(Q3873=0,1,0),0)</f>
        <v>0</v>
      </c>
      <c r="S3874" s="56" t="n">
        <f aca="false">R3874*(B3874&gt;=Train_Start)*(B3874&lt;=Train_End)</f>
        <v>0</v>
      </c>
      <c r="T3874" s="84" t="n">
        <f aca="false">IF(AND(ISNUMBER(O3874),ISNUMBER(P3874)),Coef_A+Coef_B1*O3874+Coef_B2*P3874,"")</f>
        <v>19.9006513638516</v>
      </c>
      <c r="U3874" s="84" t="str">
        <f aca="false">IF(AND(R3874=1,ISNUMBER(T3874)),E3874-T3874,"")</f>
        <v/>
      </c>
      <c r="V3874" s="84" t="n">
        <f aca="false">IF(ISNUMBER(T3874),T3874,-99)</f>
        <v>19.9006513638516</v>
      </c>
      <c r="W3874" s="84" t="str">
        <f aca="false">IF(ISNUMBER(U3874),ABS(U3874),"")</f>
        <v/>
      </c>
    </row>
    <row r="3875" customFormat="false" ht="15" hidden="false" customHeight="false" outlineLevel="0" collapsed="false">
      <c r="A3875" s="57" t="n">
        <v>38156</v>
      </c>
      <c r="B3875" s="56" t="n">
        <v>2004</v>
      </c>
      <c r="C3875" s="56" t="n">
        <v>6</v>
      </c>
      <c r="D3875" s="56" t="n">
        <v>49</v>
      </c>
      <c r="E3875" s="56" t="n">
        <v>19.3</v>
      </c>
      <c r="F3875" s="56" t="n">
        <v>0</v>
      </c>
      <c r="G3875" s="56" t="n">
        <v>14</v>
      </c>
      <c r="H3875" s="56" t="n">
        <v>0</v>
      </c>
      <c r="I3875" s="56" t="n">
        <v>16.2</v>
      </c>
      <c r="J3875" s="56" t="n">
        <v>0</v>
      </c>
      <c r="K3875" s="56" t="n">
        <v>1008.7</v>
      </c>
      <c r="L3875" s="56" t="n">
        <v>0</v>
      </c>
      <c r="M3875" s="56" t="n">
        <v>62</v>
      </c>
      <c r="N3875" s="56" t="n">
        <v>2.1</v>
      </c>
      <c r="O3875" s="56" t="n">
        <f aca="false">IF(D3875=1,"",E3874)</f>
        <v>18.4</v>
      </c>
      <c r="P3875" s="56" t="n">
        <f aca="false">IF(OR(D3875=1,K3874=""),"",K3874)</f>
        <v>1012.3</v>
      </c>
      <c r="Q3875" s="56" t="n">
        <f aca="false">IF(OR(F3875&lt;&gt;0,AND(I3875&lt;&gt;"",E3875&lt;I3875)),1,0)</f>
        <v>0</v>
      </c>
      <c r="R3875" s="56" t="n">
        <f aca="false">IF(AND(D3875&gt;1,Q3875=0,ISNUMBER(O3875),ISNUMBER(P3875)),IF(Q3874=0,1,0),0)</f>
        <v>1</v>
      </c>
      <c r="S3875" s="56" t="n">
        <f aca="false">R3875*(B3875&gt;=Train_Start)*(B3875&lt;=Train_End)</f>
        <v>0</v>
      </c>
      <c r="T3875" s="84" t="n">
        <f aca="false">IF(AND(ISNUMBER(O3875),ISNUMBER(P3875)),Coef_A+Coef_B1*O3875+Coef_B2*P3875,"")</f>
        <v>18.9185609119681</v>
      </c>
      <c r="U3875" s="84" t="n">
        <f aca="false">IF(AND(R3875=1,ISNUMBER(T3875)),E3875-T3875,"")</f>
        <v>0.381439088031943</v>
      </c>
      <c r="V3875" s="84" t="n">
        <f aca="false">IF(ISNUMBER(T3875),T3875,-99)</f>
        <v>18.9185609119681</v>
      </c>
      <c r="W3875" s="84" t="n">
        <f aca="false">IF(ISNUMBER(U3875),ABS(U3875),"")</f>
        <v>0.381439088031943</v>
      </c>
    </row>
    <row r="3876" customFormat="false" ht="15" hidden="false" customHeight="false" outlineLevel="0" collapsed="false">
      <c r="A3876" s="57" t="n">
        <v>38157</v>
      </c>
      <c r="B3876" s="56" t="n">
        <v>2004</v>
      </c>
      <c r="C3876" s="56" t="n">
        <v>6</v>
      </c>
      <c r="D3876" s="56" t="n">
        <v>50</v>
      </c>
      <c r="E3876" s="56" t="n">
        <v>16.9</v>
      </c>
      <c r="F3876" s="56" t="n">
        <v>0</v>
      </c>
      <c r="G3876" s="56" t="n">
        <v>7.3</v>
      </c>
      <c r="H3876" s="56" t="n">
        <v>0</v>
      </c>
      <c r="I3876" s="56" t="n">
        <v>13.3</v>
      </c>
      <c r="J3876" s="56" t="n">
        <v>0</v>
      </c>
      <c r="K3876" s="56" t="n">
        <v>1009.2</v>
      </c>
      <c r="L3876" s="56" t="n">
        <v>0</v>
      </c>
      <c r="M3876" s="56" t="n">
        <v>62</v>
      </c>
      <c r="N3876" s="56" t="n">
        <v>9.9</v>
      </c>
      <c r="O3876" s="56" t="n">
        <f aca="false">IF(D3876=1,"",E3875)</f>
        <v>19.3</v>
      </c>
      <c r="P3876" s="56" t="n">
        <f aca="false">IF(OR(D3876=1,K3875=""),"",K3875)</f>
        <v>1008.7</v>
      </c>
      <c r="Q3876" s="56" t="n">
        <f aca="false">IF(OR(F3876&lt;&gt;0,AND(I3876&lt;&gt;"",E3876&lt;I3876)),1,0)</f>
        <v>0</v>
      </c>
      <c r="R3876" s="56" t="n">
        <f aca="false">IF(AND(D3876&gt;1,Q3876=0,ISNUMBER(O3876),ISNUMBER(P3876)),IF(Q3875=0,1,0),0)</f>
        <v>1</v>
      </c>
      <c r="S3876" s="56" t="n">
        <f aca="false">R3876*(B3876&gt;=Train_Start)*(B3876&lt;=Train_End)</f>
        <v>0</v>
      </c>
      <c r="T3876" s="84" t="n">
        <f aca="false">IF(AND(ISNUMBER(O3876),ISNUMBER(P3876)),Coef_A+Coef_B1*O3876+Coef_B2*P3876,"")</f>
        <v>19.5430345650241</v>
      </c>
      <c r="U3876" s="84" t="n">
        <f aca="false">IF(AND(R3876=1,ISNUMBER(T3876)),E3876-T3876,"")</f>
        <v>-2.6430345650241</v>
      </c>
      <c r="V3876" s="84" t="n">
        <f aca="false">IF(ISNUMBER(T3876),T3876,-99)</f>
        <v>19.5430345650241</v>
      </c>
      <c r="W3876" s="84" t="n">
        <f aca="false">IF(ISNUMBER(U3876),ABS(U3876),"")</f>
        <v>2.6430345650241</v>
      </c>
    </row>
    <row r="3877" customFormat="false" ht="15" hidden="false" customHeight="false" outlineLevel="0" collapsed="false">
      <c r="A3877" s="57" t="n">
        <v>38158</v>
      </c>
      <c r="B3877" s="56" t="n">
        <v>2004</v>
      </c>
      <c r="C3877" s="56" t="n">
        <v>6</v>
      </c>
      <c r="D3877" s="56" t="n">
        <v>51</v>
      </c>
      <c r="E3877" s="56" t="n">
        <v>19.4</v>
      </c>
      <c r="F3877" s="56" t="n">
        <v>0</v>
      </c>
      <c r="G3877" s="56" t="n">
        <v>7.4</v>
      </c>
      <c r="H3877" s="56" t="n">
        <v>0</v>
      </c>
      <c r="I3877" s="56" t="n">
        <v>12.2</v>
      </c>
      <c r="J3877" s="56" t="n">
        <v>0</v>
      </c>
      <c r="K3877" s="56" t="n">
        <v>1006.8</v>
      </c>
      <c r="L3877" s="56" t="n">
        <v>0</v>
      </c>
      <c r="M3877" s="56" t="n">
        <v>68</v>
      </c>
      <c r="N3877" s="56" t="n">
        <v>6.2</v>
      </c>
      <c r="O3877" s="56" t="n">
        <f aca="false">IF(D3877=1,"",E3876)</f>
        <v>16.9</v>
      </c>
      <c r="P3877" s="56" t="n">
        <f aca="false">IF(OR(D3877=1,K3876=""),"",K3876)</f>
        <v>1009.2</v>
      </c>
      <c r="Q3877" s="56" t="n">
        <f aca="false">IF(OR(F3877&lt;&gt;0,AND(I3877&lt;&gt;"",E3877&lt;I3877)),1,0)</f>
        <v>0</v>
      </c>
      <c r="R3877" s="56" t="n">
        <f aca="false">IF(AND(D3877&gt;1,Q3877=0,ISNUMBER(O3877),ISNUMBER(P3877)),IF(Q3876=0,1,0),0)</f>
        <v>1</v>
      </c>
      <c r="S3877" s="56" t="n">
        <f aca="false">R3877*(B3877&gt;=Train_Start)*(B3877&lt;=Train_End)</f>
        <v>0</v>
      </c>
      <c r="T3877" s="84" t="n">
        <f aca="false">IF(AND(ISNUMBER(O3877),ISNUMBER(P3877)),Coef_A+Coef_B1*O3877+Coef_B2*P3877,"")</f>
        <v>17.5923054490387</v>
      </c>
      <c r="U3877" s="84" t="n">
        <f aca="false">IF(AND(R3877=1,ISNUMBER(T3877)),E3877-T3877,"")</f>
        <v>1.80769455096129</v>
      </c>
      <c r="V3877" s="84" t="n">
        <f aca="false">IF(ISNUMBER(T3877),T3877,-99)</f>
        <v>17.5923054490387</v>
      </c>
      <c r="W3877" s="84" t="n">
        <f aca="false">IF(ISNUMBER(U3877),ABS(U3877),"")</f>
        <v>1.80769455096129</v>
      </c>
    </row>
    <row r="3878" customFormat="false" ht="15" hidden="false" customHeight="false" outlineLevel="0" collapsed="false">
      <c r="A3878" s="57" t="n">
        <v>38159</v>
      </c>
      <c r="B3878" s="56" t="n">
        <v>2004</v>
      </c>
      <c r="C3878" s="56" t="n">
        <v>6</v>
      </c>
      <c r="D3878" s="56" t="n">
        <v>52</v>
      </c>
      <c r="E3878" s="56" t="n">
        <v>20.3</v>
      </c>
      <c r="F3878" s="56" t="n">
        <v>0</v>
      </c>
      <c r="G3878" s="56" t="n">
        <v>7.8</v>
      </c>
      <c r="H3878" s="56" t="n">
        <v>0</v>
      </c>
      <c r="I3878" s="56" t="n">
        <v>13.6</v>
      </c>
      <c r="J3878" s="56" t="n">
        <v>0</v>
      </c>
      <c r="K3878" s="56" t="n">
        <v>1009.1</v>
      </c>
      <c r="L3878" s="56" t="n">
        <v>0</v>
      </c>
      <c r="M3878" s="56" t="n">
        <v>69</v>
      </c>
      <c r="N3878" s="56" t="n">
        <v>8.3</v>
      </c>
      <c r="O3878" s="56" t="n">
        <f aca="false">IF(D3878=1,"",E3877)</f>
        <v>19.4</v>
      </c>
      <c r="P3878" s="56" t="n">
        <f aca="false">IF(OR(D3878=1,K3877=""),"",K3877)</f>
        <v>1006.8</v>
      </c>
      <c r="Q3878" s="56" t="n">
        <f aca="false">IF(OR(F3878&lt;&gt;0,AND(I3878&lt;&gt;"",E3878&lt;I3878)),1,0)</f>
        <v>0</v>
      </c>
      <c r="R3878" s="56" t="n">
        <f aca="false">IF(AND(D3878&gt;1,Q3878=0,ISNUMBER(O3878),ISNUMBER(P3878)),IF(Q3877=0,1,0),0)</f>
        <v>1</v>
      </c>
      <c r="S3878" s="56" t="n">
        <f aca="false">R3878*(B3878&gt;=Train_Start)*(B3878&lt;=Train_End)</f>
        <v>0</v>
      </c>
      <c r="T3878" s="84" t="n">
        <f aca="false">IF(AND(ISNUMBER(O3878),ISNUMBER(P3878)),Coef_A+Coef_B1*O3878+Coef_B2*P3878,"")</f>
        <v>19.5653656845238</v>
      </c>
      <c r="U3878" s="84" t="n">
        <f aca="false">IF(AND(R3878=1,ISNUMBER(T3878)),E3878-T3878,"")</f>
        <v>0.734634315476228</v>
      </c>
      <c r="V3878" s="84" t="n">
        <f aca="false">IF(ISNUMBER(T3878),T3878,-99)</f>
        <v>19.5653656845238</v>
      </c>
      <c r="W3878" s="84" t="n">
        <f aca="false">IF(ISNUMBER(U3878),ABS(U3878),"")</f>
        <v>0.734634315476228</v>
      </c>
    </row>
    <row r="3879" customFormat="false" ht="15" hidden="false" customHeight="false" outlineLevel="0" collapsed="false">
      <c r="A3879" s="57" t="n">
        <v>38160</v>
      </c>
      <c r="B3879" s="56" t="n">
        <v>2004</v>
      </c>
      <c r="C3879" s="56" t="n">
        <v>6</v>
      </c>
      <c r="D3879" s="56" t="n">
        <v>53</v>
      </c>
      <c r="E3879" s="56" t="n">
        <v>16.6</v>
      </c>
      <c r="F3879" s="56" t="n">
        <v>0</v>
      </c>
      <c r="G3879" s="56" t="n">
        <v>9.8</v>
      </c>
      <c r="H3879" s="56" t="n">
        <v>0</v>
      </c>
      <c r="I3879" s="56" t="n">
        <v>15</v>
      </c>
      <c r="J3879" s="56" t="n">
        <v>0</v>
      </c>
      <c r="K3879" s="56" t="n">
        <v>1008.7</v>
      </c>
      <c r="L3879" s="56" t="n">
        <v>0</v>
      </c>
      <c r="M3879" s="56" t="n">
        <v>75</v>
      </c>
      <c r="N3879" s="56" t="n">
        <v>6.6</v>
      </c>
      <c r="O3879" s="56" t="n">
        <f aca="false">IF(D3879=1,"",E3878)</f>
        <v>20.3</v>
      </c>
      <c r="P3879" s="56" t="n">
        <f aca="false">IF(OR(D3879=1,K3878=""),"",K3878)</f>
        <v>1009.1</v>
      </c>
      <c r="Q3879" s="56" t="n">
        <f aca="false">IF(OR(F3879&lt;&gt;0,AND(I3879&lt;&gt;"",E3879&lt;I3879)),1,0)</f>
        <v>0</v>
      </c>
      <c r="R3879" s="56" t="n">
        <f aca="false">IF(AND(D3879&gt;1,Q3879=0,ISNUMBER(O3879),ISNUMBER(P3879)),IF(Q3878=0,1,0),0)</f>
        <v>1</v>
      </c>
      <c r="S3879" s="56" t="n">
        <f aca="false">R3879*(B3879&gt;=Train_Start)*(B3879&lt;=Train_End)</f>
        <v>0</v>
      </c>
      <c r="T3879" s="84" t="n">
        <f aca="false">IF(AND(ISNUMBER(O3879),ISNUMBER(P3879)),Coef_A+Coef_B1*O3879+Coef_B2*P3879,"")</f>
        <v>20.3749217159203</v>
      </c>
      <c r="U3879" s="84" t="n">
        <f aca="false">IF(AND(R3879=1,ISNUMBER(T3879)),E3879-T3879,"")</f>
        <v>-3.77492171592034</v>
      </c>
      <c r="V3879" s="84" t="n">
        <f aca="false">IF(ISNUMBER(T3879),T3879,-99)</f>
        <v>20.3749217159203</v>
      </c>
      <c r="W3879" s="84" t="n">
        <f aca="false">IF(ISNUMBER(U3879),ABS(U3879),"")</f>
        <v>3.77492171592034</v>
      </c>
    </row>
    <row r="3880" customFormat="false" ht="15" hidden="false" customHeight="false" outlineLevel="0" collapsed="false">
      <c r="A3880" s="57" t="n">
        <v>38161</v>
      </c>
      <c r="B3880" s="56" t="n">
        <v>2004</v>
      </c>
      <c r="C3880" s="56" t="n">
        <v>6</v>
      </c>
      <c r="D3880" s="56" t="n">
        <v>54</v>
      </c>
      <c r="E3880" s="56" t="n">
        <v>19.7</v>
      </c>
      <c r="F3880" s="56" t="n">
        <v>0</v>
      </c>
      <c r="G3880" s="56" t="n">
        <v>13.9</v>
      </c>
      <c r="H3880" s="56" t="n">
        <v>0</v>
      </c>
      <c r="I3880" s="56" t="n">
        <v>15.2</v>
      </c>
      <c r="J3880" s="56" t="n">
        <v>0</v>
      </c>
      <c r="K3880" s="56" t="n">
        <v>995.4</v>
      </c>
      <c r="L3880" s="56" t="n">
        <v>0</v>
      </c>
      <c r="M3880" s="56" t="n">
        <v>82</v>
      </c>
      <c r="N3880" s="56" t="n">
        <v>0.2</v>
      </c>
      <c r="O3880" s="56" t="n">
        <f aca="false">IF(D3880=1,"",E3879)</f>
        <v>16.6</v>
      </c>
      <c r="P3880" s="56" t="n">
        <f aca="false">IF(OR(D3880=1,K3879=""),"",K3879)</f>
        <v>1008.7</v>
      </c>
      <c r="Q3880" s="56" t="n">
        <f aca="false">IF(OR(F3880&lt;&gt;0,AND(I3880&lt;&gt;"",E3880&lt;I3880)),1,0)</f>
        <v>0</v>
      </c>
      <c r="R3880" s="56" t="n">
        <f aca="false">IF(AND(D3880&gt;1,Q3880=0,ISNUMBER(O3880),ISNUMBER(P3880)),IF(Q3879=0,1,0),0)</f>
        <v>1</v>
      </c>
      <c r="S3880" s="56" t="n">
        <f aca="false">R3880*(B3880&gt;=Train_Start)*(B3880&lt;=Train_End)</f>
        <v>0</v>
      </c>
      <c r="T3880" s="84" t="n">
        <f aca="false">IF(AND(ISNUMBER(O3880),ISNUMBER(P3880)),Coef_A+Coef_B1*O3880+Coef_B2*P3880,"")</f>
        <v>17.3308187438089</v>
      </c>
      <c r="U3880" s="84" t="n">
        <f aca="false">IF(AND(R3880=1,ISNUMBER(T3880)),E3880-T3880,"")</f>
        <v>2.36918125619108</v>
      </c>
      <c r="V3880" s="84" t="n">
        <f aca="false">IF(ISNUMBER(T3880),T3880,-99)</f>
        <v>17.3308187438089</v>
      </c>
      <c r="W3880" s="84" t="n">
        <f aca="false">IF(ISNUMBER(U3880),ABS(U3880),"")</f>
        <v>2.36918125619108</v>
      </c>
    </row>
    <row r="3881" customFormat="false" ht="15" hidden="false" customHeight="false" outlineLevel="0" collapsed="false">
      <c r="A3881" s="57" t="n">
        <v>38162</v>
      </c>
      <c r="B3881" s="56" t="n">
        <v>2004</v>
      </c>
      <c r="C3881" s="56" t="n">
        <v>6</v>
      </c>
      <c r="D3881" s="56" t="n">
        <v>55</v>
      </c>
      <c r="E3881" s="56" t="n">
        <v>21.5</v>
      </c>
      <c r="F3881" s="56" t="n">
        <v>0</v>
      </c>
      <c r="G3881" s="56" t="n">
        <v>11.9</v>
      </c>
      <c r="H3881" s="56" t="n">
        <v>0</v>
      </c>
      <c r="I3881" s="56" t="n">
        <v>15.8</v>
      </c>
      <c r="J3881" s="56" t="n">
        <v>0</v>
      </c>
      <c r="K3881" s="56" t="n">
        <v>1007.5</v>
      </c>
      <c r="L3881" s="56" t="n">
        <v>0</v>
      </c>
      <c r="M3881" s="56" t="n">
        <v>59</v>
      </c>
      <c r="N3881" s="56" t="n">
        <v>14</v>
      </c>
      <c r="O3881" s="56" t="n">
        <f aca="false">IF(D3881=1,"",E3880)</f>
        <v>19.7</v>
      </c>
      <c r="P3881" s="56" t="n">
        <f aca="false">IF(OR(D3881=1,K3880=""),"",K3880)</f>
        <v>995.4</v>
      </c>
      <c r="Q3881" s="56" t="n">
        <f aca="false">IF(OR(F3881&lt;&gt;0,AND(I3881&lt;&gt;"",E3881&lt;I3881)),1,0)</f>
        <v>0</v>
      </c>
      <c r="R3881" s="56" t="n">
        <f aca="false">IF(AND(D3881&gt;1,Q3881=0,ISNUMBER(O3881),ISNUMBER(P3881)),IF(Q3880=0,1,0),0)</f>
        <v>1</v>
      </c>
      <c r="S3881" s="56" t="n">
        <f aca="false">R3881*(B3881&gt;=Train_Start)*(B3881&lt;=Train_End)</f>
        <v>0</v>
      </c>
      <c r="T3881" s="84" t="n">
        <f aca="false">IF(AND(ISNUMBER(O3881),ISNUMBER(P3881)),Coef_A+Coef_B1*O3881+Coef_B2*P3881,"")</f>
        <v>19.4535506436091</v>
      </c>
      <c r="U3881" s="84" t="n">
        <f aca="false">IF(AND(R3881=1,ISNUMBER(T3881)),E3881-T3881,"")</f>
        <v>2.04644935639091</v>
      </c>
      <c r="V3881" s="84" t="n">
        <f aca="false">IF(ISNUMBER(T3881),T3881,-99)</f>
        <v>19.4535506436091</v>
      </c>
      <c r="W3881" s="84" t="n">
        <f aca="false">IF(ISNUMBER(U3881),ABS(U3881),"")</f>
        <v>2.04644935639091</v>
      </c>
    </row>
    <row r="3882" customFormat="false" ht="15" hidden="false" customHeight="false" outlineLevel="0" collapsed="false">
      <c r="A3882" s="57" t="n">
        <v>38163</v>
      </c>
      <c r="B3882" s="56" t="n">
        <v>2004</v>
      </c>
      <c r="C3882" s="56" t="n">
        <v>6</v>
      </c>
      <c r="D3882" s="56" t="n">
        <v>56</v>
      </c>
      <c r="E3882" s="56" t="n">
        <v>19.5</v>
      </c>
      <c r="F3882" s="56" t="n">
        <v>0</v>
      </c>
      <c r="G3882" s="56" t="n">
        <v>9.5</v>
      </c>
      <c r="H3882" s="56" t="n">
        <v>0</v>
      </c>
      <c r="I3882" s="56" t="n">
        <v>15.5</v>
      </c>
      <c r="J3882" s="56" t="n">
        <v>0</v>
      </c>
      <c r="K3882" s="56" t="n">
        <v>1017.6</v>
      </c>
      <c r="L3882" s="56" t="n">
        <v>0</v>
      </c>
      <c r="M3882" s="56" t="n">
        <v>60</v>
      </c>
      <c r="N3882" s="56" t="n">
        <v>13.7</v>
      </c>
      <c r="O3882" s="56" t="n">
        <f aca="false">IF(D3882=1,"",E3881)</f>
        <v>21.5</v>
      </c>
      <c r="P3882" s="56" t="n">
        <f aca="false">IF(OR(D3882=1,K3881=""),"",K3881)</f>
        <v>1007.5</v>
      </c>
      <c r="Q3882" s="56" t="n">
        <f aca="false">IF(OR(F3882&lt;&gt;0,AND(I3882&lt;&gt;"",E3882&lt;I3882)),1,0)</f>
        <v>0</v>
      </c>
      <c r="R3882" s="56" t="n">
        <f aca="false">IF(AND(D3882&gt;1,Q3882=0,ISNUMBER(O3882),ISNUMBER(P3882)),IF(Q3881=0,1,0),0)</f>
        <v>1</v>
      </c>
      <c r="S3882" s="56" t="n">
        <f aca="false">R3882*(B3882&gt;=Train_Start)*(B3882&lt;=Train_End)</f>
        <v>0</v>
      </c>
      <c r="T3882" s="84" t="n">
        <f aca="false">IF(AND(ISNUMBER(O3882),ISNUMBER(P3882)),Coef_A+Coef_B1*O3882+Coef_B2*P3882,"")</f>
        <v>21.3079369161572</v>
      </c>
      <c r="U3882" s="84" t="n">
        <f aca="false">IF(AND(R3882=1,ISNUMBER(T3882)),E3882-T3882,"")</f>
        <v>-1.80793691615715</v>
      </c>
      <c r="V3882" s="84" t="n">
        <f aca="false">IF(ISNUMBER(T3882),T3882,-99)</f>
        <v>21.3079369161572</v>
      </c>
      <c r="W3882" s="84" t="n">
        <f aca="false">IF(ISNUMBER(U3882),ABS(U3882),"")</f>
        <v>1.80793691615715</v>
      </c>
    </row>
    <row r="3883" customFormat="false" ht="15" hidden="false" customHeight="false" outlineLevel="0" collapsed="false">
      <c r="A3883" s="57" t="n">
        <v>38164</v>
      </c>
      <c r="B3883" s="56" t="n">
        <v>2004</v>
      </c>
      <c r="C3883" s="56" t="n">
        <v>6</v>
      </c>
      <c r="D3883" s="56" t="n">
        <v>57</v>
      </c>
      <c r="E3883" s="56" t="n">
        <v>23.6</v>
      </c>
      <c r="F3883" s="56" t="n">
        <v>0</v>
      </c>
      <c r="G3883" s="56" t="n">
        <v>10</v>
      </c>
      <c r="H3883" s="56" t="n">
        <v>0</v>
      </c>
      <c r="I3883" s="56" t="n">
        <v>14.8</v>
      </c>
      <c r="J3883" s="56" t="n">
        <v>0</v>
      </c>
      <c r="K3883" s="56" t="n">
        <v>1017.1</v>
      </c>
      <c r="L3883" s="56" t="n">
        <v>0</v>
      </c>
      <c r="M3883" s="56" t="n">
        <v>75</v>
      </c>
      <c r="N3883" s="56" t="n">
        <v>0</v>
      </c>
      <c r="O3883" s="56" t="n">
        <f aca="false">IF(D3883=1,"",E3882)</f>
        <v>19.5</v>
      </c>
      <c r="P3883" s="56" t="n">
        <f aca="false">IF(OR(D3883=1,K3882=""),"",K3882)</f>
        <v>1017.6</v>
      </c>
      <c r="Q3883" s="56" t="n">
        <f aca="false">IF(OR(F3883&lt;&gt;0,AND(I3883&lt;&gt;"",E3883&lt;I3883)),1,0)</f>
        <v>0</v>
      </c>
      <c r="R3883" s="56" t="n">
        <f aca="false">IF(AND(D3883&gt;1,Q3883=0,ISNUMBER(O3883),ISNUMBER(P3883)),IF(Q3882=0,1,0),0)</f>
        <v>1</v>
      </c>
      <c r="S3883" s="56" t="n">
        <f aca="false">R3883*(B3883&gt;=Train_Start)*(B3883&lt;=Train_End)</f>
        <v>0</v>
      </c>
      <c r="T3883" s="84" t="n">
        <f aca="false">IF(AND(ISNUMBER(O3883),ISNUMBER(P3883)),Coef_A+Coef_B1*O3883+Coef_B2*P3883,"")</f>
        <v>19.9860944658751</v>
      </c>
      <c r="U3883" s="84" t="n">
        <f aca="false">IF(AND(R3883=1,ISNUMBER(T3883)),E3883-T3883,"")</f>
        <v>3.61390553412488</v>
      </c>
      <c r="V3883" s="84" t="n">
        <f aca="false">IF(ISNUMBER(T3883),T3883,-99)</f>
        <v>19.9860944658751</v>
      </c>
      <c r="W3883" s="84" t="n">
        <f aca="false">IF(ISNUMBER(U3883),ABS(U3883),"")</f>
        <v>3.61390553412488</v>
      </c>
    </row>
    <row r="3884" customFormat="false" ht="15" hidden="false" customHeight="false" outlineLevel="0" collapsed="false">
      <c r="A3884" s="57" t="n">
        <v>38165</v>
      </c>
      <c r="B3884" s="56" t="n">
        <v>2004</v>
      </c>
      <c r="C3884" s="56" t="n">
        <v>6</v>
      </c>
      <c r="D3884" s="56" t="n">
        <v>58</v>
      </c>
      <c r="E3884" s="56" t="n">
        <v>20.6</v>
      </c>
      <c r="F3884" s="56" t="n">
        <v>0</v>
      </c>
      <c r="G3884" s="56" t="n">
        <v>14.8</v>
      </c>
      <c r="H3884" s="56" t="n">
        <v>0</v>
      </c>
      <c r="I3884" s="56" t="n">
        <v>19.2</v>
      </c>
      <c r="J3884" s="56" t="n">
        <v>0</v>
      </c>
      <c r="K3884" s="56" t="n">
        <v>1017</v>
      </c>
      <c r="L3884" s="56" t="n">
        <v>0</v>
      </c>
      <c r="M3884" s="56" t="n">
        <v>76</v>
      </c>
      <c r="N3884" s="56" t="n">
        <v>9.8</v>
      </c>
      <c r="O3884" s="56" t="n">
        <f aca="false">IF(D3884=1,"",E3883)</f>
        <v>23.6</v>
      </c>
      <c r="P3884" s="56" t="n">
        <f aca="false">IF(OR(D3884=1,K3883=""),"",K3883)</f>
        <v>1017.1</v>
      </c>
      <c r="Q3884" s="56" t="n">
        <f aca="false">IF(OR(F3884&lt;&gt;0,AND(I3884&lt;&gt;"",E3884&lt;I3884)),1,0)</f>
        <v>0</v>
      </c>
      <c r="R3884" s="56" t="n">
        <f aca="false">IF(AND(D3884&gt;1,Q3884=0,ISNUMBER(O3884),ISNUMBER(P3884)),IF(Q3883=0,1,0),0)</f>
        <v>1</v>
      </c>
      <c r="S3884" s="56" t="n">
        <f aca="false">R3884*(B3884&gt;=Train_Start)*(B3884&lt;=Train_End)</f>
        <v>0</v>
      </c>
      <c r="T3884" s="84" t="n">
        <f aca="false">IF(AND(ISNUMBER(O3884),ISNUMBER(P3884)),Coef_A+Coef_B1*O3884+Coef_B2*P3884,"")</f>
        <v>23.329700210033</v>
      </c>
      <c r="U3884" s="84" t="n">
        <f aca="false">IF(AND(R3884=1,ISNUMBER(T3884)),E3884-T3884,"")</f>
        <v>-2.72970021003303</v>
      </c>
      <c r="V3884" s="84" t="n">
        <f aca="false">IF(ISNUMBER(T3884),T3884,-99)</f>
        <v>23.329700210033</v>
      </c>
      <c r="W3884" s="84" t="n">
        <f aca="false">IF(ISNUMBER(U3884),ABS(U3884),"")</f>
        <v>2.72970021003303</v>
      </c>
    </row>
    <row r="3885" customFormat="false" ht="15" hidden="false" customHeight="false" outlineLevel="0" collapsed="false">
      <c r="A3885" s="57" t="n">
        <v>38166</v>
      </c>
      <c r="B3885" s="56" t="n">
        <v>2004</v>
      </c>
      <c r="C3885" s="56" t="n">
        <v>6</v>
      </c>
      <c r="D3885" s="56" t="n">
        <v>59</v>
      </c>
      <c r="E3885" s="56" t="n">
        <v>22.8</v>
      </c>
      <c r="F3885" s="56" t="n">
        <v>0</v>
      </c>
      <c r="G3885" s="56" t="n">
        <v>10.2</v>
      </c>
      <c r="H3885" s="56" t="n">
        <v>0</v>
      </c>
      <c r="I3885" s="56" t="n">
        <v>15.4</v>
      </c>
      <c r="J3885" s="56" t="n">
        <v>0</v>
      </c>
      <c r="K3885" s="56" t="n">
        <v>1025.6</v>
      </c>
      <c r="L3885" s="56" t="n">
        <v>0</v>
      </c>
      <c r="M3885" s="56" t="n">
        <v>67</v>
      </c>
      <c r="N3885" s="56" t="n">
        <v>11.5</v>
      </c>
      <c r="O3885" s="56" t="n">
        <f aca="false">IF(D3885=1,"",E3884)</f>
        <v>20.6</v>
      </c>
      <c r="P3885" s="56" t="n">
        <f aca="false">IF(OR(D3885=1,K3884=""),"",K3884)</f>
        <v>1017</v>
      </c>
      <c r="Q3885" s="56" t="n">
        <f aca="false">IF(OR(F3885&lt;&gt;0,AND(I3885&lt;&gt;"",E3885&lt;I3885)),1,0)</f>
        <v>0</v>
      </c>
      <c r="R3885" s="56" t="n">
        <f aca="false">IF(AND(D3885&gt;1,Q3885=0,ISNUMBER(O3885),ISNUMBER(P3885)),IF(Q3884=0,1,0),0)</f>
        <v>1</v>
      </c>
      <c r="S3885" s="56" t="n">
        <f aca="false">R3885*(B3885&gt;=Train_Start)*(B3885&lt;=Train_End)</f>
        <v>0</v>
      </c>
      <c r="T3885" s="84" t="n">
        <f aca="false">IF(AND(ISNUMBER(O3885),ISNUMBER(P3885)),Coef_A+Coef_B1*O3885+Coef_B2*P3885,"")</f>
        <v>20.8685456414417</v>
      </c>
      <c r="U3885" s="84" t="n">
        <f aca="false">IF(AND(R3885=1,ISNUMBER(T3885)),E3885-T3885,"")</f>
        <v>1.93145435855834</v>
      </c>
      <c r="V3885" s="84" t="n">
        <f aca="false">IF(ISNUMBER(T3885),T3885,-99)</f>
        <v>20.8685456414417</v>
      </c>
      <c r="W3885" s="84" t="n">
        <f aca="false">IF(ISNUMBER(U3885),ABS(U3885),"")</f>
        <v>1.93145435855834</v>
      </c>
    </row>
    <row r="3886" customFormat="false" ht="15" hidden="false" customHeight="false" outlineLevel="0" collapsed="false">
      <c r="A3886" s="57" t="n">
        <v>38167</v>
      </c>
      <c r="B3886" s="56" t="n">
        <v>2004</v>
      </c>
      <c r="C3886" s="56" t="n">
        <v>6</v>
      </c>
      <c r="D3886" s="56" t="n">
        <v>60</v>
      </c>
      <c r="E3886" s="56" t="n">
        <v>21.2</v>
      </c>
      <c r="F3886" s="56" t="n">
        <v>0</v>
      </c>
      <c r="G3886" s="56" t="n">
        <v>12.1</v>
      </c>
      <c r="H3886" s="56" t="n">
        <v>0</v>
      </c>
      <c r="I3886" s="56" t="n">
        <v>17.4</v>
      </c>
      <c r="J3886" s="56" t="n">
        <v>0</v>
      </c>
      <c r="K3886" s="56" t="n">
        <v>1024.3</v>
      </c>
      <c r="L3886" s="56" t="n">
        <v>0</v>
      </c>
      <c r="M3886" s="56" t="n">
        <v>66</v>
      </c>
      <c r="N3886" s="56" t="n">
        <v>8</v>
      </c>
      <c r="O3886" s="56" t="n">
        <f aca="false">IF(D3886=1,"",E3885)</f>
        <v>22.8</v>
      </c>
      <c r="P3886" s="56" t="n">
        <f aca="false">IF(OR(D3886=1,K3885=""),"",K3885)</f>
        <v>1025.6</v>
      </c>
      <c r="Q3886" s="56" t="n">
        <f aca="false">IF(OR(F3886&lt;&gt;0,AND(I3886&lt;&gt;"",E3886&lt;I3886)),1,0)</f>
        <v>0</v>
      </c>
      <c r="R3886" s="56" t="n">
        <f aca="false">IF(AND(D3886&gt;1,Q3886=0,ISNUMBER(O3886),ISNUMBER(P3886)),IF(Q3885=0,1,0),0)</f>
        <v>1</v>
      </c>
      <c r="S3886" s="56" t="n">
        <f aca="false">R3886*(B3886&gt;=Train_Start)*(B3886&lt;=Train_End)</f>
        <v>0</v>
      </c>
      <c r="T3886" s="84" t="n">
        <f aca="false">IF(AND(ISNUMBER(O3886),ISNUMBER(P3886)),Coef_A+Coef_B1*O3886+Coef_B2*P3886,"")</f>
        <v>22.9408729599878</v>
      </c>
      <c r="U3886" s="84" t="n">
        <f aca="false">IF(AND(R3886=1,ISNUMBER(T3886)),E3886-T3886,"")</f>
        <v>-1.74087295998781</v>
      </c>
      <c r="V3886" s="84" t="n">
        <f aca="false">IF(ISNUMBER(T3886),T3886,-99)</f>
        <v>22.9408729599878</v>
      </c>
      <c r="W3886" s="84" t="n">
        <f aca="false">IF(ISNUMBER(U3886),ABS(U3886),"")</f>
        <v>1.74087295998781</v>
      </c>
    </row>
    <row r="3887" customFormat="false" ht="15" hidden="false" customHeight="false" outlineLevel="0" collapsed="false">
      <c r="A3887" s="57" t="n">
        <v>38168</v>
      </c>
      <c r="B3887" s="56" t="n">
        <v>2004</v>
      </c>
      <c r="C3887" s="56" t="n">
        <v>6</v>
      </c>
      <c r="D3887" s="56" t="n">
        <v>61</v>
      </c>
      <c r="E3887" s="56" t="n">
        <v>20.1</v>
      </c>
      <c r="F3887" s="56" t="n">
        <v>0</v>
      </c>
      <c r="G3887" s="56" t="n">
        <v>14.4</v>
      </c>
      <c r="H3887" s="56" t="n">
        <v>0</v>
      </c>
      <c r="I3887" s="56" t="n">
        <v>17.8</v>
      </c>
      <c r="J3887" s="56" t="n">
        <v>0</v>
      </c>
      <c r="K3887" s="56" t="n">
        <v>1014.9</v>
      </c>
      <c r="L3887" s="56" t="n">
        <v>0</v>
      </c>
      <c r="M3887" s="56" t="n">
        <v>68</v>
      </c>
      <c r="N3887" s="56" t="n">
        <v>4.6</v>
      </c>
      <c r="O3887" s="56" t="n">
        <f aca="false">IF(D3887=1,"",E3886)</f>
        <v>21.2</v>
      </c>
      <c r="P3887" s="56" t="n">
        <f aca="false">IF(OR(D3887=1,K3886=""),"",K3886)</f>
        <v>1024.3</v>
      </c>
      <c r="Q3887" s="56" t="n">
        <f aca="false">IF(OR(F3887&lt;&gt;0,AND(I3887&lt;&gt;"",E3887&lt;I3887)),1,0)</f>
        <v>0</v>
      </c>
      <c r="R3887" s="56" t="n">
        <f aca="false">IF(AND(D3887&gt;1,Q3887=0,ISNUMBER(O3887),ISNUMBER(P3887)),IF(Q3886=0,1,0),0)</f>
        <v>1</v>
      </c>
      <c r="S3887" s="56" t="n">
        <f aca="false">R3887*(B3887&gt;=Train_Start)*(B3887&lt;=Train_End)</f>
        <v>0</v>
      </c>
      <c r="T3887" s="84" t="n">
        <f aca="false">IF(AND(ISNUMBER(O3887),ISNUMBER(P3887)),Coef_A+Coef_B1*O3887+Coef_B2*P3887,"")</f>
        <v>21.5891493880954</v>
      </c>
      <c r="U3887" s="84" t="n">
        <f aca="false">IF(AND(R3887=1,ISNUMBER(T3887)),E3887-T3887,"")</f>
        <v>-1.48914938809537</v>
      </c>
      <c r="V3887" s="84" t="n">
        <f aca="false">IF(ISNUMBER(T3887),T3887,-99)</f>
        <v>21.5891493880954</v>
      </c>
      <c r="W3887" s="84" t="n">
        <f aca="false">IF(ISNUMBER(U3887),ABS(U3887),"")</f>
        <v>1.48914938809537</v>
      </c>
    </row>
    <row r="3888" customFormat="false" ht="15" hidden="false" customHeight="false" outlineLevel="0" collapsed="false">
      <c r="A3888" s="57" t="n">
        <v>38169</v>
      </c>
      <c r="B3888" s="56" t="n">
        <v>2004</v>
      </c>
      <c r="C3888" s="56" t="n">
        <v>7</v>
      </c>
      <c r="D3888" s="56" t="n">
        <v>62</v>
      </c>
      <c r="E3888" s="56" t="n">
        <v>19.2</v>
      </c>
      <c r="F3888" s="56" t="n">
        <v>0</v>
      </c>
      <c r="G3888" s="56" t="n">
        <v>11.2</v>
      </c>
      <c r="H3888" s="56" t="n">
        <v>0</v>
      </c>
      <c r="I3888" s="56" t="n">
        <v>15.6</v>
      </c>
      <c r="J3888" s="56" t="n">
        <v>0</v>
      </c>
      <c r="K3888" s="56" t="n">
        <v>1011.9</v>
      </c>
      <c r="L3888" s="56" t="n">
        <v>0</v>
      </c>
      <c r="M3888" s="56" t="n">
        <v>67</v>
      </c>
      <c r="N3888" s="56" t="n">
        <v>9</v>
      </c>
      <c r="O3888" s="56" t="n">
        <f aca="false">IF(D3888=1,"",E3887)</f>
        <v>20.1</v>
      </c>
      <c r="P3888" s="56" t="n">
        <f aca="false">IF(OR(D3888=1,K3887=""),"",K3887)</f>
        <v>1014.9</v>
      </c>
      <c r="Q3888" s="56" t="n">
        <f aca="false">IF(OR(F3888&lt;&gt;0,AND(I3888&lt;&gt;"",E3888&lt;I3888)),1,0)</f>
        <v>0</v>
      </c>
      <c r="R3888" s="56" t="n">
        <f aca="false">IF(AND(D3888&gt;1,Q3888=0,ISNUMBER(O3888),ISNUMBER(P3888)),IF(Q3887=0,1,0),0)</f>
        <v>1</v>
      </c>
      <c r="S3888" s="56" t="n">
        <f aca="false">R3888*(B3888&gt;=Train_Start)*(B3888&lt;=Train_End)</f>
        <v>0</v>
      </c>
      <c r="T3888" s="84" t="n">
        <f aca="false">IF(AND(ISNUMBER(O3888),ISNUMBER(P3888)),Coef_A+Coef_B1*O3888+Coef_B2*P3888,"")</f>
        <v>20.392999266189</v>
      </c>
      <c r="U3888" s="84" t="n">
        <f aca="false">IF(AND(R3888=1,ISNUMBER(T3888)),E3888-T3888,"")</f>
        <v>-1.19299926618895</v>
      </c>
      <c r="V3888" s="84" t="n">
        <f aca="false">IF(ISNUMBER(T3888),T3888,-99)</f>
        <v>20.392999266189</v>
      </c>
      <c r="W3888" s="84" t="n">
        <f aca="false">IF(ISNUMBER(U3888),ABS(U3888),"")</f>
        <v>1.19299926618895</v>
      </c>
    </row>
    <row r="3889" customFormat="false" ht="15" hidden="false" customHeight="false" outlineLevel="0" collapsed="false">
      <c r="A3889" s="57" t="n">
        <v>38170</v>
      </c>
      <c r="B3889" s="56" t="n">
        <v>2004</v>
      </c>
      <c r="C3889" s="56" t="n">
        <v>7</v>
      </c>
      <c r="D3889" s="56" t="n">
        <v>63</v>
      </c>
      <c r="E3889" s="56" t="n">
        <v>20</v>
      </c>
      <c r="F3889" s="56" t="n">
        <v>0</v>
      </c>
      <c r="G3889" s="56" t="n">
        <v>11.9</v>
      </c>
      <c r="H3889" s="56" t="n">
        <v>0</v>
      </c>
      <c r="I3889" s="56" t="n">
        <v>15.6</v>
      </c>
      <c r="J3889" s="56" t="n">
        <v>0</v>
      </c>
      <c r="K3889" s="56" t="n">
        <v>1009.2</v>
      </c>
      <c r="L3889" s="56" t="n">
        <v>0</v>
      </c>
      <c r="M3889" s="56" t="n">
        <v>79</v>
      </c>
      <c r="N3889" s="56" t="n">
        <v>6.3</v>
      </c>
      <c r="O3889" s="56" t="n">
        <f aca="false">IF(D3889=1,"",E3888)</f>
        <v>19.2</v>
      </c>
      <c r="P3889" s="56" t="n">
        <f aca="false">IF(OR(D3889=1,K3888=""),"",K3888)</f>
        <v>1011.9</v>
      </c>
      <c r="Q3889" s="56" t="n">
        <f aca="false">IF(OR(F3889&lt;&gt;0,AND(I3889&lt;&gt;"",E3889&lt;I3889)),1,0)</f>
        <v>0</v>
      </c>
      <c r="R3889" s="56" t="n">
        <f aca="false">IF(AND(D3889&gt;1,Q3889=0,ISNUMBER(O3889),ISNUMBER(P3889)),IF(Q3888=0,1,0),0)</f>
        <v>1</v>
      </c>
      <c r="S3889" s="56" t="n">
        <f aca="false">R3889*(B3889&gt;=Train_Start)*(B3889&lt;=Train_End)</f>
        <v>0</v>
      </c>
      <c r="T3889" s="84" t="n">
        <f aca="false">IF(AND(ISNUMBER(O3889),ISNUMBER(P3889)),Coef_A+Coef_B1*O3889+Coef_B2*P3889,"")</f>
        <v>19.5614843085486</v>
      </c>
      <c r="U3889" s="84" t="n">
        <f aca="false">IF(AND(R3889=1,ISNUMBER(T3889)),E3889-T3889,"")</f>
        <v>0.438515691451414</v>
      </c>
      <c r="V3889" s="84" t="n">
        <f aca="false">IF(ISNUMBER(T3889),T3889,-99)</f>
        <v>19.5614843085486</v>
      </c>
      <c r="W3889" s="84" t="n">
        <f aca="false">IF(ISNUMBER(U3889),ABS(U3889),"")</f>
        <v>0.438515691451414</v>
      </c>
    </row>
    <row r="3890" customFormat="false" ht="15" hidden="false" customHeight="false" outlineLevel="0" collapsed="false">
      <c r="A3890" s="57" t="n">
        <v>38171</v>
      </c>
      <c r="B3890" s="56" t="n">
        <v>2004</v>
      </c>
      <c r="C3890" s="56" t="n">
        <v>7</v>
      </c>
      <c r="D3890" s="56" t="n">
        <v>64</v>
      </c>
      <c r="E3890" s="56" t="n">
        <v>18.1</v>
      </c>
      <c r="F3890" s="56" t="n">
        <v>0</v>
      </c>
      <c r="G3890" s="56" t="n">
        <v>11.7</v>
      </c>
      <c r="H3890" s="56" t="n">
        <v>0</v>
      </c>
      <c r="I3890" s="56" t="n">
        <v>15.8</v>
      </c>
      <c r="J3890" s="56" t="n">
        <v>0</v>
      </c>
      <c r="K3890" s="56" t="n">
        <v>1012.2</v>
      </c>
      <c r="L3890" s="56" t="n">
        <v>0</v>
      </c>
      <c r="M3890" s="56" t="n">
        <v>67</v>
      </c>
      <c r="N3890" s="56" t="n">
        <v>11</v>
      </c>
      <c r="O3890" s="56" t="n">
        <f aca="false">IF(D3890=1,"",E3889)</f>
        <v>20</v>
      </c>
      <c r="P3890" s="56" t="n">
        <f aca="false">IF(OR(D3890=1,K3889=""),"",K3889)</f>
        <v>1009.2</v>
      </c>
      <c r="Q3890" s="56" t="n">
        <f aca="false">IF(OR(F3890&lt;&gt;0,AND(I3890&lt;&gt;"",E3890&lt;I3890)),1,0)</f>
        <v>0</v>
      </c>
      <c r="R3890" s="56" t="n">
        <f aca="false">IF(AND(D3890&gt;1,Q3890=0,ISNUMBER(O3890),ISNUMBER(P3890)),IF(Q3889=0,1,0),0)</f>
        <v>1</v>
      </c>
      <c r="S3890" s="56" t="n">
        <f aca="false">R3890*(B3890&gt;=Train_Start)*(B3890&lt;=Train_End)</f>
        <v>0</v>
      </c>
      <c r="T3890" s="84" t="n">
        <f aca="false">IF(AND(ISNUMBER(O3890),ISNUMBER(P3890)),Coef_A+Coef_B1*O3890+Coef_B2*P3890,"")</f>
        <v>20.1322569474709</v>
      </c>
      <c r="U3890" s="84" t="n">
        <f aca="false">IF(AND(R3890=1,ISNUMBER(T3890)),E3890-T3890,"")</f>
        <v>-2.03225694747094</v>
      </c>
      <c r="V3890" s="84" t="n">
        <f aca="false">IF(ISNUMBER(T3890),T3890,-99)</f>
        <v>20.1322569474709</v>
      </c>
      <c r="W3890" s="84" t="n">
        <f aca="false">IF(ISNUMBER(U3890),ABS(U3890),"")</f>
        <v>2.03225694747094</v>
      </c>
    </row>
    <row r="3891" customFormat="false" ht="15" hidden="false" customHeight="false" outlineLevel="0" collapsed="false">
      <c r="A3891" s="57" t="n">
        <v>38172</v>
      </c>
      <c r="B3891" s="56" t="n">
        <v>2004</v>
      </c>
      <c r="C3891" s="56" t="n">
        <v>7</v>
      </c>
      <c r="D3891" s="56" t="n">
        <v>65</v>
      </c>
      <c r="E3891" s="56" t="n">
        <v>21.3</v>
      </c>
      <c r="F3891" s="56" t="n">
        <v>0</v>
      </c>
      <c r="G3891" s="56" t="n">
        <v>11.7</v>
      </c>
      <c r="H3891" s="56" t="n">
        <v>0</v>
      </c>
      <c r="I3891" s="56" t="n">
        <v>14.9</v>
      </c>
      <c r="J3891" s="56" t="n">
        <v>0</v>
      </c>
      <c r="K3891" s="56" t="n">
        <v>1013.9</v>
      </c>
      <c r="L3891" s="56" t="n">
        <v>0</v>
      </c>
      <c r="M3891" s="56" t="n">
        <v>72</v>
      </c>
      <c r="N3891" s="56" t="n">
        <v>4.6</v>
      </c>
      <c r="O3891" s="56" t="n">
        <f aca="false">IF(D3891=1,"",E3890)</f>
        <v>18.1</v>
      </c>
      <c r="P3891" s="56" t="n">
        <f aca="false">IF(OR(D3891=1,K3890=""),"",K3890)</f>
        <v>1012.2</v>
      </c>
      <c r="Q3891" s="56" t="n">
        <f aca="false">IF(OR(F3891&lt;&gt;0,AND(I3891&lt;&gt;"",E3891&lt;I3891)),1,0)</f>
        <v>0</v>
      </c>
      <c r="R3891" s="56" t="n">
        <f aca="false">IF(AND(D3891&gt;1,Q3891=0,ISNUMBER(O3891),ISNUMBER(P3891)),IF(Q3890=0,1,0),0)</f>
        <v>1</v>
      </c>
      <c r="S3891" s="56" t="n">
        <f aca="false">R3891*(B3891&gt;=Train_Start)*(B3891&lt;=Train_End)</f>
        <v>0</v>
      </c>
      <c r="T3891" s="84" t="n">
        <f aca="false">IF(AND(ISNUMBER(O3891),ISNUMBER(P3891)),Coef_A+Coef_B1*O3891+Coef_B2*P3891,"")</f>
        <v>18.6696221645919</v>
      </c>
      <c r="U3891" s="84" t="n">
        <f aca="false">IF(AND(R3891=1,ISNUMBER(T3891)),E3891-T3891,"")</f>
        <v>2.63037783540814</v>
      </c>
      <c r="V3891" s="84" t="n">
        <f aca="false">IF(ISNUMBER(T3891),T3891,-99)</f>
        <v>18.6696221645919</v>
      </c>
      <c r="W3891" s="84" t="n">
        <f aca="false">IF(ISNUMBER(U3891),ABS(U3891),"")</f>
        <v>2.63037783540814</v>
      </c>
    </row>
    <row r="3892" customFormat="false" ht="15" hidden="false" customHeight="false" outlineLevel="0" collapsed="false">
      <c r="A3892" s="57" t="n">
        <v>38173</v>
      </c>
      <c r="B3892" s="56" t="n">
        <v>2004</v>
      </c>
      <c r="C3892" s="56" t="n">
        <v>7</v>
      </c>
      <c r="D3892" s="56" t="n">
        <v>66</v>
      </c>
      <c r="E3892" s="56" t="n">
        <v>23.7</v>
      </c>
      <c r="F3892" s="56" t="n">
        <v>0</v>
      </c>
      <c r="G3892" s="56" t="n">
        <v>9.3</v>
      </c>
      <c r="H3892" s="56" t="n">
        <v>0</v>
      </c>
      <c r="I3892" s="56" t="n">
        <v>15.3</v>
      </c>
      <c r="J3892" s="56" t="n">
        <v>0</v>
      </c>
      <c r="K3892" s="56" t="n">
        <v>1019</v>
      </c>
      <c r="L3892" s="56" t="n">
        <v>0</v>
      </c>
      <c r="M3892" s="56" t="n">
        <v>62</v>
      </c>
      <c r="N3892" s="56" t="n">
        <v>13.6</v>
      </c>
      <c r="O3892" s="56" t="n">
        <f aca="false">IF(D3892=1,"",E3891)</f>
        <v>21.3</v>
      </c>
      <c r="P3892" s="56" t="n">
        <f aca="false">IF(OR(D3892=1,K3891=""),"",K3891)</f>
        <v>1013.9</v>
      </c>
      <c r="Q3892" s="56" t="n">
        <f aca="false">IF(OR(F3892&lt;&gt;0,AND(I3892&lt;&gt;"",E3892&lt;I3892)),1,0)</f>
        <v>0</v>
      </c>
      <c r="R3892" s="56" t="n">
        <f aca="false">IF(AND(D3892&gt;1,Q3892=0,ISNUMBER(O3892),ISNUMBER(P3892)),IF(Q3891=0,1,0),0)</f>
        <v>1</v>
      </c>
      <c r="S3892" s="56" t="n">
        <f aca="false">R3892*(B3892&gt;=Train_Start)*(B3892&lt;=Train_End)</f>
        <v>0</v>
      </c>
      <c r="T3892" s="84" t="n">
        <f aca="false">IF(AND(ISNUMBER(O3892),ISNUMBER(P3892)),Coef_A+Coef_B1*O3892+Coef_B2*P3892,"")</f>
        <v>21.3448364032062</v>
      </c>
      <c r="U3892" s="84" t="n">
        <f aca="false">IF(AND(R3892=1,ISNUMBER(T3892)),E3892-T3892,"")</f>
        <v>2.35516359679385</v>
      </c>
      <c r="V3892" s="84" t="n">
        <f aca="false">IF(ISNUMBER(T3892),T3892,-99)</f>
        <v>21.3448364032062</v>
      </c>
      <c r="W3892" s="84" t="n">
        <f aca="false">IF(ISNUMBER(U3892),ABS(U3892),"")</f>
        <v>2.35516359679385</v>
      </c>
    </row>
    <row r="3893" customFormat="false" ht="15" hidden="false" customHeight="false" outlineLevel="0" collapsed="false">
      <c r="A3893" s="57" t="n">
        <v>38174</v>
      </c>
      <c r="B3893" s="56" t="n">
        <v>2004</v>
      </c>
      <c r="C3893" s="56" t="n">
        <v>7</v>
      </c>
      <c r="D3893" s="56" t="n">
        <v>67</v>
      </c>
      <c r="E3893" s="56" t="n">
        <v>22.1</v>
      </c>
      <c r="F3893" s="56" t="n">
        <v>0</v>
      </c>
      <c r="G3893" s="56" t="n">
        <v>11.1</v>
      </c>
      <c r="H3893" s="56" t="n">
        <v>0</v>
      </c>
      <c r="I3893" s="56" t="n">
        <v>17.4</v>
      </c>
      <c r="J3893" s="56" t="n">
        <v>0</v>
      </c>
      <c r="K3893" s="56" t="n">
        <v>1021.3</v>
      </c>
      <c r="L3893" s="56" t="n">
        <v>0</v>
      </c>
      <c r="M3893" s="56" t="n">
        <v>55</v>
      </c>
      <c r="N3893" s="56" t="n">
        <v>10.4</v>
      </c>
      <c r="O3893" s="56" t="n">
        <f aca="false">IF(D3893=1,"",E3892)</f>
        <v>23.7</v>
      </c>
      <c r="P3893" s="56" t="n">
        <f aca="false">IF(OR(D3893=1,K3892=""),"",K3892)</f>
        <v>1019</v>
      </c>
      <c r="Q3893" s="56" t="n">
        <f aca="false">IF(OR(F3893&lt;&gt;0,AND(I3893&lt;&gt;"",E3893&lt;I3893)),1,0)</f>
        <v>0</v>
      </c>
      <c r="R3893" s="56" t="n">
        <f aca="false">IF(AND(D3893&gt;1,Q3893=0,ISNUMBER(O3893),ISNUMBER(P3893)),IF(Q3892=0,1,0),0)</f>
        <v>1</v>
      </c>
      <c r="S3893" s="56" t="n">
        <f aca="false">R3893*(B3893&gt;=Train_Start)*(B3893&lt;=Train_End)</f>
        <v>0</v>
      </c>
      <c r="T3893" s="84" t="n">
        <f aca="false">IF(AND(ISNUMBER(O3893),ISNUMBER(P3893)),Coef_A+Coef_B1*O3893+Coef_B2*P3893,"")</f>
        <v>23.4712369291419</v>
      </c>
      <c r="U3893" s="84" t="n">
        <f aca="false">IF(AND(R3893=1,ISNUMBER(T3893)),E3893-T3893,"")</f>
        <v>-1.37123692914187</v>
      </c>
      <c r="V3893" s="84" t="n">
        <f aca="false">IF(ISNUMBER(T3893),T3893,-99)</f>
        <v>23.4712369291419</v>
      </c>
      <c r="W3893" s="84" t="n">
        <f aca="false">IF(ISNUMBER(U3893),ABS(U3893),"")</f>
        <v>1.37123692914187</v>
      </c>
    </row>
    <row r="3894" customFormat="false" ht="15" hidden="false" customHeight="false" outlineLevel="0" collapsed="false">
      <c r="A3894" s="57" t="n">
        <v>38175</v>
      </c>
      <c r="B3894" s="56" t="n">
        <v>2004</v>
      </c>
      <c r="C3894" s="56" t="n">
        <v>7</v>
      </c>
      <c r="D3894" s="56" t="n">
        <v>68</v>
      </c>
      <c r="E3894" s="56" t="n">
        <v>18.9</v>
      </c>
      <c r="F3894" s="56" t="n">
        <v>0</v>
      </c>
      <c r="G3894" s="56" t="n">
        <v>13.2</v>
      </c>
      <c r="H3894" s="56" t="n">
        <v>0</v>
      </c>
      <c r="I3894" s="56" t="n">
        <v>17.6</v>
      </c>
      <c r="J3894" s="56" t="n">
        <v>0</v>
      </c>
      <c r="K3894" s="56" t="n">
        <v>1012.1</v>
      </c>
      <c r="L3894" s="56" t="n">
        <v>0</v>
      </c>
      <c r="M3894" s="56" t="n">
        <v>71</v>
      </c>
      <c r="N3894" s="56" t="n">
        <v>2.7</v>
      </c>
      <c r="O3894" s="56" t="n">
        <f aca="false">IF(D3894=1,"",E3893)</f>
        <v>22.1</v>
      </c>
      <c r="P3894" s="56" t="n">
        <f aca="false">IF(OR(D3894=1,K3893=""),"",K3893)</f>
        <v>1021.3</v>
      </c>
      <c r="Q3894" s="56" t="n">
        <f aca="false">IF(OR(F3894&lt;&gt;0,AND(I3894&lt;&gt;"",E3894&lt;I3894)),1,0)</f>
        <v>0</v>
      </c>
      <c r="R3894" s="56" t="n">
        <f aca="false">IF(AND(D3894&gt;1,Q3894=0,ISNUMBER(O3894),ISNUMBER(P3894)),IF(Q3893=0,1,0),0)</f>
        <v>1</v>
      </c>
      <c r="S3894" s="56" t="n">
        <f aca="false">R3894*(B3894&gt;=Train_Start)*(B3894&lt;=Train_End)</f>
        <v>0</v>
      </c>
      <c r="T3894" s="84" t="n">
        <f aca="false">IF(AND(ISNUMBER(O3894),ISNUMBER(P3894)),Coef_A+Coef_B1*O3894+Coef_B2*P3894,"")</f>
        <v>22.2324449779318</v>
      </c>
      <c r="U3894" s="84" t="n">
        <f aca="false">IF(AND(R3894=1,ISNUMBER(T3894)),E3894-T3894,"")</f>
        <v>-3.3324449779318</v>
      </c>
      <c r="V3894" s="84" t="n">
        <f aca="false">IF(ISNUMBER(T3894),T3894,-99)</f>
        <v>22.2324449779318</v>
      </c>
      <c r="W3894" s="84" t="n">
        <f aca="false">IF(ISNUMBER(U3894),ABS(U3894),"")</f>
        <v>3.3324449779318</v>
      </c>
    </row>
    <row r="3895" customFormat="false" ht="15" hidden="false" customHeight="false" outlineLevel="0" collapsed="false">
      <c r="A3895" s="57" t="n">
        <v>38176</v>
      </c>
      <c r="B3895" s="56" t="n">
        <v>2004</v>
      </c>
      <c r="C3895" s="56" t="n">
        <v>7</v>
      </c>
      <c r="D3895" s="56" t="n">
        <v>69</v>
      </c>
      <c r="E3895" s="56" t="n">
        <v>19.2</v>
      </c>
      <c r="F3895" s="56" t="n">
        <v>0</v>
      </c>
      <c r="G3895" s="56" t="n">
        <v>12.2</v>
      </c>
      <c r="H3895" s="56" t="n">
        <v>0</v>
      </c>
      <c r="I3895" s="56" t="n">
        <v>15.6</v>
      </c>
      <c r="J3895" s="56" t="n">
        <v>0</v>
      </c>
      <c r="K3895" s="56" t="n">
        <v>1005.2</v>
      </c>
      <c r="L3895" s="56" t="n">
        <v>0</v>
      </c>
      <c r="M3895" s="56" t="n">
        <v>82</v>
      </c>
      <c r="N3895" s="56" t="n">
        <v>2.8</v>
      </c>
      <c r="O3895" s="56" t="n">
        <f aca="false">IF(D3895=1,"",E3894)</f>
        <v>18.9</v>
      </c>
      <c r="P3895" s="56" t="n">
        <f aca="false">IF(OR(D3895=1,K3894=""),"",K3894)</f>
        <v>1012.1</v>
      </c>
      <c r="Q3895" s="56" t="n">
        <f aca="false">IF(OR(F3895&lt;&gt;0,AND(I3895&lt;&gt;"",E3895&lt;I3895)),1,0)</f>
        <v>0</v>
      </c>
      <c r="R3895" s="56" t="n">
        <f aca="false">IF(AND(D3895&gt;1,Q3895=0,ISNUMBER(O3895),ISNUMBER(P3895)),IF(Q3894=0,1,0),0)</f>
        <v>1</v>
      </c>
      <c r="S3895" s="56" t="n">
        <f aca="false">R3895*(B3895&gt;=Train_Start)*(B3895&lt;=Train_End)</f>
        <v>0</v>
      </c>
      <c r="T3895" s="84" t="n">
        <f aca="false">IF(AND(ISNUMBER(O3895),ISNUMBER(P3895)),Coef_A+Coef_B1*O3895+Coef_B2*P3895,"")</f>
        <v>19.3219565295626</v>
      </c>
      <c r="U3895" s="84" t="n">
        <f aca="false">IF(AND(R3895=1,ISNUMBER(T3895)),E3895-T3895,"")</f>
        <v>-0.121956529562592</v>
      </c>
      <c r="V3895" s="84" t="n">
        <f aca="false">IF(ISNUMBER(T3895),T3895,-99)</f>
        <v>19.3219565295626</v>
      </c>
      <c r="W3895" s="84" t="n">
        <f aca="false">IF(ISNUMBER(U3895),ABS(U3895),"")</f>
        <v>0.121956529562592</v>
      </c>
    </row>
    <row r="3896" customFormat="false" ht="15" hidden="false" customHeight="false" outlineLevel="0" collapsed="false">
      <c r="A3896" s="57" t="n">
        <v>38177</v>
      </c>
      <c r="B3896" s="56" t="n">
        <v>2004</v>
      </c>
      <c r="C3896" s="56" t="n">
        <v>7</v>
      </c>
      <c r="D3896" s="56" t="n">
        <v>70</v>
      </c>
      <c r="E3896" s="56" t="n">
        <v>18.4</v>
      </c>
      <c r="F3896" s="56" t="n">
        <v>0</v>
      </c>
      <c r="G3896" s="56" t="n">
        <v>11.2</v>
      </c>
      <c r="H3896" s="56" t="n">
        <v>0</v>
      </c>
      <c r="I3896" s="56" t="n">
        <v>15.2</v>
      </c>
      <c r="J3896" s="56" t="n">
        <v>0</v>
      </c>
      <c r="K3896" s="56" t="n">
        <v>1012.4</v>
      </c>
      <c r="L3896" s="56" t="n">
        <v>0</v>
      </c>
      <c r="M3896" s="56" t="n">
        <v>65</v>
      </c>
      <c r="N3896" s="56" t="n">
        <v>3.9</v>
      </c>
      <c r="O3896" s="56" t="n">
        <f aca="false">IF(D3896=1,"",E3895)</f>
        <v>19.2</v>
      </c>
      <c r="P3896" s="56" t="n">
        <f aca="false">IF(OR(D3896=1,K3895=""),"",K3895)</f>
        <v>1005.2</v>
      </c>
      <c r="Q3896" s="56" t="n">
        <f aca="false">IF(OR(F3896&lt;&gt;0,AND(I3896&lt;&gt;"",E3896&lt;I3896)),1,0)</f>
        <v>0</v>
      </c>
      <c r="R3896" s="56" t="n">
        <f aca="false">IF(AND(D3896&gt;1,Q3896=0,ISNUMBER(O3896),ISNUMBER(P3896)),IF(Q3895=0,1,0),0)</f>
        <v>1</v>
      </c>
      <c r="S3896" s="56" t="n">
        <f aca="false">R3896*(B3896&gt;=Train_Start)*(B3896&lt;=Train_End)</f>
        <v>0</v>
      </c>
      <c r="T3896" s="84" t="n">
        <f aca="false">IF(AND(ISNUMBER(O3896),ISNUMBER(P3896)),Coef_A+Coef_B1*O3896+Coef_B2*P3896,"")</f>
        <v>19.3513060145009</v>
      </c>
      <c r="U3896" s="84" t="n">
        <f aca="false">IF(AND(R3896=1,ISNUMBER(T3896)),E3896-T3896,"")</f>
        <v>-0.951306014500865</v>
      </c>
      <c r="V3896" s="84" t="n">
        <f aca="false">IF(ISNUMBER(T3896),T3896,-99)</f>
        <v>19.3513060145009</v>
      </c>
      <c r="W3896" s="84" t="n">
        <f aca="false">IF(ISNUMBER(U3896),ABS(U3896),"")</f>
        <v>0.951306014500865</v>
      </c>
    </row>
    <row r="3897" customFormat="false" ht="15" hidden="false" customHeight="false" outlineLevel="0" collapsed="false">
      <c r="A3897" s="57" t="n">
        <v>38178</v>
      </c>
      <c r="B3897" s="56" t="n">
        <v>2004</v>
      </c>
      <c r="C3897" s="56" t="n">
        <v>7</v>
      </c>
      <c r="D3897" s="56" t="n">
        <v>71</v>
      </c>
      <c r="E3897" s="56" t="n">
        <v>18.4</v>
      </c>
      <c r="F3897" s="56" t="n">
        <v>0</v>
      </c>
      <c r="G3897" s="56" t="n">
        <v>10</v>
      </c>
      <c r="H3897" s="56" t="n">
        <v>0</v>
      </c>
      <c r="I3897" s="56" t="n">
        <v>14.2</v>
      </c>
      <c r="J3897" s="56" t="n">
        <v>0</v>
      </c>
      <c r="K3897" s="56" t="n">
        <v>1014.8</v>
      </c>
      <c r="L3897" s="56" t="n">
        <v>0</v>
      </c>
      <c r="M3897" s="56" t="n">
        <v>73</v>
      </c>
      <c r="N3897" s="56" t="n">
        <v>8.5</v>
      </c>
      <c r="O3897" s="56" t="n">
        <f aca="false">IF(D3897=1,"",E3896)</f>
        <v>18.4</v>
      </c>
      <c r="P3897" s="56" t="n">
        <f aca="false">IF(OR(D3897=1,K3896=""),"",K3896)</f>
        <v>1012.4</v>
      </c>
      <c r="Q3897" s="56" t="n">
        <f aca="false">IF(OR(F3897&lt;&gt;0,AND(I3897&lt;&gt;"",E3897&lt;I3897)),1,0)</f>
        <v>0</v>
      </c>
      <c r="R3897" s="56" t="n">
        <f aca="false">IF(AND(D3897&gt;1,Q3897=0,ISNUMBER(O3897),ISNUMBER(P3897)),IF(Q3896=0,1,0),0)</f>
        <v>1</v>
      </c>
      <c r="S3897" s="56" t="n">
        <f aca="false">R3897*(B3897&gt;=Train_Start)*(B3897&lt;=Train_End)</f>
        <v>0</v>
      </c>
      <c r="T3897" s="84" t="n">
        <f aca="false">IF(AND(ISNUMBER(O3897),ISNUMBER(P3897)),Coef_A+Coef_B1*O3897+Coef_B2*P3897,"")</f>
        <v>18.9216979014315</v>
      </c>
      <c r="U3897" s="84" t="n">
        <f aca="false">IF(AND(R3897=1,ISNUMBER(T3897)),E3897-T3897,"")</f>
        <v>-0.521697901431459</v>
      </c>
      <c r="V3897" s="84" t="n">
        <f aca="false">IF(ISNUMBER(T3897),T3897,-99)</f>
        <v>18.9216979014315</v>
      </c>
      <c r="W3897" s="84" t="n">
        <f aca="false">IF(ISNUMBER(U3897),ABS(U3897),"")</f>
        <v>0.521697901431459</v>
      </c>
    </row>
    <row r="3898" customFormat="false" ht="15" hidden="false" customHeight="false" outlineLevel="0" collapsed="false">
      <c r="A3898" s="57" t="n">
        <v>38179</v>
      </c>
      <c r="B3898" s="56" t="n">
        <v>2004</v>
      </c>
      <c r="C3898" s="56" t="n">
        <v>7</v>
      </c>
      <c r="D3898" s="56" t="n">
        <v>72</v>
      </c>
      <c r="E3898" s="56" t="n">
        <v>18.7</v>
      </c>
      <c r="F3898" s="56" t="n">
        <v>0</v>
      </c>
      <c r="G3898" s="56" t="n">
        <v>11.2</v>
      </c>
      <c r="H3898" s="56" t="n">
        <v>0</v>
      </c>
      <c r="I3898" s="56" t="n">
        <v>14.8</v>
      </c>
      <c r="J3898" s="56" t="n">
        <v>0</v>
      </c>
      <c r="K3898" s="56" t="n">
        <v>1013</v>
      </c>
      <c r="L3898" s="56" t="n">
        <v>0</v>
      </c>
      <c r="M3898" s="56" t="n">
        <v>72</v>
      </c>
      <c r="N3898" s="56" t="n">
        <v>2.5</v>
      </c>
      <c r="O3898" s="56" t="n">
        <f aca="false">IF(D3898=1,"",E3897)</f>
        <v>18.4</v>
      </c>
      <c r="P3898" s="56" t="n">
        <f aca="false">IF(OR(D3898=1,K3897=""),"",K3897)</f>
        <v>1014.8</v>
      </c>
      <c r="Q3898" s="56" t="n">
        <f aca="false">IF(OR(F3898&lt;&gt;0,AND(I3898&lt;&gt;"",E3898&lt;I3898)),1,0)</f>
        <v>0</v>
      </c>
      <c r="R3898" s="56" t="n">
        <f aca="false">IF(AND(D3898&gt;1,Q3898=0,ISNUMBER(O3898),ISNUMBER(P3898)),IF(Q3897=0,1,0),0)</f>
        <v>1</v>
      </c>
      <c r="S3898" s="56" t="n">
        <f aca="false">R3898*(B3898&gt;=Train_Start)*(B3898&lt;=Train_End)</f>
        <v>0</v>
      </c>
      <c r="T3898" s="84" t="n">
        <f aca="false">IF(AND(ISNUMBER(O3898),ISNUMBER(P3898)),Coef_A+Coef_B1*O3898+Coef_B2*P3898,"")</f>
        <v>18.996985648553</v>
      </c>
      <c r="U3898" s="84" t="n">
        <f aca="false">IF(AND(R3898=1,ISNUMBER(T3898)),E3898-T3898,"")</f>
        <v>-0.296985648553029</v>
      </c>
      <c r="V3898" s="84" t="n">
        <f aca="false">IF(ISNUMBER(T3898),T3898,-99)</f>
        <v>18.996985648553</v>
      </c>
      <c r="W3898" s="84" t="n">
        <f aca="false">IF(ISNUMBER(U3898),ABS(U3898),"")</f>
        <v>0.296985648553029</v>
      </c>
    </row>
    <row r="3899" customFormat="false" ht="15" hidden="false" customHeight="false" outlineLevel="0" collapsed="false">
      <c r="A3899" s="57" t="n">
        <v>38180</v>
      </c>
      <c r="B3899" s="56" t="n">
        <v>2004</v>
      </c>
      <c r="C3899" s="56" t="n">
        <v>7</v>
      </c>
      <c r="D3899" s="56" t="n">
        <v>73</v>
      </c>
      <c r="E3899" s="56" t="n">
        <v>21.1</v>
      </c>
      <c r="F3899" s="56" t="n">
        <v>0</v>
      </c>
      <c r="G3899" s="56" t="n">
        <v>12.3</v>
      </c>
      <c r="H3899" s="56" t="n">
        <v>0</v>
      </c>
      <c r="I3899" s="56" t="n">
        <v>15.5</v>
      </c>
      <c r="J3899" s="56" t="n">
        <v>0</v>
      </c>
      <c r="K3899" s="56" t="n">
        <v>1015.4</v>
      </c>
      <c r="L3899" s="56" t="n">
        <v>0</v>
      </c>
      <c r="M3899" s="56" t="n">
        <v>69</v>
      </c>
      <c r="N3899" s="56" t="n">
        <v>1.8</v>
      </c>
      <c r="O3899" s="56" t="n">
        <f aca="false">IF(D3899=1,"",E3898)</f>
        <v>18.7</v>
      </c>
      <c r="P3899" s="56" t="n">
        <f aca="false">IF(OR(D3899=1,K3898=""),"",K3898)</f>
        <v>1013</v>
      </c>
      <c r="Q3899" s="56" t="n">
        <f aca="false">IF(OR(F3899&lt;&gt;0,AND(I3899&lt;&gt;"",E3899&lt;I3899)),1,0)</f>
        <v>0</v>
      </c>
      <c r="R3899" s="56" t="n">
        <f aca="false">IF(AND(D3899&gt;1,Q3899=0,ISNUMBER(O3899),ISNUMBER(P3899)),IF(Q3898=0,1,0),0)</f>
        <v>1</v>
      </c>
      <c r="S3899" s="56" t="n">
        <f aca="false">R3899*(B3899&gt;=Train_Start)*(B3899&lt;=Train_End)</f>
        <v>0</v>
      </c>
      <c r="T3899" s="84" t="n">
        <f aca="false">IF(AND(ISNUMBER(O3899),ISNUMBER(P3899)),Coef_A+Coef_B1*O3899+Coef_B2*P3899,"")</f>
        <v>19.1863215961247</v>
      </c>
      <c r="U3899" s="84" t="n">
        <f aca="false">IF(AND(R3899=1,ISNUMBER(T3899)),E3899-T3899,"")</f>
        <v>1.91367840387535</v>
      </c>
      <c r="V3899" s="84" t="n">
        <f aca="false">IF(ISNUMBER(T3899),T3899,-99)</f>
        <v>19.1863215961247</v>
      </c>
      <c r="W3899" s="84" t="n">
        <f aca="false">IF(ISNUMBER(U3899),ABS(U3899),"")</f>
        <v>1.91367840387535</v>
      </c>
    </row>
    <row r="3900" customFormat="false" ht="15" hidden="false" customHeight="false" outlineLevel="0" collapsed="false">
      <c r="A3900" s="57" t="n">
        <v>38181</v>
      </c>
      <c r="B3900" s="56" t="n">
        <v>2004</v>
      </c>
      <c r="C3900" s="56" t="n">
        <v>7</v>
      </c>
      <c r="D3900" s="56" t="n">
        <v>74</v>
      </c>
      <c r="E3900" s="56" t="n">
        <v>22.1</v>
      </c>
      <c r="F3900" s="56" t="n">
        <v>0</v>
      </c>
      <c r="G3900" s="56" t="n">
        <v>10</v>
      </c>
      <c r="H3900" s="56" t="n">
        <v>0</v>
      </c>
      <c r="I3900" s="56" t="n">
        <v>15.6</v>
      </c>
      <c r="J3900" s="56" t="n">
        <v>0</v>
      </c>
      <c r="K3900" s="56" t="n">
        <v>1018.2</v>
      </c>
      <c r="L3900" s="56" t="n">
        <v>0</v>
      </c>
      <c r="M3900" s="56" t="n">
        <v>60</v>
      </c>
      <c r="N3900" s="56" t="n">
        <v>8.9</v>
      </c>
      <c r="O3900" s="56" t="n">
        <f aca="false">IF(D3900=1,"",E3899)</f>
        <v>21.1</v>
      </c>
      <c r="P3900" s="56" t="n">
        <f aca="false">IF(OR(D3900=1,K3899=""),"",K3899)</f>
        <v>1015.4</v>
      </c>
      <c r="Q3900" s="56" t="n">
        <f aca="false">IF(OR(F3900&lt;&gt;0,AND(I3900&lt;&gt;"",E3900&lt;I3900)),1,0)</f>
        <v>0</v>
      </c>
      <c r="R3900" s="56" t="n">
        <f aca="false">IF(AND(D3900&gt;1,Q3900=0,ISNUMBER(O3900),ISNUMBER(P3900)),IF(Q3899=0,1,0),0)</f>
        <v>1</v>
      </c>
      <c r="S3900" s="56" t="n">
        <f aca="false">R3900*(B3900&gt;=Train_Start)*(B3900&lt;=Train_End)</f>
        <v>0</v>
      </c>
      <c r="T3900" s="84" t="n">
        <f aca="false">IF(AND(ISNUMBER(O3900),ISNUMBER(P3900)),Coef_A+Coef_B1*O3900+Coef_B2*P3900,"")</f>
        <v>21.2280234065486</v>
      </c>
      <c r="U3900" s="84" t="n">
        <f aca="false">IF(AND(R3900=1,ISNUMBER(T3900)),E3900-T3900,"")</f>
        <v>0.8719765934514</v>
      </c>
      <c r="V3900" s="84" t="n">
        <f aca="false">IF(ISNUMBER(T3900),T3900,-99)</f>
        <v>21.2280234065486</v>
      </c>
      <c r="W3900" s="84" t="n">
        <f aca="false">IF(ISNUMBER(U3900),ABS(U3900),"")</f>
        <v>0.8719765934514</v>
      </c>
    </row>
    <row r="3901" customFormat="false" ht="15" hidden="false" customHeight="false" outlineLevel="0" collapsed="false">
      <c r="A3901" s="57" t="n">
        <v>38182</v>
      </c>
      <c r="B3901" s="56" t="n">
        <v>2004</v>
      </c>
      <c r="C3901" s="56" t="n">
        <v>7</v>
      </c>
      <c r="D3901" s="56" t="n">
        <v>75</v>
      </c>
      <c r="E3901" s="56" t="n">
        <v>24</v>
      </c>
      <c r="F3901" s="56" t="n">
        <v>0</v>
      </c>
      <c r="G3901" s="56" t="n">
        <v>13.1</v>
      </c>
      <c r="H3901" s="56" t="n">
        <v>0</v>
      </c>
      <c r="I3901" s="56" t="n">
        <v>17.6</v>
      </c>
      <c r="J3901" s="56" t="n">
        <v>0</v>
      </c>
      <c r="K3901" s="56" t="n">
        <v>1016.5</v>
      </c>
      <c r="L3901" s="56" t="n">
        <v>0</v>
      </c>
      <c r="M3901" s="56" t="n">
        <v>78</v>
      </c>
      <c r="N3901" s="56" t="n">
        <v>2.3</v>
      </c>
      <c r="O3901" s="56" t="n">
        <f aca="false">IF(D3901=1,"",E3900)</f>
        <v>22.1</v>
      </c>
      <c r="P3901" s="56" t="n">
        <f aca="false">IF(OR(D3901=1,K3900=""),"",K3900)</f>
        <v>1018.2</v>
      </c>
      <c r="Q3901" s="56" t="n">
        <f aca="false">IF(OR(F3901&lt;&gt;0,AND(I3901&lt;&gt;"",E3901&lt;I3901)),1,0)</f>
        <v>0</v>
      </c>
      <c r="R3901" s="56" t="n">
        <f aca="false">IF(AND(D3901&gt;1,Q3901=0,ISNUMBER(O3901),ISNUMBER(P3901)),IF(Q3900=0,1,0),0)</f>
        <v>1</v>
      </c>
      <c r="S3901" s="56" t="n">
        <f aca="false">R3901*(B3901&gt;=Train_Start)*(B3901&lt;=Train_End)</f>
        <v>0</v>
      </c>
      <c r="T3901" s="84" t="n">
        <f aca="false">IF(AND(ISNUMBER(O3901),ISNUMBER(P3901)),Coef_A+Coef_B1*O3901+Coef_B2*P3901,"")</f>
        <v>22.1351983045664</v>
      </c>
      <c r="U3901" s="84" t="n">
        <f aca="false">IF(AND(R3901=1,ISNUMBER(T3901)),E3901-T3901,"")</f>
        <v>1.86480169543357</v>
      </c>
      <c r="V3901" s="84" t="n">
        <f aca="false">IF(ISNUMBER(T3901),T3901,-99)</f>
        <v>22.1351983045664</v>
      </c>
      <c r="W3901" s="84" t="n">
        <f aca="false">IF(ISNUMBER(U3901),ABS(U3901),"")</f>
        <v>1.86480169543357</v>
      </c>
    </row>
    <row r="3902" customFormat="false" ht="15" hidden="false" customHeight="false" outlineLevel="0" collapsed="false">
      <c r="A3902" s="57" t="n">
        <v>38183</v>
      </c>
      <c r="B3902" s="56" t="n">
        <v>2004</v>
      </c>
      <c r="C3902" s="56" t="n">
        <v>7</v>
      </c>
      <c r="D3902" s="56" t="n">
        <v>76</v>
      </c>
      <c r="E3902" s="56" t="n">
        <v>24</v>
      </c>
      <c r="F3902" s="56" t="n">
        <v>0</v>
      </c>
      <c r="G3902" s="56" t="n">
        <v>15</v>
      </c>
      <c r="H3902" s="56" t="n">
        <v>0</v>
      </c>
      <c r="I3902" s="56" t="n">
        <v>19.5</v>
      </c>
      <c r="J3902" s="56" t="n">
        <v>0</v>
      </c>
      <c r="K3902" s="56" t="n">
        <v>1015.4</v>
      </c>
      <c r="L3902" s="56" t="n">
        <v>0</v>
      </c>
      <c r="M3902" s="56" t="n">
        <v>77</v>
      </c>
      <c r="N3902" s="56" t="n">
        <v>2.4</v>
      </c>
      <c r="O3902" s="56" t="n">
        <f aca="false">IF(D3902=1,"",E3901)</f>
        <v>24</v>
      </c>
      <c r="P3902" s="56" t="n">
        <f aca="false">IF(OR(D3902=1,K3901=""),"",K3901)</f>
        <v>1016.5</v>
      </c>
      <c r="Q3902" s="56" t="n">
        <f aca="false">IF(OR(F3902&lt;&gt;0,AND(I3902&lt;&gt;"",E3902&lt;I3902)),1,0)</f>
        <v>0</v>
      </c>
      <c r="R3902" s="56" t="n">
        <f aca="false">IF(AND(D3902&gt;1,Q3902=0,ISNUMBER(O3902),ISNUMBER(P3902)),IF(Q3901=0,1,0),0)</f>
        <v>1</v>
      </c>
      <c r="S3902" s="56" t="n">
        <f aca="false">R3902*(B3902&gt;=Train_Start)*(B3902&lt;=Train_End)</f>
        <v>0</v>
      </c>
      <c r="T3902" s="84" t="n">
        <f aca="false">IF(AND(ISNUMBER(O3902),ISNUMBER(P3902)),Coef_A+Coef_B1*O3902+Coef_B2*P3902,"")</f>
        <v>23.6386139504697</v>
      </c>
      <c r="U3902" s="84" t="n">
        <f aca="false">IF(AND(R3902=1,ISNUMBER(T3902)),E3902-T3902,"")</f>
        <v>0.361386049530303</v>
      </c>
      <c r="V3902" s="84" t="n">
        <f aca="false">IF(ISNUMBER(T3902),T3902,-99)</f>
        <v>23.6386139504697</v>
      </c>
      <c r="W3902" s="84" t="n">
        <f aca="false">IF(ISNUMBER(U3902),ABS(U3902),"")</f>
        <v>0.361386049530303</v>
      </c>
    </row>
    <row r="3903" customFormat="false" ht="15" hidden="false" customHeight="false" outlineLevel="0" collapsed="false">
      <c r="A3903" s="57" t="n">
        <v>38184</v>
      </c>
      <c r="B3903" s="56" t="n">
        <v>2004</v>
      </c>
      <c r="C3903" s="56" t="n">
        <v>7</v>
      </c>
      <c r="D3903" s="56" t="n">
        <v>77</v>
      </c>
      <c r="E3903" s="56" t="n">
        <v>24.6</v>
      </c>
      <c r="F3903" s="56" t="n">
        <v>0</v>
      </c>
      <c r="G3903" s="56" t="n">
        <v>17</v>
      </c>
      <c r="H3903" s="56" t="n">
        <v>0</v>
      </c>
      <c r="I3903" s="56" t="n">
        <v>20.5</v>
      </c>
      <c r="J3903" s="56" t="n">
        <v>0</v>
      </c>
      <c r="K3903" s="56" t="n">
        <v>1014.1</v>
      </c>
      <c r="L3903" s="56" t="n">
        <v>0</v>
      </c>
      <c r="M3903" s="56" t="n">
        <v>80</v>
      </c>
      <c r="N3903" s="56" t="n">
        <v>4.9</v>
      </c>
      <c r="O3903" s="56" t="n">
        <f aca="false">IF(D3903=1,"",E3902)</f>
        <v>24</v>
      </c>
      <c r="P3903" s="56" t="n">
        <f aca="false">IF(OR(D3903=1,K3902=""),"",K3902)</f>
        <v>1015.4</v>
      </c>
      <c r="Q3903" s="56" t="n">
        <f aca="false">IF(OR(F3903&lt;&gt;0,AND(I3903&lt;&gt;"",E3903&lt;I3903)),1,0)</f>
        <v>0</v>
      </c>
      <c r="R3903" s="56" t="n">
        <f aca="false">IF(AND(D3903&gt;1,Q3903=0,ISNUMBER(O3903),ISNUMBER(P3903)),IF(Q3902=0,1,0),0)</f>
        <v>1</v>
      </c>
      <c r="S3903" s="56" t="n">
        <f aca="false">R3903*(B3903&gt;=Train_Start)*(B3903&lt;=Train_End)</f>
        <v>0</v>
      </c>
      <c r="T3903" s="84" t="n">
        <f aca="false">IF(AND(ISNUMBER(O3903),ISNUMBER(P3903)),Coef_A+Coef_B1*O3903+Coef_B2*P3903,"")</f>
        <v>23.6041070663723</v>
      </c>
      <c r="U3903" s="84" t="n">
        <f aca="false">IF(AND(R3903=1,ISNUMBER(T3903)),E3903-T3903,"")</f>
        <v>0.995892933627694</v>
      </c>
      <c r="V3903" s="84" t="n">
        <f aca="false">IF(ISNUMBER(T3903),T3903,-99)</f>
        <v>23.6041070663723</v>
      </c>
      <c r="W3903" s="84" t="n">
        <f aca="false">IF(ISNUMBER(U3903),ABS(U3903),"")</f>
        <v>0.995892933627694</v>
      </c>
    </row>
    <row r="3904" customFormat="false" ht="15" hidden="false" customHeight="false" outlineLevel="0" collapsed="false">
      <c r="A3904" s="57" t="n">
        <v>38185</v>
      </c>
      <c r="B3904" s="56" t="n">
        <v>2004</v>
      </c>
      <c r="C3904" s="56" t="n">
        <v>7</v>
      </c>
      <c r="D3904" s="56" t="n">
        <v>78</v>
      </c>
      <c r="E3904" s="56" t="n">
        <v>22.6</v>
      </c>
      <c r="F3904" s="56" t="n">
        <v>0</v>
      </c>
      <c r="G3904" s="56" t="n">
        <v>16</v>
      </c>
      <c r="H3904" s="56" t="n">
        <v>0</v>
      </c>
      <c r="I3904" s="56" t="n">
        <v>20.3</v>
      </c>
      <c r="J3904" s="56" t="n">
        <v>0</v>
      </c>
      <c r="K3904" s="56" t="n">
        <v>1011.5</v>
      </c>
      <c r="L3904" s="56" t="n">
        <v>0</v>
      </c>
      <c r="M3904" s="56" t="n">
        <v>74</v>
      </c>
      <c r="N3904" s="56" t="n">
        <v>4.5</v>
      </c>
      <c r="O3904" s="56" t="n">
        <f aca="false">IF(D3904=1,"",E3903)</f>
        <v>24.6</v>
      </c>
      <c r="P3904" s="56" t="n">
        <f aca="false">IF(OR(D3904=1,K3903=""),"",K3903)</f>
        <v>1014.1</v>
      </c>
      <c r="Q3904" s="56" t="n">
        <f aca="false">IF(OR(F3904&lt;&gt;0,AND(I3904&lt;&gt;"",E3904&lt;I3904)),1,0)</f>
        <v>0</v>
      </c>
      <c r="R3904" s="56" t="n">
        <f aca="false">IF(AND(D3904&gt;1,Q3904=0,ISNUMBER(O3904),ISNUMBER(P3904)),IF(Q3903=0,1,0),0)</f>
        <v>1</v>
      </c>
      <c r="S3904" s="56" t="n">
        <f aca="false">R3904*(B3904&gt;=Train_Start)*(B3904&lt;=Train_End)</f>
        <v>0</v>
      </c>
      <c r="T3904" s="84" t="n">
        <f aca="false">IF(AND(ISNUMBER(O3904),ISNUMBER(P3904)),Coef_A+Coef_B1*O3904+Coef_B2*P3904,"")</f>
        <v>24.0549297191737</v>
      </c>
      <c r="U3904" s="84" t="n">
        <f aca="false">IF(AND(R3904=1,ISNUMBER(T3904)),E3904-T3904,"")</f>
        <v>-1.45492971917372</v>
      </c>
      <c r="V3904" s="84" t="n">
        <f aca="false">IF(ISNUMBER(T3904),T3904,-99)</f>
        <v>24.0549297191737</v>
      </c>
      <c r="W3904" s="84" t="n">
        <f aca="false">IF(ISNUMBER(U3904),ABS(U3904),"")</f>
        <v>1.45492971917372</v>
      </c>
    </row>
    <row r="3905" customFormat="false" ht="15" hidden="false" customHeight="false" outlineLevel="0" collapsed="false">
      <c r="A3905" s="57" t="n">
        <v>38186</v>
      </c>
      <c r="B3905" s="56" t="n">
        <v>2004</v>
      </c>
      <c r="C3905" s="56" t="n">
        <v>7</v>
      </c>
      <c r="D3905" s="56" t="n">
        <v>79</v>
      </c>
      <c r="E3905" s="56" t="n">
        <v>22.8</v>
      </c>
      <c r="F3905" s="56" t="n">
        <v>0</v>
      </c>
      <c r="G3905" s="56" t="n">
        <v>16.2</v>
      </c>
      <c r="H3905" s="56" t="n">
        <v>0</v>
      </c>
      <c r="I3905" s="56" t="n">
        <v>19.4</v>
      </c>
      <c r="J3905" s="56" t="n">
        <v>0</v>
      </c>
      <c r="K3905" s="56" t="n">
        <v>1014.2</v>
      </c>
      <c r="L3905" s="56" t="n">
        <v>0</v>
      </c>
      <c r="M3905" s="56" t="n">
        <v>70</v>
      </c>
      <c r="N3905" s="56" t="n">
        <v>3</v>
      </c>
      <c r="O3905" s="56" t="n">
        <f aca="false">IF(D3905=1,"",E3904)</f>
        <v>22.6</v>
      </c>
      <c r="P3905" s="56" t="n">
        <f aca="false">IF(OR(D3905=1,K3904=""),"",K3904)</f>
        <v>1011.5</v>
      </c>
      <c r="Q3905" s="56" t="n">
        <f aca="false">IF(OR(F3905&lt;&gt;0,AND(I3905&lt;&gt;"",E3905&lt;I3905)),1,0)</f>
        <v>0</v>
      </c>
      <c r="R3905" s="56" t="n">
        <f aca="false">IF(AND(D3905&gt;1,Q3905=0,ISNUMBER(O3905),ISNUMBER(P3905)),IF(Q3904=0,1,0),0)</f>
        <v>1</v>
      </c>
      <c r="S3905" s="56" t="n">
        <f aca="false">R3905*(B3905&gt;=Train_Start)*(B3905&lt;=Train_End)</f>
        <v>0</v>
      </c>
      <c r="T3905" s="84" t="n">
        <f aca="false">IF(AND(ISNUMBER(O3905),ISNUMBER(P3905)),Coef_A+Coef_B1*O3905+Coef_B2*P3905,"")</f>
        <v>22.33468960704</v>
      </c>
      <c r="U3905" s="84" t="n">
        <f aca="false">IF(AND(R3905=1,ISNUMBER(T3905)),E3905-T3905,"")</f>
        <v>0.465310392959971</v>
      </c>
      <c r="V3905" s="84" t="n">
        <f aca="false">IF(ISNUMBER(T3905),T3905,-99)</f>
        <v>22.33468960704</v>
      </c>
      <c r="W3905" s="84" t="n">
        <f aca="false">IF(ISNUMBER(U3905),ABS(U3905),"")</f>
        <v>0.465310392959971</v>
      </c>
    </row>
    <row r="3906" customFormat="false" ht="15" hidden="false" customHeight="false" outlineLevel="0" collapsed="false">
      <c r="A3906" s="57" t="n">
        <v>38187</v>
      </c>
      <c r="B3906" s="56" t="n">
        <v>2004</v>
      </c>
      <c r="C3906" s="56" t="n">
        <v>7</v>
      </c>
      <c r="D3906" s="56" t="n">
        <v>80</v>
      </c>
      <c r="E3906" s="56" t="n">
        <v>24.7</v>
      </c>
      <c r="F3906" s="56" t="n">
        <v>0</v>
      </c>
      <c r="G3906" s="56" t="n">
        <v>10.8</v>
      </c>
      <c r="H3906" s="56" t="n">
        <v>0</v>
      </c>
      <c r="I3906" s="56" t="n">
        <v>16.8</v>
      </c>
      <c r="J3906" s="56" t="n">
        <v>0</v>
      </c>
      <c r="K3906" s="56" t="n">
        <v>1017.1</v>
      </c>
      <c r="L3906" s="56" t="n">
        <v>0</v>
      </c>
      <c r="M3906" s="56" t="n">
        <v>61</v>
      </c>
      <c r="N3906" s="56" t="n">
        <v>9.5</v>
      </c>
      <c r="O3906" s="56" t="n">
        <f aca="false">IF(D3906=1,"",E3905)</f>
        <v>22.8</v>
      </c>
      <c r="P3906" s="56" t="n">
        <f aca="false">IF(OR(D3906=1,K3905=""),"",K3905)</f>
        <v>1014.2</v>
      </c>
      <c r="Q3906" s="56" t="n">
        <f aca="false">IF(OR(F3906&lt;&gt;0,AND(I3906&lt;&gt;"",E3906&lt;I3906)),1,0)</f>
        <v>0</v>
      </c>
      <c r="R3906" s="56" t="n">
        <f aca="false">IF(AND(D3906&gt;1,Q3906=0,ISNUMBER(O3906),ISNUMBER(P3906)),IF(Q3905=0,1,0),0)</f>
        <v>1</v>
      </c>
      <c r="S3906" s="56" t="n">
        <f aca="false">R3906*(B3906&gt;=Train_Start)*(B3906&lt;=Train_End)</f>
        <v>0</v>
      </c>
      <c r="T3906" s="84" t="n">
        <f aca="false">IF(AND(ISNUMBER(O3906),ISNUMBER(P3906)),Coef_A+Coef_B1*O3906+Coef_B2*P3906,"")</f>
        <v>22.5832561611603</v>
      </c>
      <c r="U3906" s="84" t="n">
        <f aca="false">IF(AND(R3906=1,ISNUMBER(T3906)),E3906-T3906,"")</f>
        <v>2.11674383883966</v>
      </c>
      <c r="V3906" s="84" t="n">
        <f aca="false">IF(ISNUMBER(T3906),T3906,-99)</f>
        <v>22.5832561611603</v>
      </c>
      <c r="W3906" s="84" t="n">
        <f aca="false">IF(ISNUMBER(U3906),ABS(U3906),"")</f>
        <v>2.11674383883966</v>
      </c>
    </row>
    <row r="3907" customFormat="false" ht="15" hidden="false" customHeight="false" outlineLevel="0" collapsed="false">
      <c r="A3907" s="57" t="n">
        <v>38188</v>
      </c>
      <c r="B3907" s="56" t="n">
        <v>2004</v>
      </c>
      <c r="C3907" s="56" t="n">
        <v>7</v>
      </c>
      <c r="D3907" s="56" t="n">
        <v>81</v>
      </c>
      <c r="E3907" s="56" t="n">
        <v>22.7</v>
      </c>
      <c r="F3907" s="56" t="n">
        <v>0</v>
      </c>
      <c r="G3907" s="56" t="n">
        <v>13</v>
      </c>
      <c r="H3907" s="56" t="n">
        <v>0</v>
      </c>
      <c r="I3907" s="56" t="n">
        <v>18.8</v>
      </c>
      <c r="J3907" s="56" t="n">
        <v>0</v>
      </c>
      <c r="K3907" s="56" t="n">
        <v>1012.9</v>
      </c>
      <c r="L3907" s="56" t="n">
        <v>0</v>
      </c>
      <c r="M3907" s="56" t="n">
        <v>67</v>
      </c>
      <c r="N3907" s="56" t="n">
        <v>6.9</v>
      </c>
      <c r="O3907" s="56" t="n">
        <f aca="false">IF(D3907=1,"",E3906)</f>
        <v>24.7</v>
      </c>
      <c r="P3907" s="56" t="n">
        <f aca="false">IF(OR(D3907=1,K3906=""),"",K3906)</f>
        <v>1017.1</v>
      </c>
      <c r="Q3907" s="56" t="n">
        <f aca="false">IF(OR(F3907&lt;&gt;0,AND(I3907&lt;&gt;"",E3907&lt;I3907)),1,0)</f>
        <v>0</v>
      </c>
      <c r="R3907" s="56" t="n">
        <f aca="false">IF(AND(D3907&gt;1,Q3907=0,ISNUMBER(O3907),ISNUMBER(P3907)),IF(Q3906=0,1,0),0)</f>
        <v>1</v>
      </c>
      <c r="S3907" s="56" t="n">
        <f aca="false">R3907*(B3907&gt;=Train_Start)*(B3907&lt;=Train_End)</f>
        <v>0</v>
      </c>
      <c r="T3907" s="84" t="n">
        <f aca="false">IF(AND(ISNUMBER(O3907),ISNUMBER(P3907)),Coef_A+Coef_B1*O3907+Coef_B2*P3907,"")</f>
        <v>24.23097332238</v>
      </c>
      <c r="U3907" s="84" t="n">
        <f aca="false">IF(AND(R3907=1,ISNUMBER(T3907)),E3907-T3907,"")</f>
        <v>-1.53097332237995</v>
      </c>
      <c r="V3907" s="84" t="n">
        <f aca="false">IF(ISNUMBER(T3907),T3907,-99)</f>
        <v>24.23097332238</v>
      </c>
      <c r="W3907" s="84" t="n">
        <f aca="false">IF(ISNUMBER(U3907),ABS(U3907),"")</f>
        <v>1.53097332237995</v>
      </c>
    </row>
    <row r="3908" customFormat="false" ht="15" hidden="false" customHeight="false" outlineLevel="0" collapsed="false">
      <c r="A3908" s="57" t="n">
        <v>38189</v>
      </c>
      <c r="B3908" s="56" t="n">
        <v>2004</v>
      </c>
      <c r="C3908" s="56" t="n">
        <v>7</v>
      </c>
      <c r="D3908" s="56" t="n">
        <v>82</v>
      </c>
      <c r="E3908" s="56" t="n">
        <v>26.7</v>
      </c>
      <c r="F3908" s="56" t="n">
        <v>0</v>
      </c>
      <c r="G3908" s="56" t="n">
        <v>16.5</v>
      </c>
      <c r="H3908" s="56" t="n">
        <v>0</v>
      </c>
      <c r="I3908" s="56" t="n">
        <v>19.6</v>
      </c>
      <c r="J3908" s="56" t="n">
        <v>0</v>
      </c>
      <c r="K3908" s="56" t="n">
        <v>1014.4</v>
      </c>
      <c r="L3908" s="56" t="n">
        <v>0</v>
      </c>
      <c r="M3908" s="56" t="n">
        <v>71</v>
      </c>
      <c r="N3908" s="56" t="n">
        <v>1.2</v>
      </c>
      <c r="O3908" s="56" t="n">
        <f aca="false">IF(D3908=1,"",E3907)</f>
        <v>22.7</v>
      </c>
      <c r="P3908" s="56" t="n">
        <f aca="false">IF(OR(D3908=1,K3907=""),"",K3907)</f>
        <v>1012.9</v>
      </c>
      <c r="Q3908" s="56" t="n">
        <f aca="false">IF(OR(F3908&lt;&gt;0,AND(I3908&lt;&gt;"",E3908&lt;I3908)),1,0)</f>
        <v>0</v>
      </c>
      <c r="R3908" s="56" t="n">
        <f aca="false">IF(AND(D3908&gt;1,Q3908=0,ISNUMBER(O3908),ISNUMBER(P3908)),IF(Q3907=0,1,0),0)</f>
        <v>1</v>
      </c>
      <c r="S3908" s="56" t="n">
        <f aca="false">R3908*(B3908&gt;=Train_Start)*(B3908&lt;=Train_End)</f>
        <v>0</v>
      </c>
      <c r="T3908" s="84" t="n">
        <f aca="false">IF(AND(ISNUMBER(O3908),ISNUMBER(P3908)),Coef_A+Coef_B1*O3908+Coef_B2*P3908,"")</f>
        <v>22.4605413788319</v>
      </c>
      <c r="U3908" s="84" t="n">
        <f aca="false">IF(AND(R3908=1,ISNUMBER(T3908)),E3908-T3908,"")</f>
        <v>4.23945862116812</v>
      </c>
      <c r="V3908" s="84" t="n">
        <f aca="false">IF(ISNUMBER(T3908),T3908,-99)</f>
        <v>22.4605413788319</v>
      </c>
      <c r="W3908" s="84" t="n">
        <f aca="false">IF(ISNUMBER(U3908),ABS(U3908),"")</f>
        <v>4.23945862116812</v>
      </c>
    </row>
    <row r="3909" customFormat="false" ht="15" hidden="false" customHeight="false" outlineLevel="0" collapsed="false">
      <c r="A3909" s="57" t="n">
        <v>38190</v>
      </c>
      <c r="B3909" s="56" t="n">
        <v>2004</v>
      </c>
      <c r="C3909" s="56" t="n">
        <v>7</v>
      </c>
      <c r="D3909" s="56" t="n">
        <v>83</v>
      </c>
      <c r="E3909" s="56" t="n">
        <v>25.5</v>
      </c>
      <c r="F3909" s="56" t="n">
        <v>0</v>
      </c>
      <c r="G3909" s="56" t="n">
        <v>15</v>
      </c>
      <c r="H3909" s="56" t="n">
        <v>0</v>
      </c>
      <c r="I3909" s="56" t="n">
        <v>20.8</v>
      </c>
      <c r="J3909" s="56" t="n">
        <v>0</v>
      </c>
      <c r="K3909" s="56" t="n">
        <v>1016.8</v>
      </c>
      <c r="L3909" s="56" t="n">
        <v>0</v>
      </c>
      <c r="M3909" s="56" t="n">
        <v>72</v>
      </c>
      <c r="N3909" s="56" t="n">
        <v>2.9</v>
      </c>
      <c r="O3909" s="56" t="n">
        <f aca="false">IF(D3909=1,"",E3908)</f>
        <v>26.7</v>
      </c>
      <c r="P3909" s="56" t="n">
        <f aca="false">IF(OR(D3909=1,K3908=""),"",K3908)</f>
        <v>1014.4</v>
      </c>
      <c r="Q3909" s="56" t="n">
        <f aca="false">IF(OR(F3909&lt;&gt;0,AND(I3909&lt;&gt;"",E3909&lt;I3909)),1,0)</f>
        <v>0</v>
      </c>
      <c r="R3909" s="56" t="n">
        <f aca="false">IF(AND(D3909&gt;1,Q3909=0,ISNUMBER(O3909),ISNUMBER(P3909)),IF(Q3908=0,1,0),0)</f>
        <v>1</v>
      </c>
      <c r="S3909" s="56" t="n">
        <f aca="false">R3909*(B3909&gt;=Train_Start)*(B3909&lt;=Train_End)</f>
        <v>0</v>
      </c>
      <c r="T3909" s="84" t="n">
        <f aca="false">IF(AND(ISNUMBER(O3909),ISNUMBER(P3909)),Coef_A+Coef_B1*O3909+Coef_B2*P3909,"")</f>
        <v>25.7849529929535</v>
      </c>
      <c r="U3909" s="84" t="n">
        <f aca="false">IF(AND(R3909=1,ISNUMBER(T3909)),E3909-T3909,"")</f>
        <v>-0.284952992953492</v>
      </c>
      <c r="V3909" s="84" t="n">
        <f aca="false">IF(ISNUMBER(T3909),T3909,-99)</f>
        <v>25.7849529929535</v>
      </c>
      <c r="W3909" s="84" t="n">
        <f aca="false">IF(ISNUMBER(U3909),ABS(U3909),"")</f>
        <v>0.284952992953492</v>
      </c>
    </row>
    <row r="3910" customFormat="false" ht="15" hidden="false" customHeight="false" outlineLevel="0" collapsed="false">
      <c r="A3910" s="57" t="n">
        <v>38191</v>
      </c>
      <c r="B3910" s="56" t="n">
        <v>2004</v>
      </c>
      <c r="C3910" s="56" t="n">
        <v>7</v>
      </c>
      <c r="D3910" s="56" t="n">
        <v>84</v>
      </c>
      <c r="E3910" s="56" t="n">
        <v>24.5</v>
      </c>
      <c r="F3910" s="56" t="n">
        <v>0</v>
      </c>
      <c r="G3910" s="56" t="n">
        <v>14.9</v>
      </c>
      <c r="H3910" s="56" t="n">
        <v>0</v>
      </c>
      <c r="I3910" s="56" t="n">
        <v>20.2</v>
      </c>
      <c r="J3910" s="56" t="n">
        <v>0</v>
      </c>
      <c r="K3910" s="56" t="n">
        <v>1021.2</v>
      </c>
      <c r="L3910" s="56" t="n">
        <v>0</v>
      </c>
      <c r="M3910" s="56" t="n">
        <v>59</v>
      </c>
      <c r="N3910" s="56" t="n">
        <v>14.2</v>
      </c>
      <c r="O3910" s="56" t="n">
        <f aca="false">IF(D3910=1,"",E3909)</f>
        <v>25.5</v>
      </c>
      <c r="P3910" s="56" t="n">
        <f aca="false">IF(OR(D3910=1,K3909=""),"",K3909)</f>
        <v>1016.8</v>
      </c>
      <c r="Q3910" s="56" t="n">
        <f aca="false">IF(OR(F3910&lt;&gt;0,AND(I3910&lt;&gt;"",E3910&lt;I3910)),1,0)</f>
        <v>0</v>
      </c>
      <c r="R3910" s="56" t="n">
        <f aca="false">IF(AND(D3910&gt;1,Q3910=0,ISNUMBER(O3910),ISNUMBER(P3910)),IF(Q3909=0,1,0),0)</f>
        <v>1</v>
      </c>
      <c r="S3910" s="56" t="n">
        <f aca="false">R3910*(B3910&gt;=Train_Start)*(B3910&lt;=Train_End)</f>
        <v>0</v>
      </c>
      <c r="T3910" s="84" t="n">
        <f aca="false">IF(AND(ISNUMBER(O3910),ISNUMBER(P3910)),Coef_A+Coef_B1*O3910+Coef_B2*P3910,"")</f>
        <v>24.8770337084239</v>
      </c>
      <c r="U3910" s="84" t="n">
        <f aca="false">IF(AND(R3910=1,ISNUMBER(T3910)),E3910-T3910,"")</f>
        <v>-0.37703370842388</v>
      </c>
      <c r="V3910" s="84" t="n">
        <f aca="false">IF(ISNUMBER(T3910),T3910,-99)</f>
        <v>24.8770337084239</v>
      </c>
      <c r="W3910" s="84" t="n">
        <f aca="false">IF(ISNUMBER(U3910),ABS(U3910),"")</f>
        <v>0.37703370842388</v>
      </c>
    </row>
    <row r="3911" customFormat="false" ht="15" hidden="false" customHeight="false" outlineLevel="0" collapsed="false">
      <c r="A3911" s="57" t="n">
        <v>38192</v>
      </c>
      <c r="B3911" s="56" t="n">
        <v>2004</v>
      </c>
      <c r="C3911" s="56" t="n">
        <v>7</v>
      </c>
      <c r="D3911" s="56" t="n">
        <v>85</v>
      </c>
      <c r="E3911" s="56" t="n">
        <v>23.7</v>
      </c>
      <c r="F3911" s="56" t="n">
        <v>0</v>
      </c>
      <c r="G3911" s="56" t="n">
        <v>13.2</v>
      </c>
      <c r="H3911" s="56" t="n">
        <v>0</v>
      </c>
      <c r="I3911" s="56" t="n">
        <v>18.8</v>
      </c>
      <c r="J3911" s="56" t="n">
        <v>0</v>
      </c>
      <c r="K3911" s="56" t="n">
        <v>1025.4</v>
      </c>
      <c r="L3911" s="56" t="n">
        <v>0</v>
      </c>
      <c r="M3911" s="56" t="n">
        <v>61</v>
      </c>
      <c r="N3911" s="56" t="n">
        <v>11.4</v>
      </c>
      <c r="O3911" s="56" t="n">
        <f aca="false">IF(D3911=1,"",E3910)</f>
        <v>24.5</v>
      </c>
      <c r="P3911" s="56" t="n">
        <f aca="false">IF(OR(D3911=1,K3910=""),"",K3910)</f>
        <v>1021.2</v>
      </c>
      <c r="Q3911" s="56" t="n">
        <f aca="false">IF(OR(F3911&lt;&gt;0,AND(I3911&lt;&gt;"",E3911&lt;I3911)),1,0)</f>
        <v>0</v>
      </c>
      <c r="R3911" s="56" t="n">
        <f aca="false">IF(AND(D3911&gt;1,Q3911=0,ISNUMBER(O3911),ISNUMBER(P3911)),IF(Q3910=0,1,0),0)</f>
        <v>1</v>
      </c>
      <c r="S3911" s="56" t="n">
        <f aca="false">R3911*(B3911&gt;=Train_Start)*(B3911&lt;=Train_End)</f>
        <v>0</v>
      </c>
      <c r="T3911" s="84" t="n">
        <f aca="false">IF(AND(ISNUMBER(O3911),ISNUMBER(P3911)),Coef_A+Coef_B1*O3911+Coef_B2*P3911,"")</f>
        <v>24.1957220517708</v>
      </c>
      <c r="U3911" s="84" t="n">
        <f aca="false">IF(AND(R3911=1,ISNUMBER(T3911)),E3911-T3911,"")</f>
        <v>-0.495722051770777</v>
      </c>
      <c r="V3911" s="84" t="n">
        <f aca="false">IF(ISNUMBER(T3911),T3911,-99)</f>
        <v>24.1957220517708</v>
      </c>
      <c r="W3911" s="84" t="n">
        <f aca="false">IF(ISNUMBER(U3911),ABS(U3911),"")</f>
        <v>0.495722051770777</v>
      </c>
    </row>
    <row r="3912" customFormat="false" ht="15" hidden="false" customHeight="false" outlineLevel="0" collapsed="false">
      <c r="A3912" s="57" t="n">
        <v>38193</v>
      </c>
      <c r="B3912" s="56" t="n">
        <v>2004</v>
      </c>
      <c r="C3912" s="56" t="n">
        <v>7</v>
      </c>
      <c r="D3912" s="56" t="n">
        <v>86</v>
      </c>
      <c r="E3912" s="56" t="n">
        <v>22.9</v>
      </c>
      <c r="F3912" s="56" t="n">
        <v>0</v>
      </c>
      <c r="G3912" s="56" t="n">
        <v>12.7</v>
      </c>
      <c r="H3912" s="56" t="n">
        <v>0</v>
      </c>
      <c r="I3912" s="56" t="n">
        <v>18.2</v>
      </c>
      <c r="J3912" s="56" t="n">
        <v>0</v>
      </c>
      <c r="K3912" s="56" t="n">
        <v>1020.2</v>
      </c>
      <c r="L3912" s="56" t="n">
        <v>0</v>
      </c>
      <c r="M3912" s="56" t="n">
        <v>64</v>
      </c>
      <c r="N3912" s="56" t="n">
        <v>4.7</v>
      </c>
      <c r="O3912" s="56" t="n">
        <f aca="false">IF(D3912=1,"",E3911)</f>
        <v>23.7</v>
      </c>
      <c r="P3912" s="56" t="n">
        <f aca="false">IF(OR(D3912=1,K3911=""),"",K3911)</f>
        <v>1025.4</v>
      </c>
      <c r="Q3912" s="56" t="n">
        <f aca="false">IF(OR(F3912&lt;&gt;0,AND(I3912&lt;&gt;"",E3912&lt;I3912)),1,0)</f>
        <v>0</v>
      </c>
      <c r="R3912" s="56" t="n">
        <f aca="false">IF(AND(D3912&gt;1,Q3912=0,ISNUMBER(O3912),ISNUMBER(P3912)),IF(Q3911=0,1,0),0)</f>
        <v>1</v>
      </c>
      <c r="S3912" s="56" t="n">
        <f aca="false">R3912*(B3912&gt;=Train_Start)*(B3912&lt;=Train_End)</f>
        <v>0</v>
      </c>
      <c r="T3912" s="84" t="n">
        <f aca="false">IF(AND(ISNUMBER(O3912),ISNUMBER(P3912)),Coef_A+Coef_B1*O3912+Coef_B2*P3912,"")</f>
        <v>23.6720042547994</v>
      </c>
      <c r="U3912" s="84" t="n">
        <f aca="false">IF(AND(R3912=1,ISNUMBER(T3912)),E3912-T3912,"")</f>
        <v>-0.772004254799409</v>
      </c>
      <c r="V3912" s="84" t="n">
        <f aca="false">IF(ISNUMBER(T3912),T3912,-99)</f>
        <v>23.6720042547994</v>
      </c>
      <c r="W3912" s="84" t="n">
        <f aca="false">IF(ISNUMBER(U3912),ABS(U3912),"")</f>
        <v>0.772004254799409</v>
      </c>
    </row>
    <row r="3913" customFormat="false" ht="15" hidden="false" customHeight="false" outlineLevel="0" collapsed="false">
      <c r="A3913" s="57" t="n">
        <v>38194</v>
      </c>
      <c r="B3913" s="56" t="n">
        <v>2004</v>
      </c>
      <c r="C3913" s="56" t="n">
        <v>7</v>
      </c>
      <c r="D3913" s="56" t="n">
        <v>87</v>
      </c>
      <c r="E3913" s="56" t="n">
        <v>24.3</v>
      </c>
      <c r="F3913" s="56" t="n">
        <v>0</v>
      </c>
      <c r="G3913" s="56" t="n">
        <v>15.7</v>
      </c>
      <c r="H3913" s="56" t="n">
        <v>0</v>
      </c>
      <c r="I3913" s="56" t="n">
        <v>19.3</v>
      </c>
      <c r="J3913" s="56" t="n">
        <v>0</v>
      </c>
      <c r="K3913" s="56" t="n">
        <v>1017.7</v>
      </c>
      <c r="L3913" s="56" t="n">
        <v>0</v>
      </c>
      <c r="M3913" s="56" t="n">
        <v>68</v>
      </c>
      <c r="N3913" s="56" t="n">
        <v>4.7</v>
      </c>
      <c r="O3913" s="56" t="n">
        <f aca="false">IF(D3913=1,"",E3912)</f>
        <v>22.9</v>
      </c>
      <c r="P3913" s="56" t="n">
        <f aca="false">IF(OR(D3913=1,K3912=""),"",K3912)</f>
        <v>1020.2</v>
      </c>
      <c r="Q3913" s="56" t="n">
        <f aca="false">IF(OR(F3913&lt;&gt;0,AND(I3913&lt;&gt;"",E3913&lt;I3913)),1,0)</f>
        <v>0</v>
      </c>
      <c r="R3913" s="56" t="n">
        <f aca="false">IF(AND(D3913&gt;1,Q3913=0,ISNUMBER(O3913),ISNUMBER(P3913)),IF(Q3912=0,1,0),0)</f>
        <v>1</v>
      </c>
      <c r="S3913" s="56" t="n">
        <f aca="false">R3913*(B3913&gt;=Train_Start)*(B3913&lt;=Train_End)</f>
        <v>0</v>
      </c>
      <c r="T3913" s="84" t="n">
        <f aca="false">IF(AND(ISNUMBER(O3913),ISNUMBER(P3913)),Coef_A+Coef_B1*O3913+Coef_B2*P3913,"")</f>
        <v>22.8534094482685</v>
      </c>
      <c r="U3913" s="84" t="n">
        <f aca="false">IF(AND(R3913=1,ISNUMBER(T3913)),E3913-T3913,"")</f>
        <v>1.44659055173147</v>
      </c>
      <c r="V3913" s="84" t="n">
        <f aca="false">IF(ISNUMBER(T3913),T3913,-99)</f>
        <v>22.8534094482685</v>
      </c>
      <c r="W3913" s="84" t="n">
        <f aca="false">IF(ISNUMBER(U3913),ABS(U3913),"")</f>
        <v>1.44659055173147</v>
      </c>
    </row>
    <row r="3914" customFormat="false" ht="15" hidden="false" customHeight="false" outlineLevel="0" collapsed="false">
      <c r="A3914" s="57" t="n">
        <v>38195</v>
      </c>
      <c r="B3914" s="56" t="n">
        <v>2004</v>
      </c>
      <c r="C3914" s="56" t="n">
        <v>7</v>
      </c>
      <c r="D3914" s="56" t="n">
        <v>88</v>
      </c>
      <c r="E3914" s="56" t="n">
        <v>27.3</v>
      </c>
      <c r="F3914" s="56" t="n">
        <v>0</v>
      </c>
      <c r="G3914" s="56" t="n">
        <v>13.9</v>
      </c>
      <c r="H3914" s="56" t="n">
        <v>0</v>
      </c>
      <c r="I3914" s="56" t="n">
        <v>19.1</v>
      </c>
      <c r="J3914" s="56" t="n">
        <v>0</v>
      </c>
      <c r="K3914" s="56" t="n">
        <v>1020.1</v>
      </c>
      <c r="L3914" s="56" t="n">
        <v>0</v>
      </c>
      <c r="M3914" s="56" t="n">
        <v>63</v>
      </c>
      <c r="N3914" s="56" t="n">
        <v>8.2</v>
      </c>
      <c r="O3914" s="56" t="n">
        <f aca="false">IF(D3914=1,"",E3913)</f>
        <v>24.3</v>
      </c>
      <c r="P3914" s="56" t="n">
        <f aca="false">IF(OR(D3914=1,K3913=""),"",K3913)</f>
        <v>1017.7</v>
      </c>
      <c r="Q3914" s="56" t="n">
        <f aca="false">IF(OR(F3914&lt;&gt;0,AND(I3914&lt;&gt;"",E3914&lt;I3914)),1,0)</f>
        <v>0</v>
      </c>
      <c r="R3914" s="56" t="n">
        <f aca="false">IF(AND(D3914&gt;1,Q3914=0,ISNUMBER(O3914),ISNUMBER(P3914)),IF(Q3913=0,1,0),0)</f>
        <v>1</v>
      </c>
      <c r="S3914" s="56" t="n">
        <f aca="false">R3914*(B3914&gt;=Train_Start)*(B3914&lt;=Train_End)</f>
        <v>0</v>
      </c>
      <c r="T3914" s="84" t="n">
        <f aca="false">IF(AND(ISNUMBER(O3914),ISNUMBER(P3914)),Coef_A+Coef_B1*O3914+Coef_B2*P3914,"")</f>
        <v>23.9220595819433</v>
      </c>
      <c r="U3914" s="84" t="n">
        <f aca="false">IF(AND(R3914=1,ISNUMBER(T3914)),E3914-T3914,"")</f>
        <v>3.37794041805672</v>
      </c>
      <c r="V3914" s="84" t="n">
        <f aca="false">IF(ISNUMBER(T3914),T3914,-99)</f>
        <v>23.9220595819433</v>
      </c>
      <c r="W3914" s="84" t="n">
        <f aca="false">IF(ISNUMBER(U3914),ABS(U3914),"")</f>
        <v>3.37794041805672</v>
      </c>
    </row>
    <row r="3915" customFormat="false" ht="15" hidden="false" customHeight="false" outlineLevel="0" collapsed="false">
      <c r="A3915" s="57" t="n">
        <v>38196</v>
      </c>
      <c r="B3915" s="56" t="n">
        <v>2004</v>
      </c>
      <c r="C3915" s="56" t="n">
        <v>7</v>
      </c>
      <c r="D3915" s="56" t="n">
        <v>89</v>
      </c>
      <c r="E3915" s="56" t="n">
        <v>29.9</v>
      </c>
      <c r="F3915" s="56" t="n">
        <v>0</v>
      </c>
      <c r="G3915" s="56" t="n">
        <v>13.5</v>
      </c>
      <c r="H3915" s="56" t="n">
        <v>0</v>
      </c>
      <c r="I3915" s="56" t="n">
        <v>20.4</v>
      </c>
      <c r="J3915" s="56" t="n">
        <v>0</v>
      </c>
      <c r="K3915" s="56" t="n">
        <v>1018.8</v>
      </c>
      <c r="L3915" s="56" t="n">
        <v>0</v>
      </c>
      <c r="M3915" s="56" t="n">
        <v>59</v>
      </c>
      <c r="N3915" s="56" t="n">
        <v>7.7</v>
      </c>
      <c r="O3915" s="56" t="n">
        <f aca="false">IF(D3915=1,"",E3914)</f>
        <v>27.3</v>
      </c>
      <c r="P3915" s="56" t="n">
        <f aca="false">IF(OR(D3915=1,K3914=""),"",K3914)</f>
        <v>1020.1</v>
      </c>
      <c r="Q3915" s="56" t="n">
        <f aca="false">IF(OR(F3915&lt;&gt;0,AND(I3915&lt;&gt;"",E3915&lt;I3915)),1,0)</f>
        <v>0</v>
      </c>
      <c r="R3915" s="56" t="n">
        <f aca="false">IF(AND(D3915&gt;1,Q3915=0,ISNUMBER(O3915),ISNUMBER(P3915)),IF(Q3914=0,1,0),0)</f>
        <v>1</v>
      </c>
      <c r="S3915" s="56" t="n">
        <f aca="false">R3915*(B3915&gt;=Train_Start)*(B3915&lt;=Train_End)</f>
        <v>0</v>
      </c>
      <c r="T3915" s="84" t="n">
        <f aca="false">IF(AND(ISNUMBER(O3915),ISNUMBER(P3915)),Coef_A+Coef_B1*O3915+Coef_B2*P3915,"")</f>
        <v>26.4553649081928</v>
      </c>
      <c r="U3915" s="84" t="n">
        <f aca="false">IF(AND(R3915=1,ISNUMBER(T3915)),E3915-T3915,"")</f>
        <v>3.44463509180717</v>
      </c>
      <c r="V3915" s="84" t="n">
        <f aca="false">IF(ISNUMBER(T3915),T3915,-99)</f>
        <v>26.4553649081928</v>
      </c>
      <c r="W3915" s="84" t="n">
        <f aca="false">IF(ISNUMBER(U3915),ABS(U3915),"")</f>
        <v>3.44463509180717</v>
      </c>
    </row>
    <row r="3916" customFormat="false" ht="15" hidden="false" customHeight="false" outlineLevel="0" collapsed="false">
      <c r="A3916" s="57" t="n">
        <v>38197</v>
      </c>
      <c r="B3916" s="56" t="n">
        <v>2004</v>
      </c>
      <c r="C3916" s="56" t="n">
        <v>7</v>
      </c>
      <c r="D3916" s="56" t="n">
        <v>90</v>
      </c>
      <c r="E3916" s="56" t="n">
        <v>25.5</v>
      </c>
      <c r="F3916" s="56" t="n">
        <v>0</v>
      </c>
      <c r="G3916" s="56" t="n">
        <v>16</v>
      </c>
      <c r="H3916" s="56" t="n">
        <v>0</v>
      </c>
      <c r="I3916" s="56" t="n">
        <v>23</v>
      </c>
      <c r="J3916" s="56" t="n">
        <v>0</v>
      </c>
      <c r="K3916" s="56" t="n">
        <v>1015.1</v>
      </c>
      <c r="L3916" s="56" t="n">
        <v>0</v>
      </c>
      <c r="M3916" s="56" t="n">
        <v>54</v>
      </c>
      <c r="N3916" s="56" t="n">
        <v>6.9</v>
      </c>
      <c r="O3916" s="56" t="n">
        <f aca="false">IF(D3916=1,"",E3915)</f>
        <v>29.9</v>
      </c>
      <c r="P3916" s="56" t="n">
        <f aca="false">IF(OR(D3916=1,K3915=""),"",K3915)</f>
        <v>1018.8</v>
      </c>
      <c r="Q3916" s="56" t="n">
        <f aca="false">IF(OR(F3916&lt;&gt;0,AND(I3916&lt;&gt;"",E3916&lt;I3916)),1,0)</f>
        <v>0</v>
      </c>
      <c r="R3916" s="56" t="n">
        <f aca="false">IF(AND(D3916&gt;1,Q3916=0,ISNUMBER(O3916),ISNUMBER(P3916)),IF(Q3915=0,1,0),0)</f>
        <v>1</v>
      </c>
      <c r="S3916" s="56" t="n">
        <f aca="false">R3916*(B3916&gt;=Train_Start)*(B3916&lt;=Train_End)</f>
        <v>0</v>
      </c>
      <c r="T3916" s="84" t="n">
        <f aca="false">IF(AND(ISNUMBER(O3916),ISNUMBER(P3916)),Coef_A+Coef_B1*O3916+Coef_B2*P3916,"")</f>
        <v>28.5448659470796</v>
      </c>
      <c r="U3916" s="84" t="n">
        <f aca="false">IF(AND(R3916=1,ISNUMBER(T3916)),E3916-T3916,"")</f>
        <v>-3.04486594707955</v>
      </c>
      <c r="V3916" s="84" t="n">
        <f aca="false">IF(ISNUMBER(T3916),T3916,-99)</f>
        <v>28.5448659470796</v>
      </c>
      <c r="W3916" s="84" t="n">
        <f aca="false">IF(ISNUMBER(U3916),ABS(U3916),"")</f>
        <v>3.04486594707955</v>
      </c>
    </row>
    <row r="3917" customFormat="false" ht="15" hidden="false" customHeight="false" outlineLevel="0" collapsed="false">
      <c r="A3917" s="57" t="n">
        <v>38198</v>
      </c>
      <c r="B3917" s="56" t="n">
        <v>2004</v>
      </c>
      <c r="C3917" s="56" t="n">
        <v>7</v>
      </c>
      <c r="D3917" s="56" t="n">
        <v>91</v>
      </c>
      <c r="E3917" s="56" t="n">
        <v>28</v>
      </c>
      <c r="F3917" s="56" t="n">
        <v>0</v>
      </c>
      <c r="G3917" s="56" t="n">
        <v>17.4</v>
      </c>
      <c r="H3917" s="56" t="n">
        <v>0</v>
      </c>
      <c r="I3917" s="56" t="n">
        <v>21.4</v>
      </c>
      <c r="J3917" s="56" t="n">
        <v>0</v>
      </c>
      <c r="K3917" s="56" t="n">
        <v>1018.8</v>
      </c>
      <c r="L3917" s="56" t="n">
        <v>0</v>
      </c>
      <c r="M3917" s="56" t="n">
        <v>62</v>
      </c>
      <c r="N3917" s="56" t="n">
        <v>11</v>
      </c>
      <c r="O3917" s="56" t="n">
        <f aca="false">IF(D3917=1,"",E3916)</f>
        <v>25.5</v>
      </c>
      <c r="P3917" s="56" t="n">
        <f aca="false">IF(OR(D3917=1,K3916=""),"",K3916)</f>
        <v>1015.1</v>
      </c>
      <c r="Q3917" s="56" t="n">
        <f aca="false">IF(OR(F3917&lt;&gt;0,AND(I3917&lt;&gt;"",E3917&lt;I3917)),1,0)</f>
        <v>0</v>
      </c>
      <c r="R3917" s="56" t="n">
        <f aca="false">IF(AND(D3917&gt;1,Q3917=0,ISNUMBER(O3917),ISNUMBER(P3917)),IF(Q3916=0,1,0),0)</f>
        <v>1</v>
      </c>
      <c r="S3917" s="56" t="n">
        <f aca="false">R3917*(B3917&gt;=Train_Start)*(B3917&lt;=Train_End)</f>
        <v>0</v>
      </c>
      <c r="T3917" s="84" t="n">
        <f aca="false">IF(AND(ISNUMBER(O3917),ISNUMBER(P3917)),Coef_A+Coef_B1*O3917+Coef_B2*P3917,"")</f>
        <v>24.8237048875461</v>
      </c>
      <c r="U3917" s="84" t="n">
        <f aca="false">IF(AND(R3917=1,ISNUMBER(T3917)),E3917-T3917,"")</f>
        <v>3.1762951124539</v>
      </c>
      <c r="V3917" s="84" t="n">
        <f aca="false">IF(ISNUMBER(T3917),T3917,-99)</f>
        <v>24.8237048875461</v>
      </c>
      <c r="W3917" s="84" t="n">
        <f aca="false">IF(ISNUMBER(U3917),ABS(U3917),"")</f>
        <v>3.1762951124539</v>
      </c>
    </row>
    <row r="3918" customFormat="false" ht="15" hidden="false" customHeight="false" outlineLevel="0" collapsed="false">
      <c r="A3918" s="57" t="n">
        <v>38199</v>
      </c>
      <c r="B3918" s="56" t="n">
        <v>2004</v>
      </c>
      <c r="C3918" s="56" t="n">
        <v>7</v>
      </c>
      <c r="D3918" s="56" t="n">
        <v>92</v>
      </c>
      <c r="E3918" s="56" t="n">
        <v>26.7</v>
      </c>
      <c r="F3918" s="56" t="n">
        <v>0</v>
      </c>
      <c r="G3918" s="56" t="n">
        <v>15.2</v>
      </c>
      <c r="H3918" s="56" t="n">
        <v>0</v>
      </c>
      <c r="I3918" s="56" t="n">
        <v>21.6</v>
      </c>
      <c r="J3918" s="56" t="n">
        <v>0</v>
      </c>
      <c r="K3918" s="56" t="n">
        <v>1020.5</v>
      </c>
      <c r="L3918" s="56" t="n">
        <v>0</v>
      </c>
      <c r="M3918" s="56" t="n">
        <v>56</v>
      </c>
      <c r="N3918" s="56" t="n">
        <v>9.1</v>
      </c>
      <c r="O3918" s="56" t="n">
        <f aca="false">IF(D3918=1,"",E3917)</f>
        <v>28</v>
      </c>
      <c r="P3918" s="56" t="n">
        <f aca="false">IF(OR(D3918=1,K3917=""),"",K3917)</f>
        <v>1018.8</v>
      </c>
      <c r="Q3918" s="56" t="n">
        <f aca="false">IF(OR(F3918&lt;&gt;0,AND(I3918&lt;&gt;"",E3918&lt;I3918)),1,0)</f>
        <v>0</v>
      </c>
      <c r="R3918" s="56" t="n">
        <f aca="false">IF(AND(D3918&gt;1,Q3918=0,ISNUMBER(O3918),ISNUMBER(P3918)),IF(Q3917=0,1,0),0)</f>
        <v>1</v>
      </c>
      <c r="S3918" s="56" t="n">
        <f aca="false">R3918*(B3918&gt;=Train_Start)*(B3918&lt;=Train_End)</f>
        <v>0</v>
      </c>
      <c r="T3918" s="84" t="n">
        <f aca="false">IF(AND(ISNUMBER(O3918),ISNUMBER(P3918)),Coef_A+Coef_B1*O3918+Coef_B2*P3918,"")</f>
        <v>26.9881214802985</v>
      </c>
      <c r="U3918" s="84" t="n">
        <f aca="false">IF(AND(R3918=1,ISNUMBER(T3918)),E3918-T3918,"")</f>
        <v>-0.288121480298504</v>
      </c>
      <c r="V3918" s="84" t="n">
        <f aca="false">IF(ISNUMBER(T3918),T3918,-99)</f>
        <v>26.9881214802985</v>
      </c>
      <c r="W3918" s="84" t="n">
        <f aca="false">IF(ISNUMBER(U3918),ABS(U3918),"")</f>
        <v>0.288121480298504</v>
      </c>
    </row>
    <row r="3919" customFormat="false" ht="15" hidden="false" customHeight="false" outlineLevel="0" collapsed="false">
      <c r="A3919" s="57" t="n">
        <v>38200</v>
      </c>
      <c r="B3919" s="56" t="n">
        <v>2004</v>
      </c>
      <c r="C3919" s="56" t="n">
        <v>8</v>
      </c>
      <c r="D3919" s="56" t="n">
        <v>93</v>
      </c>
      <c r="E3919" s="56" t="n">
        <v>28.1</v>
      </c>
      <c r="F3919" s="56" t="n">
        <v>0</v>
      </c>
      <c r="G3919" s="56" t="n">
        <v>16.6</v>
      </c>
      <c r="H3919" s="56" t="n">
        <v>0</v>
      </c>
      <c r="I3919" s="56" t="n">
        <v>21.6</v>
      </c>
      <c r="J3919" s="56" t="n">
        <v>0</v>
      </c>
      <c r="K3919" s="56" t="n">
        <v>1019.9</v>
      </c>
      <c r="L3919" s="56" t="n">
        <v>0</v>
      </c>
      <c r="M3919" s="56" t="n">
        <v>66</v>
      </c>
      <c r="N3919" s="56" t="n">
        <v>10.2</v>
      </c>
      <c r="O3919" s="56" t="n">
        <f aca="false">IF(D3919=1,"",E3918)</f>
        <v>26.7</v>
      </c>
      <c r="P3919" s="56" t="n">
        <f aca="false">IF(OR(D3919=1,K3918=""),"",K3918)</f>
        <v>1020.5</v>
      </c>
      <c r="Q3919" s="56" t="n">
        <f aca="false">IF(OR(F3919&lt;&gt;0,AND(I3919&lt;&gt;"",E3919&lt;I3919)),1,0)</f>
        <v>0</v>
      </c>
      <c r="R3919" s="56" t="n">
        <f aca="false">IF(AND(D3919&gt;1,Q3919=0,ISNUMBER(O3919),ISNUMBER(P3919)),IF(Q3918=0,1,0),0)</f>
        <v>1</v>
      </c>
      <c r="S3919" s="56" t="n">
        <f aca="false">R3919*(B3919&gt;=Train_Start)*(B3919&lt;=Train_End)</f>
        <v>0</v>
      </c>
      <c r="T3919" s="84" t="n">
        <f aca="false">IF(AND(ISNUMBER(O3919),ISNUMBER(P3919)),Coef_A+Coef_B1*O3919+Coef_B2*P3919,"")</f>
        <v>25.9763093502208</v>
      </c>
      <c r="U3919" s="84" t="n">
        <f aca="false">IF(AND(R3919=1,ISNUMBER(T3919)),E3919-T3919,"")</f>
        <v>2.12369064977917</v>
      </c>
      <c r="V3919" s="84" t="n">
        <f aca="false">IF(ISNUMBER(T3919),T3919,-99)</f>
        <v>25.9763093502208</v>
      </c>
      <c r="W3919" s="84" t="n">
        <f aca="false">IF(ISNUMBER(U3919),ABS(U3919),"")</f>
        <v>2.12369064977917</v>
      </c>
    </row>
    <row r="3920" customFormat="false" ht="15" hidden="false" customHeight="false" outlineLevel="0" collapsed="false">
      <c r="A3920" s="57" t="n">
        <v>38201</v>
      </c>
      <c r="B3920" s="56" t="n">
        <v>2004</v>
      </c>
      <c r="C3920" s="56" t="n">
        <v>8</v>
      </c>
      <c r="D3920" s="56" t="n">
        <v>94</v>
      </c>
      <c r="E3920" s="56" t="n">
        <v>27.9</v>
      </c>
      <c r="F3920" s="56" t="n">
        <v>0</v>
      </c>
      <c r="G3920" s="56" t="n">
        <v>15.2</v>
      </c>
      <c r="H3920" s="56" t="n">
        <v>0</v>
      </c>
      <c r="I3920" s="56" t="n">
        <v>21.6</v>
      </c>
      <c r="J3920" s="56" t="n">
        <v>0</v>
      </c>
      <c r="K3920" s="56" t="n">
        <v>1015.6</v>
      </c>
      <c r="L3920" s="56" t="n">
        <v>0</v>
      </c>
      <c r="M3920" s="56" t="n">
        <v>70</v>
      </c>
      <c r="N3920" s="56" t="n">
        <v>8.6</v>
      </c>
      <c r="O3920" s="56" t="n">
        <f aca="false">IF(D3920=1,"",E3919)</f>
        <v>28.1</v>
      </c>
      <c r="P3920" s="56" t="n">
        <f aca="false">IF(OR(D3920=1,K3919=""),"",K3919)</f>
        <v>1019.9</v>
      </c>
      <c r="Q3920" s="56" t="n">
        <f aca="false">IF(OR(F3920&lt;&gt;0,AND(I3920&lt;&gt;"",E3920&lt;I3920)),1,0)</f>
        <v>0</v>
      </c>
      <c r="R3920" s="56" t="n">
        <f aca="false">IF(AND(D3920&gt;1,Q3920=0,ISNUMBER(O3920),ISNUMBER(P3920)),IF(Q3919=0,1,0),0)</f>
        <v>1</v>
      </c>
      <c r="S3920" s="56" t="n">
        <f aca="false">R3920*(B3920&gt;=Train_Start)*(B3920&lt;=Train_End)</f>
        <v>0</v>
      </c>
      <c r="T3920" s="84" t="n">
        <f aca="false">IF(AND(ISNUMBER(O3920),ISNUMBER(P3920)),Coef_A+Coef_B1*O3920+Coef_B2*P3920,"")</f>
        <v>27.1045622837002</v>
      </c>
      <c r="U3920" s="84" t="n">
        <f aca="false">IF(AND(R3920=1,ISNUMBER(T3920)),E3920-T3920,"")</f>
        <v>0.795437716299844</v>
      </c>
      <c r="V3920" s="84" t="n">
        <f aca="false">IF(ISNUMBER(T3920),T3920,-99)</f>
        <v>27.1045622837002</v>
      </c>
      <c r="W3920" s="84" t="n">
        <f aca="false">IF(ISNUMBER(U3920),ABS(U3920),"")</f>
        <v>0.795437716299844</v>
      </c>
    </row>
    <row r="3921" customFormat="false" ht="15" hidden="false" customHeight="false" outlineLevel="0" collapsed="false">
      <c r="A3921" s="57" t="n">
        <v>38202</v>
      </c>
      <c r="B3921" s="56" t="n">
        <v>2004</v>
      </c>
      <c r="C3921" s="56" t="n">
        <v>8</v>
      </c>
      <c r="D3921" s="56" t="n">
        <v>95</v>
      </c>
      <c r="E3921" s="56" t="n">
        <v>28.1</v>
      </c>
      <c r="F3921" s="56" t="n">
        <v>0</v>
      </c>
      <c r="G3921" s="56" t="n">
        <v>18.5</v>
      </c>
      <c r="H3921" s="56" t="n">
        <v>0</v>
      </c>
      <c r="I3921" s="56" t="n">
        <v>23.2</v>
      </c>
      <c r="J3921" s="56" t="n">
        <v>0</v>
      </c>
      <c r="K3921" s="56" t="n">
        <v>1011.2</v>
      </c>
      <c r="L3921" s="56" t="n">
        <v>0</v>
      </c>
      <c r="M3921" s="56" t="n">
        <v>80</v>
      </c>
      <c r="N3921" s="56" t="n">
        <v>2.3</v>
      </c>
      <c r="O3921" s="56" t="n">
        <f aca="false">IF(D3921=1,"",E3920)</f>
        <v>27.9</v>
      </c>
      <c r="P3921" s="56" t="n">
        <f aca="false">IF(OR(D3921=1,K3920=""),"",K3920)</f>
        <v>1015.6</v>
      </c>
      <c r="Q3921" s="56" t="n">
        <f aca="false">IF(OR(F3921&lt;&gt;0,AND(I3921&lt;&gt;"",E3921&lt;I3921)),1,0)</f>
        <v>0</v>
      </c>
      <c r="R3921" s="56" t="n">
        <f aca="false">IF(AND(D3921&gt;1,Q3921=0,ISNUMBER(O3921),ISNUMBER(P3921)),IF(Q3920=0,1,0),0)</f>
        <v>1</v>
      </c>
      <c r="S3921" s="56" t="n">
        <f aca="false">R3921*(B3921&gt;=Train_Start)*(B3921&lt;=Train_End)</f>
        <v>0</v>
      </c>
      <c r="T3921" s="84" t="n">
        <f aca="false">IF(AND(ISNUMBER(O3921),ISNUMBER(P3921)),Coef_A+Coef_B1*O3921+Coef_B2*P3921,"")</f>
        <v>26.8058038981655</v>
      </c>
      <c r="U3921" s="84" t="n">
        <f aca="false">IF(AND(R3921=1,ISNUMBER(T3921)),E3921-T3921,"")</f>
        <v>1.29419610183453</v>
      </c>
      <c r="V3921" s="84" t="n">
        <f aca="false">IF(ISNUMBER(T3921),T3921,-99)</f>
        <v>26.8058038981655</v>
      </c>
      <c r="W3921" s="84" t="n">
        <f aca="false">IF(ISNUMBER(U3921),ABS(U3921),"")</f>
        <v>1.29419610183453</v>
      </c>
    </row>
    <row r="3922" customFormat="false" ht="15" hidden="false" customHeight="false" outlineLevel="0" collapsed="false">
      <c r="A3922" s="57" t="n">
        <v>38203</v>
      </c>
      <c r="B3922" s="56" t="n">
        <v>2004</v>
      </c>
      <c r="C3922" s="56" t="n">
        <v>8</v>
      </c>
      <c r="D3922" s="56" t="n">
        <v>96</v>
      </c>
      <c r="E3922" s="56" t="n">
        <v>27.3</v>
      </c>
      <c r="F3922" s="56" t="n">
        <v>0</v>
      </c>
      <c r="G3922" s="56" t="n">
        <v>15.2</v>
      </c>
      <c r="H3922" s="56" t="n">
        <v>0</v>
      </c>
      <c r="I3922" s="56" t="n">
        <v>21.6</v>
      </c>
      <c r="J3922" s="56" t="n">
        <v>0</v>
      </c>
      <c r="K3922" s="56" t="n">
        <v>1011.7</v>
      </c>
      <c r="L3922" s="56" t="n">
        <v>0</v>
      </c>
      <c r="M3922" s="56" t="n">
        <v>69</v>
      </c>
      <c r="N3922" s="56" t="n">
        <v>13</v>
      </c>
      <c r="O3922" s="56" t="n">
        <f aca="false">IF(D3922=1,"",E3921)</f>
        <v>28.1</v>
      </c>
      <c r="P3922" s="56" t="n">
        <f aca="false">IF(OR(D3922=1,K3921=""),"",K3921)</f>
        <v>1011.2</v>
      </c>
      <c r="Q3922" s="56" t="n">
        <f aca="false">IF(OR(F3922&lt;&gt;0,AND(I3922&lt;&gt;"",E3922&lt;I3922)),1,0)</f>
        <v>0</v>
      </c>
      <c r="R3922" s="56" t="n">
        <f aca="false">IF(AND(D3922&gt;1,Q3922=0,ISNUMBER(O3922),ISNUMBER(P3922)),IF(Q3921=0,1,0),0)</f>
        <v>1</v>
      </c>
      <c r="S3922" s="56" t="n">
        <f aca="false">R3922*(B3922&gt;=Train_Start)*(B3922&lt;=Train_End)</f>
        <v>0</v>
      </c>
      <c r="T3922" s="84" t="n">
        <f aca="false">IF(AND(ISNUMBER(O3922),ISNUMBER(P3922)),Coef_A+Coef_B1*O3922+Coef_B2*P3922,"")</f>
        <v>26.8316442003845</v>
      </c>
      <c r="U3922" s="84" t="n">
        <f aca="false">IF(AND(R3922=1,ISNUMBER(T3922)),E3922-T3922,"")</f>
        <v>0.468355799615551</v>
      </c>
      <c r="V3922" s="84" t="n">
        <f aca="false">IF(ISNUMBER(T3922),T3922,-99)</f>
        <v>26.8316442003845</v>
      </c>
      <c r="W3922" s="84" t="n">
        <f aca="false">IF(ISNUMBER(U3922),ABS(U3922),"")</f>
        <v>0.468355799615551</v>
      </c>
    </row>
    <row r="3923" customFormat="false" ht="15" hidden="false" customHeight="false" outlineLevel="0" collapsed="false">
      <c r="A3923" s="57" t="n">
        <v>38204</v>
      </c>
      <c r="B3923" s="56" t="n">
        <v>2004</v>
      </c>
      <c r="C3923" s="56" t="n">
        <v>8</v>
      </c>
      <c r="D3923" s="56" t="n">
        <v>97</v>
      </c>
      <c r="E3923" s="56" t="n">
        <v>27.6</v>
      </c>
      <c r="F3923" s="56" t="n">
        <v>0</v>
      </c>
      <c r="G3923" s="56" t="n">
        <v>18.8</v>
      </c>
      <c r="H3923" s="56" t="n">
        <v>0</v>
      </c>
      <c r="I3923" s="56" t="n">
        <v>23</v>
      </c>
      <c r="J3923" s="56" t="n">
        <v>0</v>
      </c>
      <c r="K3923" s="56" t="n">
        <v>1012.6</v>
      </c>
      <c r="L3923" s="56" t="n">
        <v>0</v>
      </c>
      <c r="M3923" s="56" t="n">
        <v>80</v>
      </c>
      <c r="N3923" s="56" t="n">
        <v>1.9</v>
      </c>
      <c r="O3923" s="56" t="n">
        <f aca="false">IF(D3923=1,"",E3922)</f>
        <v>27.3</v>
      </c>
      <c r="P3923" s="56" t="n">
        <f aca="false">IF(OR(D3923=1,K3922=""),"",K3922)</f>
        <v>1011.7</v>
      </c>
      <c r="Q3923" s="56" t="n">
        <f aca="false">IF(OR(F3923&lt;&gt;0,AND(I3923&lt;&gt;"",E3923&lt;I3923)),1,0)</f>
        <v>0</v>
      </c>
      <c r="R3923" s="56" t="n">
        <f aca="false">IF(AND(D3923&gt;1,Q3923=0,ISNUMBER(O3923),ISNUMBER(P3923)),IF(Q3922=0,1,0),0)</f>
        <v>1</v>
      </c>
      <c r="S3923" s="56" t="n">
        <f aca="false">R3923*(B3923&gt;=Train_Start)*(B3923&lt;=Train_End)</f>
        <v>0</v>
      </c>
      <c r="T3923" s="84" t="n">
        <f aca="false">IF(AND(ISNUMBER(O3923),ISNUMBER(P3923)),Coef_A+Coef_B1*O3923+Coef_B2*P3923,"")</f>
        <v>26.1918577932673</v>
      </c>
      <c r="U3923" s="84" t="n">
        <f aca="false">IF(AND(R3923=1,ISNUMBER(T3923)),E3923-T3923,"")</f>
        <v>1.40814220673268</v>
      </c>
      <c r="V3923" s="84" t="n">
        <f aca="false">IF(ISNUMBER(T3923),T3923,-99)</f>
        <v>26.1918577932673</v>
      </c>
      <c r="W3923" s="84" t="n">
        <f aca="false">IF(ISNUMBER(U3923),ABS(U3923),"")</f>
        <v>1.40814220673268</v>
      </c>
    </row>
    <row r="3924" customFormat="false" ht="15" hidden="false" customHeight="false" outlineLevel="0" collapsed="false">
      <c r="A3924" s="57" t="n">
        <v>38205</v>
      </c>
      <c r="B3924" s="56" t="n">
        <v>2004</v>
      </c>
      <c r="C3924" s="56" t="n">
        <v>8</v>
      </c>
      <c r="D3924" s="56" t="n">
        <v>98</v>
      </c>
      <c r="E3924" s="56" t="n">
        <v>29.2</v>
      </c>
      <c r="F3924" s="56" t="n">
        <v>0</v>
      </c>
      <c r="G3924" s="56" t="n">
        <v>15.6</v>
      </c>
      <c r="H3924" s="56" t="n">
        <v>0</v>
      </c>
      <c r="I3924" s="56" t="n">
        <v>21.6</v>
      </c>
      <c r="J3924" s="56" t="n">
        <v>0</v>
      </c>
      <c r="K3924" s="56" t="n">
        <v>1014.5</v>
      </c>
      <c r="L3924" s="56" t="n">
        <v>0</v>
      </c>
      <c r="M3924" s="56" t="n">
        <v>68</v>
      </c>
      <c r="N3924" s="56" t="n">
        <v>13.1</v>
      </c>
      <c r="O3924" s="56" t="n">
        <f aca="false">IF(D3924=1,"",E3923)</f>
        <v>27.6</v>
      </c>
      <c r="P3924" s="56" t="n">
        <f aca="false">IF(OR(D3924=1,K3923=""),"",K3923)</f>
        <v>1012.6</v>
      </c>
      <c r="Q3924" s="56" t="n">
        <f aca="false">IF(OR(F3924&lt;&gt;0,AND(I3924&lt;&gt;"",E3924&lt;I3924)),1,0)</f>
        <v>0</v>
      </c>
      <c r="R3924" s="56" t="n">
        <f aca="false">IF(AND(D3924&gt;1,Q3924=0,ISNUMBER(O3924),ISNUMBER(P3924)),IF(Q3923=0,1,0),0)</f>
        <v>1</v>
      </c>
      <c r="S3924" s="56" t="n">
        <f aca="false">R3924*(B3924&gt;=Train_Start)*(B3924&lt;=Train_End)</f>
        <v>0</v>
      </c>
      <c r="T3924" s="84" t="n">
        <f aca="false">IF(AND(ISNUMBER(O3924),ISNUMBER(P3924)),Coef_A+Coef_B1*O3924+Coef_B2*P3924,"")</f>
        <v>26.4658924563507</v>
      </c>
      <c r="U3924" s="84" t="n">
        <f aca="false">IF(AND(R3924=1,ISNUMBER(T3924)),E3924-T3924,"")</f>
        <v>2.73410754364929</v>
      </c>
      <c r="V3924" s="84" t="n">
        <f aca="false">IF(ISNUMBER(T3924),T3924,-99)</f>
        <v>26.4658924563507</v>
      </c>
      <c r="W3924" s="84" t="n">
        <f aca="false">IF(ISNUMBER(U3924),ABS(U3924),"")</f>
        <v>2.73410754364929</v>
      </c>
    </row>
    <row r="3925" customFormat="false" ht="15" hidden="false" customHeight="false" outlineLevel="0" collapsed="false">
      <c r="A3925" s="57" t="n">
        <v>38206</v>
      </c>
      <c r="B3925" s="56" t="n">
        <v>2004</v>
      </c>
      <c r="C3925" s="56" t="n">
        <v>8</v>
      </c>
      <c r="D3925" s="56" t="n">
        <v>99</v>
      </c>
      <c r="E3925" s="56" t="n">
        <v>30.5</v>
      </c>
      <c r="F3925" s="56" t="n">
        <v>0</v>
      </c>
      <c r="G3925" s="56" t="n">
        <v>15.4</v>
      </c>
      <c r="H3925" s="56" t="n">
        <v>0</v>
      </c>
      <c r="I3925" s="56" t="n">
        <v>22.3</v>
      </c>
      <c r="J3925" s="56" t="n">
        <v>0</v>
      </c>
      <c r="K3925" s="56" t="n">
        <v>1013.1</v>
      </c>
      <c r="L3925" s="56" t="n">
        <v>0</v>
      </c>
      <c r="M3925" s="56" t="n">
        <v>57</v>
      </c>
      <c r="N3925" s="56" t="n">
        <v>14.2</v>
      </c>
      <c r="O3925" s="56" t="n">
        <f aca="false">IF(D3925=1,"",E3924)</f>
        <v>29.2</v>
      </c>
      <c r="P3925" s="56" t="n">
        <f aca="false">IF(OR(D3925=1,K3924=""),"",K3924)</f>
        <v>1014.5</v>
      </c>
      <c r="Q3925" s="56" t="n">
        <f aca="false">IF(OR(F3925&lt;&gt;0,AND(I3925&lt;&gt;"",E3925&lt;I3925)),1,0)</f>
        <v>0</v>
      </c>
      <c r="R3925" s="56" t="n">
        <f aca="false">IF(AND(D3925&gt;1,Q3925=0,ISNUMBER(O3925),ISNUMBER(P3925)),IF(Q3924=0,1,0),0)</f>
        <v>1</v>
      </c>
      <c r="S3925" s="56" t="n">
        <f aca="false">R3925*(B3925&gt;=Train_Start)*(B3925&lt;=Train_End)</f>
        <v>0</v>
      </c>
      <c r="T3925" s="84" t="n">
        <f aca="false">IF(AND(ISNUMBER(O3925),ISNUMBER(P3925)),Coef_A+Coef_B1*O3925+Coef_B2*P3925,"")</f>
        <v>27.8364379650235</v>
      </c>
      <c r="U3925" s="84" t="n">
        <f aca="false">IF(AND(R3925=1,ISNUMBER(T3925)),E3925-T3925,"")</f>
        <v>2.66356203497646</v>
      </c>
      <c r="V3925" s="84" t="n">
        <f aca="false">IF(ISNUMBER(T3925),T3925,-99)</f>
        <v>27.8364379650235</v>
      </c>
      <c r="W3925" s="84" t="n">
        <f aca="false">IF(ISNUMBER(U3925),ABS(U3925),"")</f>
        <v>2.66356203497646</v>
      </c>
    </row>
    <row r="3926" customFormat="false" ht="15" hidden="false" customHeight="false" outlineLevel="0" collapsed="false">
      <c r="A3926" s="57" t="n">
        <v>38207</v>
      </c>
      <c r="B3926" s="56" t="n">
        <v>2004</v>
      </c>
      <c r="C3926" s="56" t="n">
        <v>8</v>
      </c>
      <c r="D3926" s="56" t="n">
        <v>100</v>
      </c>
      <c r="E3926" s="56" t="n">
        <v>22.9</v>
      </c>
      <c r="F3926" s="56" t="n">
        <v>1</v>
      </c>
      <c r="G3926" s="56" t="n">
        <v>18.5</v>
      </c>
      <c r="H3926" s="56" t="n">
        <v>0</v>
      </c>
      <c r="I3926" s="56" t="n">
        <v>24.5</v>
      </c>
      <c r="J3926" s="56" t="n">
        <v>1</v>
      </c>
      <c r="K3926" s="56" t="n">
        <v>1005</v>
      </c>
      <c r="L3926" s="56" t="n">
        <v>0</v>
      </c>
      <c r="M3926" s="56" t="n">
        <v>61</v>
      </c>
      <c r="N3926" s="56" t="n">
        <v>8.7</v>
      </c>
      <c r="O3926" s="56" t="n">
        <f aca="false">IF(D3926=1,"",E3925)</f>
        <v>30.5</v>
      </c>
      <c r="P3926" s="56" t="n">
        <f aca="false">IF(OR(D3926=1,K3925=""),"",K3925)</f>
        <v>1013.1</v>
      </c>
      <c r="Q3926" s="56" t="n">
        <f aca="false">IF(OR(F3926&lt;&gt;0,AND(I3926&lt;&gt;"",E3926&lt;I3926)),1,0)</f>
        <v>1</v>
      </c>
      <c r="R3926" s="56" t="n">
        <f aca="false">IF(AND(D3926&gt;1,Q3926=0,ISNUMBER(O3926),ISNUMBER(P3926)),IF(Q3925=0,1,0),0)</f>
        <v>0</v>
      </c>
      <c r="S3926" s="56" t="n">
        <f aca="false">R3926*(B3926&gt;=Train_Start)*(B3926&lt;=Train_End)</f>
        <v>0</v>
      </c>
      <c r="T3926" s="84" t="n">
        <f aca="false">IF(AND(ISNUMBER(O3926),ISNUMBER(P3926)),Coef_A+Coef_B1*O3926+Coef_B2*P3926,"")</f>
        <v>28.8576610634914</v>
      </c>
      <c r="U3926" s="84" t="str">
        <f aca="false">IF(AND(R3926=1,ISNUMBER(T3926)),E3926-T3926,"")</f>
        <v/>
      </c>
      <c r="V3926" s="84" t="n">
        <f aca="false">IF(ISNUMBER(T3926),T3926,-99)</f>
        <v>28.8576610634914</v>
      </c>
      <c r="W3926" s="84" t="str">
        <f aca="false">IF(ISNUMBER(U3926),ABS(U3926),"")</f>
        <v/>
      </c>
    </row>
    <row r="3927" customFormat="false" ht="15" hidden="false" customHeight="false" outlineLevel="0" collapsed="false">
      <c r="A3927" s="57" t="n">
        <v>38208</v>
      </c>
      <c r="B3927" s="56" t="n">
        <v>2004</v>
      </c>
      <c r="C3927" s="56" t="n">
        <v>8</v>
      </c>
      <c r="D3927" s="56" t="n">
        <v>101</v>
      </c>
      <c r="E3927" s="56" t="n">
        <v>25.4</v>
      </c>
      <c r="F3927" s="56" t="n">
        <v>0</v>
      </c>
      <c r="G3927" s="56" t="n">
        <v>20.6</v>
      </c>
      <c r="H3927" s="56" t="n">
        <v>0</v>
      </c>
      <c r="I3927" s="56" t="n">
        <v>21.8</v>
      </c>
      <c r="J3927" s="56" t="n">
        <v>0</v>
      </c>
      <c r="K3927" s="56" t="n">
        <v>1006.1</v>
      </c>
      <c r="L3927" s="56" t="n">
        <v>0</v>
      </c>
      <c r="M3927" s="56" t="n">
        <v>82</v>
      </c>
      <c r="N3927" s="56" t="n">
        <v>0</v>
      </c>
      <c r="O3927" s="56" t="n">
        <f aca="false">IF(D3927=1,"",E3926)</f>
        <v>22.9</v>
      </c>
      <c r="P3927" s="56" t="n">
        <f aca="false">IF(OR(D3927=1,K3926=""),"",K3926)</f>
        <v>1005</v>
      </c>
      <c r="Q3927" s="56" t="n">
        <f aca="false">IF(OR(F3927&lt;&gt;0,AND(I3927&lt;&gt;"",E3927&lt;I3927)),1,0)</f>
        <v>0</v>
      </c>
      <c r="R3927" s="56" t="n">
        <f aca="false">IF(AND(D3927&gt;1,Q3927=0,ISNUMBER(O3927),ISNUMBER(P3927)),IF(Q3926=0,1,0),0)</f>
        <v>0</v>
      </c>
      <c r="S3927" s="56" t="n">
        <f aca="false">R3927*(B3927&gt;=Train_Start)*(B3927&lt;=Train_End)</f>
        <v>0</v>
      </c>
      <c r="T3927" s="84" t="n">
        <f aca="false">IF(AND(ISNUMBER(O3927),ISNUMBER(P3927)),Coef_A+Coef_B1*O3927+Coef_B2*P3927,"")</f>
        <v>22.3765870498319</v>
      </c>
      <c r="U3927" s="84" t="str">
        <f aca="false">IF(AND(R3927=1,ISNUMBER(T3927)),E3927-T3927,"")</f>
        <v/>
      </c>
      <c r="V3927" s="84" t="n">
        <f aca="false">IF(ISNUMBER(T3927),T3927,-99)</f>
        <v>22.3765870498319</v>
      </c>
      <c r="W3927" s="84" t="str">
        <f aca="false">IF(ISNUMBER(U3927),ABS(U3927),"")</f>
        <v/>
      </c>
    </row>
    <row r="3928" customFormat="false" ht="15" hidden="false" customHeight="false" outlineLevel="0" collapsed="false">
      <c r="A3928" s="57" t="n">
        <v>38209</v>
      </c>
      <c r="B3928" s="56" t="n">
        <v>2004</v>
      </c>
      <c r="C3928" s="56" t="n">
        <v>8</v>
      </c>
      <c r="D3928" s="56" t="n">
        <v>102</v>
      </c>
      <c r="E3928" s="56" t="n">
        <v>24.9</v>
      </c>
      <c r="F3928" s="56" t="n">
        <v>0</v>
      </c>
      <c r="G3928" s="56" t="n">
        <v>17.7</v>
      </c>
      <c r="H3928" s="56" t="n">
        <v>0</v>
      </c>
      <c r="I3928" s="56" t="n">
        <v>21.6</v>
      </c>
      <c r="J3928" s="56" t="n">
        <v>0</v>
      </c>
      <c r="K3928" s="56" t="n">
        <v>1008.1</v>
      </c>
      <c r="L3928" s="56" t="n">
        <v>0</v>
      </c>
      <c r="M3928" s="56" t="n">
        <v>75</v>
      </c>
      <c r="N3928" s="56" t="n">
        <v>7.9</v>
      </c>
      <c r="O3928" s="56" t="n">
        <f aca="false">IF(D3928=1,"",E3927)</f>
        <v>25.4</v>
      </c>
      <c r="P3928" s="56" t="n">
        <f aca="false">IF(OR(D3928=1,K3927=""),"",K3927)</f>
        <v>1006.1</v>
      </c>
      <c r="Q3928" s="56" t="n">
        <f aca="false">IF(OR(F3928&lt;&gt;0,AND(I3928&lt;&gt;"",E3928&lt;I3928)),1,0)</f>
        <v>0</v>
      </c>
      <c r="R3928" s="56" t="n">
        <f aca="false">IF(AND(D3928&gt;1,Q3928=0,ISNUMBER(O3928),ISNUMBER(P3928)),IF(Q3927=0,1,0),0)</f>
        <v>1</v>
      </c>
      <c r="S3928" s="56" t="n">
        <f aca="false">R3928*(B3928&gt;=Train_Start)*(B3928&lt;=Train_End)</f>
        <v>0</v>
      </c>
      <c r="T3928" s="84" t="n">
        <f aca="false">IF(AND(ISNUMBER(O3928),ISNUMBER(P3928)),Coef_A+Coef_B1*O3928+Coef_B2*P3928,"")</f>
        <v>24.4594419165359</v>
      </c>
      <c r="U3928" s="84" t="n">
        <f aca="false">IF(AND(R3928=1,ISNUMBER(T3928)),E3928-T3928,"")</f>
        <v>0.440558083464069</v>
      </c>
      <c r="V3928" s="84" t="n">
        <f aca="false">IF(ISNUMBER(T3928),T3928,-99)</f>
        <v>24.4594419165359</v>
      </c>
      <c r="W3928" s="84" t="n">
        <f aca="false">IF(ISNUMBER(U3928),ABS(U3928),"")</f>
        <v>0.440558083464069</v>
      </c>
    </row>
    <row r="3929" customFormat="false" ht="15" hidden="false" customHeight="false" outlineLevel="0" collapsed="false">
      <c r="A3929" s="57" t="n">
        <v>38210</v>
      </c>
      <c r="B3929" s="56" t="n">
        <v>2004</v>
      </c>
      <c r="C3929" s="56" t="n">
        <v>8</v>
      </c>
      <c r="D3929" s="56" t="n">
        <v>103</v>
      </c>
      <c r="E3929" s="56" t="n">
        <v>24.2</v>
      </c>
      <c r="F3929" s="56" t="n">
        <v>0</v>
      </c>
      <c r="G3929" s="56" t="n">
        <v>16.4</v>
      </c>
      <c r="H3929" s="56" t="n">
        <v>0</v>
      </c>
      <c r="I3929" s="56" t="n">
        <v>20.6</v>
      </c>
      <c r="J3929" s="56" t="n">
        <v>0</v>
      </c>
      <c r="K3929" s="56" t="n">
        <v>1008.9</v>
      </c>
      <c r="L3929" s="56" t="n">
        <v>0</v>
      </c>
      <c r="M3929" s="56" t="n">
        <v>69</v>
      </c>
      <c r="N3929" s="56" t="n">
        <v>7.1</v>
      </c>
      <c r="O3929" s="56" t="n">
        <f aca="false">IF(D3929=1,"",E3928)</f>
        <v>24.9</v>
      </c>
      <c r="P3929" s="56" t="n">
        <f aca="false">IF(OR(D3929=1,K3928=""),"",K3928)</f>
        <v>1008.1</v>
      </c>
      <c r="Q3929" s="56" t="n">
        <f aca="false">IF(OR(F3929&lt;&gt;0,AND(I3929&lt;&gt;"",E3929&lt;I3929)),1,0)</f>
        <v>0</v>
      </c>
      <c r="R3929" s="56" t="n">
        <f aca="false">IF(AND(D3929&gt;1,Q3929=0,ISNUMBER(O3929),ISNUMBER(P3929)),IF(Q3928=0,1,0),0)</f>
        <v>1</v>
      </c>
      <c r="S3929" s="56" t="n">
        <f aca="false">R3929*(B3929&gt;=Train_Start)*(B3929&lt;=Train_End)</f>
        <v>0</v>
      </c>
      <c r="T3929" s="84" t="n">
        <f aca="false">IF(AND(ISNUMBER(O3929),ISNUMBER(P3929)),Coef_A+Coef_B1*O3929+Coef_B2*P3929,"")</f>
        <v>24.1125121092826</v>
      </c>
      <c r="U3929" s="84" t="n">
        <f aca="false">IF(AND(R3929=1,ISNUMBER(T3929)),E3929-T3929,"")</f>
        <v>0.0874878907174193</v>
      </c>
      <c r="V3929" s="84" t="n">
        <f aca="false">IF(ISNUMBER(T3929),T3929,-99)</f>
        <v>24.1125121092826</v>
      </c>
      <c r="W3929" s="84" t="n">
        <f aca="false">IF(ISNUMBER(U3929),ABS(U3929),"")</f>
        <v>0.0874878907174193</v>
      </c>
    </row>
    <row r="3930" customFormat="false" ht="15" hidden="false" customHeight="false" outlineLevel="0" collapsed="false">
      <c r="A3930" s="57" t="n">
        <v>38211</v>
      </c>
      <c r="B3930" s="56" t="n">
        <v>2004</v>
      </c>
      <c r="C3930" s="56" t="n">
        <v>8</v>
      </c>
      <c r="D3930" s="56" t="n">
        <v>104</v>
      </c>
      <c r="E3930" s="56" t="n">
        <v>22.9</v>
      </c>
      <c r="F3930" s="56" t="n">
        <v>0</v>
      </c>
      <c r="G3930" s="56" t="n">
        <v>17.6</v>
      </c>
      <c r="H3930" s="56" t="n">
        <v>0</v>
      </c>
      <c r="I3930" s="56" t="n">
        <v>20.9</v>
      </c>
      <c r="J3930" s="56" t="n">
        <v>0</v>
      </c>
      <c r="K3930" s="56" t="n">
        <v>1003.3</v>
      </c>
      <c r="L3930" s="56" t="n">
        <v>0</v>
      </c>
      <c r="M3930" s="56" t="n">
        <v>76</v>
      </c>
      <c r="N3930" s="56" t="n">
        <v>8.6</v>
      </c>
      <c r="O3930" s="56" t="n">
        <f aca="false">IF(D3930=1,"",E3929)</f>
        <v>24.2</v>
      </c>
      <c r="P3930" s="56" t="n">
        <f aca="false">IF(OR(D3930=1,K3929=""),"",K3929)</f>
        <v>1008.9</v>
      </c>
      <c r="Q3930" s="56" t="n">
        <f aca="false">IF(OR(F3930&lt;&gt;0,AND(I3930&lt;&gt;"",E3930&lt;I3930)),1,0)</f>
        <v>0</v>
      </c>
      <c r="R3930" s="56" t="n">
        <f aca="false">IF(AND(D3930&gt;1,Q3930=0,ISNUMBER(O3930),ISNUMBER(P3930)),IF(Q3929=0,1,0),0)</f>
        <v>1</v>
      </c>
      <c r="S3930" s="56" t="n">
        <f aca="false">R3930*(B3930&gt;=Train_Start)*(B3930&lt;=Train_End)</f>
        <v>0</v>
      </c>
      <c r="T3930" s="84" t="n">
        <f aca="false">IF(AND(ISNUMBER(O3930),ISNUMBER(P3930)),Coef_A+Coef_B1*O3930+Coef_B2*P3930,"")</f>
        <v>23.5640705898599</v>
      </c>
      <c r="U3930" s="84" t="n">
        <f aca="false">IF(AND(R3930=1,ISNUMBER(T3930)),E3930-T3930,"")</f>
        <v>-0.664070589859911</v>
      </c>
      <c r="V3930" s="84" t="n">
        <f aca="false">IF(ISNUMBER(T3930),T3930,-99)</f>
        <v>23.5640705898599</v>
      </c>
      <c r="W3930" s="84" t="n">
        <f aca="false">IF(ISNUMBER(U3930),ABS(U3930),"")</f>
        <v>0.664070589859911</v>
      </c>
    </row>
    <row r="3931" customFormat="false" ht="15" hidden="false" customHeight="false" outlineLevel="0" collapsed="false">
      <c r="A3931" s="57" t="n">
        <v>38212</v>
      </c>
      <c r="B3931" s="56" t="n">
        <v>2004</v>
      </c>
      <c r="C3931" s="56" t="n">
        <v>8</v>
      </c>
      <c r="D3931" s="56" t="n">
        <v>105</v>
      </c>
      <c r="E3931" s="56" t="n">
        <v>24.2</v>
      </c>
      <c r="F3931" s="56" t="n">
        <v>0</v>
      </c>
      <c r="G3931" s="56" t="n">
        <v>14.7</v>
      </c>
      <c r="H3931" s="56" t="n">
        <v>0</v>
      </c>
      <c r="I3931" s="56" t="n">
        <v>18.8</v>
      </c>
      <c r="J3931" s="56" t="n">
        <v>0</v>
      </c>
      <c r="K3931" s="56" t="n">
        <v>1006.8</v>
      </c>
      <c r="L3931" s="56" t="n">
        <v>0</v>
      </c>
      <c r="M3931" s="56" t="n">
        <v>81</v>
      </c>
      <c r="N3931" s="56" t="n">
        <v>2.9</v>
      </c>
      <c r="O3931" s="56" t="n">
        <f aca="false">IF(D3931=1,"",E3930)</f>
        <v>22.9</v>
      </c>
      <c r="P3931" s="56" t="n">
        <f aca="false">IF(OR(D3931=1,K3930=""),"",K3930)</f>
        <v>1003.3</v>
      </c>
      <c r="Q3931" s="56" t="n">
        <f aca="false">IF(OR(F3931&lt;&gt;0,AND(I3931&lt;&gt;"",E3931&lt;I3931)),1,0)</f>
        <v>0</v>
      </c>
      <c r="R3931" s="56" t="n">
        <f aca="false">IF(AND(D3931&gt;1,Q3931=0,ISNUMBER(O3931),ISNUMBER(P3931)),IF(Q3930=0,1,0),0)</f>
        <v>1</v>
      </c>
      <c r="S3931" s="56" t="n">
        <f aca="false">R3931*(B3931&gt;=Train_Start)*(B3931&lt;=Train_End)</f>
        <v>0</v>
      </c>
      <c r="T3931" s="84" t="n">
        <f aca="false">IF(AND(ISNUMBER(O3931),ISNUMBER(P3931)),Coef_A+Coef_B1*O3931+Coef_B2*P3931,"")</f>
        <v>22.3232582289541</v>
      </c>
      <c r="U3931" s="84" t="n">
        <f aca="false">IF(AND(R3931=1,ISNUMBER(T3931)),E3931-T3931,"")</f>
        <v>1.87674177104589</v>
      </c>
      <c r="V3931" s="84" t="n">
        <f aca="false">IF(ISNUMBER(T3931),T3931,-99)</f>
        <v>22.3232582289541</v>
      </c>
      <c r="W3931" s="84" t="n">
        <f aca="false">IF(ISNUMBER(U3931),ABS(U3931),"")</f>
        <v>1.87674177104589</v>
      </c>
    </row>
    <row r="3932" customFormat="false" ht="15" hidden="false" customHeight="false" outlineLevel="0" collapsed="false">
      <c r="A3932" s="57" t="n">
        <v>38213</v>
      </c>
      <c r="B3932" s="56" t="n">
        <v>2004</v>
      </c>
      <c r="C3932" s="56" t="n">
        <v>8</v>
      </c>
      <c r="D3932" s="56" t="n">
        <v>106</v>
      </c>
      <c r="E3932" s="56" t="n">
        <v>24.2</v>
      </c>
      <c r="F3932" s="56" t="n">
        <v>0</v>
      </c>
      <c r="G3932" s="56" t="n">
        <v>16.4</v>
      </c>
      <c r="H3932" s="56" t="n">
        <v>0</v>
      </c>
      <c r="I3932" s="56" t="n">
        <v>20.3</v>
      </c>
      <c r="J3932" s="56" t="n">
        <v>0</v>
      </c>
      <c r="K3932" s="56" t="n">
        <v>1017.5</v>
      </c>
      <c r="L3932" s="56" t="n">
        <v>0</v>
      </c>
      <c r="M3932" s="56" t="n">
        <v>72</v>
      </c>
      <c r="N3932" s="56" t="n">
        <v>3.9</v>
      </c>
      <c r="O3932" s="56" t="n">
        <f aca="false">IF(D3932=1,"",E3931)</f>
        <v>24.2</v>
      </c>
      <c r="P3932" s="56" t="n">
        <f aca="false">IF(OR(D3932=1,K3931=""),"",K3931)</f>
        <v>1006.8</v>
      </c>
      <c r="Q3932" s="56" t="n">
        <f aca="false">IF(OR(F3932&lt;&gt;0,AND(I3932&lt;&gt;"",E3932&lt;I3932)),1,0)</f>
        <v>0</v>
      </c>
      <c r="R3932" s="56" t="n">
        <f aca="false">IF(AND(D3932&gt;1,Q3932=0,ISNUMBER(O3932),ISNUMBER(P3932)),IF(Q3931=0,1,0),0)</f>
        <v>1</v>
      </c>
      <c r="S3932" s="56" t="n">
        <f aca="false">R3932*(B3932&gt;=Train_Start)*(B3932&lt;=Train_End)</f>
        <v>0</v>
      </c>
      <c r="T3932" s="84" t="n">
        <f aca="false">IF(AND(ISNUMBER(O3932),ISNUMBER(P3932)),Coef_A+Coef_B1*O3932+Coef_B2*P3932,"")</f>
        <v>23.4981938111285</v>
      </c>
      <c r="U3932" s="84" t="n">
        <f aca="false">IF(AND(R3932=1,ISNUMBER(T3932)),E3932-T3932,"")</f>
        <v>0.701806188871469</v>
      </c>
      <c r="V3932" s="84" t="n">
        <f aca="false">IF(ISNUMBER(T3932),T3932,-99)</f>
        <v>23.4981938111285</v>
      </c>
      <c r="W3932" s="84" t="n">
        <f aca="false">IF(ISNUMBER(U3932),ABS(U3932),"")</f>
        <v>0.701806188871469</v>
      </c>
    </row>
    <row r="3933" customFormat="false" ht="15" hidden="false" customHeight="false" outlineLevel="0" collapsed="false">
      <c r="A3933" s="57" t="n">
        <v>38214</v>
      </c>
      <c r="B3933" s="56" t="n">
        <v>2004</v>
      </c>
      <c r="C3933" s="56" t="n">
        <v>8</v>
      </c>
      <c r="D3933" s="56" t="n">
        <v>107</v>
      </c>
      <c r="E3933" s="56" t="n">
        <v>21.7</v>
      </c>
      <c r="F3933" s="56" t="n">
        <v>0</v>
      </c>
      <c r="G3933" s="56" t="n">
        <v>15.3</v>
      </c>
      <c r="H3933" s="56" t="n">
        <v>0</v>
      </c>
      <c r="I3933" s="56" t="n">
        <v>19.8</v>
      </c>
      <c r="J3933" s="56" t="n">
        <v>0</v>
      </c>
      <c r="K3933" s="56" t="n">
        <v>1016.3</v>
      </c>
      <c r="L3933" s="56" t="n">
        <v>0</v>
      </c>
      <c r="M3933" s="56" t="n">
        <v>79</v>
      </c>
      <c r="N3933" s="56" t="n">
        <v>3.3</v>
      </c>
      <c r="O3933" s="56" t="n">
        <f aca="false">IF(D3933=1,"",E3932)</f>
        <v>24.2</v>
      </c>
      <c r="P3933" s="56" t="n">
        <f aca="false">IF(OR(D3933=1,K3932=""),"",K3932)</f>
        <v>1017.5</v>
      </c>
      <c r="Q3933" s="56" t="n">
        <f aca="false">IF(OR(F3933&lt;&gt;0,AND(I3933&lt;&gt;"",E3933&lt;I3933)),1,0)</f>
        <v>0</v>
      </c>
      <c r="R3933" s="56" t="n">
        <f aca="false">IF(AND(D3933&gt;1,Q3933=0,ISNUMBER(O3933),ISNUMBER(P3933)),IF(Q3932=0,1,0),0)</f>
        <v>1</v>
      </c>
      <c r="S3933" s="56" t="n">
        <f aca="false">R3933*(B3933&gt;=Train_Start)*(B3933&lt;=Train_End)</f>
        <v>0</v>
      </c>
      <c r="T3933" s="84" t="n">
        <f aca="false">IF(AND(ISNUMBER(O3933),ISNUMBER(P3933)),Coef_A+Coef_B1*O3933+Coef_B2*P3933,"")</f>
        <v>23.8338516837122</v>
      </c>
      <c r="U3933" s="84" t="n">
        <f aca="false">IF(AND(R3933=1,ISNUMBER(T3933)),E3933-T3933,"")</f>
        <v>-2.13385168371222</v>
      </c>
      <c r="V3933" s="84" t="n">
        <f aca="false">IF(ISNUMBER(T3933),T3933,-99)</f>
        <v>23.8338516837122</v>
      </c>
      <c r="W3933" s="84" t="n">
        <f aca="false">IF(ISNUMBER(U3933),ABS(U3933),"")</f>
        <v>2.13385168371222</v>
      </c>
    </row>
    <row r="3934" customFormat="false" ht="15" hidden="false" customHeight="false" outlineLevel="0" collapsed="false">
      <c r="A3934" s="57" t="n">
        <v>38215</v>
      </c>
      <c r="B3934" s="56" t="n">
        <v>2004</v>
      </c>
      <c r="C3934" s="56" t="n">
        <v>8</v>
      </c>
      <c r="D3934" s="56" t="n">
        <v>108</v>
      </c>
      <c r="E3934" s="56" t="n">
        <v>23.5</v>
      </c>
      <c r="F3934" s="56" t="n">
        <v>0</v>
      </c>
      <c r="G3934" s="56" t="n">
        <v>15.9</v>
      </c>
      <c r="H3934" s="56" t="n">
        <v>0</v>
      </c>
      <c r="I3934" s="56" t="n">
        <v>18.8</v>
      </c>
      <c r="J3934" s="56" t="n">
        <v>0</v>
      </c>
      <c r="K3934" s="56" t="n">
        <v>1007</v>
      </c>
      <c r="L3934" s="56" t="n">
        <v>0</v>
      </c>
      <c r="M3934" s="56" t="n">
        <v>81</v>
      </c>
      <c r="N3934" s="56" t="n">
        <v>3.5</v>
      </c>
      <c r="O3934" s="56" t="n">
        <f aca="false">IF(D3934=1,"",E3933)</f>
        <v>21.7</v>
      </c>
      <c r="P3934" s="56" t="n">
        <f aca="false">IF(OR(D3934=1,K3933=""),"",K3933)</f>
        <v>1016.3</v>
      </c>
      <c r="Q3934" s="56" t="n">
        <f aca="false">IF(OR(F3934&lt;&gt;0,AND(I3934&lt;&gt;"",E3934&lt;I3934)),1,0)</f>
        <v>0</v>
      </c>
      <c r="R3934" s="56" t="n">
        <f aca="false">IF(AND(D3934&gt;1,Q3934=0,ISNUMBER(O3934),ISNUMBER(P3934)),IF(Q3933=0,1,0),0)</f>
        <v>1</v>
      </c>
      <c r="S3934" s="56" t="n">
        <f aca="false">R3934*(B3934&gt;=Train_Start)*(B3934&lt;=Train_End)</f>
        <v>0</v>
      </c>
      <c r="T3934" s="84" t="n">
        <f aca="false">IF(AND(ISNUMBER(O3934),ISNUMBER(P3934)),Coef_A+Coef_B1*O3934+Coef_B2*P3934,"")</f>
        <v>21.7478598275448</v>
      </c>
      <c r="U3934" s="84" t="n">
        <f aca="false">IF(AND(R3934=1,ISNUMBER(T3934)),E3934-T3934,"")</f>
        <v>1.75214017245521</v>
      </c>
      <c r="V3934" s="84" t="n">
        <f aca="false">IF(ISNUMBER(T3934),T3934,-99)</f>
        <v>21.7478598275448</v>
      </c>
      <c r="W3934" s="84" t="n">
        <f aca="false">IF(ISNUMBER(U3934),ABS(U3934),"")</f>
        <v>1.75214017245521</v>
      </c>
    </row>
    <row r="3935" customFormat="false" ht="15" hidden="false" customHeight="false" outlineLevel="0" collapsed="false">
      <c r="A3935" s="57" t="n">
        <v>38216</v>
      </c>
      <c r="B3935" s="56" t="n">
        <v>2004</v>
      </c>
      <c r="C3935" s="56" t="n">
        <v>8</v>
      </c>
      <c r="D3935" s="56" t="n">
        <v>109</v>
      </c>
      <c r="E3935" s="56" t="n">
        <v>23.8</v>
      </c>
      <c r="F3935" s="56" t="n">
        <v>0</v>
      </c>
      <c r="G3935" s="56" t="n">
        <v>15</v>
      </c>
      <c r="H3935" s="56" t="n">
        <v>0</v>
      </c>
      <c r="I3935" s="56" t="n">
        <v>19.2</v>
      </c>
      <c r="J3935" s="56" t="n">
        <v>0</v>
      </c>
      <c r="K3935" s="56" t="n">
        <v>1001.9</v>
      </c>
      <c r="L3935" s="56" t="n">
        <v>0</v>
      </c>
      <c r="M3935" s="56" t="n">
        <v>76</v>
      </c>
      <c r="N3935" s="56" t="n">
        <v>8.9</v>
      </c>
      <c r="O3935" s="56" t="n">
        <f aca="false">IF(D3935=1,"",E3934)</f>
        <v>23.5</v>
      </c>
      <c r="P3935" s="56" t="n">
        <f aca="false">IF(OR(D3935=1,K3934=""),"",K3934)</f>
        <v>1007</v>
      </c>
      <c r="Q3935" s="56" t="n">
        <f aca="false">IF(OR(F3935&lt;&gt;0,AND(I3935&lt;&gt;"",E3935&lt;I3935)),1,0)</f>
        <v>0</v>
      </c>
      <c r="R3935" s="56" t="n">
        <f aca="false">IF(AND(D3935&gt;1,Q3935=0,ISNUMBER(O3935),ISNUMBER(P3935)),IF(Q3934=0,1,0),0)</f>
        <v>1</v>
      </c>
      <c r="S3935" s="56" t="n">
        <f aca="false">R3935*(B3935&gt;=Train_Start)*(B3935&lt;=Train_End)</f>
        <v>0</v>
      </c>
      <c r="T3935" s="84" t="n">
        <f aca="false">IF(AND(ISNUMBER(O3935),ISNUMBER(P3935)),Coef_A+Coef_B1*O3935+Coef_B2*P3935,"")</f>
        <v>22.9309303549255</v>
      </c>
      <c r="U3935" s="84" t="n">
        <f aca="false">IF(AND(R3935=1,ISNUMBER(T3935)),E3935-T3935,"")</f>
        <v>0.869069645074532</v>
      </c>
      <c r="V3935" s="84" t="n">
        <f aca="false">IF(ISNUMBER(T3935),T3935,-99)</f>
        <v>22.9309303549255</v>
      </c>
      <c r="W3935" s="84" t="n">
        <f aca="false">IF(ISNUMBER(U3935),ABS(U3935),"")</f>
        <v>0.869069645074532</v>
      </c>
    </row>
    <row r="3936" customFormat="false" ht="15" hidden="false" customHeight="false" outlineLevel="0" collapsed="false">
      <c r="A3936" s="57" t="n">
        <v>38217</v>
      </c>
      <c r="B3936" s="56" t="n">
        <v>2004</v>
      </c>
      <c r="C3936" s="56" t="n">
        <v>8</v>
      </c>
      <c r="D3936" s="56" t="n">
        <v>110</v>
      </c>
      <c r="E3936" s="56" t="n">
        <v>22.6</v>
      </c>
      <c r="F3936" s="56" t="n">
        <v>0</v>
      </c>
      <c r="G3936" s="56" t="n">
        <v>16.6</v>
      </c>
      <c r="H3936" s="56" t="n">
        <v>0</v>
      </c>
      <c r="I3936" s="56" t="n">
        <v>20.2</v>
      </c>
      <c r="J3936" s="56" t="n">
        <v>0</v>
      </c>
      <c r="K3936" s="56" t="n">
        <v>997.7</v>
      </c>
      <c r="L3936" s="56" t="n">
        <v>0</v>
      </c>
      <c r="M3936" s="56" t="n">
        <v>80</v>
      </c>
      <c r="N3936" s="56" t="n">
        <v>6.7</v>
      </c>
      <c r="O3936" s="56" t="n">
        <f aca="false">IF(D3936=1,"",E3935)</f>
        <v>23.8</v>
      </c>
      <c r="P3936" s="56" t="n">
        <f aca="false">IF(OR(D3936=1,K3935=""),"",K3935)</f>
        <v>1001.9</v>
      </c>
      <c r="Q3936" s="56" t="n">
        <f aca="false">IF(OR(F3936&lt;&gt;0,AND(I3936&lt;&gt;"",E3936&lt;I3936)),1,0)</f>
        <v>0</v>
      </c>
      <c r="R3936" s="56" t="n">
        <f aca="false">IF(AND(D3936&gt;1,Q3936=0,ISNUMBER(O3936),ISNUMBER(P3936)),IF(Q3935=0,1,0),0)</f>
        <v>1</v>
      </c>
      <c r="S3936" s="56" t="n">
        <f aca="false">R3936*(B3936&gt;=Train_Start)*(B3936&lt;=Train_End)</f>
        <v>0</v>
      </c>
      <c r="T3936" s="84" t="n">
        <f aca="false">IF(AND(ISNUMBER(O3936),ISNUMBER(P3936)),Coef_A+Coef_B1*O3936+Coef_B2*P3936,"")</f>
        <v>23.0167456502049</v>
      </c>
      <c r="U3936" s="84" t="n">
        <f aca="false">IF(AND(R3936=1,ISNUMBER(T3936)),E3936-T3936,"")</f>
        <v>-0.416745650204916</v>
      </c>
      <c r="V3936" s="84" t="n">
        <f aca="false">IF(ISNUMBER(T3936),T3936,-99)</f>
        <v>23.0167456502049</v>
      </c>
      <c r="W3936" s="84" t="n">
        <f aca="false">IF(ISNUMBER(U3936),ABS(U3936),"")</f>
        <v>0.416745650204916</v>
      </c>
    </row>
    <row r="3937" customFormat="false" ht="15" hidden="false" customHeight="false" outlineLevel="0" collapsed="false">
      <c r="A3937" s="57" t="n">
        <v>38218</v>
      </c>
      <c r="B3937" s="56" t="n">
        <v>2004</v>
      </c>
      <c r="C3937" s="56" t="n">
        <v>8</v>
      </c>
      <c r="D3937" s="56" t="n">
        <v>111</v>
      </c>
      <c r="E3937" s="56" t="n">
        <v>21.5</v>
      </c>
      <c r="F3937" s="56" t="n">
        <v>0</v>
      </c>
      <c r="G3937" s="56" t="n">
        <v>14.9</v>
      </c>
      <c r="H3937" s="56" t="n">
        <v>0</v>
      </c>
      <c r="I3937" s="56" t="n">
        <v>18.8</v>
      </c>
      <c r="J3937" s="56" t="n">
        <v>0</v>
      </c>
      <c r="K3937" s="56" t="n">
        <v>1000.2</v>
      </c>
      <c r="L3937" s="56" t="n">
        <v>0</v>
      </c>
      <c r="M3937" s="56" t="n">
        <v>78</v>
      </c>
      <c r="N3937" s="56" t="n">
        <v>7.9</v>
      </c>
      <c r="O3937" s="56" t="n">
        <f aca="false">IF(D3937=1,"",E3936)</f>
        <v>22.6</v>
      </c>
      <c r="P3937" s="56" t="n">
        <f aca="false">IF(OR(D3937=1,K3936=""),"",K3936)</f>
        <v>997.7</v>
      </c>
      <c r="Q3937" s="56" t="n">
        <f aca="false">IF(OR(F3937&lt;&gt;0,AND(I3937&lt;&gt;"",E3937&lt;I3937)),1,0)</f>
        <v>0</v>
      </c>
      <c r="R3937" s="56" t="n">
        <f aca="false">IF(AND(D3937&gt;1,Q3937=0,ISNUMBER(O3937),ISNUMBER(P3937)),IF(Q3936=0,1,0),0)</f>
        <v>1</v>
      </c>
      <c r="S3937" s="56" t="n">
        <f aca="false">R3937*(B3937&gt;=Train_Start)*(B3937&lt;=Train_End)</f>
        <v>0</v>
      </c>
      <c r="T3937" s="84" t="n">
        <f aca="false">IF(AND(ISNUMBER(O3937),ISNUMBER(P3937)),Coef_A+Coef_B1*O3937+Coef_B2*P3937,"")</f>
        <v>21.901785061091</v>
      </c>
      <c r="U3937" s="84" t="n">
        <f aca="false">IF(AND(R3937=1,ISNUMBER(T3937)),E3937-T3937,"")</f>
        <v>-0.40178506109098</v>
      </c>
      <c r="V3937" s="84" t="n">
        <f aca="false">IF(ISNUMBER(T3937),T3937,-99)</f>
        <v>21.901785061091</v>
      </c>
      <c r="W3937" s="84" t="n">
        <f aca="false">IF(ISNUMBER(U3937),ABS(U3937),"")</f>
        <v>0.40178506109098</v>
      </c>
    </row>
    <row r="3938" customFormat="false" ht="15" hidden="false" customHeight="false" outlineLevel="0" collapsed="false">
      <c r="A3938" s="57" t="n">
        <v>38219</v>
      </c>
      <c r="B3938" s="56" t="n">
        <v>2004</v>
      </c>
      <c r="C3938" s="56" t="n">
        <v>8</v>
      </c>
      <c r="D3938" s="56" t="n">
        <v>112</v>
      </c>
      <c r="E3938" s="56" t="n">
        <v>20.5</v>
      </c>
      <c r="F3938" s="56" t="n">
        <v>0</v>
      </c>
      <c r="G3938" s="56" t="n">
        <v>14.5</v>
      </c>
      <c r="H3938" s="56" t="n">
        <v>0</v>
      </c>
      <c r="I3938" s="56" t="n">
        <v>18</v>
      </c>
      <c r="J3938" s="56" t="n">
        <v>0</v>
      </c>
      <c r="K3938" s="56" t="n">
        <v>1004.6</v>
      </c>
      <c r="L3938" s="56" t="n">
        <v>0</v>
      </c>
      <c r="M3938" s="56" t="n">
        <v>78</v>
      </c>
      <c r="N3938" s="56" t="n">
        <v>8</v>
      </c>
      <c r="O3938" s="56" t="n">
        <f aca="false">IF(D3938=1,"",E3937)</f>
        <v>21.5</v>
      </c>
      <c r="P3938" s="56" t="n">
        <f aca="false">IF(OR(D3938=1,K3937=""),"",K3937)</f>
        <v>1000.2</v>
      </c>
      <c r="Q3938" s="56" t="n">
        <f aca="false">IF(OR(F3938&lt;&gt;0,AND(I3938&lt;&gt;"",E3938&lt;I3938)),1,0)</f>
        <v>0</v>
      </c>
      <c r="R3938" s="56" t="n">
        <f aca="false">IF(AND(D3938&gt;1,Q3938=0,ISNUMBER(O3938),ISNUMBER(P3938)),IF(Q3937=0,1,0),0)</f>
        <v>1</v>
      </c>
      <c r="S3938" s="56" t="n">
        <f aca="false">R3938*(B3938&gt;=Train_Start)*(B3938&lt;=Train_End)</f>
        <v>0</v>
      </c>
      <c r="T3938" s="84" t="n">
        <f aca="false">IF(AND(ISNUMBER(O3938),ISNUMBER(P3938)),Coef_A+Coef_B1*O3938+Coef_B2*P3938,"")</f>
        <v>21.078936685329</v>
      </c>
      <c r="U3938" s="84" t="n">
        <f aca="false">IF(AND(R3938=1,ISNUMBER(T3938)),E3938-T3938,"")</f>
        <v>-0.578936685329026</v>
      </c>
      <c r="V3938" s="84" t="n">
        <f aca="false">IF(ISNUMBER(T3938),T3938,-99)</f>
        <v>21.078936685329</v>
      </c>
      <c r="W3938" s="84" t="n">
        <f aca="false">IF(ISNUMBER(U3938),ABS(U3938),"")</f>
        <v>0.578936685329026</v>
      </c>
    </row>
    <row r="3939" customFormat="false" ht="15" hidden="false" customHeight="false" outlineLevel="0" collapsed="false">
      <c r="A3939" s="57" t="n">
        <v>38220</v>
      </c>
      <c r="B3939" s="56" t="n">
        <v>2004</v>
      </c>
      <c r="C3939" s="56" t="n">
        <v>8</v>
      </c>
      <c r="D3939" s="56" t="n">
        <v>113</v>
      </c>
      <c r="E3939" s="56" t="n">
        <v>22</v>
      </c>
      <c r="F3939" s="56" t="n">
        <v>0</v>
      </c>
      <c r="G3939" s="56" t="n">
        <v>10.9</v>
      </c>
      <c r="H3939" s="56" t="n">
        <v>0</v>
      </c>
      <c r="I3939" s="56" t="n">
        <v>15.7</v>
      </c>
      <c r="J3939" s="56" t="n">
        <v>0</v>
      </c>
      <c r="K3939" s="56" t="n">
        <v>1016.8</v>
      </c>
      <c r="L3939" s="56" t="n">
        <v>0</v>
      </c>
      <c r="M3939" s="56" t="n">
        <v>65</v>
      </c>
      <c r="N3939" s="56" t="n">
        <v>10.8</v>
      </c>
      <c r="O3939" s="56" t="n">
        <f aca="false">IF(D3939=1,"",E3938)</f>
        <v>20.5</v>
      </c>
      <c r="P3939" s="56" t="n">
        <f aca="false">IF(OR(D3939=1,K3938=""),"",K3938)</f>
        <v>1004.6</v>
      </c>
      <c r="Q3939" s="56" t="n">
        <f aca="false">IF(OR(F3939&lt;&gt;0,AND(I3939&lt;&gt;"",E3939&lt;I3939)),1,0)</f>
        <v>0</v>
      </c>
      <c r="R3939" s="56" t="n">
        <f aca="false">IF(AND(D3939&gt;1,Q3939=0,ISNUMBER(O3939),ISNUMBER(P3939)),IF(Q3938=0,1,0),0)</f>
        <v>1</v>
      </c>
      <c r="S3939" s="56" t="n">
        <f aca="false">R3939*(B3939&gt;=Train_Start)*(B3939&lt;=Train_End)</f>
        <v>0</v>
      </c>
      <c r="T3939" s="84" t="n">
        <f aca="false">IF(AND(ISNUMBER(O3939),ISNUMBER(P3939)),Coef_A+Coef_B1*O3939+Coef_B2*P3939,"")</f>
        <v>20.3976250286759</v>
      </c>
      <c r="U3939" s="84" t="n">
        <f aca="false">IF(AND(R3939=1,ISNUMBER(T3939)),E3939-T3939,"")</f>
        <v>1.60237497132408</v>
      </c>
      <c r="V3939" s="84" t="n">
        <f aca="false">IF(ISNUMBER(T3939),T3939,-99)</f>
        <v>20.3976250286759</v>
      </c>
      <c r="W3939" s="84" t="n">
        <f aca="false">IF(ISNUMBER(U3939),ABS(U3939),"")</f>
        <v>1.60237497132408</v>
      </c>
    </row>
    <row r="3940" customFormat="false" ht="15" hidden="false" customHeight="false" outlineLevel="0" collapsed="false">
      <c r="A3940" s="57" t="n">
        <v>38221</v>
      </c>
      <c r="B3940" s="56" t="n">
        <v>2004</v>
      </c>
      <c r="C3940" s="56" t="n">
        <v>8</v>
      </c>
      <c r="D3940" s="56" t="n">
        <v>114</v>
      </c>
      <c r="E3940" s="56" t="n">
        <v>21.3</v>
      </c>
      <c r="F3940" s="56" t="n">
        <v>0</v>
      </c>
      <c r="G3940" s="56" t="n">
        <v>12.7</v>
      </c>
      <c r="H3940" s="56" t="n">
        <v>0</v>
      </c>
      <c r="I3940" s="56" t="n">
        <v>17.4</v>
      </c>
      <c r="J3940" s="56" t="n">
        <v>0</v>
      </c>
      <c r="K3940" s="56" t="n">
        <v>1018.5</v>
      </c>
      <c r="L3940" s="56" t="n">
        <v>0</v>
      </c>
      <c r="M3940" s="56" t="n">
        <v>61</v>
      </c>
      <c r="N3940" s="56" t="n">
        <v>6</v>
      </c>
      <c r="O3940" s="56" t="n">
        <f aca="false">IF(D3940=1,"",E3939)</f>
        <v>22</v>
      </c>
      <c r="P3940" s="56" t="n">
        <f aca="false">IF(OR(D3940=1,K3939=""),"",K3939)</f>
        <v>1016.8</v>
      </c>
      <c r="Q3940" s="56" t="n">
        <f aca="false">IF(OR(F3940&lt;&gt;0,AND(I3940&lt;&gt;"",E3940&lt;I3940)),1,0)</f>
        <v>0</v>
      </c>
      <c r="R3940" s="56" t="n">
        <f aca="false">IF(AND(D3940&gt;1,Q3940=0,ISNUMBER(O3940),ISNUMBER(P3940)),IF(Q3939=0,1,0),0)</f>
        <v>1</v>
      </c>
      <c r="S3940" s="56" t="n">
        <f aca="false">R3940*(B3940&gt;=Train_Start)*(B3940&lt;=Train_End)</f>
        <v>0</v>
      </c>
      <c r="T3940" s="84" t="n">
        <f aca="false">IF(AND(ISNUMBER(O3940),ISNUMBER(P3940)),Coef_A+Coef_B1*O3940+Coef_B2*P3940,"")</f>
        <v>22.0093465327746</v>
      </c>
      <c r="U3940" s="84" t="n">
        <f aca="false">IF(AND(R3940=1,ISNUMBER(T3940)),E3940-T3940,"")</f>
        <v>-0.709346532774578</v>
      </c>
      <c r="V3940" s="84" t="n">
        <f aca="false">IF(ISNUMBER(T3940),T3940,-99)</f>
        <v>22.0093465327746</v>
      </c>
      <c r="W3940" s="84" t="n">
        <f aca="false">IF(ISNUMBER(U3940),ABS(U3940),"")</f>
        <v>0.709346532774578</v>
      </c>
    </row>
    <row r="3941" customFormat="false" ht="15" hidden="false" customHeight="false" outlineLevel="0" collapsed="false">
      <c r="A3941" s="57" t="n">
        <v>38222</v>
      </c>
      <c r="B3941" s="56" t="n">
        <v>2004</v>
      </c>
      <c r="C3941" s="56" t="n">
        <v>8</v>
      </c>
      <c r="D3941" s="56" t="n">
        <v>115</v>
      </c>
      <c r="E3941" s="56" t="n">
        <v>22.6</v>
      </c>
      <c r="F3941" s="56" t="n">
        <v>0</v>
      </c>
      <c r="G3941" s="56" t="n">
        <v>14.3</v>
      </c>
      <c r="H3941" s="56" t="n">
        <v>0</v>
      </c>
      <c r="I3941" s="56" t="n">
        <v>17.8</v>
      </c>
      <c r="J3941" s="56" t="n">
        <v>0</v>
      </c>
      <c r="K3941" s="56" t="n">
        <v>1010.2</v>
      </c>
      <c r="L3941" s="56" t="n">
        <v>0</v>
      </c>
      <c r="M3941" s="56" t="n">
        <v>84</v>
      </c>
      <c r="N3941" s="56" t="n">
        <v>5.6</v>
      </c>
      <c r="O3941" s="56" t="n">
        <f aca="false">IF(D3941=1,"",E3940)</f>
        <v>21.3</v>
      </c>
      <c r="P3941" s="56" t="n">
        <f aca="false">IF(OR(D3941=1,K3940=""),"",K3940)</f>
        <v>1018.5</v>
      </c>
      <c r="Q3941" s="56" t="n">
        <f aca="false">IF(OR(F3941&lt;&gt;0,AND(I3941&lt;&gt;"",E3941&lt;I3941)),1,0)</f>
        <v>0</v>
      </c>
      <c r="R3941" s="56" t="n">
        <f aca="false">IF(AND(D3941&gt;1,Q3941=0,ISNUMBER(O3941),ISNUMBER(P3941)),IF(Q3940=0,1,0),0)</f>
        <v>1</v>
      </c>
      <c r="S3941" s="56" t="n">
        <f aca="false">R3941*(B3941&gt;=Train_Start)*(B3941&lt;=Train_End)</f>
        <v>0</v>
      </c>
      <c r="T3941" s="84" t="n">
        <f aca="false">IF(AND(ISNUMBER(O3941),ISNUMBER(P3941)),Coef_A+Coef_B1*O3941+Coef_B2*P3941,"")</f>
        <v>21.4891379185225</v>
      </c>
      <c r="U3941" s="84" t="n">
        <f aca="false">IF(AND(R3941=1,ISNUMBER(T3941)),E3941-T3941,"")</f>
        <v>1.1108620814775</v>
      </c>
      <c r="V3941" s="84" t="n">
        <f aca="false">IF(ISNUMBER(T3941),T3941,-99)</f>
        <v>21.4891379185225</v>
      </c>
      <c r="W3941" s="84" t="n">
        <f aca="false">IF(ISNUMBER(U3941),ABS(U3941),"")</f>
        <v>1.1108620814775</v>
      </c>
    </row>
    <row r="3942" customFormat="false" ht="15" hidden="false" customHeight="false" outlineLevel="0" collapsed="false">
      <c r="A3942" s="57" t="n">
        <v>38223</v>
      </c>
      <c r="B3942" s="56" t="n">
        <v>2004</v>
      </c>
      <c r="C3942" s="56" t="n">
        <v>8</v>
      </c>
      <c r="D3942" s="56" t="n">
        <v>116</v>
      </c>
      <c r="E3942" s="56" t="n">
        <v>21.1</v>
      </c>
      <c r="F3942" s="56" t="n">
        <v>0</v>
      </c>
      <c r="G3942" s="56" t="n">
        <v>15.3</v>
      </c>
      <c r="H3942" s="56" t="n">
        <v>0</v>
      </c>
      <c r="I3942" s="56" t="n">
        <v>19</v>
      </c>
      <c r="J3942" s="56" t="n">
        <v>0</v>
      </c>
      <c r="K3942" s="56" t="n">
        <v>1006.6</v>
      </c>
      <c r="L3942" s="56" t="n">
        <v>0</v>
      </c>
      <c r="M3942" s="56" t="n">
        <v>80</v>
      </c>
      <c r="N3942" s="56" t="n">
        <v>6.6</v>
      </c>
      <c r="O3942" s="56" t="n">
        <f aca="false">IF(D3942=1,"",E3941)</f>
        <v>22.6</v>
      </c>
      <c r="P3942" s="56" t="n">
        <f aca="false">IF(OR(D3942=1,K3941=""),"",K3941)</f>
        <v>1010.2</v>
      </c>
      <c r="Q3942" s="56" t="n">
        <f aca="false">IF(OR(F3942&lt;&gt;0,AND(I3942&lt;&gt;"",E3942&lt;I3942)),1,0)</f>
        <v>0</v>
      </c>
      <c r="R3942" s="56" t="n">
        <f aca="false">IF(AND(D3942&gt;1,Q3942=0,ISNUMBER(O3942),ISNUMBER(P3942)),IF(Q3941=0,1,0),0)</f>
        <v>1</v>
      </c>
      <c r="S3942" s="56" t="n">
        <f aca="false">R3942*(B3942&gt;=Train_Start)*(B3942&lt;=Train_End)</f>
        <v>0</v>
      </c>
      <c r="T3942" s="84" t="n">
        <f aca="false">IF(AND(ISNUMBER(O3942),ISNUMBER(P3942)),Coef_A+Coef_B1*O3942+Coef_B2*P3942,"")</f>
        <v>22.2939087440158</v>
      </c>
      <c r="U3942" s="84" t="n">
        <f aca="false">IF(AND(R3942=1,ISNUMBER(T3942)),E3942-T3942,"")</f>
        <v>-1.19390874401584</v>
      </c>
      <c r="V3942" s="84" t="n">
        <f aca="false">IF(ISNUMBER(T3942),T3942,-99)</f>
        <v>22.2939087440158</v>
      </c>
      <c r="W3942" s="84" t="n">
        <f aca="false">IF(ISNUMBER(U3942),ABS(U3942),"")</f>
        <v>1.19390874401584</v>
      </c>
    </row>
    <row r="3943" customFormat="false" ht="15" hidden="false" customHeight="false" outlineLevel="0" collapsed="false">
      <c r="A3943" s="57" t="n">
        <v>38224</v>
      </c>
      <c r="B3943" s="56" t="n">
        <v>2004</v>
      </c>
      <c r="C3943" s="56" t="n">
        <v>8</v>
      </c>
      <c r="D3943" s="56" t="n">
        <v>117</v>
      </c>
      <c r="E3943" s="56" t="n">
        <v>21.6</v>
      </c>
      <c r="F3943" s="56" t="n">
        <v>0</v>
      </c>
      <c r="G3943" s="56" t="n">
        <v>13.8</v>
      </c>
      <c r="H3943" s="56" t="n">
        <v>0</v>
      </c>
      <c r="I3943" s="56" t="n">
        <v>17.4</v>
      </c>
      <c r="J3943" s="56" t="n">
        <v>0</v>
      </c>
      <c r="K3943" s="56" t="n">
        <v>1007.8</v>
      </c>
      <c r="L3943" s="56" t="n">
        <v>0</v>
      </c>
      <c r="M3943" s="56" t="n">
        <v>82</v>
      </c>
      <c r="N3943" s="56" t="n">
        <v>6.9</v>
      </c>
      <c r="O3943" s="56" t="n">
        <f aca="false">IF(D3943=1,"",E3942)</f>
        <v>21.1</v>
      </c>
      <c r="P3943" s="56" t="n">
        <f aca="false">IF(OR(D3943=1,K3942=""),"",K3942)</f>
        <v>1006.6</v>
      </c>
      <c r="Q3943" s="56" t="n">
        <f aca="false">IF(OR(F3943&lt;&gt;0,AND(I3943&lt;&gt;"",E3943&lt;I3943)),1,0)</f>
        <v>0</v>
      </c>
      <c r="R3943" s="56" t="n">
        <f aca="false">IF(AND(D3943&gt;1,Q3943=0,ISNUMBER(O3943),ISNUMBER(P3943)),IF(Q3942=0,1,0),0)</f>
        <v>1</v>
      </c>
      <c r="S3943" s="56" t="n">
        <f aca="false">R3943*(B3943&gt;=Train_Start)*(B3943&lt;=Train_End)</f>
        <v>0</v>
      </c>
      <c r="T3943" s="84" t="n">
        <f aca="false">IF(AND(ISNUMBER(O3943),ISNUMBER(P3943)),Coef_A+Coef_B1*O3943+Coef_B2*P3943,"")</f>
        <v>20.9519683337695</v>
      </c>
      <c r="U3943" s="84" t="n">
        <f aca="false">IF(AND(R3943=1,ISNUMBER(T3943)),E3943-T3943,"")</f>
        <v>0.648031666230505</v>
      </c>
      <c r="V3943" s="84" t="n">
        <f aca="false">IF(ISNUMBER(T3943),T3943,-99)</f>
        <v>20.9519683337695</v>
      </c>
      <c r="W3943" s="84" t="n">
        <f aca="false">IF(ISNUMBER(U3943),ABS(U3943),"")</f>
        <v>0.648031666230505</v>
      </c>
    </row>
    <row r="3944" customFormat="false" ht="15" hidden="false" customHeight="false" outlineLevel="0" collapsed="false">
      <c r="A3944" s="57" t="n">
        <v>38225</v>
      </c>
      <c r="B3944" s="56" t="n">
        <v>2004</v>
      </c>
      <c r="C3944" s="56" t="n">
        <v>8</v>
      </c>
      <c r="D3944" s="56" t="n">
        <v>118</v>
      </c>
      <c r="E3944" s="56" t="n">
        <v>21.1</v>
      </c>
      <c r="F3944" s="56" t="n">
        <v>0</v>
      </c>
      <c r="G3944" s="56" t="n">
        <v>12.5</v>
      </c>
      <c r="H3944" s="56" t="n">
        <v>0</v>
      </c>
      <c r="I3944" s="56" t="n">
        <v>17</v>
      </c>
      <c r="J3944" s="56" t="n">
        <v>0</v>
      </c>
      <c r="K3944" s="56" t="n">
        <v>1016.9</v>
      </c>
      <c r="L3944" s="56" t="n">
        <v>0</v>
      </c>
      <c r="M3944" s="56" t="n">
        <v>69</v>
      </c>
      <c r="N3944" s="56" t="n">
        <v>8.5</v>
      </c>
      <c r="O3944" s="56" t="n">
        <f aca="false">IF(D3944=1,"",E3943)</f>
        <v>21.6</v>
      </c>
      <c r="P3944" s="56" t="n">
        <f aca="false">IF(OR(D3944=1,K3943=""),"",K3943)</f>
        <v>1007.8</v>
      </c>
      <c r="Q3944" s="56" t="n">
        <f aca="false">IF(OR(F3944&lt;&gt;0,AND(I3944&lt;&gt;"",E3944&lt;I3944)),1,0)</f>
        <v>0</v>
      </c>
      <c r="R3944" s="56" t="n">
        <f aca="false">IF(AND(D3944&gt;1,Q3944=0,ISNUMBER(O3944),ISNUMBER(P3944)),IF(Q3943=0,1,0),0)</f>
        <v>1</v>
      </c>
      <c r="S3944" s="56" t="n">
        <f aca="false">R3944*(B3944&gt;=Train_Start)*(B3944&lt;=Train_End)</f>
        <v>0</v>
      </c>
      <c r="T3944" s="84" t="n">
        <f aca="false">IF(AND(ISNUMBER(O3944),ISNUMBER(P3944)),Coef_A+Coef_B1*O3944+Coef_B2*P3944,"")</f>
        <v>21.3992818038516</v>
      </c>
      <c r="U3944" s="84" t="n">
        <f aca="false">IF(AND(R3944=1,ISNUMBER(T3944)),E3944-T3944,"")</f>
        <v>-0.29928180385161</v>
      </c>
      <c r="V3944" s="84" t="n">
        <f aca="false">IF(ISNUMBER(T3944),T3944,-99)</f>
        <v>21.3992818038516</v>
      </c>
      <c r="W3944" s="84" t="n">
        <f aca="false">IF(ISNUMBER(U3944),ABS(U3944),"")</f>
        <v>0.29928180385161</v>
      </c>
    </row>
    <row r="3945" customFormat="false" ht="15" hidden="false" customHeight="false" outlineLevel="0" collapsed="false">
      <c r="A3945" s="57" t="n">
        <v>38226</v>
      </c>
      <c r="B3945" s="56" t="n">
        <v>2004</v>
      </c>
      <c r="C3945" s="56" t="n">
        <v>8</v>
      </c>
      <c r="D3945" s="56" t="n">
        <v>119</v>
      </c>
      <c r="E3945" s="56" t="n">
        <v>20</v>
      </c>
      <c r="F3945" s="56" t="n">
        <v>0</v>
      </c>
      <c r="G3945" s="56" t="n">
        <v>14.3</v>
      </c>
      <c r="H3945" s="56" t="n">
        <v>0</v>
      </c>
      <c r="I3945" s="56" t="n">
        <v>17.7</v>
      </c>
      <c r="J3945" s="56" t="n">
        <v>0</v>
      </c>
      <c r="K3945" s="56" t="n">
        <v>1010.2</v>
      </c>
      <c r="L3945" s="56" t="n">
        <v>0</v>
      </c>
      <c r="M3945" s="56" t="n">
        <v>81</v>
      </c>
      <c r="N3945" s="56" t="n">
        <v>1.4</v>
      </c>
      <c r="O3945" s="56" t="n">
        <f aca="false">IF(D3945=1,"",E3944)</f>
        <v>21.1</v>
      </c>
      <c r="P3945" s="56" t="n">
        <f aca="false">IF(OR(D3945=1,K3944=""),"",K3944)</f>
        <v>1016.9</v>
      </c>
      <c r="Q3945" s="56" t="n">
        <f aca="false">IF(OR(F3945&lt;&gt;0,AND(I3945&lt;&gt;"",E3945&lt;I3945)),1,0)</f>
        <v>0</v>
      </c>
      <c r="R3945" s="56" t="n">
        <f aca="false">IF(AND(D3945&gt;1,Q3945=0,ISNUMBER(O3945),ISNUMBER(P3945)),IF(Q3944=0,1,0),0)</f>
        <v>1</v>
      </c>
      <c r="S3945" s="56" t="n">
        <f aca="false">R3945*(B3945&gt;=Train_Start)*(B3945&lt;=Train_End)</f>
        <v>0</v>
      </c>
      <c r="T3945" s="84" t="n">
        <f aca="false">IF(AND(ISNUMBER(O3945),ISNUMBER(P3945)),Coef_A+Coef_B1*O3945+Coef_B2*P3945,"")</f>
        <v>21.2750782484996</v>
      </c>
      <c r="U3945" s="84" t="n">
        <f aca="false">IF(AND(R3945=1,ISNUMBER(T3945)),E3945-T3945,"")</f>
        <v>-1.27507824849959</v>
      </c>
      <c r="V3945" s="84" t="n">
        <f aca="false">IF(ISNUMBER(T3945),T3945,-99)</f>
        <v>21.2750782484996</v>
      </c>
      <c r="W3945" s="84" t="n">
        <f aca="false">IF(ISNUMBER(U3945),ABS(U3945),"")</f>
        <v>1.27507824849959</v>
      </c>
    </row>
    <row r="3946" customFormat="false" ht="15" hidden="false" customHeight="false" outlineLevel="0" collapsed="false">
      <c r="A3946" s="57" t="n">
        <v>38227</v>
      </c>
      <c r="B3946" s="56" t="n">
        <v>2004</v>
      </c>
      <c r="C3946" s="56" t="n">
        <v>8</v>
      </c>
      <c r="D3946" s="56" t="n">
        <v>120</v>
      </c>
      <c r="E3946" s="56" t="n">
        <v>19</v>
      </c>
      <c r="F3946" s="56" t="n">
        <v>0</v>
      </c>
      <c r="G3946" s="56" t="n">
        <v>11.5</v>
      </c>
      <c r="H3946" s="56" t="n">
        <v>0</v>
      </c>
      <c r="I3946" s="56" t="n">
        <v>15.8</v>
      </c>
      <c r="J3946" s="56" t="n">
        <v>0</v>
      </c>
      <c r="K3946" s="56" t="n">
        <v>1012.7</v>
      </c>
      <c r="L3946" s="56" t="n">
        <v>0</v>
      </c>
      <c r="M3946" s="56" t="n">
        <v>67</v>
      </c>
      <c r="N3946" s="56" t="n">
        <v>6.8</v>
      </c>
      <c r="O3946" s="56" t="n">
        <f aca="false">IF(D3946=1,"",E3945)</f>
        <v>20</v>
      </c>
      <c r="P3946" s="56" t="n">
        <f aca="false">IF(OR(D3946=1,K3945=""),"",K3945)</f>
        <v>1010.2</v>
      </c>
      <c r="Q3946" s="56" t="n">
        <f aca="false">IF(OR(F3946&lt;&gt;0,AND(I3946&lt;&gt;"",E3946&lt;I3946)),1,0)</f>
        <v>0</v>
      </c>
      <c r="R3946" s="56" t="n">
        <f aca="false">IF(AND(D3946&gt;1,Q3946=0,ISNUMBER(O3946),ISNUMBER(P3946)),IF(Q3945=0,1,0),0)</f>
        <v>1</v>
      </c>
      <c r="S3946" s="56" t="n">
        <f aca="false">R3946*(B3946&gt;=Train_Start)*(B3946&lt;=Train_End)</f>
        <v>0</v>
      </c>
      <c r="T3946" s="84" t="n">
        <f aca="false">IF(AND(ISNUMBER(O3946),ISNUMBER(P3946)),Coef_A+Coef_B1*O3946+Coef_B2*P3946,"")</f>
        <v>20.1636268421049</v>
      </c>
      <c r="U3946" s="84" t="n">
        <f aca="false">IF(AND(R3946=1,ISNUMBER(T3946)),E3946-T3946,"")</f>
        <v>-1.16362684210493</v>
      </c>
      <c r="V3946" s="84" t="n">
        <f aca="false">IF(ISNUMBER(T3946),T3946,-99)</f>
        <v>20.1636268421049</v>
      </c>
      <c r="W3946" s="84" t="n">
        <f aca="false">IF(ISNUMBER(U3946),ABS(U3946),"")</f>
        <v>1.16362684210493</v>
      </c>
    </row>
    <row r="3947" customFormat="false" ht="15" hidden="false" customHeight="false" outlineLevel="0" collapsed="false">
      <c r="A3947" s="57" t="n">
        <v>38228</v>
      </c>
      <c r="B3947" s="56" t="n">
        <v>2004</v>
      </c>
      <c r="C3947" s="56" t="n">
        <v>8</v>
      </c>
      <c r="D3947" s="56" t="n">
        <v>121</v>
      </c>
      <c r="E3947" s="56" t="n">
        <v>20.2</v>
      </c>
      <c r="F3947" s="56" t="n">
        <v>0</v>
      </c>
      <c r="G3947" s="56" t="n">
        <v>11.9</v>
      </c>
      <c r="H3947" s="56" t="n">
        <v>0</v>
      </c>
      <c r="I3947" s="56" t="n">
        <v>15.4</v>
      </c>
      <c r="J3947" s="56" t="n">
        <v>0</v>
      </c>
      <c r="K3947" s="56" t="n">
        <v>1010.9</v>
      </c>
      <c r="L3947" s="56" t="n">
        <v>0</v>
      </c>
      <c r="M3947" s="56" t="n">
        <v>75</v>
      </c>
      <c r="N3947" s="56" t="n">
        <v>1.3</v>
      </c>
      <c r="O3947" s="56" t="n">
        <f aca="false">IF(D3947=1,"",E3946)</f>
        <v>19</v>
      </c>
      <c r="P3947" s="56" t="n">
        <f aca="false">IF(OR(D3947=1,K3946=""),"",K3946)</f>
        <v>1012.7</v>
      </c>
      <c r="Q3947" s="56" t="n">
        <f aca="false">IF(OR(F3947&lt;&gt;0,AND(I3947&lt;&gt;"",E3947&lt;I3947)),1,0)</f>
        <v>0</v>
      </c>
      <c r="R3947" s="56" t="n">
        <f aca="false">IF(AND(D3947&gt;1,Q3947=0,ISNUMBER(O3947),ISNUMBER(P3947)),IF(Q3946=0,1,0),0)</f>
        <v>1</v>
      </c>
      <c r="S3947" s="56" t="n">
        <f aca="false">R3947*(B3947&gt;=Train_Start)*(B3947&lt;=Train_End)</f>
        <v>0</v>
      </c>
      <c r="T3947" s="84" t="n">
        <f aca="false">IF(AND(ISNUMBER(O3947),ISNUMBER(P3947)),Coef_A+Coef_B1*O3947+Coef_B2*P3947,"")</f>
        <v>19.4227123856473</v>
      </c>
      <c r="U3947" s="84" t="n">
        <f aca="false">IF(AND(R3947=1,ISNUMBER(T3947)),E3947-T3947,"")</f>
        <v>0.777287614352748</v>
      </c>
      <c r="V3947" s="84" t="n">
        <f aca="false">IF(ISNUMBER(T3947),T3947,-99)</f>
        <v>19.4227123856473</v>
      </c>
      <c r="W3947" s="84" t="n">
        <f aca="false">IF(ISNUMBER(U3947),ABS(U3947),"")</f>
        <v>0.777287614352748</v>
      </c>
    </row>
    <row r="3948" customFormat="false" ht="15" hidden="false" customHeight="false" outlineLevel="0" collapsed="false">
      <c r="A3948" s="57" t="n">
        <v>38229</v>
      </c>
      <c r="B3948" s="56" t="n">
        <v>2004</v>
      </c>
      <c r="C3948" s="56" t="n">
        <v>8</v>
      </c>
      <c r="D3948" s="56" t="n">
        <v>122</v>
      </c>
      <c r="E3948" s="56" t="n">
        <v>20.3</v>
      </c>
      <c r="F3948" s="56" t="n">
        <v>0</v>
      </c>
      <c r="G3948" s="56" t="n">
        <v>12.1</v>
      </c>
      <c r="H3948" s="56" t="n">
        <v>0</v>
      </c>
      <c r="I3948" s="56" t="n">
        <v>16.2</v>
      </c>
      <c r="J3948" s="56" t="n">
        <v>0</v>
      </c>
      <c r="K3948" s="56" t="n">
        <v>1013.5</v>
      </c>
      <c r="L3948" s="56" t="n">
        <v>0</v>
      </c>
      <c r="M3948" s="56" t="n">
        <v>66</v>
      </c>
      <c r="N3948" s="56" t="n">
        <v>10.7</v>
      </c>
      <c r="O3948" s="56" t="n">
        <f aca="false">IF(D3948=1,"",E3947)</f>
        <v>20.2</v>
      </c>
      <c r="P3948" s="56" t="n">
        <f aca="false">IF(OR(D3948=1,K3947=""),"",K3947)</f>
        <v>1010.9</v>
      </c>
      <c r="Q3948" s="56" t="n">
        <f aca="false">IF(OR(F3948&lt;&gt;0,AND(I3948&lt;&gt;"",E3948&lt;I3948)),1,0)</f>
        <v>0</v>
      </c>
      <c r="R3948" s="56" t="n">
        <f aca="false">IF(AND(D3948&gt;1,Q3948=0,ISNUMBER(O3948),ISNUMBER(P3948)),IF(Q3947=0,1,0),0)</f>
        <v>1</v>
      </c>
      <c r="S3948" s="56" t="n">
        <f aca="false">R3948*(B3948&gt;=Train_Start)*(B3948&lt;=Train_End)</f>
        <v>0</v>
      </c>
      <c r="T3948" s="84" t="n">
        <f aca="false">IF(AND(ISNUMBER(O3948),ISNUMBER(P3948)),Coef_A+Coef_B1*O3948+Coef_B2*P3948,"")</f>
        <v>20.3494536069573</v>
      </c>
      <c r="U3948" s="84" t="n">
        <f aca="false">IF(AND(R3948=1,ISNUMBER(T3948)),E3948-T3948,"")</f>
        <v>-0.049453606957254</v>
      </c>
      <c r="V3948" s="84" t="n">
        <f aca="false">IF(ISNUMBER(T3948),T3948,-99)</f>
        <v>20.3494536069573</v>
      </c>
      <c r="W3948" s="84" t="n">
        <f aca="false">IF(ISNUMBER(U3948),ABS(U3948),"")</f>
        <v>0.049453606957254</v>
      </c>
    </row>
    <row r="3949" customFormat="false" ht="15" hidden="false" customHeight="false" outlineLevel="0" collapsed="false">
      <c r="A3949" s="57" t="n">
        <v>38230</v>
      </c>
      <c r="B3949" s="56" t="n">
        <v>2004</v>
      </c>
      <c r="C3949" s="56" t="n">
        <v>8</v>
      </c>
      <c r="D3949" s="56" t="n">
        <v>123</v>
      </c>
      <c r="E3949" s="56" t="n">
        <v>21.6</v>
      </c>
      <c r="F3949" s="56" t="n">
        <v>0</v>
      </c>
      <c r="G3949" s="56" t="n">
        <v>9.4</v>
      </c>
      <c r="H3949" s="56" t="n">
        <v>0</v>
      </c>
      <c r="I3949" s="56" t="n">
        <v>14.8</v>
      </c>
      <c r="J3949" s="56" t="n">
        <v>0</v>
      </c>
      <c r="K3949" s="56" t="n">
        <v>1018.7</v>
      </c>
      <c r="L3949" s="56" t="n">
        <v>0</v>
      </c>
      <c r="M3949" s="56" t="n">
        <v>68</v>
      </c>
      <c r="N3949" s="56" t="n">
        <v>8</v>
      </c>
      <c r="O3949" s="56" t="n">
        <f aca="false">IF(D3949=1,"",E3948)</f>
        <v>20.3</v>
      </c>
      <c r="P3949" s="56" t="n">
        <f aca="false">IF(OR(D3949=1,K3948=""),"",K3948)</f>
        <v>1013.5</v>
      </c>
      <c r="Q3949" s="56" t="n">
        <f aca="false">IF(OR(F3949&lt;&gt;0,AND(I3949&lt;&gt;"",E3949&lt;I3949)),1,0)</f>
        <v>0</v>
      </c>
      <c r="R3949" s="56" t="n">
        <f aca="false">IF(AND(D3949&gt;1,Q3949=0,ISNUMBER(O3949),ISNUMBER(P3949)),IF(Q3948=0,1,0),0)</f>
        <v>1</v>
      </c>
      <c r="S3949" s="56" t="n">
        <f aca="false">R3949*(B3949&gt;=Train_Start)*(B3949&lt;=Train_End)</f>
        <v>0</v>
      </c>
      <c r="T3949" s="84" t="n">
        <f aca="false">IF(AND(ISNUMBER(O3949),ISNUMBER(P3949)),Coef_A+Coef_B1*O3949+Coef_B2*P3949,"")</f>
        <v>20.5129492523099</v>
      </c>
      <c r="U3949" s="84" t="n">
        <f aca="false">IF(AND(R3949=1,ISNUMBER(T3949)),E3949-T3949,"")</f>
        <v>1.08705074769011</v>
      </c>
      <c r="V3949" s="84" t="n">
        <f aca="false">IF(ISNUMBER(T3949),T3949,-99)</f>
        <v>20.5129492523099</v>
      </c>
      <c r="W3949" s="84" t="n">
        <f aca="false">IF(ISNUMBER(U3949),ABS(U3949),"")</f>
        <v>1.08705074769011</v>
      </c>
    </row>
    <row r="3950" customFormat="false" ht="15" hidden="false" customHeight="false" outlineLevel="0" collapsed="false">
      <c r="A3950" s="57" t="n">
        <v>38231</v>
      </c>
      <c r="B3950" s="56" t="n">
        <v>2004</v>
      </c>
      <c r="C3950" s="56" t="n">
        <v>9</v>
      </c>
      <c r="D3950" s="56" t="n">
        <v>124</v>
      </c>
      <c r="E3950" s="56" t="n">
        <v>24.4</v>
      </c>
      <c r="F3950" s="56" t="n">
        <v>0</v>
      </c>
      <c r="G3950" s="56" t="n">
        <v>9.7</v>
      </c>
      <c r="H3950" s="56" t="n">
        <v>0</v>
      </c>
      <c r="I3950" s="56" t="n">
        <v>15.6</v>
      </c>
      <c r="J3950" s="56" t="n">
        <v>0</v>
      </c>
      <c r="K3950" s="56" t="n">
        <v>1016.7</v>
      </c>
      <c r="L3950" s="56" t="n">
        <v>0</v>
      </c>
      <c r="M3950" s="56" t="n">
        <v>68</v>
      </c>
      <c r="N3950" s="56" t="n">
        <v>11.9</v>
      </c>
      <c r="O3950" s="56" t="n">
        <f aca="false">IF(D3950=1,"",E3949)</f>
        <v>21.6</v>
      </c>
      <c r="P3950" s="56" t="n">
        <f aca="false">IF(OR(D3950=1,K3949=""),"",K3949)</f>
        <v>1018.7</v>
      </c>
      <c r="Q3950" s="56" t="n">
        <f aca="false">IF(OR(F3950&lt;&gt;0,AND(I3950&lt;&gt;"",E3950&lt;I3950)),1,0)</f>
        <v>0</v>
      </c>
      <c r="R3950" s="56" t="n">
        <f aca="false">IF(AND(D3950&gt;1,Q3950=0,ISNUMBER(O3950),ISNUMBER(P3950)),IF(Q3949=0,1,0),0)</f>
        <v>1</v>
      </c>
      <c r="S3950" s="56" t="n">
        <f aca="false">R3950*(B3950&gt;=Train_Start)*(B3950&lt;=Train_End)</f>
        <v>0</v>
      </c>
      <c r="T3950" s="84" t="n">
        <f aca="false">IF(AND(ISNUMBER(O3950),ISNUMBER(P3950)),Coef_A+Coef_B1*O3950+Coef_B2*P3950,"")</f>
        <v>21.7412136553621</v>
      </c>
      <c r="U3950" s="84" t="n">
        <f aca="false">IF(AND(R3950=1,ISNUMBER(T3950)),E3950-T3950,"")</f>
        <v>2.6587863446379</v>
      </c>
      <c r="V3950" s="84" t="n">
        <f aca="false">IF(ISNUMBER(T3950),T3950,-99)</f>
        <v>21.7412136553621</v>
      </c>
      <c r="W3950" s="84" t="n">
        <f aca="false">IF(ISNUMBER(U3950),ABS(U3950),"")</f>
        <v>2.6587863446379</v>
      </c>
    </row>
    <row r="3951" customFormat="false" ht="15" hidden="false" customHeight="false" outlineLevel="0" collapsed="false">
      <c r="A3951" s="57" t="n">
        <v>38232</v>
      </c>
      <c r="B3951" s="56" t="n">
        <v>2004</v>
      </c>
      <c r="C3951" s="56" t="n">
        <v>9</v>
      </c>
      <c r="D3951" s="56" t="n">
        <v>125</v>
      </c>
      <c r="E3951" s="56" t="n">
        <v>26.1</v>
      </c>
      <c r="F3951" s="56" t="n">
        <v>0</v>
      </c>
      <c r="G3951" s="56" t="n">
        <v>12.3</v>
      </c>
      <c r="H3951" s="56" t="n">
        <v>0</v>
      </c>
      <c r="I3951" s="56" t="n">
        <v>18.4</v>
      </c>
      <c r="J3951" s="56" t="n">
        <v>0</v>
      </c>
      <c r="K3951" s="56" t="n">
        <v>1016.5</v>
      </c>
      <c r="L3951" s="56" t="n">
        <v>0</v>
      </c>
      <c r="M3951" s="56" t="n">
        <v>66</v>
      </c>
      <c r="N3951" s="56" t="n">
        <v>10</v>
      </c>
      <c r="O3951" s="56" t="n">
        <f aca="false">IF(D3951=1,"",E3950)</f>
        <v>24.4</v>
      </c>
      <c r="P3951" s="56" t="n">
        <f aca="false">IF(OR(D3951=1,K3950=""),"",K3950)</f>
        <v>1016.7</v>
      </c>
      <c r="Q3951" s="56" t="n">
        <f aca="false">IF(OR(F3951&lt;&gt;0,AND(I3951&lt;&gt;"",E3951&lt;I3951)),1,0)</f>
        <v>0</v>
      </c>
      <c r="R3951" s="56" t="n">
        <f aca="false">IF(AND(D3951&gt;1,Q3951=0,ISNUMBER(O3951),ISNUMBER(P3951)),IF(Q3950=0,1,0),0)</f>
        <v>1</v>
      </c>
      <c r="S3951" s="56" t="n">
        <f aca="false">R3951*(B3951&gt;=Train_Start)*(B3951&lt;=Train_End)</f>
        <v>0</v>
      </c>
      <c r="T3951" s="84" t="n">
        <f aca="false">IF(AND(ISNUMBER(O3951),ISNUMBER(P3951)),Coef_A+Coef_B1*O3951+Coef_B2*P3951,"")</f>
        <v>23.9726236066136</v>
      </c>
      <c r="U3951" s="84" t="n">
        <f aca="false">IF(AND(R3951=1,ISNUMBER(T3951)),E3951-T3951,"")</f>
        <v>2.12737639338644</v>
      </c>
      <c r="V3951" s="84" t="n">
        <f aca="false">IF(ISNUMBER(T3951),T3951,-99)</f>
        <v>23.9726236066136</v>
      </c>
      <c r="W3951" s="84" t="n">
        <f aca="false">IF(ISNUMBER(U3951),ABS(U3951),"")</f>
        <v>2.12737639338644</v>
      </c>
    </row>
    <row r="3952" customFormat="false" ht="15" hidden="false" customHeight="false" outlineLevel="0" collapsed="false">
      <c r="A3952" s="57" t="n">
        <v>38233</v>
      </c>
      <c r="B3952" s="56" t="n">
        <v>2004</v>
      </c>
      <c r="C3952" s="56" t="n">
        <v>9</v>
      </c>
      <c r="D3952" s="56" t="n">
        <v>126</v>
      </c>
      <c r="E3952" s="56" t="n">
        <v>26.2</v>
      </c>
      <c r="F3952" s="56" t="n">
        <v>0</v>
      </c>
      <c r="G3952" s="56" t="n">
        <v>13.4</v>
      </c>
      <c r="H3952" s="56" t="n">
        <v>0</v>
      </c>
      <c r="I3952" s="56" t="n">
        <v>19.8</v>
      </c>
      <c r="J3952" s="56" t="n">
        <v>0</v>
      </c>
      <c r="K3952" s="56" t="n">
        <v>1021.5</v>
      </c>
      <c r="L3952" s="56" t="n">
        <v>0</v>
      </c>
      <c r="M3952" s="56" t="n">
        <v>65</v>
      </c>
      <c r="N3952" s="56" t="n">
        <v>10.7</v>
      </c>
      <c r="O3952" s="56" t="n">
        <f aca="false">IF(D3952=1,"",E3951)</f>
        <v>26.1</v>
      </c>
      <c r="P3952" s="56" t="n">
        <f aca="false">IF(OR(D3952=1,K3951=""),"",K3951)</f>
        <v>1016.5</v>
      </c>
      <c r="Q3952" s="56" t="n">
        <f aca="false">IF(OR(F3952&lt;&gt;0,AND(I3952&lt;&gt;"",E3952&lt;I3952)),1,0)</f>
        <v>0</v>
      </c>
      <c r="R3952" s="56" t="n">
        <f aca="false">IF(AND(D3952&gt;1,Q3952=0,ISNUMBER(O3952),ISNUMBER(P3952)),IF(Q3951=0,1,0),0)</f>
        <v>1</v>
      </c>
      <c r="S3952" s="56" t="n">
        <f aca="false">R3952*(B3952&gt;=Train_Start)*(B3952&lt;=Train_End)</f>
        <v>0</v>
      </c>
      <c r="T3952" s="84" t="n">
        <f aca="false">IF(AND(ISNUMBER(O3952),ISNUMBER(P3952)),Coef_A+Coef_B1*O3952+Coef_B2*P3952,"")</f>
        <v>25.3592262558593</v>
      </c>
      <c r="U3952" s="84" t="n">
        <f aca="false">IF(AND(R3952=1,ISNUMBER(T3952)),E3952-T3952,"")</f>
        <v>0.840773744140719</v>
      </c>
      <c r="V3952" s="84" t="n">
        <f aca="false">IF(ISNUMBER(T3952),T3952,-99)</f>
        <v>25.3592262558593</v>
      </c>
      <c r="W3952" s="84" t="n">
        <f aca="false">IF(ISNUMBER(U3952),ABS(U3952),"")</f>
        <v>0.840773744140719</v>
      </c>
    </row>
    <row r="3953" customFormat="false" ht="15" hidden="false" customHeight="false" outlineLevel="0" collapsed="false">
      <c r="A3953" s="57" t="n">
        <v>38234</v>
      </c>
      <c r="B3953" s="56" t="n">
        <v>2004</v>
      </c>
      <c r="C3953" s="56" t="n">
        <v>9</v>
      </c>
      <c r="D3953" s="56" t="n">
        <v>127</v>
      </c>
      <c r="E3953" s="56" t="n">
        <v>27.7</v>
      </c>
      <c r="F3953" s="56" t="n">
        <v>0</v>
      </c>
      <c r="G3953" s="56" t="n">
        <v>13.7</v>
      </c>
      <c r="H3953" s="56" t="n">
        <v>0</v>
      </c>
      <c r="I3953" s="56" t="n">
        <v>20</v>
      </c>
      <c r="J3953" s="56" t="n">
        <v>0</v>
      </c>
      <c r="K3953" s="56" t="n">
        <v>1027.8</v>
      </c>
      <c r="L3953" s="56" t="n">
        <v>0</v>
      </c>
      <c r="M3953" s="56" t="n">
        <v>72</v>
      </c>
      <c r="N3953" s="56" t="n">
        <v>11.8</v>
      </c>
      <c r="O3953" s="56" t="n">
        <f aca="false">IF(D3953=1,"",E3952)</f>
        <v>26.2</v>
      </c>
      <c r="P3953" s="56" t="n">
        <f aca="false">IF(OR(D3953=1,K3952=""),"",K3952)</f>
        <v>1021.5</v>
      </c>
      <c r="Q3953" s="56" t="n">
        <f aca="false">IF(OR(F3953&lt;&gt;0,AND(I3953&lt;&gt;"",E3953&lt;I3953)),1,0)</f>
        <v>0</v>
      </c>
      <c r="R3953" s="56" t="n">
        <f aca="false">IF(AND(D3953&gt;1,Q3953=0,ISNUMBER(O3953),ISNUMBER(P3953)),IF(Q3952=0,1,0),0)</f>
        <v>1</v>
      </c>
      <c r="S3953" s="56" t="n">
        <f aca="false">R3953*(B3953&gt;=Train_Start)*(B3953&lt;=Train_End)</f>
        <v>0</v>
      </c>
      <c r="T3953" s="84" t="n">
        <f aca="false">IF(AND(ISNUMBER(O3953),ISNUMBER(P3953)),Coef_A+Coef_B1*O3953+Coef_B2*P3953,"")</f>
        <v>25.5980096483335</v>
      </c>
      <c r="U3953" s="84" t="n">
        <f aca="false">IF(AND(R3953=1,ISNUMBER(T3953)),E3953-T3953,"")</f>
        <v>2.10199035166651</v>
      </c>
      <c r="V3953" s="84" t="n">
        <f aca="false">IF(ISNUMBER(T3953),T3953,-99)</f>
        <v>25.5980096483335</v>
      </c>
      <c r="W3953" s="84" t="n">
        <f aca="false">IF(ISNUMBER(U3953),ABS(U3953),"")</f>
        <v>2.10199035166651</v>
      </c>
    </row>
    <row r="3954" customFormat="false" ht="15" hidden="false" customHeight="false" outlineLevel="0" collapsed="false">
      <c r="A3954" s="57" t="n">
        <v>38235</v>
      </c>
      <c r="B3954" s="56" t="n">
        <v>2004</v>
      </c>
      <c r="C3954" s="56" t="n">
        <v>9</v>
      </c>
      <c r="D3954" s="56" t="n">
        <v>128</v>
      </c>
      <c r="E3954" s="56" t="n">
        <v>25.7</v>
      </c>
      <c r="F3954" s="56" t="n">
        <v>0</v>
      </c>
      <c r="G3954" s="56" t="n">
        <v>15.1</v>
      </c>
      <c r="H3954" s="56" t="n">
        <v>0</v>
      </c>
      <c r="I3954" s="56" t="n">
        <v>21.4</v>
      </c>
      <c r="J3954" s="56" t="n">
        <v>0</v>
      </c>
      <c r="K3954" s="56" t="n">
        <v>1027.4</v>
      </c>
      <c r="L3954" s="56" t="n">
        <v>0</v>
      </c>
      <c r="M3954" s="56" t="n">
        <v>68</v>
      </c>
      <c r="N3954" s="56" t="n">
        <v>11.5</v>
      </c>
      <c r="O3954" s="56" t="n">
        <f aca="false">IF(D3954=1,"",E3953)</f>
        <v>27.7</v>
      </c>
      <c r="P3954" s="56" t="n">
        <f aca="false">IF(OR(D3954=1,K3953=""),"",K3953)</f>
        <v>1027.8</v>
      </c>
      <c r="Q3954" s="56" t="n">
        <f aca="false">IF(OR(F3954&lt;&gt;0,AND(I3954&lt;&gt;"",E3954&lt;I3954)),1,0)</f>
        <v>0</v>
      </c>
      <c r="R3954" s="56" t="n">
        <f aca="false">IF(AND(D3954&gt;1,Q3954=0,ISNUMBER(O3954),ISNUMBER(P3954)),IF(Q3953=0,1,0),0)</f>
        <v>1</v>
      </c>
      <c r="S3954" s="56" t="n">
        <f aca="false">R3954*(B3954&gt;=Train_Start)*(B3954&lt;=Train_End)</f>
        <v>0</v>
      </c>
      <c r="T3954" s="84" t="n">
        <f aca="false">IF(AND(ISNUMBER(O3954),ISNUMBER(P3954)),Coef_A+Coef_B1*O3954+Coef_B2*P3954,"")</f>
        <v>27.0246487740916</v>
      </c>
      <c r="U3954" s="84" t="n">
        <f aca="false">IF(AND(R3954=1,ISNUMBER(T3954)),E3954-T3954,"")</f>
        <v>-1.32464877409161</v>
      </c>
      <c r="V3954" s="84" t="n">
        <f aca="false">IF(ISNUMBER(T3954),T3954,-99)</f>
        <v>27.0246487740916</v>
      </c>
      <c r="W3954" s="84" t="n">
        <f aca="false">IF(ISNUMBER(U3954),ABS(U3954),"")</f>
        <v>1.32464877409161</v>
      </c>
    </row>
    <row r="3955" customFormat="false" ht="15" hidden="false" customHeight="false" outlineLevel="0" collapsed="false">
      <c r="A3955" s="57" t="n">
        <v>38236</v>
      </c>
      <c r="B3955" s="56" t="n">
        <v>2004</v>
      </c>
      <c r="C3955" s="56" t="n">
        <v>9</v>
      </c>
      <c r="D3955" s="56" t="n">
        <v>129</v>
      </c>
      <c r="E3955" s="56" t="n">
        <v>24.7</v>
      </c>
      <c r="F3955" s="56" t="n">
        <v>0</v>
      </c>
      <c r="G3955" s="56" t="n">
        <v>15.1</v>
      </c>
      <c r="H3955" s="56" t="n">
        <v>0</v>
      </c>
      <c r="I3955" s="56" t="n">
        <v>20.4</v>
      </c>
      <c r="J3955" s="56" t="n">
        <v>0</v>
      </c>
      <c r="K3955" s="56" t="n">
        <v>1028.2</v>
      </c>
      <c r="L3955" s="56" t="n">
        <v>0</v>
      </c>
      <c r="M3955" s="56" t="n">
        <v>69</v>
      </c>
      <c r="N3955" s="56" t="n">
        <v>8.9</v>
      </c>
      <c r="O3955" s="56" t="n">
        <f aca="false">IF(D3955=1,"",E3954)</f>
        <v>25.7</v>
      </c>
      <c r="P3955" s="56" t="n">
        <f aca="false">IF(OR(D3955=1,K3954=""),"",K3954)</f>
        <v>1027.4</v>
      </c>
      <c r="Q3955" s="56" t="n">
        <f aca="false">IF(OR(F3955&lt;&gt;0,AND(I3955&lt;&gt;"",E3955&lt;I3955)),1,0)</f>
        <v>0</v>
      </c>
      <c r="R3955" s="56" t="n">
        <f aca="false">IF(AND(D3955&gt;1,Q3955=0,ISNUMBER(O3955),ISNUMBER(P3955)),IF(Q3954=0,1,0),0)</f>
        <v>1</v>
      </c>
      <c r="S3955" s="56" t="n">
        <f aca="false">R3955*(B3955&gt;=Train_Start)*(B3955&lt;=Train_End)</f>
        <v>0</v>
      </c>
      <c r="T3955" s="84" t="n">
        <f aca="false">IF(AND(ISNUMBER(O3955),ISNUMBER(P3955)),Coef_A+Coef_B1*O3955+Coef_B2*P3955,"")</f>
        <v>25.3734224301527</v>
      </c>
      <c r="U3955" s="84" t="n">
        <f aca="false">IF(AND(R3955=1,ISNUMBER(T3955)),E3955-T3955,"")</f>
        <v>-0.673422430152705</v>
      </c>
      <c r="V3955" s="84" t="n">
        <f aca="false">IF(ISNUMBER(T3955),T3955,-99)</f>
        <v>25.3734224301527</v>
      </c>
      <c r="W3955" s="84" t="n">
        <f aca="false">IF(ISNUMBER(U3955),ABS(U3955),"")</f>
        <v>0.673422430152705</v>
      </c>
    </row>
    <row r="3956" customFormat="false" ht="15" hidden="false" customHeight="false" outlineLevel="0" collapsed="false">
      <c r="A3956" s="57" t="n">
        <v>38237</v>
      </c>
      <c r="B3956" s="56" t="n">
        <v>2004</v>
      </c>
      <c r="C3956" s="56" t="n">
        <v>9</v>
      </c>
      <c r="D3956" s="56" t="n">
        <v>130</v>
      </c>
      <c r="E3956" s="56" t="n">
        <v>23.7</v>
      </c>
      <c r="F3956" s="56" t="n">
        <v>0</v>
      </c>
      <c r="G3956" s="56" t="n">
        <v>16.9</v>
      </c>
      <c r="H3956" s="56" t="n">
        <v>0</v>
      </c>
      <c r="I3956" s="56" t="n">
        <v>20.8</v>
      </c>
      <c r="J3956" s="56" t="n">
        <v>0</v>
      </c>
      <c r="K3956" s="56" t="n">
        <v>1032</v>
      </c>
      <c r="L3956" s="56" t="n">
        <v>0</v>
      </c>
      <c r="M3956" s="56" t="n">
        <v>69</v>
      </c>
      <c r="N3956" s="56" t="n">
        <v>7.2</v>
      </c>
      <c r="O3956" s="56" t="n">
        <f aca="false">IF(D3956=1,"",E3955)</f>
        <v>24.7</v>
      </c>
      <c r="P3956" s="56" t="n">
        <f aca="false">IF(OR(D3956=1,K3955=""),"",K3955)</f>
        <v>1028.2</v>
      </c>
      <c r="Q3956" s="56" t="n">
        <f aca="false">IF(OR(F3956&lt;&gt;0,AND(I3956&lt;&gt;"",E3956&lt;I3956)),1,0)</f>
        <v>0</v>
      </c>
      <c r="R3956" s="56" t="n">
        <f aca="false">IF(AND(D3956&gt;1,Q3956=0,ISNUMBER(O3956),ISNUMBER(P3956)),IF(Q3955=0,1,0),0)</f>
        <v>1</v>
      </c>
      <c r="S3956" s="56" t="n">
        <f aca="false">R3956*(B3956&gt;=Train_Start)*(B3956&lt;=Train_End)</f>
        <v>0</v>
      </c>
      <c r="T3956" s="84" t="n">
        <f aca="false">IF(AND(ISNUMBER(O3956),ISNUMBER(P3956)),Coef_A+Coef_B1*O3956+Coef_B2*P3956,"")</f>
        <v>24.5791791528172</v>
      </c>
      <c r="U3956" s="84" t="n">
        <f aca="false">IF(AND(R3956=1,ISNUMBER(T3956)),E3956-T3956,"")</f>
        <v>-0.879179152817237</v>
      </c>
      <c r="V3956" s="84" t="n">
        <f aca="false">IF(ISNUMBER(T3956),T3956,-99)</f>
        <v>24.5791791528172</v>
      </c>
      <c r="W3956" s="84" t="n">
        <f aca="false">IF(ISNUMBER(U3956),ABS(U3956),"")</f>
        <v>0.879179152817237</v>
      </c>
    </row>
    <row r="3957" customFormat="false" ht="15" hidden="false" customHeight="false" outlineLevel="0" collapsed="false">
      <c r="A3957" s="57" t="n">
        <v>38238</v>
      </c>
      <c r="B3957" s="56" t="n">
        <v>2004</v>
      </c>
      <c r="C3957" s="56" t="n">
        <v>9</v>
      </c>
      <c r="D3957" s="56" t="n">
        <v>131</v>
      </c>
      <c r="E3957" s="56" t="n">
        <v>25.1</v>
      </c>
      <c r="F3957" s="56" t="n">
        <v>0</v>
      </c>
      <c r="G3957" s="56" t="n">
        <v>13.4</v>
      </c>
      <c r="H3957" s="56" t="n">
        <v>0</v>
      </c>
      <c r="I3957" s="56" t="n">
        <v>18.6</v>
      </c>
      <c r="J3957" s="56" t="n">
        <v>0</v>
      </c>
      <c r="K3957" s="56" t="n">
        <v>1032.3</v>
      </c>
      <c r="L3957" s="56" t="n">
        <v>0</v>
      </c>
      <c r="M3957" s="56" t="n">
        <v>63</v>
      </c>
      <c r="N3957" s="56" t="n">
        <v>11.7</v>
      </c>
      <c r="O3957" s="56" t="n">
        <f aca="false">IF(D3957=1,"",E3956)</f>
        <v>23.7</v>
      </c>
      <c r="P3957" s="56" t="n">
        <f aca="false">IF(OR(D3957=1,K3956=""),"",K3956)</f>
        <v>1032</v>
      </c>
      <c r="Q3957" s="56" t="n">
        <f aca="false">IF(OR(F3957&lt;&gt;0,AND(I3957&lt;&gt;"",E3957&lt;I3957)),1,0)</f>
        <v>0</v>
      </c>
      <c r="R3957" s="56" t="n">
        <f aca="false">IF(AND(D3957&gt;1,Q3957=0,ISNUMBER(O3957),ISNUMBER(P3957)),IF(Q3956=0,1,0),0)</f>
        <v>1</v>
      </c>
      <c r="S3957" s="56" t="n">
        <f aca="false">R3957*(B3957&gt;=Train_Start)*(B3957&lt;=Train_End)</f>
        <v>0</v>
      </c>
      <c r="T3957" s="84" t="n">
        <f aca="false">IF(AND(ISNUMBER(O3957),ISNUMBER(P3957)),Coef_A+Coef_B1*O3957+Coef_B2*P3957,"")</f>
        <v>23.8790455593837</v>
      </c>
      <c r="U3957" s="84" t="n">
        <f aca="false">IF(AND(R3957=1,ISNUMBER(T3957)),E3957-T3957,"")</f>
        <v>1.22095444061626</v>
      </c>
      <c r="V3957" s="84" t="n">
        <f aca="false">IF(ISNUMBER(T3957),T3957,-99)</f>
        <v>23.8790455593837</v>
      </c>
      <c r="W3957" s="84" t="n">
        <f aca="false">IF(ISNUMBER(U3957),ABS(U3957),"")</f>
        <v>1.22095444061626</v>
      </c>
    </row>
    <row r="3958" customFormat="false" ht="15" hidden="false" customHeight="false" outlineLevel="0" collapsed="false">
      <c r="A3958" s="57" t="n">
        <v>38239</v>
      </c>
      <c r="B3958" s="56" t="n">
        <v>2004</v>
      </c>
      <c r="C3958" s="56" t="n">
        <v>9</v>
      </c>
      <c r="D3958" s="56" t="n">
        <v>132</v>
      </c>
      <c r="E3958" s="56" t="n">
        <v>21.3</v>
      </c>
      <c r="F3958" s="56" t="n">
        <v>0</v>
      </c>
      <c r="G3958" s="56" t="n">
        <v>15.4</v>
      </c>
      <c r="H3958" s="56" t="n">
        <v>0</v>
      </c>
      <c r="I3958" s="56" t="n">
        <v>20.2</v>
      </c>
      <c r="J3958" s="56" t="n">
        <v>0</v>
      </c>
      <c r="K3958" s="56" t="n">
        <v>1024.2</v>
      </c>
      <c r="L3958" s="56" t="n">
        <v>0</v>
      </c>
      <c r="M3958" s="56" t="n">
        <v>70</v>
      </c>
      <c r="N3958" s="56" t="n">
        <v>9.5</v>
      </c>
      <c r="O3958" s="56" t="n">
        <f aca="false">IF(D3958=1,"",E3957)</f>
        <v>25.1</v>
      </c>
      <c r="P3958" s="56" t="n">
        <f aca="false">IF(OR(D3958=1,K3957=""),"",K3957)</f>
        <v>1032.3</v>
      </c>
      <c r="Q3958" s="56" t="n">
        <f aca="false">IF(OR(F3958&lt;&gt;0,AND(I3958&lt;&gt;"",E3958&lt;I3958)),1,0)</f>
        <v>0</v>
      </c>
      <c r="R3958" s="56" t="n">
        <f aca="false">IF(AND(D3958&gt;1,Q3958=0,ISNUMBER(O3958),ISNUMBER(P3958)),IF(Q3957=0,1,0),0)</f>
        <v>1</v>
      </c>
      <c r="S3958" s="56" t="n">
        <f aca="false">R3958*(B3958&gt;=Train_Start)*(B3958&lt;=Train_End)</f>
        <v>0</v>
      </c>
      <c r="T3958" s="84" t="n">
        <f aca="false">IF(AND(ISNUMBER(O3958),ISNUMBER(P3958)),Coef_A+Coef_B1*O3958+Coef_B2*P3958,"")</f>
        <v>25.0355313980337</v>
      </c>
      <c r="U3958" s="84" t="n">
        <f aca="false">IF(AND(R3958=1,ISNUMBER(T3958)),E3958-T3958,"")</f>
        <v>-3.73553139803365</v>
      </c>
      <c r="V3958" s="84" t="n">
        <f aca="false">IF(ISNUMBER(T3958),T3958,-99)</f>
        <v>25.0355313980337</v>
      </c>
      <c r="W3958" s="84" t="n">
        <f aca="false">IF(ISNUMBER(U3958),ABS(U3958),"")</f>
        <v>3.73553139803365</v>
      </c>
    </row>
    <row r="3959" customFormat="false" ht="15" hidden="false" customHeight="false" outlineLevel="0" collapsed="false">
      <c r="A3959" s="57" t="n">
        <v>38240</v>
      </c>
      <c r="B3959" s="56" t="n">
        <v>2004</v>
      </c>
      <c r="C3959" s="56" t="n">
        <v>9</v>
      </c>
      <c r="D3959" s="56" t="n">
        <v>133</v>
      </c>
      <c r="E3959" s="56" t="n">
        <v>22.2</v>
      </c>
      <c r="F3959" s="56" t="n">
        <v>0</v>
      </c>
      <c r="G3959" s="56" t="n">
        <v>14.8</v>
      </c>
      <c r="H3959" s="56" t="n">
        <v>0</v>
      </c>
      <c r="I3959" s="56" t="n">
        <v>18</v>
      </c>
      <c r="J3959" s="56" t="n">
        <v>0</v>
      </c>
      <c r="K3959" s="56" t="n">
        <v>1012.9</v>
      </c>
      <c r="L3959" s="56" t="n">
        <v>0</v>
      </c>
      <c r="M3959" s="56" t="n">
        <v>82</v>
      </c>
      <c r="N3959" s="56" t="n">
        <v>1.1</v>
      </c>
      <c r="O3959" s="56" t="n">
        <f aca="false">IF(D3959=1,"",E3958)</f>
        <v>21.3</v>
      </c>
      <c r="P3959" s="56" t="n">
        <f aca="false">IF(OR(D3959=1,K3958=""),"",K3958)</f>
        <v>1024.2</v>
      </c>
      <c r="Q3959" s="56" t="n">
        <f aca="false">IF(OR(F3959&lt;&gt;0,AND(I3959&lt;&gt;"",E3959&lt;I3959)),1,0)</f>
        <v>0</v>
      </c>
      <c r="R3959" s="56" t="n">
        <f aca="false">IF(AND(D3959&gt;1,Q3959=0,ISNUMBER(O3959),ISNUMBER(P3959)),IF(Q3958=0,1,0),0)</f>
        <v>1</v>
      </c>
      <c r="S3959" s="56" t="n">
        <f aca="false">R3959*(B3959&gt;=Train_Start)*(B3959&lt;=Train_End)</f>
        <v>0</v>
      </c>
      <c r="T3959" s="84" t="n">
        <f aca="false">IF(AND(ISNUMBER(O3959),ISNUMBER(P3959)),Coef_A+Coef_B1*O3959+Coef_B2*P3959,"")</f>
        <v>21.6679463179362</v>
      </c>
      <c r="U3959" s="84" t="n">
        <f aca="false">IF(AND(R3959=1,ISNUMBER(T3959)),E3959-T3959,"")</f>
        <v>0.532053682063758</v>
      </c>
      <c r="V3959" s="84" t="n">
        <f aca="false">IF(ISNUMBER(T3959),T3959,-99)</f>
        <v>21.6679463179362</v>
      </c>
      <c r="W3959" s="84" t="n">
        <f aca="false">IF(ISNUMBER(U3959),ABS(U3959),"")</f>
        <v>0.532053682063758</v>
      </c>
    </row>
    <row r="3960" customFormat="false" ht="15" hidden="false" customHeight="false" outlineLevel="0" collapsed="false">
      <c r="A3960" s="57" t="n">
        <v>38241</v>
      </c>
      <c r="B3960" s="56" t="n">
        <v>2004</v>
      </c>
      <c r="C3960" s="56" t="n">
        <v>9</v>
      </c>
      <c r="D3960" s="56" t="n">
        <v>134</v>
      </c>
      <c r="E3960" s="56" t="n">
        <v>19.4</v>
      </c>
      <c r="F3960" s="56" t="n">
        <v>0</v>
      </c>
      <c r="G3960" s="56" t="n">
        <v>16.1</v>
      </c>
      <c r="H3960" s="56" t="n">
        <v>0</v>
      </c>
      <c r="I3960" s="56" t="n">
        <v>19.2</v>
      </c>
      <c r="J3960" s="56" t="n">
        <v>0</v>
      </c>
      <c r="K3960" s="56" t="n">
        <v>1010.5</v>
      </c>
      <c r="L3960" s="56" t="n">
        <v>0</v>
      </c>
      <c r="M3960" s="56" t="n">
        <v>67</v>
      </c>
      <c r="N3960" s="56" t="n">
        <v>8</v>
      </c>
      <c r="O3960" s="56" t="n">
        <f aca="false">IF(D3960=1,"",E3959)</f>
        <v>22.2</v>
      </c>
      <c r="P3960" s="56" t="n">
        <f aca="false">IF(OR(D3960=1,K3959=""),"",K3959)</f>
        <v>1012.9</v>
      </c>
      <c r="Q3960" s="56" t="n">
        <f aca="false">IF(OR(F3960&lt;&gt;0,AND(I3960&lt;&gt;"",E3960&lt;I3960)),1,0)</f>
        <v>0</v>
      </c>
      <c r="R3960" s="56" t="n">
        <f aca="false">IF(AND(D3960&gt;1,Q3960=0,ISNUMBER(O3960),ISNUMBER(P3960)),IF(Q3959=0,1,0),0)</f>
        <v>1</v>
      </c>
      <c r="S3960" s="56" t="n">
        <f aca="false">R3960*(B3960&gt;=Train_Start)*(B3960&lt;=Train_End)</f>
        <v>0</v>
      </c>
      <c r="T3960" s="84" t="n">
        <f aca="false">IF(AND(ISNUMBER(O3960),ISNUMBER(P3960)),Coef_A+Coef_B1*O3960+Coef_B2*P3960,"")</f>
        <v>22.0508717823106</v>
      </c>
      <c r="U3960" s="84" t="n">
        <f aca="false">IF(AND(R3960=1,ISNUMBER(T3960)),E3960-T3960,"")</f>
        <v>-2.65087178231055</v>
      </c>
      <c r="V3960" s="84" t="n">
        <f aca="false">IF(ISNUMBER(T3960),T3960,-99)</f>
        <v>22.0508717823106</v>
      </c>
      <c r="W3960" s="84" t="n">
        <f aca="false">IF(ISNUMBER(U3960),ABS(U3960),"")</f>
        <v>2.65087178231055</v>
      </c>
    </row>
    <row r="3961" customFormat="false" ht="15" hidden="false" customHeight="false" outlineLevel="0" collapsed="false">
      <c r="A3961" s="57" t="n">
        <v>38242</v>
      </c>
      <c r="B3961" s="56" t="n">
        <v>2004</v>
      </c>
      <c r="C3961" s="56" t="n">
        <v>9</v>
      </c>
      <c r="D3961" s="56" t="n">
        <v>135</v>
      </c>
      <c r="E3961" s="56" t="n">
        <v>19.3</v>
      </c>
      <c r="F3961" s="56" t="n">
        <v>0</v>
      </c>
      <c r="G3961" s="56" t="n">
        <v>11</v>
      </c>
      <c r="H3961" s="56" t="n">
        <v>0</v>
      </c>
      <c r="I3961" s="56" t="n">
        <v>15.2</v>
      </c>
      <c r="J3961" s="56" t="n">
        <v>0</v>
      </c>
      <c r="K3961" s="56" t="n">
        <v>1013</v>
      </c>
      <c r="L3961" s="56" t="n">
        <v>0</v>
      </c>
      <c r="M3961" s="56" t="n">
        <v>67</v>
      </c>
      <c r="N3961" s="56" t="n">
        <v>4.6</v>
      </c>
      <c r="O3961" s="56" t="n">
        <f aca="false">IF(D3961=1,"",E3960)</f>
        <v>19.4</v>
      </c>
      <c r="P3961" s="56" t="n">
        <f aca="false">IF(OR(D3961=1,K3960=""),"",K3960)</f>
        <v>1010.5</v>
      </c>
      <c r="Q3961" s="56" t="n">
        <f aca="false">IF(OR(F3961&lt;&gt;0,AND(I3961&lt;&gt;"",E3961&lt;I3961)),1,0)</f>
        <v>0</v>
      </c>
      <c r="R3961" s="56" t="n">
        <f aca="false">IF(AND(D3961&gt;1,Q3961=0,ISNUMBER(O3961),ISNUMBER(P3961)),IF(Q3960=0,1,0),0)</f>
        <v>1</v>
      </c>
      <c r="S3961" s="56" t="n">
        <f aca="false">R3961*(B3961&gt;=Train_Start)*(B3961&lt;=Train_End)</f>
        <v>0</v>
      </c>
      <c r="T3961" s="84" t="n">
        <f aca="false">IF(AND(ISNUMBER(O3961),ISNUMBER(P3961)),Coef_A+Coef_B1*O3961+Coef_B2*P3961,"")</f>
        <v>19.6814342946695</v>
      </c>
      <c r="U3961" s="84" t="n">
        <f aca="false">IF(AND(R3961=1,ISNUMBER(T3961)),E3961-T3961,"")</f>
        <v>-0.381434294669532</v>
      </c>
      <c r="V3961" s="84" t="n">
        <f aca="false">IF(ISNUMBER(T3961),T3961,-99)</f>
        <v>19.6814342946695</v>
      </c>
      <c r="W3961" s="84" t="n">
        <f aca="false">IF(ISNUMBER(U3961),ABS(U3961),"")</f>
        <v>0.381434294669532</v>
      </c>
    </row>
    <row r="3962" customFormat="false" ht="15" hidden="false" customHeight="false" outlineLevel="0" collapsed="false">
      <c r="A3962" s="57" t="n">
        <v>38243</v>
      </c>
      <c r="B3962" s="56" t="n">
        <v>2004</v>
      </c>
      <c r="C3962" s="56" t="n">
        <v>9</v>
      </c>
      <c r="D3962" s="56" t="n">
        <v>136</v>
      </c>
      <c r="E3962" s="56" t="n">
        <v>19.2</v>
      </c>
      <c r="F3962" s="56" t="n">
        <v>0</v>
      </c>
      <c r="G3962" s="56" t="n">
        <v>14.1</v>
      </c>
      <c r="H3962" s="56" t="n">
        <v>0</v>
      </c>
      <c r="I3962" s="56" t="n">
        <v>16.7</v>
      </c>
      <c r="J3962" s="56" t="n">
        <v>0</v>
      </c>
      <c r="K3962" s="56" t="n">
        <v>1003</v>
      </c>
      <c r="L3962" s="56" t="n">
        <v>0</v>
      </c>
      <c r="M3962" s="56" t="n">
        <v>70</v>
      </c>
      <c r="N3962" s="56" t="n">
        <v>5.6</v>
      </c>
      <c r="O3962" s="56" t="n">
        <f aca="false">IF(D3962=1,"",E3961)</f>
        <v>19.3</v>
      </c>
      <c r="P3962" s="56" t="n">
        <f aca="false">IF(OR(D3962=1,K3961=""),"",K3961)</f>
        <v>1013</v>
      </c>
      <c r="Q3962" s="56" t="n">
        <f aca="false">IF(OR(F3962&lt;&gt;0,AND(I3962&lt;&gt;"",E3962&lt;I3962)),1,0)</f>
        <v>0</v>
      </c>
      <c r="R3962" s="56" t="n">
        <f aca="false">IF(AND(D3962&gt;1,Q3962=0,ISNUMBER(O3962),ISNUMBER(P3962)),IF(Q3961=0,1,0),0)</f>
        <v>1</v>
      </c>
      <c r="S3962" s="56" t="n">
        <f aca="false">R3962*(B3962&gt;=Train_Start)*(B3962&lt;=Train_End)</f>
        <v>0</v>
      </c>
      <c r="T3962" s="84" t="n">
        <f aca="false">IF(AND(ISNUMBER(O3962),ISNUMBER(P3962)),Coef_A+Coef_B1*O3962+Coef_B2*P3962,"")</f>
        <v>19.6779251119502</v>
      </c>
      <c r="U3962" s="84" t="n">
        <f aca="false">IF(AND(R3962=1,ISNUMBER(T3962)),E3962-T3962,"")</f>
        <v>-0.477925111950245</v>
      </c>
      <c r="V3962" s="84" t="n">
        <f aca="false">IF(ISNUMBER(T3962),T3962,-99)</f>
        <v>19.6779251119502</v>
      </c>
      <c r="W3962" s="84" t="n">
        <f aca="false">IF(ISNUMBER(U3962),ABS(U3962),"")</f>
        <v>0.477925111950245</v>
      </c>
    </row>
    <row r="3963" customFormat="false" ht="15" hidden="false" customHeight="false" outlineLevel="0" collapsed="false">
      <c r="A3963" s="57" t="n">
        <v>38244</v>
      </c>
      <c r="B3963" s="56" t="n">
        <v>2004</v>
      </c>
      <c r="C3963" s="56" t="n">
        <v>9</v>
      </c>
      <c r="D3963" s="56" t="n">
        <v>137</v>
      </c>
      <c r="E3963" s="56" t="n">
        <v>18.5</v>
      </c>
      <c r="F3963" s="56" t="n">
        <v>0</v>
      </c>
      <c r="G3963" s="56" t="n">
        <v>11.5</v>
      </c>
      <c r="H3963" s="56" t="n">
        <v>0</v>
      </c>
      <c r="I3963" s="56" t="n">
        <v>15.4</v>
      </c>
      <c r="J3963" s="56" t="n">
        <v>0</v>
      </c>
      <c r="K3963" s="56" t="n">
        <v>1002.9</v>
      </c>
      <c r="L3963" s="56" t="n">
        <v>0</v>
      </c>
      <c r="M3963" s="56" t="n">
        <v>69</v>
      </c>
      <c r="N3963" s="56" t="n">
        <v>7.2</v>
      </c>
      <c r="O3963" s="56" t="n">
        <f aca="false">IF(D3963=1,"",E3962)</f>
        <v>19.2</v>
      </c>
      <c r="P3963" s="56" t="n">
        <f aca="false">IF(OR(D3963=1,K3962=""),"",K3962)</f>
        <v>1003</v>
      </c>
      <c r="Q3963" s="56" t="n">
        <f aca="false">IF(OR(F3963&lt;&gt;0,AND(I3963&lt;&gt;"",E3963&lt;I3963)),1,0)</f>
        <v>0</v>
      </c>
      <c r="R3963" s="56" t="n">
        <f aca="false">IF(AND(D3963&gt;1,Q3963=0,ISNUMBER(O3963),ISNUMBER(P3963)),IF(Q3962=0,1,0),0)</f>
        <v>1</v>
      </c>
      <c r="S3963" s="56" t="n">
        <f aca="false">R3963*(B3963&gt;=Train_Start)*(B3963&lt;=Train_End)</f>
        <v>0</v>
      </c>
      <c r="T3963" s="84" t="n">
        <f aca="false">IF(AND(ISNUMBER(O3963),ISNUMBER(P3963)),Coef_A+Coef_B1*O3963+Coef_B2*P3963,"")</f>
        <v>19.2822922463061</v>
      </c>
      <c r="U3963" s="84" t="n">
        <f aca="false">IF(AND(R3963=1,ISNUMBER(T3963)),E3963-T3963,"")</f>
        <v>-0.782292246306085</v>
      </c>
      <c r="V3963" s="84" t="n">
        <f aca="false">IF(ISNUMBER(T3963),T3963,-99)</f>
        <v>19.2822922463061</v>
      </c>
      <c r="W3963" s="84" t="n">
        <f aca="false">IF(ISNUMBER(U3963),ABS(U3963),"")</f>
        <v>0.782292246306085</v>
      </c>
    </row>
    <row r="3964" customFormat="false" ht="15" hidden="false" customHeight="false" outlineLevel="0" collapsed="false">
      <c r="A3964" s="57" t="n">
        <v>38245</v>
      </c>
      <c r="B3964" s="56" t="n">
        <v>2004</v>
      </c>
      <c r="C3964" s="56" t="n">
        <v>9</v>
      </c>
      <c r="D3964" s="56" t="n">
        <v>138</v>
      </c>
      <c r="E3964" s="56" t="n">
        <v>19.5</v>
      </c>
      <c r="F3964" s="56" t="n">
        <v>0</v>
      </c>
      <c r="G3964" s="56" t="n">
        <v>8.8</v>
      </c>
      <c r="H3964" s="56" t="n">
        <v>0</v>
      </c>
      <c r="I3964" s="56" t="n">
        <v>13.6</v>
      </c>
      <c r="J3964" s="56" t="n">
        <v>0</v>
      </c>
      <c r="K3964" s="56" t="n">
        <v>1019</v>
      </c>
      <c r="L3964" s="56" t="n">
        <v>0</v>
      </c>
      <c r="M3964" s="56" t="n">
        <v>64</v>
      </c>
      <c r="N3964" s="56" t="n">
        <v>10.3</v>
      </c>
      <c r="O3964" s="56" t="n">
        <f aca="false">IF(D3964=1,"",E3963)</f>
        <v>18.5</v>
      </c>
      <c r="P3964" s="56" t="n">
        <f aca="false">IF(OR(D3964=1,K3963=""),"",K3963)</f>
        <v>1002.9</v>
      </c>
      <c r="Q3964" s="56" t="n">
        <f aca="false">IF(OR(F3964&lt;&gt;0,AND(I3964&lt;&gt;"",E3964&lt;I3964)),1,0)</f>
        <v>0</v>
      </c>
      <c r="R3964" s="56" t="n">
        <f aca="false">IF(AND(D3964&gt;1,Q3964=0,ISNUMBER(O3964),ISNUMBER(P3964)),IF(Q3963=0,1,0),0)</f>
        <v>1</v>
      </c>
      <c r="S3964" s="56" t="n">
        <f aca="false">R3964*(B3964&gt;=Train_Start)*(B3964&lt;=Train_End)</f>
        <v>0</v>
      </c>
      <c r="T3964" s="84" t="n">
        <f aca="false">IF(AND(ISNUMBER(O3964),ISNUMBER(P3964)),Coef_A+Coef_B1*O3964+Coef_B2*P3964,"")</f>
        <v>18.7056178217128</v>
      </c>
      <c r="U3964" s="84" t="n">
        <f aca="false">IF(AND(R3964=1,ISNUMBER(T3964)),E3964-T3964,"")</f>
        <v>0.794382178287176</v>
      </c>
      <c r="V3964" s="84" t="n">
        <f aca="false">IF(ISNUMBER(T3964),T3964,-99)</f>
        <v>18.7056178217128</v>
      </c>
      <c r="W3964" s="84" t="n">
        <f aca="false">IF(ISNUMBER(U3964),ABS(U3964),"")</f>
        <v>0.794382178287176</v>
      </c>
    </row>
    <row r="3965" customFormat="false" ht="15" hidden="false" customHeight="false" outlineLevel="0" collapsed="false">
      <c r="A3965" s="57" t="n">
        <v>38246</v>
      </c>
      <c r="B3965" s="56" t="n">
        <v>2004</v>
      </c>
      <c r="C3965" s="56" t="n">
        <v>9</v>
      </c>
      <c r="D3965" s="56" t="n">
        <v>139</v>
      </c>
      <c r="E3965" s="56" t="n">
        <v>20.1</v>
      </c>
      <c r="F3965" s="56" t="n">
        <v>0</v>
      </c>
      <c r="G3965" s="56" t="n">
        <v>7.1</v>
      </c>
      <c r="H3965" s="56" t="n">
        <v>0</v>
      </c>
      <c r="I3965" s="56" t="n">
        <v>13.3</v>
      </c>
      <c r="J3965" s="56" t="n">
        <v>0</v>
      </c>
      <c r="K3965" s="56" t="n">
        <v>1023.9</v>
      </c>
      <c r="L3965" s="56" t="n">
        <v>0</v>
      </c>
      <c r="M3965" s="56" t="n">
        <v>68</v>
      </c>
      <c r="N3965" s="56" t="n">
        <v>9.8</v>
      </c>
      <c r="O3965" s="56" t="n">
        <f aca="false">IF(D3965=1,"",E3964)</f>
        <v>19.5</v>
      </c>
      <c r="P3965" s="56" t="n">
        <f aca="false">IF(OR(D3965=1,K3964=""),"",K3964)</f>
        <v>1019</v>
      </c>
      <c r="Q3965" s="56" t="n">
        <f aca="false">IF(OR(F3965&lt;&gt;0,AND(I3965&lt;&gt;"",E3965&lt;I3965)),1,0)</f>
        <v>0</v>
      </c>
      <c r="R3965" s="56" t="n">
        <f aca="false">IF(AND(D3965&gt;1,Q3965=0,ISNUMBER(O3965),ISNUMBER(P3965)),IF(Q3964=0,1,0),0)</f>
        <v>1</v>
      </c>
      <c r="S3965" s="56" t="n">
        <f aca="false">R3965*(B3965&gt;=Train_Start)*(B3965&lt;=Train_End)</f>
        <v>0</v>
      </c>
      <c r="T3965" s="84" t="n">
        <f aca="false">IF(AND(ISNUMBER(O3965),ISNUMBER(P3965)),Coef_A+Coef_B1*O3965+Coef_B2*P3965,"")</f>
        <v>20.0300123183627</v>
      </c>
      <c r="U3965" s="84" t="n">
        <f aca="false">IF(AND(R3965=1,ISNUMBER(T3965)),E3965-T3965,"")</f>
        <v>0.0699876816372864</v>
      </c>
      <c r="V3965" s="84" t="n">
        <f aca="false">IF(ISNUMBER(T3965),T3965,-99)</f>
        <v>20.0300123183627</v>
      </c>
      <c r="W3965" s="84" t="n">
        <f aca="false">IF(ISNUMBER(U3965),ABS(U3965),"")</f>
        <v>0.0699876816372864</v>
      </c>
    </row>
    <row r="3966" customFormat="false" ht="15" hidden="false" customHeight="false" outlineLevel="0" collapsed="false">
      <c r="A3966" s="57" t="n">
        <v>38247</v>
      </c>
      <c r="B3966" s="56" t="n">
        <v>2004</v>
      </c>
      <c r="C3966" s="56" t="n">
        <v>9</v>
      </c>
      <c r="D3966" s="56" t="n">
        <v>140</v>
      </c>
      <c r="E3966" s="56" t="n">
        <v>20.8</v>
      </c>
      <c r="F3966" s="56" t="n">
        <v>0</v>
      </c>
      <c r="G3966" s="56" t="n">
        <v>13.2</v>
      </c>
      <c r="H3966" s="56" t="n">
        <v>0</v>
      </c>
      <c r="I3966" s="56" t="n">
        <v>16.6</v>
      </c>
      <c r="J3966" s="56" t="n">
        <v>0</v>
      </c>
      <c r="K3966" s="56" t="n">
        <v>1017.6</v>
      </c>
      <c r="L3966" s="56" t="n">
        <v>0</v>
      </c>
      <c r="M3966" s="56" t="n">
        <v>76</v>
      </c>
      <c r="N3966" s="56" t="n">
        <v>0</v>
      </c>
      <c r="O3966" s="56" t="n">
        <f aca="false">IF(D3966=1,"",E3965)</f>
        <v>20.1</v>
      </c>
      <c r="P3966" s="56" t="n">
        <f aca="false">IF(OR(D3966=1,K3965=""),"",K3965)</f>
        <v>1023.9</v>
      </c>
      <c r="Q3966" s="56" t="n">
        <f aca="false">IF(OR(F3966&lt;&gt;0,AND(I3966&lt;&gt;"",E3966&lt;I3966)),1,0)</f>
        <v>0</v>
      </c>
      <c r="R3966" s="56" t="n">
        <f aca="false">IF(AND(D3966&gt;1,Q3966=0,ISNUMBER(O3966),ISNUMBER(P3966)),IF(Q3965=0,1,0),0)</f>
        <v>1</v>
      </c>
      <c r="S3966" s="56" t="n">
        <f aca="false">R3966*(B3966&gt;=Train_Start)*(B3966&lt;=Train_End)</f>
        <v>0</v>
      </c>
      <c r="T3966" s="84" t="n">
        <f aca="false">IF(AND(ISNUMBER(O3966),ISNUMBER(P3966)),Coef_A+Coef_B1*O3966+Coef_B2*P3966,"")</f>
        <v>20.6753283178949</v>
      </c>
      <c r="U3966" s="84" t="n">
        <f aca="false">IF(AND(R3966=1,ISNUMBER(T3966)),E3966-T3966,"")</f>
        <v>0.124671682105145</v>
      </c>
      <c r="V3966" s="84" t="n">
        <f aca="false">IF(ISNUMBER(T3966),T3966,-99)</f>
        <v>20.6753283178949</v>
      </c>
      <c r="W3966" s="84" t="n">
        <f aca="false">IF(ISNUMBER(U3966),ABS(U3966),"")</f>
        <v>0.124671682105145</v>
      </c>
    </row>
    <row r="3967" customFormat="false" ht="15" hidden="false" customHeight="false" outlineLevel="0" collapsed="false">
      <c r="A3967" s="57" t="n">
        <v>38248</v>
      </c>
      <c r="B3967" s="56" t="n">
        <v>2004</v>
      </c>
      <c r="C3967" s="56" t="n">
        <v>9</v>
      </c>
      <c r="D3967" s="56" t="n">
        <v>141</v>
      </c>
      <c r="E3967" s="56" t="n">
        <v>17.3</v>
      </c>
      <c r="F3967" s="56" t="n">
        <v>1</v>
      </c>
      <c r="G3967" s="56" t="n">
        <v>15.5</v>
      </c>
      <c r="H3967" s="56" t="n">
        <v>0</v>
      </c>
      <c r="I3967" s="56" t="n">
        <v>18.2</v>
      </c>
      <c r="J3967" s="56" t="n">
        <v>1</v>
      </c>
      <c r="K3967" s="56" t="n">
        <v>1010.6</v>
      </c>
      <c r="L3967" s="56" t="n">
        <v>0</v>
      </c>
      <c r="M3967" s="56" t="n">
        <v>82</v>
      </c>
      <c r="N3967" s="56" t="n">
        <v>4.1</v>
      </c>
      <c r="O3967" s="56" t="n">
        <f aca="false">IF(D3967=1,"",E3966)</f>
        <v>20.8</v>
      </c>
      <c r="P3967" s="56" t="n">
        <f aca="false">IF(OR(D3967=1,K3966=""),"",K3966)</f>
        <v>1017.6</v>
      </c>
      <c r="Q3967" s="56" t="n">
        <f aca="false">IF(OR(F3967&lt;&gt;0,AND(I3967&lt;&gt;"",E3967&lt;I3967)),1,0)</f>
        <v>1</v>
      </c>
      <c r="R3967" s="56" t="n">
        <f aca="false">IF(AND(D3967&gt;1,Q3967=0,ISNUMBER(O3967),ISNUMBER(P3967)),IF(Q3966=0,1,0),0)</f>
        <v>0</v>
      </c>
      <c r="S3967" s="56" t="n">
        <f aca="false">R3967*(B3967&gt;=Train_Start)*(B3967&lt;=Train_End)</f>
        <v>0</v>
      </c>
      <c r="T3967" s="84" t="n">
        <f aca="false">IF(AND(ISNUMBER(O3967),ISNUMBER(P3967)),Coef_A+Coef_B1*O3967+Coef_B2*P3967,"")</f>
        <v>21.0512354168306</v>
      </c>
      <c r="U3967" s="84" t="str">
        <f aca="false">IF(AND(R3967=1,ISNUMBER(T3967)),E3967-T3967,"")</f>
        <v/>
      </c>
      <c r="V3967" s="84" t="n">
        <f aca="false">IF(ISNUMBER(T3967),T3967,-99)</f>
        <v>21.0512354168306</v>
      </c>
      <c r="W3967" s="84" t="str">
        <f aca="false">IF(ISNUMBER(U3967),ABS(U3967),"")</f>
        <v/>
      </c>
    </row>
    <row r="3968" customFormat="false" ht="15" hidden="false" customHeight="false" outlineLevel="0" collapsed="false">
      <c r="A3968" s="57" t="n">
        <v>38249</v>
      </c>
      <c r="B3968" s="56" t="n">
        <v>2004</v>
      </c>
      <c r="C3968" s="56" t="n">
        <v>9</v>
      </c>
      <c r="D3968" s="56" t="n">
        <v>142</v>
      </c>
      <c r="E3968" s="56" t="n">
        <v>19.5</v>
      </c>
      <c r="F3968" s="56" t="n">
        <v>0</v>
      </c>
      <c r="G3968" s="56" t="n">
        <v>8.7</v>
      </c>
      <c r="H3968" s="56" t="n">
        <v>0</v>
      </c>
      <c r="I3968" s="56" t="n">
        <v>13</v>
      </c>
      <c r="J3968" s="56" t="n">
        <v>0</v>
      </c>
      <c r="K3968" s="56" t="n">
        <v>1016.3</v>
      </c>
      <c r="L3968" s="56" t="n">
        <v>0</v>
      </c>
      <c r="M3968" s="56" t="n">
        <v>75</v>
      </c>
      <c r="N3968" s="56" t="n">
        <v>4.4</v>
      </c>
      <c r="O3968" s="56" t="n">
        <f aca="false">IF(D3968=1,"",E3967)</f>
        <v>17.3</v>
      </c>
      <c r="P3968" s="56" t="n">
        <f aca="false">IF(OR(D3968=1,K3967=""),"",K3967)</f>
        <v>1010.6</v>
      </c>
      <c r="Q3968" s="56" t="n">
        <f aca="false">IF(OR(F3968&lt;&gt;0,AND(I3968&lt;&gt;"",E3968&lt;I3968)),1,0)</f>
        <v>0</v>
      </c>
      <c r="R3968" s="56" t="n">
        <f aca="false">IF(AND(D3968&gt;1,Q3968=0,ISNUMBER(O3968),ISNUMBER(P3968)),IF(Q3967=0,1,0),0)</f>
        <v>0</v>
      </c>
      <c r="S3968" s="56" t="n">
        <f aca="false">R3968*(B3968&gt;=Train_Start)*(B3968&lt;=Train_End)</f>
        <v>0</v>
      </c>
      <c r="T3968" s="84" t="n">
        <f aca="false">IF(AND(ISNUMBER(O3968),ISNUMBER(P3968)),Coef_A+Coef_B1*O3968+Coef_B2*P3968,"")</f>
        <v>17.9639589787434</v>
      </c>
      <c r="U3968" s="84" t="str">
        <f aca="false">IF(AND(R3968=1,ISNUMBER(T3968)),E3968-T3968,"")</f>
        <v/>
      </c>
      <c r="V3968" s="84" t="n">
        <f aca="false">IF(ISNUMBER(T3968),T3968,-99)</f>
        <v>17.9639589787434</v>
      </c>
      <c r="W3968" s="84" t="str">
        <f aca="false">IF(ISNUMBER(U3968),ABS(U3968),"")</f>
        <v/>
      </c>
    </row>
    <row r="3969" customFormat="false" ht="15" hidden="false" customHeight="false" outlineLevel="0" collapsed="false">
      <c r="A3969" s="57" t="n">
        <v>38250</v>
      </c>
      <c r="B3969" s="56" t="n">
        <v>2004</v>
      </c>
      <c r="C3969" s="56" t="n">
        <v>9</v>
      </c>
      <c r="D3969" s="56" t="n">
        <v>143</v>
      </c>
      <c r="E3969" s="56" t="n">
        <v>16.7</v>
      </c>
      <c r="F3969" s="56" t="n">
        <v>0</v>
      </c>
      <c r="G3969" s="56" t="n">
        <v>13.8</v>
      </c>
      <c r="H3969" s="56" t="n">
        <v>0</v>
      </c>
      <c r="I3969" s="56" t="n">
        <v>16.6</v>
      </c>
      <c r="J3969" s="56" t="n">
        <v>0</v>
      </c>
      <c r="K3969" s="56" t="n">
        <v>1009.1</v>
      </c>
      <c r="L3969" s="56" t="n">
        <v>0</v>
      </c>
      <c r="M3969" s="56" t="n">
        <v>68</v>
      </c>
      <c r="N3969" s="56" t="n">
        <v>2</v>
      </c>
      <c r="O3969" s="56" t="n">
        <f aca="false">IF(D3969=1,"",E3968)</f>
        <v>19.5</v>
      </c>
      <c r="P3969" s="56" t="n">
        <f aca="false">IF(OR(D3969=1,K3968=""),"",K3968)</f>
        <v>1016.3</v>
      </c>
      <c r="Q3969" s="56" t="n">
        <f aca="false">IF(OR(F3969&lt;&gt;0,AND(I3969&lt;&gt;"",E3969&lt;I3969)),1,0)</f>
        <v>0</v>
      </c>
      <c r="R3969" s="56" t="n">
        <f aca="false">IF(AND(D3969&gt;1,Q3969=0,ISNUMBER(O3969),ISNUMBER(P3969)),IF(Q3968=0,1,0),0)</f>
        <v>1</v>
      </c>
      <c r="S3969" s="56" t="n">
        <f aca="false">R3969*(B3969&gt;=Train_Start)*(B3969&lt;=Train_End)</f>
        <v>0</v>
      </c>
      <c r="T3969" s="84" t="n">
        <f aca="false">IF(AND(ISNUMBER(O3969),ISNUMBER(P3969)),Coef_A+Coef_B1*O3969+Coef_B2*P3969,"")</f>
        <v>19.9453136028509</v>
      </c>
      <c r="U3969" s="84" t="n">
        <f aca="false">IF(AND(R3969=1,ISNUMBER(T3969)),E3969-T3969,"")</f>
        <v>-3.24531360285094</v>
      </c>
      <c r="V3969" s="84" t="n">
        <f aca="false">IF(ISNUMBER(T3969),T3969,-99)</f>
        <v>19.9453136028509</v>
      </c>
      <c r="W3969" s="84" t="n">
        <f aca="false">IF(ISNUMBER(U3969),ABS(U3969),"")</f>
        <v>3.24531360285094</v>
      </c>
    </row>
    <row r="3970" customFormat="false" ht="15" hidden="false" customHeight="false" outlineLevel="0" collapsed="false">
      <c r="A3970" s="57" t="n">
        <v>38251</v>
      </c>
      <c r="B3970" s="56" t="n">
        <v>2004</v>
      </c>
      <c r="C3970" s="56" t="n">
        <v>9</v>
      </c>
      <c r="D3970" s="56" t="n">
        <v>144</v>
      </c>
      <c r="E3970" s="56" t="n">
        <v>18.6</v>
      </c>
      <c r="F3970" s="56" t="n">
        <v>0</v>
      </c>
      <c r="G3970" s="56" t="n">
        <v>9.9</v>
      </c>
      <c r="H3970" s="56" t="n">
        <v>0</v>
      </c>
      <c r="I3970" s="56" t="n">
        <v>13.3</v>
      </c>
      <c r="J3970" s="56" t="n">
        <v>0</v>
      </c>
      <c r="K3970" s="56" t="n">
        <v>1017.8</v>
      </c>
      <c r="L3970" s="56" t="n">
        <v>0</v>
      </c>
      <c r="M3970" s="56" t="n">
        <v>60</v>
      </c>
      <c r="N3970" s="56" t="n">
        <v>8.7</v>
      </c>
      <c r="O3970" s="56" t="n">
        <f aca="false">IF(D3970=1,"",E3969)</f>
        <v>16.7</v>
      </c>
      <c r="P3970" s="56" t="n">
        <f aca="false">IF(OR(D3970=1,K3969=""),"",K3969)</f>
        <v>1009.1</v>
      </c>
      <c r="Q3970" s="56" t="n">
        <f aca="false">IF(OR(F3970&lt;&gt;0,AND(I3970&lt;&gt;"",E3970&lt;I3970)),1,0)</f>
        <v>0</v>
      </c>
      <c r="R3970" s="56" t="n">
        <f aca="false">IF(AND(D3970&gt;1,Q3970=0,ISNUMBER(O3970),ISNUMBER(P3970)),IF(Q3969=0,1,0),0)</f>
        <v>1</v>
      </c>
      <c r="S3970" s="56" t="n">
        <f aca="false">R3970*(B3970&gt;=Train_Start)*(B3970&lt;=Train_End)</f>
        <v>0</v>
      </c>
      <c r="T3970" s="84" t="n">
        <f aca="false">IF(AND(ISNUMBER(O3970),ISNUMBER(P3970)),Coef_A+Coef_B1*O3970+Coef_B2*P3970,"")</f>
        <v>17.4253006209668</v>
      </c>
      <c r="U3970" s="84" t="n">
        <f aca="false">IF(AND(R3970=1,ISNUMBER(T3970)),E3970-T3970,"")</f>
        <v>1.17469937903322</v>
      </c>
      <c r="V3970" s="84" t="n">
        <f aca="false">IF(ISNUMBER(T3970),T3970,-99)</f>
        <v>17.4253006209668</v>
      </c>
      <c r="W3970" s="84" t="n">
        <f aca="false">IF(ISNUMBER(U3970),ABS(U3970),"")</f>
        <v>1.17469937903322</v>
      </c>
    </row>
    <row r="3971" customFormat="false" ht="15" hidden="false" customHeight="false" outlineLevel="0" collapsed="false">
      <c r="A3971" s="57" t="n">
        <v>38252</v>
      </c>
      <c r="B3971" s="56" t="n">
        <v>2004</v>
      </c>
      <c r="C3971" s="56" t="n">
        <v>9</v>
      </c>
      <c r="D3971" s="56" t="n">
        <v>145</v>
      </c>
      <c r="E3971" s="56" t="n">
        <v>20.7</v>
      </c>
      <c r="F3971" s="56" t="n">
        <v>0</v>
      </c>
      <c r="G3971" s="56" t="n">
        <v>11.3</v>
      </c>
      <c r="H3971" s="56" t="n">
        <v>0</v>
      </c>
      <c r="I3971" s="56" t="n">
        <v>15</v>
      </c>
      <c r="J3971" s="56" t="n">
        <v>0</v>
      </c>
      <c r="K3971" s="56" t="n">
        <v>1016.8</v>
      </c>
      <c r="L3971" s="56" t="n">
        <v>0</v>
      </c>
      <c r="M3971" s="56" t="n">
        <v>73</v>
      </c>
      <c r="N3971" s="56" t="n">
        <v>0.5</v>
      </c>
      <c r="O3971" s="56" t="n">
        <f aca="false">IF(D3971=1,"",E3970)</f>
        <v>18.6</v>
      </c>
      <c r="P3971" s="56" t="n">
        <f aca="false">IF(OR(D3971=1,K3970=""),"",K3970)</f>
        <v>1017.8</v>
      </c>
      <c r="Q3971" s="56" t="n">
        <f aca="false">IF(OR(F3971&lt;&gt;0,AND(I3971&lt;&gt;"",E3971&lt;I3971)),1,0)</f>
        <v>0</v>
      </c>
      <c r="R3971" s="56" t="n">
        <f aca="false">IF(AND(D3971&gt;1,Q3971=0,ISNUMBER(O3971),ISNUMBER(P3971)),IF(Q3970=0,1,0),0)</f>
        <v>1</v>
      </c>
      <c r="S3971" s="56" t="n">
        <f aca="false">R3971*(B3971&gt;=Train_Start)*(B3971&lt;=Train_End)</f>
        <v>0</v>
      </c>
      <c r="T3971" s="84" t="n">
        <f aca="false">IF(AND(ISNUMBER(O3971),ISNUMBER(P3971)),Coef_A+Coef_B1*O3971+Coef_B2*P3971,"")</f>
        <v>19.2549631710635</v>
      </c>
      <c r="U3971" s="84" t="n">
        <f aca="false">IF(AND(R3971=1,ISNUMBER(T3971)),E3971-T3971,"")</f>
        <v>1.44503682893647</v>
      </c>
      <c r="V3971" s="84" t="n">
        <f aca="false">IF(ISNUMBER(T3971),T3971,-99)</f>
        <v>19.2549631710635</v>
      </c>
      <c r="W3971" s="84" t="n">
        <f aca="false">IF(ISNUMBER(U3971),ABS(U3971),"")</f>
        <v>1.44503682893647</v>
      </c>
    </row>
    <row r="3972" customFormat="false" ht="15" hidden="false" customHeight="false" outlineLevel="0" collapsed="false">
      <c r="A3972" s="57" t="n">
        <v>38253</v>
      </c>
      <c r="B3972" s="56" t="n">
        <v>2004</v>
      </c>
      <c r="C3972" s="56" t="n">
        <v>9</v>
      </c>
      <c r="D3972" s="56" t="n">
        <v>146</v>
      </c>
      <c r="E3972" s="56" t="n">
        <v>15.4</v>
      </c>
      <c r="F3972" s="56" t="n">
        <v>1</v>
      </c>
      <c r="G3972" s="56" t="n">
        <v>15.8</v>
      </c>
      <c r="H3972" s="56" t="n">
        <v>1</v>
      </c>
      <c r="I3972" s="56" t="n">
        <v>18.2</v>
      </c>
      <c r="J3972" s="56" t="n">
        <v>1</v>
      </c>
      <c r="K3972" s="56" t="n">
        <v>1012.2</v>
      </c>
      <c r="L3972" s="56" t="n">
        <v>0</v>
      </c>
      <c r="M3972" s="56" t="n">
        <v>73</v>
      </c>
      <c r="N3972" s="56" t="n">
        <v>6.4</v>
      </c>
      <c r="O3972" s="56" t="n">
        <f aca="false">IF(D3972=1,"",E3971)</f>
        <v>20.7</v>
      </c>
      <c r="P3972" s="56" t="n">
        <f aca="false">IF(OR(D3972=1,K3971=""),"",K3971)</f>
        <v>1016.8</v>
      </c>
      <c r="Q3972" s="56" t="n">
        <f aca="false">IF(OR(F3972&lt;&gt;0,AND(I3972&lt;&gt;"",E3972&lt;I3972)),1,0)</f>
        <v>1</v>
      </c>
      <c r="R3972" s="56" t="n">
        <f aca="false">IF(AND(D3972&gt;1,Q3972=0,ISNUMBER(O3972),ISNUMBER(P3972)),IF(Q3971=0,1,0),0)</f>
        <v>0</v>
      </c>
      <c r="S3972" s="56" t="n">
        <f aca="false">R3972*(B3972&gt;=Train_Start)*(B3972&lt;=Train_End)</f>
        <v>0</v>
      </c>
      <c r="T3972" s="84" t="n">
        <f aca="false">IF(AND(ISNUMBER(O3972),ISNUMBER(P3972)),Coef_A+Coef_B1*O3972+Coef_B2*P3972,"")</f>
        <v>20.9442055818191</v>
      </c>
      <c r="U3972" s="84" t="str">
        <f aca="false">IF(AND(R3972=1,ISNUMBER(T3972)),E3972-T3972,"")</f>
        <v/>
      </c>
      <c r="V3972" s="84" t="n">
        <f aca="false">IF(ISNUMBER(T3972),T3972,-99)</f>
        <v>20.9442055818191</v>
      </c>
      <c r="W3972" s="84" t="str">
        <f aca="false">IF(ISNUMBER(U3972),ABS(U3972),"")</f>
        <v/>
      </c>
    </row>
    <row r="3973" customFormat="false" ht="15" hidden="false" customHeight="false" outlineLevel="0" collapsed="false">
      <c r="A3973" s="57" t="n">
        <v>38254</v>
      </c>
      <c r="B3973" s="56" t="n">
        <v>2004</v>
      </c>
      <c r="C3973" s="56" t="n">
        <v>9</v>
      </c>
      <c r="D3973" s="56" t="n">
        <v>147</v>
      </c>
      <c r="E3973" s="56" t="n">
        <v>15.3</v>
      </c>
      <c r="F3973" s="56" t="n">
        <v>0</v>
      </c>
      <c r="G3973" s="56" t="n">
        <v>8.5</v>
      </c>
      <c r="H3973" s="56" t="n">
        <v>0</v>
      </c>
      <c r="I3973" s="56" t="n">
        <v>12</v>
      </c>
      <c r="J3973" s="56" t="n">
        <v>0</v>
      </c>
      <c r="K3973" s="56" t="n">
        <v>1021</v>
      </c>
      <c r="L3973" s="56" t="n">
        <v>0</v>
      </c>
      <c r="M3973" s="56" t="n">
        <v>66</v>
      </c>
      <c r="N3973" s="56" t="n">
        <v>7.4</v>
      </c>
      <c r="O3973" s="56" t="n">
        <f aca="false">IF(D3973=1,"",E3972)</f>
        <v>15.4</v>
      </c>
      <c r="P3973" s="56" t="n">
        <f aca="false">IF(OR(D3973=1,K3972=""),"",K3972)</f>
        <v>1012.2</v>
      </c>
      <c r="Q3973" s="56" t="n">
        <f aca="false">IF(OR(F3973&lt;&gt;0,AND(I3973&lt;&gt;"",E3973&lt;I3973)),1,0)</f>
        <v>0</v>
      </c>
      <c r="R3973" s="56" t="n">
        <f aca="false">IF(AND(D3973&gt;1,Q3973=0,ISNUMBER(O3973),ISNUMBER(P3973)),IF(Q3972=0,1,0),0)</f>
        <v>0</v>
      </c>
      <c r="S3973" s="56" t="n">
        <f aca="false">R3973*(B3973&gt;=Train_Start)*(B3973&lt;=Train_End)</f>
        <v>0</v>
      </c>
      <c r="T3973" s="84" t="n">
        <f aca="false">IF(AND(ISNUMBER(O3973),ISNUMBER(P3973)),Coef_A+Coef_B1*O3973+Coef_B2*P3973,"")</f>
        <v>16.4574063433767</v>
      </c>
      <c r="U3973" s="84" t="str">
        <f aca="false">IF(AND(R3973=1,ISNUMBER(T3973)),E3973-T3973,"")</f>
        <v/>
      </c>
      <c r="V3973" s="84" t="n">
        <f aca="false">IF(ISNUMBER(T3973),T3973,-99)</f>
        <v>16.4574063433767</v>
      </c>
      <c r="W3973" s="84" t="str">
        <f aca="false">IF(ISNUMBER(U3973),ABS(U3973),"")</f>
        <v/>
      </c>
    </row>
    <row r="3974" customFormat="false" ht="15" hidden="false" customHeight="false" outlineLevel="0" collapsed="false">
      <c r="A3974" s="57" t="n">
        <v>38255</v>
      </c>
      <c r="B3974" s="56" t="n">
        <v>2004</v>
      </c>
      <c r="C3974" s="56" t="n">
        <v>9</v>
      </c>
      <c r="D3974" s="56" t="n">
        <v>148</v>
      </c>
      <c r="E3974" s="56" t="n">
        <v>20.7</v>
      </c>
      <c r="F3974" s="56" t="n">
        <v>0</v>
      </c>
      <c r="G3974" s="56" t="n">
        <v>5.3</v>
      </c>
      <c r="H3974" s="56" t="n">
        <v>0</v>
      </c>
      <c r="I3974" s="56" t="n">
        <v>10.3</v>
      </c>
      <c r="J3974" s="56" t="n">
        <v>0</v>
      </c>
      <c r="K3974" s="56" t="n">
        <v>1022.9</v>
      </c>
      <c r="L3974" s="56" t="n">
        <v>0</v>
      </c>
      <c r="M3974" s="56" t="n">
        <v>85</v>
      </c>
      <c r="N3974" s="56" t="n">
        <v>0.2</v>
      </c>
      <c r="O3974" s="56" t="n">
        <f aca="false">IF(D3974=1,"",E3973)</f>
        <v>15.3</v>
      </c>
      <c r="P3974" s="56" t="n">
        <f aca="false">IF(OR(D3974=1,K3973=""),"",K3973)</f>
        <v>1021</v>
      </c>
      <c r="Q3974" s="56" t="n">
        <f aca="false">IF(OR(F3974&lt;&gt;0,AND(I3974&lt;&gt;"",E3974&lt;I3974)),1,0)</f>
        <v>0</v>
      </c>
      <c r="R3974" s="56" t="n">
        <f aca="false">IF(AND(D3974&gt;1,Q3974=0,ISNUMBER(O3974),ISNUMBER(P3974)),IF(Q3973=0,1,0),0)</f>
        <v>1</v>
      </c>
      <c r="S3974" s="56" t="n">
        <f aca="false">R3974*(B3974&gt;=Train_Start)*(B3974&lt;=Train_End)</f>
        <v>0</v>
      </c>
      <c r="T3974" s="84" t="n">
        <f aca="false">IF(AND(ISNUMBER(O3974),ISNUMBER(P3974)),Coef_A+Coef_B1*O3974+Coef_B2*P3974,"")</f>
        <v>16.6515274968515</v>
      </c>
      <c r="U3974" s="84" t="n">
        <f aca="false">IF(AND(R3974=1,ISNUMBER(T3974)),E3974-T3974,"")</f>
        <v>4.04847250314847</v>
      </c>
      <c r="V3974" s="84" t="n">
        <f aca="false">IF(ISNUMBER(T3974),T3974,-99)</f>
        <v>16.6515274968515</v>
      </c>
      <c r="W3974" s="84" t="n">
        <f aca="false">IF(ISNUMBER(U3974),ABS(U3974),"")</f>
        <v>4.04847250314847</v>
      </c>
    </row>
    <row r="3975" customFormat="false" ht="15" hidden="false" customHeight="false" outlineLevel="0" collapsed="false">
      <c r="A3975" s="57" t="n">
        <v>38256</v>
      </c>
      <c r="B3975" s="56" t="n">
        <v>2004</v>
      </c>
      <c r="C3975" s="56" t="n">
        <v>9</v>
      </c>
      <c r="D3975" s="56" t="n">
        <v>149</v>
      </c>
      <c r="E3975" s="56" t="n">
        <v>20.7</v>
      </c>
      <c r="F3975" s="56" t="n">
        <v>0</v>
      </c>
      <c r="G3975" s="56" t="n">
        <v>10</v>
      </c>
      <c r="H3975" s="56" t="n">
        <v>0</v>
      </c>
      <c r="I3975" s="56" t="n">
        <v>15.4</v>
      </c>
      <c r="J3975" s="56" t="n">
        <v>0</v>
      </c>
      <c r="K3975" s="56" t="n">
        <v>1022.6</v>
      </c>
      <c r="L3975" s="56" t="n">
        <v>0</v>
      </c>
      <c r="M3975" s="56" t="n">
        <v>84</v>
      </c>
      <c r="N3975" s="56" t="n">
        <v>3.9</v>
      </c>
      <c r="O3975" s="56" t="n">
        <f aca="false">IF(D3975=1,"",E3974)</f>
        <v>20.7</v>
      </c>
      <c r="P3975" s="56" t="n">
        <f aca="false">IF(OR(D3975=1,K3974=""),"",K3974)</f>
        <v>1022.9</v>
      </c>
      <c r="Q3975" s="56" t="n">
        <f aca="false">IF(OR(F3975&lt;&gt;0,AND(I3975&lt;&gt;"",E3975&lt;I3975)),1,0)</f>
        <v>0</v>
      </c>
      <c r="R3975" s="56" t="n">
        <f aca="false">IF(AND(D3975&gt;1,Q3975=0,ISNUMBER(O3975),ISNUMBER(P3975)),IF(Q3974=0,1,0),0)</f>
        <v>1</v>
      </c>
      <c r="S3975" s="56" t="n">
        <f aca="false">R3975*(B3975&gt;=Train_Start)*(B3975&lt;=Train_End)</f>
        <v>0</v>
      </c>
      <c r="T3975" s="84" t="n">
        <f aca="false">IF(AND(ISNUMBER(O3975),ISNUMBER(P3975)),Coef_A+Coef_B1*O3975+Coef_B2*P3975,"")</f>
        <v>21.1355619390865</v>
      </c>
      <c r="U3975" s="84" t="n">
        <f aca="false">IF(AND(R3975=1,ISNUMBER(T3975)),E3975-T3975,"")</f>
        <v>-0.435561939086458</v>
      </c>
      <c r="V3975" s="84" t="n">
        <f aca="false">IF(ISNUMBER(T3975),T3975,-99)</f>
        <v>21.1355619390865</v>
      </c>
      <c r="W3975" s="84" t="n">
        <f aca="false">IF(ISNUMBER(U3975),ABS(U3975),"")</f>
        <v>0.435561939086458</v>
      </c>
    </row>
    <row r="3976" customFormat="false" ht="15" hidden="false" customHeight="false" outlineLevel="0" collapsed="false">
      <c r="A3976" s="57" t="n">
        <v>38257</v>
      </c>
      <c r="B3976" s="56" t="n">
        <v>2004</v>
      </c>
      <c r="C3976" s="56" t="n">
        <v>9</v>
      </c>
      <c r="D3976" s="56" t="n">
        <v>150</v>
      </c>
      <c r="E3976" s="56" t="n">
        <v>19.1</v>
      </c>
      <c r="F3976" s="56" t="n">
        <v>0</v>
      </c>
      <c r="G3976" s="56" t="n">
        <v>12.8</v>
      </c>
      <c r="H3976" s="56" t="n">
        <v>0</v>
      </c>
      <c r="I3976" s="56" t="n">
        <v>16.8</v>
      </c>
      <c r="J3976" s="56" t="n">
        <v>0</v>
      </c>
      <c r="K3976" s="56" t="n">
        <v>1021.8</v>
      </c>
      <c r="L3976" s="56" t="n">
        <v>0</v>
      </c>
      <c r="M3976" s="56" t="n">
        <v>84</v>
      </c>
      <c r="N3976" s="56" t="n">
        <v>0.7</v>
      </c>
      <c r="O3976" s="56" t="n">
        <f aca="false">IF(D3976=1,"",E3975)</f>
        <v>20.7</v>
      </c>
      <c r="P3976" s="56" t="n">
        <f aca="false">IF(OR(D3976=1,K3975=""),"",K3975)</f>
        <v>1022.6</v>
      </c>
      <c r="Q3976" s="56" t="n">
        <f aca="false">IF(OR(F3976&lt;&gt;0,AND(I3976&lt;&gt;"",E3976&lt;I3976)),1,0)</f>
        <v>0</v>
      </c>
      <c r="R3976" s="56" t="n">
        <f aca="false">IF(AND(D3976&gt;1,Q3976=0,ISNUMBER(O3976),ISNUMBER(P3976)),IF(Q3975=0,1,0),0)</f>
        <v>1</v>
      </c>
      <c r="S3976" s="56" t="n">
        <f aca="false">R3976*(B3976&gt;=Train_Start)*(B3976&lt;=Train_End)</f>
        <v>0</v>
      </c>
      <c r="T3976" s="84" t="n">
        <f aca="false">IF(AND(ISNUMBER(O3976),ISNUMBER(P3976)),Coef_A+Coef_B1*O3976+Coef_B2*P3976,"")</f>
        <v>21.1261509706963</v>
      </c>
      <c r="U3976" s="84" t="n">
        <f aca="false">IF(AND(R3976=1,ISNUMBER(T3976)),E3976-T3976,"")</f>
        <v>-2.02615097069626</v>
      </c>
      <c r="V3976" s="84" t="n">
        <f aca="false">IF(ISNUMBER(T3976),T3976,-99)</f>
        <v>21.1261509706963</v>
      </c>
      <c r="W3976" s="84" t="n">
        <f aca="false">IF(ISNUMBER(U3976),ABS(U3976),"")</f>
        <v>2.02615097069626</v>
      </c>
    </row>
    <row r="3977" customFormat="false" ht="15" hidden="false" customHeight="false" outlineLevel="0" collapsed="false">
      <c r="A3977" s="57" t="n">
        <v>38258</v>
      </c>
      <c r="B3977" s="56" t="n">
        <v>2004</v>
      </c>
      <c r="C3977" s="56" t="n">
        <v>9</v>
      </c>
      <c r="D3977" s="56" t="n">
        <v>151</v>
      </c>
      <c r="E3977" s="56" t="n">
        <v>16.2</v>
      </c>
      <c r="F3977" s="56" t="n">
        <v>1</v>
      </c>
      <c r="G3977" s="56" t="n">
        <v>13.9</v>
      </c>
      <c r="H3977" s="56" t="n">
        <v>0</v>
      </c>
      <c r="I3977" s="56" t="n">
        <v>16.5</v>
      </c>
      <c r="J3977" s="56" t="n">
        <v>1</v>
      </c>
      <c r="K3977" s="56" t="n">
        <v>1018.4</v>
      </c>
      <c r="L3977" s="56" t="n">
        <v>0</v>
      </c>
      <c r="M3977" s="56" t="n">
        <v>77</v>
      </c>
      <c r="N3977" s="56" t="n">
        <v>1.7</v>
      </c>
      <c r="O3977" s="56" t="n">
        <f aca="false">IF(D3977=1,"",E3976)</f>
        <v>19.1</v>
      </c>
      <c r="P3977" s="56" t="n">
        <f aca="false">IF(OR(D3977=1,K3976=""),"",K3976)</f>
        <v>1021.8</v>
      </c>
      <c r="Q3977" s="56" t="n">
        <f aca="false">IF(OR(F3977&lt;&gt;0,AND(I3977&lt;&gt;"",E3977&lt;I3977)),1,0)</f>
        <v>1</v>
      </c>
      <c r="R3977" s="56" t="n">
        <f aca="false">IF(AND(D3977&gt;1,Q3977=0,ISNUMBER(O3977),ISNUMBER(P3977)),IF(Q3976=0,1,0),0)</f>
        <v>0</v>
      </c>
      <c r="S3977" s="56" t="n">
        <f aca="false">R3977*(B3977&gt;=Train_Start)*(B3977&lt;=Train_End)</f>
        <v>0</v>
      </c>
      <c r="T3977" s="84" t="n">
        <f aca="false">IF(AND(ISNUMBER(O3977),ISNUMBER(P3977)),Coef_A+Coef_B1*O3977+Coef_B2*P3977,"")</f>
        <v>19.7901123461208</v>
      </c>
      <c r="U3977" s="84" t="str">
        <f aca="false">IF(AND(R3977=1,ISNUMBER(T3977)),E3977-T3977,"")</f>
        <v/>
      </c>
      <c r="V3977" s="84" t="n">
        <f aca="false">IF(ISNUMBER(T3977),T3977,-99)</f>
        <v>19.7901123461208</v>
      </c>
      <c r="W3977" s="84" t="str">
        <f aca="false">IF(ISNUMBER(U3977),ABS(U3977),"")</f>
        <v/>
      </c>
    </row>
    <row r="3978" customFormat="false" ht="15" hidden="false" customHeight="false" outlineLevel="0" collapsed="false">
      <c r="A3978" s="57" t="n">
        <v>38259</v>
      </c>
      <c r="B3978" s="56" t="n">
        <v>2004</v>
      </c>
      <c r="C3978" s="56" t="n">
        <v>9</v>
      </c>
      <c r="D3978" s="56" t="n">
        <v>152</v>
      </c>
      <c r="E3978" s="56" t="n">
        <v>19.5</v>
      </c>
      <c r="F3978" s="56" t="n">
        <v>0</v>
      </c>
      <c r="G3978" s="56" t="n">
        <v>13.1</v>
      </c>
      <c r="H3978" s="56" t="n">
        <v>0</v>
      </c>
      <c r="I3978" s="56" t="n">
        <v>14.6</v>
      </c>
      <c r="J3978" s="56" t="n">
        <v>0</v>
      </c>
      <c r="K3978" s="56" t="n">
        <v>1018.1</v>
      </c>
      <c r="L3978" s="56" t="n">
        <v>0</v>
      </c>
      <c r="M3978" s="56" t="n">
        <v>84</v>
      </c>
      <c r="N3978" s="56" t="n">
        <v>0</v>
      </c>
      <c r="O3978" s="56" t="n">
        <f aca="false">IF(D3978=1,"",E3977)</f>
        <v>16.2</v>
      </c>
      <c r="P3978" s="56" t="n">
        <f aca="false">IF(OR(D3978=1,K3977=""),"",K3977)</f>
        <v>1018.4</v>
      </c>
      <c r="Q3978" s="56" t="n">
        <f aca="false">IF(OR(F3978&lt;&gt;0,AND(I3978&lt;&gt;"",E3978&lt;I3978)),1,0)</f>
        <v>0</v>
      </c>
      <c r="R3978" s="56" t="n">
        <f aca="false">IF(AND(D3978&gt;1,Q3978=0,ISNUMBER(O3978),ISNUMBER(P3978)),IF(Q3977=0,1,0),0)</f>
        <v>0</v>
      </c>
      <c r="S3978" s="56" t="n">
        <f aca="false">R3978*(B3978&gt;=Train_Start)*(B3978&lt;=Train_End)</f>
        <v>0</v>
      </c>
      <c r="T3978" s="84" t="n">
        <f aca="false">IF(AND(ISNUMBER(O3978),ISNUMBER(P3978)),Coef_A+Coef_B1*O3978+Coef_B2*P3978,"")</f>
        <v>17.3073710445415</v>
      </c>
      <c r="U3978" s="84" t="str">
        <f aca="false">IF(AND(R3978=1,ISNUMBER(T3978)),E3978-T3978,"")</f>
        <v/>
      </c>
      <c r="V3978" s="84" t="n">
        <f aca="false">IF(ISNUMBER(T3978),T3978,-99)</f>
        <v>17.3073710445415</v>
      </c>
      <c r="W3978" s="84" t="str">
        <f aca="false">IF(ISNUMBER(U3978),ABS(U3978),"")</f>
        <v/>
      </c>
    </row>
    <row r="3979" customFormat="false" ht="15" hidden="false" customHeight="false" outlineLevel="0" collapsed="false">
      <c r="A3979" s="57" t="n">
        <v>38260</v>
      </c>
      <c r="B3979" s="56" t="n">
        <v>2004</v>
      </c>
      <c r="C3979" s="56" t="n">
        <v>9</v>
      </c>
      <c r="D3979" s="56" t="n">
        <v>153</v>
      </c>
      <c r="E3979" s="56" t="n">
        <v>16.7</v>
      </c>
      <c r="F3979" s="56" t="n">
        <v>0</v>
      </c>
      <c r="G3979" s="56" t="n">
        <v>13.8</v>
      </c>
      <c r="H3979" s="56" t="n">
        <v>0</v>
      </c>
      <c r="I3979" s="56" t="n">
        <v>16.6</v>
      </c>
      <c r="J3979" s="56" t="n">
        <v>0</v>
      </c>
      <c r="K3979" s="56" t="n">
        <v>1017</v>
      </c>
      <c r="L3979" s="56" t="n">
        <v>0</v>
      </c>
      <c r="M3979" s="56" t="n">
        <v>86</v>
      </c>
      <c r="N3979" s="56" t="n">
        <v>2.9</v>
      </c>
      <c r="O3979" s="56" t="n">
        <f aca="false">IF(D3979=1,"",E3978)</f>
        <v>19.5</v>
      </c>
      <c r="P3979" s="56" t="n">
        <f aca="false">IF(OR(D3979=1,K3978=""),"",K3978)</f>
        <v>1018.1</v>
      </c>
      <c r="Q3979" s="56" t="n">
        <f aca="false">IF(OR(F3979&lt;&gt;0,AND(I3979&lt;&gt;"",E3979&lt;I3979)),1,0)</f>
        <v>0</v>
      </c>
      <c r="R3979" s="56" t="n">
        <f aca="false">IF(AND(D3979&gt;1,Q3979=0,ISNUMBER(O3979),ISNUMBER(P3979)),IF(Q3978=0,1,0),0)</f>
        <v>1</v>
      </c>
      <c r="S3979" s="56" t="n">
        <f aca="false">R3979*(B3979&gt;=Train_Start)*(B3979&lt;=Train_End)</f>
        <v>0</v>
      </c>
      <c r="T3979" s="84" t="n">
        <f aca="false">IF(AND(ISNUMBER(O3979),ISNUMBER(P3979)),Coef_A+Coef_B1*O3979+Coef_B2*P3979,"")</f>
        <v>20.0017794131921</v>
      </c>
      <c r="U3979" s="84" t="n">
        <f aca="false">IF(AND(R3979=1,ISNUMBER(T3979)),E3979-T3979,"")</f>
        <v>-3.30177941319213</v>
      </c>
      <c r="V3979" s="84" t="n">
        <f aca="false">IF(ISNUMBER(T3979),T3979,-99)</f>
        <v>20.0017794131921</v>
      </c>
      <c r="W3979" s="84" t="n">
        <f aca="false">IF(ISNUMBER(U3979),ABS(U3979),"")</f>
        <v>3.30177941319213</v>
      </c>
    </row>
    <row r="3980" customFormat="false" ht="15" hidden="false" customHeight="false" outlineLevel="0" collapsed="false">
      <c r="A3980" s="57" t="n">
        <v>38473</v>
      </c>
      <c r="B3980" s="56" t="n">
        <v>2005</v>
      </c>
      <c r="C3980" s="56" t="n">
        <v>5</v>
      </c>
      <c r="D3980" s="56" t="n">
        <v>1</v>
      </c>
      <c r="E3980" s="56" t="n">
        <v>23.4</v>
      </c>
      <c r="F3980" s="56" t="n">
        <v>0</v>
      </c>
      <c r="G3980" s="56" t="n">
        <v>14.1</v>
      </c>
      <c r="H3980" s="56" t="n">
        <v>0</v>
      </c>
      <c r="I3980" s="56" t="n">
        <v>18.8</v>
      </c>
      <c r="J3980" s="56" t="n">
        <v>0</v>
      </c>
      <c r="K3980" s="56" t="n">
        <v>1007.6</v>
      </c>
      <c r="L3980" s="56" t="n">
        <v>0</v>
      </c>
      <c r="M3980" s="56" t="n">
        <v>66</v>
      </c>
      <c r="N3980" s="56" t="n">
        <v>8.2</v>
      </c>
      <c r="O3980" s="56" t="str">
        <f aca="false">IF(D3980=1,"",E3979)</f>
        <v/>
      </c>
      <c r="P3980" s="56" t="str">
        <f aca="false">IF(OR(D3980=1,K3979=""),"",K3979)</f>
        <v/>
      </c>
      <c r="Q3980" s="56" t="n">
        <f aca="false">IF(OR(F3980&lt;&gt;0,AND(I3980&lt;&gt;"",E3980&lt;I3980)),1,0)</f>
        <v>0</v>
      </c>
      <c r="R3980" s="56" t="n">
        <f aca="false">IF(AND(D3980&gt;1,Q3980=0,ISNUMBER(O3980),ISNUMBER(P3980)),IF(Q3979=0,1,0),0)</f>
        <v>0</v>
      </c>
      <c r="S3980" s="56" t="n">
        <f aca="false">R3980*(B3980&gt;=Train_Start)*(B3980&lt;=Train_End)</f>
        <v>0</v>
      </c>
      <c r="T3980" s="84" t="str">
        <f aca="false">IF(AND(ISNUMBER(O3980),ISNUMBER(P3980)),Coef_A+Coef_B1*O3980+Coef_B2*P3980,"")</f>
        <v/>
      </c>
      <c r="U3980" s="84" t="str">
        <f aca="false">IF(AND(R3980=1,ISNUMBER(T3980)),E3980-T3980,"")</f>
        <v/>
      </c>
      <c r="V3980" s="84" t="n">
        <f aca="false">IF(ISNUMBER(T3980),T3980,-99)</f>
        <v>-99</v>
      </c>
      <c r="W3980" s="84" t="str">
        <f aca="false">IF(ISNUMBER(U3980),ABS(U3980),"")</f>
        <v/>
      </c>
    </row>
    <row r="3981" customFormat="false" ht="15" hidden="false" customHeight="false" outlineLevel="0" collapsed="false">
      <c r="A3981" s="57" t="n">
        <v>38474</v>
      </c>
      <c r="B3981" s="56" t="n">
        <v>2005</v>
      </c>
      <c r="C3981" s="56" t="n">
        <v>5</v>
      </c>
      <c r="D3981" s="56" t="n">
        <v>2</v>
      </c>
      <c r="E3981" s="56" t="n">
        <v>21.3</v>
      </c>
      <c r="F3981" s="56" t="n">
        <v>0</v>
      </c>
      <c r="G3981" s="56" t="n">
        <v>13.3</v>
      </c>
      <c r="H3981" s="56" t="n">
        <v>0</v>
      </c>
      <c r="I3981" s="56" t="n">
        <v>17.3</v>
      </c>
      <c r="J3981" s="56" t="n">
        <v>0</v>
      </c>
      <c r="K3981" s="56" t="n">
        <v>1011.4</v>
      </c>
      <c r="L3981" s="56" t="n">
        <v>0</v>
      </c>
      <c r="M3981" s="56" t="n">
        <v>70</v>
      </c>
      <c r="N3981" s="56" t="n">
        <v>9.3</v>
      </c>
      <c r="O3981" s="56" t="n">
        <f aca="false">IF(D3981=1,"",E3980)</f>
        <v>23.4</v>
      </c>
      <c r="P3981" s="56" t="n">
        <f aca="false">IF(OR(D3981=1,K3980=""),"",K3980)</f>
        <v>1007.6</v>
      </c>
      <c r="Q3981" s="56" t="n">
        <f aca="false">IF(OR(F3981&lt;&gt;0,AND(I3981&lt;&gt;"",E3981&lt;I3981)),1,0)</f>
        <v>0</v>
      </c>
      <c r="R3981" s="56" t="n">
        <f aca="false">IF(AND(D3981&gt;1,Q3981=0,ISNUMBER(O3981),ISNUMBER(P3981)),IF(Q3980=0,1,0),0)</f>
        <v>1</v>
      </c>
      <c r="S3981" s="56" t="n">
        <f aca="false">R3981*(B3981&gt;=Train_Start)*(B3981&lt;=Train_End)</f>
        <v>0</v>
      </c>
      <c r="T3981" s="84" t="n">
        <f aca="false">IF(AND(ISNUMBER(O3981),ISNUMBER(P3981)),Coef_A+Coef_B1*O3981+Coef_B2*P3981,"")</f>
        <v>22.8678183724016</v>
      </c>
      <c r="U3981" s="84" t="n">
        <f aca="false">IF(AND(R3981=1,ISNUMBER(T3981)),E3981-T3981,"")</f>
        <v>-1.5678183724016</v>
      </c>
      <c r="V3981" s="84" t="n">
        <f aca="false">IF(ISNUMBER(T3981),T3981,-99)</f>
        <v>22.8678183724016</v>
      </c>
      <c r="W3981" s="84" t="n">
        <f aca="false">IF(ISNUMBER(U3981),ABS(U3981),"")</f>
        <v>1.5678183724016</v>
      </c>
    </row>
    <row r="3982" customFormat="false" ht="15" hidden="false" customHeight="false" outlineLevel="0" collapsed="false">
      <c r="A3982" s="57" t="n">
        <v>38475</v>
      </c>
      <c r="B3982" s="56" t="n">
        <v>2005</v>
      </c>
      <c r="C3982" s="56" t="n">
        <v>5</v>
      </c>
      <c r="D3982" s="56" t="n">
        <v>3</v>
      </c>
      <c r="E3982" s="56" t="n">
        <v>18.1</v>
      </c>
      <c r="F3982" s="56" t="n">
        <v>0</v>
      </c>
      <c r="G3982" s="56" t="n">
        <v>11.3</v>
      </c>
      <c r="H3982" s="56" t="n">
        <v>0</v>
      </c>
      <c r="I3982" s="56" t="n">
        <v>14.7</v>
      </c>
      <c r="J3982" s="56" t="n">
        <v>0</v>
      </c>
      <c r="K3982" s="56" t="n">
        <v>1011</v>
      </c>
      <c r="L3982" s="56" t="n">
        <v>0</v>
      </c>
      <c r="M3982" s="56" t="n">
        <v>77</v>
      </c>
      <c r="N3982" s="56" t="n">
        <v>5.3</v>
      </c>
      <c r="O3982" s="56" t="n">
        <f aca="false">IF(D3982=1,"",E3981)</f>
        <v>21.3</v>
      </c>
      <c r="P3982" s="56" t="n">
        <f aca="false">IF(OR(D3982=1,K3981=""),"",K3981)</f>
        <v>1011.4</v>
      </c>
      <c r="Q3982" s="56" t="n">
        <f aca="false">IF(OR(F3982&lt;&gt;0,AND(I3982&lt;&gt;"",E3982&lt;I3982)),1,0)</f>
        <v>0</v>
      </c>
      <c r="R3982" s="56" t="n">
        <f aca="false">IF(AND(D3982&gt;1,Q3982=0,ISNUMBER(O3982),ISNUMBER(P3982)),IF(Q3981=0,1,0),0)</f>
        <v>1</v>
      </c>
      <c r="S3982" s="56" t="n">
        <f aca="false">R3982*(B3982&gt;=Train_Start)*(B3982&lt;=Train_End)</f>
        <v>0</v>
      </c>
      <c r="T3982" s="84" t="n">
        <f aca="false">IF(AND(ISNUMBER(O3982),ISNUMBER(P3982)),Coef_A+Coef_B1*O3982+Coef_B2*P3982,"")</f>
        <v>21.2664116666212</v>
      </c>
      <c r="U3982" s="84" t="n">
        <f aca="false">IF(AND(R3982=1,ISNUMBER(T3982)),E3982-T3982,"")</f>
        <v>-3.16641166662117</v>
      </c>
      <c r="V3982" s="84" t="n">
        <f aca="false">IF(ISNUMBER(T3982),T3982,-99)</f>
        <v>21.2664116666212</v>
      </c>
      <c r="W3982" s="84" t="n">
        <f aca="false">IF(ISNUMBER(U3982),ABS(U3982),"")</f>
        <v>3.16641166662117</v>
      </c>
    </row>
    <row r="3983" customFormat="false" ht="15" hidden="false" customHeight="false" outlineLevel="0" collapsed="false">
      <c r="A3983" s="57" t="n">
        <v>38476</v>
      </c>
      <c r="B3983" s="56" t="n">
        <v>2005</v>
      </c>
      <c r="C3983" s="56" t="n">
        <v>5</v>
      </c>
      <c r="D3983" s="56" t="n">
        <v>4</v>
      </c>
      <c r="E3983" s="56" t="n">
        <v>11.8</v>
      </c>
      <c r="F3983" s="56" t="n">
        <v>0</v>
      </c>
      <c r="G3983" s="56" t="n">
        <v>11.1</v>
      </c>
      <c r="H3983" s="56" t="n">
        <v>0</v>
      </c>
      <c r="I3983" s="56" t="n">
        <v>11.4</v>
      </c>
      <c r="J3983" s="56" t="n">
        <v>0</v>
      </c>
      <c r="K3983" s="56" t="n">
        <v>1019</v>
      </c>
      <c r="L3983" s="56" t="n">
        <v>0</v>
      </c>
      <c r="M3983" s="56" t="n">
        <v>82</v>
      </c>
      <c r="N3983" s="56" t="n">
        <v>0.4</v>
      </c>
      <c r="O3983" s="56" t="n">
        <f aca="false">IF(D3983=1,"",E3982)</f>
        <v>18.1</v>
      </c>
      <c r="P3983" s="56" t="n">
        <f aca="false">IF(OR(D3983=1,K3982=""),"",K3982)</f>
        <v>1011</v>
      </c>
      <c r="Q3983" s="56" t="n">
        <f aca="false">IF(OR(F3983&lt;&gt;0,AND(I3983&lt;&gt;"",E3983&lt;I3983)),1,0)</f>
        <v>0</v>
      </c>
      <c r="R3983" s="56" t="n">
        <f aca="false">IF(AND(D3983&gt;1,Q3983=0,ISNUMBER(O3983),ISNUMBER(P3983)),IF(Q3982=0,1,0),0)</f>
        <v>1</v>
      </c>
      <c r="S3983" s="56" t="n">
        <f aca="false">R3983*(B3983&gt;=Train_Start)*(B3983&lt;=Train_End)</f>
        <v>0</v>
      </c>
      <c r="T3983" s="84" t="n">
        <f aca="false">IF(AND(ISNUMBER(O3983),ISNUMBER(P3983)),Coef_A+Coef_B1*O3983+Coef_B2*P3983,"")</f>
        <v>18.6319782910311</v>
      </c>
      <c r="U3983" s="84" t="n">
        <f aca="false">IF(AND(R3983=1,ISNUMBER(T3983)),E3983-T3983,"")</f>
        <v>-6.83197829103107</v>
      </c>
      <c r="V3983" s="84" t="n">
        <f aca="false">IF(ISNUMBER(T3983),T3983,-99)</f>
        <v>18.6319782910311</v>
      </c>
      <c r="W3983" s="84" t="n">
        <f aca="false">IF(ISNUMBER(U3983),ABS(U3983),"")</f>
        <v>6.83197829103107</v>
      </c>
    </row>
    <row r="3984" customFormat="false" ht="15" hidden="false" customHeight="false" outlineLevel="0" collapsed="false">
      <c r="A3984" s="57" t="n">
        <v>38477</v>
      </c>
      <c r="B3984" s="56" t="n">
        <v>2005</v>
      </c>
      <c r="C3984" s="56" t="n">
        <v>5</v>
      </c>
      <c r="D3984" s="56" t="n">
        <v>5</v>
      </c>
      <c r="E3984" s="56" t="n">
        <v>18.5</v>
      </c>
      <c r="F3984" s="56" t="n">
        <v>0</v>
      </c>
      <c r="G3984" s="56" t="n">
        <v>3.3</v>
      </c>
      <c r="H3984" s="56" t="n">
        <v>0</v>
      </c>
      <c r="I3984" s="56" t="n">
        <v>10.9</v>
      </c>
      <c r="J3984" s="56" t="n">
        <v>0</v>
      </c>
      <c r="K3984" s="56" t="n">
        <v>1021.9</v>
      </c>
      <c r="L3984" s="56" t="n">
        <v>0</v>
      </c>
      <c r="M3984" s="56" t="n">
        <v>70</v>
      </c>
      <c r="N3984" s="56" t="n">
        <v>4.8</v>
      </c>
      <c r="O3984" s="56" t="n">
        <f aca="false">IF(D3984=1,"",E3983)</f>
        <v>11.8</v>
      </c>
      <c r="P3984" s="56" t="n">
        <f aca="false">IF(OR(D3984=1,K3983=""),"",K3983)</f>
        <v>1019</v>
      </c>
      <c r="Q3984" s="56" t="n">
        <f aca="false">IF(OR(F3984&lt;&gt;0,AND(I3984&lt;&gt;"",E3984&lt;I3984)),1,0)</f>
        <v>0</v>
      </c>
      <c r="R3984" s="56" t="n">
        <f aca="false">IF(AND(D3984&gt;1,Q3984=0,ISNUMBER(O3984),ISNUMBER(P3984)),IF(Q3983=0,1,0),0)</f>
        <v>1</v>
      </c>
      <c r="S3984" s="56" t="n">
        <f aca="false">R3984*(B3984&gt;=Train_Start)*(B3984&lt;=Train_End)</f>
        <v>0</v>
      </c>
      <c r="T3984" s="84" t="n">
        <f aca="false">IF(AND(ISNUMBER(O3984),ISNUMBER(P3984)),Coef_A+Coef_B1*O3984+Coef_B2*P3984,"")</f>
        <v>13.7211005319343</v>
      </c>
      <c r="U3984" s="84" t="n">
        <f aca="false">IF(AND(R3984=1,ISNUMBER(T3984)),E3984-T3984,"")</f>
        <v>4.77889946806575</v>
      </c>
      <c r="V3984" s="84" t="n">
        <f aca="false">IF(ISNUMBER(T3984),T3984,-99)</f>
        <v>13.7211005319343</v>
      </c>
      <c r="W3984" s="84" t="n">
        <f aca="false">IF(ISNUMBER(U3984),ABS(U3984),"")</f>
        <v>4.77889946806575</v>
      </c>
    </row>
    <row r="3985" customFormat="false" ht="15" hidden="false" customHeight="false" outlineLevel="0" collapsed="false">
      <c r="A3985" s="57" t="n">
        <v>38478</v>
      </c>
      <c r="B3985" s="56" t="n">
        <v>2005</v>
      </c>
      <c r="C3985" s="56" t="n">
        <v>5</v>
      </c>
      <c r="D3985" s="56" t="n">
        <v>6</v>
      </c>
      <c r="E3985" s="56" t="n">
        <v>17.2</v>
      </c>
      <c r="F3985" s="56" t="n">
        <v>0</v>
      </c>
      <c r="G3985" s="56" t="n">
        <v>9.5</v>
      </c>
      <c r="H3985" s="56" t="n">
        <v>0</v>
      </c>
      <c r="I3985" s="56" t="n">
        <v>13.4</v>
      </c>
      <c r="J3985" s="56" t="n">
        <v>0</v>
      </c>
      <c r="K3985" s="56" t="n">
        <v>1017.4</v>
      </c>
      <c r="L3985" s="56" t="n">
        <v>0</v>
      </c>
      <c r="M3985" s="56" t="n">
        <v>60</v>
      </c>
      <c r="N3985" s="56" t="n">
        <v>10.2</v>
      </c>
      <c r="O3985" s="56" t="n">
        <f aca="false">IF(D3985=1,"",E3984)</f>
        <v>18.5</v>
      </c>
      <c r="P3985" s="56" t="n">
        <f aca="false">IF(OR(D3985=1,K3984=""),"",K3984)</f>
        <v>1021.9</v>
      </c>
      <c r="Q3985" s="56" t="n">
        <f aca="false">IF(OR(F3985&lt;&gt;0,AND(I3985&lt;&gt;"",E3985&lt;I3985)),1,0)</f>
        <v>0</v>
      </c>
      <c r="R3985" s="56" t="n">
        <f aca="false">IF(AND(D3985&gt;1,Q3985=0,ISNUMBER(O3985),ISNUMBER(P3985)),IF(Q3984=0,1,0),0)</f>
        <v>1</v>
      </c>
      <c r="S3985" s="56" t="n">
        <f aca="false">R3985*(B3985&gt;=Train_Start)*(B3985&lt;=Train_End)</f>
        <v>0</v>
      </c>
      <c r="T3985" s="84" t="n">
        <f aca="false">IF(AND(ISNUMBER(O3985),ISNUMBER(P3985)),Coef_A+Coef_B1*O3985+Coef_B2*P3985,"")</f>
        <v>19.3016458197586</v>
      </c>
      <c r="U3985" s="84" t="n">
        <f aca="false">IF(AND(R3985=1,ISNUMBER(T3985)),E3985-T3985,"")</f>
        <v>-2.10164581975862</v>
      </c>
      <c r="V3985" s="84" t="n">
        <f aca="false">IF(ISNUMBER(T3985),T3985,-99)</f>
        <v>19.3016458197586</v>
      </c>
      <c r="W3985" s="84" t="n">
        <f aca="false">IF(ISNUMBER(U3985),ABS(U3985),"")</f>
        <v>2.10164581975862</v>
      </c>
    </row>
    <row r="3986" customFormat="false" ht="15" hidden="false" customHeight="false" outlineLevel="0" collapsed="false">
      <c r="A3986" s="57" t="n">
        <v>38479</v>
      </c>
      <c r="B3986" s="56" t="n">
        <v>2005</v>
      </c>
      <c r="C3986" s="56" t="n">
        <v>5</v>
      </c>
      <c r="D3986" s="56" t="n">
        <v>7</v>
      </c>
      <c r="E3986" s="56" t="n">
        <v>14.9</v>
      </c>
      <c r="F3986" s="56" t="n">
        <v>0</v>
      </c>
      <c r="G3986" s="56" t="n">
        <v>9.5</v>
      </c>
      <c r="H3986" s="56" t="n">
        <v>0</v>
      </c>
      <c r="I3986" s="56" t="n">
        <v>12.2</v>
      </c>
      <c r="J3986" s="56" t="n">
        <v>0</v>
      </c>
      <c r="K3986" s="56" t="n">
        <v>1012.6</v>
      </c>
      <c r="L3986" s="56" t="n">
        <v>0</v>
      </c>
      <c r="M3986" s="56" t="n">
        <v>60</v>
      </c>
      <c r="N3986" s="56" t="n">
        <v>10.4</v>
      </c>
      <c r="O3986" s="56" t="n">
        <f aca="false">IF(D3986=1,"",E3985)</f>
        <v>17.2</v>
      </c>
      <c r="P3986" s="56" t="n">
        <f aca="false">IF(OR(D3986=1,K3985=""),"",K3985)</f>
        <v>1017.4</v>
      </c>
      <c r="Q3986" s="56" t="n">
        <f aca="false">IF(OR(F3986&lt;&gt;0,AND(I3986&lt;&gt;"",E3986&lt;I3986)),1,0)</f>
        <v>0</v>
      </c>
      <c r="R3986" s="56" t="n">
        <f aca="false">IF(AND(D3986&gt;1,Q3986=0,ISNUMBER(O3986),ISNUMBER(P3986)),IF(Q3985=0,1,0),0)</f>
        <v>1</v>
      </c>
      <c r="S3986" s="56" t="n">
        <f aca="false">R3986*(B3986&gt;=Train_Start)*(B3986&lt;=Train_End)</f>
        <v>0</v>
      </c>
      <c r="T3986" s="84" t="n">
        <f aca="false">IF(AND(ISNUMBER(O3986),ISNUMBER(P3986)),Coef_A+Coef_B1*O3986+Coef_B2*P3986,"")</f>
        <v>18.0953403429502</v>
      </c>
      <c r="U3986" s="84" t="n">
        <f aca="false">IF(AND(R3986=1,ISNUMBER(T3986)),E3986-T3986,"")</f>
        <v>-3.19534034295022</v>
      </c>
      <c r="V3986" s="84" t="n">
        <f aca="false">IF(ISNUMBER(T3986),T3986,-99)</f>
        <v>18.0953403429502</v>
      </c>
      <c r="W3986" s="84" t="n">
        <f aca="false">IF(ISNUMBER(U3986),ABS(U3986),"")</f>
        <v>3.19534034295022</v>
      </c>
    </row>
    <row r="3987" customFormat="false" ht="15" hidden="false" customHeight="false" outlineLevel="0" collapsed="false">
      <c r="A3987" s="57" t="n">
        <v>38480</v>
      </c>
      <c r="B3987" s="56" t="n">
        <v>2005</v>
      </c>
      <c r="C3987" s="56" t="n">
        <v>5</v>
      </c>
      <c r="D3987" s="56" t="n">
        <v>8</v>
      </c>
      <c r="E3987" s="56" t="n">
        <v>15.2</v>
      </c>
      <c r="F3987" s="56" t="n">
        <v>0</v>
      </c>
      <c r="G3987" s="56" t="n">
        <v>4.5</v>
      </c>
      <c r="H3987" s="56" t="n">
        <v>0</v>
      </c>
      <c r="I3987" s="56" t="n">
        <v>9.8</v>
      </c>
      <c r="J3987" s="56" t="n">
        <v>0</v>
      </c>
      <c r="K3987" s="56" t="n">
        <v>1014.1</v>
      </c>
      <c r="L3987" s="56" t="n">
        <v>0</v>
      </c>
      <c r="M3987" s="56" t="n">
        <v>59</v>
      </c>
      <c r="N3987" s="56" t="n">
        <v>11.6</v>
      </c>
      <c r="O3987" s="56" t="n">
        <f aca="false">IF(D3987=1,"",E3986)</f>
        <v>14.9</v>
      </c>
      <c r="P3987" s="56" t="n">
        <f aca="false">IF(OR(D3987=1,K3986=""),"",K3986)</f>
        <v>1012.6</v>
      </c>
      <c r="Q3987" s="56" t="n">
        <f aca="false">IF(OR(F3987&lt;&gt;0,AND(I3987&lt;&gt;"",E3987&lt;I3987)),1,0)</f>
        <v>0</v>
      </c>
      <c r="R3987" s="56" t="n">
        <f aca="false">IF(AND(D3987&gt;1,Q3987=0,ISNUMBER(O3987),ISNUMBER(P3987)),IF(Q3986=0,1,0),0)</f>
        <v>1</v>
      </c>
      <c r="S3987" s="56" t="n">
        <f aca="false">R3987*(B3987&gt;=Train_Start)*(B3987&lt;=Train_End)</f>
        <v>0</v>
      </c>
      <c r="T3987" s="84" t="n">
        <f aca="false">IF(AND(ISNUMBER(O3987),ISNUMBER(P3987)),Coef_A+Coef_B1*O3987+Coef_B2*P3987,"")</f>
        <v>16.060284704709</v>
      </c>
      <c r="U3987" s="84" t="n">
        <f aca="false">IF(AND(R3987=1,ISNUMBER(T3987)),E3987-T3987,"")</f>
        <v>-0.860284704708956</v>
      </c>
      <c r="V3987" s="84" t="n">
        <f aca="false">IF(ISNUMBER(T3987),T3987,-99)</f>
        <v>16.060284704709</v>
      </c>
      <c r="W3987" s="84" t="n">
        <f aca="false">IF(ISNUMBER(U3987),ABS(U3987),"")</f>
        <v>0.860284704708956</v>
      </c>
    </row>
    <row r="3988" customFormat="false" ht="15" hidden="false" customHeight="false" outlineLevel="0" collapsed="false">
      <c r="A3988" s="57" t="n">
        <v>38481</v>
      </c>
      <c r="B3988" s="56" t="n">
        <v>2005</v>
      </c>
      <c r="C3988" s="56" t="n">
        <v>5</v>
      </c>
      <c r="D3988" s="56" t="n">
        <v>9</v>
      </c>
      <c r="E3988" s="56" t="n">
        <v>13.1</v>
      </c>
      <c r="F3988" s="56" t="n">
        <v>0</v>
      </c>
      <c r="G3988" s="56" t="n">
        <v>4.4</v>
      </c>
      <c r="H3988" s="56" t="n">
        <v>0</v>
      </c>
      <c r="I3988" s="56" t="n">
        <v>8.8</v>
      </c>
      <c r="J3988" s="56" t="n">
        <v>0</v>
      </c>
      <c r="K3988" s="56" t="n">
        <v>1016.5</v>
      </c>
      <c r="L3988" s="56" t="n">
        <v>0</v>
      </c>
      <c r="M3988" s="56" t="n">
        <v>63</v>
      </c>
      <c r="N3988" s="56" t="n">
        <v>7.4</v>
      </c>
      <c r="O3988" s="56" t="n">
        <f aca="false">IF(D3988=1,"",E3987)</f>
        <v>15.2</v>
      </c>
      <c r="P3988" s="56" t="n">
        <f aca="false">IF(OR(D3988=1,K3987=""),"",K3987)</f>
        <v>1014.1</v>
      </c>
      <c r="Q3988" s="56" t="n">
        <f aca="false">IF(OR(F3988&lt;&gt;0,AND(I3988&lt;&gt;"",E3988&lt;I3988)),1,0)</f>
        <v>0</v>
      </c>
      <c r="R3988" s="56" t="n">
        <f aca="false">IF(AND(D3988&gt;1,Q3988=0,ISNUMBER(O3988),ISNUMBER(P3988)),IF(Q3987=0,1,0),0)</f>
        <v>1</v>
      </c>
      <c r="S3988" s="56" t="n">
        <f aca="false">R3988*(B3988&gt;=Train_Start)*(B3988&lt;=Train_End)</f>
        <v>0</v>
      </c>
      <c r="T3988" s="84" t="n">
        <f aca="false">IF(AND(ISNUMBER(O3988),ISNUMBER(P3988)),Coef_A+Coef_B1*O3988+Coef_B2*P3988,"")</f>
        <v>16.3531413045727</v>
      </c>
      <c r="U3988" s="84" t="n">
        <f aca="false">IF(AND(R3988=1,ISNUMBER(T3988)),E3988-T3988,"")</f>
        <v>-3.25314130457274</v>
      </c>
      <c r="V3988" s="84" t="n">
        <f aca="false">IF(ISNUMBER(T3988),T3988,-99)</f>
        <v>16.3531413045727</v>
      </c>
      <c r="W3988" s="84" t="n">
        <f aca="false">IF(ISNUMBER(U3988),ABS(U3988),"")</f>
        <v>3.25314130457274</v>
      </c>
    </row>
    <row r="3989" customFormat="false" ht="15" hidden="false" customHeight="false" outlineLevel="0" collapsed="false">
      <c r="A3989" s="57" t="n">
        <v>38482</v>
      </c>
      <c r="B3989" s="56" t="n">
        <v>2005</v>
      </c>
      <c r="C3989" s="56" t="n">
        <v>5</v>
      </c>
      <c r="D3989" s="56" t="n">
        <v>10</v>
      </c>
      <c r="E3989" s="56" t="n">
        <v>12.9</v>
      </c>
      <c r="F3989" s="56" t="n">
        <v>0</v>
      </c>
      <c r="G3989" s="56" t="n">
        <v>3.8</v>
      </c>
      <c r="H3989" s="56" t="n">
        <v>0</v>
      </c>
      <c r="I3989" s="56" t="n">
        <v>8.4</v>
      </c>
      <c r="J3989" s="56" t="n">
        <v>0</v>
      </c>
      <c r="K3989" s="56" t="n">
        <v>1022.8</v>
      </c>
      <c r="L3989" s="56" t="n">
        <v>0</v>
      </c>
      <c r="M3989" s="56" t="n">
        <v>68</v>
      </c>
      <c r="N3989" s="56" t="n">
        <v>7.9</v>
      </c>
      <c r="O3989" s="56" t="n">
        <f aca="false">IF(D3989=1,"",E3988)</f>
        <v>13.1</v>
      </c>
      <c r="P3989" s="56" t="n">
        <f aca="false">IF(OR(D3989=1,K3988=""),"",K3988)</f>
        <v>1016.5</v>
      </c>
      <c r="Q3989" s="56" t="n">
        <f aca="false">IF(OR(F3989&lt;&gt;0,AND(I3989&lt;&gt;"",E3989&lt;I3989)),1,0)</f>
        <v>0</v>
      </c>
      <c r="R3989" s="56" t="n">
        <f aca="false">IF(AND(D3989&gt;1,Q3989=0,ISNUMBER(O3989),ISNUMBER(P3989)),IF(Q3988=0,1,0),0)</f>
        <v>1</v>
      </c>
      <c r="S3989" s="56" t="n">
        <f aca="false">R3989*(B3989&gt;=Train_Start)*(B3989&lt;=Train_End)</f>
        <v>0</v>
      </c>
      <c r="T3989" s="84" t="n">
        <f aca="false">IF(AND(ISNUMBER(O3989),ISNUMBER(P3989)),Coef_A+Coef_B1*O3989+Coef_B2*P3989,"")</f>
        <v>14.7078167463047</v>
      </c>
      <c r="U3989" s="84" t="n">
        <f aca="false">IF(AND(R3989=1,ISNUMBER(T3989)),E3989-T3989,"")</f>
        <v>-1.80781674630473</v>
      </c>
      <c r="V3989" s="84" t="n">
        <f aca="false">IF(ISNUMBER(T3989),T3989,-99)</f>
        <v>14.7078167463047</v>
      </c>
      <c r="W3989" s="84" t="n">
        <f aca="false">IF(ISNUMBER(U3989),ABS(U3989),"")</f>
        <v>1.80781674630473</v>
      </c>
    </row>
    <row r="3990" customFormat="false" ht="15" hidden="false" customHeight="false" outlineLevel="0" collapsed="false">
      <c r="A3990" s="57" t="n">
        <v>38483</v>
      </c>
      <c r="B3990" s="56" t="n">
        <v>2005</v>
      </c>
      <c r="C3990" s="56" t="n">
        <v>5</v>
      </c>
      <c r="D3990" s="56" t="n">
        <v>11</v>
      </c>
      <c r="E3990" s="56" t="n">
        <v>13.1</v>
      </c>
      <c r="F3990" s="56" t="n">
        <v>0</v>
      </c>
      <c r="G3990" s="56" t="n">
        <v>2.5</v>
      </c>
      <c r="H3990" s="56" t="n">
        <v>0</v>
      </c>
      <c r="I3990" s="56" t="n">
        <v>7.8</v>
      </c>
      <c r="J3990" s="56" t="n">
        <v>0</v>
      </c>
      <c r="K3990" s="56" t="n">
        <v>1026.2</v>
      </c>
      <c r="L3990" s="56" t="n">
        <v>0</v>
      </c>
      <c r="M3990" s="56" t="n">
        <v>65</v>
      </c>
      <c r="N3990" s="56" t="n">
        <v>7.9</v>
      </c>
      <c r="O3990" s="56" t="n">
        <f aca="false">IF(D3990=1,"",E3989)</f>
        <v>12.9</v>
      </c>
      <c r="P3990" s="56" t="n">
        <f aca="false">IF(OR(D3990=1,K3989=""),"",K3989)</f>
        <v>1022.8</v>
      </c>
      <c r="Q3990" s="56" t="n">
        <f aca="false">IF(OR(F3990&lt;&gt;0,AND(I3990&lt;&gt;"",E3990&lt;I3990)),1,0)</f>
        <v>0</v>
      </c>
      <c r="R3990" s="56" t="n">
        <f aca="false">IF(AND(D3990&gt;1,Q3990=0,ISNUMBER(O3990),ISNUMBER(P3990)),IF(Q3989=0,1,0),0)</f>
        <v>1</v>
      </c>
      <c r="S3990" s="56" t="n">
        <f aca="false">R3990*(B3990&gt;=Train_Start)*(B3990&lt;=Train_End)</f>
        <v>0</v>
      </c>
      <c r="T3990" s="84" t="n">
        <f aca="false">IF(AND(ISNUMBER(O3990),ISNUMBER(P3990)),Coef_A+Coef_B1*O3990+Coef_B2*P3990,"")</f>
        <v>14.7415792438903</v>
      </c>
      <c r="U3990" s="84" t="n">
        <f aca="false">IF(AND(R3990=1,ISNUMBER(T3990)),E3990-T3990,"")</f>
        <v>-1.64157924389033</v>
      </c>
      <c r="V3990" s="84" t="n">
        <f aca="false">IF(ISNUMBER(T3990),T3990,-99)</f>
        <v>14.7415792438903</v>
      </c>
      <c r="W3990" s="84" t="n">
        <f aca="false">IF(ISNUMBER(U3990),ABS(U3990),"")</f>
        <v>1.64157924389033</v>
      </c>
    </row>
    <row r="3991" customFormat="false" ht="15" hidden="false" customHeight="false" outlineLevel="0" collapsed="false">
      <c r="A3991" s="57" t="n">
        <v>38484</v>
      </c>
      <c r="B3991" s="56" t="n">
        <v>2005</v>
      </c>
      <c r="C3991" s="56" t="n">
        <v>5</v>
      </c>
      <c r="D3991" s="56" t="n">
        <v>12</v>
      </c>
      <c r="E3991" s="56" t="n">
        <v>15.3</v>
      </c>
      <c r="F3991" s="56" t="n">
        <v>0</v>
      </c>
      <c r="G3991" s="56" t="n">
        <v>3.9</v>
      </c>
      <c r="H3991" s="56" t="n">
        <v>0</v>
      </c>
      <c r="I3991" s="56" t="n">
        <v>9.6</v>
      </c>
      <c r="J3991" s="56" t="n">
        <v>0</v>
      </c>
      <c r="K3991" s="56" t="n">
        <v>1022.5</v>
      </c>
      <c r="L3991" s="56" t="n">
        <v>0</v>
      </c>
      <c r="M3991" s="56" t="n">
        <v>58</v>
      </c>
      <c r="N3991" s="56" t="n">
        <v>12.8</v>
      </c>
      <c r="O3991" s="56" t="n">
        <f aca="false">IF(D3991=1,"",E3990)</f>
        <v>13.1</v>
      </c>
      <c r="P3991" s="56" t="n">
        <f aca="false">IF(OR(D3991=1,K3990=""),"",K3990)</f>
        <v>1026.2</v>
      </c>
      <c r="Q3991" s="56" t="n">
        <f aca="false">IF(OR(F3991&lt;&gt;0,AND(I3991&lt;&gt;"",E3991&lt;I3991)),1,0)</f>
        <v>0</v>
      </c>
      <c r="R3991" s="56" t="n">
        <f aca="false">IF(AND(D3991&gt;1,Q3991=0,ISNUMBER(O3991),ISNUMBER(P3991)),IF(Q3990=0,1,0),0)</f>
        <v>1</v>
      </c>
      <c r="S3991" s="56" t="n">
        <f aca="false">R3991*(B3991&gt;=Train_Start)*(B3991&lt;=Train_End)</f>
        <v>0</v>
      </c>
      <c r="T3991" s="84" t="n">
        <f aca="false">IF(AND(ISNUMBER(O3991),ISNUMBER(P3991)),Coef_A+Coef_B1*O3991+Coef_B2*P3991,"")</f>
        <v>15.0121047242544</v>
      </c>
      <c r="U3991" s="84" t="n">
        <f aca="false">IF(AND(R3991=1,ISNUMBER(T3991)),E3991-T3991,"")</f>
        <v>0.287895275745573</v>
      </c>
      <c r="V3991" s="84" t="n">
        <f aca="false">IF(ISNUMBER(T3991),T3991,-99)</f>
        <v>15.0121047242544</v>
      </c>
      <c r="W3991" s="84" t="n">
        <f aca="false">IF(ISNUMBER(U3991),ABS(U3991),"")</f>
        <v>0.287895275745573</v>
      </c>
    </row>
    <row r="3992" customFormat="false" ht="15" hidden="false" customHeight="false" outlineLevel="0" collapsed="false">
      <c r="A3992" s="57" t="n">
        <v>38485</v>
      </c>
      <c r="B3992" s="56" t="n">
        <v>2005</v>
      </c>
      <c r="C3992" s="56" t="n">
        <v>5</v>
      </c>
      <c r="D3992" s="56" t="n">
        <v>13</v>
      </c>
      <c r="E3992" s="56" t="n">
        <v>16.9</v>
      </c>
      <c r="F3992" s="56" t="n">
        <v>0</v>
      </c>
      <c r="G3992" s="56" t="n">
        <v>7.6</v>
      </c>
      <c r="H3992" s="56" t="n">
        <v>0</v>
      </c>
      <c r="I3992" s="56" t="n">
        <v>12.2</v>
      </c>
      <c r="J3992" s="56" t="n">
        <v>0</v>
      </c>
      <c r="K3992" s="56" t="n">
        <v>1019.3</v>
      </c>
      <c r="L3992" s="56" t="n">
        <v>0</v>
      </c>
      <c r="M3992" s="56" t="n">
        <v>63</v>
      </c>
      <c r="N3992" s="56" t="n">
        <v>6.9</v>
      </c>
      <c r="O3992" s="56" t="n">
        <f aca="false">IF(D3992=1,"",E3991)</f>
        <v>15.3</v>
      </c>
      <c r="P3992" s="56" t="n">
        <f aca="false">IF(OR(D3992=1,K3991=""),"",K3991)</f>
        <v>1022.5</v>
      </c>
      <c r="Q3992" s="56" t="n">
        <f aca="false">IF(OR(F3992&lt;&gt;0,AND(I3992&lt;&gt;"",E3992&lt;I3992)),1,0)</f>
        <v>0</v>
      </c>
      <c r="R3992" s="56" t="n">
        <f aca="false">IF(AND(D3992&gt;1,Q3992=0,ISNUMBER(O3992),ISNUMBER(P3992)),IF(Q3991=0,1,0),0)</f>
        <v>1</v>
      </c>
      <c r="S3992" s="56" t="n">
        <f aca="false">R3992*(B3992&gt;=Train_Start)*(B3992&lt;=Train_End)</f>
        <v>0</v>
      </c>
      <c r="T3992" s="84" t="n">
        <f aca="false">IF(AND(ISNUMBER(O3992),ISNUMBER(P3992)),Coef_A+Coef_B1*O3992+Coef_B2*P3992,"")</f>
        <v>16.6985823388025</v>
      </c>
      <c r="U3992" s="84" t="n">
        <f aca="false">IF(AND(R3992=1,ISNUMBER(T3992)),E3992-T3992,"")</f>
        <v>0.201417661197482</v>
      </c>
      <c r="V3992" s="84" t="n">
        <f aca="false">IF(ISNUMBER(T3992),T3992,-99)</f>
        <v>16.6985823388025</v>
      </c>
      <c r="W3992" s="84" t="n">
        <f aca="false">IF(ISNUMBER(U3992),ABS(U3992),"")</f>
        <v>0.201417661197482</v>
      </c>
    </row>
    <row r="3993" customFormat="false" ht="15" hidden="false" customHeight="false" outlineLevel="0" collapsed="false">
      <c r="A3993" s="57" t="n">
        <v>38486</v>
      </c>
      <c r="B3993" s="56" t="n">
        <v>2005</v>
      </c>
      <c r="C3993" s="56" t="n">
        <v>5</v>
      </c>
      <c r="D3993" s="56" t="n">
        <v>14</v>
      </c>
      <c r="E3993" s="56" t="n">
        <v>15.2</v>
      </c>
      <c r="F3993" s="56" t="n">
        <v>0</v>
      </c>
      <c r="G3993" s="56" t="n">
        <v>6.6</v>
      </c>
      <c r="H3993" s="56" t="n">
        <v>0</v>
      </c>
      <c r="I3993" s="56" t="n">
        <v>10.9</v>
      </c>
      <c r="J3993" s="56" t="n">
        <v>0</v>
      </c>
      <c r="K3993" s="56" t="n">
        <v>1018.2</v>
      </c>
      <c r="L3993" s="56" t="n">
        <v>0</v>
      </c>
      <c r="M3993" s="56" t="n">
        <v>63</v>
      </c>
      <c r="N3993" s="56" t="n">
        <v>1.5</v>
      </c>
      <c r="O3993" s="56" t="n">
        <f aca="false">IF(D3993=1,"",E3992)</f>
        <v>16.9</v>
      </c>
      <c r="P3993" s="56" t="n">
        <f aca="false">IF(OR(D3993=1,K3992=""),"",K3992)</f>
        <v>1019.3</v>
      </c>
      <c r="Q3993" s="56" t="n">
        <f aca="false">IF(OR(F3993&lt;&gt;0,AND(I3993&lt;&gt;"",E3993&lt;I3993)),1,0)</f>
        <v>0</v>
      </c>
      <c r="R3993" s="56" t="n">
        <f aca="false">IF(AND(D3993&gt;1,Q3993=0,ISNUMBER(O3993),ISNUMBER(P3993)),IF(Q3992=0,1,0),0)</f>
        <v>1</v>
      </c>
      <c r="S3993" s="56" t="n">
        <f aca="false">R3993*(B3993&gt;=Train_Start)*(B3993&lt;=Train_End)</f>
        <v>0</v>
      </c>
      <c r="T3993" s="84" t="n">
        <f aca="false">IF(AND(ISNUMBER(O3993),ISNUMBER(P3993)),Coef_A+Coef_B1*O3993+Coef_B2*P3993,"")</f>
        <v>17.909141384842</v>
      </c>
      <c r="U3993" s="84" t="n">
        <f aca="false">IF(AND(R3993=1,ISNUMBER(T3993)),E3993-T3993,"")</f>
        <v>-2.709141384842</v>
      </c>
      <c r="V3993" s="84" t="n">
        <f aca="false">IF(ISNUMBER(T3993),T3993,-99)</f>
        <v>17.909141384842</v>
      </c>
      <c r="W3993" s="84" t="n">
        <f aca="false">IF(ISNUMBER(U3993),ABS(U3993),"")</f>
        <v>2.709141384842</v>
      </c>
    </row>
    <row r="3994" customFormat="false" ht="15" hidden="false" customHeight="false" outlineLevel="0" collapsed="false">
      <c r="A3994" s="57" t="n">
        <v>38487</v>
      </c>
      <c r="B3994" s="56" t="n">
        <v>2005</v>
      </c>
      <c r="C3994" s="56" t="n">
        <v>5</v>
      </c>
      <c r="D3994" s="56" t="n">
        <v>15</v>
      </c>
      <c r="E3994" s="56" t="n">
        <v>18.4</v>
      </c>
      <c r="F3994" s="56" t="n">
        <v>0</v>
      </c>
      <c r="G3994" s="56" t="n">
        <v>2.7</v>
      </c>
      <c r="H3994" s="56" t="n">
        <v>0</v>
      </c>
      <c r="I3994" s="56" t="n">
        <v>10.6</v>
      </c>
      <c r="J3994" s="56" t="n">
        <v>0</v>
      </c>
      <c r="K3994" s="56" t="n">
        <v>1018.3</v>
      </c>
      <c r="L3994" s="56" t="n">
        <v>0</v>
      </c>
      <c r="M3994" s="56" t="n">
        <v>62</v>
      </c>
      <c r="N3994" s="56" t="n">
        <v>12.1</v>
      </c>
      <c r="O3994" s="56" t="n">
        <f aca="false">IF(D3994=1,"",E3993)</f>
        <v>15.2</v>
      </c>
      <c r="P3994" s="56" t="n">
        <f aca="false">IF(OR(D3994=1,K3993=""),"",K3993)</f>
        <v>1018.2</v>
      </c>
      <c r="Q3994" s="56" t="n">
        <f aca="false">IF(OR(F3994&lt;&gt;0,AND(I3994&lt;&gt;"",E3994&lt;I3994)),1,0)</f>
        <v>0</v>
      </c>
      <c r="R3994" s="56" t="n">
        <f aca="false">IF(AND(D3994&gt;1,Q3994=0,ISNUMBER(O3994),ISNUMBER(P3994)),IF(Q3993=0,1,0),0)</f>
        <v>1</v>
      </c>
      <c r="S3994" s="56" t="n">
        <f aca="false">R3994*(B3994&gt;=Train_Start)*(B3994&lt;=Train_End)</f>
        <v>0</v>
      </c>
      <c r="T3994" s="84" t="n">
        <f aca="false">IF(AND(ISNUMBER(O3994),ISNUMBER(P3994)),Coef_A+Coef_B1*O3994+Coef_B2*P3994,"")</f>
        <v>16.4817578725721</v>
      </c>
      <c r="U3994" s="84" t="n">
        <f aca="false">IF(AND(R3994=1,ISNUMBER(T3994)),E3994-T3994,"")</f>
        <v>1.9182421274279</v>
      </c>
      <c r="V3994" s="84" t="n">
        <f aca="false">IF(ISNUMBER(T3994),T3994,-99)</f>
        <v>16.4817578725721</v>
      </c>
      <c r="W3994" s="84" t="n">
        <f aca="false">IF(ISNUMBER(U3994),ABS(U3994),"")</f>
        <v>1.9182421274279</v>
      </c>
    </row>
    <row r="3995" customFormat="false" ht="15" hidden="false" customHeight="false" outlineLevel="0" collapsed="false">
      <c r="A3995" s="57" t="n">
        <v>38488</v>
      </c>
      <c r="B3995" s="56" t="n">
        <v>2005</v>
      </c>
      <c r="C3995" s="56" t="n">
        <v>5</v>
      </c>
      <c r="D3995" s="56" t="n">
        <v>16</v>
      </c>
      <c r="E3995" s="56" t="n">
        <v>16.7</v>
      </c>
      <c r="F3995" s="56" t="n">
        <v>0</v>
      </c>
      <c r="G3995" s="56" t="n">
        <v>7.9</v>
      </c>
      <c r="H3995" s="56" t="n">
        <v>0</v>
      </c>
      <c r="I3995" s="56" t="n">
        <v>12.3</v>
      </c>
      <c r="J3995" s="56" t="n">
        <v>0</v>
      </c>
      <c r="K3995" s="56" t="n">
        <v>1016.6</v>
      </c>
      <c r="L3995" s="56" t="n">
        <v>0</v>
      </c>
      <c r="M3995" s="56" t="n">
        <v>74</v>
      </c>
      <c r="N3995" s="56" t="n">
        <v>1.5</v>
      </c>
      <c r="O3995" s="56" t="n">
        <f aca="false">IF(D3995=1,"",E3994)</f>
        <v>18.4</v>
      </c>
      <c r="P3995" s="56" t="n">
        <f aca="false">IF(OR(D3995=1,K3994=""),"",K3994)</f>
        <v>1018.3</v>
      </c>
      <c r="Q3995" s="56" t="n">
        <f aca="false">IF(OR(F3995&lt;&gt;0,AND(I3995&lt;&gt;"",E3995&lt;I3995)),1,0)</f>
        <v>0</v>
      </c>
      <c r="R3995" s="56" t="n">
        <f aca="false">IF(AND(D3995&gt;1,Q3995=0,ISNUMBER(O3995),ISNUMBER(P3995)),IF(Q3994=0,1,0),0)</f>
        <v>1</v>
      </c>
      <c r="S3995" s="56" t="n">
        <f aca="false">R3995*(B3995&gt;=Train_Start)*(B3995&lt;=Train_End)</f>
        <v>0</v>
      </c>
      <c r="T3995" s="84" t="n">
        <f aca="false">IF(AND(ISNUMBER(O3995),ISNUMBER(P3995)),Coef_A+Coef_B1*O3995+Coef_B2*P3995,"")</f>
        <v>19.106780279772</v>
      </c>
      <c r="U3995" s="84" t="n">
        <f aca="false">IF(AND(R3995=1,ISNUMBER(T3995)),E3995-T3995,"")</f>
        <v>-2.406780279772</v>
      </c>
      <c r="V3995" s="84" t="n">
        <f aca="false">IF(ISNUMBER(T3995),T3995,-99)</f>
        <v>19.106780279772</v>
      </c>
      <c r="W3995" s="84" t="n">
        <f aca="false">IF(ISNUMBER(U3995),ABS(U3995),"")</f>
        <v>2.406780279772</v>
      </c>
    </row>
    <row r="3996" customFormat="false" ht="15" hidden="false" customHeight="false" outlineLevel="0" collapsed="false">
      <c r="A3996" s="57" t="n">
        <v>38489</v>
      </c>
      <c r="B3996" s="56" t="n">
        <v>2005</v>
      </c>
      <c r="C3996" s="56" t="n">
        <v>5</v>
      </c>
      <c r="D3996" s="56" t="n">
        <v>17</v>
      </c>
      <c r="E3996" s="56" t="n">
        <v>12.9</v>
      </c>
      <c r="F3996" s="56" t="n">
        <v>0</v>
      </c>
      <c r="G3996" s="56" t="n">
        <v>4.5</v>
      </c>
      <c r="H3996" s="56" t="n">
        <v>0</v>
      </c>
      <c r="I3996" s="56" t="n">
        <v>8.7</v>
      </c>
      <c r="J3996" s="56" t="n">
        <v>0</v>
      </c>
      <c r="K3996" s="56" t="n">
        <v>1020.8</v>
      </c>
      <c r="L3996" s="56" t="n">
        <v>0</v>
      </c>
      <c r="M3996" s="56" t="n">
        <v>54</v>
      </c>
      <c r="N3996" s="56" t="n">
        <v>9.4</v>
      </c>
      <c r="O3996" s="56" t="n">
        <f aca="false">IF(D3996=1,"",E3995)</f>
        <v>16.7</v>
      </c>
      <c r="P3996" s="56" t="n">
        <f aca="false">IF(OR(D3996=1,K3995=""),"",K3995)</f>
        <v>1016.6</v>
      </c>
      <c r="Q3996" s="56" t="n">
        <f aca="false">IF(OR(F3996&lt;&gt;0,AND(I3996&lt;&gt;"",E3996&lt;I3996)),1,0)</f>
        <v>0</v>
      </c>
      <c r="R3996" s="56" t="n">
        <f aca="false">IF(AND(D3996&gt;1,Q3996=0,ISNUMBER(O3996),ISNUMBER(P3996)),IF(Q3995=0,1,0),0)</f>
        <v>1</v>
      </c>
      <c r="S3996" s="56" t="n">
        <f aca="false">R3996*(B3996&gt;=Train_Start)*(B3996&lt;=Train_End)</f>
        <v>0</v>
      </c>
      <c r="T3996" s="84" t="n">
        <f aca="false">IF(AND(ISNUMBER(O3996),ISNUMBER(P3996)),Coef_A+Coef_B1*O3996+Coef_B2*P3996,"")</f>
        <v>17.6605748307217</v>
      </c>
      <c r="U3996" s="84" t="n">
        <f aca="false">IF(AND(R3996=1,ISNUMBER(T3996)),E3996-T3996,"")</f>
        <v>-4.7605748307217</v>
      </c>
      <c r="V3996" s="84" t="n">
        <f aca="false">IF(ISNUMBER(T3996),T3996,-99)</f>
        <v>17.6605748307217</v>
      </c>
      <c r="W3996" s="84" t="n">
        <f aca="false">IF(ISNUMBER(U3996),ABS(U3996),"")</f>
        <v>4.7605748307217</v>
      </c>
    </row>
    <row r="3997" customFormat="false" ht="15" hidden="false" customHeight="false" outlineLevel="0" collapsed="false">
      <c r="A3997" s="57" t="n">
        <v>38490</v>
      </c>
      <c r="B3997" s="56" t="n">
        <v>2005</v>
      </c>
      <c r="C3997" s="56" t="n">
        <v>5</v>
      </c>
      <c r="D3997" s="56" t="n">
        <v>18</v>
      </c>
      <c r="E3997" s="56" t="n">
        <v>15.6</v>
      </c>
      <c r="F3997" s="56" t="n">
        <v>0</v>
      </c>
      <c r="G3997" s="56" t="n">
        <v>4.9</v>
      </c>
      <c r="H3997" s="56" t="n">
        <v>0</v>
      </c>
      <c r="I3997" s="56" t="n">
        <v>10.2</v>
      </c>
      <c r="J3997" s="56" t="n">
        <v>0</v>
      </c>
      <c r="K3997" s="56" t="n">
        <v>1021.3</v>
      </c>
      <c r="L3997" s="56" t="n">
        <v>0</v>
      </c>
      <c r="M3997" s="56" t="n">
        <v>54</v>
      </c>
      <c r="N3997" s="56" t="n">
        <v>4.1</v>
      </c>
      <c r="O3997" s="56" t="n">
        <f aca="false">IF(D3997=1,"",E3996)</f>
        <v>12.9</v>
      </c>
      <c r="P3997" s="56" t="n">
        <f aca="false">IF(OR(D3997=1,K3996=""),"",K3996)</f>
        <v>1020.8</v>
      </c>
      <c r="Q3997" s="56" t="n">
        <f aca="false">IF(OR(F3997&lt;&gt;0,AND(I3997&lt;&gt;"",E3997&lt;I3997)),1,0)</f>
        <v>0</v>
      </c>
      <c r="R3997" s="56" t="n">
        <f aca="false">IF(AND(D3997&gt;1,Q3997=0,ISNUMBER(O3997),ISNUMBER(P3997)),IF(Q3996=0,1,0),0)</f>
        <v>1</v>
      </c>
      <c r="S3997" s="56" t="n">
        <f aca="false">R3997*(B3997&gt;=Train_Start)*(B3997&lt;=Train_End)</f>
        <v>0</v>
      </c>
      <c r="T3997" s="84" t="n">
        <f aca="false">IF(AND(ISNUMBER(O3997),ISNUMBER(P3997)),Coef_A+Coef_B1*O3997+Coef_B2*P3997,"")</f>
        <v>14.6788394546223</v>
      </c>
      <c r="U3997" s="84" t="n">
        <f aca="false">IF(AND(R3997=1,ISNUMBER(T3997)),E3997-T3997,"")</f>
        <v>0.921160545377651</v>
      </c>
      <c r="V3997" s="84" t="n">
        <f aca="false">IF(ISNUMBER(T3997),T3997,-99)</f>
        <v>14.6788394546223</v>
      </c>
      <c r="W3997" s="84" t="n">
        <f aca="false">IF(ISNUMBER(U3997),ABS(U3997),"")</f>
        <v>0.921160545377651</v>
      </c>
    </row>
    <row r="3998" customFormat="false" ht="15" hidden="false" customHeight="false" outlineLevel="0" collapsed="false">
      <c r="A3998" s="57" t="n">
        <v>38491</v>
      </c>
      <c r="B3998" s="56" t="n">
        <v>2005</v>
      </c>
      <c r="C3998" s="56" t="n">
        <v>5</v>
      </c>
      <c r="D3998" s="56" t="n">
        <v>19</v>
      </c>
      <c r="E3998" s="56" t="n">
        <v>14.6</v>
      </c>
      <c r="F3998" s="56" t="n">
        <v>0</v>
      </c>
      <c r="G3998" s="56" t="n">
        <v>9.5</v>
      </c>
      <c r="H3998" s="56" t="n">
        <v>0</v>
      </c>
      <c r="I3998" s="56" t="n">
        <v>12</v>
      </c>
      <c r="J3998" s="56" t="n">
        <v>0</v>
      </c>
      <c r="K3998" s="56" t="n">
        <v>1015.4</v>
      </c>
      <c r="L3998" s="56" t="n">
        <v>0</v>
      </c>
      <c r="M3998" s="56" t="n">
        <v>85</v>
      </c>
      <c r="N3998" s="56" t="n">
        <v>0.1</v>
      </c>
      <c r="O3998" s="56" t="n">
        <f aca="false">IF(D3998=1,"",E3997)</f>
        <v>15.6</v>
      </c>
      <c r="P3998" s="56" t="n">
        <f aca="false">IF(OR(D3998=1,K3997=""),"",K3997)</f>
        <v>1021.3</v>
      </c>
      <c r="Q3998" s="56" t="n">
        <f aca="false">IF(OR(F3998&lt;&gt;0,AND(I3998&lt;&gt;"",E3998&lt;I3998)),1,0)</f>
        <v>0</v>
      </c>
      <c r="R3998" s="56" t="n">
        <f aca="false">IF(AND(D3998&gt;1,Q3998=0,ISNUMBER(O3998),ISNUMBER(P3998)),IF(Q3997=0,1,0),0)</f>
        <v>1</v>
      </c>
      <c r="S3998" s="56" t="n">
        <f aca="false">R3998*(B3998&gt;=Train_Start)*(B3998&lt;=Train_End)</f>
        <v>0</v>
      </c>
      <c r="T3998" s="84" t="n">
        <f aca="false">IF(AND(ISNUMBER(O3998),ISNUMBER(P3998)),Coef_A+Coef_B1*O3998+Coef_B2*P3998,"")</f>
        <v>16.9067402231545</v>
      </c>
      <c r="U3998" s="84" t="n">
        <f aca="false">IF(AND(R3998=1,ISNUMBER(T3998)),E3998-T3998,"")</f>
        <v>-2.30674022315452</v>
      </c>
      <c r="V3998" s="84" t="n">
        <f aca="false">IF(ISNUMBER(T3998),T3998,-99)</f>
        <v>16.9067402231545</v>
      </c>
      <c r="W3998" s="84" t="n">
        <f aca="false">IF(ISNUMBER(U3998),ABS(U3998),"")</f>
        <v>2.30674022315452</v>
      </c>
    </row>
    <row r="3999" customFormat="false" ht="15" hidden="false" customHeight="false" outlineLevel="0" collapsed="false">
      <c r="A3999" s="57" t="n">
        <v>38492</v>
      </c>
      <c r="B3999" s="56" t="n">
        <v>2005</v>
      </c>
      <c r="C3999" s="56" t="n">
        <v>5</v>
      </c>
      <c r="D3999" s="56" t="n">
        <v>20</v>
      </c>
      <c r="E3999" s="56" t="n">
        <v>19.1</v>
      </c>
      <c r="F3999" s="56" t="n">
        <v>0</v>
      </c>
      <c r="G3999" s="56" t="n">
        <v>12.4</v>
      </c>
      <c r="H3999" s="56" t="n">
        <v>0</v>
      </c>
      <c r="I3999" s="56" t="n">
        <v>15.9</v>
      </c>
      <c r="J3999" s="56" t="n">
        <v>0</v>
      </c>
      <c r="K3999" s="56" t="n">
        <v>1010.6</v>
      </c>
      <c r="L3999" s="56" t="n">
        <v>0</v>
      </c>
      <c r="M3999" s="56" t="n">
        <v>78</v>
      </c>
      <c r="N3999" s="56" t="n">
        <v>5.6</v>
      </c>
      <c r="O3999" s="56" t="n">
        <f aca="false">IF(D3999=1,"",E3998)</f>
        <v>14.6</v>
      </c>
      <c r="P3999" s="56" t="n">
        <f aca="false">IF(OR(D3999=1,K3998=""),"",K3998)</f>
        <v>1015.4</v>
      </c>
      <c r="Q3999" s="56" t="n">
        <f aca="false">IF(OR(F3999&lt;&gt;0,AND(I3999&lt;&gt;"",E3999&lt;I3999)),1,0)</f>
        <v>0</v>
      </c>
      <c r="R3999" s="56" t="n">
        <f aca="false">IF(AND(D3999&gt;1,Q3999=0,ISNUMBER(O3999),ISNUMBER(P3999)),IF(Q3998=0,1,0),0)</f>
        <v>1</v>
      </c>
      <c r="S3999" s="56" t="n">
        <f aca="false">R3999*(B3999&gt;=Train_Start)*(B3999&lt;=Train_End)</f>
        <v>0</v>
      </c>
      <c r="T3999" s="84" t="n">
        <f aca="false">IF(AND(ISNUMBER(O3999),ISNUMBER(P3999)),Coef_A+Coef_B1*O3999+Coef_B2*P3999,"")</f>
        <v>15.9023186517713</v>
      </c>
      <c r="U3999" s="84" t="n">
        <f aca="false">IF(AND(R3999=1,ISNUMBER(T3999)),E3999-T3999,"")</f>
        <v>3.19768134822867</v>
      </c>
      <c r="V3999" s="84" t="n">
        <f aca="false">IF(ISNUMBER(T3999),T3999,-99)</f>
        <v>15.9023186517713</v>
      </c>
      <c r="W3999" s="84" t="n">
        <f aca="false">IF(ISNUMBER(U3999),ABS(U3999),"")</f>
        <v>3.19768134822867</v>
      </c>
    </row>
    <row r="4000" customFormat="false" ht="15" hidden="false" customHeight="false" outlineLevel="0" collapsed="false">
      <c r="A4000" s="57" t="n">
        <v>38493</v>
      </c>
      <c r="B4000" s="56" t="n">
        <v>2005</v>
      </c>
      <c r="C4000" s="56" t="n">
        <v>5</v>
      </c>
      <c r="D4000" s="56" t="n">
        <v>21</v>
      </c>
      <c r="E4000" s="56" t="n">
        <v>16.8</v>
      </c>
      <c r="F4000" s="56" t="n">
        <v>0</v>
      </c>
      <c r="G4000" s="56" t="n">
        <v>9.1</v>
      </c>
      <c r="H4000" s="56" t="n">
        <v>0</v>
      </c>
      <c r="I4000" s="56" t="n">
        <v>13</v>
      </c>
      <c r="J4000" s="56" t="n">
        <v>0</v>
      </c>
      <c r="K4000" s="56" t="n">
        <v>1008.2</v>
      </c>
      <c r="L4000" s="56" t="n">
        <v>0</v>
      </c>
      <c r="M4000" s="56" t="n">
        <v>77</v>
      </c>
      <c r="N4000" s="56" t="n">
        <v>6.1</v>
      </c>
      <c r="O4000" s="56" t="n">
        <f aca="false">IF(D4000=1,"",E3999)</f>
        <v>19.1</v>
      </c>
      <c r="P4000" s="56" t="n">
        <f aca="false">IF(OR(D4000=1,K3999=""),"",K3999)</f>
        <v>1010.6</v>
      </c>
      <c r="Q4000" s="56" t="n">
        <f aca="false">IF(OR(F4000&lt;&gt;0,AND(I4000&lt;&gt;"",E4000&lt;I4000)),1,0)</f>
        <v>0</v>
      </c>
      <c r="R4000" s="56" t="n">
        <f aca="false">IF(AND(D4000&gt;1,Q4000=0,ISNUMBER(O4000),ISNUMBER(P4000)),IF(Q3999=0,1,0),0)</f>
        <v>1</v>
      </c>
      <c r="S4000" s="56" t="n">
        <f aca="false">R4000*(B4000&gt;=Train_Start)*(B4000&lt;=Train_End)</f>
        <v>0</v>
      </c>
      <c r="T4000" s="84" t="n">
        <f aca="false">IF(AND(ISNUMBER(O4000),ISNUMBER(P4000)),Coef_A+Coef_B1*O4000+Coef_B2*P4000,"")</f>
        <v>19.4387695262201</v>
      </c>
      <c r="U4000" s="84" t="n">
        <f aca="false">IF(AND(R4000=1,ISNUMBER(T4000)),E4000-T4000,"")</f>
        <v>-2.63876952622014</v>
      </c>
      <c r="V4000" s="84" t="n">
        <f aca="false">IF(ISNUMBER(T4000),T4000,-99)</f>
        <v>19.4387695262201</v>
      </c>
      <c r="W4000" s="84" t="n">
        <f aca="false">IF(ISNUMBER(U4000),ABS(U4000),"")</f>
        <v>2.63876952622014</v>
      </c>
    </row>
    <row r="4001" customFormat="false" ht="15" hidden="false" customHeight="false" outlineLevel="0" collapsed="false">
      <c r="A4001" s="57" t="n">
        <v>38494</v>
      </c>
      <c r="B4001" s="56" t="n">
        <v>2005</v>
      </c>
      <c r="C4001" s="56" t="n">
        <v>5</v>
      </c>
      <c r="D4001" s="56" t="n">
        <v>22</v>
      </c>
      <c r="E4001" s="56" t="n">
        <v>16.5</v>
      </c>
      <c r="F4001" s="56" t="n">
        <v>0</v>
      </c>
      <c r="G4001" s="56" t="n">
        <v>9.8</v>
      </c>
      <c r="H4001" s="56" t="n">
        <v>0</v>
      </c>
      <c r="I4001" s="56" t="n">
        <v>13.2</v>
      </c>
      <c r="J4001" s="56" t="n">
        <v>0</v>
      </c>
      <c r="K4001" s="56" t="n">
        <v>1006.2</v>
      </c>
      <c r="L4001" s="56" t="n">
        <v>0</v>
      </c>
      <c r="M4001" s="56" t="n">
        <v>66</v>
      </c>
      <c r="N4001" s="56" t="n">
        <v>7.5</v>
      </c>
      <c r="O4001" s="56" t="n">
        <f aca="false">IF(D4001=1,"",E4000)</f>
        <v>16.8</v>
      </c>
      <c r="P4001" s="56" t="n">
        <f aca="false">IF(OR(D4001=1,K4000=""),"",K4000)</f>
        <v>1008.2</v>
      </c>
      <c r="Q4001" s="56" t="n">
        <f aca="false">IF(OR(F4001&lt;&gt;0,AND(I4001&lt;&gt;"",E4001&lt;I4001)),1,0)</f>
        <v>0</v>
      </c>
      <c r="R4001" s="56" t="n">
        <f aca="false">IF(AND(D4001&gt;1,Q4001=0,ISNUMBER(O4001),ISNUMBER(P4001)),IF(Q4000=0,1,0),0)</f>
        <v>1</v>
      </c>
      <c r="S4001" s="56" t="n">
        <f aca="false">R4001*(B4001&gt;=Train_Start)*(B4001&lt;=Train_End)</f>
        <v>0</v>
      </c>
      <c r="T4001" s="84" t="n">
        <f aca="false">IF(AND(ISNUMBER(O4001),ISNUMBER(P4001)),Coef_A+Coef_B1*O4001+Coef_B2*P4001,"")</f>
        <v>17.4790016351005</v>
      </c>
      <c r="U4001" s="84" t="n">
        <f aca="false">IF(AND(R4001=1,ISNUMBER(T4001)),E4001-T4001,"")</f>
        <v>-0.979001635100453</v>
      </c>
      <c r="V4001" s="84" t="n">
        <f aca="false">IF(ISNUMBER(T4001),T4001,-99)</f>
        <v>17.4790016351005</v>
      </c>
      <c r="W4001" s="84" t="n">
        <f aca="false">IF(ISNUMBER(U4001),ABS(U4001),"")</f>
        <v>0.979001635100453</v>
      </c>
    </row>
    <row r="4002" customFormat="false" ht="15" hidden="false" customHeight="false" outlineLevel="0" collapsed="false">
      <c r="A4002" s="57" t="n">
        <v>38495</v>
      </c>
      <c r="B4002" s="56" t="n">
        <v>2005</v>
      </c>
      <c r="C4002" s="56" t="n">
        <v>5</v>
      </c>
      <c r="D4002" s="56" t="n">
        <v>23</v>
      </c>
      <c r="E4002" s="56" t="n">
        <v>17.8</v>
      </c>
      <c r="F4002" s="56" t="n">
        <v>0</v>
      </c>
      <c r="G4002" s="56" t="n">
        <v>7.3</v>
      </c>
      <c r="H4002" s="56" t="n">
        <v>0</v>
      </c>
      <c r="I4002" s="56" t="n">
        <v>12.6</v>
      </c>
      <c r="J4002" s="56" t="n">
        <v>0</v>
      </c>
      <c r="K4002" s="56" t="n">
        <v>1014.7</v>
      </c>
      <c r="L4002" s="56" t="n">
        <v>0</v>
      </c>
      <c r="M4002" s="56" t="n">
        <v>63</v>
      </c>
      <c r="N4002" s="56" t="n">
        <v>11.5</v>
      </c>
      <c r="O4002" s="56" t="n">
        <f aca="false">IF(D4002=1,"",E4001)</f>
        <v>16.5</v>
      </c>
      <c r="P4002" s="56" t="n">
        <f aca="false">IF(OR(D4002=1,K4001=""),"",K4001)</f>
        <v>1006.2</v>
      </c>
      <c r="Q4002" s="56" t="n">
        <f aca="false">IF(OR(F4002&lt;&gt;0,AND(I4002&lt;&gt;"",E4002&lt;I4002)),1,0)</f>
        <v>0</v>
      </c>
      <c r="R4002" s="56" t="n">
        <f aca="false">IF(AND(D4002&gt;1,Q4002=0,ISNUMBER(O4002),ISNUMBER(P4002)),IF(Q4001=0,1,0),0)</f>
        <v>1</v>
      </c>
      <c r="S4002" s="56" t="n">
        <f aca="false">R4002*(B4002&gt;=Train_Start)*(B4002&lt;=Train_End)</f>
        <v>0</v>
      </c>
      <c r="T4002" s="84" t="n">
        <f aca="false">IF(AND(ISNUMBER(O4002),ISNUMBER(P4002)),Coef_A+Coef_B1*O4002+Coef_B2*P4002,"")</f>
        <v>17.1704600879197</v>
      </c>
      <c r="U4002" s="84" t="n">
        <f aca="false">IF(AND(R4002=1,ISNUMBER(T4002)),E4002-T4002,"")</f>
        <v>0.629539912080322</v>
      </c>
      <c r="V4002" s="84" t="n">
        <f aca="false">IF(ISNUMBER(T4002),T4002,-99)</f>
        <v>17.1704600879197</v>
      </c>
      <c r="W4002" s="84" t="n">
        <f aca="false">IF(ISNUMBER(U4002),ABS(U4002),"")</f>
        <v>0.629539912080322</v>
      </c>
    </row>
    <row r="4003" customFormat="false" ht="15" hidden="false" customHeight="false" outlineLevel="0" collapsed="false">
      <c r="A4003" s="57" t="n">
        <v>38496</v>
      </c>
      <c r="B4003" s="56" t="n">
        <v>2005</v>
      </c>
      <c r="C4003" s="56" t="n">
        <v>5</v>
      </c>
      <c r="D4003" s="56" t="n">
        <v>24</v>
      </c>
      <c r="E4003" s="56" t="n">
        <v>18.7</v>
      </c>
      <c r="F4003" s="56" t="n">
        <v>0</v>
      </c>
      <c r="G4003" s="56" t="n">
        <v>10.1</v>
      </c>
      <c r="H4003" s="56" t="n">
        <v>0</v>
      </c>
      <c r="I4003" s="56" t="n">
        <v>14.4</v>
      </c>
      <c r="J4003" s="56" t="n">
        <v>0</v>
      </c>
      <c r="K4003" s="56" t="n">
        <v>1016.9</v>
      </c>
      <c r="L4003" s="56" t="n">
        <v>0</v>
      </c>
      <c r="M4003" s="56" t="n">
        <v>79</v>
      </c>
      <c r="N4003" s="56" t="n">
        <v>5.1</v>
      </c>
      <c r="O4003" s="56" t="n">
        <f aca="false">IF(D4003=1,"",E4002)</f>
        <v>17.8</v>
      </c>
      <c r="P4003" s="56" t="n">
        <f aca="false">IF(OR(D4003=1,K4002=""),"",K4002)</f>
        <v>1014.7</v>
      </c>
      <c r="Q4003" s="56" t="n">
        <f aca="false">IF(OR(F4003&lt;&gt;0,AND(I4003&lt;&gt;"",E4003&lt;I4003)),1,0)</f>
        <v>0</v>
      </c>
      <c r="R4003" s="56" t="n">
        <f aca="false">IF(AND(D4003&gt;1,Q4003=0,ISNUMBER(O4003),ISNUMBER(P4003)),IF(Q4002=0,1,0),0)</f>
        <v>1</v>
      </c>
      <c r="S4003" s="56" t="n">
        <f aca="false">R4003*(B4003&gt;=Train_Start)*(B4003&lt;=Train_End)</f>
        <v>0</v>
      </c>
      <c r="T4003" s="84" t="n">
        <f aca="false">IF(AND(ISNUMBER(O4003),ISNUMBER(P4003)),Coef_A+Coef_B1*O4003+Coef_B2*P4003,"")</f>
        <v>18.502245143264</v>
      </c>
      <c r="U4003" s="84" t="n">
        <f aca="false">IF(AND(R4003=1,ISNUMBER(T4003)),E4003-T4003,"")</f>
        <v>0.197754856735958</v>
      </c>
      <c r="V4003" s="84" t="n">
        <f aca="false">IF(ISNUMBER(T4003),T4003,-99)</f>
        <v>18.502245143264</v>
      </c>
      <c r="W4003" s="84" t="n">
        <f aca="false">IF(ISNUMBER(U4003),ABS(U4003),"")</f>
        <v>0.197754856735958</v>
      </c>
    </row>
    <row r="4004" customFormat="false" ht="15" hidden="false" customHeight="false" outlineLevel="0" collapsed="false">
      <c r="A4004" s="57" t="n">
        <v>38497</v>
      </c>
      <c r="B4004" s="56" t="n">
        <v>2005</v>
      </c>
      <c r="C4004" s="56" t="n">
        <v>5</v>
      </c>
      <c r="D4004" s="56" t="n">
        <v>25</v>
      </c>
      <c r="E4004" s="56" t="n">
        <v>22.2</v>
      </c>
      <c r="F4004" s="56" t="n">
        <v>0</v>
      </c>
      <c r="G4004" s="56" t="n">
        <v>10.7</v>
      </c>
      <c r="H4004" s="56" t="n">
        <v>0</v>
      </c>
      <c r="I4004" s="56" t="n">
        <v>16.4</v>
      </c>
      <c r="J4004" s="56" t="n">
        <v>0</v>
      </c>
      <c r="K4004" s="56" t="n">
        <v>1020.8</v>
      </c>
      <c r="L4004" s="56" t="n">
        <v>0</v>
      </c>
      <c r="M4004" s="56" t="n">
        <v>72</v>
      </c>
      <c r="N4004" s="56" t="n">
        <v>3.1</v>
      </c>
      <c r="O4004" s="56" t="n">
        <f aca="false">IF(D4004=1,"",E4003)</f>
        <v>18.7</v>
      </c>
      <c r="P4004" s="56" t="n">
        <f aca="false">IF(OR(D4004=1,K4003=""),"",K4003)</f>
        <v>1016.9</v>
      </c>
      <c r="Q4004" s="56" t="n">
        <f aca="false">IF(OR(F4004&lt;&gt;0,AND(I4004&lt;&gt;"",E4004&lt;I4004)),1,0)</f>
        <v>0</v>
      </c>
      <c r="R4004" s="56" t="n">
        <f aca="false">IF(AND(D4004&gt;1,Q4004=0,ISNUMBER(O4004),ISNUMBER(P4004)),IF(Q4003=0,1,0),0)</f>
        <v>1</v>
      </c>
      <c r="S4004" s="56" t="n">
        <f aca="false">R4004*(B4004&gt;=Train_Start)*(B4004&lt;=Train_End)</f>
        <v>0</v>
      </c>
      <c r="T4004" s="84" t="n">
        <f aca="false">IF(AND(ISNUMBER(O4004),ISNUMBER(P4004)),Coef_A+Coef_B1*O4004+Coef_B2*P4004,"")</f>
        <v>19.3086641851972</v>
      </c>
      <c r="U4004" s="84" t="n">
        <f aca="false">IF(AND(R4004=1,ISNUMBER(T4004)),E4004-T4004,"")</f>
        <v>2.89133581480279</v>
      </c>
      <c r="V4004" s="84" t="n">
        <f aca="false">IF(ISNUMBER(T4004),T4004,-99)</f>
        <v>19.3086641851972</v>
      </c>
      <c r="W4004" s="84" t="n">
        <f aca="false">IF(ISNUMBER(U4004),ABS(U4004),"")</f>
        <v>2.89133581480279</v>
      </c>
    </row>
    <row r="4005" customFormat="false" ht="15" hidden="false" customHeight="false" outlineLevel="0" collapsed="false">
      <c r="A4005" s="57" t="n">
        <v>38498</v>
      </c>
      <c r="B4005" s="56" t="n">
        <v>2005</v>
      </c>
      <c r="C4005" s="56" t="n">
        <v>5</v>
      </c>
      <c r="D4005" s="56" t="n">
        <v>26</v>
      </c>
      <c r="E4005" s="56" t="n">
        <v>24.4</v>
      </c>
      <c r="F4005" s="56" t="n">
        <v>0</v>
      </c>
      <c r="G4005" s="56" t="n">
        <v>14.1</v>
      </c>
      <c r="H4005" s="56" t="n">
        <v>0</v>
      </c>
      <c r="I4005" s="56" t="n">
        <v>19.2</v>
      </c>
      <c r="J4005" s="56" t="n">
        <v>0</v>
      </c>
      <c r="K4005" s="56" t="n">
        <v>1016</v>
      </c>
      <c r="L4005" s="56" t="n">
        <v>0</v>
      </c>
      <c r="M4005" s="56" t="n">
        <v>68</v>
      </c>
      <c r="N4005" s="56" t="n">
        <v>6</v>
      </c>
      <c r="O4005" s="56" t="n">
        <f aca="false">IF(D4005=1,"",E4004)</f>
        <v>22.2</v>
      </c>
      <c r="P4005" s="56" t="n">
        <f aca="false">IF(OR(D4005=1,K4004=""),"",K4004)</f>
        <v>1020.8</v>
      </c>
      <c r="Q4005" s="56" t="n">
        <f aca="false">IF(OR(F4005&lt;&gt;0,AND(I4005&lt;&gt;"",E4005&lt;I4005)),1,0)</f>
        <v>0</v>
      </c>
      <c r="R4005" s="56" t="n">
        <f aca="false">IF(AND(D4005&gt;1,Q4005=0,ISNUMBER(O4005),ISNUMBER(P4005)),IF(Q4004=0,1,0),0)</f>
        <v>1</v>
      </c>
      <c r="S4005" s="56" t="n">
        <f aca="false">R4005*(B4005&gt;=Train_Start)*(B4005&lt;=Train_End)</f>
        <v>0</v>
      </c>
      <c r="T4005" s="84" t="n">
        <f aca="false">IF(AND(ISNUMBER(O4005),ISNUMBER(P4005)),Coef_A+Coef_B1*O4005+Coef_B2*P4005,"")</f>
        <v>22.2986939499191</v>
      </c>
      <c r="U4005" s="84" t="n">
        <f aca="false">IF(AND(R4005=1,ISNUMBER(T4005)),E4005-T4005,"")</f>
        <v>2.10130605008093</v>
      </c>
      <c r="V4005" s="84" t="n">
        <f aca="false">IF(ISNUMBER(T4005),T4005,-99)</f>
        <v>22.2986939499191</v>
      </c>
      <c r="W4005" s="84" t="n">
        <f aca="false">IF(ISNUMBER(U4005),ABS(U4005),"")</f>
        <v>2.10130605008093</v>
      </c>
    </row>
    <row r="4006" customFormat="false" ht="15" hidden="false" customHeight="false" outlineLevel="0" collapsed="false">
      <c r="A4006" s="57" t="n">
        <v>38499</v>
      </c>
      <c r="B4006" s="56" t="n">
        <v>2005</v>
      </c>
      <c r="C4006" s="56" t="n">
        <v>5</v>
      </c>
      <c r="D4006" s="56" t="n">
        <v>27</v>
      </c>
      <c r="E4006" s="56" t="n">
        <v>30.7</v>
      </c>
      <c r="F4006" s="56" t="n">
        <v>0</v>
      </c>
      <c r="G4006" s="56" t="n">
        <v>13.6</v>
      </c>
      <c r="H4006" s="56" t="n">
        <v>0</v>
      </c>
      <c r="I4006" s="56" t="n">
        <v>22.2</v>
      </c>
      <c r="J4006" s="56" t="n">
        <v>0</v>
      </c>
      <c r="K4006" s="56" t="n">
        <v>1011.2</v>
      </c>
      <c r="L4006" s="56" t="n">
        <v>0</v>
      </c>
      <c r="M4006" s="56" t="n">
        <v>62</v>
      </c>
      <c r="N4006" s="56" t="n">
        <v>13.7</v>
      </c>
      <c r="O4006" s="56" t="n">
        <f aca="false">IF(D4006=1,"",E4005)</f>
        <v>24.4</v>
      </c>
      <c r="P4006" s="56" t="n">
        <f aca="false">IF(OR(D4006=1,K4005=""),"",K4005)</f>
        <v>1016</v>
      </c>
      <c r="Q4006" s="56" t="n">
        <f aca="false">IF(OR(F4006&lt;&gt;0,AND(I4006&lt;&gt;"",E4006&lt;I4006)),1,0)</f>
        <v>0</v>
      </c>
      <c r="R4006" s="56" t="n">
        <f aca="false">IF(AND(D4006&gt;1,Q4006=0,ISNUMBER(O4006),ISNUMBER(P4006)),IF(Q4005=0,1,0),0)</f>
        <v>1</v>
      </c>
      <c r="S4006" s="56" t="n">
        <f aca="false">R4006*(B4006&gt;=Train_Start)*(B4006&lt;=Train_End)</f>
        <v>0</v>
      </c>
      <c r="T4006" s="84" t="n">
        <f aca="false">IF(AND(ISNUMBER(O4006),ISNUMBER(P4006)),Coef_A+Coef_B1*O4006+Coef_B2*P4006,"")</f>
        <v>23.9506646803698</v>
      </c>
      <c r="U4006" s="84" t="n">
        <f aca="false">IF(AND(R4006=1,ISNUMBER(T4006)),E4006-T4006,"")</f>
        <v>6.74933531963023</v>
      </c>
      <c r="V4006" s="84" t="n">
        <f aca="false">IF(ISNUMBER(T4006),T4006,-99)</f>
        <v>23.9506646803698</v>
      </c>
      <c r="W4006" s="84" t="n">
        <f aca="false">IF(ISNUMBER(U4006),ABS(U4006),"")</f>
        <v>6.74933531963023</v>
      </c>
    </row>
    <row r="4007" customFormat="false" ht="15" hidden="false" customHeight="false" outlineLevel="0" collapsed="false">
      <c r="A4007" s="57" t="n">
        <v>38500</v>
      </c>
      <c r="B4007" s="56" t="n">
        <v>2005</v>
      </c>
      <c r="C4007" s="56" t="n">
        <v>5</v>
      </c>
      <c r="D4007" s="56" t="n">
        <v>28</v>
      </c>
      <c r="E4007" s="56" t="n">
        <v>20.9</v>
      </c>
      <c r="F4007" s="56" t="n">
        <v>0</v>
      </c>
      <c r="G4007" s="56" t="n">
        <v>14.9</v>
      </c>
      <c r="H4007" s="56" t="n">
        <v>0</v>
      </c>
      <c r="I4007" s="56" t="n">
        <v>17.9</v>
      </c>
      <c r="J4007" s="56" t="n">
        <v>0</v>
      </c>
      <c r="K4007" s="56" t="n">
        <v>1014.6</v>
      </c>
      <c r="L4007" s="56" t="n">
        <v>0</v>
      </c>
      <c r="M4007" s="56" t="n">
        <v>58</v>
      </c>
      <c r="N4007" s="56" t="n">
        <v>11.9</v>
      </c>
      <c r="O4007" s="56" t="n">
        <f aca="false">IF(D4007=1,"",E4006)</f>
        <v>30.7</v>
      </c>
      <c r="P4007" s="56" t="n">
        <f aca="false">IF(OR(D4007=1,K4006=""),"",K4006)</f>
        <v>1011.2</v>
      </c>
      <c r="Q4007" s="56" t="n">
        <f aca="false">IF(OR(F4007&lt;&gt;0,AND(I4007&lt;&gt;"",E4007&lt;I4007)),1,0)</f>
        <v>0</v>
      </c>
      <c r="R4007" s="56" t="n">
        <f aca="false">IF(AND(D4007&gt;1,Q4007=0,ISNUMBER(O4007),ISNUMBER(P4007)),IF(Q4006=0,1,0),0)</f>
        <v>1</v>
      </c>
      <c r="S4007" s="56" t="n">
        <f aca="false">R4007*(B4007&gt;=Train_Start)*(B4007&lt;=Train_End)</f>
        <v>0</v>
      </c>
      <c r="T4007" s="84" t="n">
        <f aca="false">IF(AND(ISNUMBER(O4007),ISNUMBER(P4007)),Coef_A+Coef_B1*O4007+Coef_B2*P4007,"")</f>
        <v>28.9619261022954</v>
      </c>
      <c r="U4007" s="84" t="n">
        <f aca="false">IF(AND(R4007=1,ISNUMBER(T4007)),E4007-T4007,"")</f>
        <v>-8.06192610229536</v>
      </c>
      <c r="V4007" s="84" t="n">
        <f aca="false">IF(ISNUMBER(T4007),T4007,-99)</f>
        <v>28.9619261022954</v>
      </c>
      <c r="W4007" s="84" t="n">
        <f aca="false">IF(ISNUMBER(U4007),ABS(U4007),"")</f>
        <v>8.06192610229536</v>
      </c>
    </row>
    <row r="4008" customFormat="false" ht="15" hidden="false" customHeight="false" outlineLevel="0" collapsed="false">
      <c r="A4008" s="57" t="n">
        <v>38501</v>
      </c>
      <c r="B4008" s="56" t="n">
        <v>2005</v>
      </c>
      <c r="C4008" s="56" t="n">
        <v>5</v>
      </c>
      <c r="D4008" s="56" t="n">
        <v>29</v>
      </c>
      <c r="E4008" s="56" t="n">
        <v>17.2</v>
      </c>
      <c r="F4008" s="56" t="n">
        <v>0</v>
      </c>
      <c r="G4008" s="56" t="n">
        <v>8.7</v>
      </c>
      <c r="H4008" s="56" t="n">
        <v>0</v>
      </c>
      <c r="I4008" s="56" t="n">
        <v>13</v>
      </c>
      <c r="J4008" s="56" t="n">
        <v>0</v>
      </c>
      <c r="K4008" s="56" t="n">
        <v>1020.3</v>
      </c>
      <c r="L4008" s="56" t="n">
        <v>0</v>
      </c>
      <c r="M4008" s="56" t="n">
        <v>65</v>
      </c>
      <c r="N4008" s="56" t="n">
        <v>2.2</v>
      </c>
      <c r="O4008" s="56" t="n">
        <f aca="false">IF(D4008=1,"",E4007)</f>
        <v>20.9</v>
      </c>
      <c r="P4008" s="56" t="n">
        <f aca="false">IF(OR(D4008=1,K4007=""),"",K4007)</f>
        <v>1014.6</v>
      </c>
      <c r="Q4008" s="56" t="n">
        <f aca="false">IF(OR(F4008&lt;&gt;0,AND(I4008&lt;&gt;"",E4008&lt;I4008)),1,0)</f>
        <v>0</v>
      </c>
      <c r="R4008" s="56" t="n">
        <f aca="false">IF(AND(D4008&gt;1,Q4008=0,ISNUMBER(O4008),ISNUMBER(P4008)),IF(Q4007=0,1,0),0)</f>
        <v>1</v>
      </c>
      <c r="S4008" s="56" t="n">
        <f aca="false">R4008*(B4008&gt;=Train_Start)*(B4008&lt;=Train_End)</f>
        <v>0</v>
      </c>
      <c r="T4008" s="84" t="n">
        <f aca="false">IF(AND(ISNUMBER(O4008),ISNUMBER(P4008)),Coef_A+Coef_B1*O4008+Coef_B2*P4008,"")</f>
        <v>21.0390596522329</v>
      </c>
      <c r="U4008" s="84" t="n">
        <f aca="false">IF(AND(R4008=1,ISNUMBER(T4008)),E4008-T4008,"")</f>
        <v>-3.83905965223288</v>
      </c>
      <c r="V4008" s="84" t="n">
        <f aca="false">IF(ISNUMBER(T4008),T4008,-99)</f>
        <v>21.0390596522329</v>
      </c>
      <c r="W4008" s="84" t="n">
        <f aca="false">IF(ISNUMBER(U4008),ABS(U4008),"")</f>
        <v>3.83905965223288</v>
      </c>
    </row>
    <row r="4009" customFormat="false" ht="15" hidden="false" customHeight="false" outlineLevel="0" collapsed="false">
      <c r="A4009" s="57" t="n">
        <v>38502</v>
      </c>
      <c r="B4009" s="56" t="n">
        <v>2005</v>
      </c>
      <c r="C4009" s="56" t="n">
        <v>5</v>
      </c>
      <c r="D4009" s="56" t="n">
        <v>30</v>
      </c>
      <c r="E4009" s="56" t="n">
        <v>18.6</v>
      </c>
      <c r="F4009" s="56" t="n">
        <v>0</v>
      </c>
      <c r="G4009" s="56" t="n">
        <v>9.9</v>
      </c>
      <c r="H4009" s="56" t="n">
        <v>0</v>
      </c>
      <c r="I4009" s="56" t="n">
        <v>14.2</v>
      </c>
      <c r="J4009" s="56" t="n">
        <v>0</v>
      </c>
      <c r="K4009" s="56" t="n">
        <v>1022</v>
      </c>
      <c r="L4009" s="56" t="n">
        <v>0</v>
      </c>
      <c r="M4009" s="56" t="n">
        <v>58</v>
      </c>
      <c r="N4009" s="56" t="n">
        <v>10.9</v>
      </c>
      <c r="O4009" s="56" t="n">
        <f aca="false">IF(D4009=1,"",E4008)</f>
        <v>17.2</v>
      </c>
      <c r="P4009" s="56" t="n">
        <f aca="false">IF(OR(D4009=1,K4008=""),"",K4008)</f>
        <v>1020.3</v>
      </c>
      <c r="Q4009" s="56" t="n">
        <f aca="false">IF(OR(F4009&lt;&gt;0,AND(I4009&lt;&gt;"",E4009&lt;I4009)),1,0)</f>
        <v>0</v>
      </c>
      <c r="R4009" s="56" t="n">
        <f aca="false">IF(AND(D4009&gt;1,Q4009=0,ISNUMBER(O4009),ISNUMBER(P4009)),IF(Q4008=0,1,0),0)</f>
        <v>1</v>
      </c>
      <c r="S4009" s="56" t="n">
        <f aca="false">R4009*(B4009&gt;=Train_Start)*(B4009&lt;=Train_End)</f>
        <v>0</v>
      </c>
      <c r="T4009" s="84" t="n">
        <f aca="false">IF(AND(ISNUMBER(O4009),ISNUMBER(P4009)),Coef_A+Coef_B1*O4009+Coef_B2*P4009,"")</f>
        <v>18.1863130373888</v>
      </c>
      <c r="U4009" s="84" t="n">
        <f aca="false">IF(AND(R4009=1,ISNUMBER(T4009)),E4009-T4009,"")</f>
        <v>0.413686962611216</v>
      </c>
      <c r="V4009" s="84" t="n">
        <f aca="false">IF(ISNUMBER(T4009),T4009,-99)</f>
        <v>18.1863130373888</v>
      </c>
      <c r="W4009" s="84" t="n">
        <f aca="false">IF(ISNUMBER(U4009),ABS(U4009),"")</f>
        <v>0.413686962611216</v>
      </c>
    </row>
    <row r="4010" customFormat="false" ht="15" hidden="false" customHeight="false" outlineLevel="0" collapsed="false">
      <c r="A4010" s="57" t="n">
        <v>38503</v>
      </c>
      <c r="B4010" s="56" t="n">
        <v>2005</v>
      </c>
      <c r="C4010" s="56" t="n">
        <v>5</v>
      </c>
      <c r="D4010" s="56" t="n">
        <v>31</v>
      </c>
      <c r="E4010" s="56" t="n">
        <v>20.3</v>
      </c>
      <c r="F4010" s="56" t="n">
        <v>0</v>
      </c>
      <c r="G4010" s="56" t="n">
        <v>8.3</v>
      </c>
      <c r="H4010" s="56" t="n">
        <v>0</v>
      </c>
      <c r="I4010" s="56" t="n">
        <v>14.3</v>
      </c>
      <c r="J4010" s="56" t="n">
        <v>0</v>
      </c>
      <c r="K4010" s="56" t="n">
        <v>1025.5</v>
      </c>
      <c r="L4010" s="56" t="n">
        <v>0</v>
      </c>
      <c r="M4010" s="56" t="n">
        <v>58</v>
      </c>
      <c r="N4010" s="56" t="n">
        <v>12.9</v>
      </c>
      <c r="O4010" s="56" t="n">
        <f aca="false">IF(D4010=1,"",E4009)</f>
        <v>18.6</v>
      </c>
      <c r="P4010" s="56" t="n">
        <f aca="false">IF(OR(D4010=1,K4009=""),"",K4009)</f>
        <v>1022</v>
      </c>
      <c r="Q4010" s="56" t="n">
        <f aca="false">IF(OR(F4010&lt;&gt;0,AND(I4010&lt;&gt;"",E4010&lt;I4010)),1,0)</f>
        <v>0</v>
      </c>
      <c r="R4010" s="56" t="n">
        <f aca="false">IF(AND(D4010&gt;1,Q4010=0,ISNUMBER(O4010),ISNUMBER(P4010)),IF(Q4009=0,1,0),0)</f>
        <v>1</v>
      </c>
      <c r="S4010" s="56" t="n">
        <f aca="false">R4010*(B4010&gt;=Train_Start)*(B4010&lt;=Train_End)</f>
        <v>0</v>
      </c>
      <c r="T4010" s="84" t="n">
        <f aca="false">IF(AND(ISNUMBER(O4010),ISNUMBER(P4010)),Coef_A+Coef_B1*O4010+Coef_B2*P4010,"")</f>
        <v>19.3867167285263</v>
      </c>
      <c r="U4010" s="84" t="n">
        <f aca="false">IF(AND(R4010=1,ISNUMBER(T4010)),E4010-T4010,"")</f>
        <v>0.913283271473713</v>
      </c>
      <c r="V4010" s="84" t="n">
        <f aca="false">IF(ISNUMBER(T4010),T4010,-99)</f>
        <v>19.3867167285263</v>
      </c>
      <c r="W4010" s="84" t="n">
        <f aca="false">IF(ISNUMBER(U4010),ABS(U4010),"")</f>
        <v>0.913283271473713</v>
      </c>
    </row>
    <row r="4011" customFormat="false" ht="15" hidden="false" customHeight="false" outlineLevel="0" collapsed="false">
      <c r="A4011" s="57" t="n">
        <v>38504</v>
      </c>
      <c r="B4011" s="56" t="n">
        <v>2005</v>
      </c>
      <c r="C4011" s="56" t="n">
        <v>6</v>
      </c>
      <c r="D4011" s="56" t="n">
        <v>32</v>
      </c>
      <c r="E4011" s="56" t="n">
        <v>16.7</v>
      </c>
      <c r="F4011" s="56" t="n">
        <v>0</v>
      </c>
      <c r="G4011" s="56" t="n">
        <v>10.6</v>
      </c>
      <c r="H4011" s="56" t="n">
        <v>0</v>
      </c>
      <c r="I4011" s="56" t="n">
        <v>13.6</v>
      </c>
      <c r="J4011" s="56" t="n">
        <v>0</v>
      </c>
      <c r="K4011" s="56" t="n">
        <v>1021.3</v>
      </c>
      <c r="L4011" s="56" t="n">
        <v>0</v>
      </c>
      <c r="M4011" s="56" t="n">
        <v>83</v>
      </c>
      <c r="N4011" s="56" t="n">
        <v>0.1</v>
      </c>
      <c r="O4011" s="56" t="n">
        <f aca="false">IF(D4011=1,"",E4010)</f>
        <v>20.3</v>
      </c>
      <c r="P4011" s="56" t="n">
        <f aca="false">IF(OR(D4011=1,K4010=""),"",K4010)</f>
        <v>1025.5</v>
      </c>
      <c r="Q4011" s="56" t="n">
        <f aca="false">IF(OR(F4011&lt;&gt;0,AND(I4011&lt;&gt;"",E4011&lt;I4011)),1,0)</f>
        <v>0</v>
      </c>
      <c r="R4011" s="56" t="n">
        <f aca="false">IF(AND(D4011&gt;1,Q4011=0,ISNUMBER(O4011),ISNUMBER(P4011)),IF(Q4010=0,1,0),0)</f>
        <v>1</v>
      </c>
      <c r="S4011" s="56" t="n">
        <f aca="false">R4011*(B4011&gt;=Train_Start)*(B4011&lt;=Train_End)</f>
        <v>0</v>
      </c>
      <c r="T4011" s="84" t="n">
        <f aca="false">IF(AND(ISNUMBER(O4011),ISNUMBER(P4011)),Coef_A+Coef_B1*O4011+Coef_B2*P4011,"")</f>
        <v>20.8893879879178</v>
      </c>
      <c r="U4011" s="84" t="n">
        <f aca="false">IF(AND(R4011=1,ISNUMBER(T4011)),E4011-T4011,"")</f>
        <v>-4.18938798791777</v>
      </c>
      <c r="V4011" s="84" t="n">
        <f aca="false">IF(ISNUMBER(T4011),T4011,-99)</f>
        <v>20.8893879879178</v>
      </c>
      <c r="W4011" s="84" t="n">
        <f aca="false">IF(ISNUMBER(U4011),ABS(U4011),"")</f>
        <v>4.18938798791777</v>
      </c>
    </row>
    <row r="4012" customFormat="false" ht="15" hidden="false" customHeight="false" outlineLevel="0" collapsed="false">
      <c r="A4012" s="57" t="n">
        <v>38505</v>
      </c>
      <c r="B4012" s="56" t="n">
        <v>2005</v>
      </c>
      <c r="C4012" s="56" t="n">
        <v>6</v>
      </c>
      <c r="D4012" s="56" t="n">
        <v>33</v>
      </c>
      <c r="E4012" s="56" t="n">
        <v>19.5</v>
      </c>
      <c r="F4012" s="56" t="n">
        <v>0</v>
      </c>
      <c r="G4012" s="56" t="n">
        <v>13.6</v>
      </c>
      <c r="H4012" s="56" t="n">
        <v>0</v>
      </c>
      <c r="I4012" s="56" t="n">
        <v>16.6</v>
      </c>
      <c r="J4012" s="56" t="n">
        <v>0</v>
      </c>
      <c r="K4012" s="56" t="n">
        <v>1015</v>
      </c>
      <c r="L4012" s="56" t="n">
        <v>0</v>
      </c>
      <c r="M4012" s="56" t="n">
        <v>80</v>
      </c>
      <c r="N4012" s="56" t="n">
        <v>0.4</v>
      </c>
      <c r="O4012" s="56" t="n">
        <f aca="false">IF(D4012=1,"",E4011)</f>
        <v>16.7</v>
      </c>
      <c r="P4012" s="56" t="n">
        <f aca="false">IF(OR(D4012=1,K4011=""),"",K4011)</f>
        <v>1021.3</v>
      </c>
      <c r="Q4012" s="56" t="n">
        <f aca="false">IF(OR(F4012&lt;&gt;0,AND(I4012&lt;&gt;"",E4012&lt;I4012)),1,0)</f>
        <v>0</v>
      </c>
      <c r="R4012" s="56" t="n">
        <f aca="false">IF(AND(D4012&gt;1,Q4012=0,ISNUMBER(O4012),ISNUMBER(P4012)),IF(Q4011=0,1,0),0)</f>
        <v>1</v>
      </c>
      <c r="S4012" s="56" t="n">
        <f aca="false">R4012*(B4012&gt;=Train_Start)*(B4012&lt;=Train_End)</f>
        <v>0</v>
      </c>
      <c r="T4012" s="84" t="n">
        <f aca="false">IF(AND(ISNUMBER(O4012),ISNUMBER(P4012)),Coef_A+Coef_B1*O4012+Coef_B2*P4012,"")</f>
        <v>17.8080133355014</v>
      </c>
      <c r="U4012" s="84" t="n">
        <f aca="false">IF(AND(R4012=1,ISNUMBER(T4012)),E4012-T4012,"")</f>
        <v>1.69198666449855</v>
      </c>
      <c r="V4012" s="84" t="n">
        <f aca="false">IF(ISNUMBER(T4012),T4012,-99)</f>
        <v>17.8080133355014</v>
      </c>
      <c r="W4012" s="84" t="n">
        <f aca="false">IF(ISNUMBER(U4012),ABS(U4012),"")</f>
        <v>1.69198666449855</v>
      </c>
    </row>
    <row r="4013" customFormat="false" ht="15" hidden="false" customHeight="false" outlineLevel="0" collapsed="false">
      <c r="A4013" s="57" t="n">
        <v>38506</v>
      </c>
      <c r="B4013" s="56" t="n">
        <v>2005</v>
      </c>
      <c r="C4013" s="56" t="n">
        <v>6</v>
      </c>
      <c r="D4013" s="56" t="n">
        <v>34</v>
      </c>
      <c r="E4013" s="56" t="n">
        <v>22.3</v>
      </c>
      <c r="F4013" s="56" t="n">
        <v>0</v>
      </c>
      <c r="G4013" s="56" t="n">
        <v>12.3</v>
      </c>
      <c r="H4013" s="56" t="n">
        <v>0</v>
      </c>
      <c r="I4013" s="56" t="n">
        <v>17.3</v>
      </c>
      <c r="J4013" s="56" t="n">
        <v>0</v>
      </c>
      <c r="K4013" s="56" t="n">
        <v>1008.6</v>
      </c>
      <c r="L4013" s="56" t="n">
        <v>0</v>
      </c>
      <c r="M4013" s="56" t="n">
        <v>76</v>
      </c>
      <c r="N4013" s="56" t="n">
        <v>6.7</v>
      </c>
      <c r="O4013" s="56" t="n">
        <f aca="false">IF(D4013=1,"",E4012)</f>
        <v>19.5</v>
      </c>
      <c r="P4013" s="56" t="n">
        <f aca="false">IF(OR(D4013=1,K4012=""),"",K4012)</f>
        <v>1015</v>
      </c>
      <c r="Q4013" s="56" t="n">
        <f aca="false">IF(OR(F4013&lt;&gt;0,AND(I4013&lt;&gt;"",E4013&lt;I4013)),1,0)</f>
        <v>0</v>
      </c>
      <c r="R4013" s="56" t="n">
        <f aca="false">IF(AND(D4013&gt;1,Q4013=0,ISNUMBER(O4013),ISNUMBER(P4013)),IF(Q4012=0,1,0),0)</f>
        <v>1</v>
      </c>
      <c r="S4013" s="56" t="n">
        <f aca="false">R4013*(B4013&gt;=Train_Start)*(B4013&lt;=Train_End)</f>
        <v>0</v>
      </c>
      <c r="T4013" s="84" t="n">
        <f aca="false">IF(AND(ISNUMBER(O4013),ISNUMBER(P4013)),Coef_A+Coef_B1*O4013+Coef_B2*P4013,"")</f>
        <v>19.9045327398268</v>
      </c>
      <c r="U4013" s="84" t="n">
        <f aca="false">IF(AND(R4013=1,ISNUMBER(T4013)),E4013-T4013,"")</f>
        <v>2.39546726017324</v>
      </c>
      <c r="V4013" s="84" t="n">
        <f aca="false">IF(ISNUMBER(T4013),T4013,-99)</f>
        <v>19.9045327398268</v>
      </c>
      <c r="W4013" s="84" t="n">
        <f aca="false">IF(ISNUMBER(U4013),ABS(U4013),"")</f>
        <v>2.39546726017324</v>
      </c>
    </row>
    <row r="4014" customFormat="false" ht="15" hidden="false" customHeight="false" outlineLevel="0" collapsed="false">
      <c r="A4014" s="57" t="n">
        <v>38507</v>
      </c>
      <c r="B4014" s="56" t="n">
        <v>2005</v>
      </c>
      <c r="C4014" s="56" t="n">
        <v>6</v>
      </c>
      <c r="D4014" s="56" t="n">
        <v>35</v>
      </c>
      <c r="E4014" s="56" t="n">
        <v>20.1</v>
      </c>
      <c r="F4014" s="56" t="n">
        <v>0</v>
      </c>
      <c r="G4014" s="56" t="n">
        <v>11.7</v>
      </c>
      <c r="H4014" s="56" t="n">
        <v>0</v>
      </c>
      <c r="I4014" s="56" t="n">
        <v>15.9</v>
      </c>
      <c r="J4014" s="56" t="n">
        <v>0</v>
      </c>
      <c r="K4014" s="56" t="n">
        <v>1012.3</v>
      </c>
      <c r="L4014" s="56" t="n">
        <v>0</v>
      </c>
      <c r="M4014" s="56" t="n">
        <v>66</v>
      </c>
      <c r="N4014" s="56" t="n">
        <v>6.8</v>
      </c>
      <c r="O4014" s="56" t="n">
        <f aca="false">IF(D4014=1,"",E4013)</f>
        <v>22.3</v>
      </c>
      <c r="P4014" s="56" t="n">
        <f aca="false">IF(OR(D4014=1,K4013=""),"",K4013)</f>
        <v>1008.6</v>
      </c>
      <c r="Q4014" s="56" t="n">
        <f aca="false">IF(OR(F4014&lt;&gt;0,AND(I4014&lt;&gt;"",E4014&lt;I4014)),1,0)</f>
        <v>0</v>
      </c>
      <c r="R4014" s="56" t="n">
        <f aca="false">IF(AND(D4014&gt;1,Q4014=0,ISNUMBER(O4014),ISNUMBER(P4014)),IF(Q4013=0,1,0),0)</f>
        <v>1</v>
      </c>
      <c r="S4014" s="56" t="n">
        <f aca="false">R4014*(B4014&gt;=Train_Start)*(B4014&lt;=Train_End)</f>
        <v>0</v>
      </c>
      <c r="T4014" s="84" t="n">
        <f aca="false">IF(AND(ISNUMBER(O4014),ISNUMBER(P4014)),Coef_A+Coef_B1*O4014+Coef_B2*P4014,"")</f>
        <v>21.9979151546887</v>
      </c>
      <c r="U4014" s="84" t="n">
        <f aca="false">IF(AND(R4014=1,ISNUMBER(T4014)),E4014-T4014,"")</f>
        <v>-1.89791515468866</v>
      </c>
      <c r="V4014" s="84" t="n">
        <f aca="false">IF(ISNUMBER(T4014),T4014,-99)</f>
        <v>21.9979151546887</v>
      </c>
      <c r="W4014" s="84" t="n">
        <f aca="false">IF(ISNUMBER(U4014),ABS(U4014),"")</f>
        <v>1.89791515468866</v>
      </c>
    </row>
    <row r="4015" customFormat="false" ht="15" hidden="false" customHeight="false" outlineLevel="0" collapsed="false">
      <c r="A4015" s="57" t="n">
        <v>38508</v>
      </c>
      <c r="B4015" s="56" t="n">
        <v>2005</v>
      </c>
      <c r="C4015" s="56" t="n">
        <v>6</v>
      </c>
      <c r="D4015" s="56" t="n">
        <v>36</v>
      </c>
      <c r="E4015" s="56" t="n">
        <v>18.7</v>
      </c>
      <c r="F4015" s="56" t="n">
        <v>0</v>
      </c>
      <c r="G4015" s="56" t="n">
        <v>11.7</v>
      </c>
      <c r="H4015" s="56" t="n">
        <v>0</v>
      </c>
      <c r="I4015" s="56" t="n">
        <v>15.2</v>
      </c>
      <c r="J4015" s="56" t="n">
        <v>0</v>
      </c>
      <c r="K4015" s="56" t="n">
        <v>1017.3</v>
      </c>
      <c r="L4015" s="56" t="n">
        <v>0</v>
      </c>
      <c r="M4015" s="56" t="n">
        <v>72</v>
      </c>
      <c r="N4015" s="56" t="n">
        <v>1.4</v>
      </c>
      <c r="O4015" s="56" t="n">
        <f aca="false">IF(D4015=1,"",E4014)</f>
        <v>20.1</v>
      </c>
      <c r="P4015" s="56" t="n">
        <f aca="false">IF(OR(D4015=1,K4014=""),"",K4014)</f>
        <v>1012.3</v>
      </c>
      <c r="Q4015" s="56" t="n">
        <f aca="false">IF(OR(F4015&lt;&gt;0,AND(I4015&lt;&gt;"",E4015&lt;I4015)),1,0)</f>
        <v>0</v>
      </c>
      <c r="R4015" s="56" t="n">
        <f aca="false">IF(AND(D4015&gt;1,Q4015=0,ISNUMBER(O4015),ISNUMBER(P4015)),IF(Q4014=0,1,0),0)</f>
        <v>1</v>
      </c>
      <c r="S4015" s="56" t="n">
        <f aca="false">R4015*(B4015&gt;=Train_Start)*(B4015&lt;=Train_End)</f>
        <v>0</v>
      </c>
      <c r="T4015" s="84" t="n">
        <f aca="false">IF(AND(ISNUMBER(O4015),ISNUMBER(P4015)),Coef_A+Coef_B1*O4015+Coef_B2*P4015,"")</f>
        <v>20.3114375401406</v>
      </c>
      <c r="U4015" s="84" t="n">
        <f aca="false">IF(AND(R4015=1,ISNUMBER(T4015)),E4015-T4015,"")</f>
        <v>-1.61143754014058</v>
      </c>
      <c r="V4015" s="84" t="n">
        <f aca="false">IF(ISNUMBER(T4015),T4015,-99)</f>
        <v>20.3114375401406</v>
      </c>
      <c r="W4015" s="84" t="n">
        <f aca="false">IF(ISNUMBER(U4015),ABS(U4015),"")</f>
        <v>1.61143754014058</v>
      </c>
    </row>
    <row r="4016" customFormat="false" ht="15" hidden="false" customHeight="false" outlineLevel="0" collapsed="false">
      <c r="A4016" s="57" t="n">
        <v>38509</v>
      </c>
      <c r="B4016" s="56" t="n">
        <v>2005</v>
      </c>
      <c r="C4016" s="56" t="n">
        <v>6</v>
      </c>
      <c r="D4016" s="56" t="n">
        <v>37</v>
      </c>
      <c r="E4016" s="56" t="n">
        <v>16.9</v>
      </c>
      <c r="F4016" s="56" t="n">
        <v>0</v>
      </c>
      <c r="G4016" s="56" t="n">
        <v>13</v>
      </c>
      <c r="H4016" s="56" t="n">
        <v>0</v>
      </c>
      <c r="I4016" s="56" t="n">
        <v>15</v>
      </c>
      <c r="J4016" s="56" t="n">
        <v>0</v>
      </c>
      <c r="K4016" s="56" t="n">
        <v>1024</v>
      </c>
      <c r="L4016" s="56" t="n">
        <v>0</v>
      </c>
      <c r="M4016" s="56" t="n">
        <v>71</v>
      </c>
      <c r="N4016" s="56" t="n">
        <v>1</v>
      </c>
      <c r="O4016" s="56" t="n">
        <f aca="false">IF(D4016=1,"",E4015)</f>
        <v>18.7</v>
      </c>
      <c r="P4016" s="56" t="n">
        <f aca="false">IF(OR(D4016=1,K4015=""),"",K4015)</f>
        <v>1017.3</v>
      </c>
      <c r="Q4016" s="56" t="n">
        <f aca="false">IF(OR(F4016&lt;&gt;0,AND(I4016&lt;&gt;"",E4016&lt;I4016)),1,0)</f>
        <v>0</v>
      </c>
      <c r="R4016" s="56" t="n">
        <f aca="false">IF(AND(D4016&gt;1,Q4016=0,ISNUMBER(O4016),ISNUMBER(P4016)),IF(Q4015=0,1,0),0)</f>
        <v>1</v>
      </c>
      <c r="S4016" s="56" t="n">
        <f aca="false">R4016*(B4016&gt;=Train_Start)*(B4016&lt;=Train_End)</f>
        <v>0</v>
      </c>
      <c r="T4016" s="84" t="n">
        <f aca="false">IF(AND(ISNUMBER(O4016),ISNUMBER(P4016)),Coef_A+Coef_B1*O4016+Coef_B2*P4016,"")</f>
        <v>19.3212121430508</v>
      </c>
      <c r="U4016" s="84" t="n">
        <f aca="false">IF(AND(R4016=1,ISNUMBER(T4016)),E4016-T4016,"")</f>
        <v>-2.4212121430508</v>
      </c>
      <c r="V4016" s="84" t="n">
        <f aca="false">IF(ISNUMBER(T4016),T4016,-99)</f>
        <v>19.3212121430508</v>
      </c>
      <c r="W4016" s="84" t="n">
        <f aca="false">IF(ISNUMBER(U4016),ABS(U4016),"")</f>
        <v>2.4212121430508</v>
      </c>
    </row>
    <row r="4017" customFormat="false" ht="15" hidden="false" customHeight="false" outlineLevel="0" collapsed="false">
      <c r="A4017" s="57" t="n">
        <v>38510</v>
      </c>
      <c r="B4017" s="56" t="n">
        <v>2005</v>
      </c>
      <c r="C4017" s="56" t="n">
        <v>6</v>
      </c>
      <c r="D4017" s="56" t="n">
        <v>38</v>
      </c>
      <c r="E4017" s="56" t="n">
        <v>18.2</v>
      </c>
      <c r="F4017" s="56" t="n">
        <v>0</v>
      </c>
      <c r="G4017" s="56" t="n">
        <v>5.8</v>
      </c>
      <c r="H4017" s="56" t="n">
        <v>0</v>
      </c>
      <c r="I4017" s="56" t="n">
        <v>12</v>
      </c>
      <c r="J4017" s="56" t="n">
        <v>0</v>
      </c>
      <c r="K4017" s="56" t="n">
        <v>1036</v>
      </c>
      <c r="L4017" s="56" t="n">
        <v>0</v>
      </c>
      <c r="M4017" s="56" t="n">
        <v>59</v>
      </c>
      <c r="N4017" s="56" t="n">
        <v>14.6</v>
      </c>
      <c r="O4017" s="56" t="n">
        <f aca="false">IF(D4017=1,"",E4016)</f>
        <v>16.9</v>
      </c>
      <c r="P4017" s="56" t="n">
        <f aca="false">IF(OR(D4017=1,K4016=""),"",K4016)</f>
        <v>1024</v>
      </c>
      <c r="Q4017" s="56" t="n">
        <f aca="false">IF(OR(F4017&lt;&gt;0,AND(I4017&lt;&gt;"",E4017&lt;I4017)),1,0)</f>
        <v>0</v>
      </c>
      <c r="R4017" s="56" t="n">
        <f aca="false">IF(AND(D4017&gt;1,Q4017=0,ISNUMBER(O4017),ISNUMBER(P4017)),IF(Q4016=0,1,0),0)</f>
        <v>1</v>
      </c>
      <c r="S4017" s="56" t="n">
        <f aca="false">R4017*(B4017&gt;=Train_Start)*(B4017&lt;=Train_End)</f>
        <v>0</v>
      </c>
      <c r="T4017" s="84" t="n">
        <f aca="false">IF(AND(ISNUMBER(O4017),ISNUMBER(P4017)),Coef_A+Coef_B1*O4017+Coef_B2*P4017,"")</f>
        <v>18.0565798896217</v>
      </c>
      <c r="U4017" s="84" t="n">
        <f aca="false">IF(AND(R4017=1,ISNUMBER(T4017)),E4017-T4017,"")</f>
        <v>0.143420110378251</v>
      </c>
      <c r="V4017" s="84" t="n">
        <f aca="false">IF(ISNUMBER(T4017),T4017,-99)</f>
        <v>18.0565798896217</v>
      </c>
      <c r="W4017" s="84" t="n">
        <f aca="false">IF(ISNUMBER(U4017),ABS(U4017),"")</f>
        <v>0.143420110378251</v>
      </c>
    </row>
    <row r="4018" customFormat="false" ht="15" hidden="false" customHeight="false" outlineLevel="0" collapsed="false">
      <c r="A4018" s="57" t="n">
        <v>38511</v>
      </c>
      <c r="B4018" s="56" t="n">
        <v>2005</v>
      </c>
      <c r="C4018" s="56" t="n">
        <v>6</v>
      </c>
      <c r="D4018" s="56" t="n">
        <v>39</v>
      </c>
      <c r="E4018" s="56" t="n">
        <v>21.4</v>
      </c>
      <c r="F4018" s="56" t="n">
        <v>0</v>
      </c>
      <c r="G4018" s="56" t="n">
        <v>7.2</v>
      </c>
      <c r="H4018" s="56" t="n">
        <v>0</v>
      </c>
      <c r="I4018" s="56" t="n">
        <v>14.3</v>
      </c>
      <c r="J4018" s="56" t="n">
        <v>0</v>
      </c>
      <c r="K4018" s="56" t="n">
        <v>1036.8</v>
      </c>
      <c r="L4018" s="56" t="n">
        <v>0</v>
      </c>
      <c r="M4018" s="56" t="n">
        <v>50</v>
      </c>
      <c r="N4018" s="56" t="n">
        <v>15.3</v>
      </c>
      <c r="O4018" s="56" t="n">
        <f aca="false">IF(D4018=1,"",E4017)</f>
        <v>18.2</v>
      </c>
      <c r="P4018" s="56" t="n">
        <f aca="false">IF(OR(D4018=1,K4017=""),"",K4017)</f>
        <v>1036</v>
      </c>
      <c r="Q4018" s="56" t="n">
        <f aca="false">IF(OR(F4018&lt;&gt;0,AND(I4018&lt;&gt;"",E4018&lt;I4018)),1,0)</f>
        <v>0</v>
      </c>
      <c r="R4018" s="56" t="n">
        <f aca="false">IF(AND(D4018&gt;1,Q4018=0,ISNUMBER(O4018),ISNUMBER(P4018)),IF(Q4017=0,1,0),0)</f>
        <v>1</v>
      </c>
      <c r="S4018" s="56" t="n">
        <f aca="false">R4018*(B4018&gt;=Train_Start)*(B4018&lt;=Train_End)</f>
        <v>0</v>
      </c>
      <c r="T4018" s="84" t="n">
        <f aca="false">IF(AND(ISNUMBER(O4018),ISNUMBER(P4018)),Coef_A+Coef_B1*O4018+Coef_B2*P4018,"")</f>
        <v>19.4981595761851</v>
      </c>
      <c r="U4018" s="84" t="n">
        <f aca="false">IF(AND(R4018=1,ISNUMBER(T4018)),E4018-T4018,"")</f>
        <v>1.90184042381492</v>
      </c>
      <c r="V4018" s="84" t="n">
        <f aca="false">IF(ISNUMBER(T4018),T4018,-99)</f>
        <v>19.4981595761851</v>
      </c>
      <c r="W4018" s="84" t="n">
        <f aca="false">IF(ISNUMBER(U4018),ABS(U4018),"")</f>
        <v>1.90184042381492</v>
      </c>
    </row>
    <row r="4019" customFormat="false" ht="15" hidden="false" customHeight="false" outlineLevel="0" collapsed="false">
      <c r="A4019" s="57" t="n">
        <v>38512</v>
      </c>
      <c r="B4019" s="56" t="n">
        <v>2005</v>
      </c>
      <c r="C4019" s="56" t="n">
        <v>6</v>
      </c>
      <c r="D4019" s="56" t="n">
        <v>40</v>
      </c>
      <c r="E4019" s="56" t="n">
        <v>22.9</v>
      </c>
      <c r="F4019" s="56" t="n">
        <v>0</v>
      </c>
      <c r="G4019" s="56" t="n">
        <v>9.3</v>
      </c>
      <c r="H4019" s="56" t="n">
        <v>0</v>
      </c>
      <c r="I4019" s="56" t="n">
        <v>16.1</v>
      </c>
      <c r="J4019" s="56" t="n">
        <v>0</v>
      </c>
      <c r="K4019" s="56" t="n">
        <v>1031.3</v>
      </c>
      <c r="L4019" s="56" t="n">
        <v>0</v>
      </c>
      <c r="M4019" s="56" t="n">
        <v>52</v>
      </c>
      <c r="N4019" s="56" t="n">
        <v>8.8</v>
      </c>
      <c r="O4019" s="56" t="n">
        <f aca="false">IF(D4019=1,"",E4018)</f>
        <v>21.4</v>
      </c>
      <c r="P4019" s="56" t="n">
        <f aca="false">IF(OR(D4019=1,K4018=""),"",K4018)</f>
        <v>1036.8</v>
      </c>
      <c r="Q4019" s="56" t="n">
        <f aca="false">IF(OR(F4019&lt;&gt;0,AND(I4019&lt;&gt;"",E4019&lt;I4019)),1,0)</f>
        <v>0</v>
      </c>
      <c r="R4019" s="56" t="n">
        <f aca="false">IF(AND(D4019&gt;1,Q4019=0,ISNUMBER(O4019),ISNUMBER(P4019)),IF(Q4018=0,1,0),0)</f>
        <v>1</v>
      </c>
      <c r="S4019" s="56" t="n">
        <f aca="false">R4019*(B4019&gt;=Train_Start)*(B4019&lt;=Train_End)</f>
        <v>0</v>
      </c>
      <c r="T4019" s="84" t="n">
        <f aca="false">IF(AND(ISNUMBER(O4019),ISNUMBER(P4019)),Coef_A+Coef_B1*O4019+Coef_B2*P4019,"")</f>
        <v>22.1451409096288</v>
      </c>
      <c r="U4019" s="84" t="n">
        <f aca="false">IF(AND(R4019=1,ISNUMBER(T4019)),E4019-T4019,"")</f>
        <v>0.75485909037123</v>
      </c>
      <c r="V4019" s="84" t="n">
        <f aca="false">IF(ISNUMBER(T4019),T4019,-99)</f>
        <v>22.1451409096288</v>
      </c>
      <c r="W4019" s="84" t="n">
        <f aca="false">IF(ISNUMBER(U4019),ABS(U4019),"")</f>
        <v>0.75485909037123</v>
      </c>
    </row>
    <row r="4020" customFormat="false" ht="15" hidden="false" customHeight="false" outlineLevel="0" collapsed="false">
      <c r="A4020" s="57" t="n">
        <v>38513</v>
      </c>
      <c r="B4020" s="56" t="n">
        <v>2005</v>
      </c>
      <c r="C4020" s="56" t="n">
        <v>6</v>
      </c>
      <c r="D4020" s="56" t="n">
        <v>41</v>
      </c>
      <c r="E4020" s="56" t="n">
        <v>19.7</v>
      </c>
      <c r="F4020" s="56" t="n">
        <v>0</v>
      </c>
      <c r="G4020" s="56" t="n">
        <v>14.6</v>
      </c>
      <c r="H4020" s="56" t="n">
        <v>0</v>
      </c>
      <c r="I4020" s="56" t="n">
        <v>17.2</v>
      </c>
      <c r="J4020" s="56" t="n">
        <v>0</v>
      </c>
      <c r="K4020" s="56" t="n">
        <v>1024.5</v>
      </c>
      <c r="L4020" s="56" t="n">
        <v>0</v>
      </c>
      <c r="M4020" s="56" t="n">
        <v>68</v>
      </c>
      <c r="N4020" s="56" t="n">
        <v>4</v>
      </c>
      <c r="O4020" s="56" t="n">
        <f aca="false">IF(D4020=1,"",E4019)</f>
        <v>22.9</v>
      </c>
      <c r="P4020" s="56" t="n">
        <f aca="false">IF(OR(D4020=1,K4019=""),"",K4019)</f>
        <v>1031.3</v>
      </c>
      <c r="Q4020" s="56" t="n">
        <f aca="false">IF(OR(F4020&lt;&gt;0,AND(I4020&lt;&gt;"",E4020&lt;I4020)),1,0)</f>
        <v>0</v>
      </c>
      <c r="R4020" s="56" t="n">
        <f aca="false">IF(AND(D4020&gt;1,Q4020=0,ISNUMBER(O4020),ISNUMBER(P4020)),IF(Q4019=0,1,0),0)</f>
        <v>1</v>
      </c>
      <c r="S4020" s="56" t="n">
        <f aca="false">R4020*(B4020&gt;=Train_Start)*(B4020&lt;=Train_End)</f>
        <v>0</v>
      </c>
      <c r="T4020" s="84" t="n">
        <f aca="false">IF(AND(ISNUMBER(O4020),ISNUMBER(P4020)),Coef_A+Coef_B1*O4020+Coef_B2*P4020,"")</f>
        <v>23.2016152787058</v>
      </c>
      <c r="U4020" s="84" t="n">
        <f aca="false">IF(AND(R4020=1,ISNUMBER(T4020)),E4020-T4020,"")</f>
        <v>-3.50161527870581</v>
      </c>
      <c r="V4020" s="84" t="n">
        <f aca="false">IF(ISNUMBER(T4020),T4020,-99)</f>
        <v>23.2016152787058</v>
      </c>
      <c r="W4020" s="84" t="n">
        <f aca="false">IF(ISNUMBER(U4020),ABS(U4020),"")</f>
        <v>3.50161527870581</v>
      </c>
    </row>
    <row r="4021" customFormat="false" ht="15" hidden="false" customHeight="false" outlineLevel="0" collapsed="false">
      <c r="A4021" s="57" t="n">
        <v>38514</v>
      </c>
      <c r="B4021" s="56" t="n">
        <v>2005</v>
      </c>
      <c r="C4021" s="56" t="n">
        <v>6</v>
      </c>
      <c r="D4021" s="56" t="n">
        <v>42</v>
      </c>
      <c r="E4021" s="56" t="n">
        <v>17.7</v>
      </c>
      <c r="F4021" s="56" t="n">
        <v>0</v>
      </c>
      <c r="G4021" s="56" t="n">
        <v>7</v>
      </c>
      <c r="H4021" s="56" t="n">
        <v>0</v>
      </c>
      <c r="I4021" s="56" t="n">
        <v>12.4</v>
      </c>
      <c r="J4021" s="56" t="n">
        <v>0</v>
      </c>
      <c r="K4021" s="56" t="n">
        <v>1018.9</v>
      </c>
      <c r="L4021" s="56" t="n">
        <v>0</v>
      </c>
      <c r="M4021" s="56" t="n">
        <v>67</v>
      </c>
      <c r="N4021" s="56" t="n">
        <v>6.6</v>
      </c>
      <c r="O4021" s="56" t="n">
        <f aca="false">IF(D4021=1,"",E4020)</f>
        <v>19.7</v>
      </c>
      <c r="P4021" s="56" t="n">
        <f aca="false">IF(OR(D4021=1,K4020=""),"",K4020)</f>
        <v>1024.5</v>
      </c>
      <c r="Q4021" s="56" t="n">
        <f aca="false">IF(OR(F4021&lt;&gt;0,AND(I4021&lt;&gt;"",E4021&lt;I4021)),1,0)</f>
        <v>0</v>
      </c>
      <c r="R4021" s="56" t="n">
        <f aca="false">IF(AND(D4021&gt;1,Q4021=0,ISNUMBER(O4021),ISNUMBER(P4021)),IF(Q4020=0,1,0),0)</f>
        <v>1</v>
      </c>
      <c r="S4021" s="56" t="n">
        <f aca="false">R4021*(B4021&gt;=Train_Start)*(B4021&lt;=Train_End)</f>
        <v>0</v>
      </c>
      <c r="T4021" s="84" t="n">
        <f aca="false">IF(AND(ISNUMBER(O4021),ISNUMBER(P4021)),Coef_A+Coef_B1*O4021+Coef_B2*P4021,"")</f>
        <v>20.3664145774582</v>
      </c>
      <c r="U4021" s="84" t="n">
        <f aca="false">IF(AND(R4021=1,ISNUMBER(T4021)),E4021-T4021,"")</f>
        <v>-2.66641457745818</v>
      </c>
      <c r="V4021" s="84" t="n">
        <f aca="false">IF(ISNUMBER(T4021),T4021,-99)</f>
        <v>20.3664145774582</v>
      </c>
      <c r="W4021" s="84" t="n">
        <f aca="false">IF(ISNUMBER(U4021),ABS(U4021),"")</f>
        <v>2.66641457745818</v>
      </c>
    </row>
    <row r="4022" customFormat="false" ht="15" hidden="false" customHeight="false" outlineLevel="0" collapsed="false">
      <c r="A4022" s="57" t="n">
        <v>38515</v>
      </c>
      <c r="B4022" s="56" t="n">
        <v>2005</v>
      </c>
      <c r="C4022" s="56" t="n">
        <v>6</v>
      </c>
      <c r="D4022" s="56" t="n">
        <v>43</v>
      </c>
      <c r="E4022" s="56" t="n">
        <v>19.7</v>
      </c>
      <c r="F4022" s="56" t="n">
        <v>0</v>
      </c>
      <c r="G4022" s="56" t="n">
        <v>11.1</v>
      </c>
      <c r="H4022" s="56" t="n">
        <v>0</v>
      </c>
      <c r="I4022" s="56" t="n">
        <v>15.4</v>
      </c>
      <c r="J4022" s="56" t="n">
        <v>0</v>
      </c>
      <c r="K4022" s="56" t="n">
        <v>1010.2</v>
      </c>
      <c r="L4022" s="56" t="n">
        <v>0</v>
      </c>
      <c r="M4022" s="56" t="n">
        <v>66</v>
      </c>
      <c r="N4022" s="56" t="n">
        <v>3.8</v>
      </c>
      <c r="O4022" s="56" t="n">
        <f aca="false">IF(D4022=1,"",E4021)</f>
        <v>17.7</v>
      </c>
      <c r="P4022" s="56" t="n">
        <f aca="false">IF(OR(D4022=1,K4021=""),"",K4021)</f>
        <v>1018.9</v>
      </c>
      <c r="Q4022" s="56" t="n">
        <f aca="false">IF(OR(F4022&lt;&gt;0,AND(I4022&lt;&gt;"",E4022&lt;I4022)),1,0)</f>
        <v>0</v>
      </c>
      <c r="R4022" s="56" t="n">
        <f aca="false">IF(AND(D4022&gt;1,Q4022=0,ISNUMBER(O4022),ISNUMBER(P4022)),IF(Q4021=0,1,0),0)</f>
        <v>1</v>
      </c>
      <c r="S4022" s="56" t="n">
        <f aca="false">R4022*(B4022&gt;=Train_Start)*(B4022&lt;=Train_End)</f>
        <v>0</v>
      </c>
      <c r="T4022" s="84" t="n">
        <f aca="false">IF(AND(ISNUMBER(O4022),ISNUMBER(P4022)),Coef_A+Coef_B1*O4022+Coef_B2*P4022,"")</f>
        <v>18.5520647814225</v>
      </c>
      <c r="U4022" s="84" t="n">
        <f aca="false">IF(AND(R4022=1,ISNUMBER(T4022)),E4022-T4022,"")</f>
        <v>1.14793521857747</v>
      </c>
      <c r="V4022" s="84" t="n">
        <f aca="false">IF(ISNUMBER(T4022),T4022,-99)</f>
        <v>18.5520647814225</v>
      </c>
      <c r="W4022" s="84" t="n">
        <f aca="false">IF(ISNUMBER(U4022),ABS(U4022),"")</f>
        <v>1.14793521857747</v>
      </c>
    </row>
    <row r="4023" customFormat="false" ht="15" hidden="false" customHeight="false" outlineLevel="0" collapsed="false">
      <c r="A4023" s="57" t="n">
        <v>38516</v>
      </c>
      <c r="B4023" s="56" t="n">
        <v>2005</v>
      </c>
      <c r="C4023" s="56" t="n">
        <v>6</v>
      </c>
      <c r="D4023" s="56" t="n">
        <v>44</v>
      </c>
      <c r="E4023" s="56" t="n">
        <v>19.9</v>
      </c>
      <c r="F4023" s="56" t="n">
        <v>0</v>
      </c>
      <c r="G4023" s="56" t="n">
        <v>5.9</v>
      </c>
      <c r="H4023" s="56" t="n">
        <v>0</v>
      </c>
      <c r="I4023" s="56" t="n">
        <v>12.9</v>
      </c>
      <c r="J4023" s="56" t="n">
        <v>0</v>
      </c>
      <c r="K4023" s="56" t="n">
        <v>1007.8</v>
      </c>
      <c r="L4023" s="56" t="n">
        <v>0</v>
      </c>
      <c r="M4023" s="56" t="n">
        <v>60</v>
      </c>
      <c r="N4023" s="56" t="n">
        <v>13</v>
      </c>
      <c r="O4023" s="56" t="n">
        <f aca="false">IF(D4023=1,"",E4022)</f>
        <v>19.7</v>
      </c>
      <c r="P4023" s="56" t="n">
        <f aca="false">IF(OR(D4023=1,K4022=""),"",K4022)</f>
        <v>1010.2</v>
      </c>
      <c r="Q4023" s="56" t="n">
        <f aca="false">IF(OR(F4023&lt;&gt;0,AND(I4023&lt;&gt;"",E4023&lt;I4023)),1,0)</f>
        <v>0</v>
      </c>
      <c r="R4023" s="56" t="n">
        <f aca="false">IF(AND(D4023&gt;1,Q4023=0,ISNUMBER(O4023),ISNUMBER(P4023)),IF(Q4022=0,1,0),0)</f>
        <v>1</v>
      </c>
      <c r="S4023" s="56" t="n">
        <f aca="false">R4023*(B4023&gt;=Train_Start)*(B4023&lt;=Train_End)</f>
        <v>0</v>
      </c>
      <c r="T4023" s="84" t="n">
        <f aca="false">IF(AND(ISNUMBER(O4023),ISNUMBER(P4023)),Coef_A+Coef_B1*O4023+Coef_B2*P4023,"")</f>
        <v>19.9178250841921</v>
      </c>
      <c r="U4023" s="84" t="n">
        <f aca="false">IF(AND(R4023=1,ISNUMBER(T4023)),E4023-T4023,"")</f>
        <v>-0.0178250841921361</v>
      </c>
      <c r="V4023" s="84" t="n">
        <f aca="false">IF(ISNUMBER(T4023),T4023,-99)</f>
        <v>19.9178250841921</v>
      </c>
      <c r="W4023" s="84" t="n">
        <f aca="false">IF(ISNUMBER(U4023),ABS(U4023),"")</f>
        <v>0.0178250841921361</v>
      </c>
    </row>
    <row r="4024" customFormat="false" ht="15" hidden="false" customHeight="false" outlineLevel="0" collapsed="false">
      <c r="A4024" s="57" t="n">
        <v>38517</v>
      </c>
      <c r="B4024" s="56" t="n">
        <v>2005</v>
      </c>
      <c r="C4024" s="56" t="n">
        <v>6</v>
      </c>
      <c r="D4024" s="56" t="n">
        <v>45</v>
      </c>
      <c r="E4024" s="56" t="n">
        <v>20.7</v>
      </c>
      <c r="F4024" s="56" t="n">
        <v>0</v>
      </c>
      <c r="G4024" s="56" t="n">
        <v>8.3</v>
      </c>
      <c r="H4024" s="56" t="n">
        <v>0</v>
      </c>
      <c r="I4024" s="56" t="n">
        <v>14.5</v>
      </c>
      <c r="J4024" s="56" t="n">
        <v>0</v>
      </c>
      <c r="K4024" s="56" t="n">
        <v>1010.5</v>
      </c>
      <c r="L4024" s="56" t="n">
        <v>0</v>
      </c>
      <c r="M4024" s="56" t="n">
        <v>65</v>
      </c>
      <c r="N4024" s="56" t="n">
        <v>6.8</v>
      </c>
      <c r="O4024" s="56" t="n">
        <f aca="false">IF(D4024=1,"",E4023)</f>
        <v>19.9</v>
      </c>
      <c r="P4024" s="56" t="n">
        <f aca="false">IF(OR(D4024=1,K4023=""),"",K4023)</f>
        <v>1007.8</v>
      </c>
      <c r="Q4024" s="56" t="n">
        <f aca="false">IF(OR(F4024&lt;&gt;0,AND(I4024&lt;&gt;"",E4024&lt;I4024)),1,0)</f>
        <v>0</v>
      </c>
      <c r="R4024" s="56" t="n">
        <f aca="false">IF(AND(D4024&gt;1,Q4024=0,ISNUMBER(O4024),ISNUMBER(P4024)),IF(Q4023=0,1,0),0)</f>
        <v>1</v>
      </c>
      <c r="S4024" s="56" t="n">
        <f aca="false">R4024*(B4024&gt;=Train_Start)*(B4024&lt;=Train_End)</f>
        <v>0</v>
      </c>
      <c r="T4024" s="84" t="n">
        <f aca="false">IF(AND(ISNUMBER(O4024),ISNUMBER(P4024)),Coef_A+Coef_B1*O4024+Coef_B2*P4024,"")</f>
        <v>20.0064051756791</v>
      </c>
      <c r="U4024" s="84" t="n">
        <f aca="false">IF(AND(R4024=1,ISNUMBER(T4024)),E4024-T4024,"")</f>
        <v>0.693594824320908</v>
      </c>
      <c r="V4024" s="84" t="n">
        <f aca="false">IF(ISNUMBER(T4024),T4024,-99)</f>
        <v>20.0064051756791</v>
      </c>
      <c r="W4024" s="84" t="n">
        <f aca="false">IF(ISNUMBER(U4024),ABS(U4024),"")</f>
        <v>0.693594824320908</v>
      </c>
    </row>
    <row r="4025" customFormat="false" ht="15" hidden="false" customHeight="false" outlineLevel="0" collapsed="false">
      <c r="A4025" s="57" t="n">
        <v>38518</v>
      </c>
      <c r="B4025" s="56" t="n">
        <v>2005</v>
      </c>
      <c r="C4025" s="56" t="n">
        <v>6</v>
      </c>
      <c r="D4025" s="56" t="n">
        <v>46</v>
      </c>
      <c r="E4025" s="56" t="n">
        <v>21.5</v>
      </c>
      <c r="F4025" s="56" t="n">
        <v>0</v>
      </c>
      <c r="G4025" s="56" t="n">
        <v>11.5</v>
      </c>
      <c r="H4025" s="56" t="n">
        <v>0</v>
      </c>
      <c r="I4025" s="56" t="n">
        <v>16.5</v>
      </c>
      <c r="J4025" s="56" t="n">
        <v>0</v>
      </c>
      <c r="K4025" s="56" t="n">
        <v>1013.4</v>
      </c>
      <c r="L4025" s="56" t="n">
        <v>0</v>
      </c>
      <c r="M4025" s="56" t="n">
        <v>75</v>
      </c>
      <c r="N4025" s="56" t="n">
        <v>5.6</v>
      </c>
      <c r="O4025" s="56" t="n">
        <f aca="false">IF(D4025=1,"",E4024)</f>
        <v>20.7</v>
      </c>
      <c r="P4025" s="56" t="n">
        <f aca="false">IF(OR(D4025=1,K4024=""),"",K4024)</f>
        <v>1010.5</v>
      </c>
      <c r="Q4025" s="56" t="n">
        <f aca="false">IF(OR(F4025&lt;&gt;0,AND(I4025&lt;&gt;"",E4025&lt;I4025)),1,0)</f>
        <v>0</v>
      </c>
      <c r="R4025" s="56" t="n">
        <f aca="false">IF(AND(D4025&gt;1,Q4025=0,ISNUMBER(O4025),ISNUMBER(P4025)),IF(Q4024=0,1,0),0)</f>
        <v>1</v>
      </c>
      <c r="S4025" s="56" t="n">
        <f aca="false">R4025*(B4025&gt;=Train_Start)*(B4025&lt;=Train_End)</f>
        <v>0</v>
      </c>
      <c r="T4025" s="84" t="n">
        <f aca="false">IF(AND(ISNUMBER(O4025),ISNUMBER(P4025)),Coef_A+Coef_B1*O4025+Coef_B2*P4025,"")</f>
        <v>20.746575245625</v>
      </c>
      <c r="U4025" s="84" t="n">
        <f aca="false">IF(AND(R4025=1,ISNUMBER(T4025)),E4025-T4025,"")</f>
        <v>0.753424754375011</v>
      </c>
      <c r="V4025" s="84" t="n">
        <f aca="false">IF(ISNUMBER(T4025),T4025,-99)</f>
        <v>20.746575245625</v>
      </c>
      <c r="W4025" s="84" t="n">
        <f aca="false">IF(ISNUMBER(U4025),ABS(U4025),"")</f>
        <v>0.753424754375011</v>
      </c>
    </row>
    <row r="4026" customFormat="false" ht="15" hidden="false" customHeight="false" outlineLevel="0" collapsed="false">
      <c r="A4026" s="57" t="n">
        <v>38519</v>
      </c>
      <c r="B4026" s="56" t="n">
        <v>2005</v>
      </c>
      <c r="C4026" s="56" t="n">
        <v>6</v>
      </c>
      <c r="D4026" s="56" t="n">
        <v>47</v>
      </c>
      <c r="E4026" s="56" t="n">
        <v>20.5</v>
      </c>
      <c r="F4026" s="56" t="n">
        <v>0</v>
      </c>
      <c r="G4026" s="56" t="n">
        <v>13.3</v>
      </c>
      <c r="H4026" s="56" t="n">
        <v>0</v>
      </c>
      <c r="I4026" s="56" t="n">
        <v>16.9</v>
      </c>
      <c r="J4026" s="56" t="n">
        <v>0</v>
      </c>
      <c r="K4026" s="56" t="n">
        <v>1020</v>
      </c>
      <c r="L4026" s="56" t="n">
        <v>0</v>
      </c>
      <c r="M4026" s="56" t="n">
        <v>81</v>
      </c>
      <c r="N4026" s="56" t="n">
        <v>1.3</v>
      </c>
      <c r="O4026" s="56" t="n">
        <f aca="false">IF(D4026=1,"",E4025)</f>
        <v>21.5</v>
      </c>
      <c r="P4026" s="56" t="n">
        <f aca="false">IF(OR(D4026=1,K4025=""),"",K4025)</f>
        <v>1013.4</v>
      </c>
      <c r="Q4026" s="56" t="n">
        <f aca="false">IF(OR(F4026&lt;&gt;0,AND(I4026&lt;&gt;"",E4026&lt;I4026)),1,0)</f>
        <v>0</v>
      </c>
      <c r="R4026" s="56" t="n">
        <f aca="false">IF(AND(D4026&gt;1,Q4026=0,ISNUMBER(O4026),ISNUMBER(P4026)),IF(Q4025=0,1,0),0)</f>
        <v>1</v>
      </c>
      <c r="S4026" s="56" t="n">
        <f aca="false">R4026*(B4026&gt;=Train_Start)*(B4026&lt;=Train_End)</f>
        <v>0</v>
      </c>
      <c r="T4026" s="84" t="n">
        <f aca="false">IF(AND(ISNUMBER(O4026),ISNUMBER(P4026)),Coef_A+Coef_B1*O4026+Coef_B2*P4026,"")</f>
        <v>21.4930192944977</v>
      </c>
      <c r="U4026" s="84" t="n">
        <f aca="false">IF(AND(R4026=1,ISNUMBER(T4026)),E4026-T4026,"")</f>
        <v>-0.993019294497685</v>
      </c>
      <c r="V4026" s="84" t="n">
        <f aca="false">IF(ISNUMBER(T4026),T4026,-99)</f>
        <v>21.4930192944977</v>
      </c>
      <c r="W4026" s="84" t="n">
        <f aca="false">IF(ISNUMBER(U4026),ABS(U4026),"")</f>
        <v>0.993019294497685</v>
      </c>
    </row>
    <row r="4027" customFormat="false" ht="15" hidden="false" customHeight="false" outlineLevel="0" collapsed="false">
      <c r="A4027" s="57" t="n">
        <v>38520</v>
      </c>
      <c r="B4027" s="56" t="n">
        <v>2005</v>
      </c>
      <c r="C4027" s="56" t="n">
        <v>6</v>
      </c>
      <c r="D4027" s="56" t="n">
        <v>48</v>
      </c>
      <c r="E4027" s="56" t="n">
        <v>26.4</v>
      </c>
      <c r="F4027" s="56" t="n">
        <v>0</v>
      </c>
      <c r="G4027" s="56" t="n">
        <v>15.1</v>
      </c>
      <c r="H4027" s="56" t="n">
        <v>0</v>
      </c>
      <c r="I4027" s="56" t="n">
        <v>21.9</v>
      </c>
      <c r="J4027" s="56" t="n">
        <v>0</v>
      </c>
      <c r="K4027" s="56" t="n">
        <v>1026.5</v>
      </c>
      <c r="L4027" s="56" t="n">
        <v>0</v>
      </c>
      <c r="M4027" s="56" t="n">
        <v>74</v>
      </c>
      <c r="N4027" s="56" t="n">
        <v>6.9</v>
      </c>
      <c r="O4027" s="56" t="n">
        <f aca="false">IF(D4027=1,"",E4026)</f>
        <v>20.5</v>
      </c>
      <c r="P4027" s="56" t="n">
        <f aca="false">IF(OR(D4027=1,K4026=""),"",K4026)</f>
        <v>1020</v>
      </c>
      <c r="Q4027" s="56" t="n">
        <f aca="false">IF(OR(F4027&lt;&gt;0,AND(I4027&lt;&gt;"",E4027&lt;I4027)),1,0)</f>
        <v>0</v>
      </c>
      <c r="R4027" s="56" t="n">
        <f aca="false">IF(AND(D4027&gt;1,Q4027=0,ISNUMBER(O4027),ISNUMBER(P4027)),IF(Q4026=0,1,0),0)</f>
        <v>1</v>
      </c>
      <c r="S4027" s="56" t="n">
        <f aca="false">R4027*(B4027&gt;=Train_Start)*(B4027&lt;=Train_End)</f>
        <v>0</v>
      </c>
      <c r="T4027" s="84" t="n">
        <f aca="false">IF(AND(ISNUMBER(O4027),ISNUMBER(P4027)),Coef_A+Coef_B1*O4027+Coef_B2*P4027,"")</f>
        <v>20.8807214060394</v>
      </c>
      <c r="U4027" s="84" t="n">
        <f aca="false">IF(AND(R4027=1,ISNUMBER(T4027)),E4027-T4027,"")</f>
        <v>5.51927859396064</v>
      </c>
      <c r="V4027" s="84" t="n">
        <f aca="false">IF(ISNUMBER(T4027),T4027,-99)</f>
        <v>20.8807214060394</v>
      </c>
      <c r="W4027" s="84" t="n">
        <f aca="false">IF(ISNUMBER(U4027),ABS(U4027),"")</f>
        <v>5.51927859396064</v>
      </c>
    </row>
    <row r="4028" customFormat="false" ht="15" hidden="false" customHeight="false" outlineLevel="0" collapsed="false">
      <c r="A4028" s="57" t="n">
        <v>38521</v>
      </c>
      <c r="B4028" s="56" t="n">
        <v>2005</v>
      </c>
      <c r="C4028" s="56" t="n">
        <v>6</v>
      </c>
      <c r="D4028" s="56" t="n">
        <v>49</v>
      </c>
      <c r="E4028" s="56" t="n">
        <v>29.9</v>
      </c>
      <c r="F4028" s="56" t="n">
        <v>0</v>
      </c>
      <c r="G4028" s="56" t="n">
        <v>16.4</v>
      </c>
      <c r="H4028" s="56" t="n">
        <v>0</v>
      </c>
      <c r="I4028" s="56" t="n">
        <v>23.2</v>
      </c>
      <c r="J4028" s="56" t="n">
        <v>0</v>
      </c>
      <c r="K4028" s="56" t="n">
        <v>1024.7</v>
      </c>
      <c r="L4028" s="56" t="n">
        <v>0</v>
      </c>
      <c r="M4028" s="56" t="n">
        <v>66</v>
      </c>
      <c r="N4028" s="56" t="n">
        <v>14.4</v>
      </c>
      <c r="O4028" s="56" t="n">
        <f aca="false">IF(D4028=1,"",E4027)</f>
        <v>26.4</v>
      </c>
      <c r="P4028" s="56" t="n">
        <f aca="false">IF(OR(D4028=1,K4027=""),"",K4027)</f>
        <v>1026.5</v>
      </c>
      <c r="Q4028" s="56" t="n">
        <f aca="false">IF(OR(F4028&lt;&gt;0,AND(I4028&lt;&gt;"",E4028&lt;I4028)),1,0)</f>
        <v>0</v>
      </c>
      <c r="R4028" s="56" t="n">
        <f aca="false">IF(AND(D4028&gt;1,Q4028=0,ISNUMBER(O4028),ISNUMBER(P4028)),IF(Q4027=0,1,0),0)</f>
        <v>1</v>
      </c>
      <c r="S4028" s="56" t="n">
        <f aca="false">R4028*(B4028&gt;=Train_Start)*(B4028&lt;=Train_End)</f>
        <v>0</v>
      </c>
      <c r="T4028" s="84" t="n">
        <f aca="false">IF(AND(ISNUMBER(O4028),ISNUMBER(P4028)),Coef_A+Coef_B1*O4028+Coef_B2*P4028,"")</f>
        <v>25.918726960112</v>
      </c>
      <c r="U4028" s="84" t="n">
        <f aca="false">IF(AND(R4028=1,ISNUMBER(T4028)),E4028-T4028,"")</f>
        <v>3.98127303988803</v>
      </c>
      <c r="V4028" s="84" t="n">
        <f aca="false">IF(ISNUMBER(T4028),T4028,-99)</f>
        <v>25.918726960112</v>
      </c>
      <c r="W4028" s="84" t="n">
        <f aca="false">IF(ISNUMBER(U4028),ABS(U4028),"")</f>
        <v>3.98127303988803</v>
      </c>
    </row>
    <row r="4029" customFormat="false" ht="15" hidden="false" customHeight="false" outlineLevel="0" collapsed="false">
      <c r="A4029" s="57" t="n">
        <v>38522</v>
      </c>
      <c r="B4029" s="56" t="n">
        <v>2005</v>
      </c>
      <c r="C4029" s="56" t="n">
        <v>6</v>
      </c>
      <c r="D4029" s="56" t="n">
        <v>50</v>
      </c>
      <c r="E4029" s="56" t="n">
        <v>32.6</v>
      </c>
      <c r="F4029" s="56" t="n">
        <v>0</v>
      </c>
      <c r="G4029" s="56" t="n">
        <v>17.9</v>
      </c>
      <c r="H4029" s="56" t="n">
        <v>0</v>
      </c>
      <c r="I4029" s="56" t="n">
        <v>25.2</v>
      </c>
      <c r="J4029" s="56" t="n">
        <v>0</v>
      </c>
      <c r="K4029" s="56" t="n">
        <v>1016.9</v>
      </c>
      <c r="L4029" s="56" t="n">
        <v>0</v>
      </c>
      <c r="M4029" s="56" t="n">
        <v>53</v>
      </c>
      <c r="N4029" s="56" t="n">
        <v>15</v>
      </c>
      <c r="O4029" s="56" t="n">
        <f aca="false">IF(D4029=1,"",E4028)</f>
        <v>29.9</v>
      </c>
      <c r="P4029" s="56" t="n">
        <f aca="false">IF(OR(D4029=1,K4028=""),"",K4028)</f>
        <v>1024.7</v>
      </c>
      <c r="Q4029" s="56" t="n">
        <f aca="false">IF(OR(F4029&lt;&gt;0,AND(I4029&lt;&gt;"",E4029&lt;I4029)),1,0)</f>
        <v>0</v>
      </c>
      <c r="R4029" s="56" t="n">
        <f aca="false">IF(AND(D4029&gt;1,Q4029=0,ISNUMBER(O4029),ISNUMBER(P4029)),IF(Q4028=0,1,0),0)</f>
        <v>1</v>
      </c>
      <c r="S4029" s="56" t="n">
        <f aca="false">R4029*(B4029&gt;=Train_Start)*(B4029&lt;=Train_End)</f>
        <v>0</v>
      </c>
      <c r="T4029" s="84" t="n">
        <f aca="false">IF(AND(ISNUMBER(O4029),ISNUMBER(P4029)),Coef_A+Coef_B1*O4029+Coef_B2*P4029,"")</f>
        <v>28.7299483254201</v>
      </c>
      <c r="U4029" s="84" t="n">
        <f aca="false">IF(AND(R4029=1,ISNUMBER(T4029)),E4029-T4029,"")</f>
        <v>3.87005167457992</v>
      </c>
      <c r="V4029" s="84" t="n">
        <f aca="false">IF(ISNUMBER(T4029),T4029,-99)</f>
        <v>28.7299483254201</v>
      </c>
      <c r="W4029" s="84" t="n">
        <f aca="false">IF(ISNUMBER(U4029),ABS(U4029),"")</f>
        <v>3.87005167457992</v>
      </c>
    </row>
    <row r="4030" customFormat="false" ht="15" hidden="false" customHeight="false" outlineLevel="0" collapsed="false">
      <c r="A4030" s="57" t="n">
        <v>38523</v>
      </c>
      <c r="B4030" s="56" t="n">
        <v>2005</v>
      </c>
      <c r="C4030" s="56" t="n">
        <v>6</v>
      </c>
      <c r="D4030" s="56" t="n">
        <v>51</v>
      </c>
      <c r="E4030" s="56" t="n">
        <v>27.7</v>
      </c>
      <c r="F4030" s="56" t="n">
        <v>0</v>
      </c>
      <c r="G4030" s="56" t="n">
        <v>19.6</v>
      </c>
      <c r="H4030" s="56" t="n">
        <v>0</v>
      </c>
      <c r="I4030" s="56" t="n">
        <v>23.6</v>
      </c>
      <c r="J4030" s="56" t="n">
        <v>0</v>
      </c>
      <c r="K4030" s="56" t="n">
        <v>1015.4</v>
      </c>
      <c r="L4030" s="56" t="n">
        <v>0</v>
      </c>
      <c r="M4030" s="56" t="n">
        <v>60</v>
      </c>
      <c r="N4030" s="56" t="n">
        <v>5.7</v>
      </c>
      <c r="O4030" s="56" t="n">
        <f aca="false">IF(D4030=1,"",E4029)</f>
        <v>32.6</v>
      </c>
      <c r="P4030" s="56" t="n">
        <f aca="false">IF(OR(D4030=1,K4029=""),"",K4029)</f>
        <v>1016.9</v>
      </c>
      <c r="Q4030" s="56" t="n">
        <f aca="false">IF(OR(F4030&lt;&gt;0,AND(I4030&lt;&gt;"",E4030&lt;I4030)),1,0)</f>
        <v>0</v>
      </c>
      <c r="R4030" s="56" t="n">
        <f aca="false">IF(AND(D4030&gt;1,Q4030=0,ISNUMBER(O4030),ISNUMBER(P4030)),IF(Q4029=0,1,0),0)</f>
        <v>1</v>
      </c>
      <c r="S4030" s="56" t="n">
        <f aca="false">R4030*(B4030&gt;=Train_Start)*(B4030&lt;=Train_End)</f>
        <v>0</v>
      </c>
      <c r="T4030" s="84" t="n">
        <f aca="false">IF(AND(ISNUMBER(O4030),ISNUMBER(P4030)),Coef_A+Coef_B1*O4030+Coef_B2*P4030,"")</f>
        <v>30.6974789684902</v>
      </c>
      <c r="U4030" s="84" t="n">
        <f aca="false">IF(AND(R4030=1,ISNUMBER(T4030)),E4030-T4030,"")</f>
        <v>-2.99747896849015</v>
      </c>
      <c r="V4030" s="84" t="n">
        <f aca="false">IF(ISNUMBER(T4030),T4030,-99)</f>
        <v>30.6974789684902</v>
      </c>
      <c r="W4030" s="84" t="n">
        <f aca="false">IF(ISNUMBER(U4030),ABS(U4030),"")</f>
        <v>2.99747896849015</v>
      </c>
    </row>
    <row r="4031" customFormat="false" ht="15" hidden="false" customHeight="false" outlineLevel="0" collapsed="false">
      <c r="A4031" s="57" t="n">
        <v>38524</v>
      </c>
      <c r="B4031" s="56" t="n">
        <v>2005</v>
      </c>
      <c r="C4031" s="56" t="n">
        <v>6</v>
      </c>
      <c r="D4031" s="56" t="n">
        <v>52</v>
      </c>
      <c r="E4031" s="56" t="n">
        <v>26.1</v>
      </c>
      <c r="F4031" s="56" t="n">
        <v>0</v>
      </c>
      <c r="G4031" s="56" t="n">
        <v>15.4</v>
      </c>
      <c r="H4031" s="56" t="n">
        <v>0</v>
      </c>
      <c r="I4031" s="56" t="n">
        <v>20.8</v>
      </c>
      <c r="J4031" s="56" t="n">
        <v>0</v>
      </c>
      <c r="K4031" s="56" t="n">
        <v>1020</v>
      </c>
      <c r="L4031" s="56" t="n">
        <v>0</v>
      </c>
      <c r="M4031" s="56" t="n">
        <v>53</v>
      </c>
      <c r="N4031" s="56" t="n">
        <v>13.1</v>
      </c>
      <c r="O4031" s="56" t="n">
        <f aca="false">IF(D4031=1,"",E4030)</f>
        <v>27.7</v>
      </c>
      <c r="P4031" s="56" t="n">
        <f aca="false">IF(OR(D4031=1,K4030=""),"",K4030)</f>
        <v>1015.4</v>
      </c>
      <c r="Q4031" s="56" t="n">
        <f aca="false">IF(OR(F4031&lt;&gt;0,AND(I4031&lt;&gt;"",E4031&lt;I4031)),1,0)</f>
        <v>0</v>
      </c>
      <c r="R4031" s="56" t="n">
        <f aca="false">IF(AND(D4031&gt;1,Q4031=0,ISNUMBER(O4031),ISNUMBER(P4031)),IF(Q4030=0,1,0),0)</f>
        <v>1</v>
      </c>
      <c r="S4031" s="56" t="n">
        <f aca="false">R4031*(B4031&gt;=Train_Start)*(B4031&lt;=Train_End)</f>
        <v>0</v>
      </c>
      <c r="T4031" s="84" t="n">
        <f aca="false">IF(AND(ISNUMBER(O4031),ISNUMBER(P4031)),Coef_A+Coef_B1*O4031+Coef_B2*P4031,"")</f>
        <v>26.6356620806301</v>
      </c>
      <c r="U4031" s="84" t="n">
        <f aca="false">IF(AND(R4031=1,ISNUMBER(T4031)),E4031-T4031,"")</f>
        <v>-0.535662080630139</v>
      </c>
      <c r="V4031" s="84" t="n">
        <f aca="false">IF(ISNUMBER(T4031),T4031,-99)</f>
        <v>26.6356620806301</v>
      </c>
      <c r="W4031" s="84" t="n">
        <f aca="false">IF(ISNUMBER(U4031),ABS(U4031),"")</f>
        <v>0.535662080630139</v>
      </c>
    </row>
    <row r="4032" customFormat="false" ht="15" hidden="false" customHeight="false" outlineLevel="0" collapsed="false">
      <c r="A4032" s="57" t="n">
        <v>38525</v>
      </c>
      <c r="B4032" s="56" t="n">
        <v>2005</v>
      </c>
      <c r="C4032" s="56" t="n">
        <v>6</v>
      </c>
      <c r="D4032" s="56" t="n">
        <v>53</v>
      </c>
      <c r="E4032" s="56" t="n">
        <v>28.7</v>
      </c>
      <c r="F4032" s="56" t="n">
        <v>0</v>
      </c>
      <c r="G4032" s="56" t="n">
        <v>14.6</v>
      </c>
      <c r="H4032" s="56" t="n">
        <v>0</v>
      </c>
      <c r="I4032" s="56" t="n">
        <v>21.6</v>
      </c>
      <c r="J4032" s="56" t="n">
        <v>0</v>
      </c>
      <c r="K4032" s="56" t="n">
        <v>1021.8</v>
      </c>
      <c r="L4032" s="56" t="n">
        <v>0</v>
      </c>
      <c r="M4032" s="56" t="n">
        <v>58</v>
      </c>
      <c r="N4032" s="56" t="n">
        <v>15.1</v>
      </c>
      <c r="O4032" s="56" t="n">
        <f aca="false">IF(D4032=1,"",E4031)</f>
        <v>26.1</v>
      </c>
      <c r="P4032" s="56" t="n">
        <f aca="false">IF(OR(D4032=1,K4031=""),"",K4031)</f>
        <v>1020</v>
      </c>
      <c r="Q4032" s="56" t="n">
        <f aca="false">IF(OR(F4032&lt;&gt;0,AND(I4032&lt;&gt;"",E4032&lt;I4032)),1,0)</f>
        <v>0</v>
      </c>
      <c r="R4032" s="56" t="n">
        <f aca="false">IF(AND(D4032&gt;1,Q4032=0,ISNUMBER(O4032),ISNUMBER(P4032)),IF(Q4031=0,1,0),0)</f>
        <v>1</v>
      </c>
      <c r="S4032" s="56" t="n">
        <f aca="false">R4032*(B4032&gt;=Train_Start)*(B4032&lt;=Train_End)</f>
        <v>0</v>
      </c>
      <c r="T4032" s="84" t="n">
        <f aca="false">IF(AND(ISNUMBER(O4032),ISNUMBER(P4032)),Coef_A+Coef_B1*O4032+Coef_B2*P4032,"")</f>
        <v>25.4690208870782</v>
      </c>
      <c r="U4032" s="84" t="n">
        <f aca="false">IF(AND(R4032=1,ISNUMBER(T4032)),E4032-T4032,"")</f>
        <v>3.23097911292176</v>
      </c>
      <c r="V4032" s="84" t="n">
        <f aca="false">IF(ISNUMBER(T4032),T4032,-99)</f>
        <v>25.4690208870782</v>
      </c>
      <c r="W4032" s="84" t="n">
        <f aca="false">IF(ISNUMBER(U4032),ABS(U4032),"")</f>
        <v>3.23097911292176</v>
      </c>
    </row>
    <row r="4033" customFormat="false" ht="15" hidden="false" customHeight="false" outlineLevel="0" collapsed="false">
      <c r="A4033" s="57" t="n">
        <v>38526</v>
      </c>
      <c r="B4033" s="56" t="n">
        <v>2005</v>
      </c>
      <c r="C4033" s="56" t="n">
        <v>6</v>
      </c>
      <c r="D4033" s="56" t="n">
        <v>54</v>
      </c>
      <c r="E4033" s="56" t="n">
        <v>31.1</v>
      </c>
      <c r="F4033" s="56" t="n">
        <v>0</v>
      </c>
      <c r="G4033" s="56" t="n">
        <v>15.9</v>
      </c>
      <c r="H4033" s="56" t="n">
        <v>0</v>
      </c>
      <c r="I4033" s="56" t="n">
        <v>23.5</v>
      </c>
      <c r="J4033" s="56" t="n">
        <v>0</v>
      </c>
      <c r="K4033" s="56" t="n">
        <v>1017.9</v>
      </c>
      <c r="L4033" s="56" t="n">
        <v>0</v>
      </c>
      <c r="M4033" s="56" t="n">
        <v>47</v>
      </c>
      <c r="N4033" s="56" t="n">
        <v>12.7</v>
      </c>
      <c r="O4033" s="56" t="n">
        <f aca="false">IF(D4033=1,"",E4032)</f>
        <v>28.7</v>
      </c>
      <c r="P4033" s="56" t="n">
        <f aca="false">IF(OR(D4033=1,K4032=""),"",K4032)</f>
        <v>1021.8</v>
      </c>
      <c r="Q4033" s="56" t="n">
        <f aca="false">IF(OR(F4033&lt;&gt;0,AND(I4033&lt;&gt;"",E4033&lt;I4033)),1,0)</f>
        <v>0</v>
      </c>
      <c r="R4033" s="56" t="n">
        <f aca="false">IF(AND(D4033&gt;1,Q4033=0,ISNUMBER(O4033),ISNUMBER(P4033)),IF(Q4032=0,1,0),0)</f>
        <v>1</v>
      </c>
      <c r="S4033" s="56" t="n">
        <f aca="false">R4033*(B4033&gt;=Train_Start)*(B4033&lt;=Train_End)</f>
        <v>0</v>
      </c>
      <c r="T4033" s="84" t="n">
        <f aca="false">IF(AND(ISNUMBER(O4033),ISNUMBER(P4033)),Coef_A+Coef_B1*O4033+Coef_B2*P4033,"")</f>
        <v>27.6557685993303</v>
      </c>
      <c r="U4033" s="84" t="n">
        <f aca="false">IF(AND(R4033=1,ISNUMBER(T4033)),E4033-T4033,"")</f>
        <v>3.44423140066967</v>
      </c>
      <c r="V4033" s="84" t="n">
        <f aca="false">IF(ISNUMBER(T4033),T4033,-99)</f>
        <v>27.6557685993303</v>
      </c>
      <c r="W4033" s="84" t="n">
        <f aca="false">IF(ISNUMBER(U4033),ABS(U4033),"")</f>
        <v>3.44423140066967</v>
      </c>
    </row>
    <row r="4034" customFormat="false" ht="15" hidden="false" customHeight="false" outlineLevel="0" collapsed="false">
      <c r="A4034" s="57" t="n">
        <v>38527</v>
      </c>
      <c r="B4034" s="56" t="n">
        <v>2005</v>
      </c>
      <c r="C4034" s="56" t="n">
        <v>6</v>
      </c>
      <c r="D4034" s="56" t="n">
        <v>55</v>
      </c>
      <c r="E4034" s="56" t="n">
        <v>25.3</v>
      </c>
      <c r="F4034" s="56" t="n">
        <v>0</v>
      </c>
      <c r="G4034" s="56" t="n">
        <v>18</v>
      </c>
      <c r="H4034" s="56" t="n">
        <v>0</v>
      </c>
      <c r="I4034" s="56" t="n">
        <v>21.6</v>
      </c>
      <c r="J4034" s="56" t="n">
        <v>0</v>
      </c>
      <c r="K4034" s="56" t="n">
        <v>1014.4</v>
      </c>
      <c r="L4034" s="56" t="n">
        <v>0</v>
      </c>
      <c r="M4034" s="56" t="n">
        <v>68</v>
      </c>
      <c r="N4034" s="56" t="n">
        <v>5.2</v>
      </c>
      <c r="O4034" s="56" t="n">
        <f aca="false">IF(D4034=1,"",E4033)</f>
        <v>31.1</v>
      </c>
      <c r="P4034" s="56" t="n">
        <f aca="false">IF(OR(D4034=1,K4033=""),"",K4033)</f>
        <v>1017.9</v>
      </c>
      <c r="Q4034" s="56" t="n">
        <f aca="false">IF(OR(F4034&lt;&gt;0,AND(I4034&lt;&gt;"",E4034&lt;I4034)),1,0)</f>
        <v>0</v>
      </c>
      <c r="R4034" s="56" t="n">
        <f aca="false">IF(AND(D4034&gt;1,Q4034=0,ISNUMBER(O4034),ISNUMBER(P4034)),IF(Q4033=0,1,0),0)</f>
        <v>1</v>
      </c>
      <c r="S4034" s="56" t="n">
        <f aca="false">R4034*(B4034&gt;=Train_Start)*(B4034&lt;=Train_End)</f>
        <v>0</v>
      </c>
      <c r="T4034" s="84" t="n">
        <f aca="false">IF(AND(ISNUMBER(O4034),ISNUMBER(P4034)),Coef_A+Coef_B1*O4034+Coef_B2*P4034,"")</f>
        <v>29.4998400735602</v>
      </c>
      <c r="U4034" s="84" t="n">
        <f aca="false">IF(AND(R4034=1,ISNUMBER(T4034)),E4034-T4034,"")</f>
        <v>-4.19984007356015</v>
      </c>
      <c r="V4034" s="84" t="n">
        <f aca="false">IF(ISNUMBER(T4034),T4034,-99)</f>
        <v>29.4998400735602</v>
      </c>
      <c r="W4034" s="84" t="n">
        <f aca="false">IF(ISNUMBER(U4034),ABS(U4034),"")</f>
        <v>4.19984007356015</v>
      </c>
    </row>
    <row r="4035" customFormat="false" ht="15" hidden="false" customHeight="false" outlineLevel="0" collapsed="false">
      <c r="A4035" s="57" t="n">
        <v>38528</v>
      </c>
      <c r="B4035" s="56" t="n">
        <v>2005</v>
      </c>
      <c r="C4035" s="56" t="n">
        <v>6</v>
      </c>
      <c r="D4035" s="56" t="n">
        <v>56</v>
      </c>
      <c r="E4035" s="56" t="n">
        <v>18.8</v>
      </c>
      <c r="F4035" s="56" t="n">
        <v>0</v>
      </c>
      <c r="G4035" s="56" t="n">
        <v>16.8</v>
      </c>
      <c r="H4035" s="56" t="n">
        <v>0</v>
      </c>
      <c r="I4035" s="56" t="n">
        <v>17.8</v>
      </c>
      <c r="J4035" s="56" t="n">
        <v>0</v>
      </c>
      <c r="K4035" s="56" t="n">
        <v>1020.1</v>
      </c>
      <c r="L4035" s="56" t="n">
        <v>0</v>
      </c>
      <c r="M4035" s="56" t="n">
        <v>83</v>
      </c>
      <c r="N4035" s="56" t="n">
        <v>0</v>
      </c>
      <c r="O4035" s="56" t="n">
        <f aca="false">IF(D4035=1,"",E4034)</f>
        <v>25.3</v>
      </c>
      <c r="P4035" s="56" t="n">
        <f aca="false">IF(OR(D4035=1,K4034=""),"",K4034)</f>
        <v>1014.4</v>
      </c>
      <c r="Q4035" s="56" t="n">
        <f aca="false">IF(OR(F4035&lt;&gt;0,AND(I4035&lt;&gt;"",E4035&lt;I4035)),1,0)</f>
        <v>0</v>
      </c>
      <c r="R4035" s="56" t="n">
        <f aca="false">IF(AND(D4035&gt;1,Q4035=0,ISNUMBER(O4035),ISNUMBER(P4035)),IF(Q4034=0,1,0),0)</f>
        <v>1</v>
      </c>
      <c r="S4035" s="56" t="n">
        <f aca="false">R4035*(B4035&gt;=Train_Start)*(B4035&lt;=Train_End)</f>
        <v>0</v>
      </c>
      <c r="T4035" s="84" t="n">
        <f aca="false">IF(AND(ISNUMBER(O4035),ISNUMBER(P4035)),Coef_A+Coef_B1*O4035+Coef_B2*P4035,"")</f>
        <v>24.6378781226938</v>
      </c>
      <c r="U4035" s="84" t="n">
        <f aca="false">IF(AND(R4035=1,ISNUMBER(T4035)),E4035-T4035,"")</f>
        <v>-5.83787812269377</v>
      </c>
      <c r="V4035" s="84" t="n">
        <f aca="false">IF(ISNUMBER(T4035),T4035,-99)</f>
        <v>24.6378781226938</v>
      </c>
      <c r="W4035" s="84" t="n">
        <f aca="false">IF(ISNUMBER(U4035),ABS(U4035),"")</f>
        <v>5.83787812269377</v>
      </c>
    </row>
    <row r="4036" customFormat="false" ht="15" hidden="false" customHeight="false" outlineLevel="0" collapsed="false">
      <c r="A4036" s="57" t="n">
        <v>38529</v>
      </c>
      <c r="B4036" s="56" t="n">
        <v>2005</v>
      </c>
      <c r="C4036" s="56" t="n">
        <v>6</v>
      </c>
      <c r="D4036" s="56" t="n">
        <v>57</v>
      </c>
      <c r="E4036" s="56" t="n">
        <v>21.1</v>
      </c>
      <c r="F4036" s="56" t="n">
        <v>0</v>
      </c>
      <c r="G4036" s="56" t="n">
        <v>12.9</v>
      </c>
      <c r="H4036" s="56" t="n">
        <v>0</v>
      </c>
      <c r="I4036" s="56" t="n">
        <v>17</v>
      </c>
      <c r="J4036" s="56" t="n">
        <v>0</v>
      </c>
      <c r="K4036" s="56" t="n">
        <v>1026</v>
      </c>
      <c r="L4036" s="56" t="n">
        <v>0</v>
      </c>
      <c r="M4036" s="56" t="n">
        <v>67</v>
      </c>
      <c r="N4036" s="56" t="n">
        <v>5.7</v>
      </c>
      <c r="O4036" s="56" t="n">
        <f aca="false">IF(D4036=1,"",E4035)</f>
        <v>18.8</v>
      </c>
      <c r="P4036" s="56" t="n">
        <f aca="false">IF(OR(D4036=1,K4035=""),"",K4035)</f>
        <v>1020.1</v>
      </c>
      <c r="Q4036" s="56" t="n">
        <f aca="false">IF(OR(F4036&lt;&gt;0,AND(I4036&lt;&gt;"",E4036&lt;I4036)),1,0)</f>
        <v>0</v>
      </c>
      <c r="R4036" s="56" t="n">
        <f aca="false">IF(AND(D4036&gt;1,Q4036=0,ISNUMBER(O4036),ISNUMBER(P4036)),IF(Q4035=0,1,0),0)</f>
        <v>1</v>
      </c>
      <c r="S4036" s="56" t="n">
        <f aca="false">R4036*(B4036&gt;=Train_Start)*(B4036&lt;=Train_End)</f>
        <v>0</v>
      </c>
      <c r="T4036" s="84" t="n">
        <f aca="false">IF(AND(ISNUMBER(O4036),ISNUMBER(P4036)),Coef_A+Coef_B1*O4036+Coef_B2*P4036,"")</f>
        <v>19.4909817673302</v>
      </c>
      <c r="U4036" s="84" t="n">
        <f aca="false">IF(AND(R4036=1,ISNUMBER(T4036)),E4036-T4036,"")</f>
        <v>1.60901823266976</v>
      </c>
      <c r="V4036" s="84" t="n">
        <f aca="false">IF(ISNUMBER(T4036),T4036,-99)</f>
        <v>19.4909817673302</v>
      </c>
      <c r="W4036" s="84" t="n">
        <f aca="false">IF(ISNUMBER(U4036),ABS(U4036),"")</f>
        <v>1.60901823266976</v>
      </c>
    </row>
    <row r="4037" customFormat="false" ht="15" hidden="false" customHeight="false" outlineLevel="0" collapsed="false">
      <c r="A4037" s="57" t="n">
        <v>38530</v>
      </c>
      <c r="B4037" s="56" t="n">
        <v>2005</v>
      </c>
      <c r="C4037" s="56" t="n">
        <v>6</v>
      </c>
      <c r="D4037" s="56" t="n">
        <v>58</v>
      </c>
      <c r="E4037" s="56" t="n">
        <v>26.2</v>
      </c>
      <c r="F4037" s="56" t="n">
        <v>0</v>
      </c>
      <c r="G4037" s="56" t="n">
        <v>12.1</v>
      </c>
      <c r="H4037" s="56" t="n">
        <v>0</v>
      </c>
      <c r="I4037" s="56" t="n">
        <v>19.2</v>
      </c>
      <c r="J4037" s="56" t="n">
        <v>0</v>
      </c>
      <c r="K4037" s="56" t="n">
        <v>1022.6</v>
      </c>
      <c r="L4037" s="56" t="n">
        <v>0</v>
      </c>
      <c r="M4037" s="56" t="n">
        <v>60</v>
      </c>
      <c r="N4037" s="56" t="n">
        <v>14.8</v>
      </c>
      <c r="O4037" s="56" t="n">
        <f aca="false">IF(D4037=1,"",E4036)</f>
        <v>21.1</v>
      </c>
      <c r="P4037" s="56" t="n">
        <f aca="false">IF(OR(D4037=1,K4036=""),"",K4036)</f>
        <v>1026</v>
      </c>
      <c r="Q4037" s="56" t="n">
        <f aca="false">IF(OR(F4037&lt;&gt;0,AND(I4037&lt;&gt;"",E4037&lt;I4037)),1,0)</f>
        <v>0</v>
      </c>
      <c r="R4037" s="56" t="n">
        <f aca="false">IF(AND(D4037&gt;1,Q4037=0,ISNUMBER(O4037),ISNUMBER(P4037)),IF(Q4036=0,1,0),0)</f>
        <v>1</v>
      </c>
      <c r="S4037" s="56" t="n">
        <f aca="false">R4037*(B4037&gt;=Train_Start)*(B4037&lt;=Train_End)</f>
        <v>0</v>
      </c>
      <c r="T4037" s="84" t="n">
        <f aca="false">IF(AND(ISNUMBER(O4037),ISNUMBER(P4037)),Coef_A+Coef_B1*O4037+Coef_B2*P4037,"")</f>
        <v>21.5605442896689</v>
      </c>
      <c r="U4037" s="84" t="n">
        <f aca="false">IF(AND(R4037=1,ISNUMBER(T4037)),E4037-T4037,"")</f>
        <v>4.63945571033111</v>
      </c>
      <c r="V4037" s="84" t="n">
        <f aca="false">IF(ISNUMBER(T4037),T4037,-99)</f>
        <v>21.5605442896689</v>
      </c>
      <c r="W4037" s="84" t="n">
        <f aca="false">IF(ISNUMBER(U4037),ABS(U4037),"")</f>
        <v>4.63945571033111</v>
      </c>
    </row>
    <row r="4038" customFormat="false" ht="15" hidden="false" customHeight="false" outlineLevel="0" collapsed="false">
      <c r="A4038" s="57" t="n">
        <v>38531</v>
      </c>
      <c r="B4038" s="56" t="n">
        <v>2005</v>
      </c>
      <c r="C4038" s="56" t="n">
        <v>6</v>
      </c>
      <c r="D4038" s="56" t="n">
        <v>59</v>
      </c>
      <c r="E4038" s="56" t="n">
        <v>27.3</v>
      </c>
      <c r="F4038" s="56" t="n">
        <v>0</v>
      </c>
      <c r="G4038" s="56" t="n">
        <v>14.4</v>
      </c>
      <c r="H4038" s="56" t="n">
        <v>0</v>
      </c>
      <c r="I4038" s="56" t="n">
        <v>20.8</v>
      </c>
      <c r="J4038" s="56" t="n">
        <v>0</v>
      </c>
      <c r="K4038" s="56" t="n">
        <v>1015.5</v>
      </c>
      <c r="L4038" s="56" t="n">
        <v>0</v>
      </c>
      <c r="M4038" s="56" t="n">
        <v>55</v>
      </c>
      <c r="N4038" s="56" t="n">
        <v>6.5</v>
      </c>
      <c r="O4038" s="56" t="n">
        <f aca="false">IF(D4038=1,"",E4037)</f>
        <v>26.2</v>
      </c>
      <c r="P4038" s="56" t="n">
        <f aca="false">IF(OR(D4038=1,K4037=""),"",K4037)</f>
        <v>1022.6</v>
      </c>
      <c r="Q4038" s="56" t="n">
        <f aca="false">IF(OR(F4038&lt;&gt;0,AND(I4038&lt;&gt;"",E4038&lt;I4038)),1,0)</f>
        <v>0</v>
      </c>
      <c r="R4038" s="56" t="n">
        <f aca="false">IF(AND(D4038&gt;1,Q4038=0,ISNUMBER(O4038),ISNUMBER(P4038)),IF(Q4037=0,1,0),0)</f>
        <v>1</v>
      </c>
      <c r="S4038" s="56" t="n">
        <f aca="false">R4038*(B4038&gt;=Train_Start)*(B4038&lt;=Train_End)</f>
        <v>0</v>
      </c>
      <c r="T4038" s="84" t="n">
        <f aca="false">IF(AND(ISNUMBER(O4038),ISNUMBER(P4038)),Coef_A+Coef_B1*O4038+Coef_B2*P4038,"")</f>
        <v>25.6325165324309</v>
      </c>
      <c r="U4038" s="84" t="n">
        <f aca="false">IF(AND(R4038=1,ISNUMBER(T4038)),E4038-T4038,"")</f>
        <v>1.66748346756912</v>
      </c>
      <c r="V4038" s="84" t="n">
        <f aca="false">IF(ISNUMBER(T4038),T4038,-99)</f>
        <v>25.6325165324309</v>
      </c>
      <c r="W4038" s="84" t="n">
        <f aca="false">IF(ISNUMBER(U4038),ABS(U4038),"")</f>
        <v>1.66748346756912</v>
      </c>
    </row>
    <row r="4039" customFormat="false" ht="15" hidden="false" customHeight="false" outlineLevel="0" collapsed="false">
      <c r="A4039" s="57" t="n">
        <v>38532</v>
      </c>
      <c r="B4039" s="56" t="n">
        <v>2005</v>
      </c>
      <c r="C4039" s="56" t="n">
        <v>6</v>
      </c>
      <c r="D4039" s="56" t="n">
        <v>60</v>
      </c>
      <c r="E4039" s="56" t="n">
        <v>25.9</v>
      </c>
      <c r="F4039" s="56" t="n">
        <v>0</v>
      </c>
      <c r="G4039" s="56" t="n">
        <v>15.3</v>
      </c>
      <c r="H4039" s="56" t="n">
        <v>0</v>
      </c>
      <c r="I4039" s="56" t="n">
        <v>20.6</v>
      </c>
      <c r="J4039" s="56" t="n">
        <v>0</v>
      </c>
      <c r="K4039" s="56" t="n">
        <v>1008</v>
      </c>
      <c r="L4039" s="56" t="n">
        <v>0</v>
      </c>
      <c r="M4039" s="56" t="n">
        <v>72</v>
      </c>
      <c r="N4039" s="56" t="n">
        <v>7.9</v>
      </c>
      <c r="O4039" s="56" t="n">
        <f aca="false">IF(D4039=1,"",E4038)</f>
        <v>27.3</v>
      </c>
      <c r="P4039" s="56" t="n">
        <f aca="false">IF(OR(D4039=1,K4038=""),"",K4038)</f>
        <v>1015.5</v>
      </c>
      <c r="Q4039" s="56" t="n">
        <f aca="false">IF(OR(F4039&lt;&gt;0,AND(I4039&lt;&gt;"",E4039&lt;I4039)),1,0)</f>
        <v>0</v>
      </c>
      <c r="R4039" s="56" t="n">
        <f aca="false">IF(AND(D4039&gt;1,Q4039=0,ISNUMBER(O4039),ISNUMBER(P4039)),IF(Q4038=0,1,0),0)</f>
        <v>1</v>
      </c>
      <c r="S4039" s="56" t="n">
        <f aca="false">R4039*(B4039&gt;=Train_Start)*(B4039&lt;=Train_End)</f>
        <v>0</v>
      </c>
      <c r="T4039" s="84" t="n">
        <f aca="false">IF(AND(ISNUMBER(O4039),ISNUMBER(P4039)),Coef_A+Coef_B1*O4039+Coef_B2*P4039,"")</f>
        <v>26.3110633928765</v>
      </c>
      <c r="U4039" s="84" t="n">
        <f aca="false">IF(AND(R4039=1,ISNUMBER(T4039)),E4039-T4039,"")</f>
        <v>-0.411063392876478</v>
      </c>
      <c r="V4039" s="84" t="n">
        <f aca="false">IF(ISNUMBER(T4039),T4039,-99)</f>
        <v>26.3110633928765</v>
      </c>
      <c r="W4039" s="84" t="n">
        <f aca="false">IF(ISNUMBER(U4039),ABS(U4039),"")</f>
        <v>0.411063392876478</v>
      </c>
    </row>
    <row r="4040" customFormat="false" ht="15" hidden="false" customHeight="false" outlineLevel="0" collapsed="false">
      <c r="A4040" s="57" t="n">
        <v>38533</v>
      </c>
      <c r="B4040" s="56" t="n">
        <v>2005</v>
      </c>
      <c r="C4040" s="56" t="n">
        <v>6</v>
      </c>
      <c r="D4040" s="56" t="n">
        <v>61</v>
      </c>
      <c r="E4040" s="56" t="n">
        <v>19.6</v>
      </c>
      <c r="F4040" s="56" t="n">
        <v>0</v>
      </c>
      <c r="G4040" s="56" t="n">
        <v>15.1</v>
      </c>
      <c r="H4040" s="56" t="n">
        <v>0</v>
      </c>
      <c r="I4040" s="56" t="n">
        <v>17.4</v>
      </c>
      <c r="J4040" s="56" t="n">
        <v>0</v>
      </c>
      <c r="K4040" s="56" t="n">
        <v>1007.1</v>
      </c>
      <c r="L4040" s="56" t="n">
        <v>0</v>
      </c>
      <c r="M4040" s="56" t="n">
        <v>83</v>
      </c>
      <c r="N4040" s="56" t="n">
        <v>0.1</v>
      </c>
      <c r="O4040" s="56" t="n">
        <f aca="false">IF(D4040=1,"",E4039)</f>
        <v>25.9</v>
      </c>
      <c r="P4040" s="56" t="n">
        <f aca="false">IF(OR(D4040=1,K4039=""),"",K4039)</f>
        <v>1008</v>
      </c>
      <c r="Q4040" s="56" t="n">
        <f aca="false">IF(OR(F4040&lt;&gt;0,AND(I4040&lt;&gt;"",E4040&lt;I4040)),1,0)</f>
        <v>0</v>
      </c>
      <c r="R4040" s="56" t="n">
        <f aca="false">IF(AND(D4040&gt;1,Q4040=0,ISNUMBER(O4040),ISNUMBER(P4040)),IF(Q4039=0,1,0),0)</f>
        <v>1</v>
      </c>
      <c r="S4040" s="56" t="n">
        <f aca="false">R4040*(B4040&gt;=Train_Start)*(B4040&lt;=Train_End)</f>
        <v>0</v>
      </c>
      <c r="T4040" s="84" t="n">
        <f aca="false">IF(AND(ISNUMBER(O4040),ISNUMBER(P4040)),Coef_A+Coef_B1*O4040+Coef_B2*P4040,"")</f>
        <v>24.9287143128618</v>
      </c>
      <c r="U4040" s="84" t="n">
        <f aca="false">IF(AND(R4040=1,ISNUMBER(T4040)),E4040-T4040,"")</f>
        <v>-5.32871431286183</v>
      </c>
      <c r="V4040" s="84" t="n">
        <f aca="false">IF(ISNUMBER(T4040),T4040,-99)</f>
        <v>24.9287143128618</v>
      </c>
      <c r="W4040" s="84" t="n">
        <f aca="false">IF(ISNUMBER(U4040),ABS(U4040),"")</f>
        <v>5.32871431286183</v>
      </c>
    </row>
    <row r="4041" customFormat="false" ht="15" hidden="false" customHeight="false" outlineLevel="0" collapsed="false">
      <c r="A4041" s="57" t="n">
        <v>38534</v>
      </c>
      <c r="B4041" s="56" t="n">
        <v>2005</v>
      </c>
      <c r="C4041" s="56" t="n">
        <v>7</v>
      </c>
      <c r="D4041" s="56" t="n">
        <v>62</v>
      </c>
      <c r="E4041" s="56" t="n">
        <v>22.3</v>
      </c>
      <c r="F4041" s="56" t="n">
        <v>0</v>
      </c>
      <c r="G4041" s="56" t="n">
        <v>12.4</v>
      </c>
      <c r="H4041" s="56" t="n">
        <v>0</v>
      </c>
      <c r="I4041" s="56" t="n">
        <v>17.4</v>
      </c>
      <c r="J4041" s="56" t="n">
        <v>0</v>
      </c>
      <c r="K4041" s="56" t="n">
        <v>1013.7</v>
      </c>
      <c r="L4041" s="56" t="n">
        <v>0</v>
      </c>
      <c r="M4041" s="56" t="n">
        <v>77</v>
      </c>
      <c r="N4041" s="56" t="n">
        <v>5.5</v>
      </c>
      <c r="O4041" s="56" t="n">
        <f aca="false">IF(D4041=1,"",E4040)</f>
        <v>19.6</v>
      </c>
      <c r="P4041" s="56" t="n">
        <f aca="false">IF(OR(D4041=1,K4040=""),"",K4040)</f>
        <v>1007.1</v>
      </c>
      <c r="Q4041" s="56" t="n">
        <f aca="false">IF(OR(F4041&lt;&gt;0,AND(I4041&lt;&gt;"",E4041&lt;I4041)),1,0)</f>
        <v>0</v>
      </c>
      <c r="R4041" s="56" t="n">
        <f aca="false">IF(AND(D4041&gt;1,Q4041=0,ISNUMBER(O4041),ISNUMBER(P4041)),IF(Q4040=0,1,0),0)</f>
        <v>1</v>
      </c>
      <c r="S4041" s="56" t="n">
        <f aca="false">R4041*(B4041&gt;=Train_Start)*(B4041&lt;=Train_End)</f>
        <v>0</v>
      </c>
      <c r="T4041" s="84" t="n">
        <f aca="false">IF(AND(ISNUMBER(O4041),ISNUMBER(P4041)),Coef_A+Coef_B1*O4041+Coef_B2*P4041,"")</f>
        <v>19.7386444915225</v>
      </c>
      <c r="U4041" s="84" t="n">
        <f aca="false">IF(AND(R4041=1,ISNUMBER(T4041)),E4041-T4041,"")</f>
        <v>2.56135550847749</v>
      </c>
      <c r="V4041" s="84" t="n">
        <f aca="false">IF(ISNUMBER(T4041),T4041,-99)</f>
        <v>19.7386444915225</v>
      </c>
      <c r="W4041" s="84" t="n">
        <f aca="false">IF(ISNUMBER(U4041),ABS(U4041),"")</f>
        <v>2.56135550847749</v>
      </c>
    </row>
    <row r="4042" customFormat="false" ht="15" hidden="false" customHeight="false" outlineLevel="0" collapsed="false">
      <c r="A4042" s="57" t="n">
        <v>38535</v>
      </c>
      <c r="B4042" s="56" t="n">
        <v>2005</v>
      </c>
      <c r="C4042" s="56" t="n">
        <v>7</v>
      </c>
      <c r="D4042" s="56" t="n">
        <v>63</v>
      </c>
      <c r="E4042" s="56" t="n">
        <v>22.2</v>
      </c>
      <c r="F4042" s="56" t="n">
        <v>0</v>
      </c>
      <c r="G4042" s="56" t="n">
        <v>16.3</v>
      </c>
      <c r="H4042" s="56" t="n">
        <v>0</v>
      </c>
      <c r="I4042" s="56" t="n">
        <v>19.2</v>
      </c>
      <c r="J4042" s="56" t="n">
        <v>0</v>
      </c>
      <c r="K4042" s="56" t="n">
        <v>1017.8</v>
      </c>
      <c r="L4042" s="56" t="n">
        <v>0</v>
      </c>
      <c r="M4042" s="56" t="n">
        <v>80</v>
      </c>
      <c r="N4042" s="56" t="n">
        <v>0.5</v>
      </c>
      <c r="O4042" s="56" t="n">
        <f aca="false">IF(D4042=1,"",E4041)</f>
        <v>22.3</v>
      </c>
      <c r="P4042" s="56" t="n">
        <f aca="false">IF(OR(D4042=1,K4041=""),"",K4041)</f>
        <v>1013.7</v>
      </c>
      <c r="Q4042" s="56" t="n">
        <f aca="false">IF(OR(F4042&lt;&gt;0,AND(I4042&lt;&gt;"",E4042&lt;I4042)),1,0)</f>
        <v>0</v>
      </c>
      <c r="R4042" s="56" t="n">
        <f aca="false">IF(AND(D4042&gt;1,Q4042=0,ISNUMBER(O4042),ISNUMBER(P4042)),IF(Q4041=0,1,0),0)</f>
        <v>1</v>
      </c>
      <c r="S4042" s="56" t="n">
        <f aca="false">R4042*(B4042&gt;=Train_Start)*(B4042&lt;=Train_End)</f>
        <v>0</v>
      </c>
      <c r="T4042" s="84" t="n">
        <f aca="false">IF(AND(ISNUMBER(O4042),ISNUMBER(P4042)),Coef_A+Coef_B1*O4042+Coef_B2*P4042,"")</f>
        <v>22.157901617322</v>
      </c>
      <c r="U4042" s="84" t="n">
        <f aca="false">IF(AND(R4042=1,ISNUMBER(T4042)),E4042-T4042,"")</f>
        <v>0.0420983826779882</v>
      </c>
      <c r="V4042" s="84" t="n">
        <f aca="false">IF(ISNUMBER(T4042),T4042,-99)</f>
        <v>22.157901617322</v>
      </c>
      <c r="W4042" s="84" t="n">
        <f aca="false">IF(ISNUMBER(U4042),ABS(U4042),"")</f>
        <v>0.0420983826779882</v>
      </c>
    </row>
    <row r="4043" customFormat="false" ht="15" hidden="false" customHeight="false" outlineLevel="0" collapsed="false">
      <c r="A4043" s="57" t="n">
        <v>38536</v>
      </c>
      <c r="B4043" s="56" t="n">
        <v>2005</v>
      </c>
      <c r="C4043" s="56" t="n">
        <v>7</v>
      </c>
      <c r="D4043" s="56" t="n">
        <v>64</v>
      </c>
      <c r="E4043" s="56" t="n">
        <v>20.1</v>
      </c>
      <c r="F4043" s="56" t="n">
        <v>0</v>
      </c>
      <c r="G4043" s="56" t="n">
        <v>13.2</v>
      </c>
      <c r="H4043" s="56" t="n">
        <v>0</v>
      </c>
      <c r="I4043" s="56" t="n">
        <v>16.6</v>
      </c>
      <c r="J4043" s="56" t="n">
        <v>0</v>
      </c>
      <c r="K4043" s="56" t="n">
        <v>1015.8</v>
      </c>
      <c r="L4043" s="56" t="n">
        <v>0</v>
      </c>
      <c r="M4043" s="56" t="n">
        <v>78</v>
      </c>
      <c r="N4043" s="56" t="n">
        <v>2.9</v>
      </c>
      <c r="O4043" s="56" t="n">
        <f aca="false">IF(D4043=1,"",E4042)</f>
        <v>22.2</v>
      </c>
      <c r="P4043" s="56" t="n">
        <f aca="false">IF(OR(D4043=1,K4042=""),"",K4042)</f>
        <v>1017.8</v>
      </c>
      <c r="Q4043" s="56" t="n">
        <f aca="false">IF(OR(F4043&lt;&gt;0,AND(I4043&lt;&gt;"",E4043&lt;I4043)),1,0)</f>
        <v>0</v>
      </c>
      <c r="R4043" s="56" t="n">
        <f aca="false">IF(AND(D4043&gt;1,Q4043=0,ISNUMBER(O4043),ISNUMBER(P4043)),IF(Q4042=0,1,0),0)</f>
        <v>1</v>
      </c>
      <c r="S4043" s="56" t="n">
        <f aca="false">R4043*(B4043&gt;=Train_Start)*(B4043&lt;=Train_End)</f>
        <v>0</v>
      </c>
      <c r="T4043" s="84" t="n">
        <f aca="false">IF(AND(ISNUMBER(O4043),ISNUMBER(P4043)),Coef_A+Coef_B1*O4043+Coef_B2*P4043,"")</f>
        <v>22.2045842660171</v>
      </c>
      <c r="U4043" s="84" t="n">
        <f aca="false">IF(AND(R4043=1,ISNUMBER(T4043)),E4043-T4043,"")</f>
        <v>-2.1045842660171</v>
      </c>
      <c r="V4043" s="84" t="n">
        <f aca="false">IF(ISNUMBER(T4043),T4043,-99)</f>
        <v>22.2045842660171</v>
      </c>
      <c r="W4043" s="84" t="n">
        <f aca="false">IF(ISNUMBER(U4043),ABS(U4043),"")</f>
        <v>2.1045842660171</v>
      </c>
    </row>
    <row r="4044" customFormat="false" ht="15" hidden="false" customHeight="false" outlineLevel="0" collapsed="false">
      <c r="A4044" s="57" t="n">
        <v>38537</v>
      </c>
      <c r="B4044" s="56" t="n">
        <v>2005</v>
      </c>
      <c r="C4044" s="56" t="n">
        <v>7</v>
      </c>
      <c r="D4044" s="56" t="n">
        <v>65</v>
      </c>
      <c r="E4044" s="56" t="n">
        <v>18.3</v>
      </c>
      <c r="F4044" s="56" t="n">
        <v>0</v>
      </c>
      <c r="G4044" s="56" t="n">
        <v>12.3</v>
      </c>
      <c r="H4044" s="56" t="n">
        <v>0</v>
      </c>
      <c r="I4044" s="56" t="n">
        <v>15.3</v>
      </c>
      <c r="J4044" s="56" t="n">
        <v>0</v>
      </c>
      <c r="K4044" s="56" t="n">
        <v>1009</v>
      </c>
      <c r="L4044" s="56" t="n">
        <v>0</v>
      </c>
      <c r="M4044" s="56" t="n">
        <v>71</v>
      </c>
      <c r="N4044" s="56" t="n">
        <v>3.3</v>
      </c>
      <c r="O4044" s="56" t="n">
        <f aca="false">IF(D4044=1,"",E4043)</f>
        <v>20.1</v>
      </c>
      <c r="P4044" s="56" t="n">
        <f aca="false">IF(OR(D4044=1,K4043=""),"",K4043)</f>
        <v>1015.8</v>
      </c>
      <c r="Q4044" s="56" t="n">
        <f aca="false">IF(OR(F4044&lt;&gt;0,AND(I4044&lt;&gt;"",E4044&lt;I4044)),1,0)</f>
        <v>0</v>
      </c>
      <c r="R4044" s="56" t="n">
        <f aca="false">IF(AND(D4044&gt;1,Q4044=0,ISNUMBER(O4044),ISNUMBER(P4044)),IF(Q4043=0,1,0),0)</f>
        <v>1</v>
      </c>
      <c r="S4044" s="56" t="n">
        <f aca="false">R4044*(B4044&gt;=Train_Start)*(B4044&lt;=Train_End)</f>
        <v>0</v>
      </c>
      <c r="T4044" s="84" t="n">
        <f aca="false">IF(AND(ISNUMBER(O4044),ISNUMBER(P4044)),Coef_A+Coef_B1*O4044+Coef_B2*P4044,"")</f>
        <v>20.4212321713595</v>
      </c>
      <c r="U4044" s="84" t="n">
        <f aca="false">IF(AND(R4044=1,ISNUMBER(T4044)),E4044-T4044,"")</f>
        <v>-2.12123217135954</v>
      </c>
      <c r="V4044" s="84" t="n">
        <f aca="false">IF(ISNUMBER(T4044),T4044,-99)</f>
        <v>20.4212321713595</v>
      </c>
      <c r="W4044" s="84" t="n">
        <f aca="false">IF(ISNUMBER(U4044),ABS(U4044),"")</f>
        <v>2.12123217135954</v>
      </c>
    </row>
    <row r="4045" customFormat="false" ht="15" hidden="false" customHeight="false" outlineLevel="0" collapsed="false">
      <c r="A4045" s="57" t="n">
        <v>38538</v>
      </c>
      <c r="B4045" s="56" t="n">
        <v>2005</v>
      </c>
      <c r="C4045" s="56" t="n">
        <v>7</v>
      </c>
      <c r="D4045" s="56" t="n">
        <v>66</v>
      </c>
      <c r="E4045" s="56" t="n">
        <v>17.6</v>
      </c>
      <c r="F4045" s="56" t="n">
        <v>0</v>
      </c>
      <c r="G4045" s="56" t="n">
        <v>10.1</v>
      </c>
      <c r="H4045" s="56" t="n">
        <v>0</v>
      </c>
      <c r="I4045" s="56" t="n">
        <v>13.8</v>
      </c>
      <c r="J4045" s="56" t="n">
        <v>0</v>
      </c>
      <c r="K4045" s="56" t="n">
        <v>1009.8</v>
      </c>
      <c r="L4045" s="56" t="n">
        <v>0</v>
      </c>
      <c r="M4045" s="56" t="n">
        <v>83</v>
      </c>
      <c r="N4045" s="56" t="n">
        <v>3.4</v>
      </c>
      <c r="O4045" s="56" t="n">
        <f aca="false">IF(D4045=1,"",E4044)</f>
        <v>18.3</v>
      </c>
      <c r="P4045" s="56" t="n">
        <f aca="false">IF(OR(D4045=1,K4044=""),"",K4044)</f>
        <v>1009</v>
      </c>
      <c r="Q4045" s="56" t="n">
        <f aca="false">IF(OR(F4045&lt;&gt;0,AND(I4045&lt;&gt;"",E4045&lt;I4045)),1,0)</f>
        <v>0</v>
      </c>
      <c r="R4045" s="56" t="n">
        <f aca="false">IF(AND(D4045&gt;1,Q4045=0,ISNUMBER(O4045),ISNUMBER(P4045)),IF(Q4044=0,1,0),0)</f>
        <v>1</v>
      </c>
      <c r="S4045" s="56" t="n">
        <f aca="false">R4045*(B4045&gt;=Train_Start)*(B4045&lt;=Train_End)</f>
        <v>0</v>
      </c>
      <c r="T4045" s="84" t="n">
        <f aca="false">IF(AND(ISNUMBER(O4045),ISNUMBER(P4045)),Coef_A+Coef_B1*O4045+Coef_B2*P4045,"")</f>
        <v>18.7331063403716</v>
      </c>
      <c r="U4045" s="84" t="n">
        <f aca="false">IF(AND(R4045=1,ISNUMBER(T4045)),E4045-T4045,"")</f>
        <v>-1.13310634037163</v>
      </c>
      <c r="V4045" s="84" t="n">
        <f aca="false">IF(ISNUMBER(T4045),T4045,-99)</f>
        <v>18.7331063403716</v>
      </c>
      <c r="W4045" s="84" t="n">
        <f aca="false">IF(ISNUMBER(U4045),ABS(U4045),"")</f>
        <v>1.13310634037163</v>
      </c>
    </row>
    <row r="4046" customFormat="false" ht="15" hidden="false" customHeight="false" outlineLevel="0" collapsed="false">
      <c r="A4046" s="57" t="n">
        <v>38539</v>
      </c>
      <c r="B4046" s="56" t="n">
        <v>2005</v>
      </c>
      <c r="C4046" s="56" t="n">
        <v>7</v>
      </c>
      <c r="D4046" s="56" t="n">
        <v>67</v>
      </c>
      <c r="E4046" s="56" t="n">
        <v>19.9</v>
      </c>
      <c r="F4046" s="56" t="n">
        <v>0</v>
      </c>
      <c r="G4046" s="56" t="n">
        <v>13.1</v>
      </c>
      <c r="H4046" s="56" t="n">
        <v>0</v>
      </c>
      <c r="I4046" s="56" t="n">
        <v>16.5</v>
      </c>
      <c r="J4046" s="56" t="n">
        <v>0</v>
      </c>
      <c r="K4046" s="56" t="n">
        <v>1008.1</v>
      </c>
      <c r="L4046" s="56" t="n">
        <v>0</v>
      </c>
      <c r="M4046" s="56" t="n">
        <v>68</v>
      </c>
      <c r="N4046" s="56" t="n">
        <v>5.5</v>
      </c>
      <c r="O4046" s="56" t="n">
        <f aca="false">IF(D4046=1,"",E4045)</f>
        <v>17.6</v>
      </c>
      <c r="P4046" s="56" t="n">
        <f aca="false">IF(OR(D4046=1,K4045=""),"",K4045)</f>
        <v>1009.8</v>
      </c>
      <c r="Q4046" s="56" t="n">
        <f aca="false">IF(OR(F4046&lt;&gt;0,AND(I4046&lt;&gt;"",E4046&lt;I4046)),1,0)</f>
        <v>0</v>
      </c>
      <c r="R4046" s="56" t="n">
        <f aca="false">IF(AND(D4046&gt;1,Q4046=0,ISNUMBER(O4046),ISNUMBER(P4046)),IF(Q4045=0,1,0),0)</f>
        <v>1</v>
      </c>
      <c r="S4046" s="56" t="n">
        <f aca="false">R4046*(B4046&gt;=Train_Start)*(B4046&lt;=Train_End)</f>
        <v>0</v>
      </c>
      <c r="T4046" s="84" t="n">
        <f aca="false">IF(AND(ISNUMBER(O4046),ISNUMBER(P4046)),Coef_A+Coef_B1*O4046+Coef_B2*P4046,"")</f>
        <v>18.184664820949</v>
      </c>
      <c r="U4046" s="84" t="n">
        <f aca="false">IF(AND(R4046=1,ISNUMBER(T4046)),E4046-T4046,"")</f>
        <v>1.71533517905104</v>
      </c>
      <c r="V4046" s="84" t="n">
        <f aca="false">IF(ISNUMBER(T4046),T4046,-99)</f>
        <v>18.184664820949</v>
      </c>
      <c r="W4046" s="84" t="n">
        <f aca="false">IF(ISNUMBER(U4046),ABS(U4046),"")</f>
        <v>1.71533517905104</v>
      </c>
    </row>
    <row r="4047" customFormat="false" ht="15" hidden="false" customHeight="false" outlineLevel="0" collapsed="false">
      <c r="A4047" s="57" t="n">
        <v>38540</v>
      </c>
      <c r="B4047" s="56" t="n">
        <v>2005</v>
      </c>
      <c r="C4047" s="56" t="n">
        <v>7</v>
      </c>
      <c r="D4047" s="56" t="n">
        <v>68</v>
      </c>
      <c r="E4047" s="56" t="n">
        <v>20.2</v>
      </c>
      <c r="F4047" s="56" t="n">
        <v>0</v>
      </c>
      <c r="G4047" s="56" t="n">
        <v>12.4</v>
      </c>
      <c r="H4047" s="56" t="n">
        <v>0</v>
      </c>
      <c r="I4047" s="56" t="n">
        <v>16.3</v>
      </c>
      <c r="J4047" s="56" t="n">
        <v>0</v>
      </c>
      <c r="K4047" s="56" t="n">
        <v>1013.9</v>
      </c>
      <c r="L4047" s="56" t="n">
        <v>0</v>
      </c>
      <c r="M4047" s="56" t="n">
        <v>77</v>
      </c>
      <c r="N4047" s="56" t="n">
        <v>1.1</v>
      </c>
      <c r="O4047" s="56" t="n">
        <f aca="false">IF(D4047=1,"",E4046)</f>
        <v>19.9</v>
      </c>
      <c r="P4047" s="56" t="n">
        <f aca="false">IF(OR(D4047=1,K4046=""),"",K4046)</f>
        <v>1008.1</v>
      </c>
      <c r="Q4047" s="56" t="n">
        <f aca="false">IF(OR(F4047&lt;&gt;0,AND(I4047&lt;&gt;"",E4047&lt;I4047)),1,0)</f>
        <v>0</v>
      </c>
      <c r="R4047" s="56" t="n">
        <f aca="false">IF(AND(D4047&gt;1,Q4047=0,ISNUMBER(O4047),ISNUMBER(P4047)),IF(Q4046=0,1,0),0)</f>
        <v>1</v>
      </c>
      <c r="S4047" s="56" t="n">
        <f aca="false">R4047*(B4047&gt;=Train_Start)*(B4047&lt;=Train_End)</f>
        <v>0</v>
      </c>
      <c r="T4047" s="84" t="n">
        <f aca="false">IF(AND(ISNUMBER(O4047),ISNUMBER(P4047)),Coef_A+Coef_B1*O4047+Coef_B2*P4047,"")</f>
        <v>20.0158161440693</v>
      </c>
      <c r="U4047" s="84" t="n">
        <f aca="false">IF(AND(R4047=1,ISNUMBER(T4047)),E4047-T4047,"")</f>
        <v>0.184183855930709</v>
      </c>
      <c r="V4047" s="84" t="n">
        <f aca="false">IF(ISNUMBER(T4047),T4047,-99)</f>
        <v>20.0158161440693</v>
      </c>
      <c r="W4047" s="84" t="n">
        <f aca="false">IF(ISNUMBER(U4047),ABS(U4047),"")</f>
        <v>0.184183855930709</v>
      </c>
    </row>
    <row r="4048" customFormat="false" ht="15" hidden="false" customHeight="false" outlineLevel="0" collapsed="false">
      <c r="A4048" s="57" t="n">
        <v>38541</v>
      </c>
      <c r="B4048" s="56" t="n">
        <v>2005</v>
      </c>
      <c r="C4048" s="56" t="n">
        <v>7</v>
      </c>
      <c r="D4048" s="56" t="n">
        <v>69</v>
      </c>
      <c r="E4048" s="56" t="n">
        <v>20.3</v>
      </c>
      <c r="F4048" s="56" t="n">
        <v>0</v>
      </c>
      <c r="G4048" s="56" t="n">
        <v>12.7</v>
      </c>
      <c r="H4048" s="56" t="n">
        <v>0</v>
      </c>
      <c r="I4048" s="56" t="n">
        <v>16.5</v>
      </c>
      <c r="J4048" s="56" t="n">
        <v>0</v>
      </c>
      <c r="K4048" s="56" t="n">
        <v>1019.1</v>
      </c>
      <c r="L4048" s="56" t="n">
        <v>0</v>
      </c>
      <c r="M4048" s="56" t="n">
        <v>71</v>
      </c>
      <c r="N4048" s="56" t="n">
        <v>3.8</v>
      </c>
      <c r="O4048" s="56" t="n">
        <f aca="false">IF(D4048=1,"",E4047)</f>
        <v>20.2</v>
      </c>
      <c r="P4048" s="56" t="n">
        <f aca="false">IF(OR(D4048=1,K4047=""),"",K4047)</f>
        <v>1013.9</v>
      </c>
      <c r="Q4048" s="56" t="n">
        <f aca="false">IF(OR(F4048&lt;&gt;0,AND(I4048&lt;&gt;"",E4048&lt;I4048)),1,0)</f>
        <v>0</v>
      </c>
      <c r="R4048" s="56" t="n">
        <f aca="false">IF(AND(D4048&gt;1,Q4048=0,ISNUMBER(O4048),ISNUMBER(P4048)),IF(Q4047=0,1,0),0)</f>
        <v>1</v>
      </c>
      <c r="S4048" s="56" t="n">
        <f aca="false">R4048*(B4048&gt;=Train_Start)*(B4048&lt;=Train_End)</f>
        <v>0</v>
      </c>
      <c r="T4048" s="84" t="n">
        <f aca="false">IF(AND(ISNUMBER(O4048),ISNUMBER(P4048)),Coef_A+Coef_B1*O4048+Coef_B2*P4048,"")</f>
        <v>20.4435632908592</v>
      </c>
      <c r="U4048" s="84" t="n">
        <f aca="false">IF(AND(R4048=1,ISNUMBER(T4048)),E4048-T4048,"")</f>
        <v>-0.143563290859223</v>
      </c>
      <c r="V4048" s="84" t="n">
        <f aca="false">IF(ISNUMBER(T4048),T4048,-99)</f>
        <v>20.4435632908592</v>
      </c>
      <c r="W4048" s="84" t="n">
        <f aca="false">IF(ISNUMBER(U4048),ABS(U4048),"")</f>
        <v>0.143563290859223</v>
      </c>
    </row>
    <row r="4049" customFormat="false" ht="15" hidden="false" customHeight="false" outlineLevel="0" collapsed="false">
      <c r="A4049" s="57" t="n">
        <v>38542</v>
      </c>
      <c r="B4049" s="56" t="n">
        <v>2005</v>
      </c>
      <c r="C4049" s="56" t="n">
        <v>7</v>
      </c>
      <c r="D4049" s="56" t="n">
        <v>70</v>
      </c>
      <c r="E4049" s="56" t="n">
        <v>22.8</v>
      </c>
      <c r="F4049" s="56" t="n">
        <v>0</v>
      </c>
      <c r="G4049" s="56" t="n">
        <v>14.2</v>
      </c>
      <c r="H4049" s="56" t="n">
        <v>0</v>
      </c>
      <c r="I4049" s="56" t="n">
        <v>18.5</v>
      </c>
      <c r="J4049" s="56" t="n">
        <v>0</v>
      </c>
      <c r="K4049" s="56" t="n">
        <v>1023.9</v>
      </c>
      <c r="L4049" s="56" t="n">
        <v>0</v>
      </c>
      <c r="M4049" s="56" t="n">
        <v>75</v>
      </c>
      <c r="N4049" s="56" t="n">
        <v>5.5</v>
      </c>
      <c r="O4049" s="56" t="n">
        <f aca="false">IF(D4049=1,"",E4048)</f>
        <v>20.3</v>
      </c>
      <c r="P4049" s="56" t="n">
        <f aca="false">IF(OR(D4049=1,K4048=""),"",K4048)</f>
        <v>1019.1</v>
      </c>
      <c r="Q4049" s="56" t="n">
        <f aca="false">IF(OR(F4049&lt;&gt;0,AND(I4049&lt;&gt;"",E4049&lt;I4049)),1,0)</f>
        <v>0</v>
      </c>
      <c r="R4049" s="56" t="n">
        <f aca="false">IF(AND(D4049&gt;1,Q4049=0,ISNUMBER(O4049),ISNUMBER(P4049)),IF(Q4048=0,1,0),0)</f>
        <v>1</v>
      </c>
      <c r="S4049" s="56" t="n">
        <f aca="false">R4049*(B4049&gt;=Train_Start)*(B4049&lt;=Train_End)</f>
        <v>0</v>
      </c>
      <c r="T4049" s="84" t="n">
        <f aca="false">IF(AND(ISNUMBER(O4049),ISNUMBER(P4049)),Coef_A+Coef_B1*O4049+Coef_B2*P4049,"")</f>
        <v>20.6886206622602</v>
      </c>
      <c r="U4049" s="84" t="n">
        <f aca="false">IF(AND(R4049=1,ISNUMBER(T4049)),E4049-T4049,"")</f>
        <v>2.11137933773977</v>
      </c>
      <c r="V4049" s="84" t="n">
        <f aca="false">IF(ISNUMBER(T4049),T4049,-99)</f>
        <v>20.6886206622602</v>
      </c>
      <c r="W4049" s="84" t="n">
        <f aca="false">IF(ISNUMBER(U4049),ABS(U4049),"")</f>
        <v>2.11137933773977</v>
      </c>
    </row>
    <row r="4050" customFormat="false" ht="15" hidden="false" customHeight="false" outlineLevel="0" collapsed="false">
      <c r="A4050" s="57" t="n">
        <v>38543</v>
      </c>
      <c r="B4050" s="56" t="n">
        <v>2005</v>
      </c>
      <c r="C4050" s="56" t="n">
        <v>7</v>
      </c>
      <c r="D4050" s="56" t="n">
        <v>71</v>
      </c>
      <c r="E4050" s="56" t="n">
        <v>29.3</v>
      </c>
      <c r="F4050" s="56" t="n">
        <v>0</v>
      </c>
      <c r="G4050" s="56" t="n">
        <v>14.4</v>
      </c>
      <c r="H4050" s="56" t="n">
        <v>0</v>
      </c>
      <c r="I4050" s="56" t="n">
        <v>21.8</v>
      </c>
      <c r="J4050" s="56" t="n">
        <v>0</v>
      </c>
      <c r="K4050" s="56" t="n">
        <v>1028.6</v>
      </c>
      <c r="L4050" s="56" t="n">
        <v>0</v>
      </c>
      <c r="M4050" s="56" t="n">
        <v>61</v>
      </c>
      <c r="N4050" s="56" t="n">
        <v>14.6</v>
      </c>
      <c r="O4050" s="56" t="n">
        <f aca="false">IF(D4050=1,"",E4049)</f>
        <v>22.8</v>
      </c>
      <c r="P4050" s="56" t="n">
        <f aca="false">IF(OR(D4050=1,K4049=""),"",K4049)</f>
        <v>1023.9</v>
      </c>
      <c r="Q4050" s="56" t="n">
        <f aca="false">IF(OR(F4050&lt;&gt;0,AND(I4050&lt;&gt;"",E4050&lt;I4050)),1,0)</f>
        <v>0</v>
      </c>
      <c r="R4050" s="56" t="n">
        <f aca="false">IF(AND(D4050&gt;1,Q4050=0,ISNUMBER(O4050),ISNUMBER(P4050)),IF(Q4049=0,1,0),0)</f>
        <v>1</v>
      </c>
      <c r="S4050" s="56" t="n">
        <f aca="false">R4050*(B4050&gt;=Train_Start)*(B4050&lt;=Train_End)</f>
        <v>0</v>
      </c>
      <c r="T4050" s="84" t="n">
        <f aca="false">IF(AND(ISNUMBER(O4050),ISNUMBER(P4050)),Coef_A+Coef_B1*O4050+Coef_B2*P4050,"")</f>
        <v>22.88754413911</v>
      </c>
      <c r="U4050" s="84" t="n">
        <f aca="false">IF(AND(R4050=1,ISNUMBER(T4050)),E4050-T4050,"")</f>
        <v>6.41245586088997</v>
      </c>
      <c r="V4050" s="84" t="n">
        <f aca="false">IF(ISNUMBER(T4050),T4050,-99)</f>
        <v>22.88754413911</v>
      </c>
      <c r="W4050" s="84" t="n">
        <f aca="false">IF(ISNUMBER(U4050),ABS(U4050),"")</f>
        <v>6.41245586088997</v>
      </c>
    </row>
    <row r="4051" customFormat="false" ht="15" hidden="false" customHeight="false" outlineLevel="0" collapsed="false">
      <c r="A4051" s="57" t="n">
        <v>38544</v>
      </c>
      <c r="B4051" s="56" t="n">
        <v>2005</v>
      </c>
      <c r="C4051" s="56" t="n">
        <v>7</v>
      </c>
      <c r="D4051" s="56" t="n">
        <v>72</v>
      </c>
      <c r="E4051" s="56" t="n">
        <v>27.7</v>
      </c>
      <c r="F4051" s="56" t="n">
        <v>0</v>
      </c>
      <c r="G4051" s="56" t="n">
        <v>18.4</v>
      </c>
      <c r="H4051" s="56" t="n">
        <v>0</v>
      </c>
      <c r="I4051" s="56" t="n">
        <v>23</v>
      </c>
      <c r="J4051" s="56" t="n">
        <v>0</v>
      </c>
      <c r="K4051" s="56" t="n">
        <v>1031.3</v>
      </c>
      <c r="L4051" s="56" t="n">
        <v>0</v>
      </c>
      <c r="M4051" s="56" t="n">
        <v>59</v>
      </c>
      <c r="N4051" s="56" t="n">
        <v>11.2</v>
      </c>
      <c r="O4051" s="56" t="n">
        <f aca="false">IF(D4051=1,"",E4050)</f>
        <v>29.3</v>
      </c>
      <c r="P4051" s="56" t="n">
        <f aca="false">IF(OR(D4051=1,K4050=""),"",K4050)</f>
        <v>1028.6</v>
      </c>
      <c r="Q4051" s="56" t="n">
        <f aca="false">IF(OR(F4051&lt;&gt;0,AND(I4051&lt;&gt;"",E4051&lt;I4051)),1,0)</f>
        <v>0</v>
      </c>
      <c r="R4051" s="56" t="n">
        <f aca="false">IF(AND(D4051&gt;1,Q4051=0,ISNUMBER(O4051),ISNUMBER(P4051)),IF(Q4050=0,1,0),0)</f>
        <v>1</v>
      </c>
      <c r="S4051" s="56" t="n">
        <f aca="false">R4051*(B4051&gt;=Train_Start)*(B4051&lt;=Train_End)</f>
        <v>0</v>
      </c>
      <c r="T4051" s="84" t="n">
        <f aca="false">IF(AND(ISNUMBER(O4051),ISNUMBER(P4051)),Coef_A+Coef_B1*O4051+Coef_B2*P4051,"")</f>
        <v>28.3606873986671</v>
      </c>
      <c r="U4051" s="84" t="n">
        <f aca="false">IF(AND(R4051=1,ISNUMBER(T4051)),E4051-T4051,"")</f>
        <v>-0.660687398667054</v>
      </c>
      <c r="V4051" s="84" t="n">
        <f aca="false">IF(ISNUMBER(T4051),T4051,-99)</f>
        <v>28.3606873986671</v>
      </c>
      <c r="W4051" s="84" t="n">
        <f aca="false">IF(ISNUMBER(U4051),ABS(U4051),"")</f>
        <v>0.660687398667054</v>
      </c>
    </row>
    <row r="4052" customFormat="false" ht="15" hidden="false" customHeight="false" outlineLevel="0" collapsed="false">
      <c r="A4052" s="57" t="n">
        <v>38545</v>
      </c>
      <c r="B4052" s="56" t="n">
        <v>2005</v>
      </c>
      <c r="C4052" s="56" t="n">
        <v>7</v>
      </c>
      <c r="D4052" s="56" t="n">
        <v>73</v>
      </c>
      <c r="E4052" s="56" t="n">
        <v>27.3</v>
      </c>
      <c r="F4052" s="56" t="n">
        <v>0</v>
      </c>
      <c r="G4052" s="56" t="n">
        <v>14.3</v>
      </c>
      <c r="H4052" s="56" t="n">
        <v>0</v>
      </c>
      <c r="I4052" s="56" t="n">
        <v>20.8</v>
      </c>
      <c r="J4052" s="56" t="n">
        <v>0</v>
      </c>
      <c r="K4052" s="56" t="n">
        <v>1029.9</v>
      </c>
      <c r="L4052" s="56" t="n">
        <v>0</v>
      </c>
      <c r="M4052" s="56" t="n">
        <v>61</v>
      </c>
      <c r="N4052" s="56" t="n">
        <v>13.2</v>
      </c>
      <c r="O4052" s="56" t="n">
        <f aca="false">IF(D4052=1,"",E4051)</f>
        <v>27.7</v>
      </c>
      <c r="P4052" s="56" t="n">
        <f aca="false">IF(OR(D4052=1,K4051=""),"",K4051)</f>
        <v>1031.3</v>
      </c>
      <c r="Q4052" s="56" t="n">
        <f aca="false">IF(OR(F4052&lt;&gt;0,AND(I4052&lt;&gt;"",E4052&lt;I4052)),1,0)</f>
        <v>0</v>
      </c>
      <c r="R4052" s="56" t="n">
        <f aca="false">IF(AND(D4052&gt;1,Q4052=0,ISNUMBER(O4052),ISNUMBER(P4052)),IF(Q4051=0,1,0),0)</f>
        <v>1</v>
      </c>
      <c r="S4052" s="56" t="n">
        <f aca="false">R4052*(B4052&gt;=Train_Start)*(B4052&lt;=Train_End)</f>
        <v>0</v>
      </c>
      <c r="T4052" s="84" t="n">
        <f aca="false">IF(AND(ISNUMBER(O4052),ISNUMBER(P4052)),Coef_A+Coef_B1*O4052+Coef_B2*P4052,"")</f>
        <v>27.1344434053106</v>
      </c>
      <c r="U4052" s="84" t="n">
        <f aca="false">IF(AND(R4052=1,ISNUMBER(T4052)),E4052-T4052,"")</f>
        <v>0.165556594689431</v>
      </c>
      <c r="V4052" s="84" t="n">
        <f aca="false">IF(ISNUMBER(T4052),T4052,-99)</f>
        <v>27.1344434053106</v>
      </c>
      <c r="W4052" s="84" t="n">
        <f aca="false">IF(ISNUMBER(U4052),ABS(U4052),"")</f>
        <v>0.165556594689431</v>
      </c>
    </row>
    <row r="4053" customFormat="false" ht="15" hidden="false" customHeight="false" outlineLevel="0" collapsed="false">
      <c r="A4053" s="57" t="n">
        <v>38546</v>
      </c>
      <c r="B4053" s="56" t="n">
        <v>2005</v>
      </c>
      <c r="C4053" s="56" t="n">
        <v>7</v>
      </c>
      <c r="D4053" s="56" t="n">
        <v>74</v>
      </c>
      <c r="E4053" s="56" t="n">
        <v>30</v>
      </c>
      <c r="F4053" s="56" t="n">
        <v>0</v>
      </c>
      <c r="G4053" s="56" t="n">
        <v>14.2</v>
      </c>
      <c r="H4053" s="56" t="n">
        <v>0</v>
      </c>
      <c r="I4053" s="56" t="n">
        <v>22.1</v>
      </c>
      <c r="J4053" s="56" t="n">
        <v>0</v>
      </c>
      <c r="K4053" s="56" t="n">
        <v>1024.6</v>
      </c>
      <c r="L4053" s="56" t="n">
        <v>0</v>
      </c>
      <c r="M4053" s="56" t="n">
        <v>65</v>
      </c>
      <c r="N4053" s="56" t="n">
        <v>11.6</v>
      </c>
      <c r="O4053" s="56" t="n">
        <f aca="false">IF(D4053=1,"",E4052)</f>
        <v>27.3</v>
      </c>
      <c r="P4053" s="56" t="n">
        <f aca="false">IF(OR(D4053=1,K4052=""),"",K4052)</f>
        <v>1029.9</v>
      </c>
      <c r="Q4053" s="56" t="n">
        <f aca="false">IF(OR(F4053&lt;&gt;0,AND(I4053&lt;&gt;"",E4053&lt;I4053)),1,0)</f>
        <v>0</v>
      </c>
      <c r="R4053" s="56" t="n">
        <f aca="false">IF(AND(D4053&gt;1,Q4053=0,ISNUMBER(O4053),ISNUMBER(P4053)),IF(Q4052=0,1,0),0)</f>
        <v>1</v>
      </c>
      <c r="S4053" s="56" t="n">
        <f aca="false">R4053*(B4053&gt;=Train_Start)*(B4053&lt;=Train_End)</f>
        <v>0</v>
      </c>
      <c r="T4053" s="84" t="n">
        <f aca="false">IF(AND(ISNUMBER(O4053),ISNUMBER(P4053)),Coef_A+Coef_B1*O4053+Coef_B2*P4053,"")</f>
        <v>26.7627898756059</v>
      </c>
      <c r="U4053" s="84" t="n">
        <f aca="false">IF(AND(R4053=1,ISNUMBER(T4053)),E4053-T4053,"")</f>
        <v>3.23721012439407</v>
      </c>
      <c r="V4053" s="84" t="n">
        <f aca="false">IF(ISNUMBER(T4053),T4053,-99)</f>
        <v>26.7627898756059</v>
      </c>
      <c r="W4053" s="84" t="n">
        <f aca="false">IF(ISNUMBER(U4053),ABS(U4053),"")</f>
        <v>3.23721012439407</v>
      </c>
    </row>
    <row r="4054" customFormat="false" ht="15" hidden="false" customHeight="false" outlineLevel="0" collapsed="false">
      <c r="A4054" s="57" t="n">
        <v>38547</v>
      </c>
      <c r="B4054" s="56" t="n">
        <v>2005</v>
      </c>
      <c r="C4054" s="56" t="n">
        <v>7</v>
      </c>
      <c r="D4054" s="56" t="n">
        <v>75</v>
      </c>
      <c r="E4054" s="56" t="n">
        <v>30.9</v>
      </c>
      <c r="F4054" s="56" t="n">
        <v>0</v>
      </c>
      <c r="G4054" s="56" t="n">
        <v>18.1</v>
      </c>
      <c r="H4054" s="56" t="n">
        <v>0</v>
      </c>
      <c r="I4054" s="56" t="n">
        <v>24.5</v>
      </c>
      <c r="J4054" s="56" t="n">
        <v>0</v>
      </c>
      <c r="K4054" s="56" t="n">
        <v>1018.7</v>
      </c>
      <c r="L4054" s="56" t="n">
        <v>0</v>
      </c>
      <c r="M4054" s="56" t="n">
        <v>54</v>
      </c>
      <c r="N4054" s="56" t="n">
        <v>14.4</v>
      </c>
      <c r="O4054" s="56" t="n">
        <f aca="false">IF(D4054=1,"",E4053)</f>
        <v>30</v>
      </c>
      <c r="P4054" s="56" t="n">
        <f aca="false">IF(OR(D4054=1,K4053=""),"",K4053)</f>
        <v>1024.6</v>
      </c>
      <c r="Q4054" s="56" t="n">
        <f aca="false">IF(OR(F4054&lt;&gt;0,AND(I4054&lt;&gt;"",E4054&lt;I4054)),1,0)</f>
        <v>0</v>
      </c>
      <c r="R4054" s="56" t="n">
        <f aca="false">IF(AND(D4054&gt;1,Q4054=0,ISNUMBER(O4054),ISNUMBER(P4054)),IF(Q4053=0,1,0),0)</f>
        <v>1</v>
      </c>
      <c r="S4054" s="56" t="n">
        <f aca="false">R4054*(B4054&gt;=Train_Start)*(B4054&lt;=Train_End)</f>
        <v>0</v>
      </c>
      <c r="T4054" s="84" t="n">
        <f aca="false">IF(AND(ISNUMBER(O4054),ISNUMBER(P4054)),Coef_A+Coef_B1*O4054+Coef_B2*P4054,"")</f>
        <v>28.808745255261</v>
      </c>
      <c r="U4054" s="84" t="n">
        <f aca="false">IF(AND(R4054=1,ISNUMBER(T4054)),E4054-T4054,"")</f>
        <v>2.09125474473904</v>
      </c>
      <c r="V4054" s="84" t="n">
        <f aca="false">IF(ISNUMBER(T4054),T4054,-99)</f>
        <v>28.808745255261</v>
      </c>
      <c r="W4054" s="84" t="n">
        <f aca="false">IF(ISNUMBER(U4054),ABS(U4054),"")</f>
        <v>2.09125474473904</v>
      </c>
    </row>
    <row r="4055" customFormat="false" ht="15" hidden="false" customHeight="false" outlineLevel="0" collapsed="false">
      <c r="A4055" s="57" t="n">
        <v>38548</v>
      </c>
      <c r="B4055" s="56" t="n">
        <v>2005</v>
      </c>
      <c r="C4055" s="56" t="n">
        <v>7</v>
      </c>
      <c r="D4055" s="56" t="n">
        <v>76</v>
      </c>
      <c r="E4055" s="56" t="n">
        <v>28.2</v>
      </c>
      <c r="F4055" s="56" t="n">
        <v>0</v>
      </c>
      <c r="G4055" s="56" t="n">
        <v>16.6</v>
      </c>
      <c r="H4055" s="56" t="n">
        <v>0</v>
      </c>
      <c r="I4055" s="56" t="n">
        <v>22.4</v>
      </c>
      <c r="J4055" s="56" t="n">
        <v>0</v>
      </c>
      <c r="K4055" s="56" t="n">
        <v>1014.6</v>
      </c>
      <c r="L4055" s="56" t="n">
        <v>0</v>
      </c>
      <c r="M4055" s="56" t="n">
        <v>60</v>
      </c>
      <c r="N4055" s="56" t="n">
        <v>10.3</v>
      </c>
      <c r="O4055" s="56" t="n">
        <f aca="false">IF(D4055=1,"",E4054)</f>
        <v>30.9</v>
      </c>
      <c r="P4055" s="56" t="n">
        <f aca="false">IF(OR(D4055=1,K4054=""),"",K4054)</f>
        <v>1018.7</v>
      </c>
      <c r="Q4055" s="56" t="n">
        <f aca="false">IF(OR(F4055&lt;&gt;0,AND(I4055&lt;&gt;"",E4055&lt;I4055)),1,0)</f>
        <v>0</v>
      </c>
      <c r="R4055" s="56" t="n">
        <f aca="false">IF(AND(D4055&gt;1,Q4055=0,ISNUMBER(O4055),ISNUMBER(P4055)),IF(Q4054=0,1,0),0)</f>
        <v>1</v>
      </c>
      <c r="S4055" s="56" t="n">
        <f aca="false">R4055*(B4055&gt;=Train_Start)*(B4055&lt;=Train_End)</f>
        <v>0</v>
      </c>
      <c r="T4055" s="84" t="n">
        <f aca="false">IF(AND(ISNUMBER(O4055),ISNUMBER(P4055)),Coef_A+Coef_B1*O4055+Coef_B2*P4055,"")</f>
        <v>29.3610681506588</v>
      </c>
      <c r="U4055" s="84" t="n">
        <f aca="false">IF(AND(R4055=1,ISNUMBER(T4055)),E4055-T4055,"")</f>
        <v>-1.16106815065881</v>
      </c>
      <c r="V4055" s="84" t="n">
        <f aca="false">IF(ISNUMBER(T4055),T4055,-99)</f>
        <v>29.3610681506588</v>
      </c>
      <c r="W4055" s="84" t="n">
        <f aca="false">IF(ISNUMBER(U4055),ABS(U4055),"")</f>
        <v>1.16106815065881</v>
      </c>
    </row>
    <row r="4056" customFormat="false" ht="15" hidden="false" customHeight="false" outlineLevel="0" collapsed="false">
      <c r="A4056" s="57" t="n">
        <v>38549</v>
      </c>
      <c r="B4056" s="56" t="n">
        <v>2005</v>
      </c>
      <c r="C4056" s="56" t="n">
        <v>7</v>
      </c>
      <c r="D4056" s="56" t="n">
        <v>77</v>
      </c>
      <c r="E4056" s="56" t="n">
        <v>24.3</v>
      </c>
      <c r="F4056" s="56" t="n">
        <v>0</v>
      </c>
      <c r="G4056" s="56" t="n">
        <v>14.5</v>
      </c>
      <c r="H4056" s="56" t="n">
        <v>0</v>
      </c>
      <c r="I4056" s="56" t="n">
        <v>19.4</v>
      </c>
      <c r="J4056" s="56" t="n">
        <v>0</v>
      </c>
      <c r="K4056" s="56" t="n">
        <v>1017.2</v>
      </c>
      <c r="L4056" s="56" t="n">
        <v>0</v>
      </c>
      <c r="M4056" s="56" t="n">
        <v>53</v>
      </c>
      <c r="N4056" s="56" t="n">
        <v>13.5</v>
      </c>
      <c r="O4056" s="56" t="n">
        <f aca="false">IF(D4056=1,"",E4055)</f>
        <v>28.2</v>
      </c>
      <c r="P4056" s="56" t="n">
        <f aca="false">IF(OR(D4056=1,K4055=""),"",K4055)</f>
        <v>1014.6</v>
      </c>
      <c r="Q4056" s="56" t="n">
        <f aca="false">IF(OR(F4056&lt;&gt;0,AND(I4056&lt;&gt;"",E4056&lt;I4056)),1,0)</f>
        <v>0</v>
      </c>
      <c r="R4056" s="56" t="n">
        <f aca="false">IF(AND(D4056&gt;1,Q4056=0,ISNUMBER(O4056),ISNUMBER(P4056)),IF(Q4055=0,1,0),0)</f>
        <v>1</v>
      </c>
      <c r="S4056" s="56" t="n">
        <f aca="false">R4056*(B4056&gt;=Train_Start)*(B4056&lt;=Train_End)</f>
        <v>0</v>
      </c>
      <c r="T4056" s="84" t="n">
        <f aca="false">IF(AND(ISNUMBER(O4056),ISNUMBER(P4056)),Coef_A+Coef_B1*O4056+Coef_B2*P4056,"")</f>
        <v>27.0202357614443</v>
      </c>
      <c r="U4056" s="84" t="n">
        <f aca="false">IF(AND(R4056=1,ISNUMBER(T4056)),E4056-T4056,"")</f>
        <v>-2.72023576144428</v>
      </c>
      <c r="V4056" s="84" t="n">
        <f aca="false">IF(ISNUMBER(T4056),T4056,-99)</f>
        <v>27.0202357614443</v>
      </c>
      <c r="W4056" s="84" t="n">
        <f aca="false">IF(ISNUMBER(U4056),ABS(U4056),"")</f>
        <v>2.72023576144428</v>
      </c>
    </row>
    <row r="4057" customFormat="false" ht="15" hidden="false" customHeight="false" outlineLevel="0" collapsed="false">
      <c r="A4057" s="57" t="n">
        <v>38550</v>
      </c>
      <c r="B4057" s="56" t="n">
        <v>2005</v>
      </c>
      <c r="C4057" s="56" t="n">
        <v>7</v>
      </c>
      <c r="D4057" s="56" t="n">
        <v>78</v>
      </c>
      <c r="E4057" s="56" t="n">
        <v>29</v>
      </c>
      <c r="F4057" s="56" t="n">
        <v>0</v>
      </c>
      <c r="G4057" s="56" t="n">
        <v>14.6</v>
      </c>
      <c r="H4057" s="56" t="n">
        <v>0</v>
      </c>
      <c r="I4057" s="56" t="n">
        <v>21.8</v>
      </c>
      <c r="J4057" s="56" t="n">
        <v>0</v>
      </c>
      <c r="K4057" s="56" t="n">
        <v>1015.2</v>
      </c>
      <c r="L4057" s="56" t="n">
        <v>0</v>
      </c>
      <c r="M4057" s="56" t="n">
        <v>52</v>
      </c>
      <c r="N4057" s="56" t="n">
        <v>14.7</v>
      </c>
      <c r="O4057" s="56" t="n">
        <f aca="false">IF(D4057=1,"",E4056)</f>
        <v>24.3</v>
      </c>
      <c r="P4057" s="56" t="n">
        <f aca="false">IF(OR(D4057=1,K4056=""),"",K4056)</f>
        <v>1017.2</v>
      </c>
      <c r="Q4057" s="56" t="n">
        <f aca="false">IF(OR(F4057&lt;&gt;0,AND(I4057&lt;&gt;"",E4057&lt;I4057)),1,0)</f>
        <v>0</v>
      </c>
      <c r="R4057" s="56" t="n">
        <f aca="false">IF(AND(D4057&gt;1,Q4057=0,ISNUMBER(O4057),ISNUMBER(P4057)),IF(Q4056=0,1,0),0)</f>
        <v>1</v>
      </c>
      <c r="S4057" s="56" t="n">
        <f aca="false">R4057*(B4057&gt;=Train_Start)*(B4057&lt;=Train_End)</f>
        <v>0</v>
      </c>
      <c r="T4057" s="84" t="n">
        <f aca="false">IF(AND(ISNUMBER(O4057),ISNUMBER(P4057)),Coef_A+Coef_B1*O4057+Coef_B2*P4057,"")</f>
        <v>23.9063746346263</v>
      </c>
      <c r="U4057" s="84" t="n">
        <f aca="false">IF(AND(R4057=1,ISNUMBER(T4057)),E4057-T4057,"")</f>
        <v>5.09362536537371</v>
      </c>
      <c r="V4057" s="84" t="n">
        <f aca="false">IF(ISNUMBER(T4057),T4057,-99)</f>
        <v>23.9063746346263</v>
      </c>
      <c r="W4057" s="84" t="n">
        <f aca="false">IF(ISNUMBER(U4057),ABS(U4057),"")</f>
        <v>5.09362536537371</v>
      </c>
    </row>
    <row r="4058" customFormat="false" ht="15" hidden="false" customHeight="false" outlineLevel="0" collapsed="false">
      <c r="A4058" s="57" t="n">
        <v>38551</v>
      </c>
      <c r="B4058" s="56" t="n">
        <v>2005</v>
      </c>
      <c r="C4058" s="56" t="n">
        <v>7</v>
      </c>
      <c r="D4058" s="56" t="n">
        <v>79</v>
      </c>
      <c r="E4058" s="56" t="n">
        <v>26.4</v>
      </c>
      <c r="F4058" s="56" t="n">
        <v>0</v>
      </c>
      <c r="G4058" s="56" t="n">
        <v>15.6</v>
      </c>
      <c r="H4058" s="56" t="n">
        <v>0</v>
      </c>
      <c r="I4058" s="56" t="n">
        <v>21</v>
      </c>
      <c r="J4058" s="56" t="n">
        <v>0</v>
      </c>
      <c r="K4058" s="56" t="n">
        <v>1008.8</v>
      </c>
      <c r="L4058" s="56" t="n">
        <v>0</v>
      </c>
      <c r="M4058" s="56" t="n">
        <v>66</v>
      </c>
      <c r="N4058" s="56" t="n">
        <v>8.3</v>
      </c>
      <c r="O4058" s="56" t="n">
        <f aca="false">IF(D4058=1,"",E4057)</f>
        <v>29</v>
      </c>
      <c r="P4058" s="56" t="n">
        <f aca="false">IF(OR(D4058=1,K4057=""),"",K4057)</f>
        <v>1015.2</v>
      </c>
      <c r="Q4058" s="56" t="n">
        <f aca="false">IF(OR(F4058&lt;&gt;0,AND(I4058&lt;&gt;"",E4058&lt;I4058)),1,0)</f>
        <v>0</v>
      </c>
      <c r="R4058" s="56" t="n">
        <f aca="false">IF(AND(D4058&gt;1,Q4058=0,ISNUMBER(O4058),ISNUMBER(P4058)),IF(Q4057=0,1,0),0)</f>
        <v>1</v>
      </c>
      <c r="S4058" s="56" t="n">
        <f aca="false">R4058*(B4058&gt;=Train_Start)*(B4058&lt;=Train_End)</f>
        <v>0</v>
      </c>
      <c r="T4058" s="84" t="n">
        <f aca="false">IF(AND(ISNUMBER(O4058),ISNUMBER(P4058)),Coef_A+Coef_B1*O4058+Coef_B2*P4058,"")</f>
        <v>27.6945290526588</v>
      </c>
      <c r="U4058" s="84" t="n">
        <f aca="false">IF(AND(R4058=1,ISNUMBER(T4058)),E4058-T4058,"")</f>
        <v>-1.2945290526588</v>
      </c>
      <c r="V4058" s="84" t="n">
        <f aca="false">IF(ISNUMBER(T4058),T4058,-99)</f>
        <v>27.6945290526588</v>
      </c>
      <c r="W4058" s="84" t="n">
        <f aca="false">IF(ISNUMBER(U4058),ABS(U4058),"")</f>
        <v>1.2945290526588</v>
      </c>
    </row>
    <row r="4059" customFormat="false" ht="15" hidden="false" customHeight="false" outlineLevel="0" collapsed="false">
      <c r="A4059" s="57" t="n">
        <v>38552</v>
      </c>
      <c r="B4059" s="56" t="n">
        <v>2005</v>
      </c>
      <c r="C4059" s="56" t="n">
        <v>7</v>
      </c>
      <c r="D4059" s="56" t="n">
        <v>80</v>
      </c>
      <c r="E4059" s="56" t="n">
        <v>23.8</v>
      </c>
      <c r="F4059" s="56" t="n">
        <v>0</v>
      </c>
      <c r="G4059" s="56" t="n">
        <v>13.2</v>
      </c>
      <c r="H4059" s="56" t="n">
        <v>0</v>
      </c>
      <c r="I4059" s="56" t="n">
        <v>18.5</v>
      </c>
      <c r="J4059" s="56" t="n">
        <v>0</v>
      </c>
      <c r="K4059" s="56" t="n">
        <v>1015.7</v>
      </c>
      <c r="L4059" s="56" t="n">
        <v>0</v>
      </c>
      <c r="M4059" s="56" t="n">
        <v>58</v>
      </c>
      <c r="N4059" s="56" t="n">
        <v>8.4</v>
      </c>
      <c r="O4059" s="56" t="n">
        <f aca="false">IF(D4059=1,"",E4058)</f>
        <v>26.4</v>
      </c>
      <c r="P4059" s="56" t="n">
        <f aca="false">IF(OR(D4059=1,K4058=""),"",K4058)</f>
        <v>1008.8</v>
      </c>
      <c r="Q4059" s="56" t="n">
        <f aca="false">IF(OR(F4059&lt;&gt;0,AND(I4059&lt;&gt;"",E4059&lt;I4059)),1,0)</f>
        <v>0</v>
      </c>
      <c r="R4059" s="56" t="n">
        <f aca="false">IF(AND(D4059&gt;1,Q4059=0,ISNUMBER(O4059),ISNUMBER(P4059)),IF(Q4058=0,1,0),0)</f>
        <v>1</v>
      </c>
      <c r="S4059" s="56" t="n">
        <f aca="false">R4059*(B4059&gt;=Train_Start)*(B4059&lt;=Train_End)</f>
        <v>0</v>
      </c>
      <c r="T4059" s="84" t="n">
        <f aca="false">IF(AND(ISNUMBER(O4059),ISNUMBER(P4059)),Coef_A+Coef_B1*O4059+Coef_B2*P4059,"")</f>
        <v>25.3634798250904</v>
      </c>
      <c r="U4059" s="84" t="n">
        <f aca="false">IF(AND(R4059=1,ISNUMBER(T4059)),E4059-T4059,"")</f>
        <v>-1.56347982509035</v>
      </c>
      <c r="V4059" s="84" t="n">
        <f aca="false">IF(ISNUMBER(T4059),T4059,-99)</f>
        <v>25.3634798250904</v>
      </c>
      <c r="W4059" s="84" t="n">
        <f aca="false">IF(ISNUMBER(U4059),ABS(U4059),"")</f>
        <v>1.56347982509035</v>
      </c>
    </row>
    <row r="4060" customFormat="false" ht="15" hidden="false" customHeight="false" outlineLevel="0" collapsed="false">
      <c r="A4060" s="57" t="n">
        <v>38553</v>
      </c>
      <c r="B4060" s="56" t="n">
        <v>2005</v>
      </c>
      <c r="C4060" s="56" t="n">
        <v>7</v>
      </c>
      <c r="D4060" s="56" t="n">
        <v>81</v>
      </c>
      <c r="E4060" s="56" t="n">
        <v>25.1</v>
      </c>
      <c r="F4060" s="56" t="n">
        <v>0</v>
      </c>
      <c r="G4060" s="56" t="n">
        <v>14.8</v>
      </c>
      <c r="H4060" s="56" t="n">
        <v>0</v>
      </c>
      <c r="I4060" s="56" t="n">
        <v>20</v>
      </c>
      <c r="J4060" s="56" t="n">
        <v>0</v>
      </c>
      <c r="K4060" s="56" t="n">
        <v>1020.1</v>
      </c>
      <c r="L4060" s="56" t="n">
        <v>0</v>
      </c>
      <c r="M4060" s="56" t="n">
        <v>54</v>
      </c>
      <c r="N4060" s="56" t="n">
        <v>11.5</v>
      </c>
      <c r="O4060" s="56" t="n">
        <f aca="false">IF(D4060=1,"",E4059)</f>
        <v>23.8</v>
      </c>
      <c r="P4060" s="56" t="n">
        <f aca="false">IF(OR(D4060=1,K4059=""),"",K4059)</f>
        <v>1015.7</v>
      </c>
      <c r="Q4060" s="56" t="n">
        <f aca="false">IF(OR(F4060&lt;&gt;0,AND(I4060&lt;&gt;"",E4060&lt;I4060)),1,0)</f>
        <v>0</v>
      </c>
      <c r="R4060" s="56" t="n">
        <f aca="false">IF(AND(D4060&gt;1,Q4060=0,ISNUMBER(O4060),ISNUMBER(P4060)),IF(Q4059=0,1,0),0)</f>
        <v>1</v>
      </c>
      <c r="S4060" s="56" t="n">
        <f aca="false">R4060*(B4060&gt;=Train_Start)*(B4060&lt;=Train_End)</f>
        <v>0</v>
      </c>
      <c r="T4060" s="84" t="n">
        <f aca="false">IF(AND(ISNUMBER(O4060),ISNUMBER(P4060)),Coef_A+Coef_B1*O4060+Coef_B2*P4060,"")</f>
        <v>23.449650196154</v>
      </c>
      <c r="U4060" s="84" t="n">
        <f aca="false">IF(AND(R4060=1,ISNUMBER(T4060)),E4060-T4060,"")</f>
        <v>1.65034980384603</v>
      </c>
      <c r="V4060" s="84" t="n">
        <f aca="false">IF(ISNUMBER(T4060),T4060,-99)</f>
        <v>23.449650196154</v>
      </c>
      <c r="W4060" s="84" t="n">
        <f aca="false">IF(ISNUMBER(U4060),ABS(U4060),"")</f>
        <v>1.65034980384603</v>
      </c>
    </row>
    <row r="4061" customFormat="false" ht="15" hidden="false" customHeight="false" outlineLevel="0" collapsed="false">
      <c r="A4061" s="57" t="n">
        <v>38554</v>
      </c>
      <c r="B4061" s="56" t="n">
        <v>2005</v>
      </c>
      <c r="C4061" s="56" t="n">
        <v>7</v>
      </c>
      <c r="D4061" s="56" t="n">
        <v>82</v>
      </c>
      <c r="E4061" s="56" t="n">
        <v>23.2</v>
      </c>
      <c r="F4061" s="56" t="n">
        <v>0</v>
      </c>
      <c r="G4061" s="56" t="n">
        <v>11.6</v>
      </c>
      <c r="H4061" s="56" t="n">
        <v>0</v>
      </c>
      <c r="I4061" s="56" t="n">
        <v>17.4</v>
      </c>
      <c r="J4061" s="56" t="n">
        <v>0</v>
      </c>
      <c r="K4061" s="56" t="n">
        <v>1020.7</v>
      </c>
      <c r="L4061" s="56" t="n">
        <v>0</v>
      </c>
      <c r="M4061" s="56" t="n">
        <v>63</v>
      </c>
      <c r="N4061" s="56" t="n">
        <v>12.5</v>
      </c>
      <c r="O4061" s="56" t="n">
        <f aca="false">IF(D4061=1,"",E4060)</f>
        <v>25.1</v>
      </c>
      <c r="P4061" s="56" t="n">
        <f aca="false">IF(OR(D4061=1,K4060=""),"",K4060)</f>
        <v>1020.1</v>
      </c>
      <c r="Q4061" s="56" t="n">
        <f aca="false">IF(OR(F4061&lt;&gt;0,AND(I4061&lt;&gt;"",E4061&lt;I4061)),1,0)</f>
        <v>0</v>
      </c>
      <c r="R4061" s="56" t="n">
        <f aca="false">IF(AND(D4061&gt;1,Q4061=0,ISNUMBER(O4061),ISNUMBER(P4061)),IF(Q4060=0,1,0),0)</f>
        <v>1</v>
      </c>
      <c r="S4061" s="56" t="n">
        <f aca="false">R4061*(B4061&gt;=Train_Start)*(B4061&lt;=Train_End)</f>
        <v>0</v>
      </c>
      <c r="T4061" s="84" t="n">
        <f aca="false">IF(AND(ISNUMBER(O4061),ISNUMBER(P4061)),Coef_A+Coef_B1*O4061+Coef_B2*P4061,"")</f>
        <v>24.652818683499</v>
      </c>
      <c r="U4061" s="84" t="n">
        <f aca="false">IF(AND(R4061=1,ISNUMBER(T4061)),E4061-T4061,"")</f>
        <v>-1.45281868349898</v>
      </c>
      <c r="V4061" s="84" t="n">
        <f aca="false">IF(ISNUMBER(T4061),T4061,-99)</f>
        <v>24.652818683499</v>
      </c>
      <c r="W4061" s="84" t="n">
        <f aca="false">IF(ISNUMBER(U4061),ABS(U4061),"")</f>
        <v>1.45281868349898</v>
      </c>
    </row>
    <row r="4062" customFormat="false" ht="15" hidden="false" customHeight="false" outlineLevel="0" collapsed="false">
      <c r="A4062" s="57" t="n">
        <v>38555</v>
      </c>
      <c r="B4062" s="56" t="n">
        <v>2005</v>
      </c>
      <c r="C4062" s="56" t="n">
        <v>7</v>
      </c>
      <c r="D4062" s="56" t="n">
        <v>83</v>
      </c>
      <c r="E4062" s="56" t="n">
        <v>22</v>
      </c>
      <c r="F4062" s="56" t="n">
        <v>0</v>
      </c>
      <c r="G4062" s="56" t="n">
        <v>12.5</v>
      </c>
      <c r="H4062" s="56" t="n">
        <v>0</v>
      </c>
      <c r="I4062" s="56" t="n">
        <v>17.2</v>
      </c>
      <c r="J4062" s="56" t="n">
        <v>0</v>
      </c>
      <c r="K4062" s="56" t="n">
        <v>1016.5</v>
      </c>
      <c r="L4062" s="56" t="n">
        <v>0</v>
      </c>
      <c r="M4062" s="56" t="n">
        <v>72</v>
      </c>
      <c r="N4062" s="56" t="n">
        <v>4.1</v>
      </c>
      <c r="O4062" s="56" t="n">
        <f aca="false">IF(D4062=1,"",E4061)</f>
        <v>23.2</v>
      </c>
      <c r="P4062" s="56" t="n">
        <f aca="false">IF(OR(D4062=1,K4061=""),"",K4061)</f>
        <v>1020.7</v>
      </c>
      <c r="Q4062" s="56" t="n">
        <f aca="false">IF(OR(F4062&lt;&gt;0,AND(I4062&lt;&gt;"",E4062&lt;I4062)),1,0)</f>
        <v>0</v>
      </c>
      <c r="R4062" s="56" t="n">
        <f aca="false">IF(AND(D4062&gt;1,Q4062=0,ISNUMBER(O4062),ISNUMBER(P4062)),IF(Q4061=0,1,0),0)</f>
        <v>1</v>
      </c>
      <c r="S4062" s="56" t="n">
        <f aca="false">R4062*(B4062&gt;=Train_Start)*(B4062&lt;=Train_End)</f>
        <v>0</v>
      </c>
      <c r="T4062" s="84" t="n">
        <f aca="false">IF(AND(ISNUMBER(O4062),ISNUMBER(P4062)),Coef_A+Coef_B1*O4062+Coef_B2*P4062,"")</f>
        <v>23.1148961534983</v>
      </c>
      <c r="U4062" s="84" t="n">
        <f aca="false">IF(AND(R4062=1,ISNUMBER(T4062)),E4062-T4062,"")</f>
        <v>-1.11489615349833</v>
      </c>
      <c r="V4062" s="84" t="n">
        <f aca="false">IF(ISNUMBER(T4062),T4062,-99)</f>
        <v>23.1148961534983</v>
      </c>
      <c r="W4062" s="84" t="n">
        <f aca="false">IF(ISNUMBER(U4062),ABS(U4062),"")</f>
        <v>1.11489615349833</v>
      </c>
    </row>
    <row r="4063" customFormat="false" ht="15" hidden="false" customHeight="false" outlineLevel="0" collapsed="false">
      <c r="A4063" s="57" t="n">
        <v>38556</v>
      </c>
      <c r="B4063" s="56" t="n">
        <v>2005</v>
      </c>
      <c r="C4063" s="56" t="n">
        <v>7</v>
      </c>
      <c r="D4063" s="56" t="n">
        <v>84</v>
      </c>
      <c r="E4063" s="56" t="n">
        <v>22.4</v>
      </c>
      <c r="F4063" s="56" t="n">
        <v>0</v>
      </c>
      <c r="G4063" s="56" t="n">
        <v>16.2</v>
      </c>
      <c r="H4063" s="56" t="n">
        <v>0</v>
      </c>
      <c r="I4063" s="56" t="n">
        <v>19.3</v>
      </c>
      <c r="J4063" s="56" t="n">
        <v>0</v>
      </c>
      <c r="K4063" s="56" t="n">
        <v>1009.3</v>
      </c>
      <c r="L4063" s="56" t="n">
        <v>0</v>
      </c>
      <c r="M4063" s="56" t="n">
        <v>72</v>
      </c>
      <c r="N4063" s="56" t="n">
        <v>0.7</v>
      </c>
      <c r="O4063" s="56" t="n">
        <f aca="false">IF(D4063=1,"",E4062)</f>
        <v>22</v>
      </c>
      <c r="P4063" s="56" t="n">
        <f aca="false">IF(OR(D4063=1,K4062=""),"",K4062)</f>
        <v>1016.5</v>
      </c>
      <c r="Q4063" s="56" t="n">
        <f aca="false">IF(OR(F4063&lt;&gt;0,AND(I4063&lt;&gt;"",E4063&lt;I4063)),1,0)</f>
        <v>0</v>
      </c>
      <c r="R4063" s="56" t="n">
        <f aca="false">IF(AND(D4063&gt;1,Q4063=0,ISNUMBER(O4063),ISNUMBER(P4063)),IF(Q4062=0,1,0),0)</f>
        <v>1</v>
      </c>
      <c r="S4063" s="56" t="n">
        <f aca="false">R4063*(B4063&gt;=Train_Start)*(B4063&lt;=Train_End)</f>
        <v>0</v>
      </c>
      <c r="T4063" s="84" t="n">
        <f aca="false">IF(AND(ISNUMBER(O4063),ISNUMBER(P4063)),Coef_A+Coef_B1*O4063+Coef_B2*P4063,"")</f>
        <v>21.9999355643844</v>
      </c>
      <c r="U4063" s="84" t="n">
        <f aca="false">IF(AND(R4063=1,ISNUMBER(T4063)),E4063-T4063,"")</f>
        <v>0.400064435615615</v>
      </c>
      <c r="V4063" s="84" t="n">
        <f aca="false">IF(ISNUMBER(T4063),T4063,-99)</f>
        <v>21.9999355643844</v>
      </c>
      <c r="W4063" s="84" t="n">
        <f aca="false">IF(ISNUMBER(U4063),ABS(U4063),"")</f>
        <v>0.400064435615615</v>
      </c>
    </row>
    <row r="4064" customFormat="false" ht="15" hidden="false" customHeight="false" outlineLevel="0" collapsed="false">
      <c r="A4064" s="57" t="n">
        <v>38557</v>
      </c>
      <c r="B4064" s="56" t="n">
        <v>2005</v>
      </c>
      <c r="C4064" s="56" t="n">
        <v>7</v>
      </c>
      <c r="D4064" s="56" t="n">
        <v>85</v>
      </c>
      <c r="E4064" s="56" t="n">
        <v>21.8</v>
      </c>
      <c r="F4064" s="56" t="n">
        <v>0</v>
      </c>
      <c r="G4064" s="56" t="n">
        <v>14.9</v>
      </c>
      <c r="H4064" s="56" t="n">
        <v>0</v>
      </c>
      <c r="I4064" s="56" t="n">
        <v>18.4</v>
      </c>
      <c r="J4064" s="56" t="n">
        <v>0</v>
      </c>
      <c r="K4064" s="56" t="n">
        <v>1003.1</v>
      </c>
      <c r="L4064" s="56" t="n">
        <v>0</v>
      </c>
      <c r="M4064" s="56" t="n">
        <v>84</v>
      </c>
      <c r="N4064" s="56" t="n">
        <v>2.9</v>
      </c>
      <c r="O4064" s="56" t="n">
        <f aca="false">IF(D4064=1,"",E4063)</f>
        <v>22.4</v>
      </c>
      <c r="P4064" s="56" t="n">
        <f aca="false">IF(OR(D4064=1,K4063=""),"",K4063)</f>
        <v>1009.3</v>
      </c>
      <c r="Q4064" s="56" t="n">
        <f aca="false">IF(OR(F4064&lt;&gt;0,AND(I4064&lt;&gt;"",E4064&lt;I4064)),1,0)</f>
        <v>0</v>
      </c>
      <c r="R4064" s="56" t="n">
        <f aca="false">IF(AND(D4064&gt;1,Q4064=0,ISNUMBER(O4064),ISNUMBER(P4064)),IF(Q4063=0,1,0),0)</f>
        <v>1</v>
      </c>
      <c r="S4064" s="56" t="n">
        <f aca="false">R4064*(B4064&gt;=Train_Start)*(B4064&lt;=Train_End)</f>
        <v>0</v>
      </c>
      <c r="T4064" s="84" t="n">
        <f aca="false">IF(AND(ISNUMBER(O4064),ISNUMBER(P4064)),Coef_A+Coef_B1*O4064+Coef_B2*P4064,"")</f>
        <v>22.1018080002367</v>
      </c>
      <c r="U4064" s="84" t="n">
        <f aca="false">IF(AND(R4064=1,ISNUMBER(T4064)),E4064-T4064,"")</f>
        <v>-0.301808000236715</v>
      </c>
      <c r="V4064" s="84" t="n">
        <f aca="false">IF(ISNUMBER(T4064),T4064,-99)</f>
        <v>22.1018080002367</v>
      </c>
      <c r="W4064" s="84" t="n">
        <f aca="false">IF(ISNUMBER(U4064),ABS(U4064),"")</f>
        <v>0.301808000236715</v>
      </c>
    </row>
    <row r="4065" customFormat="false" ht="15" hidden="false" customHeight="false" outlineLevel="0" collapsed="false">
      <c r="A4065" s="57" t="n">
        <v>38558</v>
      </c>
      <c r="B4065" s="56" t="n">
        <v>2005</v>
      </c>
      <c r="C4065" s="56" t="n">
        <v>7</v>
      </c>
      <c r="D4065" s="56" t="n">
        <v>86</v>
      </c>
      <c r="E4065" s="56" t="n">
        <v>18.1</v>
      </c>
      <c r="F4065" s="56" t="n">
        <v>0</v>
      </c>
      <c r="G4065" s="56" t="n">
        <v>15.5</v>
      </c>
      <c r="H4065" s="56" t="n">
        <v>0</v>
      </c>
      <c r="I4065" s="56" t="n">
        <v>16.8</v>
      </c>
      <c r="J4065" s="56" t="n">
        <v>0</v>
      </c>
      <c r="K4065" s="56" t="n">
        <v>1003.9</v>
      </c>
      <c r="L4065" s="56" t="n">
        <v>0</v>
      </c>
      <c r="M4065" s="56" t="n">
        <v>83</v>
      </c>
      <c r="N4065" s="56" t="n">
        <v>0.2</v>
      </c>
      <c r="O4065" s="56" t="n">
        <f aca="false">IF(D4065=1,"",E4064)</f>
        <v>21.8</v>
      </c>
      <c r="P4065" s="56" t="n">
        <f aca="false">IF(OR(D4065=1,K4064=""),"",K4064)</f>
        <v>1003.1</v>
      </c>
      <c r="Q4065" s="56" t="n">
        <f aca="false">IF(OR(F4065&lt;&gt;0,AND(I4065&lt;&gt;"",E4065&lt;I4065)),1,0)</f>
        <v>0</v>
      </c>
      <c r="R4065" s="56" t="n">
        <f aca="false">IF(AND(D4065&gt;1,Q4065=0,ISNUMBER(O4065),ISNUMBER(P4065)),IF(Q4064=0,1,0),0)</f>
        <v>1</v>
      </c>
      <c r="S4065" s="56" t="n">
        <f aca="false">R4065*(B4065&gt;=Train_Start)*(B4065&lt;=Train_End)</f>
        <v>0</v>
      </c>
      <c r="T4065" s="84" t="n">
        <f aca="false">IF(AND(ISNUMBER(O4065),ISNUMBER(P4065)),Coef_A+Coef_B1*O4065+Coef_B2*P4065,"")</f>
        <v>21.4157111376804</v>
      </c>
      <c r="U4065" s="84" t="n">
        <f aca="false">IF(AND(R4065=1,ISNUMBER(T4065)),E4065-T4065,"")</f>
        <v>-3.31571113768039</v>
      </c>
      <c r="V4065" s="84" t="n">
        <f aca="false">IF(ISNUMBER(T4065),T4065,-99)</f>
        <v>21.4157111376804</v>
      </c>
      <c r="W4065" s="84" t="n">
        <f aca="false">IF(ISNUMBER(U4065),ABS(U4065),"")</f>
        <v>3.31571113768039</v>
      </c>
    </row>
    <row r="4066" customFormat="false" ht="15" hidden="false" customHeight="false" outlineLevel="0" collapsed="false">
      <c r="A4066" s="57" t="n">
        <v>38559</v>
      </c>
      <c r="B4066" s="56" t="n">
        <v>2005</v>
      </c>
      <c r="C4066" s="56" t="n">
        <v>7</v>
      </c>
      <c r="D4066" s="56" t="n">
        <v>87</v>
      </c>
      <c r="E4066" s="56" t="n">
        <v>20.2</v>
      </c>
      <c r="F4066" s="56" t="n">
        <v>0</v>
      </c>
      <c r="G4066" s="56" t="n">
        <v>13.9</v>
      </c>
      <c r="H4066" s="56" t="n">
        <v>0</v>
      </c>
      <c r="I4066" s="56" t="n">
        <v>17</v>
      </c>
      <c r="J4066" s="56" t="n">
        <v>0</v>
      </c>
      <c r="K4066" s="56" t="n">
        <v>1011.3</v>
      </c>
      <c r="L4066" s="56" t="n">
        <v>0</v>
      </c>
      <c r="M4066" s="56" t="n">
        <v>63</v>
      </c>
      <c r="N4066" s="56" t="n">
        <v>0.3</v>
      </c>
      <c r="O4066" s="56" t="n">
        <f aca="false">IF(D4066=1,"",E4065)</f>
        <v>18.1</v>
      </c>
      <c r="P4066" s="56" t="n">
        <f aca="false">IF(OR(D4066=1,K4065=""),"",K4065)</f>
        <v>1003.9</v>
      </c>
      <c r="Q4066" s="56" t="n">
        <f aca="false">IF(OR(F4066&lt;&gt;0,AND(I4066&lt;&gt;"",E4066&lt;I4066)),1,0)</f>
        <v>0</v>
      </c>
      <c r="R4066" s="56" t="n">
        <f aca="false">IF(AND(D4066&gt;1,Q4066=0,ISNUMBER(O4066),ISNUMBER(P4066)),IF(Q4065=0,1,0),0)</f>
        <v>1</v>
      </c>
      <c r="S4066" s="56" t="n">
        <f aca="false">R4066*(B4066&gt;=Train_Start)*(B4066&lt;=Train_End)</f>
        <v>0</v>
      </c>
      <c r="T4066" s="84" t="n">
        <f aca="false">IF(AND(ISNUMBER(O4066),ISNUMBER(P4066)),Coef_A+Coef_B1*O4066+Coef_B2*P4066,"")</f>
        <v>18.4092520391298</v>
      </c>
      <c r="U4066" s="84" t="n">
        <f aca="false">IF(AND(R4066=1,ISNUMBER(T4066)),E4066-T4066,"")</f>
        <v>1.79074796087025</v>
      </c>
      <c r="V4066" s="84" t="n">
        <f aca="false">IF(ISNUMBER(T4066),T4066,-99)</f>
        <v>18.4092520391298</v>
      </c>
      <c r="W4066" s="84" t="n">
        <f aca="false">IF(ISNUMBER(U4066),ABS(U4066),"")</f>
        <v>1.79074796087025</v>
      </c>
    </row>
    <row r="4067" customFormat="false" ht="15" hidden="false" customHeight="false" outlineLevel="0" collapsed="false">
      <c r="A4067" s="57" t="n">
        <v>38560</v>
      </c>
      <c r="B4067" s="56" t="n">
        <v>2005</v>
      </c>
      <c r="C4067" s="56" t="n">
        <v>7</v>
      </c>
      <c r="D4067" s="56" t="n">
        <v>88</v>
      </c>
      <c r="E4067" s="56" t="n">
        <v>17.5</v>
      </c>
      <c r="F4067" s="56" t="n">
        <v>0</v>
      </c>
      <c r="G4067" s="56" t="n">
        <v>12.7</v>
      </c>
      <c r="H4067" s="56" t="n">
        <v>0</v>
      </c>
      <c r="I4067" s="56" t="n">
        <v>15.1</v>
      </c>
      <c r="J4067" s="56" t="n">
        <v>0</v>
      </c>
      <c r="K4067" s="56" t="n">
        <v>1009</v>
      </c>
      <c r="L4067" s="56" t="n">
        <v>0</v>
      </c>
      <c r="M4067" s="56" t="n">
        <v>94</v>
      </c>
      <c r="N4067" s="56" t="n">
        <v>0</v>
      </c>
      <c r="O4067" s="56" t="n">
        <f aca="false">IF(D4067=1,"",E4066)</f>
        <v>20.2</v>
      </c>
      <c r="P4067" s="56" t="n">
        <f aca="false">IF(OR(D4067=1,K4066=""),"",K4066)</f>
        <v>1011.3</v>
      </c>
      <c r="Q4067" s="56" t="n">
        <f aca="false">IF(OR(F4067&lt;&gt;0,AND(I4067&lt;&gt;"",E4067&lt;I4067)),1,0)</f>
        <v>0</v>
      </c>
      <c r="R4067" s="56" t="n">
        <f aca="false">IF(AND(D4067&gt;1,Q4067=0,ISNUMBER(O4067),ISNUMBER(P4067)),IF(Q4066=0,1,0),0)</f>
        <v>1</v>
      </c>
      <c r="S4067" s="56" t="n">
        <f aca="false">R4067*(B4067&gt;=Train_Start)*(B4067&lt;=Train_End)</f>
        <v>0</v>
      </c>
      <c r="T4067" s="84" t="n">
        <f aca="false">IF(AND(ISNUMBER(O4067),ISNUMBER(P4067)),Coef_A+Coef_B1*O4067+Coef_B2*P4067,"")</f>
        <v>20.3620015648109</v>
      </c>
      <c r="U4067" s="84" t="n">
        <f aca="false">IF(AND(R4067=1,ISNUMBER(T4067)),E4067-T4067,"")</f>
        <v>-2.86200156481085</v>
      </c>
      <c r="V4067" s="84" t="n">
        <f aca="false">IF(ISNUMBER(T4067),T4067,-99)</f>
        <v>20.3620015648109</v>
      </c>
      <c r="W4067" s="84" t="n">
        <f aca="false">IF(ISNUMBER(U4067),ABS(U4067),"")</f>
        <v>2.86200156481085</v>
      </c>
    </row>
    <row r="4068" customFormat="false" ht="15" hidden="false" customHeight="false" outlineLevel="0" collapsed="false">
      <c r="A4068" s="57" t="n">
        <v>38561</v>
      </c>
      <c r="B4068" s="56" t="n">
        <v>2005</v>
      </c>
      <c r="C4068" s="56" t="n">
        <v>7</v>
      </c>
      <c r="D4068" s="56" t="n">
        <v>89</v>
      </c>
      <c r="E4068" s="56" t="n">
        <v>25.3</v>
      </c>
      <c r="F4068" s="56" t="n">
        <v>0</v>
      </c>
      <c r="G4068" s="56" t="n">
        <v>13.3</v>
      </c>
      <c r="H4068" s="56" t="n">
        <v>0</v>
      </c>
      <c r="I4068" s="56" t="n">
        <v>20.3</v>
      </c>
      <c r="J4068" s="56" t="n">
        <v>0</v>
      </c>
      <c r="K4068" s="56" t="n">
        <v>1007.7</v>
      </c>
      <c r="L4068" s="56" t="n">
        <v>0</v>
      </c>
      <c r="M4068" s="56" t="n">
        <v>83</v>
      </c>
      <c r="N4068" s="56" t="n">
        <v>5.7</v>
      </c>
      <c r="O4068" s="56" t="n">
        <f aca="false">IF(D4068=1,"",E4067)</f>
        <v>17.5</v>
      </c>
      <c r="P4068" s="56" t="n">
        <f aca="false">IF(OR(D4068=1,K4067=""),"",K4067)</f>
        <v>1009</v>
      </c>
      <c r="Q4068" s="56" t="n">
        <f aca="false">IF(OR(F4068&lt;&gt;0,AND(I4068&lt;&gt;"",E4068&lt;I4068)),1,0)</f>
        <v>0</v>
      </c>
      <c r="R4068" s="56" t="n">
        <f aca="false">IF(AND(D4068&gt;1,Q4068=0,ISNUMBER(O4068),ISNUMBER(P4068)),IF(Q4067=0,1,0),0)</f>
        <v>1</v>
      </c>
      <c r="S4068" s="56" t="n">
        <f aca="false">R4068*(B4068&gt;=Train_Start)*(B4068&lt;=Train_End)</f>
        <v>0</v>
      </c>
      <c r="T4068" s="84" t="n">
        <f aca="false">IF(AND(ISNUMBER(O4068),ISNUMBER(P4068)),Coef_A+Coef_B1*O4068+Coef_B2*P4068,"")</f>
        <v>18.0776349859375</v>
      </c>
      <c r="U4068" s="84" t="n">
        <f aca="false">IF(AND(R4068=1,ISNUMBER(T4068)),E4068-T4068,"")</f>
        <v>7.2223650140625</v>
      </c>
      <c r="V4068" s="84" t="n">
        <f aca="false">IF(ISNUMBER(T4068),T4068,-99)</f>
        <v>18.0776349859375</v>
      </c>
      <c r="W4068" s="84" t="n">
        <f aca="false">IF(ISNUMBER(U4068),ABS(U4068),"")</f>
        <v>7.2223650140625</v>
      </c>
    </row>
    <row r="4069" customFormat="false" ht="15" hidden="false" customHeight="false" outlineLevel="0" collapsed="false">
      <c r="A4069" s="57" t="n">
        <v>38562</v>
      </c>
      <c r="B4069" s="56" t="n">
        <v>2005</v>
      </c>
      <c r="C4069" s="56" t="n">
        <v>7</v>
      </c>
      <c r="D4069" s="56" t="n">
        <v>90</v>
      </c>
      <c r="E4069" s="56" t="n">
        <v>23.4</v>
      </c>
      <c r="F4069" s="56" t="n">
        <v>0</v>
      </c>
      <c r="G4069" s="56" t="n">
        <v>14.7</v>
      </c>
      <c r="H4069" s="56" t="n">
        <v>0</v>
      </c>
      <c r="I4069" s="56" t="n">
        <v>19</v>
      </c>
      <c r="J4069" s="56" t="n">
        <v>0</v>
      </c>
      <c r="K4069" s="56" t="n">
        <v>1010.7</v>
      </c>
      <c r="L4069" s="56" t="n">
        <v>0</v>
      </c>
      <c r="M4069" s="56" t="n">
        <v>66</v>
      </c>
      <c r="N4069" s="56" t="n">
        <v>10.6</v>
      </c>
      <c r="O4069" s="56" t="n">
        <f aca="false">IF(D4069=1,"",E4068)</f>
        <v>25.3</v>
      </c>
      <c r="P4069" s="56" t="n">
        <f aca="false">IF(OR(D4069=1,K4068=""),"",K4068)</f>
        <v>1007.7</v>
      </c>
      <c r="Q4069" s="56" t="n">
        <f aca="false">IF(OR(F4069&lt;&gt;0,AND(I4069&lt;&gt;"",E4069&lt;I4069)),1,0)</f>
        <v>0</v>
      </c>
      <c r="R4069" s="56" t="n">
        <f aca="false">IF(AND(D4069&gt;1,Q4069=0,ISNUMBER(O4069),ISNUMBER(P4069)),IF(Q4068=0,1,0),0)</f>
        <v>1</v>
      </c>
      <c r="S4069" s="56" t="n">
        <f aca="false">R4069*(B4069&gt;=Train_Start)*(B4069&lt;=Train_End)</f>
        <v>0</v>
      </c>
      <c r="T4069" s="84" t="n">
        <f aca="false">IF(AND(ISNUMBER(O4069),ISNUMBER(P4069)),Coef_A+Coef_B1*O4069+Coef_B2*P4069,"")</f>
        <v>24.4276998286461</v>
      </c>
      <c r="U4069" s="84" t="n">
        <f aca="false">IF(AND(R4069=1,ISNUMBER(T4069)),E4069-T4069,"")</f>
        <v>-1.02769982864605</v>
      </c>
      <c r="V4069" s="84" t="n">
        <f aca="false">IF(ISNUMBER(T4069),T4069,-99)</f>
        <v>24.4276998286461</v>
      </c>
      <c r="W4069" s="84" t="n">
        <f aca="false">IF(ISNUMBER(U4069),ABS(U4069),"")</f>
        <v>1.02769982864605</v>
      </c>
    </row>
    <row r="4070" customFormat="false" ht="15" hidden="false" customHeight="false" outlineLevel="0" collapsed="false">
      <c r="A4070" s="57" t="n">
        <v>38563</v>
      </c>
      <c r="B4070" s="56" t="n">
        <v>2005</v>
      </c>
      <c r="C4070" s="56" t="n">
        <v>7</v>
      </c>
      <c r="D4070" s="56" t="n">
        <v>91</v>
      </c>
      <c r="E4070" s="56" t="n">
        <v>21.5</v>
      </c>
      <c r="F4070" s="56" t="n">
        <v>0</v>
      </c>
      <c r="G4070" s="56" t="n">
        <v>12.9</v>
      </c>
      <c r="H4070" s="56" t="n">
        <v>0</v>
      </c>
      <c r="I4070" s="56" t="n">
        <v>17.2</v>
      </c>
      <c r="J4070" s="56" t="n">
        <v>0</v>
      </c>
      <c r="K4070" s="56" t="n">
        <v>1011.5</v>
      </c>
      <c r="L4070" s="56" t="n">
        <v>0</v>
      </c>
      <c r="M4070" s="56" t="n">
        <v>80</v>
      </c>
      <c r="N4070" s="56" t="n">
        <v>2.1</v>
      </c>
      <c r="O4070" s="56" t="n">
        <f aca="false">IF(D4070=1,"",E4069)</f>
        <v>23.4</v>
      </c>
      <c r="P4070" s="56" t="n">
        <f aca="false">IF(OR(D4070=1,K4069=""),"",K4069)</f>
        <v>1010.7</v>
      </c>
      <c r="Q4070" s="56" t="n">
        <f aca="false">IF(OR(F4070&lt;&gt;0,AND(I4070&lt;&gt;"",E4070&lt;I4070)),1,0)</f>
        <v>0</v>
      </c>
      <c r="R4070" s="56" t="n">
        <f aca="false">IF(AND(D4070&gt;1,Q4070=0,ISNUMBER(O4070),ISNUMBER(P4070)),IF(Q4069=0,1,0),0)</f>
        <v>1</v>
      </c>
      <c r="S4070" s="56" t="n">
        <f aca="false">R4070*(B4070&gt;=Train_Start)*(B4070&lt;=Train_End)</f>
        <v>0</v>
      </c>
      <c r="T4070" s="84" t="n">
        <f aca="false">IF(AND(ISNUMBER(O4070),ISNUMBER(P4070)),Coef_A+Coef_B1*O4070+Coef_B2*P4070,"")</f>
        <v>22.965065045767</v>
      </c>
      <c r="U4070" s="84" t="n">
        <f aca="false">IF(AND(R4070=1,ISNUMBER(T4070)),E4070-T4070,"")</f>
        <v>-1.46506504576696</v>
      </c>
      <c r="V4070" s="84" t="n">
        <f aca="false">IF(ISNUMBER(T4070),T4070,-99)</f>
        <v>22.965065045767</v>
      </c>
      <c r="W4070" s="84" t="n">
        <f aca="false">IF(ISNUMBER(U4070),ABS(U4070),"")</f>
        <v>1.46506504576696</v>
      </c>
    </row>
    <row r="4071" customFormat="false" ht="15" hidden="false" customHeight="false" outlineLevel="0" collapsed="false">
      <c r="A4071" s="57" t="n">
        <v>38564</v>
      </c>
      <c r="B4071" s="56" t="n">
        <v>2005</v>
      </c>
      <c r="C4071" s="56" t="n">
        <v>7</v>
      </c>
      <c r="D4071" s="56" t="n">
        <v>92</v>
      </c>
      <c r="E4071" s="56" t="n">
        <v>19.6</v>
      </c>
      <c r="F4071" s="56" t="n">
        <v>0</v>
      </c>
      <c r="G4071" s="56" t="n">
        <v>14.2</v>
      </c>
      <c r="H4071" s="56" t="n">
        <v>0</v>
      </c>
      <c r="I4071" s="56" t="n">
        <v>16.9</v>
      </c>
      <c r="J4071" s="56" t="n">
        <v>0</v>
      </c>
      <c r="K4071" s="56" t="n">
        <v>1013.9</v>
      </c>
      <c r="L4071" s="56" t="n">
        <v>0</v>
      </c>
      <c r="M4071" s="56" t="n">
        <v>77</v>
      </c>
      <c r="N4071" s="56" t="n">
        <v>0.2</v>
      </c>
      <c r="O4071" s="56" t="n">
        <f aca="false">IF(D4071=1,"",E4070)</f>
        <v>21.5</v>
      </c>
      <c r="P4071" s="56" t="n">
        <f aca="false">IF(OR(D4071=1,K4070=""),"",K4070)</f>
        <v>1011.5</v>
      </c>
      <c r="Q4071" s="56" t="n">
        <f aca="false">IF(OR(F4071&lt;&gt;0,AND(I4071&lt;&gt;"",E4071&lt;I4071)),1,0)</f>
        <v>0</v>
      </c>
      <c r="R4071" s="56" t="n">
        <f aca="false">IF(AND(D4071&gt;1,Q4071=0,ISNUMBER(O4071),ISNUMBER(P4071)),IF(Q4070=0,1,0),0)</f>
        <v>1</v>
      </c>
      <c r="S4071" s="56" t="n">
        <f aca="false">R4071*(B4071&gt;=Train_Start)*(B4071&lt;=Train_End)</f>
        <v>0</v>
      </c>
      <c r="T4071" s="84" t="n">
        <f aca="false">IF(AND(ISNUMBER(O4071),ISNUMBER(P4071)),Coef_A+Coef_B1*O4071+Coef_B2*P4071,"")</f>
        <v>21.4334164946931</v>
      </c>
      <c r="U4071" s="84" t="n">
        <f aca="false">IF(AND(R4071=1,ISNUMBER(T4071)),E4071-T4071,"")</f>
        <v>-1.8334164946931</v>
      </c>
      <c r="V4071" s="84" t="n">
        <f aca="false">IF(ISNUMBER(T4071),T4071,-99)</f>
        <v>21.4334164946931</v>
      </c>
      <c r="W4071" s="84" t="n">
        <f aca="false">IF(ISNUMBER(U4071),ABS(U4071),"")</f>
        <v>1.8334164946931</v>
      </c>
    </row>
    <row r="4072" customFormat="false" ht="15" hidden="false" customHeight="false" outlineLevel="0" collapsed="false">
      <c r="A4072" s="57" t="n">
        <v>38565</v>
      </c>
      <c r="B4072" s="56" t="n">
        <v>2005</v>
      </c>
      <c r="C4072" s="56" t="n">
        <v>8</v>
      </c>
      <c r="D4072" s="56" t="n">
        <v>93</v>
      </c>
      <c r="E4072" s="56" t="n">
        <v>21.8</v>
      </c>
      <c r="F4072" s="56" t="n">
        <v>0</v>
      </c>
      <c r="G4072" s="56" t="n">
        <v>13.9</v>
      </c>
      <c r="H4072" s="56" t="n">
        <v>0</v>
      </c>
      <c r="I4072" s="56" t="n">
        <v>17.8</v>
      </c>
      <c r="J4072" s="56" t="n">
        <v>0</v>
      </c>
      <c r="K4072" s="56" t="n">
        <v>1018.2</v>
      </c>
      <c r="L4072" s="56" t="n">
        <v>0</v>
      </c>
      <c r="M4072" s="56" t="n">
        <v>79</v>
      </c>
      <c r="N4072" s="56" t="n">
        <v>2.2</v>
      </c>
      <c r="O4072" s="56" t="n">
        <f aca="false">IF(D4072=1,"",E4071)</f>
        <v>19.6</v>
      </c>
      <c r="P4072" s="56" t="n">
        <f aca="false">IF(OR(D4072=1,K4071=""),"",K4071)</f>
        <v>1013.9</v>
      </c>
      <c r="Q4072" s="56" t="n">
        <f aca="false">IF(OR(F4072&lt;&gt;0,AND(I4072&lt;&gt;"",E4072&lt;I4072)),1,0)</f>
        <v>0</v>
      </c>
      <c r="R4072" s="56" t="n">
        <f aca="false">IF(AND(D4072&gt;1,Q4072=0,ISNUMBER(O4072),ISNUMBER(P4072)),IF(Q4071=0,1,0),0)</f>
        <v>1</v>
      </c>
      <c r="S4072" s="56" t="n">
        <f aca="false">R4072*(B4072&gt;=Train_Start)*(B4072&lt;=Train_End)</f>
        <v>0</v>
      </c>
      <c r="T4072" s="84" t="n">
        <f aca="false">IF(AND(ISNUMBER(O4072),ISNUMBER(P4072)),Coef_A+Coef_B1*O4072+Coef_B2*P4072,"")</f>
        <v>19.9519597750336</v>
      </c>
      <c r="U4072" s="84" t="n">
        <f aca="false">IF(AND(R4072=1,ISNUMBER(T4072)),E4072-T4072,"")</f>
        <v>1.84804022496637</v>
      </c>
      <c r="V4072" s="84" t="n">
        <f aca="false">IF(ISNUMBER(T4072),T4072,-99)</f>
        <v>19.9519597750336</v>
      </c>
      <c r="W4072" s="84" t="n">
        <f aca="false">IF(ISNUMBER(U4072),ABS(U4072),"")</f>
        <v>1.84804022496637</v>
      </c>
    </row>
    <row r="4073" customFormat="false" ht="15" hidden="false" customHeight="false" outlineLevel="0" collapsed="false">
      <c r="A4073" s="57" t="n">
        <v>38566</v>
      </c>
      <c r="B4073" s="56" t="n">
        <v>2005</v>
      </c>
      <c r="C4073" s="56" t="n">
        <v>8</v>
      </c>
      <c r="D4073" s="56" t="n">
        <v>94</v>
      </c>
      <c r="E4073" s="56" t="n">
        <v>24.9</v>
      </c>
      <c r="F4073" s="56" t="n">
        <v>0</v>
      </c>
      <c r="G4073" s="56" t="n">
        <v>12.3</v>
      </c>
      <c r="H4073" s="56" t="n">
        <v>0</v>
      </c>
      <c r="I4073" s="56" t="n">
        <v>18.6</v>
      </c>
      <c r="J4073" s="56" t="n">
        <v>0</v>
      </c>
      <c r="K4073" s="56" t="n">
        <v>1021</v>
      </c>
      <c r="L4073" s="56" t="n">
        <v>0</v>
      </c>
      <c r="M4073" s="56" t="n">
        <v>72</v>
      </c>
      <c r="N4073" s="56" t="n">
        <v>11.3</v>
      </c>
      <c r="O4073" s="56" t="n">
        <f aca="false">IF(D4073=1,"",E4072)</f>
        <v>21.8</v>
      </c>
      <c r="P4073" s="56" t="n">
        <f aca="false">IF(OR(D4073=1,K4072=""),"",K4072)</f>
        <v>1018.2</v>
      </c>
      <c r="Q4073" s="56" t="n">
        <f aca="false">IF(OR(F4073&lt;&gt;0,AND(I4073&lt;&gt;"",E4073&lt;I4073)),1,0)</f>
        <v>0</v>
      </c>
      <c r="R4073" s="56" t="n">
        <f aca="false">IF(AND(D4073&gt;1,Q4073=0,ISNUMBER(O4073),ISNUMBER(P4073)),IF(Q4072=0,1,0),0)</f>
        <v>1</v>
      </c>
      <c r="S4073" s="56" t="n">
        <f aca="false">R4073*(B4073&gt;=Train_Start)*(B4073&lt;=Train_End)</f>
        <v>0</v>
      </c>
      <c r="T4073" s="84" t="n">
        <f aca="false">IF(AND(ISNUMBER(O4073),ISNUMBER(P4073)),Coef_A+Coef_B1*O4073+Coef_B2*P4073,"")</f>
        <v>21.8893965466536</v>
      </c>
      <c r="U4073" s="84" t="n">
        <f aca="false">IF(AND(R4073=1,ISNUMBER(T4073)),E4073-T4073,"")</f>
        <v>3.01060345334636</v>
      </c>
      <c r="V4073" s="84" t="n">
        <f aca="false">IF(ISNUMBER(T4073),T4073,-99)</f>
        <v>21.8893965466536</v>
      </c>
      <c r="W4073" s="84" t="n">
        <f aca="false">IF(ISNUMBER(U4073),ABS(U4073),"")</f>
        <v>3.01060345334636</v>
      </c>
    </row>
    <row r="4074" customFormat="false" ht="15" hidden="false" customHeight="false" outlineLevel="0" collapsed="false">
      <c r="A4074" s="57" t="n">
        <v>38567</v>
      </c>
      <c r="B4074" s="56" t="n">
        <v>2005</v>
      </c>
      <c r="C4074" s="56" t="n">
        <v>8</v>
      </c>
      <c r="D4074" s="56" t="n">
        <v>95</v>
      </c>
      <c r="E4074" s="56" t="n">
        <v>23.8</v>
      </c>
      <c r="F4074" s="56" t="n">
        <v>0</v>
      </c>
      <c r="G4074" s="56" t="n">
        <v>14.5</v>
      </c>
      <c r="H4074" s="56" t="n">
        <v>0</v>
      </c>
      <c r="I4074" s="56" t="n">
        <v>19.2</v>
      </c>
      <c r="J4074" s="56" t="n">
        <v>0</v>
      </c>
      <c r="K4074" s="56" t="n">
        <v>1021.9</v>
      </c>
      <c r="L4074" s="56" t="n">
        <v>0</v>
      </c>
      <c r="M4074" s="56" t="n">
        <v>59</v>
      </c>
      <c r="N4074" s="56" t="n">
        <v>11</v>
      </c>
      <c r="O4074" s="56" t="n">
        <f aca="false">IF(D4074=1,"",E4073)</f>
        <v>24.9</v>
      </c>
      <c r="P4074" s="56" t="n">
        <f aca="false">IF(OR(D4074=1,K4073=""),"",K4073)</f>
        <v>1021</v>
      </c>
      <c r="Q4074" s="56" t="n">
        <f aca="false">IF(OR(F4074&lt;&gt;0,AND(I4074&lt;&gt;"",E4074&lt;I4074)),1,0)</f>
        <v>0</v>
      </c>
      <c r="R4074" s="56" t="n">
        <f aca="false">IF(AND(D4074&gt;1,Q4074=0,ISNUMBER(O4074),ISNUMBER(P4074)),IF(Q4073=0,1,0),0)</f>
        <v>1</v>
      </c>
      <c r="S4074" s="56" t="n">
        <f aca="false">R4074*(B4074&gt;=Train_Start)*(B4074&lt;=Train_End)</f>
        <v>0</v>
      </c>
      <c r="T4074" s="84" t="n">
        <f aca="false">IF(AND(ISNUMBER(O4074),ISNUMBER(P4074)),Coef_A+Coef_B1*O4074+Coef_B2*P4074,"")</f>
        <v>24.517183750061</v>
      </c>
      <c r="U4074" s="84" t="n">
        <f aca="false">IF(AND(R4074=1,ISNUMBER(T4074)),E4074-T4074,"")</f>
        <v>-0.717183750061039</v>
      </c>
      <c r="V4074" s="84" t="n">
        <f aca="false">IF(ISNUMBER(T4074),T4074,-99)</f>
        <v>24.517183750061</v>
      </c>
      <c r="W4074" s="84" t="n">
        <f aca="false">IF(ISNUMBER(U4074),ABS(U4074),"")</f>
        <v>0.717183750061039</v>
      </c>
    </row>
    <row r="4075" customFormat="false" ht="15" hidden="false" customHeight="false" outlineLevel="0" collapsed="false">
      <c r="A4075" s="57" t="n">
        <v>38568</v>
      </c>
      <c r="B4075" s="56" t="n">
        <v>2005</v>
      </c>
      <c r="C4075" s="56" t="n">
        <v>8</v>
      </c>
      <c r="D4075" s="56" t="n">
        <v>96</v>
      </c>
      <c r="E4075" s="56" t="n">
        <v>22.9</v>
      </c>
      <c r="F4075" s="56" t="n">
        <v>0</v>
      </c>
      <c r="G4075" s="56" t="n">
        <v>12.4</v>
      </c>
      <c r="H4075" s="56" t="n">
        <v>0</v>
      </c>
      <c r="I4075" s="56" t="n">
        <v>17.6</v>
      </c>
      <c r="J4075" s="56" t="n">
        <v>0</v>
      </c>
      <c r="K4075" s="56" t="n">
        <v>1025.1</v>
      </c>
      <c r="L4075" s="56" t="n">
        <v>0</v>
      </c>
      <c r="M4075" s="56" t="n">
        <v>64</v>
      </c>
      <c r="N4075" s="56" t="n">
        <v>9.4</v>
      </c>
      <c r="O4075" s="56" t="n">
        <f aca="false">IF(D4075=1,"",E4074)</f>
        <v>23.8</v>
      </c>
      <c r="P4075" s="56" t="n">
        <f aca="false">IF(OR(D4075=1,K4074=""),"",K4074)</f>
        <v>1021.9</v>
      </c>
      <c r="Q4075" s="56" t="n">
        <f aca="false">IF(OR(F4075&lt;&gt;0,AND(I4075&lt;&gt;"",E4075&lt;I4075)),1,0)</f>
        <v>0</v>
      </c>
      <c r="R4075" s="56" t="n">
        <f aca="false">IF(AND(D4075&gt;1,Q4075=0,ISNUMBER(O4075),ISNUMBER(P4075)),IF(Q4074=0,1,0),0)</f>
        <v>1</v>
      </c>
      <c r="S4075" s="56" t="n">
        <f aca="false">R4075*(B4075&gt;=Train_Start)*(B4075&lt;=Train_End)</f>
        <v>0</v>
      </c>
      <c r="T4075" s="84" t="n">
        <f aca="false">IF(AND(ISNUMBER(O4075),ISNUMBER(P4075)),Coef_A+Coef_B1*O4075+Coef_B2*P4075,"")</f>
        <v>23.6441435428847</v>
      </c>
      <c r="U4075" s="84" t="n">
        <f aca="false">IF(AND(R4075=1,ISNUMBER(T4075)),E4075-T4075,"")</f>
        <v>-0.744143542884707</v>
      </c>
      <c r="V4075" s="84" t="n">
        <f aca="false">IF(ISNUMBER(T4075),T4075,-99)</f>
        <v>23.6441435428847</v>
      </c>
      <c r="W4075" s="84" t="n">
        <f aca="false">IF(ISNUMBER(U4075),ABS(U4075),"")</f>
        <v>0.744143542884707</v>
      </c>
    </row>
    <row r="4076" customFormat="false" ht="15" hidden="false" customHeight="false" outlineLevel="0" collapsed="false">
      <c r="A4076" s="57" t="n">
        <v>38569</v>
      </c>
      <c r="B4076" s="56" t="n">
        <v>2005</v>
      </c>
      <c r="C4076" s="56" t="n">
        <v>8</v>
      </c>
      <c r="D4076" s="56" t="n">
        <v>97</v>
      </c>
      <c r="E4076" s="56" t="n">
        <v>22.4</v>
      </c>
      <c r="F4076" s="56" t="n">
        <v>0</v>
      </c>
      <c r="G4076" s="56" t="n">
        <v>13.6</v>
      </c>
      <c r="H4076" s="56" t="n">
        <v>0</v>
      </c>
      <c r="I4076" s="56" t="n">
        <v>18</v>
      </c>
      <c r="J4076" s="56" t="n">
        <v>0</v>
      </c>
      <c r="K4076" s="56" t="n">
        <v>1018.6</v>
      </c>
      <c r="L4076" s="56" t="n">
        <v>0</v>
      </c>
      <c r="M4076" s="56" t="n">
        <v>73</v>
      </c>
      <c r="N4076" s="56" t="n">
        <v>6.2</v>
      </c>
      <c r="O4076" s="56" t="n">
        <f aca="false">IF(D4076=1,"",E4075)</f>
        <v>22.9</v>
      </c>
      <c r="P4076" s="56" t="n">
        <f aca="false">IF(OR(D4076=1,K4075=""),"",K4075)</f>
        <v>1025.1</v>
      </c>
      <c r="Q4076" s="56" t="n">
        <f aca="false">IF(OR(F4076&lt;&gt;0,AND(I4076&lt;&gt;"",E4076&lt;I4076)),1,0)</f>
        <v>0</v>
      </c>
      <c r="R4076" s="56" t="n">
        <f aca="false">IF(AND(D4076&gt;1,Q4076=0,ISNUMBER(O4076),ISNUMBER(P4076)),IF(Q4075=0,1,0),0)</f>
        <v>1</v>
      </c>
      <c r="S4076" s="56" t="n">
        <f aca="false">R4076*(B4076&gt;=Train_Start)*(B4076&lt;=Train_End)</f>
        <v>0</v>
      </c>
      <c r="T4076" s="84" t="n">
        <f aca="false">IF(AND(ISNUMBER(O4076),ISNUMBER(P4076)),Coef_A+Coef_B1*O4076+Coef_B2*P4076,"")</f>
        <v>23.0071219319751</v>
      </c>
      <c r="U4076" s="84" t="n">
        <f aca="false">IF(AND(R4076=1,ISNUMBER(T4076)),E4076-T4076,"")</f>
        <v>-0.607121931975076</v>
      </c>
      <c r="V4076" s="84" t="n">
        <f aca="false">IF(ISNUMBER(T4076),T4076,-99)</f>
        <v>23.0071219319751</v>
      </c>
      <c r="W4076" s="84" t="n">
        <f aca="false">IF(ISNUMBER(U4076),ABS(U4076),"")</f>
        <v>0.607121931975076</v>
      </c>
    </row>
    <row r="4077" customFormat="false" ht="15" hidden="false" customHeight="false" outlineLevel="0" collapsed="false">
      <c r="A4077" s="57" t="n">
        <v>38570</v>
      </c>
      <c r="B4077" s="56" t="n">
        <v>2005</v>
      </c>
      <c r="C4077" s="56" t="n">
        <v>8</v>
      </c>
      <c r="D4077" s="56" t="n">
        <v>98</v>
      </c>
      <c r="E4077" s="56" t="n">
        <v>20.6</v>
      </c>
      <c r="F4077" s="56" t="n">
        <v>0</v>
      </c>
      <c r="G4077" s="56" t="n">
        <v>10.9</v>
      </c>
      <c r="H4077" s="56" t="n">
        <v>0</v>
      </c>
      <c r="I4077" s="56" t="n">
        <v>15.8</v>
      </c>
      <c r="J4077" s="56" t="n">
        <v>0</v>
      </c>
      <c r="K4077" s="56" t="n">
        <v>1020.8</v>
      </c>
      <c r="L4077" s="56" t="n">
        <v>0</v>
      </c>
      <c r="M4077" s="56" t="n">
        <v>63</v>
      </c>
      <c r="N4077" s="56" t="n">
        <v>2.4</v>
      </c>
      <c r="O4077" s="56" t="n">
        <f aca="false">IF(D4077=1,"",E4076)</f>
        <v>22.4</v>
      </c>
      <c r="P4077" s="56" t="n">
        <f aca="false">IF(OR(D4077=1,K4076=""),"",K4076)</f>
        <v>1018.6</v>
      </c>
      <c r="Q4077" s="56" t="n">
        <f aca="false">IF(OR(F4077&lt;&gt;0,AND(I4077&lt;&gt;"",E4077&lt;I4077)),1,0)</f>
        <v>0</v>
      </c>
      <c r="R4077" s="56" t="n">
        <f aca="false">IF(AND(D4077&gt;1,Q4077=0,ISNUMBER(O4077),ISNUMBER(P4077)),IF(Q4076=0,1,0),0)</f>
        <v>1</v>
      </c>
      <c r="S4077" s="56" t="n">
        <f aca="false">R4077*(B4077&gt;=Train_Start)*(B4077&lt;=Train_End)</f>
        <v>0</v>
      </c>
      <c r="T4077" s="84" t="n">
        <f aca="false">IF(AND(ISNUMBER(O4077),ISNUMBER(P4077)),Coef_A+Coef_B1*O4077+Coef_B2*P4077,"")</f>
        <v>22.3935480203328</v>
      </c>
      <c r="U4077" s="84" t="n">
        <f aca="false">IF(AND(R4077=1,ISNUMBER(T4077)),E4077-T4077,"")</f>
        <v>-1.79354802033282</v>
      </c>
      <c r="V4077" s="84" t="n">
        <f aca="false">IF(ISNUMBER(T4077),T4077,-99)</f>
        <v>22.3935480203328</v>
      </c>
      <c r="W4077" s="84" t="n">
        <f aca="false">IF(ISNUMBER(U4077),ABS(U4077),"")</f>
        <v>1.79354802033282</v>
      </c>
    </row>
    <row r="4078" customFormat="false" ht="15" hidden="false" customHeight="false" outlineLevel="0" collapsed="false">
      <c r="A4078" s="57" t="n">
        <v>38571</v>
      </c>
      <c r="B4078" s="56" t="n">
        <v>2005</v>
      </c>
      <c r="C4078" s="56" t="n">
        <v>8</v>
      </c>
      <c r="D4078" s="56" t="n">
        <v>99</v>
      </c>
      <c r="E4078" s="56" t="n">
        <v>21.6</v>
      </c>
      <c r="F4078" s="56" t="n">
        <v>0</v>
      </c>
      <c r="G4078" s="56" t="n">
        <v>10.5</v>
      </c>
      <c r="H4078" s="56" t="n">
        <v>0</v>
      </c>
      <c r="I4078" s="56" t="n">
        <v>16</v>
      </c>
      <c r="J4078" s="56" t="n">
        <v>0</v>
      </c>
      <c r="K4078" s="56" t="n">
        <v>1019</v>
      </c>
      <c r="L4078" s="56" t="n">
        <v>0</v>
      </c>
      <c r="M4078" s="56" t="n">
        <v>57</v>
      </c>
      <c r="N4078" s="56" t="n">
        <v>12.7</v>
      </c>
      <c r="O4078" s="56" t="n">
        <f aca="false">IF(D4078=1,"",E4077)</f>
        <v>20.6</v>
      </c>
      <c r="P4078" s="56" t="n">
        <f aca="false">IF(OR(D4078=1,K4077=""),"",K4077)</f>
        <v>1020.8</v>
      </c>
      <c r="Q4078" s="56" t="n">
        <f aca="false">IF(OR(F4078&lt;&gt;0,AND(I4078&lt;&gt;"",E4078&lt;I4078)),1,0)</f>
        <v>0</v>
      </c>
      <c r="R4078" s="56" t="n">
        <f aca="false">IF(AND(D4078&gt;1,Q4078=0,ISNUMBER(O4078),ISNUMBER(P4078)),IF(Q4077=0,1,0),0)</f>
        <v>1</v>
      </c>
      <c r="S4078" s="56" t="n">
        <f aca="false">R4078*(B4078&gt;=Train_Start)*(B4078&lt;=Train_End)</f>
        <v>0</v>
      </c>
      <c r="T4078" s="84" t="n">
        <f aca="false">IF(AND(ISNUMBER(O4078),ISNUMBER(P4078)),Coef_A+Coef_B1*O4078+Coef_B2*P4078,"")</f>
        <v>20.9877512410508</v>
      </c>
      <c r="U4078" s="84" t="n">
        <f aca="false">IF(AND(R4078=1,ISNUMBER(T4078)),E4078-T4078,"")</f>
        <v>0.612248758949185</v>
      </c>
      <c r="V4078" s="84" t="n">
        <f aca="false">IF(ISNUMBER(T4078),T4078,-99)</f>
        <v>20.9877512410508</v>
      </c>
      <c r="W4078" s="84" t="n">
        <f aca="false">IF(ISNUMBER(U4078),ABS(U4078),"")</f>
        <v>0.612248758949185</v>
      </c>
    </row>
    <row r="4079" customFormat="false" ht="15" hidden="false" customHeight="false" outlineLevel="0" collapsed="false">
      <c r="A4079" s="57" t="n">
        <v>38572</v>
      </c>
      <c r="B4079" s="56" t="n">
        <v>2005</v>
      </c>
      <c r="C4079" s="56" t="n">
        <v>8</v>
      </c>
      <c r="D4079" s="56" t="n">
        <v>100</v>
      </c>
      <c r="E4079" s="56" t="n">
        <v>23.2</v>
      </c>
      <c r="F4079" s="56" t="n">
        <v>0</v>
      </c>
      <c r="G4079" s="56" t="n">
        <v>10.3</v>
      </c>
      <c r="H4079" s="56" t="n">
        <v>0</v>
      </c>
      <c r="I4079" s="56" t="n">
        <v>16.8</v>
      </c>
      <c r="J4079" s="56" t="n">
        <v>0</v>
      </c>
      <c r="K4079" s="56" t="n">
        <v>1020.2</v>
      </c>
      <c r="L4079" s="56" t="n">
        <v>0</v>
      </c>
      <c r="M4079" s="56" t="n">
        <v>57</v>
      </c>
      <c r="N4079" s="56" t="n">
        <v>14.1</v>
      </c>
      <c r="O4079" s="56" t="n">
        <f aca="false">IF(D4079=1,"",E4078)</f>
        <v>21.6</v>
      </c>
      <c r="P4079" s="56" t="n">
        <f aca="false">IF(OR(D4079=1,K4078=""),"",K4078)</f>
        <v>1019</v>
      </c>
      <c r="Q4079" s="56" t="n">
        <f aca="false">IF(OR(F4079&lt;&gt;0,AND(I4079&lt;&gt;"",E4079&lt;I4079)),1,0)</f>
        <v>0</v>
      </c>
      <c r="R4079" s="56" t="n">
        <f aca="false">IF(AND(D4079&gt;1,Q4079=0,ISNUMBER(O4079),ISNUMBER(P4079)),IF(Q4078=0,1,0),0)</f>
        <v>1</v>
      </c>
      <c r="S4079" s="56" t="n">
        <f aca="false">R4079*(B4079&gt;=Train_Start)*(B4079&lt;=Train_End)</f>
        <v>0</v>
      </c>
      <c r="T4079" s="84" t="n">
        <f aca="false">IF(AND(ISNUMBER(O4079),ISNUMBER(P4079)),Coef_A+Coef_B1*O4079+Coef_B2*P4079,"")</f>
        <v>21.7506246237523</v>
      </c>
      <c r="U4079" s="84" t="n">
        <f aca="false">IF(AND(R4079=1,ISNUMBER(T4079)),E4079-T4079,"")</f>
        <v>1.4493753762477</v>
      </c>
      <c r="V4079" s="84" t="n">
        <f aca="false">IF(ISNUMBER(T4079),T4079,-99)</f>
        <v>21.7506246237523</v>
      </c>
      <c r="W4079" s="84" t="n">
        <f aca="false">IF(ISNUMBER(U4079),ABS(U4079),"")</f>
        <v>1.4493753762477</v>
      </c>
    </row>
    <row r="4080" customFormat="false" ht="15" hidden="false" customHeight="false" outlineLevel="0" collapsed="false">
      <c r="A4080" s="57" t="n">
        <v>38573</v>
      </c>
      <c r="B4080" s="56" t="n">
        <v>2005</v>
      </c>
      <c r="C4080" s="56" t="n">
        <v>8</v>
      </c>
      <c r="D4080" s="56" t="n">
        <v>101</v>
      </c>
      <c r="E4080" s="56" t="n">
        <v>25.7</v>
      </c>
      <c r="F4080" s="56" t="n">
        <v>0</v>
      </c>
      <c r="G4080" s="56" t="n">
        <v>11.7</v>
      </c>
      <c r="H4080" s="56" t="n">
        <v>0</v>
      </c>
      <c r="I4080" s="56" t="n">
        <v>18.7</v>
      </c>
      <c r="J4080" s="56" t="n">
        <v>0</v>
      </c>
      <c r="K4080" s="56" t="n">
        <v>1016.6</v>
      </c>
      <c r="L4080" s="56" t="n">
        <v>0</v>
      </c>
      <c r="M4080" s="56" t="n">
        <v>52</v>
      </c>
      <c r="N4080" s="56" t="n">
        <v>12.8</v>
      </c>
      <c r="O4080" s="56" t="n">
        <f aca="false">IF(D4080=1,"",E4079)</f>
        <v>23.2</v>
      </c>
      <c r="P4080" s="56" t="n">
        <f aca="false">IF(OR(D4080=1,K4079=""),"",K4079)</f>
        <v>1020.2</v>
      </c>
      <c r="Q4080" s="56" t="n">
        <f aca="false">IF(OR(F4080&lt;&gt;0,AND(I4080&lt;&gt;"",E4080&lt;I4080)),1,0)</f>
        <v>0</v>
      </c>
      <c r="R4080" s="56" t="n">
        <f aca="false">IF(AND(D4080&gt;1,Q4080=0,ISNUMBER(O4080),ISNUMBER(P4080)),IF(Q4079=0,1,0),0)</f>
        <v>1</v>
      </c>
      <c r="S4080" s="56" t="n">
        <f aca="false">R4080*(B4080&gt;=Train_Start)*(B4080&lt;=Train_End)</f>
        <v>0</v>
      </c>
      <c r="T4080" s="84" t="n">
        <f aca="false">IF(AND(ISNUMBER(O4080),ISNUMBER(P4080)),Coef_A+Coef_B1*O4080+Coef_B2*P4080,"")</f>
        <v>23.0992112061813</v>
      </c>
      <c r="U4080" s="84" t="n">
        <f aca="false">IF(AND(R4080=1,ISNUMBER(T4080)),E4080-T4080,"")</f>
        <v>2.60078879381867</v>
      </c>
      <c r="V4080" s="84" t="n">
        <f aca="false">IF(ISNUMBER(T4080),T4080,-99)</f>
        <v>23.0992112061813</v>
      </c>
      <c r="W4080" s="84" t="n">
        <f aca="false">IF(ISNUMBER(U4080),ABS(U4080),"")</f>
        <v>2.60078879381867</v>
      </c>
    </row>
    <row r="4081" customFormat="false" ht="15" hidden="false" customHeight="false" outlineLevel="0" collapsed="false">
      <c r="A4081" s="57" t="n">
        <v>38574</v>
      </c>
      <c r="B4081" s="56" t="n">
        <v>2005</v>
      </c>
      <c r="C4081" s="56" t="n">
        <v>8</v>
      </c>
      <c r="D4081" s="56" t="n">
        <v>102</v>
      </c>
      <c r="E4081" s="56" t="n">
        <v>25.1</v>
      </c>
      <c r="F4081" s="56" t="n">
        <v>0</v>
      </c>
      <c r="G4081" s="56" t="n">
        <v>13.8</v>
      </c>
      <c r="H4081" s="56" t="n">
        <v>0</v>
      </c>
      <c r="I4081" s="56" t="n">
        <v>19.4</v>
      </c>
      <c r="J4081" s="56" t="n">
        <v>0</v>
      </c>
      <c r="K4081" s="56" t="n">
        <v>1016.2</v>
      </c>
      <c r="L4081" s="56" t="n">
        <v>0</v>
      </c>
      <c r="M4081" s="56" t="n">
        <v>67</v>
      </c>
      <c r="N4081" s="56" t="n">
        <v>10.7</v>
      </c>
      <c r="O4081" s="56" t="n">
        <f aca="false">IF(D4081=1,"",E4080)</f>
        <v>25.7</v>
      </c>
      <c r="P4081" s="56" t="n">
        <f aca="false">IF(OR(D4081=1,K4080=""),"",K4080)</f>
        <v>1016.6</v>
      </c>
      <c r="Q4081" s="56" t="n">
        <f aca="false">IF(OR(F4081&lt;&gt;0,AND(I4081&lt;&gt;"",E4081&lt;I4081)),1,0)</f>
        <v>0</v>
      </c>
      <c r="R4081" s="56" t="n">
        <f aca="false">IF(AND(D4081&gt;1,Q4081=0,ISNUMBER(O4081),ISNUMBER(P4081)),IF(Q4080=0,1,0),0)</f>
        <v>1</v>
      </c>
      <c r="S4081" s="56" t="n">
        <f aca="false">R4081*(B4081&gt;=Train_Start)*(B4081&lt;=Train_End)</f>
        <v>0</v>
      </c>
      <c r="T4081" s="84" t="n">
        <f aca="false">IF(AND(ISNUMBER(O4081),ISNUMBER(P4081)),Coef_A+Coef_B1*O4081+Coef_B2*P4081,"")</f>
        <v>25.0346275681056</v>
      </c>
      <c r="U4081" s="84" t="n">
        <f aca="false">IF(AND(R4081=1,ISNUMBER(T4081)),E4081-T4081,"")</f>
        <v>0.0653724318943851</v>
      </c>
      <c r="V4081" s="84" t="n">
        <f aca="false">IF(ISNUMBER(T4081),T4081,-99)</f>
        <v>25.0346275681056</v>
      </c>
      <c r="W4081" s="84" t="n">
        <f aca="false">IF(ISNUMBER(U4081),ABS(U4081),"")</f>
        <v>0.0653724318943851</v>
      </c>
    </row>
    <row r="4082" customFormat="false" ht="15" hidden="false" customHeight="false" outlineLevel="0" collapsed="false">
      <c r="A4082" s="57" t="n">
        <v>38575</v>
      </c>
      <c r="B4082" s="56" t="n">
        <v>2005</v>
      </c>
      <c r="C4082" s="56" t="n">
        <v>8</v>
      </c>
      <c r="D4082" s="56" t="n">
        <v>103</v>
      </c>
      <c r="E4082" s="56" t="n">
        <v>26.4</v>
      </c>
      <c r="F4082" s="56" t="n">
        <v>0</v>
      </c>
      <c r="G4082" s="56" t="n">
        <v>14</v>
      </c>
      <c r="H4082" s="56" t="n">
        <v>0</v>
      </c>
      <c r="I4082" s="56" t="n">
        <v>20.2</v>
      </c>
      <c r="J4082" s="56" t="n">
        <v>0</v>
      </c>
      <c r="K4082" s="56" t="n">
        <v>1015.2</v>
      </c>
      <c r="L4082" s="56" t="n">
        <v>0</v>
      </c>
      <c r="M4082" s="56" t="n">
        <v>62</v>
      </c>
      <c r="N4082" s="56" t="n">
        <v>8.6</v>
      </c>
      <c r="O4082" s="56" t="n">
        <f aca="false">IF(D4082=1,"",E4081)</f>
        <v>25.1</v>
      </c>
      <c r="P4082" s="56" t="n">
        <f aca="false">IF(OR(D4082=1,K4081=""),"",K4081)</f>
        <v>1016.2</v>
      </c>
      <c r="Q4082" s="56" t="n">
        <f aca="false">IF(OR(F4082&lt;&gt;0,AND(I4082&lt;&gt;"",E4082&lt;I4082)),1,0)</f>
        <v>0</v>
      </c>
      <c r="R4082" s="56" t="n">
        <f aca="false">IF(AND(D4082&gt;1,Q4082=0,ISNUMBER(O4082),ISNUMBER(P4082)),IF(Q4081=0,1,0),0)</f>
        <v>1</v>
      </c>
      <c r="S4082" s="56" t="n">
        <f aca="false">R4082*(B4082&gt;=Train_Start)*(B4082&lt;=Train_End)</f>
        <v>0</v>
      </c>
      <c r="T4082" s="84" t="n">
        <f aca="false">IF(AND(ISNUMBER(O4082),ISNUMBER(P4082)),Coef_A+Coef_B1*O4082+Coef_B2*P4082,"")</f>
        <v>24.5304760944264</v>
      </c>
      <c r="U4082" s="84" t="n">
        <f aca="false">IF(AND(R4082=1,ISNUMBER(T4082)),E4082-T4082,"")</f>
        <v>1.86952390557357</v>
      </c>
      <c r="V4082" s="84" t="n">
        <f aca="false">IF(ISNUMBER(T4082),T4082,-99)</f>
        <v>24.5304760944264</v>
      </c>
      <c r="W4082" s="84" t="n">
        <f aca="false">IF(ISNUMBER(U4082),ABS(U4082),"")</f>
        <v>1.86952390557357</v>
      </c>
    </row>
    <row r="4083" customFormat="false" ht="15" hidden="false" customHeight="false" outlineLevel="0" collapsed="false">
      <c r="A4083" s="57" t="n">
        <v>38576</v>
      </c>
      <c r="B4083" s="56" t="n">
        <v>2005</v>
      </c>
      <c r="C4083" s="56" t="n">
        <v>8</v>
      </c>
      <c r="D4083" s="56" t="n">
        <v>104</v>
      </c>
      <c r="E4083" s="56" t="n">
        <v>22.5</v>
      </c>
      <c r="F4083" s="56" t="n">
        <v>0</v>
      </c>
      <c r="G4083" s="56" t="n">
        <v>14.5</v>
      </c>
      <c r="H4083" s="56" t="n">
        <v>0</v>
      </c>
      <c r="I4083" s="56" t="n">
        <v>18.5</v>
      </c>
      <c r="J4083" s="56" t="n">
        <v>0</v>
      </c>
      <c r="K4083" s="56" t="n">
        <v>1015.2</v>
      </c>
      <c r="L4083" s="56" t="n">
        <v>0</v>
      </c>
      <c r="M4083" s="56" t="n">
        <v>66</v>
      </c>
      <c r="N4083" s="56" t="n">
        <v>3.2</v>
      </c>
      <c r="O4083" s="56" t="n">
        <f aca="false">IF(D4083=1,"",E4082)</f>
        <v>26.4</v>
      </c>
      <c r="P4083" s="56" t="n">
        <f aca="false">IF(OR(D4083=1,K4082=""),"",K4082)</f>
        <v>1015.2</v>
      </c>
      <c r="Q4083" s="56" t="n">
        <f aca="false">IF(OR(F4083&lt;&gt;0,AND(I4083&lt;&gt;"",E4083&lt;I4083)),1,0)</f>
        <v>0</v>
      </c>
      <c r="R4083" s="56" t="n">
        <f aca="false">IF(AND(D4083&gt;1,Q4083=0,ISNUMBER(O4083),ISNUMBER(P4083)),IF(Q4082=0,1,0),0)</f>
        <v>1</v>
      </c>
      <c r="S4083" s="56" t="n">
        <f aca="false">R4083*(B4083&gt;=Train_Start)*(B4083&lt;=Train_End)</f>
        <v>0</v>
      </c>
      <c r="T4083" s="84" t="n">
        <f aca="false">IF(AND(ISNUMBER(O4083),ISNUMBER(P4083)),Coef_A+Coef_B1*O4083+Coef_B2*P4083,"")</f>
        <v>25.5642471507479</v>
      </c>
      <c r="U4083" s="84" t="n">
        <f aca="false">IF(AND(R4083=1,ISNUMBER(T4083)),E4083-T4083,"")</f>
        <v>-3.06424715074789</v>
      </c>
      <c r="V4083" s="84" t="n">
        <f aca="false">IF(ISNUMBER(T4083),T4083,-99)</f>
        <v>25.5642471507479</v>
      </c>
      <c r="W4083" s="84" t="n">
        <f aca="false">IF(ISNUMBER(U4083),ABS(U4083),"")</f>
        <v>3.06424715074789</v>
      </c>
    </row>
    <row r="4084" customFormat="false" ht="15" hidden="false" customHeight="false" outlineLevel="0" collapsed="false">
      <c r="A4084" s="57" t="n">
        <v>38577</v>
      </c>
      <c r="B4084" s="56" t="n">
        <v>2005</v>
      </c>
      <c r="C4084" s="56" t="n">
        <v>8</v>
      </c>
      <c r="D4084" s="56" t="n">
        <v>105</v>
      </c>
      <c r="E4084" s="56" t="n">
        <v>22.2</v>
      </c>
      <c r="F4084" s="56" t="n">
        <v>0</v>
      </c>
      <c r="G4084" s="56" t="n">
        <v>12.3</v>
      </c>
      <c r="H4084" s="56" t="n">
        <v>0</v>
      </c>
      <c r="I4084" s="56" t="n">
        <v>17.2</v>
      </c>
      <c r="J4084" s="56" t="n">
        <v>0</v>
      </c>
      <c r="K4084" s="56" t="n">
        <v>1015.6</v>
      </c>
      <c r="L4084" s="56" t="n">
        <v>0</v>
      </c>
      <c r="M4084" s="56" t="n">
        <v>79</v>
      </c>
      <c r="N4084" s="56" t="n">
        <v>3.2</v>
      </c>
      <c r="O4084" s="56" t="n">
        <f aca="false">IF(D4084=1,"",E4083)</f>
        <v>22.5</v>
      </c>
      <c r="P4084" s="56" t="n">
        <f aca="false">IF(OR(D4084=1,K4083=""),"",K4083)</f>
        <v>1015.2</v>
      </c>
      <c r="Q4084" s="56" t="n">
        <f aca="false">IF(OR(F4084&lt;&gt;0,AND(I4084&lt;&gt;"",E4084&lt;I4084)),1,0)</f>
        <v>0</v>
      </c>
      <c r="R4084" s="56" t="n">
        <f aca="false">IF(AND(D4084&gt;1,Q4084=0,ISNUMBER(O4084),ISNUMBER(P4084)),IF(Q4083=0,1,0),0)</f>
        <v>1</v>
      </c>
      <c r="S4084" s="56" t="n">
        <f aca="false">R4084*(B4084&gt;=Train_Start)*(B4084&lt;=Train_End)</f>
        <v>0</v>
      </c>
      <c r="T4084" s="84" t="n">
        <f aca="false">IF(AND(ISNUMBER(O4084),ISNUMBER(P4084)),Coef_A+Coef_B1*O4084+Coef_B2*P4084,"")</f>
        <v>22.3688242978815</v>
      </c>
      <c r="U4084" s="84" t="n">
        <f aca="false">IF(AND(R4084=1,ISNUMBER(T4084)),E4084-T4084,"")</f>
        <v>-0.168824297881528</v>
      </c>
      <c r="V4084" s="84" t="n">
        <f aca="false">IF(ISNUMBER(T4084),T4084,-99)</f>
        <v>22.3688242978815</v>
      </c>
      <c r="W4084" s="84" t="n">
        <f aca="false">IF(ISNUMBER(U4084),ABS(U4084),"")</f>
        <v>0.168824297881528</v>
      </c>
    </row>
    <row r="4085" customFormat="false" ht="15" hidden="false" customHeight="false" outlineLevel="0" collapsed="false">
      <c r="A4085" s="57" t="n">
        <v>38578</v>
      </c>
      <c r="B4085" s="56" t="n">
        <v>2005</v>
      </c>
      <c r="C4085" s="56" t="n">
        <v>8</v>
      </c>
      <c r="D4085" s="56" t="n">
        <v>106</v>
      </c>
      <c r="E4085" s="56" t="n">
        <v>20.2</v>
      </c>
      <c r="F4085" s="56" t="n">
        <v>0</v>
      </c>
      <c r="G4085" s="56" t="n">
        <v>12.1</v>
      </c>
      <c r="H4085" s="56" t="n">
        <v>0</v>
      </c>
      <c r="I4085" s="56" t="n">
        <v>16.2</v>
      </c>
      <c r="J4085" s="56" t="n">
        <v>0</v>
      </c>
      <c r="K4085" s="56" t="n">
        <v>1017.4</v>
      </c>
      <c r="L4085" s="56" t="n">
        <v>0</v>
      </c>
      <c r="M4085" s="56" t="n">
        <v>78</v>
      </c>
      <c r="N4085" s="56" t="n">
        <v>6.1</v>
      </c>
      <c r="O4085" s="56" t="n">
        <f aca="false">IF(D4085=1,"",E4084)</f>
        <v>22.2</v>
      </c>
      <c r="P4085" s="56" t="n">
        <f aca="false">IF(OR(D4085=1,K4084=""),"",K4084)</f>
        <v>1015.6</v>
      </c>
      <c r="Q4085" s="56" t="n">
        <f aca="false">IF(OR(F4085&lt;&gt;0,AND(I4085&lt;&gt;"",E4085&lt;I4085)),1,0)</f>
        <v>0</v>
      </c>
      <c r="R4085" s="56" t="n">
        <f aca="false">IF(AND(D4085&gt;1,Q4085=0,ISNUMBER(O4085),ISNUMBER(P4085)),IF(Q4084=0,1,0),0)</f>
        <v>1</v>
      </c>
      <c r="S4085" s="56" t="n">
        <f aca="false">R4085*(B4085&gt;=Train_Start)*(B4085&lt;=Train_End)</f>
        <v>0</v>
      </c>
      <c r="T4085" s="84" t="n">
        <f aca="false">IF(AND(ISNUMBER(O4085),ISNUMBER(P4085)),Coef_A+Coef_B1*O4085+Coef_B2*P4085,"")</f>
        <v>22.1355704978223</v>
      </c>
      <c r="U4085" s="84" t="n">
        <f aca="false">IF(AND(R4085=1,ISNUMBER(T4085)),E4085-T4085,"")</f>
        <v>-1.93557049782233</v>
      </c>
      <c r="V4085" s="84" t="n">
        <f aca="false">IF(ISNUMBER(T4085),T4085,-99)</f>
        <v>22.1355704978223</v>
      </c>
      <c r="W4085" s="84" t="n">
        <f aca="false">IF(ISNUMBER(U4085),ABS(U4085),"")</f>
        <v>1.93557049782233</v>
      </c>
    </row>
    <row r="4086" customFormat="false" ht="15" hidden="false" customHeight="false" outlineLevel="0" collapsed="false">
      <c r="A4086" s="57" t="n">
        <v>38579</v>
      </c>
      <c r="B4086" s="56" t="n">
        <v>2005</v>
      </c>
      <c r="C4086" s="56" t="n">
        <v>8</v>
      </c>
      <c r="D4086" s="56" t="n">
        <v>107</v>
      </c>
      <c r="E4086" s="56" t="n">
        <v>23.8</v>
      </c>
      <c r="F4086" s="56" t="n">
        <v>0</v>
      </c>
      <c r="G4086" s="56" t="n">
        <v>11.3</v>
      </c>
      <c r="H4086" s="56" t="n">
        <v>0</v>
      </c>
      <c r="I4086" s="56" t="n">
        <v>17.6</v>
      </c>
      <c r="J4086" s="56" t="n">
        <v>0</v>
      </c>
      <c r="K4086" s="56" t="n">
        <v>1024.7</v>
      </c>
      <c r="L4086" s="56" t="n">
        <v>0</v>
      </c>
      <c r="M4086" s="56" t="n">
        <v>70</v>
      </c>
      <c r="N4086" s="56" t="n">
        <v>10.7</v>
      </c>
      <c r="O4086" s="56" t="n">
        <f aca="false">IF(D4086=1,"",E4085)</f>
        <v>20.2</v>
      </c>
      <c r="P4086" s="56" t="n">
        <f aca="false">IF(OR(D4086=1,K4085=""),"",K4085)</f>
        <v>1017.4</v>
      </c>
      <c r="Q4086" s="56" t="n">
        <f aca="false">IF(OR(F4086&lt;&gt;0,AND(I4086&lt;&gt;"",E4086&lt;I4086)),1,0)</f>
        <v>0</v>
      </c>
      <c r="R4086" s="56" t="n">
        <f aca="false">IF(AND(D4086&gt;1,Q4086=0,ISNUMBER(O4086),ISNUMBER(P4086)),IF(Q4085=0,1,0),0)</f>
        <v>1</v>
      </c>
      <c r="S4086" s="56" t="n">
        <f aca="false">R4086*(B4086&gt;=Train_Start)*(B4086&lt;=Train_End)</f>
        <v>0</v>
      </c>
      <c r="T4086" s="84" t="n">
        <f aca="false">IF(AND(ISNUMBER(O4086),ISNUMBER(P4086)),Coef_A+Coef_B1*O4086+Coef_B2*P4086,"")</f>
        <v>20.5533579220782</v>
      </c>
      <c r="U4086" s="84" t="n">
        <f aca="false">IF(AND(R4086=1,ISNUMBER(T4086)),E4086-T4086,"")</f>
        <v>3.24664207792181</v>
      </c>
      <c r="V4086" s="84" t="n">
        <f aca="false">IF(ISNUMBER(T4086),T4086,-99)</f>
        <v>20.5533579220782</v>
      </c>
      <c r="W4086" s="84" t="n">
        <f aca="false">IF(ISNUMBER(U4086),ABS(U4086),"")</f>
        <v>3.24664207792181</v>
      </c>
    </row>
    <row r="4087" customFormat="false" ht="15" hidden="false" customHeight="false" outlineLevel="0" collapsed="false">
      <c r="A4087" s="57" t="n">
        <v>38580</v>
      </c>
      <c r="B4087" s="56" t="n">
        <v>2005</v>
      </c>
      <c r="C4087" s="56" t="n">
        <v>8</v>
      </c>
      <c r="D4087" s="56" t="n">
        <v>108</v>
      </c>
      <c r="E4087" s="56" t="n">
        <v>25.6</v>
      </c>
      <c r="F4087" s="56" t="n">
        <v>0</v>
      </c>
      <c r="G4087" s="56" t="n">
        <v>11.7</v>
      </c>
      <c r="H4087" s="56" t="n">
        <v>0</v>
      </c>
      <c r="I4087" s="56" t="n">
        <v>18.6</v>
      </c>
      <c r="J4087" s="56" t="n">
        <v>0</v>
      </c>
      <c r="K4087" s="56" t="n">
        <v>1022.4</v>
      </c>
      <c r="L4087" s="56" t="n">
        <v>0</v>
      </c>
      <c r="M4087" s="56" t="n">
        <v>66</v>
      </c>
      <c r="N4087" s="56" t="n">
        <v>10.3</v>
      </c>
      <c r="O4087" s="56" t="n">
        <f aca="false">IF(D4087=1,"",E4086)</f>
        <v>23.8</v>
      </c>
      <c r="P4087" s="56" t="n">
        <f aca="false">IF(OR(D4087=1,K4086=""),"",K4086)</f>
        <v>1024.7</v>
      </c>
      <c r="Q4087" s="56" t="n">
        <f aca="false">IF(OR(F4087&lt;&gt;0,AND(I4087&lt;&gt;"",E4087&lt;I4087)),1,0)</f>
        <v>0</v>
      </c>
      <c r="R4087" s="56" t="n">
        <f aca="false">IF(AND(D4087&gt;1,Q4087=0,ISNUMBER(O4087),ISNUMBER(P4087)),IF(Q4086=0,1,0),0)</f>
        <v>1</v>
      </c>
      <c r="S4087" s="56" t="n">
        <f aca="false">R4087*(B4087&gt;=Train_Start)*(B4087&lt;=Train_End)</f>
        <v>0</v>
      </c>
      <c r="T4087" s="84" t="n">
        <f aca="false">IF(AND(ISNUMBER(O4087),ISNUMBER(P4087)),Coef_A+Coef_B1*O4087+Coef_B2*P4087,"")</f>
        <v>23.7319792478599</v>
      </c>
      <c r="U4087" s="84" t="n">
        <f aca="false">IF(AND(R4087=1,ISNUMBER(T4087)),E4087-T4087,"")</f>
        <v>1.86802075214013</v>
      </c>
      <c r="V4087" s="84" t="n">
        <f aca="false">IF(ISNUMBER(T4087),T4087,-99)</f>
        <v>23.7319792478599</v>
      </c>
      <c r="W4087" s="84" t="n">
        <f aca="false">IF(ISNUMBER(U4087),ABS(U4087),"")</f>
        <v>1.86802075214013</v>
      </c>
    </row>
    <row r="4088" customFormat="false" ht="15" hidden="false" customHeight="false" outlineLevel="0" collapsed="false">
      <c r="A4088" s="57" t="n">
        <v>38581</v>
      </c>
      <c r="B4088" s="56" t="n">
        <v>2005</v>
      </c>
      <c r="C4088" s="56" t="n">
        <v>8</v>
      </c>
      <c r="D4088" s="56" t="n">
        <v>109</v>
      </c>
      <c r="E4088" s="56" t="n">
        <v>26.8</v>
      </c>
      <c r="F4088" s="56" t="n">
        <v>0</v>
      </c>
      <c r="G4088" s="56" t="n">
        <v>14</v>
      </c>
      <c r="H4088" s="56" t="n">
        <v>0</v>
      </c>
      <c r="I4088" s="56" t="n">
        <v>20.4</v>
      </c>
      <c r="J4088" s="56" t="n">
        <v>0</v>
      </c>
      <c r="K4088" s="56" t="n">
        <v>1018.9</v>
      </c>
      <c r="L4088" s="56" t="n">
        <v>0</v>
      </c>
      <c r="M4088" s="56" t="n">
        <v>65</v>
      </c>
      <c r="N4088" s="56" t="n">
        <v>12.7</v>
      </c>
      <c r="O4088" s="56" t="n">
        <f aca="false">IF(D4088=1,"",E4087)</f>
        <v>25.6</v>
      </c>
      <c r="P4088" s="56" t="n">
        <f aca="false">IF(OR(D4088=1,K4087=""),"",K4087)</f>
        <v>1022.4</v>
      </c>
      <c r="Q4088" s="56" t="n">
        <f aca="false">IF(OR(F4088&lt;&gt;0,AND(I4088&lt;&gt;"",E4088&lt;I4088)),1,0)</f>
        <v>0</v>
      </c>
      <c r="R4088" s="56" t="n">
        <f aca="false">IF(AND(D4088&gt;1,Q4088=0,ISNUMBER(O4088),ISNUMBER(P4088)),IF(Q4087=0,1,0),0)</f>
        <v>1</v>
      </c>
      <c r="S4088" s="56" t="n">
        <f aca="false">R4088*(B4088&gt;=Train_Start)*(B4088&lt;=Train_End)</f>
        <v>0</v>
      </c>
      <c r="T4088" s="84" t="n">
        <f aca="false">IF(AND(ISNUMBER(O4088),ISNUMBER(P4088)),Coef_A+Coef_B1*O4088+Coef_B2*P4088,"")</f>
        <v>25.1346390376785</v>
      </c>
      <c r="U4088" s="84" t="n">
        <f aca="false">IF(AND(R4088=1,ISNUMBER(T4088)),E4088-T4088,"")</f>
        <v>1.66536096232151</v>
      </c>
      <c r="V4088" s="84" t="n">
        <f aca="false">IF(ISNUMBER(T4088),T4088,-99)</f>
        <v>25.1346390376785</v>
      </c>
      <c r="W4088" s="84" t="n">
        <f aca="false">IF(ISNUMBER(U4088),ABS(U4088),"")</f>
        <v>1.66536096232151</v>
      </c>
    </row>
    <row r="4089" customFormat="false" ht="15" hidden="false" customHeight="false" outlineLevel="0" collapsed="false">
      <c r="A4089" s="57" t="n">
        <v>38582</v>
      </c>
      <c r="B4089" s="56" t="n">
        <v>2005</v>
      </c>
      <c r="C4089" s="56" t="n">
        <v>8</v>
      </c>
      <c r="D4089" s="56" t="n">
        <v>110</v>
      </c>
      <c r="E4089" s="56" t="n">
        <v>29</v>
      </c>
      <c r="F4089" s="56" t="n">
        <v>0</v>
      </c>
      <c r="G4089" s="56" t="n">
        <v>15.1</v>
      </c>
      <c r="H4089" s="56" t="n">
        <v>0</v>
      </c>
      <c r="I4089" s="56" t="n">
        <v>22</v>
      </c>
      <c r="J4089" s="56" t="n">
        <v>0</v>
      </c>
      <c r="K4089" s="56" t="n">
        <v>1013.4</v>
      </c>
      <c r="L4089" s="56" t="n">
        <v>0</v>
      </c>
      <c r="M4089" s="56" t="n">
        <v>63</v>
      </c>
      <c r="N4089" s="56" t="n">
        <v>9.6</v>
      </c>
      <c r="O4089" s="56" t="n">
        <f aca="false">IF(D4089=1,"",E4088)</f>
        <v>26.8</v>
      </c>
      <c r="P4089" s="56" t="n">
        <f aca="false">IF(OR(D4089=1,K4088=""),"",K4088)</f>
        <v>1018.9</v>
      </c>
      <c r="Q4089" s="56" t="n">
        <f aca="false">IF(OR(F4089&lt;&gt;0,AND(I4089&lt;&gt;"",E4089&lt;I4089)),1,0)</f>
        <v>0</v>
      </c>
      <c r="R4089" s="56" t="n">
        <f aca="false">IF(AND(D4089&gt;1,Q4089=0,ISNUMBER(O4089),ISNUMBER(P4089)),IF(Q4088=0,1,0),0)</f>
        <v>1</v>
      </c>
      <c r="S4089" s="56" t="n">
        <f aca="false">R4089*(B4089&gt;=Train_Start)*(B4089&lt;=Train_End)</f>
        <v>0</v>
      </c>
      <c r="T4089" s="84" t="n">
        <f aca="false">IF(AND(ISNUMBER(O4089),ISNUMBER(P4089)),Coef_A+Coef_B1*O4089+Coef_B2*P4089,"")</f>
        <v>26.0080514381107</v>
      </c>
      <c r="U4089" s="84" t="n">
        <f aca="false">IF(AND(R4089=1,ISNUMBER(T4089)),E4089-T4089,"")</f>
        <v>2.99194856188928</v>
      </c>
      <c r="V4089" s="84" t="n">
        <f aca="false">IF(ISNUMBER(T4089),T4089,-99)</f>
        <v>26.0080514381107</v>
      </c>
      <c r="W4089" s="84" t="n">
        <f aca="false">IF(ISNUMBER(U4089),ABS(U4089),"")</f>
        <v>2.99194856188928</v>
      </c>
    </row>
    <row r="4090" customFormat="false" ht="15" hidden="false" customHeight="false" outlineLevel="0" collapsed="false">
      <c r="A4090" s="57" t="n">
        <v>38583</v>
      </c>
      <c r="B4090" s="56" t="n">
        <v>2005</v>
      </c>
      <c r="C4090" s="56" t="n">
        <v>8</v>
      </c>
      <c r="D4090" s="56" t="n">
        <v>111</v>
      </c>
      <c r="E4090" s="56" t="n">
        <v>18.5</v>
      </c>
      <c r="F4090" s="56" t="n">
        <v>0</v>
      </c>
      <c r="G4090" s="56" t="n">
        <v>15.1</v>
      </c>
      <c r="H4090" s="56" t="n">
        <v>0</v>
      </c>
      <c r="I4090" s="56" t="n">
        <v>16.8</v>
      </c>
      <c r="J4090" s="56" t="n">
        <v>0</v>
      </c>
      <c r="K4090" s="56" t="n">
        <v>1015.4</v>
      </c>
      <c r="L4090" s="56" t="n">
        <v>0</v>
      </c>
      <c r="M4090" s="56" t="n">
        <v>83</v>
      </c>
      <c r="N4090" s="56" t="n">
        <v>0</v>
      </c>
      <c r="O4090" s="56" t="n">
        <f aca="false">IF(D4090=1,"",E4089)</f>
        <v>29</v>
      </c>
      <c r="P4090" s="56" t="n">
        <f aca="false">IF(OR(D4090=1,K4089=""),"",K4089)</f>
        <v>1013.4</v>
      </c>
      <c r="Q4090" s="56" t="n">
        <f aca="false">IF(OR(F4090&lt;&gt;0,AND(I4090&lt;&gt;"",E4090&lt;I4090)),1,0)</f>
        <v>0</v>
      </c>
      <c r="R4090" s="56" t="n">
        <f aca="false">IF(AND(D4090&gt;1,Q4090=0,ISNUMBER(O4090),ISNUMBER(P4090)),IF(Q4089=0,1,0),0)</f>
        <v>1</v>
      </c>
      <c r="S4090" s="56" t="n">
        <f aca="false">R4090*(B4090&gt;=Train_Start)*(B4090&lt;=Train_End)</f>
        <v>0</v>
      </c>
      <c r="T4090" s="84" t="n">
        <f aca="false">IF(AND(ISNUMBER(O4090),ISNUMBER(P4090)),Coef_A+Coef_B1*O4090+Coef_B2*P4090,"")</f>
        <v>27.6380632423176</v>
      </c>
      <c r="U4090" s="84" t="n">
        <f aca="false">IF(AND(R4090=1,ISNUMBER(T4090)),E4090-T4090,"")</f>
        <v>-9.13806324231762</v>
      </c>
      <c r="V4090" s="84" t="n">
        <f aca="false">IF(ISNUMBER(T4090),T4090,-99)</f>
        <v>27.6380632423176</v>
      </c>
      <c r="W4090" s="84" t="n">
        <f aca="false">IF(ISNUMBER(U4090),ABS(U4090),"")</f>
        <v>9.13806324231762</v>
      </c>
    </row>
    <row r="4091" customFormat="false" ht="15" hidden="false" customHeight="false" outlineLevel="0" collapsed="false">
      <c r="A4091" s="57" t="n">
        <v>38584</v>
      </c>
      <c r="B4091" s="56" t="n">
        <v>2005</v>
      </c>
      <c r="C4091" s="56" t="n">
        <v>8</v>
      </c>
      <c r="D4091" s="56" t="n">
        <v>112</v>
      </c>
      <c r="E4091" s="56" t="n">
        <v>20.5</v>
      </c>
      <c r="F4091" s="56" t="n">
        <v>0</v>
      </c>
      <c r="G4091" s="56" t="n">
        <v>13.7</v>
      </c>
      <c r="H4091" s="56" t="n">
        <v>0</v>
      </c>
      <c r="I4091" s="56" t="n">
        <v>17.1</v>
      </c>
      <c r="J4091" s="56" t="n">
        <v>0</v>
      </c>
      <c r="K4091" s="56" t="n">
        <v>1021.9</v>
      </c>
      <c r="L4091" s="56" t="n">
        <v>0</v>
      </c>
      <c r="M4091" s="56" t="n">
        <v>67</v>
      </c>
      <c r="N4091" s="56" t="n">
        <v>6.6</v>
      </c>
      <c r="O4091" s="56" t="n">
        <f aca="false">IF(D4091=1,"",E4090)</f>
        <v>18.5</v>
      </c>
      <c r="P4091" s="56" t="n">
        <f aca="false">IF(OR(D4091=1,K4090=""),"",K4090)</f>
        <v>1015.4</v>
      </c>
      <c r="Q4091" s="56" t="n">
        <f aca="false">IF(OR(F4091&lt;&gt;0,AND(I4091&lt;&gt;"",E4091&lt;I4091)),1,0)</f>
        <v>0</v>
      </c>
      <c r="R4091" s="56" t="n">
        <f aca="false">IF(AND(D4091&gt;1,Q4091=0,ISNUMBER(O4091),ISNUMBER(P4091)),IF(Q4090=0,1,0),0)</f>
        <v>1</v>
      </c>
      <c r="S4091" s="56" t="n">
        <f aca="false">R4091*(B4091&gt;=Train_Start)*(B4091&lt;=Train_End)</f>
        <v>0</v>
      </c>
      <c r="T4091" s="84" t="n">
        <f aca="false">IF(AND(ISNUMBER(O4091),ISNUMBER(P4091)),Coef_A+Coef_B1*O4091+Coef_B2*P4091,"")</f>
        <v>19.0977415046377</v>
      </c>
      <c r="U4091" s="84" t="n">
        <f aca="false">IF(AND(R4091=1,ISNUMBER(T4091)),E4091-T4091,"")</f>
        <v>1.40225849536231</v>
      </c>
      <c r="V4091" s="84" t="n">
        <f aca="false">IF(ISNUMBER(T4091),T4091,-99)</f>
        <v>19.0977415046377</v>
      </c>
      <c r="W4091" s="84" t="n">
        <f aca="false">IF(ISNUMBER(U4091),ABS(U4091),"")</f>
        <v>1.40225849536231</v>
      </c>
    </row>
    <row r="4092" customFormat="false" ht="15" hidden="false" customHeight="false" outlineLevel="0" collapsed="false">
      <c r="A4092" s="57" t="n">
        <v>38585</v>
      </c>
      <c r="B4092" s="56" t="n">
        <v>2005</v>
      </c>
      <c r="C4092" s="56" t="n">
        <v>8</v>
      </c>
      <c r="D4092" s="56" t="n">
        <v>113</v>
      </c>
      <c r="E4092" s="56" t="n">
        <v>24.8</v>
      </c>
      <c r="F4092" s="56" t="n">
        <v>0</v>
      </c>
      <c r="G4092" s="56" t="n">
        <v>14.6</v>
      </c>
      <c r="H4092" s="56" t="n">
        <v>0</v>
      </c>
      <c r="I4092" s="56" t="n">
        <v>19.7</v>
      </c>
      <c r="J4092" s="56" t="n">
        <v>0</v>
      </c>
      <c r="K4092" s="56" t="n">
        <v>1022.6</v>
      </c>
      <c r="L4092" s="56" t="n">
        <v>0</v>
      </c>
      <c r="M4092" s="56" t="n">
        <v>59</v>
      </c>
      <c r="N4092" s="56" t="n">
        <v>9.7</v>
      </c>
      <c r="O4092" s="56" t="n">
        <f aca="false">IF(D4092=1,"",E4091)</f>
        <v>20.5</v>
      </c>
      <c r="P4092" s="56" t="n">
        <f aca="false">IF(OR(D4092=1,K4091=""),"",K4091)</f>
        <v>1021.9</v>
      </c>
      <c r="Q4092" s="56" t="n">
        <f aca="false">IF(OR(F4092&lt;&gt;0,AND(I4092&lt;&gt;"",E4092&lt;I4092)),1,0)</f>
        <v>0</v>
      </c>
      <c r="R4092" s="56" t="n">
        <f aca="false">IF(AND(D4092&gt;1,Q4092=0,ISNUMBER(O4092),ISNUMBER(P4092)),IF(Q4091=0,1,0),0)</f>
        <v>1</v>
      </c>
      <c r="S4092" s="56" t="n">
        <f aca="false">R4092*(B4092&gt;=Train_Start)*(B4092&lt;=Train_End)</f>
        <v>0</v>
      </c>
      <c r="T4092" s="84" t="n">
        <f aca="false">IF(AND(ISNUMBER(O4092),ISNUMBER(P4092)),Coef_A+Coef_B1*O4092+Coef_B2*P4092,"")</f>
        <v>20.9403242058439</v>
      </c>
      <c r="U4092" s="84" t="n">
        <f aca="false">IF(AND(R4092=1,ISNUMBER(T4092)),E4092-T4092,"")</f>
        <v>3.85967579415606</v>
      </c>
      <c r="V4092" s="84" t="n">
        <f aca="false">IF(ISNUMBER(T4092),T4092,-99)</f>
        <v>20.9403242058439</v>
      </c>
      <c r="W4092" s="84" t="n">
        <f aca="false">IF(ISNUMBER(U4092),ABS(U4092),"")</f>
        <v>3.85967579415606</v>
      </c>
    </row>
    <row r="4093" customFormat="false" ht="15" hidden="false" customHeight="false" outlineLevel="0" collapsed="false">
      <c r="A4093" s="57" t="n">
        <v>38586</v>
      </c>
      <c r="B4093" s="56" t="n">
        <v>2005</v>
      </c>
      <c r="C4093" s="56" t="n">
        <v>8</v>
      </c>
      <c r="D4093" s="56" t="n">
        <v>114</v>
      </c>
      <c r="E4093" s="56" t="n">
        <v>19.1</v>
      </c>
      <c r="F4093" s="56" t="n">
        <v>0</v>
      </c>
      <c r="G4093" s="56" t="n">
        <v>13.7</v>
      </c>
      <c r="H4093" s="56" t="n">
        <v>0</v>
      </c>
      <c r="I4093" s="56" t="n">
        <v>16.4</v>
      </c>
      <c r="J4093" s="56" t="n">
        <v>0</v>
      </c>
      <c r="K4093" s="56" t="n">
        <v>1017</v>
      </c>
      <c r="L4093" s="56" t="n">
        <v>0</v>
      </c>
      <c r="M4093" s="56" t="n">
        <v>90</v>
      </c>
      <c r="N4093" s="56" t="n">
        <v>0</v>
      </c>
      <c r="O4093" s="56" t="n">
        <f aca="false">IF(D4093=1,"",E4092)</f>
        <v>24.8</v>
      </c>
      <c r="P4093" s="56" t="n">
        <f aca="false">IF(OR(D4093=1,K4092=""),"",K4092)</f>
        <v>1022.6</v>
      </c>
      <c r="Q4093" s="56" t="n">
        <f aca="false">IF(OR(F4093&lt;&gt;0,AND(I4093&lt;&gt;"",E4093&lt;I4093)),1,0)</f>
        <v>0</v>
      </c>
      <c r="R4093" s="56" t="n">
        <f aca="false">IF(AND(D4093&gt;1,Q4093=0,ISNUMBER(O4093),ISNUMBER(P4093)),IF(Q4092=0,1,0),0)</f>
        <v>1</v>
      </c>
      <c r="S4093" s="56" t="n">
        <f aca="false">R4093*(B4093&gt;=Train_Start)*(B4093&lt;=Train_End)</f>
        <v>0</v>
      </c>
      <c r="T4093" s="84" t="n">
        <f aca="false">IF(AND(ISNUMBER(O4093),ISNUMBER(P4093)),Coef_A+Coef_B1*O4093+Coef_B2*P4093,"")</f>
        <v>24.4854416621712</v>
      </c>
      <c r="U4093" s="84" t="n">
        <f aca="false">IF(AND(R4093=1,ISNUMBER(T4093)),E4093-T4093,"")</f>
        <v>-5.38544166217116</v>
      </c>
      <c r="V4093" s="84" t="n">
        <f aca="false">IF(ISNUMBER(T4093),T4093,-99)</f>
        <v>24.4854416621712</v>
      </c>
      <c r="W4093" s="84" t="n">
        <f aca="false">IF(ISNUMBER(U4093),ABS(U4093),"")</f>
        <v>5.38544166217116</v>
      </c>
    </row>
    <row r="4094" customFormat="false" ht="15" hidden="false" customHeight="false" outlineLevel="0" collapsed="false">
      <c r="A4094" s="57" t="n">
        <v>38587</v>
      </c>
      <c r="B4094" s="56" t="n">
        <v>2005</v>
      </c>
      <c r="C4094" s="56" t="n">
        <v>8</v>
      </c>
      <c r="D4094" s="56" t="n">
        <v>115</v>
      </c>
      <c r="E4094" s="56" t="n">
        <v>22.2</v>
      </c>
      <c r="F4094" s="56" t="n">
        <v>0</v>
      </c>
      <c r="G4094" s="56" t="n">
        <v>11.7</v>
      </c>
      <c r="H4094" s="56" t="n">
        <v>0</v>
      </c>
      <c r="I4094" s="56" t="n">
        <v>17</v>
      </c>
      <c r="J4094" s="56" t="n">
        <v>0</v>
      </c>
      <c r="K4094" s="56" t="n">
        <v>1018.5</v>
      </c>
      <c r="L4094" s="56" t="n">
        <v>0</v>
      </c>
      <c r="M4094" s="56" t="n">
        <v>64</v>
      </c>
      <c r="N4094" s="56" t="n">
        <v>10.2</v>
      </c>
      <c r="O4094" s="56" t="n">
        <f aca="false">IF(D4094=1,"",E4093)</f>
        <v>19.1</v>
      </c>
      <c r="P4094" s="56" t="n">
        <f aca="false">IF(OR(D4094=1,K4093=""),"",K4093)</f>
        <v>1017</v>
      </c>
      <c r="Q4094" s="56" t="n">
        <f aca="false">IF(OR(F4094&lt;&gt;0,AND(I4094&lt;&gt;"",E4094&lt;I4094)),1,0)</f>
        <v>0</v>
      </c>
      <c r="R4094" s="56" t="n">
        <f aca="false">IF(AND(D4094&gt;1,Q4094=0,ISNUMBER(O4094),ISNUMBER(P4094)),IF(Q4093=0,1,0),0)</f>
        <v>1</v>
      </c>
      <c r="S4094" s="56" t="n">
        <f aca="false">R4094*(B4094&gt;=Train_Start)*(B4094&lt;=Train_End)</f>
        <v>0</v>
      </c>
      <c r="T4094" s="84" t="n">
        <f aca="false">IF(AND(ISNUMBER(O4094),ISNUMBER(P4094)),Coef_A+Coef_B1*O4094+Coef_B2*P4094,"")</f>
        <v>19.6395368518777</v>
      </c>
      <c r="U4094" s="84" t="n">
        <f aca="false">IF(AND(R4094=1,ISNUMBER(T4094)),E4094-T4094,"")</f>
        <v>2.56046314812233</v>
      </c>
      <c r="V4094" s="84" t="n">
        <f aca="false">IF(ISNUMBER(T4094),T4094,-99)</f>
        <v>19.6395368518777</v>
      </c>
      <c r="W4094" s="84" t="n">
        <f aca="false">IF(ISNUMBER(U4094),ABS(U4094),"")</f>
        <v>2.56046314812233</v>
      </c>
    </row>
    <row r="4095" customFormat="false" ht="15" hidden="false" customHeight="false" outlineLevel="0" collapsed="false">
      <c r="A4095" s="57" t="n">
        <v>38588</v>
      </c>
      <c r="B4095" s="56" t="n">
        <v>2005</v>
      </c>
      <c r="C4095" s="56" t="n">
        <v>8</v>
      </c>
      <c r="D4095" s="56" t="n">
        <v>116</v>
      </c>
      <c r="E4095" s="56" t="n">
        <v>16.9</v>
      </c>
      <c r="F4095" s="56" t="n">
        <v>0</v>
      </c>
      <c r="G4095" s="56" t="n">
        <v>13.4</v>
      </c>
      <c r="H4095" s="56" t="n">
        <v>0</v>
      </c>
      <c r="I4095" s="56" t="n">
        <v>15.2</v>
      </c>
      <c r="J4095" s="56" t="n">
        <v>0</v>
      </c>
      <c r="K4095" s="56" t="n">
        <v>1008.3</v>
      </c>
      <c r="L4095" s="56" t="n">
        <v>0</v>
      </c>
      <c r="M4095" s="56" t="n">
        <v>86</v>
      </c>
      <c r="N4095" s="56" t="n">
        <v>0.5</v>
      </c>
      <c r="O4095" s="56" t="n">
        <f aca="false">IF(D4095=1,"",E4094)</f>
        <v>22.2</v>
      </c>
      <c r="P4095" s="56" t="n">
        <f aca="false">IF(OR(D4095=1,K4094=""),"",K4094)</f>
        <v>1018.5</v>
      </c>
      <c r="Q4095" s="56" t="n">
        <f aca="false">IF(OR(F4095&lt;&gt;0,AND(I4095&lt;&gt;"",E4095&lt;I4095)),1,0)</f>
        <v>0</v>
      </c>
      <c r="R4095" s="56" t="n">
        <f aca="false">IF(AND(D4095&gt;1,Q4095=0,ISNUMBER(O4095),ISNUMBER(P4095)),IF(Q4094=0,1,0),0)</f>
        <v>1</v>
      </c>
      <c r="S4095" s="56" t="n">
        <f aca="false">R4095*(B4095&gt;=Train_Start)*(B4095&lt;=Train_End)</f>
        <v>0</v>
      </c>
      <c r="T4095" s="84" t="n">
        <f aca="false">IF(AND(ISNUMBER(O4095),ISNUMBER(P4095)),Coef_A+Coef_B1*O4095+Coef_B2*P4095,"")</f>
        <v>22.2265431922609</v>
      </c>
      <c r="U4095" s="84" t="n">
        <f aca="false">IF(AND(R4095=1,ISNUMBER(T4095)),E4095-T4095,"")</f>
        <v>-5.3265431922609</v>
      </c>
      <c r="V4095" s="84" t="n">
        <f aca="false">IF(ISNUMBER(T4095),T4095,-99)</f>
        <v>22.2265431922609</v>
      </c>
      <c r="W4095" s="84" t="n">
        <f aca="false">IF(ISNUMBER(U4095),ABS(U4095),"")</f>
        <v>5.3265431922609</v>
      </c>
    </row>
    <row r="4096" customFormat="false" ht="15" hidden="false" customHeight="false" outlineLevel="0" collapsed="false">
      <c r="A4096" s="57" t="n">
        <v>38589</v>
      </c>
      <c r="B4096" s="56" t="n">
        <v>2005</v>
      </c>
      <c r="C4096" s="56" t="n">
        <v>8</v>
      </c>
      <c r="D4096" s="56" t="n">
        <v>117</v>
      </c>
      <c r="E4096" s="56" t="n">
        <v>19.1</v>
      </c>
      <c r="F4096" s="56" t="n">
        <v>0</v>
      </c>
      <c r="G4096" s="56" t="n">
        <v>11.7</v>
      </c>
      <c r="H4096" s="56" t="n">
        <v>0</v>
      </c>
      <c r="I4096" s="56" t="n">
        <v>15.4</v>
      </c>
      <c r="J4096" s="56" t="n">
        <v>0</v>
      </c>
      <c r="K4096" s="56" t="n">
        <v>1004.6</v>
      </c>
      <c r="L4096" s="56" t="n">
        <v>0</v>
      </c>
      <c r="M4096" s="56" t="n">
        <v>70</v>
      </c>
      <c r="N4096" s="56" t="n">
        <v>10</v>
      </c>
      <c r="O4096" s="56" t="n">
        <f aca="false">IF(D4096=1,"",E4095)</f>
        <v>16.9</v>
      </c>
      <c r="P4096" s="56" t="n">
        <f aca="false">IF(OR(D4096=1,K4095=""),"",K4095)</f>
        <v>1008.3</v>
      </c>
      <c r="Q4096" s="56" t="n">
        <f aca="false">IF(OR(F4096&lt;&gt;0,AND(I4096&lt;&gt;"",E4096&lt;I4096)),1,0)</f>
        <v>0</v>
      </c>
      <c r="R4096" s="56" t="n">
        <f aca="false">IF(AND(D4096&gt;1,Q4096=0,ISNUMBER(O4096),ISNUMBER(P4096)),IF(Q4095=0,1,0),0)</f>
        <v>1</v>
      </c>
      <c r="S4096" s="56" t="n">
        <f aca="false">R4096*(B4096&gt;=Train_Start)*(B4096&lt;=Train_End)</f>
        <v>0</v>
      </c>
      <c r="T4096" s="84" t="n">
        <f aca="false">IF(AND(ISNUMBER(O4096),ISNUMBER(P4096)),Coef_A+Coef_B1*O4096+Coef_B2*P4096,"")</f>
        <v>17.5640725438681</v>
      </c>
      <c r="U4096" s="84" t="n">
        <f aca="false">IF(AND(R4096=1,ISNUMBER(T4096)),E4096-T4096,"")</f>
        <v>1.53592745613189</v>
      </c>
      <c r="V4096" s="84" t="n">
        <f aca="false">IF(ISNUMBER(T4096),T4096,-99)</f>
        <v>17.5640725438681</v>
      </c>
      <c r="W4096" s="84" t="n">
        <f aca="false">IF(ISNUMBER(U4096),ABS(U4096),"")</f>
        <v>1.53592745613189</v>
      </c>
    </row>
    <row r="4097" customFormat="false" ht="15" hidden="false" customHeight="false" outlineLevel="0" collapsed="false">
      <c r="A4097" s="57" t="n">
        <v>38590</v>
      </c>
      <c r="B4097" s="56" t="n">
        <v>2005</v>
      </c>
      <c r="C4097" s="56" t="n">
        <v>8</v>
      </c>
      <c r="D4097" s="56" t="n">
        <v>118</v>
      </c>
      <c r="E4097" s="56" t="n">
        <v>19.6</v>
      </c>
      <c r="F4097" s="56" t="n">
        <v>0</v>
      </c>
      <c r="G4097" s="56" t="n">
        <v>10.1</v>
      </c>
      <c r="H4097" s="56" t="n">
        <v>0</v>
      </c>
      <c r="I4097" s="56" t="n">
        <v>14.8</v>
      </c>
      <c r="J4097" s="56" t="n">
        <v>0</v>
      </c>
      <c r="K4097" s="56" t="n">
        <v>1014.6</v>
      </c>
      <c r="L4097" s="56" t="n">
        <v>0</v>
      </c>
      <c r="M4097" s="56" t="n">
        <v>66</v>
      </c>
      <c r="N4097" s="56" t="n">
        <v>7.6</v>
      </c>
      <c r="O4097" s="56" t="n">
        <f aca="false">IF(D4097=1,"",E4096)</f>
        <v>19.1</v>
      </c>
      <c r="P4097" s="56" t="n">
        <f aca="false">IF(OR(D4097=1,K4096=""),"",K4096)</f>
        <v>1004.6</v>
      </c>
      <c r="Q4097" s="56" t="n">
        <f aca="false">IF(OR(F4097&lt;&gt;0,AND(I4097&lt;&gt;"",E4097&lt;I4097)),1,0)</f>
        <v>0</v>
      </c>
      <c r="R4097" s="56" t="n">
        <f aca="false">IF(AND(D4097&gt;1,Q4097=0,ISNUMBER(O4097),ISNUMBER(P4097)),IF(Q4096=0,1,0),0)</f>
        <v>1</v>
      </c>
      <c r="S4097" s="56" t="n">
        <f aca="false">R4097*(B4097&gt;=Train_Start)*(B4097&lt;=Train_End)</f>
        <v>0</v>
      </c>
      <c r="T4097" s="84" t="n">
        <f aca="false">IF(AND(ISNUMBER(O4097),ISNUMBER(P4097)),Coef_A+Coef_B1*O4097+Coef_B2*P4097,"")</f>
        <v>19.2505501584162</v>
      </c>
      <c r="U4097" s="84" t="n">
        <f aca="false">IF(AND(R4097=1,ISNUMBER(T4097)),E4097-T4097,"")</f>
        <v>0.349449841583798</v>
      </c>
      <c r="V4097" s="84" t="n">
        <f aca="false">IF(ISNUMBER(T4097),T4097,-99)</f>
        <v>19.2505501584162</v>
      </c>
      <c r="W4097" s="84" t="n">
        <f aca="false">IF(ISNUMBER(U4097),ABS(U4097),"")</f>
        <v>0.349449841583798</v>
      </c>
    </row>
    <row r="4098" customFormat="false" ht="15" hidden="false" customHeight="false" outlineLevel="0" collapsed="false">
      <c r="A4098" s="57" t="n">
        <v>38591</v>
      </c>
      <c r="B4098" s="56" t="n">
        <v>2005</v>
      </c>
      <c r="C4098" s="56" t="n">
        <v>8</v>
      </c>
      <c r="D4098" s="56" t="n">
        <v>119</v>
      </c>
      <c r="E4098" s="56" t="n">
        <v>21.3</v>
      </c>
      <c r="F4098" s="56" t="n">
        <v>0</v>
      </c>
      <c r="G4098" s="56" t="n">
        <v>13.1</v>
      </c>
      <c r="H4098" s="56" t="n">
        <v>0</v>
      </c>
      <c r="I4098" s="56" t="n">
        <v>17.2</v>
      </c>
      <c r="J4098" s="56" t="n">
        <v>0</v>
      </c>
      <c r="K4098" s="56" t="n">
        <v>1017.4</v>
      </c>
      <c r="L4098" s="56" t="n">
        <v>0</v>
      </c>
      <c r="M4098" s="56" t="n">
        <v>70</v>
      </c>
      <c r="N4098" s="56" t="n">
        <v>1.9</v>
      </c>
      <c r="O4098" s="56" t="n">
        <f aca="false">IF(D4098=1,"",E4097)</f>
        <v>19.6</v>
      </c>
      <c r="P4098" s="56" t="n">
        <f aca="false">IF(OR(D4098=1,K4097=""),"",K4097)</f>
        <v>1014.6</v>
      </c>
      <c r="Q4098" s="56" t="n">
        <f aca="false">IF(OR(F4098&lt;&gt;0,AND(I4098&lt;&gt;"",E4098&lt;I4098)),1,0)</f>
        <v>0</v>
      </c>
      <c r="R4098" s="56" t="n">
        <f aca="false">IF(AND(D4098&gt;1,Q4098=0,ISNUMBER(O4098),ISNUMBER(P4098)),IF(Q4097=0,1,0),0)</f>
        <v>1</v>
      </c>
      <c r="S4098" s="56" t="n">
        <f aca="false">R4098*(B4098&gt;=Train_Start)*(B4098&lt;=Train_End)</f>
        <v>0</v>
      </c>
      <c r="T4098" s="84" t="n">
        <f aca="false">IF(AND(ISNUMBER(O4098),ISNUMBER(P4098)),Coef_A+Coef_B1*O4098+Coef_B2*P4098,"")</f>
        <v>19.9739187012774</v>
      </c>
      <c r="U4098" s="84" t="n">
        <f aca="false">IF(AND(R4098=1,ISNUMBER(T4098)),E4098-T4098,"")</f>
        <v>1.32608129872257</v>
      </c>
      <c r="V4098" s="84" t="n">
        <f aca="false">IF(ISNUMBER(T4098),T4098,-99)</f>
        <v>19.9739187012774</v>
      </c>
      <c r="W4098" s="84" t="n">
        <f aca="false">IF(ISNUMBER(U4098),ABS(U4098),"")</f>
        <v>1.32608129872257</v>
      </c>
    </row>
    <row r="4099" customFormat="false" ht="15" hidden="false" customHeight="false" outlineLevel="0" collapsed="false">
      <c r="A4099" s="57" t="n">
        <v>38592</v>
      </c>
      <c r="B4099" s="56" t="n">
        <v>2005</v>
      </c>
      <c r="C4099" s="56" t="n">
        <v>8</v>
      </c>
      <c r="D4099" s="56" t="n">
        <v>120</v>
      </c>
      <c r="E4099" s="56" t="n">
        <v>24.4</v>
      </c>
      <c r="F4099" s="56" t="n">
        <v>0</v>
      </c>
      <c r="G4099" s="56" t="n">
        <v>11.5</v>
      </c>
      <c r="H4099" s="56" t="n">
        <v>0</v>
      </c>
      <c r="I4099" s="56" t="n">
        <v>18</v>
      </c>
      <c r="J4099" s="56" t="n">
        <v>0</v>
      </c>
      <c r="K4099" s="56" t="n">
        <v>1021.1</v>
      </c>
      <c r="L4099" s="56" t="n">
        <v>0</v>
      </c>
      <c r="M4099" s="56" t="n">
        <v>67</v>
      </c>
      <c r="N4099" s="56" t="n">
        <v>12.5</v>
      </c>
      <c r="O4099" s="56" t="n">
        <f aca="false">IF(D4099=1,"",E4098)</f>
        <v>21.3</v>
      </c>
      <c r="P4099" s="56" t="n">
        <f aca="false">IF(OR(D4099=1,K4098=""),"",K4098)</f>
        <v>1017.4</v>
      </c>
      <c r="Q4099" s="56" t="n">
        <f aca="false">IF(OR(F4099&lt;&gt;0,AND(I4099&lt;&gt;"",E4099&lt;I4099)),1,0)</f>
        <v>0</v>
      </c>
      <c r="R4099" s="56" t="n">
        <f aca="false">IF(AND(D4099&gt;1,Q4099=0,ISNUMBER(O4099),ISNUMBER(P4099)),IF(Q4098=0,1,0),0)</f>
        <v>1</v>
      </c>
      <c r="S4099" s="56" t="n">
        <f aca="false">R4099*(B4099&gt;=Train_Start)*(B4099&lt;=Train_End)</f>
        <v>0</v>
      </c>
      <c r="T4099" s="84" t="n">
        <f aca="false">IF(AND(ISNUMBER(O4099),ISNUMBER(P4099)),Coef_A+Coef_B1*O4099+Coef_B2*P4099,"")</f>
        <v>21.4546310344251</v>
      </c>
      <c r="U4099" s="84" t="n">
        <f aca="false">IF(AND(R4099=1,ISNUMBER(T4099)),E4099-T4099,"")</f>
        <v>2.94536896557489</v>
      </c>
      <c r="V4099" s="84" t="n">
        <f aca="false">IF(ISNUMBER(T4099),T4099,-99)</f>
        <v>21.4546310344251</v>
      </c>
      <c r="W4099" s="84" t="n">
        <f aca="false">IF(ISNUMBER(U4099),ABS(U4099),"")</f>
        <v>2.94536896557489</v>
      </c>
    </row>
    <row r="4100" customFormat="false" ht="15" hidden="false" customHeight="false" outlineLevel="0" collapsed="false">
      <c r="A4100" s="57" t="n">
        <v>38593</v>
      </c>
      <c r="B4100" s="56" t="n">
        <v>2005</v>
      </c>
      <c r="C4100" s="56" t="n">
        <v>8</v>
      </c>
      <c r="D4100" s="56" t="n">
        <v>121</v>
      </c>
      <c r="E4100" s="56" t="n">
        <v>26.1</v>
      </c>
      <c r="F4100" s="56" t="n">
        <v>0</v>
      </c>
      <c r="G4100" s="56" t="n">
        <v>12.5</v>
      </c>
      <c r="H4100" s="56" t="n">
        <v>0</v>
      </c>
      <c r="I4100" s="56" t="n">
        <v>19.3</v>
      </c>
      <c r="J4100" s="56" t="n">
        <v>0</v>
      </c>
      <c r="K4100" s="56" t="n">
        <v>1022.9</v>
      </c>
      <c r="L4100" s="56" t="n">
        <v>0</v>
      </c>
      <c r="M4100" s="56" t="n">
        <v>68</v>
      </c>
      <c r="N4100" s="56" t="n">
        <v>12.7</v>
      </c>
      <c r="O4100" s="56" t="n">
        <f aca="false">IF(D4100=1,"",E4099)</f>
        <v>24.4</v>
      </c>
      <c r="P4100" s="56" t="n">
        <f aca="false">IF(OR(D4100=1,K4099=""),"",K4099)</f>
        <v>1021.1</v>
      </c>
      <c r="Q4100" s="56" t="n">
        <f aca="false">IF(OR(F4100&lt;&gt;0,AND(I4100&lt;&gt;"",E4100&lt;I4100)),1,0)</f>
        <v>0</v>
      </c>
      <c r="R4100" s="56" t="n">
        <f aca="false">IF(AND(D4100&gt;1,Q4100=0,ISNUMBER(O4100),ISNUMBER(P4100)),IF(Q4099=0,1,0),0)</f>
        <v>1</v>
      </c>
      <c r="S4100" s="56" t="n">
        <f aca="false">R4100*(B4100&gt;=Train_Start)*(B4100&lt;=Train_End)</f>
        <v>0</v>
      </c>
      <c r="T4100" s="84" t="n">
        <f aca="false">IF(AND(ISNUMBER(O4100),ISNUMBER(P4100)),Coef_A+Coef_B1*O4100+Coef_B2*P4100,"")</f>
        <v>24.1106511430031</v>
      </c>
      <c r="U4100" s="84" t="n">
        <f aca="false">IF(AND(R4100=1,ISNUMBER(T4100)),E4100-T4100,"")</f>
        <v>1.98934885699689</v>
      </c>
      <c r="V4100" s="84" t="n">
        <f aca="false">IF(ISNUMBER(T4100),T4100,-99)</f>
        <v>24.1106511430031</v>
      </c>
      <c r="W4100" s="84" t="n">
        <f aca="false">IF(ISNUMBER(U4100),ABS(U4100),"")</f>
        <v>1.98934885699689</v>
      </c>
    </row>
    <row r="4101" customFormat="false" ht="15" hidden="false" customHeight="false" outlineLevel="0" collapsed="false">
      <c r="A4101" s="57" t="n">
        <v>38594</v>
      </c>
      <c r="B4101" s="56" t="n">
        <v>2005</v>
      </c>
      <c r="C4101" s="56" t="n">
        <v>8</v>
      </c>
      <c r="D4101" s="56" t="n">
        <v>122</v>
      </c>
      <c r="E4101" s="56" t="n">
        <v>27.6</v>
      </c>
      <c r="F4101" s="56" t="n">
        <v>0</v>
      </c>
      <c r="G4101" s="56" t="n">
        <v>15.8</v>
      </c>
      <c r="H4101" s="56" t="n">
        <v>0</v>
      </c>
      <c r="I4101" s="56" t="n">
        <v>21.7</v>
      </c>
      <c r="J4101" s="56" t="n">
        <v>0</v>
      </c>
      <c r="K4101" s="56" t="n">
        <v>1023.2</v>
      </c>
      <c r="L4101" s="56" t="n">
        <v>0</v>
      </c>
      <c r="M4101" s="56" t="n">
        <v>68</v>
      </c>
      <c r="N4101" s="56" t="n">
        <v>12.3</v>
      </c>
      <c r="O4101" s="56" t="n">
        <f aca="false">IF(D4101=1,"",E4100)</f>
        <v>26.1</v>
      </c>
      <c r="P4101" s="56" t="n">
        <f aca="false">IF(OR(D4101=1,K4100=""),"",K4100)</f>
        <v>1022.9</v>
      </c>
      <c r="Q4101" s="56" t="n">
        <f aca="false">IF(OR(F4101&lt;&gt;0,AND(I4101&lt;&gt;"",E4101&lt;I4101)),1,0)</f>
        <v>0</v>
      </c>
      <c r="R4101" s="56" t="n">
        <f aca="false">IF(AND(D4101&gt;1,Q4101=0,ISNUMBER(O4101),ISNUMBER(P4101)),IF(Q4100=0,1,0),0)</f>
        <v>1</v>
      </c>
      <c r="S4101" s="56" t="n">
        <f aca="false">R4101*(B4101&gt;=Train_Start)*(B4101&lt;=Train_End)</f>
        <v>0</v>
      </c>
      <c r="T4101" s="84" t="n">
        <f aca="false">IF(AND(ISNUMBER(O4101),ISNUMBER(P4101)),Coef_A+Coef_B1*O4101+Coef_B2*P4101,"")</f>
        <v>25.5599935815168</v>
      </c>
      <c r="U4101" s="84" t="n">
        <f aca="false">IF(AND(R4101=1,ISNUMBER(T4101)),E4101-T4101,"")</f>
        <v>2.04000641848319</v>
      </c>
      <c r="V4101" s="84" t="n">
        <f aca="false">IF(ISNUMBER(T4101),T4101,-99)</f>
        <v>25.5599935815168</v>
      </c>
      <c r="W4101" s="84" t="n">
        <f aca="false">IF(ISNUMBER(U4101),ABS(U4101),"")</f>
        <v>2.04000641848319</v>
      </c>
    </row>
    <row r="4102" customFormat="false" ht="15" hidden="false" customHeight="false" outlineLevel="0" collapsed="false">
      <c r="A4102" s="57" t="n">
        <v>38595</v>
      </c>
      <c r="B4102" s="56" t="n">
        <v>2005</v>
      </c>
      <c r="C4102" s="56" t="n">
        <v>8</v>
      </c>
      <c r="D4102" s="56" t="n">
        <v>123</v>
      </c>
      <c r="E4102" s="56" t="n">
        <v>31.8</v>
      </c>
      <c r="F4102" s="56" t="n">
        <v>0</v>
      </c>
      <c r="G4102" s="56" t="n">
        <v>17.4</v>
      </c>
      <c r="H4102" s="56" t="n">
        <v>0</v>
      </c>
      <c r="I4102" s="56" t="n">
        <v>24.6</v>
      </c>
      <c r="J4102" s="56" t="n">
        <v>0</v>
      </c>
      <c r="K4102" s="56" t="n">
        <v>1011.5</v>
      </c>
      <c r="L4102" s="56" t="n">
        <v>0</v>
      </c>
      <c r="M4102" s="56" t="n">
        <v>65</v>
      </c>
      <c r="N4102" s="56" t="n">
        <v>9.2</v>
      </c>
      <c r="O4102" s="56" t="n">
        <f aca="false">IF(D4102=1,"",E4101)</f>
        <v>27.6</v>
      </c>
      <c r="P4102" s="56" t="n">
        <f aca="false">IF(OR(D4102=1,K4101=""),"",K4101)</f>
        <v>1023.2</v>
      </c>
      <c r="Q4102" s="56" t="n">
        <f aca="false">IF(OR(F4102&lt;&gt;0,AND(I4102&lt;&gt;"",E4102&lt;I4102)),1,0)</f>
        <v>0</v>
      </c>
      <c r="R4102" s="56" t="n">
        <f aca="false">IF(AND(D4102&gt;1,Q4102=0,ISNUMBER(O4102),ISNUMBER(P4102)),IF(Q4101=0,1,0),0)</f>
        <v>1</v>
      </c>
      <c r="S4102" s="56" t="n">
        <f aca="false">R4102*(B4102&gt;=Train_Start)*(B4102&lt;=Train_End)</f>
        <v>0</v>
      </c>
      <c r="T4102" s="84" t="n">
        <f aca="false">IF(AND(ISNUMBER(O4102),ISNUMBER(P4102)),Coef_A+Coef_B1*O4102+Coef_B2*P4102,"")</f>
        <v>26.798413339471</v>
      </c>
      <c r="U4102" s="84" t="n">
        <f aca="false">IF(AND(R4102=1,ISNUMBER(T4102)),E4102-T4102,"")</f>
        <v>5.001586660529</v>
      </c>
      <c r="V4102" s="84" t="n">
        <f aca="false">IF(ISNUMBER(T4102),T4102,-99)</f>
        <v>26.798413339471</v>
      </c>
      <c r="W4102" s="84" t="n">
        <f aca="false">IF(ISNUMBER(U4102),ABS(U4102),"")</f>
        <v>5.001586660529</v>
      </c>
    </row>
    <row r="4103" customFormat="false" ht="15" hidden="false" customHeight="false" outlineLevel="0" collapsed="false">
      <c r="A4103" s="57" t="n">
        <v>38596</v>
      </c>
      <c r="B4103" s="56" t="n">
        <v>2005</v>
      </c>
      <c r="C4103" s="56" t="n">
        <v>9</v>
      </c>
      <c r="D4103" s="56" t="n">
        <v>124</v>
      </c>
      <c r="E4103" s="56" t="n">
        <v>24.5</v>
      </c>
      <c r="F4103" s="56" t="n">
        <v>0</v>
      </c>
      <c r="G4103" s="56" t="n">
        <v>16.7</v>
      </c>
      <c r="H4103" s="56" t="n">
        <v>0</v>
      </c>
      <c r="I4103" s="56" t="n">
        <v>20.6</v>
      </c>
      <c r="J4103" s="56" t="n">
        <v>0</v>
      </c>
      <c r="K4103" s="56" t="n">
        <v>1014</v>
      </c>
      <c r="L4103" s="56" t="n">
        <v>0</v>
      </c>
      <c r="M4103" s="56" t="n">
        <v>66</v>
      </c>
      <c r="N4103" s="56" t="n">
        <v>6.7</v>
      </c>
      <c r="O4103" s="56" t="n">
        <f aca="false">IF(D4103=1,"",E4102)</f>
        <v>31.8</v>
      </c>
      <c r="P4103" s="56" t="n">
        <f aca="false">IF(OR(D4103=1,K4102=""),"",K4102)</f>
        <v>1011.5</v>
      </c>
      <c r="Q4103" s="56" t="n">
        <f aca="false">IF(OR(F4103&lt;&gt;0,AND(I4103&lt;&gt;"",E4103&lt;I4103)),1,0)</f>
        <v>0</v>
      </c>
      <c r="R4103" s="56" t="n">
        <f aca="false">IF(AND(D4103&gt;1,Q4103=0,ISNUMBER(O4103),ISNUMBER(P4103)),IF(Q4102=0,1,0),0)</f>
        <v>1</v>
      </c>
      <c r="S4103" s="56" t="n">
        <f aca="false">R4103*(B4103&gt;=Train_Start)*(B4103&lt;=Train_End)</f>
        <v>0</v>
      </c>
      <c r="T4103" s="84" t="n">
        <f aca="false">IF(AND(ISNUMBER(O4103),ISNUMBER(P4103)),Coef_A+Coef_B1*O4103+Coef_B2*P4103,"")</f>
        <v>29.8726101830325</v>
      </c>
      <c r="U4103" s="84" t="n">
        <f aca="false">IF(AND(R4103=1,ISNUMBER(T4103)),E4103-T4103,"")</f>
        <v>-5.37261018303248</v>
      </c>
      <c r="V4103" s="84" t="n">
        <f aca="false">IF(ISNUMBER(T4103),T4103,-99)</f>
        <v>29.8726101830325</v>
      </c>
      <c r="W4103" s="84" t="n">
        <f aca="false">IF(ISNUMBER(U4103),ABS(U4103),"")</f>
        <v>5.37261018303248</v>
      </c>
    </row>
    <row r="4104" customFormat="false" ht="15" hidden="false" customHeight="false" outlineLevel="0" collapsed="false">
      <c r="A4104" s="57" t="n">
        <v>38597</v>
      </c>
      <c r="B4104" s="56" t="n">
        <v>2005</v>
      </c>
      <c r="C4104" s="56" t="n">
        <v>9</v>
      </c>
      <c r="D4104" s="56" t="n">
        <v>125</v>
      </c>
      <c r="E4104" s="56" t="n">
        <v>24</v>
      </c>
      <c r="F4104" s="56" t="n">
        <v>0</v>
      </c>
      <c r="G4104" s="56" t="n">
        <v>14</v>
      </c>
      <c r="H4104" s="56" t="n">
        <v>0</v>
      </c>
      <c r="I4104" s="56" t="n">
        <v>19</v>
      </c>
      <c r="J4104" s="56" t="n">
        <v>0</v>
      </c>
      <c r="K4104" s="56" t="n">
        <v>1025.1</v>
      </c>
      <c r="L4104" s="56" t="n">
        <v>0</v>
      </c>
      <c r="M4104" s="56" t="n">
        <v>62</v>
      </c>
      <c r="N4104" s="56" t="n">
        <v>8.3</v>
      </c>
      <c r="O4104" s="56" t="n">
        <f aca="false">IF(D4104=1,"",E4103)</f>
        <v>24.5</v>
      </c>
      <c r="P4104" s="56" t="n">
        <f aca="false">IF(OR(D4104=1,K4103=""),"",K4103)</f>
        <v>1014</v>
      </c>
      <c r="Q4104" s="56" t="n">
        <f aca="false">IF(OR(F4104&lt;&gt;0,AND(I4104&lt;&gt;"",E4104&lt;I4104)),1,0)</f>
        <v>0</v>
      </c>
      <c r="R4104" s="56" t="n">
        <f aca="false">IF(AND(D4104&gt;1,Q4104=0,ISNUMBER(O4104),ISNUMBER(P4104)),IF(Q4103=0,1,0),0)</f>
        <v>1</v>
      </c>
      <c r="S4104" s="56" t="n">
        <f aca="false">R4104*(B4104&gt;=Train_Start)*(B4104&lt;=Train_End)</f>
        <v>0</v>
      </c>
      <c r="T4104" s="84" t="n">
        <f aca="false">IF(AND(ISNUMBER(O4104),ISNUMBER(P4104)),Coef_A+Coef_B1*O4104+Coef_B2*P4104,"")</f>
        <v>23.9698588104061</v>
      </c>
      <c r="U4104" s="84" t="n">
        <f aca="false">IF(AND(R4104=1,ISNUMBER(T4104)),E4104-T4104,"")</f>
        <v>0.0301411895939481</v>
      </c>
      <c r="V4104" s="84" t="n">
        <f aca="false">IF(ISNUMBER(T4104),T4104,-99)</f>
        <v>23.9698588104061</v>
      </c>
      <c r="W4104" s="84" t="n">
        <f aca="false">IF(ISNUMBER(U4104),ABS(U4104),"")</f>
        <v>0.0301411895939481</v>
      </c>
    </row>
    <row r="4105" customFormat="false" ht="15" hidden="false" customHeight="false" outlineLevel="0" collapsed="false">
      <c r="A4105" s="57" t="n">
        <v>38598</v>
      </c>
      <c r="B4105" s="56" t="n">
        <v>2005</v>
      </c>
      <c r="C4105" s="56" t="n">
        <v>9</v>
      </c>
      <c r="D4105" s="56" t="n">
        <v>126</v>
      </c>
      <c r="E4105" s="56" t="n">
        <v>26.3</v>
      </c>
      <c r="F4105" s="56" t="n">
        <v>0</v>
      </c>
      <c r="G4105" s="56" t="n">
        <v>15</v>
      </c>
      <c r="H4105" s="56" t="n">
        <v>0</v>
      </c>
      <c r="I4105" s="56" t="n">
        <v>20.6</v>
      </c>
      <c r="J4105" s="56" t="n">
        <v>0</v>
      </c>
      <c r="K4105" s="56" t="n">
        <v>1027.2</v>
      </c>
      <c r="L4105" s="56" t="n">
        <v>0</v>
      </c>
      <c r="M4105" s="56" t="n">
        <v>73</v>
      </c>
      <c r="N4105" s="56" t="n">
        <v>7.3</v>
      </c>
      <c r="O4105" s="56" t="n">
        <f aca="false">IF(D4105=1,"",E4104)</f>
        <v>24</v>
      </c>
      <c r="P4105" s="56" t="n">
        <f aca="false">IF(OR(D4105=1,K4104=""),"",K4104)</f>
        <v>1025.1</v>
      </c>
      <c r="Q4105" s="56" t="n">
        <f aca="false">IF(OR(F4105&lt;&gt;0,AND(I4105&lt;&gt;"",E4105&lt;I4105)),1,0)</f>
        <v>0</v>
      </c>
      <c r="R4105" s="56" t="n">
        <f aca="false">IF(AND(D4105&gt;1,Q4105=0,ISNUMBER(O4105),ISNUMBER(P4105)),IF(Q4104=0,1,0),0)</f>
        <v>1</v>
      </c>
      <c r="S4105" s="56" t="n">
        <f aca="false">R4105*(B4105&gt;=Train_Start)*(B4105&lt;=Train_End)</f>
        <v>0</v>
      </c>
      <c r="T4105" s="84" t="n">
        <f aca="false">IF(AND(ISNUMBER(O4105),ISNUMBER(P4105)),Coef_A+Coef_B1*O4105+Coef_B2*P4105,"")</f>
        <v>23.908395044322</v>
      </c>
      <c r="U4105" s="84" t="n">
        <f aca="false">IF(AND(R4105=1,ISNUMBER(T4105)),E4105-T4105,"")</f>
        <v>2.391604955678</v>
      </c>
      <c r="V4105" s="84" t="n">
        <f aca="false">IF(ISNUMBER(T4105),T4105,-99)</f>
        <v>23.908395044322</v>
      </c>
      <c r="W4105" s="84" t="n">
        <f aca="false">IF(ISNUMBER(U4105),ABS(U4105),"")</f>
        <v>2.391604955678</v>
      </c>
    </row>
    <row r="4106" customFormat="false" ht="15" hidden="false" customHeight="false" outlineLevel="0" collapsed="false">
      <c r="A4106" s="57" t="n">
        <v>38599</v>
      </c>
      <c r="B4106" s="56" t="n">
        <v>2005</v>
      </c>
      <c r="C4106" s="56" t="n">
        <v>9</v>
      </c>
      <c r="D4106" s="56" t="n">
        <v>127</v>
      </c>
      <c r="E4106" s="56" t="n">
        <v>29.4</v>
      </c>
      <c r="F4106" s="56" t="n">
        <v>0</v>
      </c>
      <c r="G4106" s="56" t="n">
        <v>16.5</v>
      </c>
      <c r="H4106" s="56" t="n">
        <v>0</v>
      </c>
      <c r="I4106" s="56" t="n">
        <v>23</v>
      </c>
      <c r="J4106" s="56" t="n">
        <v>0</v>
      </c>
      <c r="K4106" s="56" t="n">
        <v>1020</v>
      </c>
      <c r="L4106" s="56" t="n">
        <v>0</v>
      </c>
      <c r="M4106" s="56" t="n">
        <v>70</v>
      </c>
      <c r="N4106" s="56" t="n">
        <v>7.8</v>
      </c>
      <c r="O4106" s="56" t="n">
        <f aca="false">IF(D4106=1,"",E4105)</f>
        <v>26.3</v>
      </c>
      <c r="P4106" s="56" t="n">
        <f aca="false">IF(OR(D4106=1,K4105=""),"",K4105)</f>
        <v>1027.2</v>
      </c>
      <c r="Q4106" s="56" t="n">
        <f aca="false">IF(OR(F4106&lt;&gt;0,AND(I4106&lt;&gt;"",E4106&lt;I4106)),1,0)</f>
        <v>0</v>
      </c>
      <c r="R4106" s="56" t="n">
        <f aca="false">IF(AND(D4106&gt;1,Q4106=0,ISNUMBER(O4106),ISNUMBER(P4106)),IF(Q4105=0,1,0),0)</f>
        <v>1</v>
      </c>
      <c r="S4106" s="56" t="n">
        <f aca="false">R4106*(B4106&gt;=Train_Start)*(B4106&lt;=Train_End)</f>
        <v>0</v>
      </c>
      <c r="T4106" s="84" t="n">
        <f aca="false">IF(AND(ISNUMBER(O4106),ISNUMBER(P4106)),Coef_A+Coef_B1*O4106+Coef_B2*P4106,"")</f>
        <v>25.8587519670515</v>
      </c>
      <c r="U4106" s="84" t="n">
        <f aca="false">IF(AND(R4106=1,ISNUMBER(T4106)),E4106-T4106,"")</f>
        <v>3.5412480329485</v>
      </c>
      <c r="V4106" s="84" t="n">
        <f aca="false">IF(ISNUMBER(T4106),T4106,-99)</f>
        <v>25.8587519670515</v>
      </c>
      <c r="W4106" s="84" t="n">
        <f aca="false">IF(ISNUMBER(U4106),ABS(U4106),"")</f>
        <v>3.5412480329485</v>
      </c>
    </row>
    <row r="4107" customFormat="false" ht="15" hidden="false" customHeight="false" outlineLevel="0" collapsed="false">
      <c r="A4107" s="57" t="n">
        <v>38600</v>
      </c>
      <c r="B4107" s="56" t="n">
        <v>2005</v>
      </c>
      <c r="C4107" s="56" t="n">
        <v>9</v>
      </c>
      <c r="D4107" s="56" t="n">
        <v>128</v>
      </c>
      <c r="E4107" s="56" t="n">
        <v>22</v>
      </c>
      <c r="F4107" s="56" t="n">
        <v>0</v>
      </c>
      <c r="G4107" s="56" t="n">
        <v>18.5</v>
      </c>
      <c r="H4107" s="56" t="n">
        <v>0</v>
      </c>
      <c r="I4107" s="56" t="n">
        <v>20.2</v>
      </c>
      <c r="J4107" s="56" t="n">
        <v>0</v>
      </c>
      <c r="K4107" s="56" t="n">
        <v>1013</v>
      </c>
      <c r="L4107" s="56" t="n">
        <v>0</v>
      </c>
      <c r="M4107" s="56" t="n">
        <v>80</v>
      </c>
      <c r="N4107" s="56" t="n">
        <v>1.7</v>
      </c>
      <c r="O4107" s="56" t="n">
        <f aca="false">IF(D4107=1,"",E4106)</f>
        <v>29.4</v>
      </c>
      <c r="P4107" s="56" t="n">
        <f aca="false">IF(OR(D4107=1,K4106=""),"",K4106)</f>
        <v>1020</v>
      </c>
      <c r="Q4107" s="56" t="n">
        <f aca="false">IF(OR(F4107&lt;&gt;0,AND(I4107&lt;&gt;"",E4107&lt;I4107)),1,0)</f>
        <v>0</v>
      </c>
      <c r="R4107" s="56" t="n">
        <f aca="false">IF(AND(D4107&gt;1,Q4107=0,ISNUMBER(O4107),ISNUMBER(P4107)),IF(Q4106=0,1,0),0)</f>
        <v>1</v>
      </c>
      <c r="S4107" s="56" t="n">
        <f aca="false">R4107*(B4107&gt;=Train_Start)*(B4107&lt;=Train_End)</f>
        <v>0</v>
      </c>
      <c r="T4107" s="84" t="n">
        <f aca="false">IF(AND(ISNUMBER(O4107),ISNUMBER(P4107)),Coef_A+Coef_B1*O4107+Coef_B2*P4107,"")</f>
        <v>28.172840224119</v>
      </c>
      <c r="U4107" s="84" t="n">
        <f aca="false">IF(AND(R4107=1,ISNUMBER(T4107)),E4107-T4107,"")</f>
        <v>-6.17284022411901</v>
      </c>
      <c r="V4107" s="84" t="n">
        <f aca="false">IF(ISNUMBER(T4107),T4107,-99)</f>
        <v>28.172840224119</v>
      </c>
      <c r="W4107" s="84" t="n">
        <f aca="false">IF(ISNUMBER(U4107),ABS(U4107),"")</f>
        <v>6.17284022411901</v>
      </c>
    </row>
    <row r="4108" customFormat="false" ht="15" hidden="false" customHeight="false" outlineLevel="0" collapsed="false">
      <c r="A4108" s="57" t="n">
        <v>38601</v>
      </c>
      <c r="B4108" s="56" t="n">
        <v>2005</v>
      </c>
      <c r="C4108" s="56" t="n">
        <v>9</v>
      </c>
      <c r="D4108" s="56" t="n">
        <v>129</v>
      </c>
      <c r="E4108" s="56" t="n">
        <v>21.8</v>
      </c>
      <c r="F4108" s="56" t="n">
        <v>0</v>
      </c>
      <c r="G4108" s="56" t="n">
        <v>16.1</v>
      </c>
      <c r="H4108" s="56" t="n">
        <v>0</v>
      </c>
      <c r="I4108" s="56" t="n">
        <v>19</v>
      </c>
      <c r="J4108" s="56" t="n">
        <v>0</v>
      </c>
      <c r="K4108" s="56" t="n">
        <v>1009.9</v>
      </c>
      <c r="L4108" s="56" t="n">
        <v>0</v>
      </c>
      <c r="M4108" s="56" t="n">
        <v>77</v>
      </c>
      <c r="N4108" s="56" t="n">
        <v>2.1</v>
      </c>
      <c r="O4108" s="56" t="n">
        <f aca="false">IF(D4108=1,"",E4107)</f>
        <v>22</v>
      </c>
      <c r="P4108" s="56" t="n">
        <f aca="false">IF(OR(D4108=1,K4107=""),"",K4107)</f>
        <v>1013</v>
      </c>
      <c r="Q4108" s="56" t="n">
        <f aca="false">IF(OR(F4108&lt;&gt;0,AND(I4108&lt;&gt;"",E4108&lt;I4108)),1,0)</f>
        <v>0</v>
      </c>
      <c r="R4108" s="56" t="n">
        <f aca="false">IF(AND(D4108&gt;1,Q4108=0,ISNUMBER(O4108),ISNUMBER(P4108)),IF(Q4107=0,1,0),0)</f>
        <v>1</v>
      </c>
      <c r="S4108" s="56" t="n">
        <f aca="false">R4108*(B4108&gt;=Train_Start)*(B4108&lt;=Train_End)</f>
        <v>0</v>
      </c>
      <c r="T4108" s="84" t="n">
        <f aca="false">IF(AND(ISNUMBER(O4108),ISNUMBER(P4108)),Coef_A+Coef_B1*O4108+Coef_B2*P4108,"")</f>
        <v>21.8901409331654</v>
      </c>
      <c r="U4108" s="84" t="n">
        <f aca="false">IF(AND(R4108=1,ISNUMBER(T4108)),E4108-T4108,"")</f>
        <v>-0.0901409331654186</v>
      </c>
      <c r="V4108" s="84" t="n">
        <f aca="false">IF(ISNUMBER(T4108),T4108,-99)</f>
        <v>21.8901409331654</v>
      </c>
      <c r="W4108" s="84" t="n">
        <f aca="false">IF(ISNUMBER(U4108),ABS(U4108),"")</f>
        <v>0.0901409331654186</v>
      </c>
    </row>
    <row r="4109" customFormat="false" ht="15" hidden="false" customHeight="false" outlineLevel="0" collapsed="false">
      <c r="A4109" s="57" t="n">
        <v>38602</v>
      </c>
      <c r="B4109" s="56" t="n">
        <v>2005</v>
      </c>
      <c r="C4109" s="56" t="n">
        <v>9</v>
      </c>
      <c r="D4109" s="56" t="n">
        <v>130</v>
      </c>
      <c r="E4109" s="56" t="n">
        <v>26.1</v>
      </c>
      <c r="F4109" s="56" t="n">
        <v>0</v>
      </c>
      <c r="G4109" s="56" t="n">
        <v>13.6</v>
      </c>
      <c r="H4109" s="56" t="n">
        <v>0</v>
      </c>
      <c r="I4109" s="56" t="n">
        <v>19.8</v>
      </c>
      <c r="J4109" s="56" t="n">
        <v>0</v>
      </c>
      <c r="K4109" s="56" t="n">
        <v>1011.3</v>
      </c>
      <c r="L4109" s="56" t="n">
        <v>0</v>
      </c>
      <c r="M4109" s="56" t="n">
        <v>70</v>
      </c>
      <c r="N4109" s="56" t="n">
        <v>8.9</v>
      </c>
      <c r="O4109" s="56" t="n">
        <f aca="false">IF(D4109=1,"",E4108)</f>
        <v>21.8</v>
      </c>
      <c r="P4109" s="56" t="n">
        <f aca="false">IF(OR(D4109=1,K4108=""),"",K4108)</f>
        <v>1009.9</v>
      </c>
      <c r="Q4109" s="56" t="n">
        <f aca="false">IF(OR(F4109&lt;&gt;0,AND(I4109&lt;&gt;"",E4109&lt;I4109)),1,0)</f>
        <v>0</v>
      </c>
      <c r="R4109" s="56" t="n">
        <f aca="false">IF(AND(D4109&gt;1,Q4109=0,ISNUMBER(O4109),ISNUMBER(P4109)),IF(Q4108=0,1,0),0)</f>
        <v>1</v>
      </c>
      <c r="S4109" s="56" t="n">
        <f aca="false">R4109*(B4109&gt;=Train_Start)*(B4109&lt;=Train_End)</f>
        <v>0</v>
      </c>
      <c r="T4109" s="84" t="n">
        <f aca="false">IF(AND(ISNUMBER(O4109),ISNUMBER(P4109)),Coef_A+Coef_B1*O4109+Coef_B2*P4109,"")</f>
        <v>21.6290264211915</v>
      </c>
      <c r="U4109" s="84" t="n">
        <f aca="false">IF(AND(R4109=1,ISNUMBER(T4109)),E4109-T4109,"")</f>
        <v>4.47097357880848</v>
      </c>
      <c r="V4109" s="84" t="n">
        <f aca="false">IF(ISNUMBER(T4109),T4109,-99)</f>
        <v>21.6290264211915</v>
      </c>
      <c r="W4109" s="84" t="n">
        <f aca="false">IF(ISNUMBER(U4109),ABS(U4109),"")</f>
        <v>4.47097357880848</v>
      </c>
    </row>
    <row r="4110" customFormat="false" ht="15" hidden="false" customHeight="false" outlineLevel="0" collapsed="false">
      <c r="A4110" s="57" t="n">
        <v>38603</v>
      </c>
      <c r="B4110" s="56" t="n">
        <v>2005</v>
      </c>
      <c r="C4110" s="56" t="n">
        <v>9</v>
      </c>
      <c r="D4110" s="56" t="n">
        <v>131</v>
      </c>
      <c r="E4110" s="56" t="n">
        <v>25</v>
      </c>
      <c r="F4110" s="56" t="n">
        <v>0</v>
      </c>
      <c r="G4110" s="56" t="n">
        <v>14.5</v>
      </c>
      <c r="H4110" s="56" t="n">
        <v>0</v>
      </c>
      <c r="I4110" s="56" t="n">
        <v>19.8</v>
      </c>
      <c r="J4110" s="56" t="n">
        <v>0</v>
      </c>
      <c r="K4110" s="56" t="n">
        <v>1012.1</v>
      </c>
      <c r="L4110" s="56" t="n">
        <v>0</v>
      </c>
      <c r="M4110" s="56" t="n">
        <v>71</v>
      </c>
      <c r="N4110" s="56" t="n">
        <v>12.1</v>
      </c>
      <c r="O4110" s="56" t="n">
        <f aca="false">IF(D4110=1,"",E4109)</f>
        <v>26.1</v>
      </c>
      <c r="P4110" s="56" t="n">
        <f aca="false">IF(OR(D4110=1,K4109=""),"",K4109)</f>
        <v>1011.3</v>
      </c>
      <c r="Q4110" s="56" t="n">
        <f aca="false">IF(OR(F4110&lt;&gt;0,AND(I4110&lt;&gt;"",E4110&lt;I4110)),1,0)</f>
        <v>0</v>
      </c>
      <c r="R4110" s="56" t="n">
        <f aca="false">IF(AND(D4110&gt;1,Q4110=0,ISNUMBER(O4110),ISNUMBER(P4110)),IF(Q4109=0,1,0),0)</f>
        <v>1</v>
      </c>
      <c r="S4110" s="56" t="n">
        <f aca="false">R4110*(B4110&gt;=Train_Start)*(B4110&lt;=Train_End)</f>
        <v>0</v>
      </c>
      <c r="T4110" s="84" t="n">
        <f aca="false">IF(AND(ISNUMBER(O4110),ISNUMBER(P4110)),Coef_A+Coef_B1*O4110+Coef_B2*P4110,"")</f>
        <v>25.1961028037625</v>
      </c>
      <c r="U4110" s="84" t="n">
        <f aca="false">IF(AND(R4110=1,ISNUMBER(T4110)),E4110-T4110,"")</f>
        <v>-0.196102803762532</v>
      </c>
      <c r="V4110" s="84" t="n">
        <f aca="false">IF(ISNUMBER(T4110),T4110,-99)</f>
        <v>25.1961028037625</v>
      </c>
      <c r="W4110" s="84" t="n">
        <f aca="false">IF(ISNUMBER(U4110),ABS(U4110),"")</f>
        <v>0.196102803762532</v>
      </c>
    </row>
    <row r="4111" customFormat="false" ht="15" hidden="false" customHeight="false" outlineLevel="0" collapsed="false">
      <c r="A4111" s="57" t="n">
        <v>38604</v>
      </c>
      <c r="B4111" s="56" t="n">
        <v>2005</v>
      </c>
      <c r="C4111" s="56" t="n">
        <v>9</v>
      </c>
      <c r="D4111" s="56" t="n">
        <v>132</v>
      </c>
      <c r="E4111" s="56" t="n">
        <v>26.8</v>
      </c>
      <c r="F4111" s="56" t="n">
        <v>0</v>
      </c>
      <c r="G4111" s="56" t="n">
        <v>13</v>
      </c>
      <c r="H4111" s="56" t="n">
        <v>0</v>
      </c>
      <c r="I4111" s="56" t="n">
        <v>19.9</v>
      </c>
      <c r="J4111" s="56" t="n">
        <v>0</v>
      </c>
      <c r="K4111" s="56" t="n">
        <v>1009.5</v>
      </c>
      <c r="L4111" s="56" t="n">
        <v>0</v>
      </c>
      <c r="M4111" s="56" t="n">
        <v>82</v>
      </c>
      <c r="N4111" s="56" t="n">
        <v>6.6</v>
      </c>
      <c r="O4111" s="56" t="n">
        <f aca="false">IF(D4111=1,"",E4110)</f>
        <v>25</v>
      </c>
      <c r="P4111" s="56" t="n">
        <f aca="false">IF(OR(D4111=1,K4110=""),"",K4110)</f>
        <v>1012.1</v>
      </c>
      <c r="Q4111" s="56" t="n">
        <f aca="false">IF(OR(F4111&lt;&gt;0,AND(I4111&lt;&gt;"",E4111&lt;I4111)),1,0)</f>
        <v>0</v>
      </c>
      <c r="R4111" s="56" t="n">
        <f aca="false">IF(AND(D4111&gt;1,Q4111=0,ISNUMBER(O4111),ISNUMBER(P4111)),IF(Q4110=0,1,0),0)</f>
        <v>1</v>
      </c>
      <c r="S4111" s="56" t="n">
        <f aca="false">R4111*(B4111&gt;=Train_Start)*(B4111&lt;=Train_End)</f>
        <v>0</v>
      </c>
      <c r="T4111" s="84" t="n">
        <f aca="false">IF(AND(ISNUMBER(O4111),ISNUMBER(P4111)),Coef_A+Coef_B1*O4111+Coef_B2*P4111,"")</f>
        <v>24.3199256071228</v>
      </c>
      <c r="U4111" s="84" t="n">
        <f aca="false">IF(AND(R4111=1,ISNUMBER(T4111)),E4111-T4111,"")</f>
        <v>2.4800743928772</v>
      </c>
      <c r="V4111" s="84" t="n">
        <f aca="false">IF(ISNUMBER(T4111),T4111,-99)</f>
        <v>24.3199256071228</v>
      </c>
      <c r="W4111" s="84" t="n">
        <f aca="false">IF(ISNUMBER(U4111),ABS(U4111),"")</f>
        <v>2.4800743928772</v>
      </c>
    </row>
    <row r="4112" customFormat="false" ht="15" hidden="false" customHeight="false" outlineLevel="0" collapsed="false">
      <c r="A4112" s="57" t="n">
        <v>38605</v>
      </c>
      <c r="B4112" s="56" t="n">
        <v>2005</v>
      </c>
      <c r="C4112" s="56" t="n">
        <v>9</v>
      </c>
      <c r="D4112" s="56" t="n">
        <v>133</v>
      </c>
      <c r="E4112" s="56" t="n">
        <v>23.4</v>
      </c>
      <c r="F4112" s="56" t="n">
        <v>0</v>
      </c>
      <c r="G4112" s="56" t="n">
        <v>17</v>
      </c>
      <c r="H4112" s="56" t="n">
        <v>0</v>
      </c>
      <c r="I4112" s="56" t="n">
        <v>20.2</v>
      </c>
      <c r="J4112" s="56" t="n">
        <v>0</v>
      </c>
      <c r="K4112" s="56" t="n">
        <v>1009.8</v>
      </c>
      <c r="L4112" s="56" t="n">
        <v>0</v>
      </c>
      <c r="M4112" s="56" t="n">
        <v>88</v>
      </c>
      <c r="N4112" s="56" t="n">
        <v>0.6</v>
      </c>
      <c r="O4112" s="56" t="n">
        <f aca="false">IF(D4112=1,"",E4111)</f>
        <v>26.8</v>
      </c>
      <c r="P4112" s="56" t="n">
        <f aca="false">IF(OR(D4112=1,K4111=""),"",K4111)</f>
        <v>1009.5</v>
      </c>
      <c r="Q4112" s="56" t="n">
        <f aca="false">IF(OR(F4112&lt;&gt;0,AND(I4112&lt;&gt;"",E4112&lt;I4112)),1,0)</f>
        <v>0</v>
      </c>
      <c r="R4112" s="56" t="n">
        <f aca="false">IF(AND(D4112&gt;1,Q4112=0,ISNUMBER(O4112),ISNUMBER(P4112)),IF(Q4111=0,1,0),0)</f>
        <v>1</v>
      </c>
      <c r="S4112" s="56" t="n">
        <f aca="false">R4112*(B4112&gt;=Train_Start)*(B4112&lt;=Train_End)</f>
        <v>0</v>
      </c>
      <c r="T4112" s="84" t="n">
        <f aca="false">IF(AND(ISNUMBER(O4112),ISNUMBER(P4112)),Coef_A+Coef_B1*O4112+Coef_B2*P4112,"")</f>
        <v>25.7131744285512</v>
      </c>
      <c r="U4112" s="84" t="n">
        <f aca="false">IF(AND(R4112=1,ISNUMBER(T4112)),E4112-T4112,"")</f>
        <v>-2.31317442855121</v>
      </c>
      <c r="V4112" s="84" t="n">
        <f aca="false">IF(ISNUMBER(T4112),T4112,-99)</f>
        <v>25.7131744285512</v>
      </c>
      <c r="W4112" s="84" t="n">
        <f aca="false">IF(ISNUMBER(U4112),ABS(U4112),"")</f>
        <v>2.31317442855121</v>
      </c>
    </row>
    <row r="4113" customFormat="false" ht="15" hidden="false" customHeight="false" outlineLevel="0" collapsed="false">
      <c r="A4113" s="57" t="n">
        <v>38606</v>
      </c>
      <c r="B4113" s="56" t="n">
        <v>2005</v>
      </c>
      <c r="C4113" s="56" t="n">
        <v>9</v>
      </c>
      <c r="D4113" s="56" t="n">
        <v>134</v>
      </c>
      <c r="E4113" s="56" t="n">
        <v>17.1</v>
      </c>
      <c r="F4113" s="56" t="n">
        <v>0</v>
      </c>
      <c r="G4113" s="56" t="n">
        <v>15.1</v>
      </c>
      <c r="H4113" s="56" t="n">
        <v>0</v>
      </c>
      <c r="I4113" s="56" t="n">
        <v>16.1</v>
      </c>
      <c r="J4113" s="56" t="n">
        <v>0</v>
      </c>
      <c r="K4113" s="56" t="n">
        <v>1014.6</v>
      </c>
      <c r="L4113" s="56" t="n">
        <v>0</v>
      </c>
      <c r="M4113" s="56" t="n">
        <v>90</v>
      </c>
      <c r="N4113" s="56" t="n">
        <v>0</v>
      </c>
      <c r="O4113" s="56" t="n">
        <f aca="false">IF(D4113=1,"",E4112)</f>
        <v>23.4</v>
      </c>
      <c r="P4113" s="56" t="n">
        <f aca="false">IF(OR(D4113=1,K4112=""),"",K4112)</f>
        <v>1009.8</v>
      </c>
      <c r="Q4113" s="56" t="n">
        <f aca="false">IF(OR(F4113&lt;&gt;0,AND(I4113&lt;&gt;"",E4113&lt;I4113)),1,0)</f>
        <v>0</v>
      </c>
      <c r="R4113" s="56" t="n">
        <f aca="false">IF(AND(D4113&gt;1,Q4113=0,ISNUMBER(O4113),ISNUMBER(P4113)),IF(Q4112=0,1,0),0)</f>
        <v>1</v>
      </c>
      <c r="S4113" s="56" t="n">
        <f aca="false">R4113*(B4113&gt;=Train_Start)*(B4113&lt;=Train_End)</f>
        <v>0</v>
      </c>
      <c r="T4113" s="84" t="n">
        <f aca="false">IF(AND(ISNUMBER(O4113),ISNUMBER(P4113)),Coef_A+Coef_B1*O4113+Coef_B2*P4113,"")</f>
        <v>22.9368321405964</v>
      </c>
      <c r="U4113" s="84" t="n">
        <f aca="false">IF(AND(R4113=1,ISNUMBER(T4113)),E4113-T4113,"")</f>
        <v>-5.83683214059637</v>
      </c>
      <c r="V4113" s="84" t="n">
        <f aca="false">IF(ISNUMBER(T4113),T4113,-99)</f>
        <v>22.9368321405964</v>
      </c>
      <c r="W4113" s="84" t="n">
        <f aca="false">IF(ISNUMBER(U4113),ABS(U4113),"")</f>
        <v>5.83683214059637</v>
      </c>
    </row>
    <row r="4114" customFormat="false" ht="15" hidden="false" customHeight="false" outlineLevel="0" collapsed="false">
      <c r="A4114" s="57" t="n">
        <v>38607</v>
      </c>
      <c r="B4114" s="56" t="n">
        <v>2005</v>
      </c>
      <c r="C4114" s="56" t="n">
        <v>9</v>
      </c>
      <c r="D4114" s="56" t="n">
        <v>135</v>
      </c>
      <c r="E4114" s="56" t="n">
        <v>22.2</v>
      </c>
      <c r="F4114" s="56" t="n">
        <v>0</v>
      </c>
      <c r="G4114" s="56" t="n">
        <v>14.3</v>
      </c>
      <c r="H4114" s="56" t="n">
        <v>0</v>
      </c>
      <c r="I4114" s="56"/>
      <c r="J4114" s="56" t="n">
        <v>9</v>
      </c>
      <c r="K4114" s="56" t="n">
        <v>1021.4</v>
      </c>
      <c r="L4114" s="56" t="n">
        <v>0</v>
      </c>
      <c r="M4114" s="56" t="n">
        <v>75</v>
      </c>
      <c r="N4114" s="56" t="n">
        <v>6.4</v>
      </c>
      <c r="O4114" s="56" t="n">
        <f aca="false">IF(D4114=1,"",E4113)</f>
        <v>17.1</v>
      </c>
      <c r="P4114" s="56" t="n">
        <f aca="false">IF(OR(D4114=1,K4113=""),"",K4113)</f>
        <v>1014.6</v>
      </c>
      <c r="Q4114" s="56" t="n">
        <f aca="false">IF(OR(F4114&lt;&gt;0,AND(I4114&lt;&gt;"",E4114&lt;I4114)),1,0)</f>
        <v>0</v>
      </c>
      <c r="R4114" s="56" t="n">
        <f aca="false">IF(AND(D4114&gt;1,Q4114=0,ISNUMBER(O4114),ISNUMBER(P4114)),IF(Q4113=0,1,0),0)</f>
        <v>1</v>
      </c>
      <c r="S4114" s="56" t="n">
        <f aca="false">R4114*(B4114&gt;=Train_Start)*(B4114&lt;=Train_End)</f>
        <v>0</v>
      </c>
      <c r="T4114" s="84" t="n">
        <f aca="false">IF(AND(ISNUMBER(O4114),ISNUMBER(P4114)),Coef_A+Coef_B1*O4114+Coef_B2*P4114,"")</f>
        <v>17.9255707186708</v>
      </c>
      <c r="U4114" s="84" t="n">
        <f aca="false">IF(AND(R4114=1,ISNUMBER(T4114)),E4114-T4114,"")</f>
        <v>4.27442928132922</v>
      </c>
      <c r="V4114" s="84" t="n">
        <f aca="false">IF(ISNUMBER(T4114),T4114,-99)</f>
        <v>17.9255707186708</v>
      </c>
      <c r="W4114" s="84" t="n">
        <f aca="false">IF(ISNUMBER(U4114),ABS(U4114),"")</f>
        <v>4.27442928132922</v>
      </c>
    </row>
    <row r="4115" customFormat="false" ht="15" hidden="false" customHeight="false" outlineLevel="0" collapsed="false">
      <c r="A4115" s="57" t="n">
        <v>38608</v>
      </c>
      <c r="B4115" s="56" t="n">
        <v>2005</v>
      </c>
      <c r="C4115" s="56" t="n">
        <v>9</v>
      </c>
      <c r="D4115" s="56" t="n">
        <v>136</v>
      </c>
      <c r="E4115" s="56" t="n">
        <v>22.9</v>
      </c>
      <c r="F4115" s="56" t="n">
        <v>0</v>
      </c>
      <c r="G4115" s="56" t="n">
        <v>12</v>
      </c>
      <c r="H4115" s="56" t="n">
        <v>0</v>
      </c>
      <c r="I4115" s="56" t="n">
        <v>17.4</v>
      </c>
      <c r="J4115" s="56" t="n">
        <v>0</v>
      </c>
      <c r="K4115" s="56" t="n">
        <v>1024.5</v>
      </c>
      <c r="L4115" s="56" t="n">
        <v>0</v>
      </c>
      <c r="M4115" s="56" t="n">
        <v>75</v>
      </c>
      <c r="N4115" s="56" t="n">
        <v>9.2</v>
      </c>
      <c r="O4115" s="56" t="n">
        <f aca="false">IF(D4115=1,"",E4114)</f>
        <v>22.2</v>
      </c>
      <c r="P4115" s="56" t="n">
        <f aca="false">IF(OR(D4115=1,K4114=""),"",K4114)</f>
        <v>1021.4</v>
      </c>
      <c r="Q4115" s="56" t="n">
        <f aca="false">IF(OR(F4115&lt;&gt;0,AND(I4115&lt;&gt;"",E4115&lt;I4115)),1,0)</f>
        <v>0</v>
      </c>
      <c r="R4115" s="56" t="n">
        <f aca="false">IF(AND(D4115&gt;1,Q4115=0,ISNUMBER(O4115),ISNUMBER(P4115)),IF(Q4114=0,1,0),0)</f>
        <v>1</v>
      </c>
      <c r="S4115" s="56" t="n">
        <f aca="false">R4115*(B4115&gt;=Train_Start)*(B4115&lt;=Train_End)</f>
        <v>0</v>
      </c>
      <c r="T4115" s="84" t="n">
        <f aca="false">IF(AND(ISNUMBER(O4115),ISNUMBER(P4115)),Coef_A+Coef_B1*O4115+Coef_B2*P4115,"")</f>
        <v>22.3175158866995</v>
      </c>
      <c r="U4115" s="84" t="n">
        <f aca="false">IF(AND(R4115=1,ISNUMBER(T4115)),E4115-T4115,"")</f>
        <v>0.582484113300534</v>
      </c>
      <c r="V4115" s="84" t="n">
        <f aca="false">IF(ISNUMBER(T4115),T4115,-99)</f>
        <v>22.3175158866995</v>
      </c>
      <c r="W4115" s="84" t="n">
        <f aca="false">IF(ISNUMBER(U4115),ABS(U4115),"")</f>
        <v>0.582484113300534</v>
      </c>
    </row>
    <row r="4116" customFormat="false" ht="15" hidden="false" customHeight="false" outlineLevel="0" collapsed="false">
      <c r="A4116" s="57" t="n">
        <v>38609</v>
      </c>
      <c r="B4116" s="56" t="n">
        <v>2005</v>
      </c>
      <c r="C4116" s="56" t="n">
        <v>9</v>
      </c>
      <c r="D4116" s="56" t="n">
        <v>137</v>
      </c>
      <c r="E4116" s="56" t="n">
        <v>24.9</v>
      </c>
      <c r="F4116" s="56" t="n">
        <v>0</v>
      </c>
      <c r="G4116" s="56" t="n">
        <v>15.8</v>
      </c>
      <c r="H4116" s="56" t="n">
        <v>0</v>
      </c>
      <c r="I4116" s="56" t="n">
        <v>20.4</v>
      </c>
      <c r="J4116" s="56" t="n">
        <v>0</v>
      </c>
      <c r="K4116" s="56" t="n">
        <v>1021.3</v>
      </c>
      <c r="L4116" s="56" t="n">
        <v>0</v>
      </c>
      <c r="M4116" s="56" t="n">
        <v>74</v>
      </c>
      <c r="N4116" s="56" t="n">
        <v>2.6</v>
      </c>
      <c r="O4116" s="56" t="n">
        <f aca="false">IF(D4116=1,"",E4115)</f>
        <v>22.9</v>
      </c>
      <c r="P4116" s="56" t="n">
        <f aca="false">IF(OR(D4116=1,K4115=""),"",K4115)</f>
        <v>1024.5</v>
      </c>
      <c r="Q4116" s="56" t="n">
        <f aca="false">IF(OR(F4116&lt;&gt;0,AND(I4116&lt;&gt;"",E4116&lt;I4116)),1,0)</f>
        <v>0</v>
      </c>
      <c r="R4116" s="56" t="n">
        <f aca="false">IF(AND(D4116&gt;1,Q4116=0,ISNUMBER(O4116),ISNUMBER(P4116)),IF(Q4115=0,1,0),0)</f>
        <v>1</v>
      </c>
      <c r="S4116" s="56" t="n">
        <f aca="false">R4116*(B4116&gt;=Train_Start)*(B4116&lt;=Train_End)</f>
        <v>0</v>
      </c>
      <c r="T4116" s="84" t="n">
        <f aca="false">IF(AND(ISNUMBER(O4116),ISNUMBER(P4116)),Coef_A+Coef_B1*O4116+Coef_B2*P4116,"")</f>
        <v>22.9882999951947</v>
      </c>
      <c r="U4116" s="84" t="n">
        <f aca="false">IF(AND(R4116=1,ISNUMBER(T4116)),E4116-T4116,"")</f>
        <v>1.91170000480532</v>
      </c>
      <c r="V4116" s="84" t="n">
        <f aca="false">IF(ISNUMBER(T4116),T4116,-99)</f>
        <v>22.9882999951947</v>
      </c>
      <c r="W4116" s="84" t="n">
        <f aca="false">IF(ISNUMBER(U4116),ABS(U4116),"")</f>
        <v>1.91170000480532</v>
      </c>
    </row>
    <row r="4117" customFormat="false" ht="15" hidden="false" customHeight="false" outlineLevel="0" collapsed="false">
      <c r="A4117" s="57" t="n">
        <v>38610</v>
      </c>
      <c r="B4117" s="56" t="n">
        <v>2005</v>
      </c>
      <c r="C4117" s="56" t="n">
        <v>9</v>
      </c>
      <c r="D4117" s="56" t="n">
        <v>138</v>
      </c>
      <c r="E4117" s="56" t="n">
        <v>22</v>
      </c>
      <c r="F4117" s="56" t="n">
        <v>0</v>
      </c>
      <c r="G4117" s="56" t="n">
        <v>14.9</v>
      </c>
      <c r="H4117" s="56" t="n">
        <v>0</v>
      </c>
      <c r="I4117" s="56" t="n">
        <v>18.4</v>
      </c>
      <c r="J4117" s="56" t="n">
        <v>0</v>
      </c>
      <c r="K4117" s="56" t="n">
        <v>1014.4</v>
      </c>
      <c r="L4117" s="56" t="n">
        <v>0</v>
      </c>
      <c r="M4117" s="56" t="n">
        <v>88</v>
      </c>
      <c r="N4117" s="56" t="n">
        <v>1.2</v>
      </c>
      <c r="O4117" s="56" t="n">
        <f aca="false">IF(D4117=1,"",E4116)</f>
        <v>24.9</v>
      </c>
      <c r="P4117" s="56" t="n">
        <f aca="false">IF(OR(D4117=1,K4116=""),"",K4116)</f>
        <v>1021.3</v>
      </c>
      <c r="Q4117" s="56" t="n">
        <f aca="false">IF(OR(F4117&lt;&gt;0,AND(I4117&lt;&gt;"",E4117&lt;I4117)),1,0)</f>
        <v>0</v>
      </c>
      <c r="R4117" s="56" t="n">
        <f aca="false">IF(AND(D4117&gt;1,Q4117=0,ISNUMBER(O4117),ISNUMBER(P4117)),IF(Q4116=0,1,0),0)</f>
        <v>1</v>
      </c>
      <c r="S4117" s="56" t="n">
        <f aca="false">R4117*(B4117&gt;=Train_Start)*(B4117&lt;=Train_End)</f>
        <v>0</v>
      </c>
      <c r="T4117" s="84" t="n">
        <f aca="false">IF(AND(ISNUMBER(O4117),ISNUMBER(P4117)),Coef_A+Coef_B1*O4117+Coef_B2*P4117,"")</f>
        <v>24.5265947184512</v>
      </c>
      <c r="U4117" s="84" t="n">
        <f aca="false">IF(AND(R4117=1,ISNUMBER(T4117)),E4117-T4117,"")</f>
        <v>-2.52659471845124</v>
      </c>
      <c r="V4117" s="84" t="n">
        <f aca="false">IF(ISNUMBER(T4117),T4117,-99)</f>
        <v>24.5265947184512</v>
      </c>
      <c r="W4117" s="84" t="n">
        <f aca="false">IF(ISNUMBER(U4117),ABS(U4117),"")</f>
        <v>2.52659471845124</v>
      </c>
    </row>
    <row r="4118" customFormat="false" ht="15" hidden="false" customHeight="false" outlineLevel="0" collapsed="false">
      <c r="A4118" s="57" t="n">
        <v>38611</v>
      </c>
      <c r="B4118" s="56" t="n">
        <v>2005</v>
      </c>
      <c r="C4118" s="56" t="n">
        <v>9</v>
      </c>
      <c r="D4118" s="56" t="n">
        <v>139</v>
      </c>
      <c r="E4118" s="56" t="n">
        <v>16.2</v>
      </c>
      <c r="F4118" s="56" t="n">
        <v>0</v>
      </c>
      <c r="G4118" s="56" t="n">
        <v>10.9</v>
      </c>
      <c r="H4118" s="56" t="n">
        <v>0</v>
      </c>
      <c r="I4118" s="56" t="n">
        <v>13.6</v>
      </c>
      <c r="J4118" s="56" t="n">
        <v>0</v>
      </c>
      <c r="K4118" s="56" t="n">
        <v>1017.9</v>
      </c>
      <c r="L4118" s="56" t="n">
        <v>0</v>
      </c>
      <c r="M4118" s="56" t="n">
        <v>71</v>
      </c>
      <c r="N4118" s="56" t="n">
        <v>6.3</v>
      </c>
      <c r="O4118" s="56" t="n">
        <f aca="false">IF(D4118=1,"",E4117)</f>
        <v>22</v>
      </c>
      <c r="P4118" s="56" t="n">
        <f aca="false">IF(OR(D4118=1,K4117=""),"",K4117)</f>
        <v>1014.4</v>
      </c>
      <c r="Q4118" s="56" t="n">
        <f aca="false">IF(OR(F4118&lt;&gt;0,AND(I4118&lt;&gt;"",E4118&lt;I4118)),1,0)</f>
        <v>0</v>
      </c>
      <c r="R4118" s="56" t="n">
        <f aca="false">IF(AND(D4118&gt;1,Q4118=0,ISNUMBER(O4118),ISNUMBER(P4118)),IF(Q4117=0,1,0),0)</f>
        <v>1</v>
      </c>
      <c r="S4118" s="56" t="n">
        <f aca="false">R4118*(B4118&gt;=Train_Start)*(B4118&lt;=Train_End)</f>
        <v>0</v>
      </c>
      <c r="T4118" s="84" t="n">
        <f aca="false">IF(AND(ISNUMBER(O4118),ISNUMBER(P4118)),Coef_A+Coef_B1*O4118+Coef_B2*P4118,"")</f>
        <v>21.934058785653</v>
      </c>
      <c r="U4118" s="84" t="n">
        <f aca="false">IF(AND(R4118=1,ISNUMBER(T4118)),E4118-T4118,"")</f>
        <v>-5.73405878565301</v>
      </c>
      <c r="V4118" s="84" t="n">
        <f aca="false">IF(ISNUMBER(T4118),T4118,-99)</f>
        <v>21.934058785653</v>
      </c>
      <c r="W4118" s="84" t="n">
        <f aca="false">IF(ISNUMBER(U4118),ABS(U4118),"")</f>
        <v>5.73405878565301</v>
      </c>
    </row>
    <row r="4119" customFormat="false" ht="15" hidden="false" customHeight="false" outlineLevel="0" collapsed="false">
      <c r="A4119" s="57" t="n">
        <v>38612</v>
      </c>
      <c r="B4119" s="56" t="n">
        <v>2005</v>
      </c>
      <c r="C4119" s="56" t="n">
        <v>9</v>
      </c>
      <c r="D4119" s="56" t="n">
        <v>140</v>
      </c>
      <c r="E4119" s="56" t="n">
        <v>16.9</v>
      </c>
      <c r="F4119" s="56" t="n">
        <v>0</v>
      </c>
      <c r="G4119" s="56" t="n">
        <v>5.7</v>
      </c>
      <c r="H4119" s="56" t="n">
        <v>0</v>
      </c>
      <c r="I4119" s="56" t="n">
        <v>11.3</v>
      </c>
      <c r="J4119" s="56" t="n">
        <v>0</v>
      </c>
      <c r="K4119" s="56" t="n">
        <v>1026.1</v>
      </c>
      <c r="L4119" s="56" t="n">
        <v>0</v>
      </c>
      <c r="M4119" s="56" t="n">
        <v>63</v>
      </c>
      <c r="N4119" s="56" t="n">
        <v>10.3</v>
      </c>
      <c r="O4119" s="56" t="n">
        <f aca="false">IF(D4119=1,"",E4118)</f>
        <v>16.2</v>
      </c>
      <c r="P4119" s="56" t="n">
        <f aca="false">IF(OR(D4119=1,K4118=""),"",K4118)</f>
        <v>1017.9</v>
      </c>
      <c r="Q4119" s="56" t="n">
        <f aca="false">IF(OR(F4119&lt;&gt;0,AND(I4119&lt;&gt;"",E4119&lt;I4119)),1,0)</f>
        <v>0</v>
      </c>
      <c r="R4119" s="56" t="n">
        <f aca="false">IF(AND(D4119&gt;1,Q4119=0,ISNUMBER(O4119),ISNUMBER(P4119)),IF(Q4118=0,1,0),0)</f>
        <v>1</v>
      </c>
      <c r="S4119" s="56" t="n">
        <f aca="false">R4119*(B4119&gt;=Train_Start)*(B4119&lt;=Train_End)</f>
        <v>0</v>
      </c>
      <c r="T4119" s="84" t="n">
        <f aca="false">IF(AND(ISNUMBER(O4119),ISNUMBER(P4119)),Coef_A+Coef_B1*O4119+Coef_B2*P4119,"")</f>
        <v>17.2916860972246</v>
      </c>
      <c r="U4119" s="84" t="n">
        <f aca="false">IF(AND(R4119=1,ISNUMBER(T4119)),E4119-T4119,"")</f>
        <v>-0.391686097224557</v>
      </c>
      <c r="V4119" s="84" t="n">
        <f aca="false">IF(ISNUMBER(T4119),T4119,-99)</f>
        <v>17.2916860972246</v>
      </c>
      <c r="W4119" s="84" t="n">
        <f aca="false">IF(ISNUMBER(U4119),ABS(U4119),"")</f>
        <v>0.391686097224557</v>
      </c>
    </row>
    <row r="4120" customFormat="false" ht="15" hidden="false" customHeight="false" outlineLevel="0" collapsed="false">
      <c r="A4120" s="57" t="n">
        <v>38613</v>
      </c>
      <c r="B4120" s="56" t="n">
        <v>2005</v>
      </c>
      <c r="C4120" s="56" t="n">
        <v>9</v>
      </c>
      <c r="D4120" s="56" t="n">
        <v>141</v>
      </c>
      <c r="E4120" s="56" t="n">
        <v>16.5</v>
      </c>
      <c r="F4120" s="56" t="n">
        <v>0</v>
      </c>
      <c r="G4120" s="56" t="n">
        <v>7.8</v>
      </c>
      <c r="H4120" s="56" t="n">
        <v>0</v>
      </c>
      <c r="I4120" s="56" t="n">
        <v>12.2</v>
      </c>
      <c r="J4120" s="56" t="n">
        <v>0</v>
      </c>
      <c r="K4120" s="56" t="n">
        <v>1027.7</v>
      </c>
      <c r="L4120" s="56" t="n">
        <v>0</v>
      </c>
      <c r="M4120" s="56" t="n">
        <v>77</v>
      </c>
      <c r="N4120" s="56" t="n">
        <v>0.5</v>
      </c>
      <c r="O4120" s="56" t="n">
        <f aca="false">IF(D4120=1,"",E4119)</f>
        <v>16.9</v>
      </c>
      <c r="P4120" s="56" t="n">
        <f aca="false">IF(OR(D4120=1,K4119=""),"",K4119)</f>
        <v>1026.1</v>
      </c>
      <c r="Q4120" s="56" t="n">
        <f aca="false">IF(OR(F4120&lt;&gt;0,AND(I4120&lt;&gt;"",E4120&lt;I4120)),1,0)</f>
        <v>0</v>
      </c>
      <c r="R4120" s="56" t="n">
        <f aca="false">IF(AND(D4120&gt;1,Q4120=0,ISNUMBER(O4120),ISNUMBER(P4120)),IF(Q4119=0,1,0),0)</f>
        <v>1</v>
      </c>
      <c r="S4120" s="56" t="n">
        <f aca="false">R4120*(B4120&gt;=Train_Start)*(B4120&lt;=Train_End)</f>
        <v>0</v>
      </c>
      <c r="T4120" s="84" t="n">
        <f aca="false">IF(AND(ISNUMBER(O4120),ISNUMBER(P4120)),Coef_A+Coef_B1*O4120+Coef_B2*P4120,"")</f>
        <v>18.1224566683531</v>
      </c>
      <c r="U4120" s="84" t="n">
        <f aca="false">IF(AND(R4120=1,ISNUMBER(T4120)),E4120-T4120,"")</f>
        <v>-1.62245666835312</v>
      </c>
      <c r="V4120" s="84" t="n">
        <f aca="false">IF(ISNUMBER(T4120),T4120,-99)</f>
        <v>18.1224566683531</v>
      </c>
      <c r="W4120" s="84" t="n">
        <f aca="false">IF(ISNUMBER(U4120),ABS(U4120),"")</f>
        <v>1.62245666835312</v>
      </c>
    </row>
    <row r="4121" customFormat="false" ht="15" hidden="false" customHeight="false" outlineLevel="0" collapsed="false">
      <c r="A4121" s="57" t="n">
        <v>38614</v>
      </c>
      <c r="B4121" s="56" t="n">
        <v>2005</v>
      </c>
      <c r="C4121" s="56" t="n">
        <v>9</v>
      </c>
      <c r="D4121" s="56" t="n">
        <v>142</v>
      </c>
      <c r="E4121" s="56" t="n">
        <v>19.2</v>
      </c>
      <c r="F4121" s="56" t="n">
        <v>0</v>
      </c>
      <c r="G4121" s="56" t="n">
        <v>13.1</v>
      </c>
      <c r="H4121" s="56" t="n">
        <v>0</v>
      </c>
      <c r="I4121" s="56" t="n">
        <v>16.2</v>
      </c>
      <c r="J4121" s="56" t="n">
        <v>0</v>
      </c>
      <c r="K4121" s="56" t="n">
        <v>1025.8</v>
      </c>
      <c r="L4121" s="56" t="n">
        <v>0</v>
      </c>
      <c r="M4121" s="56" t="n">
        <v>71</v>
      </c>
      <c r="N4121" s="56" t="n">
        <v>1.3</v>
      </c>
      <c r="O4121" s="56" t="n">
        <f aca="false">IF(D4121=1,"",E4120)</f>
        <v>16.5</v>
      </c>
      <c r="P4121" s="56" t="n">
        <f aca="false">IF(OR(D4121=1,K4120=""),"",K4120)</f>
        <v>1027.7</v>
      </c>
      <c r="Q4121" s="56" t="n">
        <f aca="false">IF(OR(F4121&lt;&gt;0,AND(I4121&lt;&gt;"",E4121&lt;I4121)),1,0)</f>
        <v>0</v>
      </c>
      <c r="R4121" s="56" t="n">
        <f aca="false">IF(AND(D4121&gt;1,Q4121=0,ISNUMBER(O4121),ISNUMBER(P4121)),IF(Q4120=0,1,0),0)</f>
        <v>1</v>
      </c>
      <c r="S4121" s="56" t="n">
        <f aca="false">R4121*(B4121&gt;=Train_Start)*(B4121&lt;=Train_End)</f>
        <v>0</v>
      </c>
      <c r="T4121" s="84" t="n">
        <f aca="false">IF(AND(ISNUMBER(O4121),ISNUMBER(P4121)),Coef_A+Coef_B1*O4121+Coef_B2*P4121,"")</f>
        <v>17.8449128225504</v>
      </c>
      <c r="U4121" s="84" t="n">
        <f aca="false">IF(AND(R4121=1,ISNUMBER(T4121)),E4121-T4121,"")</f>
        <v>1.35508717744955</v>
      </c>
      <c r="V4121" s="84" t="n">
        <f aca="false">IF(ISNUMBER(T4121),T4121,-99)</f>
        <v>17.8449128225504</v>
      </c>
      <c r="W4121" s="84" t="n">
        <f aca="false">IF(ISNUMBER(U4121),ABS(U4121),"")</f>
        <v>1.35508717744955</v>
      </c>
    </row>
    <row r="4122" customFormat="false" ht="15" hidden="false" customHeight="false" outlineLevel="0" collapsed="false">
      <c r="A4122" s="57" t="n">
        <v>38615</v>
      </c>
      <c r="B4122" s="56" t="n">
        <v>2005</v>
      </c>
      <c r="C4122" s="56" t="n">
        <v>9</v>
      </c>
      <c r="D4122" s="56" t="n">
        <v>143</v>
      </c>
      <c r="E4122" s="56" t="n">
        <v>21.8</v>
      </c>
      <c r="F4122" s="56" t="n">
        <v>0</v>
      </c>
      <c r="G4122" s="56" t="n">
        <v>10.7</v>
      </c>
      <c r="H4122" s="56" t="n">
        <v>0</v>
      </c>
      <c r="I4122" s="56" t="n">
        <v>16.2</v>
      </c>
      <c r="J4122" s="56" t="n">
        <v>0</v>
      </c>
      <c r="K4122" s="56" t="n">
        <v>1024.6</v>
      </c>
      <c r="L4122" s="56" t="n">
        <v>0</v>
      </c>
      <c r="M4122" s="56" t="n">
        <v>76</v>
      </c>
      <c r="N4122" s="56" t="n">
        <v>3.6</v>
      </c>
      <c r="O4122" s="56" t="n">
        <f aca="false">IF(D4122=1,"",E4121)</f>
        <v>19.2</v>
      </c>
      <c r="P4122" s="56" t="n">
        <f aca="false">IF(OR(D4122=1,K4121=""),"",K4121)</f>
        <v>1025.8</v>
      </c>
      <c r="Q4122" s="56" t="n">
        <f aca="false">IF(OR(F4122&lt;&gt;0,AND(I4122&lt;&gt;"",E4122&lt;I4122)),1,0)</f>
        <v>0</v>
      </c>
      <c r="R4122" s="56" t="n">
        <f aca="false">IF(AND(D4122&gt;1,Q4122=0,ISNUMBER(O4122),ISNUMBER(P4122)),IF(Q4121=0,1,0),0)</f>
        <v>1</v>
      </c>
      <c r="S4122" s="56" t="n">
        <f aca="false">R4122*(B4122&gt;=Train_Start)*(B4122&lt;=Train_End)</f>
        <v>0</v>
      </c>
      <c r="T4122" s="84" t="n">
        <f aca="false">IF(AND(ISNUMBER(O4122),ISNUMBER(P4122)),Coef_A+Coef_B1*O4122+Coef_B2*P4122,"")</f>
        <v>19.997525843961</v>
      </c>
      <c r="U4122" s="84" t="n">
        <f aca="false">IF(AND(R4122=1,ISNUMBER(T4122)),E4122-T4122,"")</f>
        <v>1.80247415603896</v>
      </c>
      <c r="V4122" s="84" t="n">
        <f aca="false">IF(ISNUMBER(T4122),T4122,-99)</f>
        <v>19.997525843961</v>
      </c>
      <c r="W4122" s="84" t="n">
        <f aca="false">IF(ISNUMBER(U4122),ABS(U4122),"")</f>
        <v>1.80247415603896</v>
      </c>
    </row>
    <row r="4123" customFormat="false" ht="15" hidden="false" customHeight="false" outlineLevel="0" collapsed="false">
      <c r="A4123" s="57" t="n">
        <v>38616</v>
      </c>
      <c r="B4123" s="56" t="n">
        <v>2005</v>
      </c>
      <c r="C4123" s="56" t="n">
        <v>9</v>
      </c>
      <c r="D4123" s="56" t="n">
        <v>144</v>
      </c>
      <c r="E4123" s="56" t="n">
        <v>21.1</v>
      </c>
      <c r="F4123" s="56" t="n">
        <v>0</v>
      </c>
      <c r="G4123" s="56" t="n">
        <v>14</v>
      </c>
      <c r="H4123" s="56" t="n">
        <v>0</v>
      </c>
      <c r="I4123" s="56" t="n">
        <v>17.6</v>
      </c>
      <c r="J4123" s="56" t="n">
        <v>0</v>
      </c>
      <c r="K4123" s="56" t="n">
        <v>1022.6</v>
      </c>
      <c r="L4123" s="56" t="n">
        <v>0</v>
      </c>
      <c r="M4123" s="56" t="n">
        <v>79</v>
      </c>
      <c r="N4123" s="56" t="n">
        <v>0.9</v>
      </c>
      <c r="O4123" s="56" t="n">
        <f aca="false">IF(D4123=1,"",E4122)</f>
        <v>21.8</v>
      </c>
      <c r="P4123" s="56" t="n">
        <f aca="false">IF(OR(D4123=1,K4122=""),"",K4122)</f>
        <v>1024.6</v>
      </c>
      <c r="Q4123" s="56" t="n">
        <f aca="false">IF(OR(F4123&lt;&gt;0,AND(I4123&lt;&gt;"",E4123&lt;I4123)),1,0)</f>
        <v>0</v>
      </c>
      <c r="R4123" s="56" t="n">
        <f aca="false">IF(AND(D4123&gt;1,Q4123=0,ISNUMBER(O4123),ISNUMBER(P4123)),IF(Q4122=0,1,0),0)</f>
        <v>1</v>
      </c>
      <c r="S4123" s="56" t="n">
        <f aca="false">R4123*(B4123&gt;=Train_Start)*(B4123&lt;=Train_End)</f>
        <v>0</v>
      </c>
      <c r="T4123" s="84" t="n">
        <f aca="false">IF(AND(ISNUMBER(O4123),ISNUMBER(P4123)),Coef_A+Coef_B1*O4123+Coef_B2*P4123,"")</f>
        <v>22.0901638723112</v>
      </c>
      <c r="U4123" s="84" t="n">
        <f aca="false">IF(AND(R4123=1,ISNUMBER(T4123)),E4123-T4123,"")</f>
        <v>-0.990163872311161</v>
      </c>
      <c r="V4123" s="84" t="n">
        <f aca="false">IF(ISNUMBER(T4123),T4123,-99)</f>
        <v>22.0901638723112</v>
      </c>
      <c r="W4123" s="84" t="n">
        <f aca="false">IF(ISNUMBER(U4123),ABS(U4123),"")</f>
        <v>0.990163872311161</v>
      </c>
    </row>
    <row r="4124" customFormat="false" ht="15" hidden="false" customHeight="false" outlineLevel="0" collapsed="false">
      <c r="A4124" s="57" t="n">
        <v>38617</v>
      </c>
      <c r="B4124" s="56" t="n">
        <v>2005</v>
      </c>
      <c r="C4124" s="56" t="n">
        <v>9</v>
      </c>
      <c r="D4124" s="56" t="n">
        <v>145</v>
      </c>
      <c r="E4124" s="56" t="n">
        <v>21.3</v>
      </c>
      <c r="F4124" s="56" t="n">
        <v>0</v>
      </c>
      <c r="G4124" s="56" t="n">
        <v>10.9</v>
      </c>
      <c r="H4124" s="56" t="n">
        <v>0</v>
      </c>
      <c r="I4124" s="56" t="n">
        <v>16.1</v>
      </c>
      <c r="J4124" s="56" t="n">
        <v>0</v>
      </c>
      <c r="K4124" s="56" t="n">
        <v>1018.8</v>
      </c>
      <c r="L4124" s="56" t="n">
        <v>0</v>
      </c>
      <c r="M4124" s="56" t="n">
        <v>77</v>
      </c>
      <c r="N4124" s="56" t="n">
        <v>7</v>
      </c>
      <c r="O4124" s="56" t="n">
        <f aca="false">IF(D4124=1,"",E4123)</f>
        <v>21.1</v>
      </c>
      <c r="P4124" s="56" t="n">
        <f aca="false">IF(OR(D4124=1,K4123=""),"",K4123)</f>
        <v>1022.6</v>
      </c>
      <c r="Q4124" s="56" t="n">
        <f aca="false">IF(OR(F4124&lt;&gt;0,AND(I4124&lt;&gt;"",E4124&lt;I4124)),1,0)</f>
        <v>0</v>
      </c>
      <c r="R4124" s="56" t="n">
        <f aca="false">IF(AND(D4124&gt;1,Q4124=0,ISNUMBER(O4124),ISNUMBER(P4124)),IF(Q4123=0,1,0),0)</f>
        <v>1</v>
      </c>
      <c r="S4124" s="56" t="n">
        <f aca="false">R4124*(B4124&gt;=Train_Start)*(B4124&lt;=Train_End)</f>
        <v>0</v>
      </c>
      <c r="T4124" s="84" t="n">
        <f aca="false">IF(AND(ISNUMBER(O4124),ISNUMBER(P4124)),Coef_A+Coef_B1*O4124+Coef_B2*P4124,"")</f>
        <v>21.4538866479133</v>
      </c>
      <c r="U4124" s="84" t="n">
        <f aca="false">IF(AND(R4124=1,ISNUMBER(T4124)),E4124-T4124,"")</f>
        <v>-0.153886647913328</v>
      </c>
      <c r="V4124" s="84" t="n">
        <f aca="false">IF(ISNUMBER(T4124),T4124,-99)</f>
        <v>21.4538866479133</v>
      </c>
      <c r="W4124" s="84" t="n">
        <f aca="false">IF(ISNUMBER(U4124),ABS(U4124),"")</f>
        <v>0.153886647913328</v>
      </c>
    </row>
    <row r="4125" customFormat="false" ht="15" hidden="false" customHeight="false" outlineLevel="0" collapsed="false">
      <c r="A4125" s="57" t="n">
        <v>38618</v>
      </c>
      <c r="B4125" s="56" t="n">
        <v>2005</v>
      </c>
      <c r="C4125" s="56" t="n">
        <v>9</v>
      </c>
      <c r="D4125" s="56" t="n">
        <v>146</v>
      </c>
      <c r="E4125" s="56" t="n">
        <v>19.2</v>
      </c>
      <c r="F4125" s="56" t="n">
        <v>0</v>
      </c>
      <c r="G4125" s="56" t="n">
        <v>10.5</v>
      </c>
      <c r="H4125" s="56" t="n">
        <v>0</v>
      </c>
      <c r="I4125" s="56" t="n">
        <v>14.8</v>
      </c>
      <c r="J4125" s="56" t="n">
        <v>0</v>
      </c>
      <c r="K4125" s="56" t="n">
        <v>1013</v>
      </c>
      <c r="L4125" s="56" t="n">
        <v>0</v>
      </c>
      <c r="M4125" s="56" t="n">
        <v>81</v>
      </c>
      <c r="N4125" s="56" t="n">
        <v>2.2</v>
      </c>
      <c r="O4125" s="56" t="n">
        <f aca="false">IF(D4125=1,"",E4124)</f>
        <v>21.3</v>
      </c>
      <c r="P4125" s="56" t="n">
        <f aca="false">IF(OR(D4125=1,K4124=""),"",K4124)</f>
        <v>1018.8</v>
      </c>
      <c r="Q4125" s="56" t="n">
        <f aca="false">IF(OR(F4125&lt;&gt;0,AND(I4125&lt;&gt;"",E4125&lt;I4125)),1,0)</f>
        <v>0</v>
      </c>
      <c r="R4125" s="56" t="n">
        <f aca="false">IF(AND(D4125&gt;1,Q4125=0,ISNUMBER(O4125),ISNUMBER(P4125)),IF(Q4124=0,1,0),0)</f>
        <v>1</v>
      </c>
      <c r="S4125" s="56" t="n">
        <f aca="false">R4125*(B4125&gt;=Train_Start)*(B4125&lt;=Train_End)</f>
        <v>0</v>
      </c>
      <c r="T4125" s="84" t="n">
        <f aca="false">IF(AND(ISNUMBER(O4125),ISNUMBER(P4125)),Coef_A+Coef_B1*O4125+Coef_B2*P4125,"")</f>
        <v>21.4985488869127</v>
      </c>
      <c r="U4125" s="84" t="n">
        <f aca="false">IF(AND(R4125=1,ISNUMBER(T4125)),E4125-T4125,"")</f>
        <v>-2.2985488869127</v>
      </c>
      <c r="V4125" s="84" t="n">
        <f aca="false">IF(ISNUMBER(T4125),T4125,-99)</f>
        <v>21.4985488869127</v>
      </c>
      <c r="W4125" s="84" t="n">
        <f aca="false">IF(ISNUMBER(U4125),ABS(U4125),"")</f>
        <v>2.2985488869127</v>
      </c>
    </row>
    <row r="4126" customFormat="false" ht="15" hidden="false" customHeight="false" outlineLevel="0" collapsed="false">
      <c r="A4126" s="57" t="n">
        <v>38619</v>
      </c>
      <c r="B4126" s="56" t="n">
        <v>2005</v>
      </c>
      <c r="C4126" s="56" t="n">
        <v>9</v>
      </c>
      <c r="D4126" s="56" t="n">
        <v>147</v>
      </c>
      <c r="E4126" s="56" t="n">
        <v>18.1</v>
      </c>
      <c r="F4126" s="56" t="n">
        <v>0</v>
      </c>
      <c r="G4126" s="56" t="n">
        <v>6.8</v>
      </c>
      <c r="H4126" s="56" t="n">
        <v>0</v>
      </c>
      <c r="I4126" s="56" t="n">
        <v>12.4</v>
      </c>
      <c r="J4126" s="56" t="n">
        <v>0</v>
      </c>
      <c r="K4126" s="56" t="n">
        <v>1017.3</v>
      </c>
      <c r="L4126" s="56" t="n">
        <v>0</v>
      </c>
      <c r="M4126" s="56" t="n">
        <v>70</v>
      </c>
      <c r="N4126" s="56" t="n">
        <v>7.1</v>
      </c>
      <c r="O4126" s="56" t="n">
        <f aca="false">IF(D4126=1,"",E4125)</f>
        <v>19.2</v>
      </c>
      <c r="P4126" s="56" t="n">
        <f aca="false">IF(OR(D4126=1,K4125=""),"",K4125)</f>
        <v>1013</v>
      </c>
      <c r="Q4126" s="56" t="n">
        <f aca="false">IF(OR(F4126&lt;&gt;0,AND(I4126&lt;&gt;"",E4126&lt;I4126)),1,0)</f>
        <v>0</v>
      </c>
      <c r="R4126" s="56" t="n">
        <f aca="false">IF(AND(D4126&gt;1,Q4126=0,ISNUMBER(O4126),ISNUMBER(P4126)),IF(Q4125=0,1,0),0)</f>
        <v>1</v>
      </c>
      <c r="S4126" s="56" t="n">
        <f aca="false">R4126*(B4126&gt;=Train_Start)*(B4126&lt;=Train_End)</f>
        <v>0</v>
      </c>
      <c r="T4126" s="84" t="n">
        <f aca="false">IF(AND(ISNUMBER(O4126),ISNUMBER(P4126)),Coef_A+Coef_B1*O4126+Coef_B2*P4126,"")</f>
        <v>19.595991192646</v>
      </c>
      <c r="U4126" s="84" t="n">
        <f aca="false">IF(AND(R4126=1,ISNUMBER(T4126)),E4126-T4126,"")</f>
        <v>-1.49599119264597</v>
      </c>
      <c r="V4126" s="84" t="n">
        <f aca="false">IF(ISNUMBER(T4126),T4126,-99)</f>
        <v>19.595991192646</v>
      </c>
      <c r="W4126" s="84" t="n">
        <f aca="false">IF(ISNUMBER(U4126),ABS(U4126),"")</f>
        <v>1.49599119264597</v>
      </c>
    </row>
    <row r="4127" customFormat="false" ht="15" hidden="false" customHeight="false" outlineLevel="0" collapsed="false">
      <c r="A4127" s="57" t="n">
        <v>38620</v>
      </c>
      <c r="B4127" s="56" t="n">
        <v>2005</v>
      </c>
      <c r="C4127" s="56" t="n">
        <v>9</v>
      </c>
      <c r="D4127" s="56" t="n">
        <v>148</v>
      </c>
      <c r="E4127" s="56" t="n">
        <v>21.7</v>
      </c>
      <c r="F4127" s="56" t="n">
        <v>0</v>
      </c>
      <c r="G4127" s="56" t="n">
        <v>11.9</v>
      </c>
      <c r="H4127" s="56" t="n">
        <v>0</v>
      </c>
      <c r="I4127" s="56" t="n">
        <v>16.8</v>
      </c>
      <c r="J4127" s="56" t="n">
        <v>0</v>
      </c>
      <c r="K4127" s="56" t="n">
        <v>1010.4</v>
      </c>
      <c r="L4127" s="56" t="n">
        <v>0</v>
      </c>
      <c r="M4127" s="56" t="n">
        <v>72</v>
      </c>
      <c r="N4127" s="56" t="n">
        <v>6.4</v>
      </c>
      <c r="O4127" s="56" t="n">
        <f aca="false">IF(D4127=1,"",E4126)</f>
        <v>18.1</v>
      </c>
      <c r="P4127" s="56" t="n">
        <f aca="false">IF(OR(D4127=1,K4126=""),"",K4126)</f>
        <v>1017.3</v>
      </c>
      <c r="Q4127" s="56" t="n">
        <f aca="false">IF(OR(F4127&lt;&gt;0,AND(I4127&lt;&gt;"",E4127&lt;I4127)),1,0)</f>
        <v>0</v>
      </c>
      <c r="R4127" s="56" t="n">
        <f aca="false">IF(AND(D4127&gt;1,Q4127=0,ISNUMBER(O4127),ISNUMBER(P4127)),IF(Q4126=0,1,0),0)</f>
        <v>1</v>
      </c>
      <c r="S4127" s="56" t="n">
        <f aca="false">R4127*(B4127&gt;=Train_Start)*(B4127&lt;=Train_End)</f>
        <v>0</v>
      </c>
      <c r="T4127" s="84" t="n">
        <f aca="false">IF(AND(ISNUMBER(O4127),ISNUMBER(P4127)),Coef_A+Coef_B1*O4127+Coef_B2*P4127,"")</f>
        <v>18.8296086272252</v>
      </c>
      <c r="U4127" s="84" t="n">
        <f aca="false">IF(AND(R4127=1,ISNUMBER(T4127)),E4127-T4127,"")</f>
        <v>2.87039137277479</v>
      </c>
      <c r="V4127" s="84" t="n">
        <f aca="false">IF(ISNUMBER(T4127),T4127,-99)</f>
        <v>18.8296086272252</v>
      </c>
      <c r="W4127" s="84" t="n">
        <f aca="false">IF(ISNUMBER(U4127),ABS(U4127),"")</f>
        <v>2.87039137277479</v>
      </c>
    </row>
    <row r="4128" customFormat="false" ht="15" hidden="false" customHeight="false" outlineLevel="0" collapsed="false">
      <c r="A4128" s="57" t="n">
        <v>38621</v>
      </c>
      <c r="B4128" s="56" t="n">
        <v>2005</v>
      </c>
      <c r="C4128" s="56" t="n">
        <v>9</v>
      </c>
      <c r="D4128" s="56" t="n">
        <v>149</v>
      </c>
      <c r="E4128" s="56" t="n">
        <v>18.3</v>
      </c>
      <c r="F4128" s="56" t="n">
        <v>0</v>
      </c>
      <c r="G4128" s="56" t="n">
        <v>10.2</v>
      </c>
      <c r="H4128" s="56" t="n">
        <v>0</v>
      </c>
      <c r="I4128" s="56" t="n">
        <v>14.2</v>
      </c>
      <c r="J4128" s="56" t="n">
        <v>0</v>
      </c>
      <c r="K4128" s="56" t="n">
        <v>1015.3</v>
      </c>
      <c r="L4128" s="56" t="n">
        <v>0</v>
      </c>
      <c r="M4128" s="56" t="n">
        <v>76</v>
      </c>
      <c r="N4128" s="56" t="n">
        <v>2.2</v>
      </c>
      <c r="O4128" s="56" t="n">
        <f aca="false">IF(D4128=1,"",E4127)</f>
        <v>21.7</v>
      </c>
      <c r="P4128" s="56" t="n">
        <f aca="false">IF(OR(D4128=1,K4127=""),"",K4127)</f>
        <v>1010.4</v>
      </c>
      <c r="Q4128" s="56" t="n">
        <f aca="false">IF(OR(F4128&lt;&gt;0,AND(I4128&lt;&gt;"",E4128&lt;I4128)),1,0)</f>
        <v>0</v>
      </c>
      <c r="R4128" s="56" t="n">
        <f aca="false">IF(AND(D4128&gt;1,Q4128=0,ISNUMBER(O4128),ISNUMBER(P4128)),IF(Q4127=0,1,0),0)</f>
        <v>1</v>
      </c>
      <c r="S4128" s="56" t="n">
        <f aca="false">R4128*(B4128&gt;=Train_Start)*(B4128&lt;=Train_End)</f>
        <v>0</v>
      </c>
      <c r="T4128" s="84" t="n">
        <f aca="false">IF(AND(ISNUMBER(O4128),ISNUMBER(P4128)),Coef_A+Coef_B1*O4128+Coef_B2*P4128,"")</f>
        <v>21.5627774492042</v>
      </c>
      <c r="U4128" s="84" t="n">
        <f aca="false">IF(AND(R4128=1,ISNUMBER(T4128)),E4128-T4128,"")</f>
        <v>-3.26277744920425</v>
      </c>
      <c r="V4128" s="84" t="n">
        <f aca="false">IF(ISNUMBER(T4128),T4128,-99)</f>
        <v>21.5627774492042</v>
      </c>
      <c r="W4128" s="84" t="n">
        <f aca="false">IF(ISNUMBER(U4128),ABS(U4128),"")</f>
        <v>3.26277744920425</v>
      </c>
    </row>
    <row r="4129" customFormat="false" ht="15" hidden="false" customHeight="false" outlineLevel="0" collapsed="false">
      <c r="A4129" s="57" t="n">
        <v>38622</v>
      </c>
      <c r="B4129" s="56" t="n">
        <v>2005</v>
      </c>
      <c r="C4129" s="56" t="n">
        <v>9</v>
      </c>
      <c r="D4129" s="56" t="n">
        <v>150</v>
      </c>
      <c r="E4129" s="56" t="n">
        <v>20.4</v>
      </c>
      <c r="F4129" s="56" t="n">
        <v>0</v>
      </c>
      <c r="G4129" s="56" t="n">
        <v>13.9</v>
      </c>
      <c r="H4129" s="56" t="n">
        <v>0</v>
      </c>
      <c r="I4129" s="56" t="n">
        <v>17.2</v>
      </c>
      <c r="J4129" s="56" t="n">
        <v>0</v>
      </c>
      <c r="K4129" s="56" t="n">
        <v>1014.1</v>
      </c>
      <c r="L4129" s="56" t="n">
        <v>0</v>
      </c>
      <c r="M4129" s="56" t="n">
        <v>72</v>
      </c>
      <c r="N4129" s="56" t="n">
        <v>4.6</v>
      </c>
      <c r="O4129" s="56" t="n">
        <f aca="false">IF(D4129=1,"",E4128)</f>
        <v>18.3</v>
      </c>
      <c r="P4129" s="56" t="n">
        <f aca="false">IF(OR(D4129=1,K4128=""),"",K4128)</f>
        <v>1015.3</v>
      </c>
      <c r="Q4129" s="56" t="n">
        <f aca="false">IF(OR(F4129&lt;&gt;0,AND(I4129&lt;&gt;"",E4129&lt;I4129)),1,0)</f>
        <v>0</v>
      </c>
      <c r="R4129" s="56" t="n">
        <f aca="false">IF(AND(D4129&gt;1,Q4129=0,ISNUMBER(O4129),ISNUMBER(P4129)),IF(Q4128=0,1,0),0)</f>
        <v>1</v>
      </c>
      <c r="S4129" s="56" t="n">
        <f aca="false">R4129*(B4129&gt;=Train_Start)*(B4129&lt;=Train_End)</f>
        <v>0</v>
      </c>
      <c r="T4129" s="84" t="n">
        <f aca="false">IF(AND(ISNUMBER(O4129),ISNUMBER(P4129)),Coef_A+Coef_B1*O4129+Coef_B2*P4129,"")</f>
        <v>18.9307366765658</v>
      </c>
      <c r="U4129" s="84" t="n">
        <f aca="false">IF(AND(R4129=1,ISNUMBER(T4129)),E4129-T4129,"")</f>
        <v>1.46926332343424</v>
      </c>
      <c r="V4129" s="84" t="n">
        <f aca="false">IF(ISNUMBER(T4129),T4129,-99)</f>
        <v>18.9307366765658</v>
      </c>
      <c r="W4129" s="84" t="n">
        <f aca="false">IF(ISNUMBER(U4129),ABS(U4129),"")</f>
        <v>1.46926332343424</v>
      </c>
    </row>
    <row r="4130" customFormat="false" ht="15" hidden="false" customHeight="false" outlineLevel="0" collapsed="false">
      <c r="A4130" s="57" t="n">
        <v>38623</v>
      </c>
      <c r="B4130" s="56" t="n">
        <v>2005</v>
      </c>
      <c r="C4130" s="56" t="n">
        <v>9</v>
      </c>
      <c r="D4130" s="56" t="n">
        <v>151</v>
      </c>
      <c r="E4130" s="56" t="n">
        <v>16.3</v>
      </c>
      <c r="F4130" s="56" t="n">
        <v>0</v>
      </c>
      <c r="G4130" s="56" t="n">
        <v>8.1</v>
      </c>
      <c r="H4130" s="56" t="n">
        <v>0</v>
      </c>
      <c r="I4130" s="56" t="n">
        <v>12.2</v>
      </c>
      <c r="J4130" s="56" t="n">
        <v>0</v>
      </c>
      <c r="K4130" s="56" t="n">
        <v>1017.9</v>
      </c>
      <c r="L4130" s="56" t="n">
        <v>0</v>
      </c>
      <c r="M4130" s="56" t="n">
        <v>72</v>
      </c>
      <c r="N4130" s="56" t="n">
        <v>3.2</v>
      </c>
      <c r="O4130" s="56" t="n">
        <f aca="false">IF(D4130=1,"",E4129)</f>
        <v>20.4</v>
      </c>
      <c r="P4130" s="56" t="n">
        <f aca="false">IF(OR(D4130=1,K4129=""),"",K4129)</f>
        <v>1014.1</v>
      </c>
      <c r="Q4130" s="56" t="n">
        <f aca="false">IF(OR(F4130&lt;&gt;0,AND(I4130&lt;&gt;"",E4130&lt;I4130)),1,0)</f>
        <v>0</v>
      </c>
      <c r="R4130" s="56" t="n">
        <f aca="false">IF(AND(D4130&gt;1,Q4130=0,ISNUMBER(O4130),ISNUMBER(P4130)),IF(Q4129=0,1,0),0)</f>
        <v>1</v>
      </c>
      <c r="S4130" s="56" t="n">
        <f aca="false">R4130*(B4130&gt;=Train_Start)*(B4130&lt;=Train_End)</f>
        <v>0</v>
      </c>
      <c r="T4130" s="84" t="n">
        <f aca="false">IF(AND(ISNUMBER(O4130),ISNUMBER(P4130)),Coef_A+Coef_B1*O4130+Coef_B2*P4130,"")</f>
        <v>20.6137051083946</v>
      </c>
      <c r="U4130" s="84" t="n">
        <f aca="false">IF(AND(R4130=1,ISNUMBER(T4130)),E4130-T4130,"")</f>
        <v>-4.31370510839455</v>
      </c>
      <c r="V4130" s="84" t="n">
        <f aca="false">IF(ISNUMBER(T4130),T4130,-99)</f>
        <v>20.6137051083946</v>
      </c>
      <c r="W4130" s="84" t="n">
        <f aca="false">IF(ISNUMBER(U4130),ABS(U4130),"")</f>
        <v>4.31370510839455</v>
      </c>
    </row>
    <row r="4131" customFormat="false" ht="15" hidden="false" customHeight="false" outlineLevel="0" collapsed="false">
      <c r="A4131" s="57" t="n">
        <v>38624</v>
      </c>
      <c r="B4131" s="56" t="n">
        <v>2005</v>
      </c>
      <c r="C4131" s="56" t="n">
        <v>9</v>
      </c>
      <c r="D4131" s="56" t="n">
        <v>152</v>
      </c>
      <c r="E4131" s="56" t="n">
        <v>16.9</v>
      </c>
      <c r="F4131" s="56" t="n">
        <v>0</v>
      </c>
      <c r="G4131" s="56" t="n">
        <v>8.6</v>
      </c>
      <c r="H4131" s="56" t="n">
        <v>0</v>
      </c>
      <c r="I4131" s="56" t="n">
        <v>12.8</v>
      </c>
      <c r="J4131" s="56" t="n">
        <v>0</v>
      </c>
      <c r="K4131" s="56" t="n">
        <v>1019.5</v>
      </c>
      <c r="L4131" s="56" t="n">
        <v>0</v>
      </c>
      <c r="M4131" s="56" t="n">
        <v>68</v>
      </c>
      <c r="N4131" s="56" t="n">
        <v>6.8</v>
      </c>
      <c r="O4131" s="56" t="n">
        <f aca="false">IF(D4131=1,"",E4130)</f>
        <v>16.3</v>
      </c>
      <c r="P4131" s="56" t="n">
        <f aca="false">IF(OR(D4131=1,K4130=""),"",K4130)</f>
        <v>1017.9</v>
      </c>
      <c r="Q4131" s="56" t="n">
        <f aca="false">IF(OR(F4131&lt;&gt;0,AND(I4131&lt;&gt;"",E4131&lt;I4131)),1,0)</f>
        <v>0</v>
      </c>
      <c r="R4131" s="56" t="n">
        <f aca="false">IF(AND(D4131&gt;1,Q4131=0,ISNUMBER(O4131),ISNUMBER(P4131)),IF(Q4130=0,1,0),0)</f>
        <v>1</v>
      </c>
      <c r="S4131" s="56" t="n">
        <f aca="false">R4131*(B4131&gt;=Train_Start)*(B4131&lt;=Train_End)</f>
        <v>0</v>
      </c>
      <c r="T4131" s="84" t="n">
        <f aca="false">IF(AND(ISNUMBER(O4131),ISNUMBER(P4131)),Coef_A+Coef_B1*O4131+Coef_B2*P4131,"")</f>
        <v>17.3736200165288</v>
      </c>
      <c r="U4131" s="84" t="n">
        <f aca="false">IF(AND(R4131=1,ISNUMBER(T4131)),E4131-T4131,"")</f>
        <v>-0.47362001652882</v>
      </c>
      <c r="V4131" s="84" t="n">
        <f aca="false">IF(ISNUMBER(T4131),T4131,-99)</f>
        <v>17.3736200165288</v>
      </c>
      <c r="W4131" s="84" t="n">
        <f aca="false">IF(ISNUMBER(U4131),ABS(U4131),"")</f>
        <v>0.47362001652882</v>
      </c>
    </row>
    <row r="4132" customFormat="false" ht="15" hidden="false" customHeight="false" outlineLevel="0" collapsed="false">
      <c r="A4132" s="57" t="n">
        <v>38625</v>
      </c>
      <c r="B4132" s="56" t="n">
        <v>2005</v>
      </c>
      <c r="C4132" s="56" t="n">
        <v>9</v>
      </c>
      <c r="D4132" s="56" t="n">
        <v>153</v>
      </c>
      <c r="E4132" s="56" t="n">
        <v>20.1</v>
      </c>
      <c r="F4132" s="56" t="n">
        <v>0</v>
      </c>
      <c r="G4132" s="56" t="n">
        <v>11.7</v>
      </c>
      <c r="H4132" s="56" t="n">
        <v>0</v>
      </c>
      <c r="I4132" s="56" t="n">
        <v>15.9</v>
      </c>
      <c r="J4132" s="56" t="n">
        <v>0</v>
      </c>
      <c r="K4132" s="56" t="n">
        <v>1016.8</v>
      </c>
      <c r="L4132" s="56" t="n">
        <v>0</v>
      </c>
      <c r="M4132" s="56" t="n">
        <v>89</v>
      </c>
      <c r="N4132" s="56" t="n">
        <v>0</v>
      </c>
      <c r="O4132" s="56" t="n">
        <f aca="false">IF(D4132=1,"",E4131)</f>
        <v>16.9</v>
      </c>
      <c r="P4132" s="56" t="n">
        <f aca="false">IF(OR(D4132=1,K4131=""),"",K4131)</f>
        <v>1019.5</v>
      </c>
      <c r="Q4132" s="56" t="n">
        <f aca="false">IF(OR(F4132&lt;&gt;0,AND(I4132&lt;&gt;"",E4132&lt;I4132)),1,0)</f>
        <v>0</v>
      </c>
      <c r="R4132" s="56" t="n">
        <f aca="false">IF(AND(D4132&gt;1,Q4132=0,ISNUMBER(O4132),ISNUMBER(P4132)),IF(Q4131=0,1,0),0)</f>
        <v>1</v>
      </c>
      <c r="S4132" s="56" t="n">
        <f aca="false">R4132*(B4132&gt;=Train_Start)*(B4132&lt;=Train_End)</f>
        <v>0</v>
      </c>
      <c r="T4132" s="84" t="n">
        <f aca="false">IF(AND(ISNUMBER(O4132),ISNUMBER(P4132)),Coef_A+Coef_B1*O4132+Coef_B2*P4132,"")</f>
        <v>17.9154153637688</v>
      </c>
      <c r="U4132" s="84" t="n">
        <f aca="false">IF(AND(R4132=1,ISNUMBER(T4132)),E4132-T4132,"")</f>
        <v>2.18458463623121</v>
      </c>
      <c r="V4132" s="84" t="n">
        <f aca="false">IF(ISNUMBER(T4132),T4132,-99)</f>
        <v>17.9154153637688</v>
      </c>
      <c r="W4132" s="84" t="n">
        <f aca="false">IF(ISNUMBER(U4132),ABS(U4132),"")</f>
        <v>2.18458463623121</v>
      </c>
    </row>
    <row r="4133" customFormat="false" ht="15" hidden="false" customHeight="false" outlineLevel="0" collapsed="false">
      <c r="A4133" s="57" t="n">
        <v>38838</v>
      </c>
      <c r="B4133" s="56" t="n">
        <v>2006</v>
      </c>
      <c r="C4133" s="56" t="n">
        <v>5</v>
      </c>
      <c r="D4133" s="56" t="n">
        <v>1</v>
      </c>
      <c r="E4133" s="56" t="n">
        <v>15.1</v>
      </c>
      <c r="F4133" s="56" t="n">
        <v>0</v>
      </c>
      <c r="G4133" s="56" t="n">
        <v>6.4</v>
      </c>
      <c r="H4133" s="56" t="n">
        <v>0</v>
      </c>
      <c r="I4133" s="56" t="n">
        <v>10.8</v>
      </c>
      <c r="J4133" s="56" t="n">
        <v>0</v>
      </c>
      <c r="K4133" s="56" t="n">
        <v>1002.9</v>
      </c>
      <c r="L4133" s="56" t="n">
        <v>0</v>
      </c>
      <c r="M4133" s="56" t="n">
        <v>72</v>
      </c>
      <c r="N4133" s="56" t="n">
        <v>3.8</v>
      </c>
      <c r="O4133" s="56" t="str">
        <f aca="false">IF(D4133=1,"",E4132)</f>
        <v/>
      </c>
      <c r="P4133" s="56" t="str">
        <f aca="false">IF(OR(D4133=1,K4132=""),"",K4132)</f>
        <v/>
      </c>
      <c r="Q4133" s="56" t="n">
        <f aca="false">IF(OR(F4133&lt;&gt;0,AND(I4133&lt;&gt;"",E4133&lt;I4133)),1,0)</f>
        <v>0</v>
      </c>
      <c r="R4133" s="56" t="n">
        <f aca="false">IF(AND(D4133&gt;1,Q4133=0,ISNUMBER(O4133),ISNUMBER(P4133)),IF(Q4132=0,1,0),0)</f>
        <v>0</v>
      </c>
      <c r="S4133" s="56" t="n">
        <f aca="false">R4133*(B4133&gt;=Train_Start)*(B4133&lt;=Train_End)</f>
        <v>0</v>
      </c>
      <c r="T4133" s="84" t="str">
        <f aca="false">IF(AND(ISNUMBER(O4133),ISNUMBER(P4133)),Coef_A+Coef_B1*O4133+Coef_B2*P4133,"")</f>
        <v/>
      </c>
      <c r="U4133" s="84" t="str">
        <f aca="false">IF(AND(R4133=1,ISNUMBER(T4133)),E4133-T4133,"")</f>
        <v/>
      </c>
      <c r="V4133" s="84" t="n">
        <f aca="false">IF(ISNUMBER(T4133),T4133,-99)</f>
        <v>-99</v>
      </c>
      <c r="W4133" s="84" t="str">
        <f aca="false">IF(ISNUMBER(U4133),ABS(U4133),"")</f>
        <v/>
      </c>
    </row>
    <row r="4134" customFormat="false" ht="15" hidden="false" customHeight="false" outlineLevel="0" collapsed="false">
      <c r="A4134" s="57" t="n">
        <v>38839</v>
      </c>
      <c r="B4134" s="56" t="n">
        <v>2006</v>
      </c>
      <c r="C4134" s="56" t="n">
        <v>5</v>
      </c>
      <c r="D4134" s="56" t="n">
        <v>2</v>
      </c>
      <c r="E4134" s="56" t="n">
        <v>16.5</v>
      </c>
      <c r="F4134" s="56" t="n">
        <v>0</v>
      </c>
      <c r="G4134" s="56" t="n">
        <v>3.7</v>
      </c>
      <c r="H4134" s="56" t="n">
        <v>0</v>
      </c>
      <c r="I4134" s="56" t="n">
        <v>10.1</v>
      </c>
      <c r="J4134" s="56" t="n">
        <v>0</v>
      </c>
      <c r="K4134" s="56" t="n">
        <v>1008.3</v>
      </c>
      <c r="L4134" s="56" t="n">
        <v>0</v>
      </c>
      <c r="M4134" s="56" t="n">
        <v>72</v>
      </c>
      <c r="N4134" s="56" t="n">
        <v>4.8</v>
      </c>
      <c r="O4134" s="56" t="n">
        <f aca="false">IF(D4134=1,"",E4133)</f>
        <v>15.1</v>
      </c>
      <c r="P4134" s="56" t="n">
        <f aca="false">IF(OR(D4134=1,K4133=""),"",K4133)</f>
        <v>1002.9</v>
      </c>
      <c r="Q4134" s="56" t="n">
        <f aca="false">IF(OR(F4134&lt;&gt;0,AND(I4134&lt;&gt;"",E4134&lt;I4134)),1,0)</f>
        <v>0</v>
      </c>
      <c r="R4134" s="56" t="n">
        <f aca="false">IF(AND(D4134&gt;1,Q4134=0,ISNUMBER(O4134),ISNUMBER(P4134)),IF(Q4133=0,1,0),0)</f>
        <v>1</v>
      </c>
      <c r="S4134" s="56" t="n">
        <f aca="false">R4134*(B4134&gt;=Train_Start)*(B4134&lt;=Train_End)</f>
        <v>0</v>
      </c>
      <c r="T4134" s="84" t="n">
        <f aca="false">IF(AND(ISNUMBER(O4134),ISNUMBER(P4134)),Coef_A+Coef_B1*O4134+Coef_B2*P4134,"")</f>
        <v>15.9198645653678</v>
      </c>
      <c r="U4134" s="84" t="n">
        <f aca="false">IF(AND(R4134=1,ISNUMBER(T4134)),E4134-T4134,"")</f>
        <v>0.580135434632213</v>
      </c>
      <c r="V4134" s="84" t="n">
        <f aca="false">IF(ISNUMBER(T4134),T4134,-99)</f>
        <v>15.9198645653678</v>
      </c>
      <c r="W4134" s="84" t="n">
        <f aca="false">IF(ISNUMBER(U4134),ABS(U4134),"")</f>
        <v>0.580135434632213</v>
      </c>
    </row>
    <row r="4135" customFormat="false" ht="15" hidden="false" customHeight="false" outlineLevel="0" collapsed="false">
      <c r="A4135" s="57" t="n">
        <v>38840</v>
      </c>
      <c r="B4135" s="56" t="n">
        <v>2006</v>
      </c>
      <c r="C4135" s="56" t="n">
        <v>5</v>
      </c>
      <c r="D4135" s="56" t="n">
        <v>3</v>
      </c>
      <c r="E4135" s="56" t="n">
        <v>19.3</v>
      </c>
      <c r="F4135" s="56" t="n">
        <v>0</v>
      </c>
      <c r="G4135" s="56" t="n">
        <v>7.7</v>
      </c>
      <c r="H4135" s="56" t="n">
        <v>0</v>
      </c>
      <c r="I4135" s="56" t="n">
        <v>13.5</v>
      </c>
      <c r="J4135" s="56" t="n">
        <v>0</v>
      </c>
      <c r="K4135" s="56" t="n">
        <v>1013.5</v>
      </c>
      <c r="L4135" s="56" t="n">
        <v>0</v>
      </c>
      <c r="M4135" s="56" t="n">
        <v>74</v>
      </c>
      <c r="N4135" s="56" t="n">
        <v>6.9</v>
      </c>
      <c r="O4135" s="56" t="n">
        <f aca="false">IF(D4135=1,"",E4134)</f>
        <v>16.5</v>
      </c>
      <c r="P4135" s="56" t="n">
        <f aca="false">IF(OR(D4135=1,K4134=""),"",K4134)</f>
        <v>1008.3</v>
      </c>
      <c r="Q4135" s="56" t="n">
        <f aca="false">IF(OR(F4135&lt;&gt;0,AND(I4135&lt;&gt;"",E4135&lt;I4135)),1,0)</f>
        <v>0</v>
      </c>
      <c r="R4135" s="56" t="n">
        <f aca="false">IF(AND(D4135&gt;1,Q4135=0,ISNUMBER(O4135),ISNUMBER(P4135)),IF(Q4134=0,1,0),0)</f>
        <v>1</v>
      </c>
      <c r="S4135" s="56" t="n">
        <f aca="false">R4135*(B4135&gt;=Train_Start)*(B4135&lt;=Train_End)</f>
        <v>0</v>
      </c>
      <c r="T4135" s="84" t="n">
        <f aca="false">IF(AND(ISNUMBER(O4135),ISNUMBER(P4135)),Coef_A+Coef_B1*O4135+Coef_B2*P4135,"")</f>
        <v>17.2363368666511</v>
      </c>
      <c r="U4135" s="84" t="n">
        <f aca="false">IF(AND(R4135=1,ISNUMBER(T4135)),E4135-T4135,"")</f>
        <v>2.06366313334895</v>
      </c>
      <c r="V4135" s="84" t="n">
        <f aca="false">IF(ISNUMBER(T4135),T4135,-99)</f>
        <v>17.2363368666511</v>
      </c>
      <c r="W4135" s="84" t="n">
        <f aca="false">IF(ISNUMBER(U4135),ABS(U4135),"")</f>
        <v>2.06366313334895</v>
      </c>
    </row>
    <row r="4136" customFormat="false" ht="15" hidden="false" customHeight="false" outlineLevel="0" collapsed="false">
      <c r="A4136" s="57" t="n">
        <v>38841</v>
      </c>
      <c r="B4136" s="56" t="n">
        <v>2006</v>
      </c>
      <c r="C4136" s="56" t="n">
        <v>5</v>
      </c>
      <c r="D4136" s="56" t="n">
        <v>4</v>
      </c>
      <c r="E4136" s="56" t="n">
        <v>27.5</v>
      </c>
      <c r="F4136" s="56" t="n">
        <v>0</v>
      </c>
      <c r="G4136" s="56" t="n">
        <v>12.5</v>
      </c>
      <c r="H4136" s="56" t="n">
        <v>0</v>
      </c>
      <c r="I4136" s="56"/>
      <c r="J4136" s="56" t="n">
        <v>9</v>
      </c>
      <c r="K4136" s="56" t="n">
        <v>1013.9</v>
      </c>
      <c r="L4136" s="56" t="n">
        <v>0</v>
      </c>
      <c r="M4136" s="56" t="n">
        <v>58</v>
      </c>
      <c r="N4136" s="56" t="n">
        <v>10.6</v>
      </c>
      <c r="O4136" s="56" t="n">
        <f aca="false">IF(D4136=1,"",E4135)</f>
        <v>19.3</v>
      </c>
      <c r="P4136" s="56" t="n">
        <f aca="false">IF(OR(D4136=1,K4135=""),"",K4135)</f>
        <v>1013.5</v>
      </c>
      <c r="Q4136" s="56" t="n">
        <f aca="false">IF(OR(F4136&lt;&gt;0,AND(I4136&lt;&gt;"",E4136&lt;I4136)),1,0)</f>
        <v>0</v>
      </c>
      <c r="R4136" s="56" t="n">
        <f aca="false">IF(AND(D4136&gt;1,Q4136=0,ISNUMBER(O4136),ISNUMBER(P4136)),IF(Q4135=0,1,0),0)</f>
        <v>1</v>
      </c>
      <c r="S4136" s="56" t="n">
        <f aca="false">R4136*(B4136&gt;=Train_Start)*(B4136&lt;=Train_End)</f>
        <v>0</v>
      </c>
      <c r="T4136" s="84" t="n">
        <f aca="false">IF(AND(ISNUMBER(O4136),ISNUMBER(P4136)),Coef_A+Coef_B1*O4136+Coef_B2*P4136,"")</f>
        <v>19.6936100592672</v>
      </c>
      <c r="U4136" s="84" t="n">
        <f aca="false">IF(AND(R4136=1,ISNUMBER(T4136)),E4136-T4136,"")</f>
        <v>7.80638994073276</v>
      </c>
      <c r="V4136" s="84" t="n">
        <f aca="false">IF(ISNUMBER(T4136),T4136,-99)</f>
        <v>19.6936100592672</v>
      </c>
      <c r="W4136" s="84" t="n">
        <f aca="false">IF(ISNUMBER(U4136),ABS(U4136),"")</f>
        <v>7.80638994073276</v>
      </c>
    </row>
    <row r="4137" customFormat="false" ht="15" hidden="false" customHeight="false" outlineLevel="0" collapsed="false">
      <c r="A4137" s="57" t="n">
        <v>38842</v>
      </c>
      <c r="B4137" s="56" t="n">
        <v>2006</v>
      </c>
      <c r="C4137" s="56" t="n">
        <v>5</v>
      </c>
      <c r="D4137" s="56" t="n">
        <v>5</v>
      </c>
      <c r="E4137" s="56" t="n">
        <v>21.5</v>
      </c>
      <c r="F4137" s="56" t="n">
        <v>0</v>
      </c>
      <c r="G4137" s="56" t="n">
        <v>11.1</v>
      </c>
      <c r="H4137" s="56" t="n">
        <v>0</v>
      </c>
      <c r="I4137" s="56" t="n">
        <v>16.3</v>
      </c>
      <c r="J4137" s="56" t="n">
        <v>0</v>
      </c>
      <c r="K4137" s="56" t="n">
        <v>1020</v>
      </c>
      <c r="L4137" s="56" t="n">
        <v>0</v>
      </c>
      <c r="M4137" s="56" t="n">
        <v>60</v>
      </c>
      <c r="N4137" s="56" t="n">
        <v>11.9</v>
      </c>
      <c r="O4137" s="56" t="n">
        <f aca="false">IF(D4137=1,"",E4136)</f>
        <v>27.5</v>
      </c>
      <c r="P4137" s="56" t="n">
        <f aca="false">IF(OR(D4137=1,K4136=""),"",K4136)</f>
        <v>1013.9</v>
      </c>
      <c r="Q4137" s="56" t="n">
        <f aca="false">IF(OR(F4137&lt;&gt;0,AND(I4137&lt;&gt;"",E4137&lt;I4137)),1,0)</f>
        <v>0</v>
      </c>
      <c r="R4137" s="56" t="n">
        <f aca="false">IF(AND(D4137&gt;1,Q4137=0,ISNUMBER(O4137),ISNUMBER(P4137)),IF(Q4136=0,1,0),0)</f>
        <v>1</v>
      </c>
      <c r="S4137" s="56" t="n">
        <f aca="false">R4137*(B4137&gt;=Train_Start)*(B4137&lt;=Train_End)</f>
        <v>0</v>
      </c>
      <c r="T4137" s="84" t="n">
        <f aca="false">IF(AND(ISNUMBER(O4137),ISNUMBER(P4137)),Coef_A+Coef_B1*O4137+Coef_B2*P4137,"")</f>
        <v>26.4247394000706</v>
      </c>
      <c r="U4137" s="84" t="n">
        <f aca="false">IF(AND(R4137=1,ISNUMBER(T4137)),E4137-T4137,"")</f>
        <v>-4.92473940007062</v>
      </c>
      <c r="V4137" s="84" t="n">
        <f aca="false">IF(ISNUMBER(T4137),T4137,-99)</f>
        <v>26.4247394000706</v>
      </c>
      <c r="W4137" s="84" t="n">
        <f aca="false">IF(ISNUMBER(U4137),ABS(U4137),"")</f>
        <v>4.92473940007062</v>
      </c>
    </row>
    <row r="4138" customFormat="false" ht="15" hidden="false" customHeight="false" outlineLevel="0" collapsed="false">
      <c r="A4138" s="57" t="n">
        <v>38843</v>
      </c>
      <c r="B4138" s="56" t="n">
        <v>2006</v>
      </c>
      <c r="C4138" s="56" t="n">
        <v>5</v>
      </c>
      <c r="D4138" s="56" t="n">
        <v>6</v>
      </c>
      <c r="E4138" s="56" t="n">
        <v>17</v>
      </c>
      <c r="F4138" s="56" t="n">
        <v>0</v>
      </c>
      <c r="G4138" s="56" t="n">
        <v>6.6</v>
      </c>
      <c r="H4138" s="56" t="n">
        <v>0</v>
      </c>
      <c r="I4138" s="56" t="n">
        <v>11.8</v>
      </c>
      <c r="J4138" s="56" t="n">
        <v>0</v>
      </c>
      <c r="K4138" s="56" t="n">
        <v>1020.6</v>
      </c>
      <c r="L4138" s="56" t="n">
        <v>0</v>
      </c>
      <c r="M4138" s="56" t="n">
        <v>75</v>
      </c>
      <c r="N4138" s="56" t="n">
        <v>1.7</v>
      </c>
      <c r="O4138" s="56" t="n">
        <f aca="false">IF(D4138=1,"",E4137)</f>
        <v>21.5</v>
      </c>
      <c r="P4138" s="56" t="n">
        <f aca="false">IF(OR(D4138=1,K4137=""),"",K4137)</f>
        <v>1020</v>
      </c>
      <c r="Q4138" s="56" t="n">
        <f aca="false">IF(OR(F4138&lt;&gt;0,AND(I4138&lt;&gt;"",E4138&lt;I4138)),1,0)</f>
        <v>0</v>
      </c>
      <c r="R4138" s="56" t="n">
        <f aca="false">IF(AND(D4138&gt;1,Q4138=0,ISNUMBER(O4138),ISNUMBER(P4138)),IF(Q4137=0,1,0),0)</f>
        <v>1</v>
      </c>
      <c r="S4138" s="56" t="n">
        <f aca="false">R4138*(B4138&gt;=Train_Start)*(B4138&lt;=Train_End)</f>
        <v>0</v>
      </c>
      <c r="T4138" s="84" t="n">
        <f aca="false">IF(AND(ISNUMBER(O4138),ISNUMBER(P4138)),Coef_A+Coef_B1*O4138+Coef_B2*P4138,"")</f>
        <v>21.700060599082</v>
      </c>
      <c r="U4138" s="84" t="n">
        <f aca="false">IF(AND(R4138=1,ISNUMBER(T4138)),E4138-T4138,"")</f>
        <v>-4.70006059908202</v>
      </c>
      <c r="V4138" s="84" t="n">
        <f aca="false">IF(ISNUMBER(T4138),T4138,-99)</f>
        <v>21.700060599082</v>
      </c>
      <c r="W4138" s="84" t="n">
        <f aca="false">IF(ISNUMBER(U4138),ABS(U4138),"")</f>
        <v>4.70006059908202</v>
      </c>
    </row>
    <row r="4139" customFormat="false" ht="15" hidden="false" customHeight="false" outlineLevel="0" collapsed="false">
      <c r="A4139" s="57" t="n">
        <v>38844</v>
      </c>
      <c r="B4139" s="56" t="n">
        <v>2006</v>
      </c>
      <c r="C4139" s="56" t="n">
        <v>5</v>
      </c>
      <c r="D4139" s="56" t="n">
        <v>7</v>
      </c>
      <c r="E4139" s="56" t="n">
        <v>18.5</v>
      </c>
      <c r="F4139" s="56" t="n">
        <v>0</v>
      </c>
      <c r="G4139" s="56" t="n">
        <v>11.3</v>
      </c>
      <c r="H4139" s="56" t="n">
        <v>0</v>
      </c>
      <c r="I4139" s="56" t="n">
        <v>14.9</v>
      </c>
      <c r="J4139" s="56" t="n">
        <v>0</v>
      </c>
      <c r="K4139" s="56" t="n">
        <v>1016.5</v>
      </c>
      <c r="L4139" s="56" t="n">
        <v>0</v>
      </c>
      <c r="M4139" s="56" t="n">
        <v>81</v>
      </c>
      <c r="N4139" s="56" t="n">
        <v>1.5</v>
      </c>
      <c r="O4139" s="56" t="n">
        <f aca="false">IF(D4139=1,"",E4138)</f>
        <v>17</v>
      </c>
      <c r="P4139" s="56" t="n">
        <f aca="false">IF(OR(D4139=1,K4138=""),"",K4138)</f>
        <v>1020.6</v>
      </c>
      <c r="Q4139" s="56" t="n">
        <f aca="false">IF(OR(F4139&lt;&gt;0,AND(I4139&lt;&gt;"",E4139&lt;I4139)),1,0)</f>
        <v>0</v>
      </c>
      <c r="R4139" s="56" t="n">
        <f aca="false">IF(AND(D4139&gt;1,Q4139=0,ISNUMBER(O4139),ISNUMBER(P4139)),IF(Q4138=0,1,0),0)</f>
        <v>1</v>
      </c>
      <c r="S4139" s="56" t="n">
        <f aca="false">R4139*(B4139&gt;=Train_Start)*(B4139&lt;=Train_End)</f>
        <v>0</v>
      </c>
      <c r="T4139" s="84" t="n">
        <f aca="false">IF(AND(ISNUMBER(O4139),ISNUMBER(P4139)),Coef_A+Coef_B1*O4139+Coef_B2*P4139,"")</f>
        <v>18.0318561671705</v>
      </c>
      <c r="U4139" s="84" t="n">
        <f aca="false">IF(AND(R4139=1,ISNUMBER(T4139)),E4139-T4139,"")</f>
        <v>0.468143832829547</v>
      </c>
      <c r="V4139" s="84" t="n">
        <f aca="false">IF(ISNUMBER(T4139),T4139,-99)</f>
        <v>18.0318561671705</v>
      </c>
      <c r="W4139" s="84" t="n">
        <f aca="false">IF(ISNUMBER(U4139),ABS(U4139),"")</f>
        <v>0.468143832829547</v>
      </c>
    </row>
    <row r="4140" customFormat="false" ht="15" hidden="false" customHeight="false" outlineLevel="0" collapsed="false">
      <c r="A4140" s="57" t="n">
        <v>38845</v>
      </c>
      <c r="B4140" s="56" t="n">
        <v>2006</v>
      </c>
      <c r="C4140" s="56" t="n">
        <v>5</v>
      </c>
      <c r="D4140" s="56" t="n">
        <v>8</v>
      </c>
      <c r="E4140" s="56" t="n">
        <v>15.2</v>
      </c>
      <c r="F4140" s="56" t="n">
        <v>0</v>
      </c>
      <c r="G4140" s="56" t="n">
        <v>11.2</v>
      </c>
      <c r="H4140" s="56" t="n">
        <v>0</v>
      </c>
      <c r="I4140" s="56" t="n">
        <v>13.2</v>
      </c>
      <c r="J4140" s="56" t="n">
        <v>0</v>
      </c>
      <c r="K4140" s="56" t="n">
        <v>1011.4</v>
      </c>
      <c r="L4140" s="56" t="n">
        <v>0</v>
      </c>
      <c r="M4140" s="56" t="n">
        <v>84</v>
      </c>
      <c r="N4140" s="56" t="n">
        <v>0.4</v>
      </c>
      <c r="O4140" s="56" t="n">
        <f aca="false">IF(D4140=1,"",E4139)</f>
        <v>18.5</v>
      </c>
      <c r="P4140" s="56" t="n">
        <f aca="false">IF(OR(D4140=1,K4139=""),"",K4139)</f>
        <v>1016.5</v>
      </c>
      <c r="Q4140" s="56" t="n">
        <f aca="false">IF(OR(F4140&lt;&gt;0,AND(I4140&lt;&gt;"",E4140&lt;I4140)),1,0)</f>
        <v>0</v>
      </c>
      <c r="R4140" s="56" t="n">
        <f aca="false">IF(AND(D4140&gt;1,Q4140=0,ISNUMBER(O4140),ISNUMBER(P4140)),IF(Q4139=0,1,0),0)</f>
        <v>1</v>
      </c>
      <c r="S4140" s="56" t="n">
        <f aca="false">R4140*(B4140&gt;=Train_Start)*(B4140&lt;=Train_End)</f>
        <v>0</v>
      </c>
      <c r="T4140" s="84" t="n">
        <f aca="false">IF(AND(ISNUMBER(O4140),ISNUMBER(P4140)),Coef_A+Coef_B1*O4140+Coef_B2*P4140,"")</f>
        <v>19.1322483887351</v>
      </c>
      <c r="U4140" s="84" t="n">
        <f aca="false">IF(AND(R4140=1,ISNUMBER(T4140)),E4140-T4140,"")</f>
        <v>-3.93224838873508</v>
      </c>
      <c r="V4140" s="84" t="n">
        <f aca="false">IF(ISNUMBER(T4140),T4140,-99)</f>
        <v>19.1322483887351</v>
      </c>
      <c r="W4140" s="84" t="n">
        <f aca="false">IF(ISNUMBER(U4140),ABS(U4140),"")</f>
        <v>3.93224838873508</v>
      </c>
    </row>
    <row r="4141" customFormat="false" ht="15" hidden="false" customHeight="false" outlineLevel="0" collapsed="false">
      <c r="A4141" s="57" t="n">
        <v>38846</v>
      </c>
      <c r="B4141" s="56" t="n">
        <v>2006</v>
      </c>
      <c r="C4141" s="56" t="n">
        <v>5</v>
      </c>
      <c r="D4141" s="56" t="n">
        <v>9</v>
      </c>
      <c r="E4141" s="56" t="n">
        <v>19.2</v>
      </c>
      <c r="F4141" s="56" t="n">
        <v>0</v>
      </c>
      <c r="G4141" s="56" t="n">
        <v>8.9</v>
      </c>
      <c r="H4141" s="56" t="n">
        <v>0</v>
      </c>
      <c r="I4141" s="56" t="n">
        <v>14</v>
      </c>
      <c r="J4141" s="56" t="n">
        <v>0</v>
      </c>
      <c r="K4141" s="56" t="n">
        <v>1017.2</v>
      </c>
      <c r="L4141" s="56" t="n">
        <v>0</v>
      </c>
      <c r="M4141" s="56" t="n">
        <v>80</v>
      </c>
      <c r="N4141" s="56" t="n">
        <v>2</v>
      </c>
      <c r="O4141" s="56" t="n">
        <f aca="false">IF(D4141=1,"",E4140)</f>
        <v>15.2</v>
      </c>
      <c r="P4141" s="56" t="n">
        <f aca="false">IF(OR(D4141=1,K4140=""),"",K4140)</f>
        <v>1011.4</v>
      </c>
      <c r="Q4141" s="56" t="n">
        <f aca="false">IF(OR(F4141&lt;&gt;0,AND(I4141&lt;&gt;"",E4141&lt;I4141)),1,0)</f>
        <v>0</v>
      </c>
      <c r="R4141" s="56" t="n">
        <f aca="false">IF(AND(D4141&gt;1,Q4141=0,ISNUMBER(O4141),ISNUMBER(P4141)),IF(Q4140=0,1,0),0)</f>
        <v>1</v>
      </c>
      <c r="S4141" s="56" t="n">
        <f aca="false">R4141*(B4141&gt;=Train_Start)*(B4141&lt;=Train_End)</f>
        <v>0</v>
      </c>
      <c r="T4141" s="84" t="n">
        <f aca="false">IF(AND(ISNUMBER(O4141),ISNUMBER(P4141)),Coef_A+Coef_B1*O4141+Coef_B2*P4141,"")</f>
        <v>16.268442589061</v>
      </c>
      <c r="U4141" s="84" t="n">
        <f aca="false">IF(AND(R4141=1,ISNUMBER(T4141)),E4141-T4141,"")</f>
        <v>2.93155741093904</v>
      </c>
      <c r="V4141" s="84" t="n">
        <f aca="false">IF(ISNUMBER(T4141),T4141,-99)</f>
        <v>16.268442589061</v>
      </c>
      <c r="W4141" s="84" t="n">
        <f aca="false">IF(ISNUMBER(U4141),ABS(U4141),"")</f>
        <v>2.93155741093904</v>
      </c>
    </row>
    <row r="4142" customFormat="false" ht="15" hidden="false" customHeight="false" outlineLevel="0" collapsed="false">
      <c r="A4142" s="57" t="n">
        <v>38847</v>
      </c>
      <c r="B4142" s="56" t="n">
        <v>2006</v>
      </c>
      <c r="C4142" s="56" t="n">
        <v>5</v>
      </c>
      <c r="D4142" s="56" t="n">
        <v>10</v>
      </c>
      <c r="E4142" s="56" t="n">
        <v>22.5</v>
      </c>
      <c r="F4142" s="56" t="n">
        <v>0</v>
      </c>
      <c r="G4142" s="56" t="n">
        <v>9.6</v>
      </c>
      <c r="H4142" s="56" t="n">
        <v>0</v>
      </c>
      <c r="I4142" s="56" t="n">
        <v>16</v>
      </c>
      <c r="J4142" s="56" t="n">
        <v>0</v>
      </c>
      <c r="K4142" s="56" t="n">
        <v>1018.9</v>
      </c>
      <c r="L4142" s="56" t="n">
        <v>0</v>
      </c>
      <c r="M4142" s="56" t="n">
        <v>71</v>
      </c>
      <c r="N4142" s="56" t="n">
        <v>5.4</v>
      </c>
      <c r="O4142" s="56" t="n">
        <f aca="false">IF(D4142=1,"",E4141)</f>
        <v>19.2</v>
      </c>
      <c r="P4142" s="56" t="n">
        <f aca="false">IF(OR(D4142=1,K4141=""),"",K4141)</f>
        <v>1017.2</v>
      </c>
      <c r="Q4142" s="56" t="n">
        <f aca="false">IF(OR(F4142&lt;&gt;0,AND(I4142&lt;&gt;"",E4142&lt;I4142)),1,0)</f>
        <v>0</v>
      </c>
      <c r="R4142" s="56" t="n">
        <f aca="false">IF(AND(D4142&gt;1,Q4142=0,ISNUMBER(O4142),ISNUMBER(P4142)),IF(Q4141=0,1,0),0)</f>
        <v>1</v>
      </c>
      <c r="S4142" s="56" t="n">
        <f aca="false">R4142*(B4142&gt;=Train_Start)*(B4142&lt;=Train_End)</f>
        <v>0</v>
      </c>
      <c r="T4142" s="84" t="n">
        <f aca="false">IF(AND(ISNUMBER(O4142),ISNUMBER(P4142)),Coef_A+Coef_B1*O4142+Coef_B2*P4142,"")</f>
        <v>19.7277447501087</v>
      </c>
      <c r="U4142" s="84" t="n">
        <f aca="false">IF(AND(R4142=1,ISNUMBER(T4142)),E4142-T4142,"")</f>
        <v>2.77225524989127</v>
      </c>
      <c r="V4142" s="84" t="n">
        <f aca="false">IF(ISNUMBER(T4142),T4142,-99)</f>
        <v>19.7277447501087</v>
      </c>
      <c r="W4142" s="84" t="n">
        <f aca="false">IF(ISNUMBER(U4142),ABS(U4142),"")</f>
        <v>2.77225524989127</v>
      </c>
    </row>
    <row r="4143" customFormat="false" ht="15" hidden="false" customHeight="false" outlineLevel="0" collapsed="false">
      <c r="A4143" s="57" t="n">
        <v>38848</v>
      </c>
      <c r="B4143" s="56" t="n">
        <v>2006</v>
      </c>
      <c r="C4143" s="56" t="n">
        <v>5</v>
      </c>
      <c r="D4143" s="56" t="n">
        <v>11</v>
      </c>
      <c r="E4143" s="56" t="n">
        <v>23.8</v>
      </c>
      <c r="F4143" s="56" t="n">
        <v>0</v>
      </c>
      <c r="G4143" s="56" t="n">
        <v>9.3</v>
      </c>
      <c r="H4143" s="56" t="n">
        <v>0</v>
      </c>
      <c r="I4143" s="56" t="n">
        <v>16.6</v>
      </c>
      <c r="J4143" s="56" t="n">
        <v>0</v>
      </c>
      <c r="K4143" s="56" t="n">
        <v>1018.6</v>
      </c>
      <c r="L4143" s="56" t="n">
        <v>0</v>
      </c>
      <c r="M4143" s="56" t="n">
        <v>54</v>
      </c>
      <c r="N4143" s="56" t="n">
        <v>13.4</v>
      </c>
      <c r="O4143" s="56" t="n">
        <f aca="false">IF(D4143=1,"",E4142)</f>
        <v>22.5</v>
      </c>
      <c r="P4143" s="56" t="n">
        <f aca="false">IF(OR(D4143=1,K4142=""),"",K4142)</f>
        <v>1018.9</v>
      </c>
      <c r="Q4143" s="56" t="n">
        <f aca="false">IF(OR(F4143&lt;&gt;0,AND(I4143&lt;&gt;"",E4143&lt;I4143)),1,0)</f>
        <v>0</v>
      </c>
      <c r="R4143" s="56" t="n">
        <f aca="false">IF(AND(D4143&gt;1,Q4143=0,ISNUMBER(O4143),ISNUMBER(P4143)),IF(Q4142=0,1,0),0)</f>
        <v>1</v>
      </c>
      <c r="S4143" s="56" t="n">
        <f aca="false">R4143*(B4143&gt;=Train_Start)*(B4143&lt;=Train_End)</f>
        <v>0</v>
      </c>
      <c r="T4143" s="84" t="n">
        <f aca="false">IF(AND(ISNUMBER(O4143),ISNUMBER(P4143)),Coef_A+Coef_B1*O4143+Coef_B2*P4143,"")</f>
        <v>22.4848929080273</v>
      </c>
      <c r="U4143" s="84" t="n">
        <f aca="false">IF(AND(R4143=1,ISNUMBER(T4143)),E4143-T4143,"")</f>
        <v>1.31510709197271</v>
      </c>
      <c r="V4143" s="84" t="n">
        <f aca="false">IF(ISNUMBER(T4143),T4143,-99)</f>
        <v>22.4848929080273</v>
      </c>
      <c r="W4143" s="84" t="n">
        <f aca="false">IF(ISNUMBER(U4143),ABS(U4143),"")</f>
        <v>1.31510709197271</v>
      </c>
    </row>
    <row r="4144" customFormat="false" ht="15" hidden="false" customHeight="false" outlineLevel="0" collapsed="false">
      <c r="A4144" s="57" t="n">
        <v>38849</v>
      </c>
      <c r="B4144" s="56" t="n">
        <v>2006</v>
      </c>
      <c r="C4144" s="56" t="n">
        <v>5</v>
      </c>
      <c r="D4144" s="56" t="n">
        <v>12</v>
      </c>
      <c r="E4144" s="56" t="n">
        <v>24.2</v>
      </c>
      <c r="F4144" s="56" t="n">
        <v>0</v>
      </c>
      <c r="G4144" s="56" t="n">
        <v>10</v>
      </c>
      <c r="H4144" s="56" t="n">
        <v>0</v>
      </c>
      <c r="I4144" s="56" t="n">
        <v>17.1</v>
      </c>
      <c r="J4144" s="56" t="n">
        <v>0</v>
      </c>
      <c r="K4144" s="56" t="n">
        <v>1015.5</v>
      </c>
      <c r="L4144" s="56" t="n">
        <v>0</v>
      </c>
      <c r="M4144" s="56" t="n">
        <v>60</v>
      </c>
      <c r="N4144" s="56" t="n">
        <v>8.9</v>
      </c>
      <c r="O4144" s="56" t="n">
        <f aca="false">IF(D4144=1,"",E4143)</f>
        <v>23.8</v>
      </c>
      <c r="P4144" s="56" t="n">
        <f aca="false">IF(OR(D4144=1,K4143=""),"",K4143)</f>
        <v>1018.6</v>
      </c>
      <c r="Q4144" s="56" t="n">
        <f aca="false">IF(OR(F4144&lt;&gt;0,AND(I4144&lt;&gt;"",E4144&lt;I4144)),1,0)</f>
        <v>0</v>
      </c>
      <c r="R4144" s="56" t="n">
        <f aca="false">IF(AND(D4144&gt;1,Q4144=0,ISNUMBER(O4144),ISNUMBER(P4144)),IF(Q4143=0,1,0),0)</f>
        <v>1</v>
      </c>
      <c r="S4144" s="56" t="n">
        <f aca="false">R4144*(B4144&gt;=Train_Start)*(B4144&lt;=Train_End)</f>
        <v>0</v>
      </c>
      <c r="T4144" s="84" t="n">
        <f aca="false">IF(AND(ISNUMBER(O4144),ISNUMBER(P4144)),Coef_A+Coef_B1*O4144+Coef_B2*P4144,"")</f>
        <v>23.5406228905925</v>
      </c>
      <c r="U4144" s="84" t="n">
        <f aca="false">IF(AND(R4144=1,ISNUMBER(T4144)),E4144-T4144,"")</f>
        <v>0.659377109407455</v>
      </c>
      <c r="V4144" s="84" t="n">
        <f aca="false">IF(ISNUMBER(T4144),T4144,-99)</f>
        <v>23.5406228905925</v>
      </c>
      <c r="W4144" s="84" t="n">
        <f aca="false">IF(ISNUMBER(U4144),ABS(U4144),"")</f>
        <v>0.659377109407455</v>
      </c>
    </row>
    <row r="4145" customFormat="false" ht="15" hidden="false" customHeight="false" outlineLevel="0" collapsed="false">
      <c r="A4145" s="57" t="n">
        <v>38850</v>
      </c>
      <c r="B4145" s="56" t="n">
        <v>2006</v>
      </c>
      <c r="C4145" s="56" t="n">
        <v>5</v>
      </c>
      <c r="D4145" s="56" t="n">
        <v>13</v>
      </c>
      <c r="E4145" s="56" t="n">
        <v>18.2</v>
      </c>
      <c r="F4145" s="56" t="n">
        <v>0</v>
      </c>
      <c r="G4145" s="56" t="n">
        <v>11.3</v>
      </c>
      <c r="H4145" s="56" t="n">
        <v>0</v>
      </c>
      <c r="I4145" s="56" t="n">
        <v>14.8</v>
      </c>
      <c r="J4145" s="56" t="n">
        <v>0</v>
      </c>
      <c r="K4145" s="56" t="n">
        <v>1016.3</v>
      </c>
      <c r="L4145" s="56" t="n">
        <v>0</v>
      </c>
      <c r="M4145" s="56" t="n">
        <v>79</v>
      </c>
      <c r="N4145" s="56" t="n">
        <v>2.3</v>
      </c>
      <c r="O4145" s="56" t="n">
        <f aca="false">IF(D4145=1,"",E4144)</f>
        <v>24.2</v>
      </c>
      <c r="P4145" s="56" t="n">
        <f aca="false">IF(OR(D4145=1,K4144=""),"",K4144)</f>
        <v>1015.5</v>
      </c>
      <c r="Q4145" s="56" t="n">
        <f aca="false">IF(OR(F4145&lt;&gt;0,AND(I4145&lt;&gt;"",E4145&lt;I4145)),1,0)</f>
        <v>0</v>
      </c>
      <c r="R4145" s="56" t="n">
        <f aca="false">IF(AND(D4145&gt;1,Q4145=0,ISNUMBER(O4145),ISNUMBER(P4145)),IF(Q4144=0,1,0),0)</f>
        <v>1</v>
      </c>
      <c r="S4145" s="56" t="n">
        <f aca="false">R4145*(B4145&gt;=Train_Start)*(B4145&lt;=Train_End)</f>
        <v>0</v>
      </c>
      <c r="T4145" s="84" t="n">
        <f aca="false">IF(AND(ISNUMBER(O4145),ISNUMBER(P4145)),Coef_A+Coef_B1*O4145+Coef_B2*P4145,"")</f>
        <v>23.7711118944442</v>
      </c>
      <c r="U4145" s="84" t="n">
        <f aca="false">IF(AND(R4145=1,ISNUMBER(T4145)),E4145-T4145,"")</f>
        <v>-5.57111189444424</v>
      </c>
      <c r="V4145" s="84" t="n">
        <f aca="false">IF(ISNUMBER(T4145),T4145,-99)</f>
        <v>23.7711118944442</v>
      </c>
      <c r="W4145" s="84" t="n">
        <f aca="false">IF(ISNUMBER(U4145),ABS(U4145),"")</f>
        <v>5.57111189444424</v>
      </c>
    </row>
    <row r="4146" customFormat="false" ht="15" hidden="false" customHeight="false" outlineLevel="0" collapsed="false">
      <c r="A4146" s="57" t="n">
        <v>38851</v>
      </c>
      <c r="B4146" s="56" t="n">
        <v>2006</v>
      </c>
      <c r="C4146" s="56" t="n">
        <v>5</v>
      </c>
      <c r="D4146" s="56" t="n">
        <v>14</v>
      </c>
      <c r="E4146" s="56" t="n">
        <v>16.3</v>
      </c>
      <c r="F4146" s="56" t="n">
        <v>0</v>
      </c>
      <c r="G4146" s="56" t="n">
        <v>11</v>
      </c>
      <c r="H4146" s="56" t="n">
        <v>0</v>
      </c>
      <c r="I4146" s="56" t="n">
        <v>13.6</v>
      </c>
      <c r="J4146" s="56" t="n">
        <v>0</v>
      </c>
      <c r="K4146" s="56" t="n">
        <v>1021.5</v>
      </c>
      <c r="L4146" s="56" t="n">
        <v>0</v>
      </c>
      <c r="M4146" s="56" t="n">
        <v>81</v>
      </c>
      <c r="N4146" s="56" t="n">
        <v>0.1</v>
      </c>
      <c r="O4146" s="56" t="n">
        <f aca="false">IF(D4146=1,"",E4145)</f>
        <v>18.2</v>
      </c>
      <c r="P4146" s="56" t="n">
        <f aca="false">IF(OR(D4146=1,K4145=""),"",K4145)</f>
        <v>1016.3</v>
      </c>
      <c r="Q4146" s="56" t="n">
        <f aca="false">IF(OR(F4146&lt;&gt;0,AND(I4146&lt;&gt;"",E4146&lt;I4146)),1,0)</f>
        <v>0</v>
      </c>
      <c r="R4146" s="56" t="n">
        <f aca="false">IF(AND(D4146&gt;1,Q4146=0,ISNUMBER(O4146),ISNUMBER(P4146)),IF(Q4145=0,1,0),0)</f>
        <v>1</v>
      </c>
      <c r="S4146" s="56" t="n">
        <f aca="false">R4146*(B4146&gt;=Train_Start)*(B4146&lt;=Train_End)</f>
        <v>0</v>
      </c>
      <c r="T4146" s="84" t="n">
        <f aca="false">IF(AND(ISNUMBER(O4146),ISNUMBER(P4146)),Coef_A+Coef_B1*O4146+Coef_B2*P4146,"")</f>
        <v>18.8801726518955</v>
      </c>
      <c r="U4146" s="84" t="n">
        <f aca="false">IF(AND(R4146=1,ISNUMBER(T4146)),E4146-T4146,"")</f>
        <v>-2.58017265189548</v>
      </c>
      <c r="V4146" s="84" t="n">
        <f aca="false">IF(ISNUMBER(T4146),T4146,-99)</f>
        <v>18.8801726518955</v>
      </c>
      <c r="W4146" s="84" t="n">
        <f aca="false">IF(ISNUMBER(U4146),ABS(U4146),"")</f>
        <v>2.58017265189548</v>
      </c>
    </row>
    <row r="4147" customFormat="false" ht="15" hidden="false" customHeight="false" outlineLevel="0" collapsed="false">
      <c r="A4147" s="57" t="n">
        <v>38852</v>
      </c>
      <c r="B4147" s="56" t="n">
        <v>2006</v>
      </c>
      <c r="C4147" s="56" t="n">
        <v>5</v>
      </c>
      <c r="D4147" s="56" t="n">
        <v>15</v>
      </c>
      <c r="E4147" s="56" t="n">
        <v>18.2</v>
      </c>
      <c r="F4147" s="56" t="n">
        <v>0</v>
      </c>
      <c r="G4147" s="56" t="n">
        <v>10.5</v>
      </c>
      <c r="H4147" s="56" t="n">
        <v>0</v>
      </c>
      <c r="I4147" s="56" t="n">
        <v>14.4</v>
      </c>
      <c r="J4147" s="56" t="n">
        <v>0</v>
      </c>
      <c r="K4147" s="56" t="n">
        <v>1013.4</v>
      </c>
      <c r="L4147" s="56" t="n">
        <v>0</v>
      </c>
      <c r="M4147" s="56" t="n">
        <v>82</v>
      </c>
      <c r="N4147" s="56" t="n">
        <v>0.1</v>
      </c>
      <c r="O4147" s="56" t="n">
        <f aca="false">IF(D4147=1,"",E4146)</f>
        <v>16.3</v>
      </c>
      <c r="P4147" s="56" t="n">
        <f aca="false">IF(OR(D4147=1,K4146=""),"",K4146)</f>
        <v>1021.5</v>
      </c>
      <c r="Q4147" s="56" t="n">
        <f aca="false">IF(OR(F4147&lt;&gt;0,AND(I4147&lt;&gt;"",E4147&lt;I4147)),1,0)</f>
        <v>0</v>
      </c>
      <c r="R4147" s="56" t="n">
        <f aca="false">IF(AND(D4147&gt;1,Q4147=0,ISNUMBER(O4147),ISNUMBER(P4147)),IF(Q4146=0,1,0),0)</f>
        <v>1</v>
      </c>
      <c r="S4147" s="56" t="n">
        <f aca="false">R4147*(B4147&gt;=Train_Start)*(B4147&lt;=Train_End)</f>
        <v>0</v>
      </c>
      <c r="T4147" s="84" t="n">
        <f aca="false">IF(AND(ISNUMBER(O4147),ISNUMBER(P4147)),Coef_A+Coef_B1*O4147+Coef_B2*P4147,"")</f>
        <v>17.4865516372112</v>
      </c>
      <c r="U4147" s="84" t="n">
        <f aca="false">IF(AND(R4147=1,ISNUMBER(T4147)),E4147-T4147,"")</f>
        <v>0.713448362788814</v>
      </c>
      <c r="V4147" s="84" t="n">
        <f aca="false">IF(ISNUMBER(T4147),T4147,-99)</f>
        <v>17.4865516372112</v>
      </c>
      <c r="W4147" s="84" t="n">
        <f aca="false">IF(ISNUMBER(U4147),ABS(U4147),"")</f>
        <v>0.713448362788814</v>
      </c>
    </row>
    <row r="4148" customFormat="false" ht="15" hidden="false" customHeight="false" outlineLevel="0" collapsed="false">
      <c r="A4148" s="57" t="n">
        <v>38853</v>
      </c>
      <c r="B4148" s="56" t="n">
        <v>2006</v>
      </c>
      <c r="C4148" s="56" t="n">
        <v>5</v>
      </c>
      <c r="D4148" s="56" t="n">
        <v>16</v>
      </c>
      <c r="E4148" s="56" t="n">
        <v>17.3</v>
      </c>
      <c r="F4148" s="56" t="n">
        <v>0</v>
      </c>
      <c r="G4148" s="56" t="n">
        <v>11.9</v>
      </c>
      <c r="H4148" s="56" t="n">
        <v>0</v>
      </c>
      <c r="I4148" s="56" t="n">
        <v>14.6</v>
      </c>
      <c r="J4148" s="56" t="n">
        <v>0</v>
      </c>
      <c r="K4148" s="56" t="n">
        <v>1015.4</v>
      </c>
      <c r="L4148" s="56" t="n">
        <v>0</v>
      </c>
      <c r="M4148" s="56" t="n">
        <v>79</v>
      </c>
      <c r="N4148" s="56" t="n">
        <v>1.9</v>
      </c>
      <c r="O4148" s="56" t="n">
        <f aca="false">IF(D4148=1,"",E4147)</f>
        <v>18.2</v>
      </c>
      <c r="P4148" s="56" t="n">
        <f aca="false">IF(OR(D4148=1,K4147=""),"",K4147)</f>
        <v>1013.4</v>
      </c>
      <c r="Q4148" s="56" t="n">
        <f aca="false">IF(OR(F4148&lt;&gt;0,AND(I4148&lt;&gt;"",E4148&lt;I4148)),1,0)</f>
        <v>0</v>
      </c>
      <c r="R4148" s="56" t="n">
        <f aca="false">IF(AND(D4148&gt;1,Q4148=0,ISNUMBER(O4148),ISNUMBER(P4148)),IF(Q4147=0,1,0),0)</f>
        <v>1</v>
      </c>
      <c r="S4148" s="56" t="n">
        <f aca="false">R4148*(B4148&gt;=Train_Start)*(B4148&lt;=Train_End)</f>
        <v>0</v>
      </c>
      <c r="T4148" s="84" t="n">
        <f aca="false">IF(AND(ISNUMBER(O4148),ISNUMBER(P4148)),Coef_A+Coef_B1*O4148+Coef_B2*P4148,"")</f>
        <v>18.7891999574569</v>
      </c>
      <c r="U4148" s="84" t="n">
        <f aca="false">IF(AND(R4148=1,ISNUMBER(T4148)),E4148-T4148,"")</f>
        <v>-1.48919995745691</v>
      </c>
      <c r="V4148" s="84" t="n">
        <f aca="false">IF(ISNUMBER(T4148),T4148,-99)</f>
        <v>18.7891999574569</v>
      </c>
      <c r="W4148" s="84" t="n">
        <f aca="false">IF(ISNUMBER(U4148),ABS(U4148),"")</f>
        <v>1.48919995745691</v>
      </c>
    </row>
    <row r="4149" customFormat="false" ht="15" hidden="false" customHeight="false" outlineLevel="0" collapsed="false">
      <c r="A4149" s="57" t="n">
        <v>38854</v>
      </c>
      <c r="B4149" s="56" t="n">
        <v>2006</v>
      </c>
      <c r="C4149" s="56" t="n">
        <v>5</v>
      </c>
      <c r="D4149" s="56" t="n">
        <v>17</v>
      </c>
      <c r="E4149" s="56" t="n">
        <v>17.2</v>
      </c>
      <c r="F4149" s="56" t="n">
        <v>0</v>
      </c>
      <c r="G4149" s="56" t="n">
        <v>10.2</v>
      </c>
      <c r="H4149" s="56" t="n">
        <v>0</v>
      </c>
      <c r="I4149" s="56" t="n">
        <v>13.7</v>
      </c>
      <c r="J4149" s="56" t="n">
        <v>0</v>
      </c>
      <c r="K4149" s="56" t="n">
        <v>1014.4</v>
      </c>
      <c r="L4149" s="56" t="n">
        <v>0</v>
      </c>
      <c r="M4149" s="56" t="n">
        <v>89</v>
      </c>
      <c r="N4149" s="56" t="n">
        <v>0.5</v>
      </c>
      <c r="O4149" s="56" t="n">
        <f aca="false">IF(D4149=1,"",E4148)</f>
        <v>17.3</v>
      </c>
      <c r="P4149" s="56" t="n">
        <f aca="false">IF(OR(D4149=1,K4148=""),"",K4148)</f>
        <v>1015.4</v>
      </c>
      <c r="Q4149" s="56" t="n">
        <f aca="false">IF(OR(F4149&lt;&gt;0,AND(I4149&lt;&gt;"",E4149&lt;I4149)),1,0)</f>
        <v>0</v>
      </c>
      <c r="R4149" s="56" t="n">
        <f aca="false">IF(AND(D4149&gt;1,Q4149=0,ISNUMBER(O4149),ISNUMBER(P4149)),IF(Q4148=0,1,0),0)</f>
        <v>1</v>
      </c>
      <c r="S4149" s="56" t="n">
        <f aca="false">R4149*(B4149&gt;=Train_Start)*(B4149&lt;=Train_End)</f>
        <v>0</v>
      </c>
      <c r="T4149" s="84" t="n">
        <f aca="false">IF(AND(ISNUMBER(O4149),ISNUMBER(P4149)),Coef_A+Coef_B1*O4149+Coef_B2*P4149,"")</f>
        <v>18.1145344729865</v>
      </c>
      <c r="U4149" s="84" t="n">
        <f aca="false">IF(AND(R4149=1,ISNUMBER(T4149)),E4149-T4149,"")</f>
        <v>-0.914534472986507</v>
      </c>
      <c r="V4149" s="84" t="n">
        <f aca="false">IF(ISNUMBER(T4149),T4149,-99)</f>
        <v>18.1145344729865</v>
      </c>
      <c r="W4149" s="84" t="n">
        <f aca="false">IF(ISNUMBER(U4149),ABS(U4149),"")</f>
        <v>0.914534472986507</v>
      </c>
    </row>
    <row r="4150" customFormat="false" ht="15" hidden="false" customHeight="false" outlineLevel="0" collapsed="false">
      <c r="A4150" s="57" t="n">
        <v>38855</v>
      </c>
      <c r="B4150" s="56" t="n">
        <v>2006</v>
      </c>
      <c r="C4150" s="56" t="n">
        <v>5</v>
      </c>
      <c r="D4150" s="56" t="n">
        <v>18</v>
      </c>
      <c r="E4150" s="56" t="n">
        <v>18.4</v>
      </c>
      <c r="F4150" s="56" t="n">
        <v>0</v>
      </c>
      <c r="G4150" s="56" t="n">
        <v>11.8</v>
      </c>
      <c r="H4150" s="56" t="n">
        <v>0</v>
      </c>
      <c r="I4150" s="56" t="n">
        <v>15.1</v>
      </c>
      <c r="J4150" s="56" t="n">
        <v>0</v>
      </c>
      <c r="K4150" s="56" t="n">
        <v>1006.7</v>
      </c>
      <c r="L4150" s="56" t="n">
        <v>0</v>
      </c>
      <c r="M4150" s="56" t="n">
        <v>74</v>
      </c>
      <c r="N4150" s="56" t="n">
        <v>3.6</v>
      </c>
      <c r="O4150" s="56" t="n">
        <f aca="false">IF(D4150=1,"",E4149)</f>
        <v>17.2</v>
      </c>
      <c r="P4150" s="56" t="n">
        <f aca="false">IF(OR(D4150=1,K4149=""),"",K4149)</f>
        <v>1014.4</v>
      </c>
      <c r="Q4150" s="56" t="n">
        <f aca="false">IF(OR(F4150&lt;&gt;0,AND(I4150&lt;&gt;"",E4150&lt;I4150)),1,0)</f>
        <v>0</v>
      </c>
      <c r="R4150" s="56" t="n">
        <f aca="false">IF(AND(D4150&gt;1,Q4150=0,ISNUMBER(O4150),ISNUMBER(P4150)),IF(Q4149=0,1,0),0)</f>
        <v>1</v>
      </c>
      <c r="S4150" s="56" t="n">
        <f aca="false">R4150*(B4150&gt;=Train_Start)*(B4150&lt;=Train_End)</f>
        <v>0</v>
      </c>
      <c r="T4150" s="84" t="n">
        <f aca="false">IF(AND(ISNUMBER(O4150),ISNUMBER(P4150)),Coef_A+Coef_B1*O4150+Coef_B2*P4150,"")</f>
        <v>18.0012306590482</v>
      </c>
      <c r="U4150" s="84" t="n">
        <f aca="false">IF(AND(R4150=1,ISNUMBER(T4150)),E4150-T4150,"")</f>
        <v>0.398769340951752</v>
      </c>
      <c r="V4150" s="84" t="n">
        <f aca="false">IF(ISNUMBER(T4150),T4150,-99)</f>
        <v>18.0012306590482</v>
      </c>
      <c r="W4150" s="84" t="n">
        <f aca="false">IF(ISNUMBER(U4150),ABS(U4150),"")</f>
        <v>0.398769340951752</v>
      </c>
    </row>
    <row r="4151" customFormat="false" ht="15" hidden="false" customHeight="false" outlineLevel="0" collapsed="false">
      <c r="A4151" s="57" t="n">
        <v>38856</v>
      </c>
      <c r="B4151" s="56" t="n">
        <v>2006</v>
      </c>
      <c r="C4151" s="56" t="n">
        <v>5</v>
      </c>
      <c r="D4151" s="56" t="n">
        <v>19</v>
      </c>
      <c r="E4151" s="56" t="n">
        <v>17.6</v>
      </c>
      <c r="F4151" s="56" t="n">
        <v>0</v>
      </c>
      <c r="G4151" s="56" t="n">
        <v>11.1</v>
      </c>
      <c r="H4151" s="56" t="n">
        <v>0</v>
      </c>
      <c r="I4151" s="56" t="n">
        <v>14.4</v>
      </c>
      <c r="J4151" s="56" t="n">
        <v>0</v>
      </c>
      <c r="K4151" s="56" t="n">
        <v>1002</v>
      </c>
      <c r="L4151" s="56" t="n">
        <v>0</v>
      </c>
      <c r="M4151" s="56" t="n">
        <v>80</v>
      </c>
      <c r="N4151" s="56" t="n">
        <v>1.7</v>
      </c>
      <c r="O4151" s="56" t="n">
        <f aca="false">IF(D4151=1,"",E4150)</f>
        <v>18.4</v>
      </c>
      <c r="P4151" s="56" t="n">
        <f aca="false">IF(OR(D4151=1,K4150=""),"",K4150)</f>
        <v>1006.7</v>
      </c>
      <c r="Q4151" s="56" t="n">
        <f aca="false">IF(OR(F4151&lt;&gt;0,AND(I4151&lt;&gt;"",E4151&lt;I4151)),1,0)</f>
        <v>0</v>
      </c>
      <c r="R4151" s="56" t="n">
        <f aca="false">IF(AND(D4151&gt;1,Q4151=0,ISNUMBER(O4151),ISNUMBER(P4151)),IF(Q4150=0,1,0),0)</f>
        <v>1</v>
      </c>
      <c r="S4151" s="56" t="n">
        <f aca="false">R4151*(B4151&gt;=Train_Start)*(B4151&lt;=Train_End)</f>
        <v>0</v>
      </c>
      <c r="T4151" s="84" t="n">
        <f aca="false">IF(AND(ISNUMBER(O4151),ISNUMBER(P4151)),Coef_A+Coef_B1*O4151+Coef_B2*P4151,"")</f>
        <v>18.7428895020177</v>
      </c>
      <c r="U4151" s="84" t="n">
        <f aca="false">IF(AND(R4151=1,ISNUMBER(T4151)),E4151-T4151,"")</f>
        <v>-1.14288950201772</v>
      </c>
      <c r="V4151" s="84" t="n">
        <f aca="false">IF(ISNUMBER(T4151),T4151,-99)</f>
        <v>18.7428895020177</v>
      </c>
      <c r="W4151" s="84" t="n">
        <f aca="false">IF(ISNUMBER(U4151),ABS(U4151),"")</f>
        <v>1.14288950201772</v>
      </c>
    </row>
    <row r="4152" customFormat="false" ht="15" hidden="false" customHeight="false" outlineLevel="0" collapsed="false">
      <c r="A4152" s="57" t="n">
        <v>38857</v>
      </c>
      <c r="B4152" s="56" t="n">
        <v>2006</v>
      </c>
      <c r="C4152" s="56" t="n">
        <v>5</v>
      </c>
      <c r="D4152" s="56" t="n">
        <v>20</v>
      </c>
      <c r="E4152" s="56" t="n">
        <v>15.8</v>
      </c>
      <c r="F4152" s="56" t="n">
        <v>0</v>
      </c>
      <c r="G4152" s="56" t="n">
        <v>11.1</v>
      </c>
      <c r="H4152" s="56" t="n">
        <v>0</v>
      </c>
      <c r="I4152" s="56" t="n">
        <v>13.4</v>
      </c>
      <c r="J4152" s="56" t="n">
        <v>0</v>
      </c>
      <c r="K4152" s="56" t="n">
        <v>992.7</v>
      </c>
      <c r="L4152" s="56" t="n">
        <v>0</v>
      </c>
      <c r="M4152" s="56" t="n">
        <v>80</v>
      </c>
      <c r="N4152" s="56" t="n">
        <v>3.8</v>
      </c>
      <c r="O4152" s="56" t="n">
        <f aca="false">IF(D4152=1,"",E4151)</f>
        <v>17.6</v>
      </c>
      <c r="P4152" s="56" t="n">
        <f aca="false">IF(OR(D4152=1,K4151=""),"",K4151)</f>
        <v>1002</v>
      </c>
      <c r="Q4152" s="56" t="n">
        <f aca="false">IF(OR(F4152&lt;&gt;0,AND(I4152&lt;&gt;"",E4152&lt;I4152)),1,0)</f>
        <v>0</v>
      </c>
      <c r="R4152" s="56" t="n">
        <f aca="false">IF(AND(D4152&gt;1,Q4152=0,ISNUMBER(O4152),ISNUMBER(P4152)),IF(Q4151=0,1,0),0)</f>
        <v>1</v>
      </c>
      <c r="S4152" s="56" t="n">
        <f aca="false">R4152*(B4152&gt;=Train_Start)*(B4152&lt;=Train_End)</f>
        <v>0</v>
      </c>
      <c r="T4152" s="84" t="n">
        <f aca="false">IF(AND(ISNUMBER(O4152),ISNUMBER(P4152)),Coef_A+Coef_B1*O4152+Coef_B2*P4152,"")</f>
        <v>17.9399796428038</v>
      </c>
      <c r="U4152" s="84" t="n">
        <f aca="false">IF(AND(R4152=1,ISNUMBER(T4152)),E4152-T4152,"")</f>
        <v>-2.13997964280384</v>
      </c>
      <c r="V4152" s="84" t="n">
        <f aca="false">IF(ISNUMBER(T4152),T4152,-99)</f>
        <v>17.9399796428038</v>
      </c>
      <c r="W4152" s="84" t="n">
        <f aca="false">IF(ISNUMBER(U4152),ABS(U4152),"")</f>
        <v>2.13997964280384</v>
      </c>
    </row>
    <row r="4153" customFormat="false" ht="15" hidden="false" customHeight="false" outlineLevel="0" collapsed="false">
      <c r="A4153" s="57" t="n">
        <v>38858</v>
      </c>
      <c r="B4153" s="56" t="n">
        <v>2006</v>
      </c>
      <c r="C4153" s="56" t="n">
        <v>5</v>
      </c>
      <c r="D4153" s="56" t="n">
        <v>21</v>
      </c>
      <c r="E4153" s="56" t="n">
        <v>14.9</v>
      </c>
      <c r="F4153" s="56" t="n">
        <v>0</v>
      </c>
      <c r="G4153" s="56" t="n">
        <v>11.1</v>
      </c>
      <c r="H4153" s="56" t="n">
        <v>0</v>
      </c>
      <c r="I4153" s="56" t="n">
        <v>13</v>
      </c>
      <c r="J4153" s="56" t="n">
        <v>0</v>
      </c>
      <c r="K4153" s="56" t="n">
        <v>997.2</v>
      </c>
      <c r="L4153" s="56" t="n">
        <v>0</v>
      </c>
      <c r="M4153" s="56" t="n">
        <v>88</v>
      </c>
      <c r="N4153" s="56" t="n">
        <v>1</v>
      </c>
      <c r="O4153" s="56" t="n">
        <f aca="false">IF(D4153=1,"",E4152)</f>
        <v>15.8</v>
      </c>
      <c r="P4153" s="56" t="n">
        <f aca="false">IF(OR(D4153=1,K4152=""),"",K4152)</f>
        <v>992.7</v>
      </c>
      <c r="Q4153" s="56" t="n">
        <f aca="false">IF(OR(F4153&lt;&gt;0,AND(I4153&lt;&gt;"",E4153&lt;I4153)),1,0)</f>
        <v>0</v>
      </c>
      <c r="R4153" s="56" t="n">
        <f aca="false">IF(AND(D4153&gt;1,Q4153=0,ISNUMBER(O4153),ISNUMBER(P4153)),IF(Q4152=0,1,0),0)</f>
        <v>1</v>
      </c>
      <c r="S4153" s="56" t="n">
        <f aca="false">R4153*(B4153&gt;=Train_Start)*(B4153&lt;=Train_End)</f>
        <v>0</v>
      </c>
      <c r="T4153" s="84" t="n">
        <f aca="false">IF(AND(ISNUMBER(O4153),ISNUMBER(P4153)),Coef_A+Coef_B1*O4153+Coef_B2*P4153,"")</f>
        <v>16.173429075231</v>
      </c>
      <c r="U4153" s="84" t="n">
        <f aca="false">IF(AND(R4153=1,ISNUMBER(T4153)),E4153-T4153,"")</f>
        <v>-1.27342907523096</v>
      </c>
      <c r="V4153" s="84" t="n">
        <f aca="false">IF(ISNUMBER(T4153),T4153,-99)</f>
        <v>16.173429075231</v>
      </c>
      <c r="W4153" s="84" t="n">
        <f aca="false">IF(ISNUMBER(U4153),ABS(U4153),"")</f>
        <v>1.27342907523096</v>
      </c>
    </row>
    <row r="4154" customFormat="false" ht="15" hidden="false" customHeight="false" outlineLevel="0" collapsed="false">
      <c r="A4154" s="57" t="n">
        <v>38859</v>
      </c>
      <c r="B4154" s="56" t="n">
        <v>2006</v>
      </c>
      <c r="C4154" s="56" t="n">
        <v>5</v>
      </c>
      <c r="D4154" s="56" t="n">
        <v>22</v>
      </c>
      <c r="E4154" s="56" t="n">
        <v>15.4</v>
      </c>
      <c r="F4154" s="56" t="n">
        <v>0</v>
      </c>
      <c r="G4154" s="56" t="n">
        <v>10.4</v>
      </c>
      <c r="H4154" s="56" t="n">
        <v>0</v>
      </c>
      <c r="I4154" s="56" t="n">
        <v>12.9</v>
      </c>
      <c r="J4154" s="56" t="n">
        <v>0</v>
      </c>
      <c r="K4154" s="56" t="n">
        <v>991.8</v>
      </c>
      <c r="L4154" s="56" t="n">
        <v>0</v>
      </c>
      <c r="M4154" s="56" t="n">
        <v>85</v>
      </c>
      <c r="N4154" s="56" t="n">
        <v>0.3</v>
      </c>
      <c r="O4154" s="56" t="n">
        <f aca="false">IF(D4154=1,"",E4153)</f>
        <v>14.9</v>
      </c>
      <c r="P4154" s="56" t="n">
        <f aca="false">IF(OR(D4154=1,K4153=""),"",K4153)</f>
        <v>997.2</v>
      </c>
      <c r="Q4154" s="56" t="n">
        <f aca="false">IF(OR(F4154&lt;&gt;0,AND(I4154&lt;&gt;"",E4154&lt;I4154)),1,0)</f>
        <v>0</v>
      </c>
      <c r="R4154" s="56" t="n">
        <f aca="false">IF(AND(D4154&gt;1,Q4154=0,ISNUMBER(O4154),ISNUMBER(P4154)),IF(Q4153=0,1,0),0)</f>
        <v>1</v>
      </c>
      <c r="S4154" s="56" t="n">
        <f aca="false">R4154*(B4154&gt;=Train_Start)*(B4154&lt;=Train_End)</f>
        <v>0</v>
      </c>
      <c r="T4154" s="84" t="n">
        <f aca="false">IF(AND(ISNUMBER(O4154),ISNUMBER(P4154)),Coef_A+Coef_B1*O4154+Coef_B2*P4154,"")</f>
        <v>15.5771883273455</v>
      </c>
      <c r="U4154" s="84" t="n">
        <f aca="false">IF(AND(R4154=1,ISNUMBER(T4154)),E4154-T4154,"")</f>
        <v>-0.177188327345521</v>
      </c>
      <c r="V4154" s="84" t="n">
        <f aca="false">IF(ISNUMBER(T4154),T4154,-99)</f>
        <v>15.5771883273455</v>
      </c>
      <c r="W4154" s="84" t="n">
        <f aca="false">IF(ISNUMBER(U4154),ABS(U4154),"")</f>
        <v>0.177188327345521</v>
      </c>
    </row>
    <row r="4155" customFormat="false" ht="15" hidden="false" customHeight="false" outlineLevel="0" collapsed="false">
      <c r="A4155" s="57" t="n">
        <v>38860</v>
      </c>
      <c r="B4155" s="56" t="n">
        <v>2006</v>
      </c>
      <c r="C4155" s="56" t="n">
        <v>5</v>
      </c>
      <c r="D4155" s="56" t="n">
        <v>23</v>
      </c>
      <c r="E4155" s="56" t="n">
        <v>14.8</v>
      </c>
      <c r="F4155" s="56" t="n">
        <v>0</v>
      </c>
      <c r="G4155" s="56" t="n">
        <v>6</v>
      </c>
      <c r="H4155" s="56" t="n">
        <v>0</v>
      </c>
      <c r="I4155" s="56" t="n">
        <v>10.4</v>
      </c>
      <c r="J4155" s="56" t="n">
        <v>0</v>
      </c>
      <c r="K4155" s="56" t="n">
        <v>1013.5</v>
      </c>
      <c r="L4155" s="56" t="n">
        <v>0</v>
      </c>
      <c r="M4155" s="56" t="n">
        <v>75</v>
      </c>
      <c r="N4155" s="56" t="n">
        <v>7.4</v>
      </c>
      <c r="O4155" s="56" t="n">
        <f aca="false">IF(D4155=1,"",E4154)</f>
        <v>15.4</v>
      </c>
      <c r="P4155" s="56" t="n">
        <f aca="false">IF(OR(D4155=1,K4154=""),"",K4154)</f>
        <v>991.8</v>
      </c>
      <c r="Q4155" s="56" t="n">
        <f aca="false">IF(OR(F4155&lt;&gt;0,AND(I4155&lt;&gt;"",E4155&lt;I4155)),1,0)</f>
        <v>0</v>
      </c>
      <c r="R4155" s="56" t="n">
        <f aca="false">IF(AND(D4155&gt;1,Q4155=0,ISNUMBER(O4155),ISNUMBER(P4155)),IF(Q4154=0,1,0),0)</f>
        <v>1</v>
      </c>
      <c r="S4155" s="56" t="n">
        <f aca="false">R4155*(B4155&gt;=Train_Start)*(B4155&lt;=Train_End)</f>
        <v>0</v>
      </c>
      <c r="T4155" s="84" t="n">
        <f aca="false">IF(AND(ISNUMBER(O4155),ISNUMBER(P4155)),Coef_A+Coef_B1*O4155+Coef_B2*P4155,"")</f>
        <v>15.8174604928433</v>
      </c>
      <c r="U4155" s="84" t="n">
        <f aca="false">IF(AND(R4155=1,ISNUMBER(T4155)),E4155-T4155,"")</f>
        <v>-1.0174604928433</v>
      </c>
      <c r="V4155" s="84" t="n">
        <f aca="false">IF(ISNUMBER(T4155),T4155,-99)</f>
        <v>15.8174604928433</v>
      </c>
      <c r="W4155" s="84" t="n">
        <f aca="false">IF(ISNUMBER(U4155),ABS(U4155),"")</f>
        <v>1.0174604928433</v>
      </c>
    </row>
    <row r="4156" customFormat="false" ht="15" hidden="false" customHeight="false" outlineLevel="0" collapsed="false">
      <c r="A4156" s="57" t="n">
        <v>38861</v>
      </c>
      <c r="B4156" s="56" t="n">
        <v>2006</v>
      </c>
      <c r="C4156" s="56" t="n">
        <v>5</v>
      </c>
      <c r="D4156" s="56" t="n">
        <v>24</v>
      </c>
      <c r="E4156" s="56" t="n">
        <v>14.8</v>
      </c>
      <c r="F4156" s="56" t="n">
        <v>0</v>
      </c>
      <c r="G4156" s="56" t="n">
        <v>9.2</v>
      </c>
      <c r="H4156" s="56" t="n">
        <v>0</v>
      </c>
      <c r="I4156" s="56" t="n">
        <v>12</v>
      </c>
      <c r="J4156" s="56" t="n">
        <v>0</v>
      </c>
      <c r="K4156" s="56" t="n">
        <v>1015.1</v>
      </c>
      <c r="L4156" s="56" t="n">
        <v>0</v>
      </c>
      <c r="M4156" s="56" t="n">
        <v>77</v>
      </c>
      <c r="N4156" s="56" t="n">
        <v>1.7</v>
      </c>
      <c r="O4156" s="56" t="n">
        <f aca="false">IF(D4156=1,"",E4155)</f>
        <v>14.8</v>
      </c>
      <c r="P4156" s="56" t="n">
        <f aca="false">IF(OR(D4156=1,K4155=""),"",K4155)</f>
        <v>1013.5</v>
      </c>
      <c r="Q4156" s="56" t="n">
        <f aca="false">IF(OR(F4156&lt;&gt;0,AND(I4156&lt;&gt;"",E4156&lt;I4156)),1,0)</f>
        <v>0</v>
      </c>
      <c r="R4156" s="56" t="n">
        <f aca="false">IF(AND(D4156&gt;1,Q4156=0,ISNUMBER(O4156),ISNUMBER(P4156)),IF(Q4155=0,1,0),0)</f>
        <v>1</v>
      </c>
      <c r="S4156" s="56" t="n">
        <f aca="false">R4156*(B4156&gt;=Train_Start)*(B4156&lt;=Train_End)</f>
        <v>0</v>
      </c>
      <c r="T4156" s="84" t="n">
        <f aca="false">IF(AND(ISNUMBER(O4156),ISNUMBER(P4156)),Coef_A+Coef_B1*O4156+Coef_B2*P4156,"")</f>
        <v>16.0065836905753</v>
      </c>
      <c r="U4156" s="84" t="n">
        <f aca="false">IF(AND(R4156=1,ISNUMBER(T4156)),E4156-T4156,"")</f>
        <v>-1.20658369057528</v>
      </c>
      <c r="V4156" s="84" t="n">
        <f aca="false">IF(ISNUMBER(T4156),T4156,-99)</f>
        <v>16.0065836905753</v>
      </c>
      <c r="W4156" s="84" t="n">
        <f aca="false">IF(ISNUMBER(U4156),ABS(U4156),"")</f>
        <v>1.20658369057528</v>
      </c>
    </row>
    <row r="4157" customFormat="false" ht="15" hidden="false" customHeight="false" outlineLevel="0" collapsed="false">
      <c r="A4157" s="57" t="n">
        <v>38862</v>
      </c>
      <c r="B4157" s="56" t="n">
        <v>2006</v>
      </c>
      <c r="C4157" s="56" t="n">
        <v>5</v>
      </c>
      <c r="D4157" s="56" t="n">
        <v>25</v>
      </c>
      <c r="E4157" s="56" t="n">
        <v>18.3</v>
      </c>
      <c r="F4157" s="56" t="n">
        <v>0</v>
      </c>
      <c r="G4157" s="56" t="n">
        <v>9.4</v>
      </c>
      <c r="H4157" s="56" t="n">
        <v>0</v>
      </c>
      <c r="I4157" s="56" t="n">
        <v>13.8</v>
      </c>
      <c r="J4157" s="56" t="n">
        <v>0</v>
      </c>
      <c r="K4157" s="56" t="n">
        <v>1015.6</v>
      </c>
      <c r="L4157" s="56" t="n">
        <v>0</v>
      </c>
      <c r="M4157" s="56" t="n">
        <v>72</v>
      </c>
      <c r="N4157" s="56" t="n">
        <v>6</v>
      </c>
      <c r="O4157" s="56" t="n">
        <f aca="false">IF(D4157=1,"",E4156)</f>
        <v>14.8</v>
      </c>
      <c r="P4157" s="56" t="n">
        <f aca="false">IF(OR(D4157=1,K4156=""),"",K4156)</f>
        <v>1015.1</v>
      </c>
      <c r="Q4157" s="56" t="n">
        <f aca="false">IF(OR(F4157&lt;&gt;0,AND(I4157&lt;&gt;"",E4157&lt;I4157)),1,0)</f>
        <v>0</v>
      </c>
      <c r="R4157" s="56" t="n">
        <f aca="false">IF(AND(D4157&gt;1,Q4157=0,ISNUMBER(O4157),ISNUMBER(P4157)),IF(Q4156=0,1,0),0)</f>
        <v>1</v>
      </c>
      <c r="S4157" s="56" t="n">
        <f aca="false">R4157*(B4157&gt;=Train_Start)*(B4157&lt;=Train_End)</f>
        <v>0</v>
      </c>
      <c r="T4157" s="84" t="n">
        <f aca="false">IF(AND(ISNUMBER(O4157),ISNUMBER(P4157)),Coef_A+Coef_B1*O4157+Coef_B2*P4157,"")</f>
        <v>16.0567755219897</v>
      </c>
      <c r="U4157" s="84" t="n">
        <f aca="false">IF(AND(R4157=1,ISNUMBER(T4157)),E4157-T4157,"")</f>
        <v>2.24322447801034</v>
      </c>
      <c r="V4157" s="84" t="n">
        <f aca="false">IF(ISNUMBER(T4157),T4157,-99)</f>
        <v>16.0567755219897</v>
      </c>
      <c r="W4157" s="84" t="n">
        <f aca="false">IF(ISNUMBER(U4157),ABS(U4157),"")</f>
        <v>2.24322447801034</v>
      </c>
    </row>
    <row r="4158" customFormat="false" ht="15" hidden="false" customHeight="false" outlineLevel="0" collapsed="false">
      <c r="A4158" s="57" t="n">
        <v>38863</v>
      </c>
      <c r="B4158" s="56" t="n">
        <v>2006</v>
      </c>
      <c r="C4158" s="56" t="n">
        <v>5</v>
      </c>
      <c r="D4158" s="56" t="n">
        <v>26</v>
      </c>
      <c r="E4158" s="56" t="n">
        <v>19.7</v>
      </c>
      <c r="F4158" s="56" t="n">
        <v>0</v>
      </c>
      <c r="G4158" s="56" t="n">
        <v>12.9</v>
      </c>
      <c r="H4158" s="56" t="n">
        <v>0</v>
      </c>
      <c r="I4158" s="56" t="n">
        <v>16.3</v>
      </c>
      <c r="J4158" s="56" t="n">
        <v>0</v>
      </c>
      <c r="K4158" s="56" t="n">
        <v>1017.5</v>
      </c>
      <c r="L4158" s="56" t="n">
        <v>0</v>
      </c>
      <c r="M4158" s="56" t="n">
        <v>83</v>
      </c>
      <c r="N4158" s="56" t="n">
        <v>1.4</v>
      </c>
      <c r="O4158" s="56" t="n">
        <f aca="false">IF(D4158=1,"",E4157)</f>
        <v>18.3</v>
      </c>
      <c r="P4158" s="56" t="n">
        <f aca="false">IF(OR(D4158=1,K4157=""),"",K4157)</f>
        <v>1015.6</v>
      </c>
      <c r="Q4158" s="56" t="n">
        <f aca="false">IF(OR(F4158&lt;&gt;0,AND(I4158&lt;&gt;"",E4158&lt;I4158)),1,0)</f>
        <v>0</v>
      </c>
      <c r="R4158" s="56" t="n">
        <f aca="false">IF(AND(D4158&gt;1,Q4158=0,ISNUMBER(O4158),ISNUMBER(P4158)),IF(Q4157=0,1,0),0)</f>
        <v>1</v>
      </c>
      <c r="S4158" s="56" t="n">
        <f aca="false">R4158*(B4158&gt;=Train_Start)*(B4158&lt;=Train_End)</f>
        <v>0</v>
      </c>
      <c r="T4158" s="84" t="n">
        <f aca="false">IF(AND(ISNUMBER(O4158),ISNUMBER(P4158)),Coef_A+Coef_B1*O4158+Coef_B2*P4158,"")</f>
        <v>18.940147644956</v>
      </c>
      <c r="U4158" s="84" t="n">
        <f aca="false">IF(AND(R4158=1,ISNUMBER(T4158)),E4158-T4158,"")</f>
        <v>0.759852355044039</v>
      </c>
      <c r="V4158" s="84" t="n">
        <f aca="false">IF(ISNUMBER(T4158),T4158,-99)</f>
        <v>18.940147644956</v>
      </c>
      <c r="W4158" s="84" t="n">
        <f aca="false">IF(ISNUMBER(U4158),ABS(U4158),"")</f>
        <v>0.759852355044039</v>
      </c>
    </row>
    <row r="4159" customFormat="false" ht="15" hidden="false" customHeight="false" outlineLevel="0" collapsed="false">
      <c r="A4159" s="57" t="n">
        <v>38864</v>
      </c>
      <c r="B4159" s="56" t="n">
        <v>2006</v>
      </c>
      <c r="C4159" s="56" t="n">
        <v>5</v>
      </c>
      <c r="D4159" s="56" t="n">
        <v>27</v>
      </c>
      <c r="E4159" s="56" t="n">
        <v>16.4</v>
      </c>
      <c r="F4159" s="56" t="n">
        <v>0</v>
      </c>
      <c r="G4159" s="56" t="n">
        <v>14</v>
      </c>
      <c r="H4159" s="56" t="n">
        <v>0</v>
      </c>
      <c r="I4159" s="56" t="n">
        <v>15.2</v>
      </c>
      <c r="J4159" s="56" t="n">
        <v>0</v>
      </c>
      <c r="K4159" s="56" t="n">
        <v>1019.7</v>
      </c>
      <c r="L4159" s="56" t="n">
        <v>0</v>
      </c>
      <c r="M4159" s="56" t="n">
        <v>89</v>
      </c>
      <c r="N4159" s="56" t="n">
        <v>0.1</v>
      </c>
      <c r="O4159" s="56" t="n">
        <f aca="false">IF(D4159=1,"",E4158)</f>
        <v>19.7</v>
      </c>
      <c r="P4159" s="56" t="n">
        <f aca="false">IF(OR(D4159=1,K4158=""),"",K4158)</f>
        <v>1017.5</v>
      </c>
      <c r="Q4159" s="56" t="n">
        <f aca="false">IF(OR(F4159&lt;&gt;0,AND(I4159&lt;&gt;"",E4159&lt;I4159)),1,0)</f>
        <v>0</v>
      </c>
      <c r="R4159" s="56" t="n">
        <f aca="false">IF(AND(D4159&gt;1,Q4159=0,ISNUMBER(O4159),ISNUMBER(P4159)),IF(Q4158=0,1,0),0)</f>
        <v>1</v>
      </c>
      <c r="S4159" s="56" t="n">
        <f aca="false">R4159*(B4159&gt;=Train_Start)*(B4159&lt;=Train_End)</f>
        <v>0</v>
      </c>
      <c r="T4159" s="84" t="n">
        <f aca="false">IF(AND(ISNUMBER(O4159),ISNUMBER(P4159)),Coef_A+Coef_B1*O4159+Coef_B2*P4159,"")</f>
        <v>20.1468253150203</v>
      </c>
      <c r="U4159" s="84" t="n">
        <f aca="false">IF(AND(R4159=1,ISNUMBER(T4159)),E4159-T4159,"")</f>
        <v>-3.74682531502026</v>
      </c>
      <c r="V4159" s="84" t="n">
        <f aca="false">IF(ISNUMBER(T4159),T4159,-99)</f>
        <v>20.1468253150203</v>
      </c>
      <c r="W4159" s="84" t="n">
        <f aca="false">IF(ISNUMBER(U4159),ABS(U4159),"")</f>
        <v>3.74682531502026</v>
      </c>
    </row>
    <row r="4160" customFormat="false" ht="15" hidden="false" customHeight="false" outlineLevel="0" collapsed="false">
      <c r="A4160" s="57" t="n">
        <v>38865</v>
      </c>
      <c r="B4160" s="56" t="n">
        <v>2006</v>
      </c>
      <c r="C4160" s="56" t="n">
        <v>5</v>
      </c>
      <c r="D4160" s="56" t="n">
        <v>28</v>
      </c>
      <c r="E4160" s="56" t="n">
        <v>17.6</v>
      </c>
      <c r="F4160" s="56" t="n">
        <v>0</v>
      </c>
      <c r="G4160" s="56" t="n">
        <v>10</v>
      </c>
      <c r="H4160" s="56" t="n">
        <v>0</v>
      </c>
      <c r="I4160" s="56" t="n">
        <v>13.8</v>
      </c>
      <c r="J4160" s="56" t="n">
        <v>0</v>
      </c>
      <c r="K4160" s="56" t="n">
        <v>1020.6</v>
      </c>
      <c r="L4160" s="56" t="n">
        <v>0</v>
      </c>
      <c r="M4160" s="56" t="n">
        <v>67</v>
      </c>
      <c r="N4160" s="56" t="n">
        <v>4.2</v>
      </c>
      <c r="O4160" s="56" t="n">
        <f aca="false">IF(D4160=1,"",E4159)</f>
        <v>16.4</v>
      </c>
      <c r="P4160" s="56" t="n">
        <f aca="false">IF(OR(D4160=1,K4159=""),"",K4159)</f>
        <v>1019.7</v>
      </c>
      <c r="Q4160" s="56" t="n">
        <f aca="false">IF(OR(F4160&lt;&gt;0,AND(I4160&lt;&gt;"",E4160&lt;I4160)),1,0)</f>
        <v>0</v>
      </c>
      <c r="R4160" s="56" t="n">
        <f aca="false">IF(AND(D4160&gt;1,Q4160=0,ISNUMBER(O4160),ISNUMBER(P4160)),IF(Q4159=0,1,0),0)</f>
        <v>1</v>
      </c>
      <c r="S4160" s="56" t="n">
        <f aca="false">R4160*(B4160&gt;=Train_Start)*(B4160&lt;=Train_End)</f>
        <v>0</v>
      </c>
      <c r="T4160" s="84" t="n">
        <f aca="false">IF(AND(ISNUMBER(O4160),ISNUMBER(P4160)),Coef_A+Coef_B1*O4160+Coef_B2*P4160,"")</f>
        <v>17.5120197461743</v>
      </c>
      <c r="U4160" s="84" t="n">
        <f aca="false">IF(AND(R4160=1,ISNUMBER(T4160)),E4160-T4160,"")</f>
        <v>0.0879802538257373</v>
      </c>
      <c r="V4160" s="84" t="n">
        <f aca="false">IF(ISNUMBER(T4160),T4160,-99)</f>
        <v>17.5120197461743</v>
      </c>
      <c r="W4160" s="84" t="n">
        <f aca="false">IF(ISNUMBER(U4160),ABS(U4160),"")</f>
        <v>0.0879802538257373</v>
      </c>
    </row>
    <row r="4161" customFormat="false" ht="15" hidden="false" customHeight="false" outlineLevel="0" collapsed="false">
      <c r="A4161" s="57" t="n">
        <v>38866</v>
      </c>
      <c r="B4161" s="56" t="n">
        <v>2006</v>
      </c>
      <c r="C4161" s="56" t="n">
        <v>5</v>
      </c>
      <c r="D4161" s="56" t="n">
        <v>29</v>
      </c>
      <c r="E4161" s="56" t="n">
        <v>15.3</v>
      </c>
      <c r="F4161" s="56" t="n">
        <v>0</v>
      </c>
      <c r="G4161" s="56" t="n">
        <v>10.4</v>
      </c>
      <c r="H4161" s="56" t="n">
        <v>0</v>
      </c>
      <c r="I4161" s="56" t="n">
        <v>12.8</v>
      </c>
      <c r="J4161" s="56" t="n">
        <v>0</v>
      </c>
      <c r="K4161" s="56" t="n">
        <v>1016.9</v>
      </c>
      <c r="L4161" s="56" t="n">
        <v>0</v>
      </c>
      <c r="M4161" s="56" t="n">
        <v>71</v>
      </c>
      <c r="N4161" s="56" t="n">
        <v>5.8</v>
      </c>
      <c r="O4161" s="56" t="n">
        <f aca="false">IF(D4161=1,"",E4160)</f>
        <v>17.6</v>
      </c>
      <c r="P4161" s="56" t="n">
        <f aca="false">IF(OR(D4161=1,K4160=""),"",K4160)</f>
        <v>1020.6</v>
      </c>
      <c r="Q4161" s="56" t="n">
        <f aca="false">IF(OR(F4161&lt;&gt;0,AND(I4161&lt;&gt;"",E4161&lt;I4161)),1,0)</f>
        <v>0</v>
      </c>
      <c r="R4161" s="56" t="n">
        <f aca="false">IF(AND(D4161&gt;1,Q4161=0,ISNUMBER(O4161),ISNUMBER(P4161)),IF(Q4160=0,1,0),0)</f>
        <v>1</v>
      </c>
      <c r="S4161" s="56" t="n">
        <f aca="false">R4161*(B4161&gt;=Train_Start)*(B4161&lt;=Train_End)</f>
        <v>0</v>
      </c>
      <c r="T4161" s="84" t="n">
        <f aca="false">IF(AND(ISNUMBER(O4161),ISNUMBER(P4161)),Coef_A+Coef_B1*O4161+Coef_B2*P4161,"")</f>
        <v>18.523459682996</v>
      </c>
      <c r="U4161" s="84" t="n">
        <f aca="false">IF(AND(R4161=1,ISNUMBER(T4161)),E4161-T4161,"")</f>
        <v>-3.22345968299605</v>
      </c>
      <c r="V4161" s="84" t="n">
        <f aca="false">IF(ISNUMBER(T4161),T4161,-99)</f>
        <v>18.523459682996</v>
      </c>
      <c r="W4161" s="84" t="n">
        <f aca="false">IF(ISNUMBER(U4161),ABS(U4161),"")</f>
        <v>3.22345968299605</v>
      </c>
    </row>
    <row r="4162" customFormat="false" ht="15" hidden="false" customHeight="false" outlineLevel="0" collapsed="false">
      <c r="A4162" s="57" t="n">
        <v>38867</v>
      </c>
      <c r="B4162" s="56" t="n">
        <v>2006</v>
      </c>
      <c r="C4162" s="56" t="n">
        <v>5</v>
      </c>
      <c r="D4162" s="56" t="n">
        <v>30</v>
      </c>
      <c r="E4162" s="56" t="n">
        <v>14.3</v>
      </c>
      <c r="F4162" s="56" t="n">
        <v>0</v>
      </c>
      <c r="G4162" s="56" t="n">
        <v>5.7</v>
      </c>
      <c r="H4162" s="56" t="n">
        <v>0</v>
      </c>
      <c r="I4162" s="56" t="n">
        <v>10</v>
      </c>
      <c r="J4162" s="56" t="n">
        <v>0</v>
      </c>
      <c r="K4162" s="56" t="n">
        <v>1021</v>
      </c>
      <c r="L4162" s="56" t="n">
        <v>0</v>
      </c>
      <c r="M4162" s="56" t="n">
        <v>64</v>
      </c>
      <c r="N4162" s="56" t="n">
        <v>5.5</v>
      </c>
      <c r="O4162" s="56" t="n">
        <f aca="false">IF(D4162=1,"",E4161)</f>
        <v>15.3</v>
      </c>
      <c r="P4162" s="56" t="n">
        <f aca="false">IF(OR(D4162=1,K4161=""),"",K4161)</f>
        <v>1016.9</v>
      </c>
      <c r="Q4162" s="56" t="n">
        <f aca="false">IF(OR(F4162&lt;&gt;0,AND(I4162&lt;&gt;"",E4162&lt;I4162)),1,0)</f>
        <v>0</v>
      </c>
      <c r="R4162" s="56" t="n">
        <f aca="false">IF(AND(D4162&gt;1,Q4162=0,ISNUMBER(O4162),ISNUMBER(P4162)),IF(Q4161=0,1,0),0)</f>
        <v>1</v>
      </c>
      <c r="S4162" s="56" t="n">
        <f aca="false">R4162*(B4162&gt;=Train_Start)*(B4162&lt;=Train_End)</f>
        <v>0</v>
      </c>
      <c r="T4162" s="84" t="n">
        <f aca="false">IF(AND(ISNUMBER(O4162),ISNUMBER(P4162)),Coef_A+Coef_B1*O4162+Coef_B2*P4162,"")</f>
        <v>16.5229109288522</v>
      </c>
      <c r="U4162" s="84" t="n">
        <f aca="false">IF(AND(R4162=1,ISNUMBER(T4162)),E4162-T4162,"")</f>
        <v>-2.22291092885217</v>
      </c>
      <c r="V4162" s="84" t="n">
        <f aca="false">IF(ISNUMBER(T4162),T4162,-99)</f>
        <v>16.5229109288522</v>
      </c>
      <c r="W4162" s="84" t="n">
        <f aca="false">IF(ISNUMBER(U4162),ABS(U4162),"")</f>
        <v>2.22291092885217</v>
      </c>
    </row>
    <row r="4163" customFormat="false" ht="15" hidden="false" customHeight="false" outlineLevel="0" collapsed="false">
      <c r="A4163" s="57" t="n">
        <v>38868</v>
      </c>
      <c r="B4163" s="56" t="n">
        <v>2006</v>
      </c>
      <c r="C4163" s="56" t="n">
        <v>5</v>
      </c>
      <c r="D4163" s="56" t="n">
        <v>31</v>
      </c>
      <c r="E4163" s="56" t="n">
        <v>16</v>
      </c>
      <c r="F4163" s="56" t="n">
        <v>0</v>
      </c>
      <c r="G4163" s="56" t="n">
        <v>5.9</v>
      </c>
      <c r="H4163" s="56" t="n">
        <v>0</v>
      </c>
      <c r="I4163" s="56" t="n">
        <v>11</v>
      </c>
      <c r="J4163" s="56" t="n">
        <v>0</v>
      </c>
      <c r="K4163" s="56" t="n">
        <v>1025.6</v>
      </c>
      <c r="L4163" s="56" t="n">
        <v>0</v>
      </c>
      <c r="M4163" s="56" t="n">
        <v>56</v>
      </c>
      <c r="N4163" s="56" t="n">
        <v>9.5</v>
      </c>
      <c r="O4163" s="56" t="n">
        <f aca="false">IF(D4163=1,"",E4162)</f>
        <v>14.3</v>
      </c>
      <c r="P4163" s="56" t="n">
        <f aca="false">IF(OR(D4163=1,K4162=""),"",K4162)</f>
        <v>1021</v>
      </c>
      <c r="Q4163" s="56" t="n">
        <f aca="false">IF(OR(F4163&lt;&gt;0,AND(I4163&lt;&gt;"",E4163&lt;I4163)),1,0)</f>
        <v>0</v>
      </c>
      <c r="R4163" s="56" t="n">
        <f aca="false">IF(AND(D4163&gt;1,Q4163=0,ISNUMBER(O4163),ISNUMBER(P4163)),IF(Q4162=0,1,0),0)</f>
        <v>1</v>
      </c>
      <c r="S4163" s="56" t="n">
        <f aca="false">R4163*(B4163&gt;=Train_Start)*(B4163&lt;=Train_End)</f>
        <v>0</v>
      </c>
      <c r="T4163" s="84" t="n">
        <f aca="false">IF(AND(ISNUMBER(O4163),ISNUMBER(P4163)),Coef_A+Coef_B1*O4163+Coef_B2*P4163,"")</f>
        <v>15.8321883038089</v>
      </c>
      <c r="U4163" s="84" t="n">
        <f aca="false">IF(AND(R4163=1,ISNUMBER(T4163)),E4163-T4163,"")</f>
        <v>0.16781169619113</v>
      </c>
      <c r="V4163" s="84" t="n">
        <f aca="false">IF(ISNUMBER(T4163),T4163,-99)</f>
        <v>15.8321883038089</v>
      </c>
      <c r="W4163" s="84" t="n">
        <f aca="false">IF(ISNUMBER(U4163),ABS(U4163),"")</f>
        <v>0.16781169619113</v>
      </c>
    </row>
    <row r="4164" customFormat="false" ht="15" hidden="false" customHeight="false" outlineLevel="0" collapsed="false">
      <c r="A4164" s="57" t="n">
        <v>38869</v>
      </c>
      <c r="B4164" s="56" t="n">
        <v>2006</v>
      </c>
      <c r="C4164" s="56" t="n">
        <v>6</v>
      </c>
      <c r="D4164" s="56" t="n">
        <v>32</v>
      </c>
      <c r="E4164" s="56" t="n">
        <v>16.2</v>
      </c>
      <c r="F4164" s="56" t="n">
        <v>0</v>
      </c>
      <c r="G4164" s="56" t="n">
        <v>5.3</v>
      </c>
      <c r="H4164" s="56" t="n">
        <v>0</v>
      </c>
      <c r="I4164" s="56" t="n">
        <v>10.8</v>
      </c>
      <c r="J4164" s="56" t="n">
        <v>0</v>
      </c>
      <c r="K4164" s="56" t="n">
        <v>1028.1</v>
      </c>
      <c r="L4164" s="56" t="n">
        <v>0</v>
      </c>
      <c r="M4164" s="56" t="n">
        <v>73</v>
      </c>
      <c r="N4164" s="56" t="n">
        <v>0.3</v>
      </c>
      <c r="O4164" s="56" t="n">
        <f aca="false">IF(D4164=1,"",E4163)</f>
        <v>16</v>
      </c>
      <c r="P4164" s="56" t="n">
        <f aca="false">IF(OR(D4164=1,K4163=""),"",K4163)</f>
        <v>1025.6</v>
      </c>
      <c r="Q4164" s="56" t="n">
        <f aca="false">IF(OR(F4164&lt;&gt;0,AND(I4164&lt;&gt;"",E4164&lt;I4164)),1,0)</f>
        <v>0</v>
      </c>
      <c r="R4164" s="56" t="n">
        <f aca="false">IF(AND(D4164&gt;1,Q4164=0,ISNUMBER(O4164),ISNUMBER(P4164)),IF(Q4163=0,1,0),0)</f>
        <v>1</v>
      </c>
      <c r="S4164" s="56" t="n">
        <f aca="false">R4164*(B4164&gt;=Train_Start)*(B4164&lt;=Train_End)</f>
        <v>0</v>
      </c>
      <c r="T4164" s="84" t="n">
        <f aca="false">IF(AND(ISNUMBER(O4164),ISNUMBER(P4164)),Coef_A+Coef_B1*O4164+Coef_B2*P4164,"")</f>
        <v>17.3693664472977</v>
      </c>
      <c r="U4164" s="84" t="n">
        <f aca="false">IF(AND(R4164=1,ISNUMBER(T4164)),E4164-T4164,"")</f>
        <v>-1.16936644729774</v>
      </c>
      <c r="V4164" s="84" t="n">
        <f aca="false">IF(ISNUMBER(T4164),T4164,-99)</f>
        <v>17.3693664472977</v>
      </c>
      <c r="W4164" s="84" t="n">
        <f aca="false">IF(ISNUMBER(U4164),ABS(U4164),"")</f>
        <v>1.16936644729774</v>
      </c>
    </row>
    <row r="4165" customFormat="false" ht="15" hidden="false" customHeight="false" outlineLevel="0" collapsed="false">
      <c r="A4165" s="57" t="n">
        <v>38870</v>
      </c>
      <c r="B4165" s="56" t="n">
        <v>2006</v>
      </c>
      <c r="C4165" s="56" t="n">
        <v>6</v>
      </c>
      <c r="D4165" s="56" t="n">
        <v>33</v>
      </c>
      <c r="E4165" s="56" t="n">
        <v>20.6</v>
      </c>
      <c r="F4165" s="56" t="n">
        <v>0</v>
      </c>
      <c r="G4165" s="56" t="n">
        <v>10</v>
      </c>
      <c r="H4165" s="56" t="n">
        <v>0</v>
      </c>
      <c r="I4165" s="56" t="n">
        <v>15.3</v>
      </c>
      <c r="J4165" s="56" t="n">
        <v>0</v>
      </c>
      <c r="K4165" s="56" t="n">
        <v>1030.3</v>
      </c>
      <c r="L4165" s="56" t="n">
        <v>0</v>
      </c>
      <c r="M4165" s="56" t="n">
        <v>72</v>
      </c>
      <c r="N4165" s="56" t="n">
        <v>7.7</v>
      </c>
      <c r="O4165" s="56" t="n">
        <f aca="false">IF(D4165=1,"",E4164)</f>
        <v>16.2</v>
      </c>
      <c r="P4165" s="56" t="n">
        <f aca="false">IF(OR(D4165=1,K4164=""),"",K4164)</f>
        <v>1028.1</v>
      </c>
      <c r="Q4165" s="56" t="n">
        <f aca="false">IF(OR(F4165&lt;&gt;0,AND(I4165&lt;&gt;"",E4165&lt;I4165)),1,0)</f>
        <v>0</v>
      </c>
      <c r="R4165" s="56" t="n">
        <f aca="false">IF(AND(D4165&gt;1,Q4165=0,ISNUMBER(O4165),ISNUMBER(P4165)),IF(Q4164=0,1,0),0)</f>
        <v>1</v>
      </c>
      <c r="S4165" s="56" t="n">
        <f aca="false">R4165*(B4165&gt;=Train_Start)*(B4165&lt;=Train_End)</f>
        <v>0</v>
      </c>
      <c r="T4165" s="84" t="n">
        <f aca="false">IF(AND(ISNUMBER(O4165),ISNUMBER(P4165)),Coef_A+Coef_B1*O4165+Coef_B2*P4165,"")</f>
        <v>17.6116590224912</v>
      </c>
      <c r="U4165" s="84" t="n">
        <f aca="false">IF(AND(R4165=1,ISNUMBER(T4165)),E4165-T4165,"")</f>
        <v>2.98834097750876</v>
      </c>
      <c r="V4165" s="84" t="n">
        <f aca="false">IF(ISNUMBER(T4165),T4165,-99)</f>
        <v>17.6116590224912</v>
      </c>
      <c r="W4165" s="84" t="n">
        <f aca="false">IF(ISNUMBER(U4165),ABS(U4165),"")</f>
        <v>2.98834097750876</v>
      </c>
    </row>
    <row r="4166" customFormat="false" ht="15" hidden="false" customHeight="false" outlineLevel="0" collapsed="false">
      <c r="A4166" s="57" t="n">
        <v>38871</v>
      </c>
      <c r="B4166" s="56" t="n">
        <v>2006</v>
      </c>
      <c r="C4166" s="56" t="n">
        <v>6</v>
      </c>
      <c r="D4166" s="56" t="n">
        <v>34</v>
      </c>
      <c r="E4166" s="56" t="n">
        <v>24.2</v>
      </c>
      <c r="F4166" s="56" t="n">
        <v>0</v>
      </c>
      <c r="G4166" s="56" t="n">
        <v>9.9</v>
      </c>
      <c r="H4166" s="56" t="n">
        <v>0</v>
      </c>
      <c r="I4166" s="56" t="n">
        <v>17</v>
      </c>
      <c r="J4166" s="56" t="n">
        <v>0</v>
      </c>
      <c r="K4166" s="56" t="n">
        <v>1029.5</v>
      </c>
      <c r="L4166" s="56" t="n">
        <v>0</v>
      </c>
      <c r="M4166" s="56" t="n">
        <v>56</v>
      </c>
      <c r="N4166" s="56" t="n">
        <v>14.4</v>
      </c>
      <c r="O4166" s="56" t="n">
        <f aca="false">IF(D4166=1,"",E4165)</f>
        <v>20.6</v>
      </c>
      <c r="P4166" s="56" t="n">
        <f aca="false">IF(OR(D4166=1,K4165=""),"",K4165)</f>
        <v>1030.3</v>
      </c>
      <c r="Q4166" s="56" t="n">
        <f aca="false">IF(OR(F4166&lt;&gt;0,AND(I4166&lt;&gt;"",E4166&lt;I4166)),1,0)</f>
        <v>0</v>
      </c>
      <c r="R4166" s="56" t="n">
        <f aca="false">IF(AND(D4166&gt;1,Q4166=0,ISNUMBER(O4166),ISNUMBER(P4166)),IF(Q4165=0,1,0),0)</f>
        <v>1</v>
      </c>
      <c r="S4166" s="56" t="n">
        <f aca="false">R4166*(B4166&gt;=Train_Start)*(B4166&lt;=Train_End)</f>
        <v>0</v>
      </c>
      <c r="T4166" s="84" t="n">
        <f aca="false">IF(AND(ISNUMBER(O4166),ISNUMBER(P4166)),Coef_A+Coef_B1*O4166+Coef_B2*P4166,"")</f>
        <v>21.2857652400737</v>
      </c>
      <c r="U4166" s="84" t="n">
        <f aca="false">IF(AND(R4166=1,ISNUMBER(T4166)),E4166-T4166,"")</f>
        <v>2.91423475992628</v>
      </c>
      <c r="V4166" s="84" t="n">
        <f aca="false">IF(ISNUMBER(T4166),T4166,-99)</f>
        <v>21.2857652400737</v>
      </c>
      <c r="W4166" s="84" t="n">
        <f aca="false">IF(ISNUMBER(U4166),ABS(U4166),"")</f>
        <v>2.91423475992628</v>
      </c>
    </row>
    <row r="4167" customFormat="false" ht="15" hidden="false" customHeight="false" outlineLevel="0" collapsed="false">
      <c r="A4167" s="57" t="n">
        <v>38872</v>
      </c>
      <c r="B4167" s="56" t="n">
        <v>2006</v>
      </c>
      <c r="C4167" s="56" t="n">
        <v>6</v>
      </c>
      <c r="D4167" s="56" t="n">
        <v>35</v>
      </c>
      <c r="E4167" s="56" t="n">
        <v>23.6</v>
      </c>
      <c r="F4167" s="56" t="n">
        <v>0</v>
      </c>
      <c r="G4167" s="56" t="n">
        <v>11.5</v>
      </c>
      <c r="H4167" s="56" t="n">
        <v>0</v>
      </c>
      <c r="I4167" s="56" t="n">
        <v>17.6</v>
      </c>
      <c r="J4167" s="56" t="n">
        <v>0</v>
      </c>
      <c r="K4167" s="56" t="n">
        <v>1026.5</v>
      </c>
      <c r="L4167" s="56" t="n">
        <v>0</v>
      </c>
      <c r="M4167" s="56" t="n">
        <v>60</v>
      </c>
      <c r="N4167" s="56" t="n">
        <v>8.4</v>
      </c>
      <c r="O4167" s="56" t="n">
        <f aca="false">IF(D4167=1,"",E4166)</f>
        <v>24.2</v>
      </c>
      <c r="P4167" s="56" t="n">
        <f aca="false">IF(OR(D4167=1,K4166=""),"",K4166)</f>
        <v>1029.5</v>
      </c>
      <c r="Q4167" s="56" t="n">
        <f aca="false">IF(OR(F4167&lt;&gt;0,AND(I4167&lt;&gt;"",E4167&lt;I4167)),1,0)</f>
        <v>0</v>
      </c>
      <c r="R4167" s="56" t="n">
        <f aca="false">IF(AND(D4167&gt;1,Q4167=0,ISNUMBER(O4167),ISNUMBER(P4167)),IF(Q4166=0,1,0),0)</f>
        <v>1</v>
      </c>
      <c r="S4167" s="56" t="n">
        <f aca="false">R4167*(B4167&gt;=Train_Start)*(B4167&lt;=Train_End)</f>
        <v>0</v>
      </c>
      <c r="T4167" s="84" t="n">
        <f aca="false">IF(AND(ISNUMBER(O4167),ISNUMBER(P4167)),Coef_A+Coef_B1*O4167+Coef_B2*P4167,"")</f>
        <v>24.2102904193201</v>
      </c>
      <c r="U4167" s="84" t="n">
        <f aca="false">IF(AND(R4167=1,ISNUMBER(T4167)),E4167-T4167,"")</f>
        <v>-0.610290419320087</v>
      </c>
      <c r="V4167" s="84" t="n">
        <f aca="false">IF(ISNUMBER(T4167),T4167,-99)</f>
        <v>24.2102904193201</v>
      </c>
      <c r="W4167" s="84" t="n">
        <f aca="false">IF(ISNUMBER(U4167),ABS(U4167),"")</f>
        <v>0.610290419320087</v>
      </c>
    </row>
    <row r="4168" customFormat="false" ht="15" hidden="false" customHeight="false" outlineLevel="0" collapsed="false">
      <c r="A4168" s="57" t="n">
        <v>38873</v>
      </c>
      <c r="B4168" s="56" t="n">
        <v>2006</v>
      </c>
      <c r="C4168" s="56" t="n">
        <v>6</v>
      </c>
      <c r="D4168" s="56" t="n">
        <v>36</v>
      </c>
      <c r="E4168" s="56" t="n">
        <v>20.1</v>
      </c>
      <c r="F4168" s="56" t="n">
        <v>0</v>
      </c>
      <c r="G4168" s="56" t="n">
        <v>12.9</v>
      </c>
      <c r="H4168" s="56" t="n">
        <v>0</v>
      </c>
      <c r="I4168" s="56" t="n">
        <v>16.5</v>
      </c>
      <c r="J4168" s="56" t="n">
        <v>0</v>
      </c>
      <c r="K4168" s="56" t="n">
        <v>1025.6</v>
      </c>
      <c r="L4168" s="56" t="n">
        <v>0</v>
      </c>
      <c r="M4168" s="56" t="n">
        <v>67</v>
      </c>
      <c r="N4168" s="56" t="n">
        <v>10.5</v>
      </c>
      <c r="O4168" s="56" t="n">
        <f aca="false">IF(D4168=1,"",E4167)</f>
        <v>23.6</v>
      </c>
      <c r="P4168" s="56" t="n">
        <f aca="false">IF(OR(D4168=1,K4167=""),"",K4167)</f>
        <v>1026.5</v>
      </c>
      <c r="Q4168" s="56" t="n">
        <f aca="false">IF(OR(F4168&lt;&gt;0,AND(I4168&lt;&gt;"",E4168&lt;I4168)),1,0)</f>
        <v>0</v>
      </c>
      <c r="R4168" s="56" t="n">
        <f aca="false">IF(AND(D4168&gt;1,Q4168=0,ISNUMBER(O4168),ISNUMBER(P4168)),IF(Q4167=0,1,0),0)</f>
        <v>1</v>
      </c>
      <c r="S4168" s="56" t="n">
        <f aca="false">R4168*(B4168&gt;=Train_Start)*(B4168&lt;=Train_End)</f>
        <v>0</v>
      </c>
      <c r="T4168" s="84" t="n">
        <f aca="false">IF(AND(ISNUMBER(O4168),ISNUMBER(P4168)),Coef_A+Coef_B1*O4168+Coef_B2*P4168,"")</f>
        <v>23.6245772195925</v>
      </c>
      <c r="U4168" s="84" t="n">
        <f aca="false">IF(AND(R4168=1,ISNUMBER(T4168)),E4168-T4168,"")</f>
        <v>-3.52457721959253</v>
      </c>
      <c r="V4168" s="84" t="n">
        <f aca="false">IF(ISNUMBER(T4168),T4168,-99)</f>
        <v>23.6245772195925</v>
      </c>
      <c r="W4168" s="84" t="n">
        <f aca="false">IF(ISNUMBER(U4168),ABS(U4168),"")</f>
        <v>3.52457721959253</v>
      </c>
    </row>
    <row r="4169" customFormat="false" ht="15" hidden="false" customHeight="false" outlineLevel="0" collapsed="false">
      <c r="A4169" s="57" t="n">
        <v>38874</v>
      </c>
      <c r="B4169" s="56" t="n">
        <v>2006</v>
      </c>
      <c r="C4169" s="56" t="n">
        <v>6</v>
      </c>
      <c r="D4169" s="56" t="n">
        <v>37</v>
      </c>
      <c r="E4169" s="56" t="n">
        <v>21.6</v>
      </c>
      <c r="F4169" s="56" t="n">
        <v>0</v>
      </c>
      <c r="G4169" s="56" t="n">
        <v>9.4</v>
      </c>
      <c r="H4169" s="56" t="n">
        <v>0</v>
      </c>
      <c r="I4169" s="56" t="n">
        <v>15.5</v>
      </c>
      <c r="J4169" s="56" t="n">
        <v>0</v>
      </c>
      <c r="K4169" s="56" t="n">
        <v>1029.2</v>
      </c>
      <c r="L4169" s="56" t="n">
        <v>0</v>
      </c>
      <c r="M4169" s="56" t="n">
        <v>61</v>
      </c>
      <c r="N4169" s="56" t="n">
        <v>13.7</v>
      </c>
      <c r="O4169" s="56" t="n">
        <f aca="false">IF(D4169=1,"",E4168)</f>
        <v>20.1</v>
      </c>
      <c r="P4169" s="56" t="n">
        <f aca="false">IF(OR(D4169=1,K4168=""),"",K4168)</f>
        <v>1025.6</v>
      </c>
      <c r="Q4169" s="56" t="n">
        <f aca="false">IF(OR(F4169&lt;&gt;0,AND(I4169&lt;&gt;"",E4169&lt;I4169)),1,0)</f>
        <v>0</v>
      </c>
      <c r="R4169" s="56" t="n">
        <f aca="false">IF(AND(D4169&gt;1,Q4169=0,ISNUMBER(O4169),ISNUMBER(P4169)),IF(Q4168=0,1,0),0)</f>
        <v>1</v>
      </c>
      <c r="S4169" s="56" t="n">
        <f aca="false">R4169*(B4169&gt;=Train_Start)*(B4169&lt;=Train_End)</f>
        <v>0</v>
      </c>
      <c r="T4169" s="84" t="n">
        <f aca="false">IF(AND(ISNUMBER(O4169),ISNUMBER(P4169)),Coef_A+Coef_B1*O4169+Coef_B2*P4169,"")</f>
        <v>20.7286571387726</v>
      </c>
      <c r="U4169" s="84" t="n">
        <f aca="false">IF(AND(R4169=1,ISNUMBER(T4169)),E4169-T4169,"")</f>
        <v>0.871342861227365</v>
      </c>
      <c r="V4169" s="84" t="n">
        <f aca="false">IF(ISNUMBER(T4169),T4169,-99)</f>
        <v>20.7286571387726</v>
      </c>
      <c r="W4169" s="84" t="n">
        <f aca="false">IF(ISNUMBER(U4169),ABS(U4169),"")</f>
        <v>0.871342861227365</v>
      </c>
    </row>
    <row r="4170" customFormat="false" ht="15" hidden="false" customHeight="false" outlineLevel="0" collapsed="false">
      <c r="A4170" s="57" t="n">
        <v>38875</v>
      </c>
      <c r="B4170" s="56" t="n">
        <v>2006</v>
      </c>
      <c r="C4170" s="56" t="n">
        <v>6</v>
      </c>
      <c r="D4170" s="56" t="n">
        <v>38</v>
      </c>
      <c r="E4170" s="56" t="n">
        <v>25.8</v>
      </c>
      <c r="F4170" s="56" t="n">
        <v>0</v>
      </c>
      <c r="G4170" s="56" t="n">
        <v>11.4</v>
      </c>
      <c r="H4170" s="56" t="n">
        <v>0</v>
      </c>
      <c r="I4170" s="56" t="n">
        <v>18.6</v>
      </c>
      <c r="J4170" s="56" t="n">
        <v>0</v>
      </c>
      <c r="K4170" s="56" t="n">
        <v>1027.1</v>
      </c>
      <c r="L4170" s="56" t="n">
        <v>0</v>
      </c>
      <c r="M4170" s="56" t="n">
        <v>63</v>
      </c>
      <c r="N4170" s="56" t="n">
        <v>8.2</v>
      </c>
      <c r="O4170" s="56" t="n">
        <f aca="false">IF(D4170=1,"",E4169)</f>
        <v>21.6</v>
      </c>
      <c r="P4170" s="56" t="n">
        <f aca="false">IF(OR(D4170=1,K4169=""),"",K4169)</f>
        <v>1029.2</v>
      </c>
      <c r="Q4170" s="56" t="n">
        <f aca="false">IF(OR(F4170&lt;&gt;0,AND(I4170&lt;&gt;"",E4170&lt;I4170)),1,0)</f>
        <v>0</v>
      </c>
      <c r="R4170" s="56" t="n">
        <f aca="false">IF(AND(D4170&gt;1,Q4170=0,ISNUMBER(O4170),ISNUMBER(P4170)),IF(Q4169=0,1,0),0)</f>
        <v>1</v>
      </c>
      <c r="S4170" s="56" t="n">
        <f aca="false">R4170*(B4170&gt;=Train_Start)*(B4170&lt;=Train_End)</f>
        <v>0</v>
      </c>
      <c r="T4170" s="84" t="n">
        <f aca="false">IF(AND(ISNUMBER(O4170),ISNUMBER(P4170)),Coef_A+Coef_B1*O4170+Coef_B2*P4170,"")</f>
        <v>22.070597549019</v>
      </c>
      <c r="U4170" s="84" t="n">
        <f aca="false">IF(AND(R4170=1,ISNUMBER(T4170)),E4170-T4170,"")</f>
        <v>3.72940245098101</v>
      </c>
      <c r="V4170" s="84" t="n">
        <f aca="false">IF(ISNUMBER(T4170),T4170,-99)</f>
        <v>22.070597549019</v>
      </c>
      <c r="W4170" s="84" t="n">
        <f aca="false">IF(ISNUMBER(U4170),ABS(U4170),"")</f>
        <v>3.72940245098101</v>
      </c>
    </row>
    <row r="4171" customFormat="false" ht="15" hidden="false" customHeight="false" outlineLevel="0" collapsed="false">
      <c r="A4171" s="57" t="n">
        <v>38876</v>
      </c>
      <c r="B4171" s="56" t="n">
        <v>2006</v>
      </c>
      <c r="C4171" s="56" t="n">
        <v>6</v>
      </c>
      <c r="D4171" s="56" t="n">
        <v>39</v>
      </c>
      <c r="E4171" s="56" t="n">
        <v>26.3</v>
      </c>
      <c r="F4171" s="56" t="n">
        <v>0</v>
      </c>
      <c r="G4171" s="56" t="n">
        <v>13.8</v>
      </c>
      <c r="H4171" s="56" t="n">
        <v>0</v>
      </c>
      <c r="I4171" s="56" t="n">
        <v>20</v>
      </c>
      <c r="J4171" s="56" t="n">
        <v>0</v>
      </c>
      <c r="K4171" s="56" t="n">
        <v>1026.1</v>
      </c>
      <c r="L4171" s="56" t="n">
        <v>0</v>
      </c>
      <c r="M4171" s="56" t="n">
        <v>57</v>
      </c>
      <c r="N4171" s="56" t="n">
        <v>8.7</v>
      </c>
      <c r="O4171" s="56" t="n">
        <f aca="false">IF(D4171=1,"",E4170)</f>
        <v>25.8</v>
      </c>
      <c r="P4171" s="56" t="n">
        <f aca="false">IF(OR(D4171=1,K4170=""),"",K4170)</f>
        <v>1027.1</v>
      </c>
      <c r="Q4171" s="56" t="n">
        <f aca="false">IF(OR(F4171&lt;&gt;0,AND(I4171&lt;&gt;"",E4171&lt;I4171)),1,0)</f>
        <v>0</v>
      </c>
      <c r="R4171" s="56" t="n">
        <f aca="false">IF(AND(D4171&gt;1,Q4171=0,ISNUMBER(O4171),ISNUMBER(P4171)),IF(Q4170=0,1,0),0)</f>
        <v>1</v>
      </c>
      <c r="S4171" s="56" t="n">
        <f aca="false">R4171*(B4171&gt;=Train_Start)*(B4171&lt;=Train_End)</f>
        <v>0</v>
      </c>
      <c r="T4171" s="84" t="n">
        <f aca="false">IF(AND(ISNUMBER(O4171),ISNUMBER(P4171)),Coef_A+Coef_B1*O4171+Coef_B2*P4171,"")</f>
        <v>25.4459453810668</v>
      </c>
      <c r="U4171" s="84" t="n">
        <f aca="false">IF(AND(R4171=1,ISNUMBER(T4171)),E4171-T4171,"")</f>
        <v>0.854054618933237</v>
      </c>
      <c r="V4171" s="84" t="n">
        <f aca="false">IF(ISNUMBER(T4171),T4171,-99)</f>
        <v>25.4459453810668</v>
      </c>
      <c r="W4171" s="84" t="n">
        <f aca="false">IF(ISNUMBER(U4171),ABS(U4171),"")</f>
        <v>0.854054618933237</v>
      </c>
    </row>
    <row r="4172" customFormat="false" ht="15" hidden="false" customHeight="false" outlineLevel="0" collapsed="false">
      <c r="A4172" s="57" t="n">
        <v>38877</v>
      </c>
      <c r="B4172" s="56" t="n">
        <v>2006</v>
      </c>
      <c r="C4172" s="56" t="n">
        <v>6</v>
      </c>
      <c r="D4172" s="56" t="n">
        <v>40</v>
      </c>
      <c r="E4172" s="56" t="n">
        <v>26.8</v>
      </c>
      <c r="F4172" s="56" t="n">
        <v>0</v>
      </c>
      <c r="G4172" s="56" t="n">
        <v>14.1</v>
      </c>
      <c r="H4172" s="56" t="n">
        <v>0</v>
      </c>
      <c r="I4172" s="56" t="n">
        <v>20.4</v>
      </c>
      <c r="J4172" s="56" t="n">
        <v>0</v>
      </c>
      <c r="K4172" s="56" t="n">
        <v>1023.9</v>
      </c>
      <c r="L4172" s="56" t="n">
        <v>0</v>
      </c>
      <c r="M4172" s="56"/>
      <c r="N4172" s="56" t="n">
        <v>14.1</v>
      </c>
      <c r="O4172" s="56" t="n">
        <f aca="false">IF(D4172=1,"",E4171)</f>
        <v>26.3</v>
      </c>
      <c r="P4172" s="56" t="n">
        <f aca="false">IF(OR(D4172=1,K4171=""),"",K4171)</f>
        <v>1026.1</v>
      </c>
      <c r="Q4172" s="56" t="n">
        <f aca="false">IF(OR(F4172&lt;&gt;0,AND(I4172&lt;&gt;"",E4172&lt;I4172)),1,0)</f>
        <v>0</v>
      </c>
      <c r="R4172" s="56" t="n">
        <f aca="false">IF(AND(D4172&gt;1,Q4172=0,ISNUMBER(O4172),ISNUMBER(P4172)),IF(Q4171=0,1,0),0)</f>
        <v>1</v>
      </c>
      <c r="S4172" s="56" t="n">
        <f aca="false">R4172*(B4172&gt;=Train_Start)*(B4172&lt;=Train_End)</f>
        <v>0</v>
      </c>
      <c r="T4172" s="84" t="n">
        <f aca="false">IF(AND(ISNUMBER(O4172),ISNUMBER(P4172)),Coef_A+Coef_B1*O4172+Coef_B2*P4172,"")</f>
        <v>25.8242450829541</v>
      </c>
      <c r="U4172" s="84" t="n">
        <f aca="false">IF(AND(R4172=1,ISNUMBER(T4172)),E4172-T4172,"")</f>
        <v>0.975754917045897</v>
      </c>
      <c r="V4172" s="84" t="n">
        <f aca="false">IF(ISNUMBER(T4172),T4172,-99)</f>
        <v>25.8242450829541</v>
      </c>
      <c r="W4172" s="84" t="n">
        <f aca="false">IF(ISNUMBER(U4172),ABS(U4172),"")</f>
        <v>0.975754917045897</v>
      </c>
    </row>
    <row r="4173" customFormat="false" ht="15" hidden="false" customHeight="false" outlineLevel="0" collapsed="false">
      <c r="A4173" s="57" t="n">
        <v>38878</v>
      </c>
      <c r="B4173" s="56" t="n">
        <v>2006</v>
      </c>
      <c r="C4173" s="56" t="n">
        <v>6</v>
      </c>
      <c r="D4173" s="56" t="n">
        <v>41</v>
      </c>
      <c r="E4173" s="56" t="n">
        <v>29.4</v>
      </c>
      <c r="F4173" s="56" t="n">
        <v>0</v>
      </c>
      <c r="G4173" s="56" t="n">
        <v>15</v>
      </c>
      <c r="H4173" s="56" t="n">
        <v>0</v>
      </c>
      <c r="I4173" s="56" t="n">
        <v>22.2</v>
      </c>
      <c r="J4173" s="56" t="n">
        <v>0</v>
      </c>
      <c r="K4173" s="56" t="n">
        <v>1018</v>
      </c>
      <c r="L4173" s="56" t="n">
        <v>0</v>
      </c>
      <c r="M4173" s="56" t="n">
        <v>47</v>
      </c>
      <c r="N4173" s="56" t="n">
        <v>14.6</v>
      </c>
      <c r="O4173" s="56" t="n">
        <f aca="false">IF(D4173=1,"",E4172)</f>
        <v>26.8</v>
      </c>
      <c r="P4173" s="56" t="n">
        <f aca="false">IF(OR(D4173=1,K4172=""),"",K4172)</f>
        <v>1023.9</v>
      </c>
      <c r="Q4173" s="56" t="n">
        <f aca="false">IF(OR(F4173&lt;&gt;0,AND(I4173&lt;&gt;"",E4173&lt;I4173)),1,0)</f>
        <v>0</v>
      </c>
      <c r="R4173" s="56" t="n">
        <f aca="false">IF(AND(D4173&gt;1,Q4173=0,ISNUMBER(O4173),ISNUMBER(P4173)),IF(Q4172=0,1,0),0)</f>
        <v>1</v>
      </c>
      <c r="S4173" s="56" t="n">
        <f aca="false">R4173*(B4173&gt;=Train_Start)*(B4173&lt;=Train_End)</f>
        <v>0</v>
      </c>
      <c r="T4173" s="84" t="n">
        <f aca="false">IF(AND(ISNUMBER(O4173),ISNUMBER(P4173)),Coef_A+Coef_B1*O4173+Coef_B2*P4173,"")</f>
        <v>26.1649009112807</v>
      </c>
      <c r="U4173" s="84" t="n">
        <f aca="false">IF(AND(R4173=1,ISNUMBER(T4173)),E4173-T4173,"")</f>
        <v>3.23509908871934</v>
      </c>
      <c r="V4173" s="84" t="n">
        <f aca="false">IF(ISNUMBER(T4173),T4173,-99)</f>
        <v>26.1649009112807</v>
      </c>
      <c r="W4173" s="84" t="n">
        <f aca="false">IF(ISNUMBER(U4173),ABS(U4173),"")</f>
        <v>3.23509908871934</v>
      </c>
    </row>
    <row r="4174" customFormat="false" ht="15" hidden="false" customHeight="false" outlineLevel="0" collapsed="false">
      <c r="A4174" s="57" t="n">
        <v>38879</v>
      </c>
      <c r="B4174" s="56" t="n">
        <v>2006</v>
      </c>
      <c r="C4174" s="56" t="n">
        <v>6</v>
      </c>
      <c r="D4174" s="56" t="n">
        <v>42</v>
      </c>
      <c r="E4174" s="56" t="n">
        <v>28.3</v>
      </c>
      <c r="F4174" s="56" t="n">
        <v>0</v>
      </c>
      <c r="G4174" s="56" t="n">
        <v>18.3</v>
      </c>
      <c r="H4174" s="56" t="n">
        <v>0</v>
      </c>
      <c r="I4174" s="56" t="n">
        <v>23.3</v>
      </c>
      <c r="J4174" s="56" t="n">
        <v>0</v>
      </c>
      <c r="K4174" s="56" t="n">
        <v>1020.1</v>
      </c>
      <c r="L4174" s="56" t="n">
        <v>0</v>
      </c>
      <c r="M4174" s="56" t="n">
        <v>56</v>
      </c>
      <c r="N4174" s="56" t="n">
        <v>10.7</v>
      </c>
      <c r="O4174" s="56" t="n">
        <f aca="false">IF(D4174=1,"",E4173)</f>
        <v>29.4</v>
      </c>
      <c r="P4174" s="56" t="n">
        <f aca="false">IF(OR(D4174=1,K4173=""),"",K4173)</f>
        <v>1018</v>
      </c>
      <c r="Q4174" s="56" t="n">
        <f aca="false">IF(OR(F4174&lt;&gt;0,AND(I4174&lt;&gt;"",E4174&lt;I4174)),1,0)</f>
        <v>0</v>
      </c>
      <c r="R4174" s="56" t="n">
        <f aca="false">IF(AND(D4174&gt;1,Q4174=0,ISNUMBER(O4174),ISNUMBER(P4174)),IF(Q4173=0,1,0),0)</f>
        <v>1</v>
      </c>
      <c r="S4174" s="56" t="n">
        <f aca="false">R4174*(B4174&gt;=Train_Start)*(B4174&lt;=Train_End)</f>
        <v>0</v>
      </c>
      <c r="T4174" s="84" t="n">
        <f aca="false">IF(AND(ISNUMBER(O4174),ISNUMBER(P4174)),Coef_A+Coef_B1*O4174+Coef_B2*P4174,"")</f>
        <v>28.110100434851</v>
      </c>
      <c r="U4174" s="84" t="n">
        <f aca="false">IF(AND(R4174=1,ISNUMBER(T4174)),E4174-T4174,"")</f>
        <v>0.18989956514897</v>
      </c>
      <c r="V4174" s="84" t="n">
        <f aca="false">IF(ISNUMBER(T4174),T4174,-99)</f>
        <v>28.110100434851</v>
      </c>
      <c r="W4174" s="84" t="n">
        <f aca="false">IF(ISNUMBER(U4174),ABS(U4174),"")</f>
        <v>0.18989956514897</v>
      </c>
    </row>
    <row r="4175" customFormat="false" ht="15" hidden="false" customHeight="false" outlineLevel="0" collapsed="false">
      <c r="A4175" s="57" t="n">
        <v>38880</v>
      </c>
      <c r="B4175" s="56" t="n">
        <v>2006</v>
      </c>
      <c r="C4175" s="56" t="n">
        <v>6</v>
      </c>
      <c r="D4175" s="56" t="n">
        <v>43</v>
      </c>
      <c r="E4175" s="56" t="n">
        <v>31.4</v>
      </c>
      <c r="F4175" s="56" t="n">
        <v>0</v>
      </c>
      <c r="G4175" s="56" t="n">
        <v>19.3</v>
      </c>
      <c r="H4175" s="56" t="n">
        <v>0</v>
      </c>
      <c r="I4175" s="56" t="n">
        <v>25.4</v>
      </c>
      <c r="J4175" s="56" t="n">
        <v>0</v>
      </c>
      <c r="K4175" s="56" t="n">
        <v>1019.1</v>
      </c>
      <c r="L4175" s="56" t="n">
        <v>0</v>
      </c>
      <c r="M4175" s="56" t="n">
        <v>54</v>
      </c>
      <c r="N4175" s="56" t="n">
        <v>9.6</v>
      </c>
      <c r="O4175" s="56" t="n">
        <f aca="false">IF(D4175=1,"",E4174)</f>
        <v>28.3</v>
      </c>
      <c r="P4175" s="56" t="n">
        <f aca="false">IF(OR(D4175=1,K4174=""),"",K4174)</f>
        <v>1020.1</v>
      </c>
      <c r="Q4175" s="56" t="n">
        <f aca="false">IF(OR(F4175&lt;&gt;0,AND(I4175&lt;&gt;"",E4175&lt;I4175)),1,0)</f>
        <v>0</v>
      </c>
      <c r="R4175" s="56" t="n">
        <f aca="false">IF(AND(D4175&gt;1,Q4175=0,ISNUMBER(O4175),ISNUMBER(P4175)),IF(Q4174=0,1,0),0)</f>
        <v>1</v>
      </c>
      <c r="S4175" s="56" t="n">
        <f aca="false">R4175*(B4175&gt;=Train_Start)*(B4175&lt;=Train_End)</f>
        <v>0</v>
      </c>
      <c r="T4175" s="84" t="n">
        <f aca="false">IF(AND(ISNUMBER(O4175),ISNUMBER(P4175)),Coef_A+Coef_B1*O4175+Coef_B2*P4175,"")</f>
        <v>27.2747041012355</v>
      </c>
      <c r="U4175" s="84" t="n">
        <f aca="false">IF(AND(R4175=1,ISNUMBER(T4175)),E4175-T4175,"")</f>
        <v>4.12529589876451</v>
      </c>
      <c r="V4175" s="84" t="n">
        <f aca="false">IF(ISNUMBER(T4175),T4175,-99)</f>
        <v>27.2747041012355</v>
      </c>
      <c r="W4175" s="84" t="n">
        <f aca="false">IF(ISNUMBER(U4175),ABS(U4175),"")</f>
        <v>4.12529589876451</v>
      </c>
    </row>
    <row r="4176" customFormat="false" ht="15" hidden="false" customHeight="false" outlineLevel="0" collapsed="false">
      <c r="A4176" s="57" t="n">
        <v>38881</v>
      </c>
      <c r="B4176" s="56" t="n">
        <v>2006</v>
      </c>
      <c r="C4176" s="56" t="n">
        <v>6</v>
      </c>
      <c r="D4176" s="56" t="n">
        <v>44</v>
      </c>
      <c r="E4176" s="56" t="n">
        <v>25.2</v>
      </c>
      <c r="F4176" s="56" t="n">
        <v>0</v>
      </c>
      <c r="G4176" s="56" t="n">
        <v>16.3</v>
      </c>
      <c r="H4176" s="56" t="n">
        <v>0</v>
      </c>
      <c r="I4176" s="56" t="n">
        <v>20.8</v>
      </c>
      <c r="J4176" s="56" t="n">
        <v>0</v>
      </c>
      <c r="K4176" s="56" t="n">
        <v>1020.8</v>
      </c>
      <c r="L4176" s="56" t="n">
        <v>0</v>
      </c>
      <c r="M4176" s="56" t="n">
        <v>80</v>
      </c>
      <c r="N4176" s="56" t="n">
        <v>3.4</v>
      </c>
      <c r="O4176" s="56" t="n">
        <f aca="false">IF(D4176=1,"",E4175)</f>
        <v>31.4</v>
      </c>
      <c r="P4176" s="56" t="n">
        <f aca="false">IF(OR(D4176=1,K4175=""),"",K4175)</f>
        <v>1019.1</v>
      </c>
      <c r="Q4176" s="56" t="n">
        <f aca="false">IF(OR(F4176&lt;&gt;0,AND(I4176&lt;&gt;"",E4176&lt;I4176)),1,0)</f>
        <v>0</v>
      </c>
      <c r="R4176" s="56" t="n">
        <f aca="false">IF(AND(D4176&gt;1,Q4176=0,ISNUMBER(O4176),ISNUMBER(P4176)),IF(Q4175=0,1,0),0)</f>
        <v>1</v>
      </c>
      <c r="S4176" s="56" t="n">
        <f aca="false">R4176*(B4176&gt;=Train_Start)*(B4176&lt;=Train_End)</f>
        <v>0</v>
      </c>
      <c r="T4176" s="84" t="n">
        <f aca="false">IF(AND(ISNUMBER(O4176),ISNUMBER(P4176)),Coef_A+Coef_B1*O4176+Coef_B2*P4176,"")</f>
        <v>29.7832857050337</v>
      </c>
      <c r="U4176" s="84" t="n">
        <f aca="false">IF(AND(R4176=1,ISNUMBER(T4176)),E4176-T4176,"")</f>
        <v>-4.58328570503374</v>
      </c>
      <c r="V4176" s="84" t="n">
        <f aca="false">IF(ISNUMBER(T4176),T4176,-99)</f>
        <v>29.7832857050337</v>
      </c>
      <c r="W4176" s="84" t="n">
        <f aca="false">IF(ISNUMBER(U4176),ABS(U4176),"")</f>
        <v>4.58328570503374</v>
      </c>
    </row>
    <row r="4177" customFormat="false" ht="15" hidden="false" customHeight="false" outlineLevel="0" collapsed="false">
      <c r="A4177" s="57" t="n">
        <v>38882</v>
      </c>
      <c r="B4177" s="56" t="n">
        <v>2006</v>
      </c>
      <c r="C4177" s="56" t="n">
        <v>6</v>
      </c>
      <c r="D4177" s="56" t="n">
        <v>45</v>
      </c>
      <c r="E4177" s="56" t="n">
        <v>19</v>
      </c>
      <c r="F4177" s="56" t="n">
        <v>0</v>
      </c>
      <c r="G4177" s="56" t="n">
        <v>14.5</v>
      </c>
      <c r="H4177" s="56" t="n">
        <v>0</v>
      </c>
      <c r="I4177" s="56" t="n">
        <v>16.8</v>
      </c>
      <c r="J4177" s="56" t="n">
        <v>0</v>
      </c>
      <c r="K4177" s="56" t="n">
        <v>1021.5</v>
      </c>
      <c r="L4177" s="56" t="n">
        <v>0</v>
      </c>
      <c r="M4177" s="56" t="n">
        <v>76</v>
      </c>
      <c r="N4177" s="56" t="n">
        <v>1.7</v>
      </c>
      <c r="O4177" s="56" t="n">
        <f aca="false">IF(D4177=1,"",E4176)</f>
        <v>25.2</v>
      </c>
      <c r="P4177" s="56" t="n">
        <f aca="false">IF(OR(D4177=1,K4176=""),"",K4176)</f>
        <v>1020.8</v>
      </c>
      <c r="Q4177" s="56" t="n">
        <f aca="false">IF(OR(F4177&lt;&gt;0,AND(I4177&lt;&gt;"",E4177&lt;I4177)),1,0)</f>
        <v>0</v>
      </c>
      <c r="R4177" s="56" t="n">
        <f aca="false">IF(AND(D4177&gt;1,Q4177=0,ISNUMBER(O4177),ISNUMBER(P4177)),IF(Q4176=0,1,0),0)</f>
        <v>1</v>
      </c>
      <c r="S4177" s="56" t="n">
        <f aca="false">R4177*(B4177&gt;=Train_Start)*(B4177&lt;=Train_End)</f>
        <v>0</v>
      </c>
      <c r="T4177" s="84" t="n">
        <f aca="false">IF(AND(ISNUMBER(O4177),ISNUMBER(P4177)),Coef_A+Coef_B1*O4177+Coef_B2*P4177,"")</f>
        <v>24.756711529047</v>
      </c>
      <c r="U4177" s="84" t="n">
        <f aca="false">IF(AND(R4177=1,ISNUMBER(T4177)),E4177-T4177,"")</f>
        <v>-5.75671152904704</v>
      </c>
      <c r="V4177" s="84" t="n">
        <f aca="false">IF(ISNUMBER(T4177),T4177,-99)</f>
        <v>24.756711529047</v>
      </c>
      <c r="W4177" s="84" t="n">
        <f aca="false">IF(ISNUMBER(U4177),ABS(U4177),"")</f>
        <v>5.75671152904704</v>
      </c>
    </row>
    <row r="4178" customFormat="false" ht="15" hidden="false" customHeight="false" outlineLevel="0" collapsed="false">
      <c r="A4178" s="57" t="n">
        <v>38883</v>
      </c>
      <c r="B4178" s="56" t="n">
        <v>2006</v>
      </c>
      <c r="C4178" s="56" t="n">
        <v>6</v>
      </c>
      <c r="D4178" s="56" t="n">
        <v>46</v>
      </c>
      <c r="E4178" s="56" t="n">
        <v>21.2</v>
      </c>
      <c r="F4178" s="56" t="n">
        <v>0</v>
      </c>
      <c r="G4178" s="56" t="n">
        <v>11</v>
      </c>
      <c r="H4178" s="56" t="n">
        <v>0</v>
      </c>
      <c r="I4178" s="56" t="n">
        <v>16.1</v>
      </c>
      <c r="J4178" s="56" t="n">
        <v>0</v>
      </c>
      <c r="K4178" s="56" t="n">
        <v>1021.4</v>
      </c>
      <c r="L4178" s="56" t="n">
        <v>0</v>
      </c>
      <c r="M4178" s="56" t="n">
        <v>62</v>
      </c>
      <c r="N4178" s="56" t="n">
        <v>8.4</v>
      </c>
      <c r="O4178" s="56" t="n">
        <f aca="false">IF(D4178=1,"",E4177)</f>
        <v>19</v>
      </c>
      <c r="P4178" s="56" t="n">
        <f aca="false">IF(OR(D4178=1,K4177=""),"",K4177)</f>
        <v>1021.5</v>
      </c>
      <c r="Q4178" s="56" t="n">
        <f aca="false">IF(OR(F4178&lt;&gt;0,AND(I4178&lt;&gt;"",E4178&lt;I4178)),1,0)</f>
        <v>0</v>
      </c>
      <c r="R4178" s="56" t="n">
        <f aca="false">IF(AND(D4178&gt;1,Q4178=0,ISNUMBER(O4178),ISNUMBER(P4178)),IF(Q4177=0,1,0),0)</f>
        <v>1</v>
      </c>
      <c r="S4178" s="56" t="n">
        <f aca="false">R4178*(B4178&gt;=Train_Start)*(B4178&lt;=Train_End)</f>
        <v>0</v>
      </c>
      <c r="T4178" s="84" t="n">
        <f aca="false">IF(AND(ISNUMBER(O4178),ISNUMBER(P4178)),Coef_A+Coef_B1*O4178+Coef_B2*P4178,"")</f>
        <v>19.6987674584264</v>
      </c>
      <c r="U4178" s="84" t="n">
        <f aca="false">IF(AND(R4178=1,ISNUMBER(T4178)),E4178-T4178,"")</f>
        <v>1.50123254157364</v>
      </c>
      <c r="V4178" s="84" t="n">
        <f aca="false">IF(ISNUMBER(T4178),T4178,-99)</f>
        <v>19.6987674584264</v>
      </c>
      <c r="W4178" s="84" t="n">
        <f aca="false">IF(ISNUMBER(U4178),ABS(U4178),"")</f>
        <v>1.50123254157364</v>
      </c>
    </row>
    <row r="4179" customFormat="false" ht="15" hidden="false" customHeight="false" outlineLevel="0" collapsed="false">
      <c r="A4179" s="57" t="n">
        <v>38884</v>
      </c>
      <c r="B4179" s="56" t="n">
        <v>2006</v>
      </c>
      <c r="C4179" s="56" t="n">
        <v>6</v>
      </c>
      <c r="D4179" s="56" t="n">
        <v>47</v>
      </c>
      <c r="E4179" s="56" t="n">
        <v>24.5</v>
      </c>
      <c r="F4179" s="56" t="n">
        <v>0</v>
      </c>
      <c r="G4179" s="56" t="n">
        <v>11.9</v>
      </c>
      <c r="H4179" s="56" t="n">
        <v>0</v>
      </c>
      <c r="I4179" s="56" t="n">
        <v>18.2</v>
      </c>
      <c r="J4179" s="56" t="n">
        <v>0</v>
      </c>
      <c r="K4179" s="56" t="n">
        <v>1019.6</v>
      </c>
      <c r="L4179" s="56" t="n">
        <v>0</v>
      </c>
      <c r="M4179" s="56" t="n">
        <v>61</v>
      </c>
      <c r="N4179" s="56" t="n">
        <v>11.5</v>
      </c>
      <c r="O4179" s="56" t="n">
        <f aca="false">IF(D4179=1,"",E4178)</f>
        <v>21.2</v>
      </c>
      <c r="P4179" s="56" t="n">
        <f aca="false">IF(OR(D4179=1,K4178=""),"",K4178)</f>
        <v>1021.4</v>
      </c>
      <c r="Q4179" s="56" t="n">
        <f aca="false">IF(OR(F4179&lt;&gt;0,AND(I4179&lt;&gt;"",E4179&lt;I4179)),1,0)</f>
        <v>0</v>
      </c>
      <c r="R4179" s="56" t="n">
        <f aca="false">IF(AND(D4179&gt;1,Q4179=0,ISNUMBER(O4179),ISNUMBER(P4179)),IF(Q4178=0,1,0),0)</f>
        <v>1</v>
      </c>
      <c r="S4179" s="56" t="n">
        <f aca="false">R4179*(B4179&gt;=Train_Start)*(B4179&lt;=Train_End)</f>
        <v>0</v>
      </c>
      <c r="T4179" s="84" t="n">
        <f aca="false">IF(AND(ISNUMBER(O4179),ISNUMBER(P4179)),Coef_A+Coef_B1*O4179+Coef_B2*P4179,"")</f>
        <v>21.4981766936568</v>
      </c>
      <c r="U4179" s="84" t="n">
        <f aca="false">IF(AND(R4179=1,ISNUMBER(T4179)),E4179-T4179,"")</f>
        <v>3.00182330634319</v>
      </c>
      <c r="V4179" s="84" t="n">
        <f aca="false">IF(ISNUMBER(T4179),T4179,-99)</f>
        <v>21.4981766936568</v>
      </c>
      <c r="W4179" s="84" t="n">
        <f aca="false">IF(ISNUMBER(U4179),ABS(U4179),"")</f>
        <v>3.00182330634319</v>
      </c>
    </row>
    <row r="4180" customFormat="false" ht="15" hidden="false" customHeight="false" outlineLevel="0" collapsed="false">
      <c r="A4180" s="57" t="n">
        <v>38885</v>
      </c>
      <c r="B4180" s="56" t="n">
        <v>2006</v>
      </c>
      <c r="C4180" s="56" t="n">
        <v>6</v>
      </c>
      <c r="D4180" s="56" t="n">
        <v>48</v>
      </c>
      <c r="E4180" s="56" t="n">
        <v>28</v>
      </c>
      <c r="F4180" s="56" t="n">
        <v>0</v>
      </c>
      <c r="G4180" s="56" t="n">
        <v>15.5</v>
      </c>
      <c r="H4180" s="56" t="n">
        <v>0</v>
      </c>
      <c r="I4180" s="56" t="n">
        <v>21.8</v>
      </c>
      <c r="J4180" s="56" t="n">
        <v>0</v>
      </c>
      <c r="K4180" s="56" t="n">
        <v>1018.4</v>
      </c>
      <c r="L4180" s="56" t="n">
        <v>0</v>
      </c>
      <c r="M4180" s="56" t="n">
        <v>55</v>
      </c>
      <c r="N4180" s="56" t="n">
        <v>11.5</v>
      </c>
      <c r="O4180" s="56" t="n">
        <f aca="false">IF(D4180=1,"",E4179)</f>
        <v>24.5</v>
      </c>
      <c r="P4180" s="56" t="n">
        <f aca="false">IF(OR(D4180=1,K4179=""),"",K4179)</f>
        <v>1019.6</v>
      </c>
      <c r="Q4180" s="56" t="n">
        <f aca="false">IF(OR(F4180&lt;&gt;0,AND(I4180&lt;&gt;"",E4180&lt;I4180)),1,0)</f>
        <v>0</v>
      </c>
      <c r="R4180" s="56" t="n">
        <f aca="false">IF(AND(D4180&gt;1,Q4180=0,ISNUMBER(O4180),ISNUMBER(P4180)),IF(Q4179=0,1,0),0)</f>
        <v>1</v>
      </c>
      <c r="S4180" s="56" t="n">
        <f aca="false">R4180*(B4180&gt;=Train_Start)*(B4180&lt;=Train_End)</f>
        <v>0</v>
      </c>
      <c r="T4180" s="84" t="n">
        <f aca="false">IF(AND(ISNUMBER(O4180),ISNUMBER(P4180)),Coef_A+Coef_B1*O4180+Coef_B2*P4180,"")</f>
        <v>24.1455302203564</v>
      </c>
      <c r="U4180" s="84" t="n">
        <f aca="false">IF(AND(R4180=1,ISNUMBER(T4180)),E4180-T4180,"")</f>
        <v>3.85446977964361</v>
      </c>
      <c r="V4180" s="84" t="n">
        <f aca="false">IF(ISNUMBER(T4180),T4180,-99)</f>
        <v>24.1455302203564</v>
      </c>
      <c r="W4180" s="84" t="n">
        <f aca="false">IF(ISNUMBER(U4180),ABS(U4180),"")</f>
        <v>3.85446977964361</v>
      </c>
    </row>
    <row r="4181" customFormat="false" ht="15" hidden="false" customHeight="false" outlineLevel="0" collapsed="false">
      <c r="A4181" s="57" t="n">
        <v>38886</v>
      </c>
      <c r="B4181" s="56" t="n">
        <v>2006</v>
      </c>
      <c r="C4181" s="56" t="n">
        <v>6</v>
      </c>
      <c r="D4181" s="56" t="n">
        <v>49</v>
      </c>
      <c r="E4181" s="56" t="n">
        <v>26.1</v>
      </c>
      <c r="F4181" s="56" t="n">
        <v>0</v>
      </c>
      <c r="G4181" s="56" t="n">
        <v>15.1</v>
      </c>
      <c r="H4181" s="56" t="n">
        <v>0</v>
      </c>
      <c r="I4181" s="56" t="n">
        <v>20.6</v>
      </c>
      <c r="J4181" s="56" t="n">
        <v>0</v>
      </c>
      <c r="K4181" s="56" t="n">
        <v>1012.7</v>
      </c>
      <c r="L4181" s="56" t="n">
        <v>0</v>
      </c>
      <c r="M4181" s="56" t="n">
        <v>56</v>
      </c>
      <c r="N4181" s="56" t="n">
        <v>4.3</v>
      </c>
      <c r="O4181" s="56" t="n">
        <f aca="false">IF(D4181=1,"",E4180)</f>
        <v>28</v>
      </c>
      <c r="P4181" s="56" t="n">
        <f aca="false">IF(OR(D4181=1,K4180=""),"",K4180)</f>
        <v>1018.4</v>
      </c>
      <c r="Q4181" s="56" t="n">
        <f aca="false">IF(OR(F4181&lt;&gt;0,AND(I4181&lt;&gt;"",E4181&lt;I4181)),1,0)</f>
        <v>0</v>
      </c>
      <c r="R4181" s="56" t="n">
        <f aca="false">IF(AND(D4181&gt;1,Q4181=0,ISNUMBER(O4181),ISNUMBER(P4181)),IF(Q4180=0,1,0),0)</f>
        <v>1</v>
      </c>
      <c r="S4181" s="56" t="n">
        <f aca="false">R4181*(B4181&gt;=Train_Start)*(B4181&lt;=Train_End)</f>
        <v>0</v>
      </c>
      <c r="T4181" s="84" t="n">
        <f aca="false">IF(AND(ISNUMBER(O4181),ISNUMBER(P4181)),Coef_A+Coef_B1*O4181+Coef_B2*P4181,"")</f>
        <v>26.9755735224449</v>
      </c>
      <c r="U4181" s="84" t="n">
        <f aca="false">IF(AND(R4181=1,ISNUMBER(T4181)),E4181-T4181,"")</f>
        <v>-0.875573522444906</v>
      </c>
      <c r="V4181" s="84" t="n">
        <f aca="false">IF(ISNUMBER(T4181),T4181,-99)</f>
        <v>26.9755735224449</v>
      </c>
      <c r="W4181" s="84" t="n">
        <f aca="false">IF(ISNUMBER(U4181),ABS(U4181),"")</f>
        <v>0.875573522444906</v>
      </c>
    </row>
    <row r="4182" customFormat="false" ht="15" hidden="false" customHeight="false" outlineLevel="0" collapsed="false">
      <c r="A4182" s="57" t="n">
        <v>38887</v>
      </c>
      <c r="B4182" s="56" t="n">
        <v>2006</v>
      </c>
      <c r="C4182" s="56" t="n">
        <v>6</v>
      </c>
      <c r="D4182" s="56" t="n">
        <v>50</v>
      </c>
      <c r="E4182" s="56" t="n">
        <v>21.6</v>
      </c>
      <c r="F4182" s="56" t="n">
        <v>0</v>
      </c>
      <c r="G4182" s="56" t="n">
        <v>15.5</v>
      </c>
      <c r="H4182" s="56" t="n">
        <v>0</v>
      </c>
      <c r="I4182" s="56" t="n">
        <v>18.6</v>
      </c>
      <c r="J4182" s="56" t="n">
        <v>0</v>
      </c>
      <c r="K4182" s="56" t="n">
        <v>1010.5</v>
      </c>
      <c r="L4182" s="56" t="n">
        <v>0</v>
      </c>
      <c r="M4182" s="56" t="n">
        <v>67</v>
      </c>
      <c r="N4182" s="56" t="n">
        <v>0.5</v>
      </c>
      <c r="O4182" s="56" t="n">
        <f aca="false">IF(D4182=1,"",E4181)</f>
        <v>26.1</v>
      </c>
      <c r="P4182" s="56" t="n">
        <f aca="false">IF(OR(D4182=1,K4181=""),"",K4181)</f>
        <v>1012.7</v>
      </c>
      <c r="Q4182" s="56" t="n">
        <f aca="false">IF(OR(F4182&lt;&gt;0,AND(I4182&lt;&gt;"",E4182&lt;I4182)),1,0)</f>
        <v>0</v>
      </c>
      <c r="R4182" s="56" t="n">
        <f aca="false">IF(AND(D4182&gt;1,Q4182=0,ISNUMBER(O4182),ISNUMBER(P4182)),IF(Q4181=0,1,0),0)</f>
        <v>1</v>
      </c>
      <c r="S4182" s="56" t="n">
        <f aca="false">R4182*(B4182&gt;=Train_Start)*(B4182&lt;=Train_End)</f>
        <v>0</v>
      </c>
      <c r="T4182" s="84" t="n">
        <f aca="false">IF(AND(ISNUMBER(O4182),ISNUMBER(P4182)),Coef_A+Coef_B1*O4182+Coef_B2*P4182,"")</f>
        <v>25.2400206562501</v>
      </c>
      <c r="U4182" s="84" t="n">
        <f aca="false">IF(AND(R4182=1,ISNUMBER(T4182)),E4182-T4182,"")</f>
        <v>-3.64002065625012</v>
      </c>
      <c r="V4182" s="84" t="n">
        <f aca="false">IF(ISNUMBER(T4182),T4182,-99)</f>
        <v>25.2400206562501</v>
      </c>
      <c r="W4182" s="84" t="n">
        <f aca="false">IF(ISNUMBER(U4182),ABS(U4182),"")</f>
        <v>3.64002065625012</v>
      </c>
    </row>
    <row r="4183" customFormat="false" ht="15" hidden="false" customHeight="false" outlineLevel="0" collapsed="false">
      <c r="A4183" s="57" t="n">
        <v>38888</v>
      </c>
      <c r="B4183" s="56" t="n">
        <v>2006</v>
      </c>
      <c r="C4183" s="56" t="n">
        <v>6</v>
      </c>
      <c r="D4183" s="56" t="n">
        <v>51</v>
      </c>
      <c r="E4183" s="56" t="n">
        <v>23.5</v>
      </c>
      <c r="F4183" s="56" t="n">
        <v>0</v>
      </c>
      <c r="G4183" s="56" t="n">
        <v>14.3</v>
      </c>
      <c r="H4183" s="56" t="n">
        <v>0</v>
      </c>
      <c r="I4183" s="56" t="n">
        <v>18.9</v>
      </c>
      <c r="J4183" s="56" t="n">
        <v>0</v>
      </c>
      <c r="K4183" s="56" t="n">
        <v>1012.6</v>
      </c>
      <c r="L4183" s="56" t="n">
        <v>0</v>
      </c>
      <c r="M4183" s="56" t="n">
        <v>65</v>
      </c>
      <c r="N4183" s="56" t="n">
        <v>5.9</v>
      </c>
      <c r="O4183" s="56" t="n">
        <f aca="false">IF(D4183=1,"",E4182)</f>
        <v>21.6</v>
      </c>
      <c r="P4183" s="56" t="n">
        <f aca="false">IF(OR(D4183=1,K4182=""),"",K4182)</f>
        <v>1010.5</v>
      </c>
      <c r="Q4183" s="56" t="n">
        <f aca="false">IF(OR(F4183&lt;&gt;0,AND(I4183&lt;&gt;"",E4183&lt;I4183)),1,0)</f>
        <v>0</v>
      </c>
      <c r="R4183" s="56" t="n">
        <f aca="false">IF(AND(D4183&gt;1,Q4183=0,ISNUMBER(O4183),ISNUMBER(P4183)),IF(Q4182=0,1,0),0)</f>
        <v>1</v>
      </c>
      <c r="S4183" s="56" t="n">
        <f aca="false">R4183*(B4183&gt;=Train_Start)*(B4183&lt;=Train_End)</f>
        <v>0</v>
      </c>
      <c r="T4183" s="84" t="n">
        <f aca="false">IF(AND(ISNUMBER(O4183),ISNUMBER(P4183)),Coef_A+Coef_B1*O4183+Coef_B2*P4183,"")</f>
        <v>21.4839805193634</v>
      </c>
      <c r="U4183" s="84" t="n">
        <f aca="false">IF(AND(R4183=1,ISNUMBER(T4183)),E4183-T4183,"")</f>
        <v>2.01601948063662</v>
      </c>
      <c r="V4183" s="84" t="n">
        <f aca="false">IF(ISNUMBER(T4183),T4183,-99)</f>
        <v>21.4839805193634</v>
      </c>
      <c r="W4183" s="84" t="n">
        <f aca="false">IF(ISNUMBER(U4183),ABS(U4183),"")</f>
        <v>2.01601948063662</v>
      </c>
    </row>
    <row r="4184" customFormat="false" ht="15" hidden="false" customHeight="false" outlineLevel="0" collapsed="false">
      <c r="A4184" s="57" t="n">
        <v>38889</v>
      </c>
      <c r="B4184" s="56" t="n">
        <v>2006</v>
      </c>
      <c r="C4184" s="56" t="n">
        <v>6</v>
      </c>
      <c r="D4184" s="56" t="n">
        <v>52</v>
      </c>
      <c r="E4184" s="56" t="n">
        <v>20.7</v>
      </c>
      <c r="F4184" s="56" t="n">
        <v>0</v>
      </c>
      <c r="G4184" s="56" t="n">
        <v>14.2</v>
      </c>
      <c r="H4184" s="56" t="n">
        <v>0</v>
      </c>
      <c r="I4184" s="56" t="n">
        <v>17.4</v>
      </c>
      <c r="J4184" s="56" t="n">
        <v>0</v>
      </c>
      <c r="K4184" s="56" t="n">
        <v>1009.3</v>
      </c>
      <c r="L4184" s="56" t="n">
        <v>0</v>
      </c>
      <c r="M4184" s="56" t="n">
        <v>62</v>
      </c>
      <c r="N4184" s="56" t="n">
        <v>6.6</v>
      </c>
      <c r="O4184" s="56" t="n">
        <f aca="false">IF(D4184=1,"",E4183)</f>
        <v>23.5</v>
      </c>
      <c r="P4184" s="56" t="n">
        <f aca="false">IF(OR(D4184=1,K4183=""),"",K4183)</f>
        <v>1012.6</v>
      </c>
      <c r="Q4184" s="56" t="n">
        <f aca="false">IF(OR(F4184&lt;&gt;0,AND(I4184&lt;&gt;"",E4184&lt;I4184)),1,0)</f>
        <v>0</v>
      </c>
      <c r="R4184" s="56" t="n">
        <f aca="false">IF(AND(D4184&gt;1,Q4184=0,ISNUMBER(O4184),ISNUMBER(P4184)),IF(Q4183=0,1,0),0)</f>
        <v>1</v>
      </c>
      <c r="S4184" s="56" t="n">
        <f aca="false">R4184*(B4184&gt;=Train_Start)*(B4184&lt;=Train_End)</f>
        <v>0</v>
      </c>
      <c r="T4184" s="84" t="n">
        <f aca="false">IF(AND(ISNUMBER(O4184),ISNUMBER(P4184)),Coef_A+Coef_B1*O4184+Coef_B2*P4184,"")</f>
        <v>23.1066017648758</v>
      </c>
      <c r="U4184" s="84" t="n">
        <f aca="false">IF(AND(R4184=1,ISNUMBER(T4184)),E4184-T4184,"")</f>
        <v>-2.40660176487581</v>
      </c>
      <c r="V4184" s="84" t="n">
        <f aca="false">IF(ISNUMBER(T4184),T4184,-99)</f>
        <v>23.1066017648758</v>
      </c>
      <c r="W4184" s="84" t="n">
        <f aca="false">IF(ISNUMBER(U4184),ABS(U4184),"")</f>
        <v>2.40660176487581</v>
      </c>
    </row>
    <row r="4185" customFormat="false" ht="15" hidden="false" customHeight="false" outlineLevel="0" collapsed="false">
      <c r="A4185" s="57" t="n">
        <v>38890</v>
      </c>
      <c r="B4185" s="56" t="n">
        <v>2006</v>
      </c>
      <c r="C4185" s="56" t="n">
        <v>6</v>
      </c>
      <c r="D4185" s="56" t="n">
        <v>53</v>
      </c>
      <c r="E4185" s="56" t="n">
        <v>21</v>
      </c>
      <c r="F4185" s="56" t="n">
        <v>0</v>
      </c>
      <c r="G4185" s="56" t="n">
        <v>10.7</v>
      </c>
      <c r="H4185" s="56" t="n">
        <v>0</v>
      </c>
      <c r="I4185" s="56" t="n">
        <v>15.8</v>
      </c>
      <c r="J4185" s="56" t="n">
        <v>0</v>
      </c>
      <c r="K4185" s="56" t="n">
        <v>1013</v>
      </c>
      <c r="L4185" s="56" t="n">
        <v>0</v>
      </c>
      <c r="M4185" s="56" t="n">
        <v>56</v>
      </c>
      <c r="N4185" s="56" t="n">
        <v>6.4</v>
      </c>
      <c r="O4185" s="56" t="n">
        <f aca="false">IF(D4185=1,"",E4184)</f>
        <v>20.7</v>
      </c>
      <c r="P4185" s="56" t="n">
        <f aca="false">IF(OR(D4185=1,K4184=""),"",K4184)</f>
        <v>1009.3</v>
      </c>
      <c r="Q4185" s="56" t="n">
        <f aca="false">IF(OR(F4185&lt;&gt;0,AND(I4185&lt;&gt;"",E4185&lt;I4185)),1,0)</f>
        <v>0</v>
      </c>
      <c r="R4185" s="56" t="n">
        <f aca="false">IF(AND(D4185&gt;1,Q4185=0,ISNUMBER(O4185),ISNUMBER(P4185)),IF(Q4184=0,1,0),0)</f>
        <v>1</v>
      </c>
      <c r="S4185" s="56" t="n">
        <f aca="false">R4185*(B4185&gt;=Train_Start)*(B4185&lt;=Train_End)</f>
        <v>0</v>
      </c>
      <c r="T4185" s="84" t="n">
        <f aca="false">IF(AND(ISNUMBER(O4185),ISNUMBER(P4185)),Coef_A+Coef_B1*O4185+Coef_B2*P4185,"")</f>
        <v>20.7089313720642</v>
      </c>
      <c r="U4185" s="84" t="n">
        <f aca="false">IF(AND(R4185=1,ISNUMBER(T4185)),E4185-T4185,"")</f>
        <v>0.2910686279358</v>
      </c>
      <c r="V4185" s="84" t="n">
        <f aca="false">IF(ISNUMBER(T4185),T4185,-99)</f>
        <v>20.7089313720642</v>
      </c>
      <c r="W4185" s="84" t="n">
        <f aca="false">IF(ISNUMBER(U4185),ABS(U4185),"")</f>
        <v>0.2910686279358</v>
      </c>
    </row>
    <row r="4186" customFormat="false" ht="15" hidden="false" customHeight="false" outlineLevel="0" collapsed="false">
      <c r="A4186" s="57" t="n">
        <v>38891</v>
      </c>
      <c r="B4186" s="56" t="n">
        <v>2006</v>
      </c>
      <c r="C4186" s="56" t="n">
        <v>6</v>
      </c>
      <c r="D4186" s="56" t="n">
        <v>54</v>
      </c>
      <c r="E4186" s="56" t="n">
        <v>22.2</v>
      </c>
      <c r="F4186" s="56" t="n">
        <v>0</v>
      </c>
      <c r="G4186" s="56" t="n">
        <v>10.8</v>
      </c>
      <c r="H4186" s="56" t="n">
        <v>0</v>
      </c>
      <c r="I4186" s="56" t="n">
        <v>16.5</v>
      </c>
      <c r="J4186" s="56" t="n">
        <v>0</v>
      </c>
      <c r="K4186" s="56" t="n">
        <v>1017.7</v>
      </c>
      <c r="L4186" s="56" t="n">
        <v>0</v>
      </c>
      <c r="M4186" s="56" t="n">
        <v>60</v>
      </c>
      <c r="N4186" s="56" t="n">
        <v>8.1</v>
      </c>
      <c r="O4186" s="56" t="n">
        <f aca="false">IF(D4186=1,"",E4185)</f>
        <v>21</v>
      </c>
      <c r="P4186" s="56" t="n">
        <f aca="false">IF(OR(D4186=1,K4185=""),"",K4185)</f>
        <v>1013</v>
      </c>
      <c r="Q4186" s="56" t="n">
        <f aca="false">IF(OR(F4186&lt;&gt;0,AND(I4186&lt;&gt;"",E4186&lt;I4186)),1,0)</f>
        <v>0</v>
      </c>
      <c r="R4186" s="56" t="n">
        <f aca="false">IF(AND(D4186&gt;1,Q4186=0,ISNUMBER(O4186),ISNUMBER(P4186)),IF(Q4185=0,1,0),0)</f>
        <v>1</v>
      </c>
      <c r="S4186" s="56" t="n">
        <f aca="false">R4186*(B4186&gt;=Train_Start)*(B4186&lt;=Train_End)</f>
        <v>0</v>
      </c>
      <c r="T4186" s="84" t="n">
        <f aca="false">IF(AND(ISNUMBER(O4186),ISNUMBER(P4186)),Coef_A+Coef_B1*O4186+Coef_B2*P4186,"")</f>
        <v>21.0708017401228</v>
      </c>
      <c r="U4186" s="84" t="n">
        <f aca="false">IF(AND(R4186=1,ISNUMBER(T4186)),E4186-T4186,"")</f>
        <v>1.12919825987724</v>
      </c>
      <c r="V4186" s="84" t="n">
        <f aca="false">IF(ISNUMBER(T4186),T4186,-99)</f>
        <v>21.0708017401228</v>
      </c>
      <c r="W4186" s="84" t="n">
        <f aca="false">IF(ISNUMBER(U4186),ABS(U4186),"")</f>
        <v>1.12919825987724</v>
      </c>
    </row>
    <row r="4187" customFormat="false" ht="15" hidden="false" customHeight="false" outlineLevel="0" collapsed="false">
      <c r="A4187" s="57" t="n">
        <v>38892</v>
      </c>
      <c r="B4187" s="56" t="n">
        <v>2006</v>
      </c>
      <c r="C4187" s="56" t="n">
        <v>6</v>
      </c>
      <c r="D4187" s="56" t="n">
        <v>55</v>
      </c>
      <c r="E4187" s="56" t="n">
        <v>25.1</v>
      </c>
      <c r="F4187" s="56" t="n">
        <v>0</v>
      </c>
      <c r="G4187" s="56" t="n">
        <v>12.7</v>
      </c>
      <c r="H4187" s="56" t="n">
        <v>0</v>
      </c>
      <c r="I4187" s="56" t="n">
        <v>18.9</v>
      </c>
      <c r="J4187" s="56" t="n">
        <v>0</v>
      </c>
      <c r="K4187" s="56" t="n">
        <v>1015.1</v>
      </c>
      <c r="L4187" s="56" t="n">
        <v>0</v>
      </c>
      <c r="M4187" s="56" t="n">
        <v>58</v>
      </c>
      <c r="N4187" s="56" t="n">
        <v>9</v>
      </c>
      <c r="O4187" s="56" t="n">
        <f aca="false">IF(D4187=1,"",E4186)</f>
        <v>22.2</v>
      </c>
      <c r="P4187" s="56" t="n">
        <f aca="false">IF(OR(D4187=1,K4186=""),"",K4186)</f>
        <v>1017.7</v>
      </c>
      <c r="Q4187" s="56" t="n">
        <f aca="false">IF(OR(F4187&lt;&gt;0,AND(I4187&lt;&gt;"",E4187&lt;I4187)),1,0)</f>
        <v>0</v>
      </c>
      <c r="R4187" s="56" t="n">
        <f aca="false">IF(AND(D4187&gt;1,Q4187=0,ISNUMBER(O4187),ISNUMBER(P4187)),IF(Q4186=0,1,0),0)</f>
        <v>1</v>
      </c>
      <c r="S4187" s="56" t="n">
        <f aca="false">R4187*(B4187&gt;=Train_Start)*(B4187&lt;=Train_End)</f>
        <v>0</v>
      </c>
      <c r="T4187" s="84" t="n">
        <f aca="false">IF(AND(ISNUMBER(O4187),ISNUMBER(P4187)),Coef_A+Coef_B1*O4187+Coef_B2*P4187,"")</f>
        <v>22.2014472765537</v>
      </c>
      <c r="U4187" s="84" t="n">
        <f aca="false">IF(AND(R4187=1,ISNUMBER(T4187)),E4187-T4187,"")</f>
        <v>2.8985527234463</v>
      </c>
      <c r="V4187" s="84" t="n">
        <f aca="false">IF(ISNUMBER(T4187),T4187,-99)</f>
        <v>22.2014472765537</v>
      </c>
      <c r="W4187" s="84" t="n">
        <f aca="false">IF(ISNUMBER(U4187),ABS(U4187),"")</f>
        <v>2.8985527234463</v>
      </c>
    </row>
    <row r="4188" customFormat="false" ht="15" hidden="false" customHeight="false" outlineLevel="0" collapsed="false">
      <c r="A4188" s="57" t="n">
        <v>38893</v>
      </c>
      <c r="B4188" s="56" t="n">
        <v>2006</v>
      </c>
      <c r="C4188" s="56" t="n">
        <v>6</v>
      </c>
      <c r="D4188" s="56" t="n">
        <v>56</v>
      </c>
      <c r="E4188" s="56" t="n">
        <v>24.5</v>
      </c>
      <c r="F4188" s="56" t="n">
        <v>0</v>
      </c>
      <c r="G4188" s="56" t="n">
        <v>12.9</v>
      </c>
      <c r="H4188" s="56" t="n">
        <v>0</v>
      </c>
      <c r="I4188" s="56" t="n">
        <v>18.7</v>
      </c>
      <c r="J4188" s="56" t="n">
        <v>0</v>
      </c>
      <c r="K4188" s="56" t="n">
        <v>1013.1</v>
      </c>
      <c r="L4188" s="56" t="n">
        <v>0</v>
      </c>
      <c r="M4188" s="56" t="n">
        <v>60</v>
      </c>
      <c r="N4188" s="56" t="n">
        <v>0.7</v>
      </c>
      <c r="O4188" s="56" t="n">
        <f aca="false">IF(D4188=1,"",E4187)</f>
        <v>25.1</v>
      </c>
      <c r="P4188" s="56" t="n">
        <f aca="false">IF(OR(D4188=1,K4187=""),"",K4187)</f>
        <v>1015.1</v>
      </c>
      <c r="Q4188" s="56" t="n">
        <f aca="false">IF(OR(F4188&lt;&gt;0,AND(I4188&lt;&gt;"",E4188&lt;I4188)),1,0)</f>
        <v>0</v>
      </c>
      <c r="R4188" s="56" t="n">
        <f aca="false">IF(AND(D4188&gt;1,Q4188=0,ISNUMBER(O4188),ISNUMBER(P4188)),IF(Q4187=0,1,0),0)</f>
        <v>1</v>
      </c>
      <c r="S4188" s="56" t="n">
        <f aca="false">R4188*(B4188&gt;=Train_Start)*(B4188&lt;=Train_End)</f>
        <v>0</v>
      </c>
      <c r="T4188" s="84" t="n">
        <f aca="false">IF(AND(ISNUMBER(O4188),ISNUMBER(P4188)),Coef_A+Coef_B1*O4188+Coef_B2*P4188,"")</f>
        <v>24.495969210329</v>
      </c>
      <c r="U4188" s="84" t="n">
        <f aca="false">IF(AND(R4188=1,ISNUMBER(T4188)),E4188-T4188,"")</f>
        <v>0.00403078967096349</v>
      </c>
      <c r="V4188" s="84" t="n">
        <f aca="false">IF(ISNUMBER(T4188),T4188,-99)</f>
        <v>24.495969210329</v>
      </c>
      <c r="W4188" s="84" t="n">
        <f aca="false">IF(ISNUMBER(U4188),ABS(U4188),"")</f>
        <v>0.00403078967096349</v>
      </c>
    </row>
    <row r="4189" customFormat="false" ht="15" hidden="false" customHeight="false" outlineLevel="0" collapsed="false">
      <c r="A4189" s="57" t="n">
        <v>38894</v>
      </c>
      <c r="B4189" s="56" t="n">
        <v>2006</v>
      </c>
      <c r="C4189" s="56" t="n">
        <v>6</v>
      </c>
      <c r="D4189" s="56" t="n">
        <v>57</v>
      </c>
      <c r="E4189" s="56" t="n">
        <v>15.7</v>
      </c>
      <c r="F4189" s="56" t="n">
        <v>0</v>
      </c>
      <c r="G4189" s="56" t="n">
        <v>13.4</v>
      </c>
      <c r="H4189" s="56" t="n">
        <v>0</v>
      </c>
      <c r="I4189" s="56" t="n">
        <v>14.6</v>
      </c>
      <c r="J4189" s="56" t="n">
        <v>0</v>
      </c>
      <c r="K4189" s="56" t="n">
        <v>1017</v>
      </c>
      <c r="L4189" s="56" t="n">
        <v>0</v>
      </c>
      <c r="M4189" s="56" t="n">
        <v>82</v>
      </c>
      <c r="N4189" s="56" t="n">
        <v>0</v>
      </c>
      <c r="O4189" s="56" t="n">
        <f aca="false">IF(D4189=1,"",E4188)</f>
        <v>24.5</v>
      </c>
      <c r="P4189" s="56" t="n">
        <f aca="false">IF(OR(D4189=1,K4188=""),"",K4188)</f>
        <v>1013.1</v>
      </c>
      <c r="Q4189" s="56" t="n">
        <f aca="false">IF(OR(F4189&lt;&gt;0,AND(I4189&lt;&gt;"",E4189&lt;I4189)),1,0)</f>
        <v>0</v>
      </c>
      <c r="R4189" s="56" t="n">
        <f aca="false">IF(AND(D4189&gt;1,Q4189=0,ISNUMBER(O4189),ISNUMBER(P4189)),IF(Q4188=0,1,0),0)</f>
        <v>1</v>
      </c>
      <c r="S4189" s="56" t="n">
        <f aca="false">R4189*(B4189&gt;=Train_Start)*(B4189&lt;=Train_End)</f>
        <v>0</v>
      </c>
      <c r="T4189" s="84" t="n">
        <f aca="false">IF(AND(ISNUMBER(O4189),ISNUMBER(P4189)),Coef_A+Coef_B1*O4189+Coef_B2*P4189,"")</f>
        <v>23.9416259052355</v>
      </c>
      <c r="U4189" s="84" t="n">
        <f aca="false">IF(AND(R4189=1,ISNUMBER(T4189)),E4189-T4189,"")</f>
        <v>-8.24162590523546</v>
      </c>
      <c r="V4189" s="84" t="n">
        <f aca="false">IF(ISNUMBER(T4189),T4189,-99)</f>
        <v>23.9416259052355</v>
      </c>
      <c r="W4189" s="84" t="n">
        <f aca="false">IF(ISNUMBER(U4189),ABS(U4189),"")</f>
        <v>8.24162590523546</v>
      </c>
    </row>
    <row r="4190" customFormat="false" ht="15" hidden="false" customHeight="false" outlineLevel="0" collapsed="false">
      <c r="A4190" s="57" t="n">
        <v>38895</v>
      </c>
      <c r="B4190" s="56" t="n">
        <v>2006</v>
      </c>
      <c r="C4190" s="56" t="n">
        <v>6</v>
      </c>
      <c r="D4190" s="56" t="n">
        <v>58</v>
      </c>
      <c r="E4190" s="56" t="n">
        <v>19.4</v>
      </c>
      <c r="F4190" s="56" t="n">
        <v>0</v>
      </c>
      <c r="G4190" s="56" t="n">
        <v>11.6</v>
      </c>
      <c r="H4190" s="56" t="n">
        <v>0</v>
      </c>
      <c r="I4190" s="56" t="n">
        <v>15.5</v>
      </c>
      <c r="J4190" s="56" t="n">
        <v>0</v>
      </c>
      <c r="K4190" s="56" t="n">
        <v>1020.5</v>
      </c>
      <c r="L4190" s="56" t="n">
        <v>0</v>
      </c>
      <c r="M4190" s="56" t="n">
        <v>72</v>
      </c>
      <c r="N4190" s="56" t="n">
        <v>2.2</v>
      </c>
      <c r="O4190" s="56" t="n">
        <f aca="false">IF(D4190=1,"",E4189)</f>
        <v>15.7</v>
      </c>
      <c r="P4190" s="56" t="n">
        <f aca="false">IF(OR(D4190=1,K4189=""),"",K4189)</f>
        <v>1017</v>
      </c>
      <c r="Q4190" s="56" t="n">
        <f aca="false">IF(OR(F4190&lt;&gt;0,AND(I4190&lt;&gt;"",E4190&lt;I4190)),1,0)</f>
        <v>0</v>
      </c>
      <c r="R4190" s="56" t="n">
        <f aca="false">IF(AND(D4190&gt;1,Q4190=0,ISNUMBER(O4190),ISNUMBER(P4190)),IF(Q4189=0,1,0),0)</f>
        <v>1</v>
      </c>
      <c r="S4190" s="56" t="n">
        <f aca="false">R4190*(B4190&gt;=Train_Start)*(B4190&lt;=Train_End)</f>
        <v>0</v>
      </c>
      <c r="T4190" s="84" t="n">
        <f aca="false">IF(AND(ISNUMBER(O4190),ISNUMBER(P4190)),Coef_A+Coef_B1*O4190+Coef_B2*P4190,"")</f>
        <v>16.8537835955326</v>
      </c>
      <c r="U4190" s="84" t="n">
        <f aca="false">IF(AND(R4190=1,ISNUMBER(T4190)),E4190-T4190,"")</f>
        <v>2.54621640446737</v>
      </c>
      <c r="V4190" s="84" t="n">
        <f aca="false">IF(ISNUMBER(T4190),T4190,-99)</f>
        <v>16.8537835955326</v>
      </c>
      <c r="W4190" s="84" t="n">
        <f aca="false">IF(ISNUMBER(U4190),ABS(U4190),"")</f>
        <v>2.54621640446737</v>
      </c>
    </row>
    <row r="4191" customFormat="false" ht="15" hidden="false" customHeight="false" outlineLevel="0" collapsed="false">
      <c r="A4191" s="57" t="n">
        <v>38896</v>
      </c>
      <c r="B4191" s="56" t="n">
        <v>2006</v>
      </c>
      <c r="C4191" s="56" t="n">
        <v>6</v>
      </c>
      <c r="D4191" s="56" t="n">
        <v>59</v>
      </c>
      <c r="E4191" s="56" t="n">
        <v>23.4</v>
      </c>
      <c r="F4191" s="56" t="n">
        <v>0</v>
      </c>
      <c r="G4191" s="56" t="n">
        <v>12.3</v>
      </c>
      <c r="H4191" s="56" t="n">
        <v>0</v>
      </c>
      <c r="I4191" s="56" t="n">
        <v>17.8</v>
      </c>
      <c r="J4191" s="56" t="n">
        <v>0</v>
      </c>
      <c r="K4191" s="56" t="n">
        <v>1021</v>
      </c>
      <c r="L4191" s="56" t="n">
        <v>0</v>
      </c>
      <c r="M4191" s="56" t="n">
        <v>66</v>
      </c>
      <c r="N4191" s="56" t="n">
        <v>4.2</v>
      </c>
      <c r="O4191" s="56" t="n">
        <f aca="false">IF(D4191=1,"",E4190)</f>
        <v>19.4</v>
      </c>
      <c r="P4191" s="56" t="n">
        <f aca="false">IF(OR(D4191=1,K4190=""),"",K4190)</f>
        <v>1020.5</v>
      </c>
      <c r="Q4191" s="56" t="n">
        <f aca="false">IF(OR(F4191&lt;&gt;0,AND(I4191&lt;&gt;"",E4191&lt;I4191)),1,0)</f>
        <v>0</v>
      </c>
      <c r="R4191" s="56" t="n">
        <f aca="false">IF(AND(D4191&gt;1,Q4191=0,ISNUMBER(O4191),ISNUMBER(P4191)),IF(Q4190=0,1,0),0)</f>
        <v>1</v>
      </c>
      <c r="S4191" s="56" t="n">
        <f aca="false">R4191*(B4191&gt;=Train_Start)*(B4191&lt;=Train_End)</f>
        <v>0</v>
      </c>
      <c r="T4191" s="84" t="n">
        <f aca="false">IF(AND(ISNUMBER(O4191),ISNUMBER(P4191)),Coef_A+Coef_B1*O4191+Coef_B2*P4191,"")</f>
        <v>19.9951332410094</v>
      </c>
      <c r="U4191" s="84" t="n">
        <f aca="false">IF(AND(R4191=1,ISNUMBER(T4191)),E4191-T4191,"")</f>
        <v>3.40486675899057</v>
      </c>
      <c r="V4191" s="84" t="n">
        <f aca="false">IF(ISNUMBER(T4191),T4191,-99)</f>
        <v>19.9951332410094</v>
      </c>
      <c r="W4191" s="84" t="n">
        <f aca="false">IF(ISNUMBER(U4191),ABS(U4191),"")</f>
        <v>3.40486675899057</v>
      </c>
    </row>
    <row r="4192" customFormat="false" ht="15" hidden="false" customHeight="false" outlineLevel="0" collapsed="false">
      <c r="A4192" s="57" t="n">
        <v>38897</v>
      </c>
      <c r="B4192" s="56" t="n">
        <v>2006</v>
      </c>
      <c r="C4192" s="56" t="n">
        <v>6</v>
      </c>
      <c r="D4192" s="56" t="n">
        <v>60</v>
      </c>
      <c r="E4192" s="56" t="n">
        <v>26.6</v>
      </c>
      <c r="F4192" s="56" t="n">
        <v>0</v>
      </c>
      <c r="G4192" s="56" t="n">
        <v>11.5</v>
      </c>
      <c r="H4192" s="56" t="n">
        <v>0</v>
      </c>
      <c r="I4192" s="56" t="n">
        <v>19</v>
      </c>
      <c r="J4192" s="56" t="n">
        <v>0</v>
      </c>
      <c r="K4192" s="56" t="n">
        <v>1022.3</v>
      </c>
      <c r="L4192" s="56" t="n">
        <v>0</v>
      </c>
      <c r="M4192" s="56" t="n">
        <v>67</v>
      </c>
      <c r="N4192" s="56" t="n">
        <v>8.5</v>
      </c>
      <c r="O4192" s="56" t="n">
        <f aca="false">IF(D4192=1,"",E4191)</f>
        <v>23.4</v>
      </c>
      <c r="P4192" s="56" t="n">
        <f aca="false">IF(OR(D4192=1,K4191=""),"",K4191)</f>
        <v>1021</v>
      </c>
      <c r="Q4192" s="56" t="n">
        <f aca="false">IF(OR(F4192&lt;&gt;0,AND(I4192&lt;&gt;"",E4192&lt;I4192)),1,0)</f>
        <v>0</v>
      </c>
      <c r="R4192" s="56" t="n">
        <f aca="false">IF(AND(D4192&gt;1,Q4192=0,ISNUMBER(O4192),ISNUMBER(P4192)),IF(Q4191=0,1,0),0)</f>
        <v>1</v>
      </c>
      <c r="S4192" s="56" t="n">
        <f aca="false">R4192*(B4192&gt;=Train_Start)*(B4192&lt;=Train_End)</f>
        <v>0</v>
      </c>
      <c r="T4192" s="84" t="n">
        <f aca="false">IF(AND(ISNUMBER(O4192),ISNUMBER(P4192)),Coef_A+Coef_B1*O4192+Coef_B2*P4192,"")</f>
        <v>23.2881749604971</v>
      </c>
      <c r="U4192" s="84" t="n">
        <f aca="false">IF(AND(R4192=1,ISNUMBER(T4192)),E4192-T4192,"")</f>
        <v>3.31182503950295</v>
      </c>
      <c r="V4192" s="84" t="n">
        <f aca="false">IF(ISNUMBER(T4192),T4192,-99)</f>
        <v>23.2881749604971</v>
      </c>
      <c r="W4192" s="84" t="n">
        <f aca="false">IF(ISNUMBER(U4192),ABS(U4192),"")</f>
        <v>3.31182503950295</v>
      </c>
    </row>
    <row r="4193" customFormat="false" ht="15" hidden="false" customHeight="false" outlineLevel="0" collapsed="false">
      <c r="A4193" s="57" t="n">
        <v>38898</v>
      </c>
      <c r="B4193" s="56" t="n">
        <v>2006</v>
      </c>
      <c r="C4193" s="56" t="n">
        <v>6</v>
      </c>
      <c r="D4193" s="56" t="n">
        <v>61</v>
      </c>
      <c r="E4193" s="56" t="n">
        <v>29.1</v>
      </c>
      <c r="F4193" s="56" t="n">
        <v>0</v>
      </c>
      <c r="G4193" s="56" t="n">
        <v>12.3</v>
      </c>
      <c r="H4193" s="56" t="n">
        <v>0</v>
      </c>
      <c r="I4193" s="56" t="n">
        <v>20.7</v>
      </c>
      <c r="J4193" s="56" t="n">
        <v>0</v>
      </c>
      <c r="K4193" s="56" t="n">
        <v>1023.8</v>
      </c>
      <c r="L4193" s="56" t="n">
        <v>0</v>
      </c>
      <c r="M4193" s="56" t="n">
        <v>47</v>
      </c>
      <c r="N4193" s="56" t="n">
        <v>11.5</v>
      </c>
      <c r="O4193" s="56" t="n">
        <f aca="false">IF(D4193=1,"",E4192)</f>
        <v>26.6</v>
      </c>
      <c r="P4193" s="56" t="n">
        <f aca="false">IF(OR(D4193=1,K4192=""),"",K4192)</f>
        <v>1022.3</v>
      </c>
      <c r="Q4193" s="56" t="n">
        <f aca="false">IF(OR(F4193&lt;&gt;0,AND(I4193&lt;&gt;"",E4193&lt;I4193)),1,0)</f>
        <v>0</v>
      </c>
      <c r="R4193" s="56" t="n">
        <f aca="false">IF(AND(D4193&gt;1,Q4193=0,ISNUMBER(O4193),ISNUMBER(P4193)),IF(Q4192=0,1,0),0)</f>
        <v>1</v>
      </c>
      <c r="S4193" s="56" t="n">
        <f aca="false">R4193*(B4193&gt;=Train_Start)*(B4193&lt;=Train_End)</f>
        <v>0</v>
      </c>
      <c r="T4193" s="84" t="n">
        <f aca="false">IF(AND(ISNUMBER(O4193),ISNUMBER(P4193)),Coef_A+Coef_B1*O4193+Coef_B2*P4193,"")</f>
        <v>25.9508412412578</v>
      </c>
      <c r="U4193" s="84" t="n">
        <f aca="false">IF(AND(R4193=1,ISNUMBER(T4193)),E4193-T4193,"")</f>
        <v>3.14915875874225</v>
      </c>
      <c r="V4193" s="84" t="n">
        <f aca="false">IF(ISNUMBER(T4193),T4193,-99)</f>
        <v>25.9508412412578</v>
      </c>
      <c r="W4193" s="84" t="n">
        <f aca="false">IF(ISNUMBER(U4193),ABS(U4193),"")</f>
        <v>3.14915875874225</v>
      </c>
    </row>
    <row r="4194" customFormat="false" ht="15" hidden="false" customHeight="false" outlineLevel="0" collapsed="false">
      <c r="A4194" s="57" t="n">
        <v>38899</v>
      </c>
      <c r="B4194" s="56" t="n">
        <v>2006</v>
      </c>
      <c r="C4194" s="56" t="n">
        <v>7</v>
      </c>
      <c r="D4194" s="56" t="n">
        <v>62</v>
      </c>
      <c r="E4194" s="56" t="n">
        <v>29.7</v>
      </c>
      <c r="F4194" s="56" t="n">
        <v>0</v>
      </c>
      <c r="G4194" s="56" t="n">
        <v>16.3</v>
      </c>
      <c r="H4194" s="56" t="n">
        <v>0</v>
      </c>
      <c r="I4194" s="56" t="n">
        <v>23</v>
      </c>
      <c r="J4194" s="56" t="n">
        <v>0</v>
      </c>
      <c r="K4194" s="56" t="n">
        <v>1022.9</v>
      </c>
      <c r="L4194" s="56" t="n">
        <v>0</v>
      </c>
      <c r="M4194" s="56" t="n">
        <v>46</v>
      </c>
      <c r="N4194" s="56" t="n">
        <v>11.5</v>
      </c>
      <c r="O4194" s="56" t="n">
        <f aca="false">IF(D4194=1,"",E4193)</f>
        <v>29.1</v>
      </c>
      <c r="P4194" s="56" t="n">
        <f aca="false">IF(OR(D4194=1,K4193=""),"",K4193)</f>
        <v>1023.8</v>
      </c>
      <c r="Q4194" s="56" t="n">
        <f aca="false">IF(OR(F4194&lt;&gt;0,AND(I4194&lt;&gt;"",E4194&lt;I4194)),1,0)</f>
        <v>0</v>
      </c>
      <c r="R4194" s="56" t="n">
        <f aca="false">IF(AND(D4194&gt;1,Q4194=0,ISNUMBER(O4194),ISNUMBER(P4194)),IF(Q4193=0,1,0),0)</f>
        <v>1</v>
      </c>
      <c r="S4194" s="56" t="n">
        <f aca="false">R4194*(B4194&gt;=Train_Start)*(B4194&lt;=Train_End)</f>
        <v>0</v>
      </c>
      <c r="T4194" s="84" t="n">
        <f aca="false">IF(AND(ISNUMBER(O4194),ISNUMBER(P4194)),Coef_A+Coef_B1*O4194+Coef_B2*P4194,"")</f>
        <v>28.0462440658154</v>
      </c>
      <c r="U4194" s="84" t="n">
        <f aca="false">IF(AND(R4194=1,ISNUMBER(T4194)),E4194-T4194,"")</f>
        <v>1.65375593418463</v>
      </c>
      <c r="V4194" s="84" t="n">
        <f aca="false">IF(ISNUMBER(T4194),T4194,-99)</f>
        <v>28.0462440658154</v>
      </c>
      <c r="W4194" s="84" t="n">
        <f aca="false">IF(ISNUMBER(U4194),ABS(U4194),"")</f>
        <v>1.65375593418463</v>
      </c>
    </row>
    <row r="4195" customFormat="false" ht="15" hidden="false" customHeight="false" outlineLevel="0" collapsed="false">
      <c r="A4195" s="57" t="n">
        <v>38900</v>
      </c>
      <c r="B4195" s="56" t="n">
        <v>2006</v>
      </c>
      <c r="C4195" s="56" t="n">
        <v>7</v>
      </c>
      <c r="D4195" s="56" t="n">
        <v>63</v>
      </c>
      <c r="E4195" s="56" t="n">
        <v>32.3</v>
      </c>
      <c r="F4195" s="56" t="n">
        <v>0</v>
      </c>
      <c r="G4195" s="56" t="n">
        <v>19.1</v>
      </c>
      <c r="H4195" s="56" t="n">
        <v>0</v>
      </c>
      <c r="I4195" s="56" t="n">
        <v>25.7</v>
      </c>
      <c r="J4195" s="56" t="n">
        <v>0</v>
      </c>
      <c r="K4195" s="56" t="n">
        <v>1019</v>
      </c>
      <c r="L4195" s="56" t="n">
        <v>0</v>
      </c>
      <c r="M4195" s="56" t="n">
        <v>45</v>
      </c>
      <c r="N4195" s="56" t="n">
        <v>11.7</v>
      </c>
      <c r="O4195" s="56" t="n">
        <f aca="false">IF(D4195=1,"",E4194)</f>
        <v>29.7</v>
      </c>
      <c r="P4195" s="56" t="n">
        <f aca="false">IF(OR(D4195=1,K4194=""),"",K4194)</f>
        <v>1022.9</v>
      </c>
      <c r="Q4195" s="56" t="n">
        <f aca="false">IF(OR(F4195&lt;&gt;0,AND(I4195&lt;&gt;"",E4195&lt;I4195)),1,0)</f>
        <v>0</v>
      </c>
      <c r="R4195" s="56" t="n">
        <f aca="false">IF(AND(D4195&gt;1,Q4195=0,ISNUMBER(O4195),ISNUMBER(P4195)),IF(Q4194=0,1,0),0)</f>
        <v>1</v>
      </c>
      <c r="S4195" s="56" t="n">
        <f aca="false">R4195*(B4195&gt;=Train_Start)*(B4195&lt;=Train_End)</f>
        <v>0</v>
      </c>
      <c r="T4195" s="84" t="n">
        <f aca="false">IF(AND(ISNUMBER(O4195),ISNUMBER(P4195)),Coef_A+Coef_B1*O4195+Coef_B2*P4195,"")</f>
        <v>28.5096146764704</v>
      </c>
      <c r="U4195" s="84" t="n">
        <f aca="false">IF(AND(R4195=1,ISNUMBER(T4195)),E4195-T4195,"")</f>
        <v>3.79038532352962</v>
      </c>
      <c r="V4195" s="84" t="n">
        <f aca="false">IF(ISNUMBER(T4195),T4195,-99)</f>
        <v>28.5096146764704</v>
      </c>
      <c r="W4195" s="84" t="n">
        <f aca="false">IF(ISNUMBER(U4195),ABS(U4195),"")</f>
        <v>3.79038532352962</v>
      </c>
    </row>
    <row r="4196" customFormat="false" ht="15" hidden="false" customHeight="false" outlineLevel="0" collapsed="false">
      <c r="A4196" s="57" t="n">
        <v>38901</v>
      </c>
      <c r="B4196" s="56" t="n">
        <v>2006</v>
      </c>
      <c r="C4196" s="56" t="n">
        <v>7</v>
      </c>
      <c r="D4196" s="56" t="n">
        <v>64</v>
      </c>
      <c r="E4196" s="56" t="n">
        <v>31.4</v>
      </c>
      <c r="F4196" s="56" t="n">
        <v>0</v>
      </c>
      <c r="G4196" s="56" t="n">
        <v>18.4</v>
      </c>
      <c r="H4196" s="56" t="n">
        <v>0</v>
      </c>
      <c r="I4196" s="56" t="n">
        <v>24.9</v>
      </c>
      <c r="J4196" s="56" t="n">
        <v>0</v>
      </c>
      <c r="K4196" s="56" t="n">
        <v>1016.1</v>
      </c>
      <c r="L4196" s="56" t="n">
        <v>0</v>
      </c>
      <c r="M4196" s="56" t="n">
        <v>42</v>
      </c>
      <c r="N4196" s="56" t="n">
        <v>14</v>
      </c>
      <c r="O4196" s="56" t="n">
        <f aca="false">IF(D4196=1,"",E4195)</f>
        <v>32.3</v>
      </c>
      <c r="P4196" s="56" t="n">
        <f aca="false">IF(OR(D4196=1,K4195=""),"",K4195)</f>
        <v>1019</v>
      </c>
      <c r="Q4196" s="56" t="n">
        <f aca="false">IF(OR(F4196&lt;&gt;0,AND(I4196&lt;&gt;"",E4196&lt;I4196)),1,0)</f>
        <v>0</v>
      </c>
      <c r="R4196" s="56" t="n">
        <f aca="false">IF(AND(D4196&gt;1,Q4196=0,ISNUMBER(O4196),ISNUMBER(P4196)),IF(Q4195=0,1,0),0)</f>
        <v>1</v>
      </c>
      <c r="S4196" s="56" t="n">
        <f aca="false">R4196*(B4196&gt;=Train_Start)*(B4196&lt;=Train_End)</f>
        <v>0</v>
      </c>
      <c r="T4196" s="84" t="n">
        <f aca="false">IF(AND(ISNUMBER(O4196),ISNUMBER(P4196)),Coef_A+Coef_B1*O4196+Coef_B2*P4196,"")</f>
        <v>30.5175539893087</v>
      </c>
      <c r="U4196" s="84" t="n">
        <f aca="false">IF(AND(R4196=1,ISNUMBER(T4196)),E4196-T4196,"")</f>
        <v>0.882446010691272</v>
      </c>
      <c r="V4196" s="84" t="n">
        <f aca="false">IF(ISNUMBER(T4196),T4196,-99)</f>
        <v>30.5175539893087</v>
      </c>
      <c r="W4196" s="84" t="n">
        <f aca="false">IF(ISNUMBER(U4196),ABS(U4196),"")</f>
        <v>0.882446010691272</v>
      </c>
    </row>
    <row r="4197" customFormat="false" ht="15" hidden="false" customHeight="false" outlineLevel="0" collapsed="false">
      <c r="A4197" s="57" t="n">
        <v>38902</v>
      </c>
      <c r="B4197" s="56" t="n">
        <v>2006</v>
      </c>
      <c r="C4197" s="56" t="n">
        <v>7</v>
      </c>
      <c r="D4197" s="56" t="n">
        <v>65</v>
      </c>
      <c r="E4197" s="56" t="n">
        <v>31.3</v>
      </c>
      <c r="F4197" s="56" t="n">
        <v>0</v>
      </c>
      <c r="G4197" s="56" t="n">
        <v>18</v>
      </c>
      <c r="H4197" s="56" t="n">
        <v>0</v>
      </c>
      <c r="I4197" s="56" t="n">
        <v>24.6</v>
      </c>
      <c r="J4197" s="56" t="n">
        <v>0</v>
      </c>
      <c r="K4197" s="56" t="n">
        <v>1014.5</v>
      </c>
      <c r="L4197" s="56" t="n">
        <v>0</v>
      </c>
      <c r="M4197" s="56" t="n">
        <v>49</v>
      </c>
      <c r="N4197" s="56" t="n">
        <v>9.9</v>
      </c>
      <c r="O4197" s="56" t="n">
        <f aca="false">IF(D4197=1,"",E4196)</f>
        <v>31.4</v>
      </c>
      <c r="P4197" s="56" t="n">
        <f aca="false">IF(OR(D4197=1,K4196=""),"",K4196)</f>
        <v>1016.1</v>
      </c>
      <c r="Q4197" s="56" t="n">
        <f aca="false">IF(OR(F4197&lt;&gt;0,AND(I4197&lt;&gt;"",E4197&lt;I4197)),1,0)</f>
        <v>0</v>
      </c>
      <c r="R4197" s="56" t="n">
        <f aca="false">IF(AND(D4197&gt;1,Q4197=0,ISNUMBER(O4197),ISNUMBER(P4197)),IF(Q4196=0,1,0),0)</f>
        <v>1</v>
      </c>
      <c r="S4197" s="56" t="n">
        <f aca="false">R4197*(B4197&gt;=Train_Start)*(B4197&lt;=Train_End)</f>
        <v>0</v>
      </c>
      <c r="T4197" s="84" t="n">
        <f aca="false">IF(AND(ISNUMBER(O4197),ISNUMBER(P4197)),Coef_A+Coef_B1*O4197+Coef_B2*P4197,"")</f>
        <v>29.6891760211318</v>
      </c>
      <c r="U4197" s="84" t="n">
        <f aca="false">IF(AND(R4197=1,ISNUMBER(T4197)),E4197-T4197,"")</f>
        <v>1.61082397886823</v>
      </c>
      <c r="V4197" s="84" t="n">
        <f aca="false">IF(ISNUMBER(T4197),T4197,-99)</f>
        <v>29.6891760211318</v>
      </c>
      <c r="W4197" s="84" t="n">
        <f aca="false">IF(ISNUMBER(U4197),ABS(U4197),"")</f>
        <v>1.61082397886823</v>
      </c>
    </row>
    <row r="4198" customFormat="false" ht="15" hidden="false" customHeight="false" outlineLevel="0" collapsed="false">
      <c r="A4198" s="57" t="n">
        <v>38903</v>
      </c>
      <c r="B4198" s="56" t="n">
        <v>2006</v>
      </c>
      <c r="C4198" s="56" t="n">
        <v>7</v>
      </c>
      <c r="D4198" s="56" t="n">
        <v>66</v>
      </c>
      <c r="E4198" s="56" t="n">
        <v>21.9</v>
      </c>
      <c r="F4198" s="56" t="n">
        <v>0</v>
      </c>
      <c r="G4198" s="56" t="n">
        <v>19</v>
      </c>
      <c r="H4198" s="56" t="n">
        <v>0</v>
      </c>
      <c r="I4198" s="56" t="n">
        <v>20.4</v>
      </c>
      <c r="J4198" s="56" t="n">
        <v>0</v>
      </c>
      <c r="K4198" s="56" t="n">
        <v>1013.3</v>
      </c>
      <c r="L4198" s="56" t="n">
        <v>0</v>
      </c>
      <c r="M4198" s="56" t="n">
        <v>79</v>
      </c>
      <c r="N4198" s="56" t="n">
        <v>0.8</v>
      </c>
      <c r="O4198" s="56" t="n">
        <f aca="false">IF(D4198=1,"",E4197)</f>
        <v>31.3</v>
      </c>
      <c r="P4198" s="56" t="n">
        <f aca="false">IF(OR(D4198=1,K4197=""),"",K4197)</f>
        <v>1014.5</v>
      </c>
      <c r="Q4198" s="56" t="n">
        <f aca="false">IF(OR(F4198&lt;&gt;0,AND(I4198&lt;&gt;"",E4198&lt;I4198)),1,0)</f>
        <v>0</v>
      </c>
      <c r="R4198" s="56" t="n">
        <f aca="false">IF(AND(D4198&gt;1,Q4198=0,ISNUMBER(O4198),ISNUMBER(P4198)),IF(Q4197=0,1,0),0)</f>
        <v>1</v>
      </c>
      <c r="S4198" s="56" t="n">
        <f aca="false">R4198*(B4198&gt;=Train_Start)*(B4198&lt;=Train_End)</f>
        <v>0</v>
      </c>
      <c r="T4198" s="84" t="n">
        <f aca="false">IF(AND(ISNUMBER(O4198),ISNUMBER(P4198)),Coef_A+Coef_B1*O4198+Coef_B2*P4198,"")</f>
        <v>29.5570502704131</v>
      </c>
      <c r="U4198" s="84" t="n">
        <f aca="false">IF(AND(R4198=1,ISNUMBER(T4198)),E4198-T4198,"")</f>
        <v>-7.65705027041312</v>
      </c>
      <c r="V4198" s="84" t="n">
        <f aca="false">IF(ISNUMBER(T4198),T4198,-99)</f>
        <v>29.5570502704131</v>
      </c>
      <c r="W4198" s="84" t="n">
        <f aca="false">IF(ISNUMBER(U4198),ABS(U4198),"")</f>
        <v>7.65705027041312</v>
      </c>
    </row>
    <row r="4199" customFormat="false" ht="15" hidden="false" customHeight="false" outlineLevel="0" collapsed="false">
      <c r="A4199" s="57" t="n">
        <v>38904</v>
      </c>
      <c r="B4199" s="56" t="n">
        <v>2006</v>
      </c>
      <c r="C4199" s="56" t="n">
        <v>7</v>
      </c>
      <c r="D4199" s="56" t="n">
        <v>67</v>
      </c>
      <c r="E4199" s="56" t="n">
        <v>25.4</v>
      </c>
      <c r="F4199" s="56" t="n">
        <v>0</v>
      </c>
      <c r="G4199" s="56" t="n">
        <v>17</v>
      </c>
      <c r="H4199" s="56" t="n">
        <v>0</v>
      </c>
      <c r="I4199" s="56" t="n">
        <v>21.2</v>
      </c>
      <c r="J4199" s="56" t="n">
        <v>0</v>
      </c>
      <c r="K4199" s="56" t="n">
        <v>1015.4</v>
      </c>
      <c r="L4199" s="56" t="n">
        <v>0</v>
      </c>
      <c r="M4199" s="56" t="n">
        <v>76</v>
      </c>
      <c r="N4199" s="56" t="n">
        <v>3.3</v>
      </c>
      <c r="O4199" s="56" t="n">
        <f aca="false">IF(D4199=1,"",E4198)</f>
        <v>21.9</v>
      </c>
      <c r="P4199" s="56" t="n">
        <f aca="false">IF(OR(D4199=1,K4198=""),"",K4198)</f>
        <v>1013.3</v>
      </c>
      <c r="Q4199" s="56" t="n">
        <f aca="false">IF(OR(F4199&lt;&gt;0,AND(I4199&lt;&gt;"",E4199&lt;I4199)),1,0)</f>
        <v>0</v>
      </c>
      <c r="R4199" s="56" t="n">
        <f aca="false">IF(AND(D4199&gt;1,Q4199=0,ISNUMBER(O4199),ISNUMBER(P4199)),IF(Q4198=0,1,0),0)</f>
        <v>1</v>
      </c>
      <c r="S4199" s="56" t="n">
        <f aca="false">R4199*(B4199&gt;=Train_Start)*(B4199&lt;=Train_End)</f>
        <v>0</v>
      </c>
      <c r="T4199" s="84" t="n">
        <f aca="false">IF(AND(ISNUMBER(O4199),ISNUMBER(P4199)),Coef_A+Coef_B1*O4199+Coef_B2*P4199,"")</f>
        <v>21.8176179822514</v>
      </c>
      <c r="U4199" s="84" t="n">
        <f aca="false">IF(AND(R4199=1,ISNUMBER(T4199)),E4199-T4199,"")</f>
        <v>3.58238201774865</v>
      </c>
      <c r="V4199" s="84" t="n">
        <f aca="false">IF(ISNUMBER(T4199),T4199,-99)</f>
        <v>21.8176179822514</v>
      </c>
      <c r="W4199" s="84" t="n">
        <f aca="false">IF(ISNUMBER(U4199),ABS(U4199),"")</f>
        <v>3.58238201774865</v>
      </c>
    </row>
    <row r="4200" customFormat="false" ht="15" hidden="false" customHeight="false" outlineLevel="0" collapsed="false">
      <c r="A4200" s="57" t="n">
        <v>38905</v>
      </c>
      <c r="B4200" s="56" t="n">
        <v>2006</v>
      </c>
      <c r="C4200" s="56" t="n">
        <v>7</v>
      </c>
      <c r="D4200" s="56" t="n">
        <v>68</v>
      </c>
      <c r="E4200" s="56" t="n">
        <v>22.8</v>
      </c>
      <c r="F4200" s="56" t="n">
        <v>0</v>
      </c>
      <c r="G4200" s="56" t="n">
        <v>16.8</v>
      </c>
      <c r="H4200" s="56" t="n">
        <v>0</v>
      </c>
      <c r="I4200" s="56" t="n">
        <v>19.8</v>
      </c>
      <c r="J4200" s="56" t="n">
        <v>0</v>
      </c>
      <c r="K4200" s="56" t="n">
        <v>1017.3</v>
      </c>
      <c r="L4200" s="56" t="n">
        <v>0</v>
      </c>
      <c r="M4200" s="56" t="n">
        <v>70</v>
      </c>
      <c r="N4200" s="56" t="n">
        <v>2.7</v>
      </c>
      <c r="O4200" s="56" t="n">
        <f aca="false">IF(D4200=1,"",E4199)</f>
        <v>25.4</v>
      </c>
      <c r="P4200" s="56" t="n">
        <f aca="false">IF(OR(D4200=1,K4199=""),"",K4199)</f>
        <v>1015.4</v>
      </c>
      <c r="Q4200" s="56" t="n">
        <f aca="false">IF(OR(F4200&lt;&gt;0,AND(I4200&lt;&gt;"",E4200&lt;I4200)),1,0)</f>
        <v>0</v>
      </c>
      <c r="R4200" s="56" t="n">
        <f aca="false">IF(AND(D4200&gt;1,Q4200=0,ISNUMBER(O4200),ISNUMBER(P4200)),IF(Q4199=0,1,0),0)</f>
        <v>1</v>
      </c>
      <c r="S4200" s="56" t="n">
        <f aca="false">R4200*(B4200&gt;=Train_Start)*(B4200&lt;=Train_End)</f>
        <v>0</v>
      </c>
      <c r="T4200" s="84" t="n">
        <f aca="false">IF(AND(ISNUMBER(O4200),ISNUMBER(P4200)),Coef_A+Coef_B1*O4200+Coef_B2*P4200,"")</f>
        <v>24.751181936632</v>
      </c>
      <c r="U4200" s="84" t="n">
        <f aca="false">IF(AND(R4200=1,ISNUMBER(T4200)),E4200-T4200,"")</f>
        <v>-1.95118193663203</v>
      </c>
      <c r="V4200" s="84" t="n">
        <f aca="false">IF(ISNUMBER(T4200),T4200,-99)</f>
        <v>24.751181936632</v>
      </c>
      <c r="W4200" s="84" t="n">
        <f aca="false">IF(ISNUMBER(U4200),ABS(U4200),"")</f>
        <v>1.95118193663203</v>
      </c>
    </row>
    <row r="4201" customFormat="false" ht="15" hidden="false" customHeight="false" outlineLevel="0" collapsed="false">
      <c r="A4201" s="57" t="n">
        <v>38906</v>
      </c>
      <c r="B4201" s="56" t="n">
        <v>2006</v>
      </c>
      <c r="C4201" s="56" t="n">
        <v>7</v>
      </c>
      <c r="D4201" s="56" t="n">
        <v>69</v>
      </c>
      <c r="E4201" s="56" t="n">
        <v>23.5</v>
      </c>
      <c r="F4201" s="56" t="n">
        <v>0</v>
      </c>
      <c r="G4201" s="56" t="n">
        <v>13.3</v>
      </c>
      <c r="H4201" s="56" t="n">
        <v>0</v>
      </c>
      <c r="I4201" s="56" t="n">
        <v>18.4</v>
      </c>
      <c r="J4201" s="56" t="n">
        <v>0</v>
      </c>
      <c r="K4201" s="56" t="n">
        <v>1016.6</v>
      </c>
      <c r="L4201" s="56" t="n">
        <v>0</v>
      </c>
      <c r="M4201" s="56" t="n">
        <v>57</v>
      </c>
      <c r="N4201" s="56" t="n">
        <v>4.8</v>
      </c>
      <c r="O4201" s="56" t="n">
        <f aca="false">IF(D4201=1,"",E4200)</f>
        <v>22.8</v>
      </c>
      <c r="P4201" s="56" t="n">
        <f aca="false">IF(OR(D4201=1,K4200=""),"",K4200)</f>
        <v>1017.3</v>
      </c>
      <c r="Q4201" s="56" t="n">
        <f aca="false">IF(OR(F4201&lt;&gt;0,AND(I4201&lt;&gt;"",E4201&lt;I4201)),1,0)</f>
        <v>0</v>
      </c>
      <c r="R4201" s="56" t="n">
        <f aca="false">IF(AND(D4201&gt;1,Q4201=0,ISNUMBER(O4201),ISNUMBER(P4201)),IF(Q4200=0,1,0),0)</f>
        <v>1</v>
      </c>
      <c r="S4201" s="56" t="n">
        <f aca="false">R4201*(B4201&gt;=Train_Start)*(B4201&lt;=Train_End)</f>
        <v>0</v>
      </c>
      <c r="T4201" s="84" t="n">
        <f aca="false">IF(AND(ISNUMBER(O4201),ISNUMBER(P4201)),Coef_A+Coef_B1*O4201+Coef_B2*P4201,"")</f>
        <v>22.6805028345257</v>
      </c>
      <c r="U4201" s="84" t="n">
        <f aca="false">IF(AND(R4201=1,ISNUMBER(T4201)),E4201-T4201,"")</f>
        <v>0.819497165474299</v>
      </c>
      <c r="V4201" s="84" t="n">
        <f aca="false">IF(ISNUMBER(T4201),T4201,-99)</f>
        <v>22.6805028345257</v>
      </c>
      <c r="W4201" s="84" t="n">
        <f aca="false">IF(ISNUMBER(U4201),ABS(U4201),"")</f>
        <v>0.819497165474299</v>
      </c>
    </row>
    <row r="4202" customFormat="false" ht="15" hidden="false" customHeight="false" outlineLevel="0" collapsed="false">
      <c r="A4202" s="57" t="n">
        <v>38907</v>
      </c>
      <c r="B4202" s="56" t="n">
        <v>2006</v>
      </c>
      <c r="C4202" s="56" t="n">
        <v>7</v>
      </c>
      <c r="D4202" s="56" t="n">
        <v>70</v>
      </c>
      <c r="E4202" s="56" t="n">
        <v>23.9</v>
      </c>
      <c r="F4202" s="56" t="n">
        <v>0</v>
      </c>
      <c r="G4202" s="56" t="n">
        <v>14.6</v>
      </c>
      <c r="H4202" s="56" t="n">
        <v>0</v>
      </c>
      <c r="I4202" s="56" t="n">
        <v>19.2</v>
      </c>
      <c r="J4202" s="56" t="n">
        <v>0</v>
      </c>
      <c r="K4202" s="56" t="n">
        <v>1012.2</v>
      </c>
      <c r="L4202" s="56" t="n">
        <v>0</v>
      </c>
      <c r="M4202" s="56" t="n">
        <v>71</v>
      </c>
      <c r="N4202" s="56" t="n">
        <v>4.7</v>
      </c>
      <c r="O4202" s="56" t="n">
        <f aca="false">IF(D4202=1,"",E4201)</f>
        <v>23.5</v>
      </c>
      <c r="P4202" s="56" t="n">
        <f aca="false">IF(OR(D4202=1,K4201=""),"",K4201)</f>
        <v>1016.6</v>
      </c>
      <c r="Q4202" s="56" t="n">
        <f aca="false">IF(OR(F4202&lt;&gt;0,AND(I4202&lt;&gt;"",E4202&lt;I4202)),1,0)</f>
        <v>0</v>
      </c>
      <c r="R4202" s="56" t="n">
        <f aca="false">IF(AND(D4202&gt;1,Q4202=0,ISNUMBER(O4202),ISNUMBER(P4202)),IF(Q4201=0,1,0),0)</f>
        <v>1</v>
      </c>
      <c r="S4202" s="56" t="n">
        <f aca="false">R4202*(B4202&gt;=Train_Start)*(B4202&lt;=Train_End)</f>
        <v>0</v>
      </c>
      <c r="T4202" s="84" t="n">
        <f aca="false">IF(AND(ISNUMBER(O4202),ISNUMBER(P4202)),Coef_A+Coef_B1*O4202+Coef_B2*P4202,"")</f>
        <v>23.2320813434118</v>
      </c>
      <c r="U4202" s="84" t="n">
        <f aca="false">IF(AND(R4202=1,ISNUMBER(T4202)),E4202-T4202,"")</f>
        <v>0.667918656588231</v>
      </c>
      <c r="V4202" s="84" t="n">
        <f aca="false">IF(ISNUMBER(T4202),T4202,-99)</f>
        <v>23.2320813434118</v>
      </c>
      <c r="W4202" s="84" t="n">
        <f aca="false">IF(ISNUMBER(U4202),ABS(U4202),"")</f>
        <v>0.667918656588231</v>
      </c>
    </row>
    <row r="4203" customFormat="false" ht="15" hidden="false" customHeight="false" outlineLevel="0" collapsed="false">
      <c r="A4203" s="57" t="n">
        <v>38908</v>
      </c>
      <c r="B4203" s="56" t="n">
        <v>2006</v>
      </c>
      <c r="C4203" s="56" t="n">
        <v>7</v>
      </c>
      <c r="D4203" s="56" t="n">
        <v>71</v>
      </c>
      <c r="E4203" s="56" t="n">
        <v>23.4</v>
      </c>
      <c r="F4203" s="56" t="n">
        <v>0</v>
      </c>
      <c r="G4203" s="56" t="n">
        <v>14.1</v>
      </c>
      <c r="H4203" s="56" t="n">
        <v>0</v>
      </c>
      <c r="I4203" s="56" t="n">
        <v>18.8</v>
      </c>
      <c r="J4203" s="56" t="n">
        <v>0</v>
      </c>
      <c r="K4203" s="56" t="n">
        <v>1021.3</v>
      </c>
      <c r="L4203" s="56" t="n">
        <v>0</v>
      </c>
      <c r="M4203" s="56" t="n">
        <v>80</v>
      </c>
      <c r="N4203" s="56" t="n">
        <v>1</v>
      </c>
      <c r="O4203" s="56" t="n">
        <f aca="false">IF(D4203=1,"",E4202)</f>
        <v>23.9</v>
      </c>
      <c r="P4203" s="56" t="n">
        <f aca="false">IF(OR(D4203=1,K4202=""),"",K4202)</f>
        <v>1012.2</v>
      </c>
      <c r="Q4203" s="56" t="n">
        <f aca="false">IF(OR(F4203&lt;&gt;0,AND(I4203&lt;&gt;"",E4203&lt;I4203)),1,0)</f>
        <v>0</v>
      </c>
      <c r="R4203" s="56" t="n">
        <f aca="false">IF(AND(D4203&gt;1,Q4203=0,ISNUMBER(O4203),ISNUMBER(P4203)),IF(Q4202=0,1,0),0)</f>
        <v>1</v>
      </c>
      <c r="S4203" s="56" t="n">
        <f aca="false">R4203*(B4203&gt;=Train_Start)*(B4203&lt;=Train_End)</f>
        <v>0</v>
      </c>
      <c r="T4203" s="84" t="n">
        <f aca="false">IF(AND(ISNUMBER(O4203),ISNUMBER(P4203)),Coef_A+Coef_B1*O4203+Coef_B2*P4203,"")</f>
        <v>23.4217894842393</v>
      </c>
      <c r="U4203" s="84" t="n">
        <f aca="false">IF(AND(R4203=1,ISNUMBER(T4203)),E4203-T4203,"")</f>
        <v>-0.0217894842392781</v>
      </c>
      <c r="V4203" s="84" t="n">
        <f aca="false">IF(ISNUMBER(T4203),T4203,-99)</f>
        <v>23.4217894842393</v>
      </c>
      <c r="W4203" s="84" t="n">
        <f aca="false">IF(ISNUMBER(U4203),ABS(U4203),"")</f>
        <v>0.0217894842392781</v>
      </c>
    </row>
    <row r="4204" customFormat="false" ht="15" hidden="false" customHeight="false" outlineLevel="0" collapsed="false">
      <c r="A4204" s="57" t="n">
        <v>38909</v>
      </c>
      <c r="B4204" s="56" t="n">
        <v>2006</v>
      </c>
      <c r="C4204" s="56" t="n">
        <v>7</v>
      </c>
      <c r="D4204" s="56" t="n">
        <v>72</v>
      </c>
      <c r="E4204" s="56" t="n">
        <v>25.2</v>
      </c>
      <c r="F4204" s="56" t="n">
        <v>0</v>
      </c>
      <c r="G4204" s="56" t="n">
        <v>16.1</v>
      </c>
      <c r="H4204" s="56" t="n">
        <v>0</v>
      </c>
      <c r="I4204" s="56" t="n">
        <v>20.6</v>
      </c>
      <c r="J4204" s="56" t="n">
        <v>0</v>
      </c>
      <c r="K4204" s="56" t="n">
        <v>1023.4</v>
      </c>
      <c r="L4204" s="56" t="n">
        <v>0</v>
      </c>
      <c r="M4204" s="56" t="n">
        <v>61</v>
      </c>
      <c r="N4204" s="56" t="n">
        <v>10</v>
      </c>
      <c r="O4204" s="56" t="n">
        <f aca="false">IF(D4204=1,"",E4203)</f>
        <v>23.4</v>
      </c>
      <c r="P4204" s="56" t="n">
        <f aca="false">IF(OR(D4204=1,K4203=""),"",K4203)</f>
        <v>1021.3</v>
      </c>
      <c r="Q4204" s="56" t="n">
        <f aca="false">IF(OR(F4204&lt;&gt;0,AND(I4204&lt;&gt;"",E4204&lt;I4204)),1,0)</f>
        <v>0</v>
      </c>
      <c r="R4204" s="56" t="n">
        <f aca="false">IF(AND(D4204&gt;1,Q4204=0,ISNUMBER(O4204),ISNUMBER(P4204)),IF(Q4203=0,1,0),0)</f>
        <v>1</v>
      </c>
      <c r="S4204" s="56" t="n">
        <f aca="false">R4204*(B4204&gt;=Train_Start)*(B4204&lt;=Train_End)</f>
        <v>0</v>
      </c>
      <c r="T4204" s="84" t="n">
        <f aca="false">IF(AND(ISNUMBER(O4204),ISNUMBER(P4204)),Coef_A+Coef_B1*O4204+Coef_B2*P4204,"")</f>
        <v>23.2975859288873</v>
      </c>
      <c r="U4204" s="84" t="n">
        <f aca="false">IF(AND(R4204=1,ISNUMBER(T4204)),E4204-T4204,"")</f>
        <v>1.90241407111275</v>
      </c>
      <c r="V4204" s="84" t="n">
        <f aca="false">IF(ISNUMBER(T4204),T4204,-99)</f>
        <v>23.2975859288873</v>
      </c>
      <c r="W4204" s="84" t="n">
        <f aca="false">IF(ISNUMBER(U4204),ABS(U4204),"")</f>
        <v>1.90241407111275</v>
      </c>
    </row>
    <row r="4205" customFormat="false" ht="15" hidden="false" customHeight="false" outlineLevel="0" collapsed="false">
      <c r="A4205" s="57" t="n">
        <v>38910</v>
      </c>
      <c r="B4205" s="56" t="n">
        <v>2006</v>
      </c>
      <c r="C4205" s="56" t="n">
        <v>7</v>
      </c>
      <c r="D4205" s="56" t="n">
        <v>73</v>
      </c>
      <c r="E4205" s="56" t="n">
        <v>27.6</v>
      </c>
      <c r="F4205" s="56" t="n">
        <v>0</v>
      </c>
      <c r="G4205" s="56" t="n">
        <v>12.9</v>
      </c>
      <c r="H4205" s="56" t="n">
        <v>0</v>
      </c>
      <c r="I4205" s="56" t="n">
        <v>20.2</v>
      </c>
      <c r="J4205" s="56" t="n">
        <v>0</v>
      </c>
      <c r="K4205" s="56" t="n">
        <v>1024.7</v>
      </c>
      <c r="L4205" s="56" t="n">
        <v>0</v>
      </c>
      <c r="M4205" s="56" t="n">
        <v>56</v>
      </c>
      <c r="N4205" s="56" t="n">
        <v>14.4</v>
      </c>
      <c r="O4205" s="56" t="n">
        <f aca="false">IF(D4205=1,"",E4204)</f>
        <v>25.2</v>
      </c>
      <c r="P4205" s="56" t="n">
        <f aca="false">IF(OR(D4205=1,K4204=""),"",K4204)</f>
        <v>1023.4</v>
      </c>
      <c r="Q4205" s="56" t="n">
        <f aca="false">IF(OR(F4205&lt;&gt;0,AND(I4205&lt;&gt;"",E4205&lt;I4205)),1,0)</f>
        <v>0</v>
      </c>
      <c r="R4205" s="56" t="n">
        <f aca="false">IF(AND(D4205&gt;1,Q4205=0,ISNUMBER(O4205),ISNUMBER(P4205)),IF(Q4204=0,1,0),0)</f>
        <v>1</v>
      </c>
      <c r="S4205" s="56" t="n">
        <f aca="false">R4205*(B4205&gt;=Train_Start)*(B4205&lt;=Train_End)</f>
        <v>0</v>
      </c>
      <c r="T4205" s="84" t="n">
        <f aca="false">IF(AND(ISNUMBER(O4205),ISNUMBER(P4205)),Coef_A+Coef_B1*O4205+Coef_B2*P4205,"")</f>
        <v>24.8382732550954</v>
      </c>
      <c r="U4205" s="84" t="n">
        <f aca="false">IF(AND(R4205=1,ISNUMBER(T4205)),E4205-T4205,"")</f>
        <v>2.76172674490459</v>
      </c>
      <c r="V4205" s="84" t="n">
        <f aca="false">IF(ISNUMBER(T4205),T4205,-99)</f>
        <v>24.8382732550954</v>
      </c>
      <c r="W4205" s="84" t="n">
        <f aca="false">IF(ISNUMBER(U4205),ABS(U4205),"")</f>
        <v>2.76172674490459</v>
      </c>
    </row>
    <row r="4206" customFormat="false" ht="15" hidden="false" customHeight="false" outlineLevel="0" collapsed="false">
      <c r="A4206" s="57" t="n">
        <v>38911</v>
      </c>
      <c r="B4206" s="56" t="n">
        <v>2006</v>
      </c>
      <c r="C4206" s="56" t="n">
        <v>7</v>
      </c>
      <c r="D4206" s="56" t="n">
        <v>74</v>
      </c>
      <c r="E4206" s="56" t="n">
        <v>23.6</v>
      </c>
      <c r="F4206" s="56" t="n">
        <v>0</v>
      </c>
      <c r="G4206" s="56" t="n">
        <v>14.4</v>
      </c>
      <c r="H4206" s="56" t="n">
        <v>0</v>
      </c>
      <c r="I4206" s="56" t="n">
        <v>19</v>
      </c>
      <c r="J4206" s="56" t="n">
        <v>0</v>
      </c>
      <c r="K4206" s="56" t="n">
        <v>1026.3</v>
      </c>
      <c r="L4206" s="56" t="n">
        <v>0</v>
      </c>
      <c r="M4206" s="56" t="n">
        <v>67</v>
      </c>
      <c r="N4206" s="56" t="n">
        <v>4.3</v>
      </c>
      <c r="O4206" s="56" t="n">
        <f aca="false">IF(D4206=1,"",E4205)</f>
        <v>27.6</v>
      </c>
      <c r="P4206" s="56" t="n">
        <f aca="false">IF(OR(D4206=1,K4205=""),"",K4205)</f>
        <v>1024.7</v>
      </c>
      <c r="Q4206" s="56" t="n">
        <f aca="false">IF(OR(F4206&lt;&gt;0,AND(I4206&lt;&gt;"",E4206&lt;I4206)),1,0)</f>
        <v>0</v>
      </c>
      <c r="R4206" s="56" t="n">
        <f aca="false">IF(AND(D4206&gt;1,Q4206=0,ISNUMBER(O4206),ISNUMBER(P4206)),IF(Q4205=0,1,0),0)</f>
        <v>1</v>
      </c>
      <c r="S4206" s="56" t="n">
        <f aca="false">R4206*(B4206&gt;=Train_Start)*(B4206&lt;=Train_End)</f>
        <v>0</v>
      </c>
      <c r="T4206" s="84" t="n">
        <f aca="false">IF(AND(ISNUMBER(O4206),ISNUMBER(P4206)),Coef_A+Coef_B1*O4206+Coef_B2*P4206,"")</f>
        <v>26.845468181422</v>
      </c>
      <c r="U4206" s="84" t="n">
        <f aca="false">IF(AND(R4206=1,ISNUMBER(T4206)),E4206-T4206,"")</f>
        <v>-3.24546818142198</v>
      </c>
      <c r="V4206" s="84" t="n">
        <f aca="false">IF(ISNUMBER(T4206),T4206,-99)</f>
        <v>26.845468181422</v>
      </c>
      <c r="W4206" s="84" t="n">
        <f aca="false">IF(ISNUMBER(U4206),ABS(U4206),"")</f>
        <v>3.24546818142198</v>
      </c>
    </row>
    <row r="4207" customFormat="false" ht="15" hidden="false" customHeight="false" outlineLevel="0" collapsed="false">
      <c r="A4207" s="57" t="n">
        <v>38912</v>
      </c>
      <c r="B4207" s="56" t="n">
        <v>2006</v>
      </c>
      <c r="C4207" s="56" t="n">
        <v>7</v>
      </c>
      <c r="D4207" s="56" t="n">
        <v>75</v>
      </c>
      <c r="E4207" s="56" t="n">
        <v>24</v>
      </c>
      <c r="F4207" s="56" t="n">
        <v>0</v>
      </c>
      <c r="G4207" s="56" t="n">
        <v>12.3</v>
      </c>
      <c r="H4207" s="56" t="n">
        <v>0</v>
      </c>
      <c r="I4207" s="56" t="n">
        <v>18.2</v>
      </c>
      <c r="J4207" s="56" t="n">
        <v>0</v>
      </c>
      <c r="K4207" s="56" t="n">
        <v>1031.4</v>
      </c>
      <c r="L4207" s="56" t="n">
        <v>0</v>
      </c>
      <c r="M4207" s="56" t="n">
        <v>60</v>
      </c>
      <c r="N4207" s="56" t="n">
        <v>14.3</v>
      </c>
      <c r="O4207" s="56" t="n">
        <f aca="false">IF(D4207=1,"",E4206)</f>
        <v>23.6</v>
      </c>
      <c r="P4207" s="56" t="n">
        <f aca="false">IF(OR(D4207=1,K4206=""),"",K4206)</f>
        <v>1026.3</v>
      </c>
      <c r="Q4207" s="56" t="n">
        <f aca="false">IF(OR(F4207&lt;&gt;0,AND(I4207&lt;&gt;"",E4207&lt;I4207)),1,0)</f>
        <v>0</v>
      </c>
      <c r="R4207" s="56" t="n">
        <f aca="false">IF(AND(D4207&gt;1,Q4207=0,ISNUMBER(O4207),ISNUMBER(P4207)),IF(Q4206=0,1,0),0)</f>
        <v>1</v>
      </c>
      <c r="S4207" s="56" t="n">
        <f aca="false">R4207*(B4207&gt;=Train_Start)*(B4207&lt;=Train_End)</f>
        <v>0</v>
      </c>
      <c r="T4207" s="84" t="n">
        <f aca="false">IF(AND(ISNUMBER(O4207),ISNUMBER(P4207)),Coef_A+Coef_B1*O4207+Coef_B2*P4207,"")</f>
        <v>23.6183032406657</v>
      </c>
      <c r="U4207" s="84" t="n">
        <f aca="false">IF(AND(R4207=1,ISNUMBER(T4207)),E4207-T4207,"")</f>
        <v>0.381696759334272</v>
      </c>
      <c r="V4207" s="84" t="n">
        <f aca="false">IF(ISNUMBER(T4207),T4207,-99)</f>
        <v>23.6183032406657</v>
      </c>
      <c r="W4207" s="84" t="n">
        <f aca="false">IF(ISNUMBER(U4207),ABS(U4207),"")</f>
        <v>0.381696759334272</v>
      </c>
    </row>
    <row r="4208" customFormat="false" ht="15" hidden="false" customHeight="false" outlineLevel="0" collapsed="false">
      <c r="A4208" s="57" t="n">
        <v>38913</v>
      </c>
      <c r="B4208" s="56" t="n">
        <v>2006</v>
      </c>
      <c r="C4208" s="56" t="n">
        <v>7</v>
      </c>
      <c r="D4208" s="56" t="n">
        <v>76</v>
      </c>
      <c r="E4208" s="56" t="n">
        <v>26.3</v>
      </c>
      <c r="F4208" s="56" t="n">
        <v>0</v>
      </c>
      <c r="G4208" s="56" t="n">
        <v>13.7</v>
      </c>
      <c r="H4208" s="56" t="n">
        <v>0</v>
      </c>
      <c r="I4208" s="56" t="n">
        <v>20</v>
      </c>
      <c r="J4208" s="56" t="n">
        <v>0</v>
      </c>
      <c r="K4208" s="56" t="n">
        <v>1030.3</v>
      </c>
      <c r="L4208" s="56" t="n">
        <v>0</v>
      </c>
      <c r="M4208" s="56" t="n">
        <v>54</v>
      </c>
      <c r="N4208" s="56" t="n">
        <v>11.3</v>
      </c>
      <c r="O4208" s="56" t="n">
        <f aca="false">IF(D4208=1,"",E4207)</f>
        <v>24</v>
      </c>
      <c r="P4208" s="56" t="n">
        <f aca="false">IF(OR(D4208=1,K4207=""),"",K4207)</f>
        <v>1031.4</v>
      </c>
      <c r="Q4208" s="56" t="n">
        <f aca="false">IF(OR(F4208&lt;&gt;0,AND(I4208&lt;&gt;"",E4208&lt;I4208)),1,0)</f>
        <v>0</v>
      </c>
      <c r="R4208" s="56" t="n">
        <f aca="false">IF(AND(D4208&gt;1,Q4208=0,ISNUMBER(O4208),ISNUMBER(P4208)),IF(Q4207=0,1,0),0)</f>
        <v>1</v>
      </c>
      <c r="S4208" s="56" t="n">
        <f aca="false">R4208*(B4208&gt;=Train_Start)*(B4208&lt;=Train_End)</f>
        <v>0</v>
      </c>
      <c r="T4208" s="84" t="n">
        <f aca="false">IF(AND(ISNUMBER(O4208),ISNUMBER(P4208)),Coef_A+Coef_B1*O4208+Coef_B2*P4208,"")</f>
        <v>24.1060253805161</v>
      </c>
      <c r="U4208" s="84" t="n">
        <f aca="false">IF(AND(R4208=1,ISNUMBER(T4208)),E4208-T4208,"")</f>
        <v>2.19397461948386</v>
      </c>
      <c r="V4208" s="84" t="n">
        <f aca="false">IF(ISNUMBER(T4208),T4208,-99)</f>
        <v>24.1060253805161</v>
      </c>
      <c r="W4208" s="84" t="n">
        <f aca="false">IF(ISNUMBER(U4208),ABS(U4208),"")</f>
        <v>2.19397461948386</v>
      </c>
    </row>
    <row r="4209" customFormat="false" ht="15" hidden="false" customHeight="false" outlineLevel="0" collapsed="false">
      <c r="A4209" s="57" t="n">
        <v>38914</v>
      </c>
      <c r="B4209" s="56" t="n">
        <v>2006</v>
      </c>
      <c r="C4209" s="56" t="n">
        <v>7</v>
      </c>
      <c r="D4209" s="56" t="n">
        <v>77</v>
      </c>
      <c r="E4209" s="56" t="n">
        <v>30.5</v>
      </c>
      <c r="F4209" s="56" t="n">
        <v>0</v>
      </c>
      <c r="G4209" s="56" t="n">
        <v>14.3</v>
      </c>
      <c r="H4209" s="56" t="n">
        <v>0</v>
      </c>
      <c r="I4209" s="56" t="n">
        <v>22.4</v>
      </c>
      <c r="J4209" s="56" t="n">
        <v>0</v>
      </c>
      <c r="K4209" s="56" t="n">
        <v>1027.3</v>
      </c>
      <c r="L4209" s="56" t="n">
        <v>0</v>
      </c>
      <c r="M4209" s="56" t="n">
        <v>54</v>
      </c>
      <c r="N4209" s="56" t="n">
        <v>14.1</v>
      </c>
      <c r="O4209" s="56" t="n">
        <f aca="false">IF(D4209=1,"",E4208)</f>
        <v>26.3</v>
      </c>
      <c r="P4209" s="56" t="n">
        <f aca="false">IF(OR(D4209=1,K4208=""),"",K4208)</f>
        <v>1030.3</v>
      </c>
      <c r="Q4209" s="56" t="n">
        <f aca="false">IF(OR(F4209&lt;&gt;0,AND(I4209&lt;&gt;"",E4209&lt;I4209)),1,0)</f>
        <v>0</v>
      </c>
      <c r="R4209" s="56" t="n">
        <f aca="false">IF(AND(D4209&gt;1,Q4209=0,ISNUMBER(O4209),ISNUMBER(P4209)),IF(Q4208=0,1,0),0)</f>
        <v>1</v>
      </c>
      <c r="S4209" s="56" t="n">
        <f aca="false">R4209*(B4209&gt;=Train_Start)*(B4209&lt;=Train_End)</f>
        <v>0</v>
      </c>
      <c r="T4209" s="84" t="n">
        <f aca="false">IF(AND(ISNUMBER(O4209),ISNUMBER(P4209)),Coef_A+Coef_B1*O4209+Coef_B2*P4209,"")</f>
        <v>25.9559986404169</v>
      </c>
      <c r="U4209" s="84" t="n">
        <f aca="false">IF(AND(R4209=1,ISNUMBER(T4209)),E4209-T4209,"")</f>
        <v>4.54400135958314</v>
      </c>
      <c r="V4209" s="84" t="n">
        <f aca="false">IF(ISNUMBER(T4209),T4209,-99)</f>
        <v>25.9559986404169</v>
      </c>
      <c r="W4209" s="84" t="n">
        <f aca="false">IF(ISNUMBER(U4209),ABS(U4209),"")</f>
        <v>4.54400135958314</v>
      </c>
    </row>
    <row r="4210" customFormat="false" ht="15" hidden="false" customHeight="false" outlineLevel="0" collapsed="false">
      <c r="A4210" s="57" t="n">
        <v>38915</v>
      </c>
      <c r="B4210" s="56" t="n">
        <v>2006</v>
      </c>
      <c r="C4210" s="56" t="n">
        <v>7</v>
      </c>
      <c r="D4210" s="56" t="n">
        <v>78</v>
      </c>
      <c r="E4210" s="56" t="n">
        <v>32.7</v>
      </c>
      <c r="F4210" s="56" t="n">
        <v>0</v>
      </c>
      <c r="G4210" s="56" t="n">
        <v>16.1</v>
      </c>
      <c r="H4210" s="56" t="n">
        <v>0</v>
      </c>
      <c r="I4210" s="56" t="n">
        <v>24.4</v>
      </c>
      <c r="J4210" s="56" t="n">
        <v>0</v>
      </c>
      <c r="K4210" s="56" t="n">
        <v>1024.7</v>
      </c>
      <c r="L4210" s="56" t="n">
        <v>0</v>
      </c>
      <c r="M4210" s="56" t="n">
        <v>42</v>
      </c>
      <c r="N4210" s="56" t="n">
        <v>14.3</v>
      </c>
      <c r="O4210" s="56" t="n">
        <f aca="false">IF(D4210=1,"",E4209)</f>
        <v>30.5</v>
      </c>
      <c r="P4210" s="56" t="n">
        <f aca="false">IF(OR(D4210=1,K4209=""),"",K4209)</f>
        <v>1027.3</v>
      </c>
      <c r="Q4210" s="56" t="n">
        <f aca="false">IF(OR(F4210&lt;&gt;0,AND(I4210&lt;&gt;"",E4210&lt;I4210)),1,0)</f>
        <v>0</v>
      </c>
      <c r="R4210" s="56" t="n">
        <f aca="false">IF(AND(D4210&gt;1,Q4210=0,ISNUMBER(O4210),ISNUMBER(P4210)),IF(Q4209=0,1,0),0)</f>
        <v>1</v>
      </c>
      <c r="S4210" s="56" t="n">
        <f aca="false">R4210*(B4210&gt;=Train_Start)*(B4210&lt;=Train_End)</f>
        <v>0</v>
      </c>
      <c r="T4210" s="84" t="n">
        <f aca="false">IF(AND(ISNUMBER(O4210),ISNUMBER(P4210)),Coef_A+Coef_B1*O4210+Coef_B2*P4210,"")</f>
        <v>29.3031135672941</v>
      </c>
      <c r="U4210" s="84" t="n">
        <f aca="false">IF(AND(R4210=1,ISNUMBER(T4210)),E4210-T4210,"")</f>
        <v>3.39688643270595</v>
      </c>
      <c r="V4210" s="84" t="n">
        <f aca="false">IF(ISNUMBER(T4210),T4210,-99)</f>
        <v>29.3031135672941</v>
      </c>
      <c r="W4210" s="84" t="n">
        <f aca="false">IF(ISNUMBER(U4210),ABS(U4210),"")</f>
        <v>3.39688643270595</v>
      </c>
    </row>
    <row r="4211" customFormat="false" ht="15" hidden="false" customHeight="false" outlineLevel="0" collapsed="false">
      <c r="A4211" s="57" t="n">
        <v>38916</v>
      </c>
      <c r="B4211" s="56" t="n">
        <v>2006</v>
      </c>
      <c r="C4211" s="56" t="n">
        <v>7</v>
      </c>
      <c r="D4211" s="56" t="n">
        <v>79</v>
      </c>
      <c r="E4211" s="56" t="n">
        <v>33.2</v>
      </c>
      <c r="F4211" s="56" t="n">
        <v>0</v>
      </c>
      <c r="G4211" s="56" t="n">
        <v>17.4</v>
      </c>
      <c r="H4211" s="56" t="n">
        <v>0</v>
      </c>
      <c r="I4211" s="56" t="n">
        <v>25.3</v>
      </c>
      <c r="J4211" s="56" t="n">
        <v>0</v>
      </c>
      <c r="K4211" s="56" t="n">
        <v>1021.1</v>
      </c>
      <c r="L4211" s="56" t="n">
        <v>0</v>
      </c>
      <c r="M4211" s="56" t="n">
        <v>44</v>
      </c>
      <c r="N4211" s="56" t="n">
        <v>14.7</v>
      </c>
      <c r="O4211" s="56" t="n">
        <f aca="false">IF(D4211=1,"",E4210)</f>
        <v>32.7</v>
      </c>
      <c r="P4211" s="56" t="n">
        <f aca="false">IF(OR(D4211=1,K4210=""),"",K4210)</f>
        <v>1024.7</v>
      </c>
      <c r="Q4211" s="56" t="n">
        <f aca="false">IF(OR(F4211&lt;&gt;0,AND(I4211&lt;&gt;"",E4211&lt;I4211)),1,0)</f>
        <v>0</v>
      </c>
      <c r="R4211" s="56" t="n">
        <f aca="false">IF(AND(D4211&gt;1,Q4211=0,ISNUMBER(O4211),ISNUMBER(P4211)),IF(Q4210=0,1,0),0)</f>
        <v>1</v>
      </c>
      <c r="S4211" s="56" t="n">
        <f aca="false">R4211*(B4211&gt;=Train_Start)*(B4211&lt;=Train_End)</f>
        <v>0</v>
      </c>
      <c r="T4211" s="84" t="n">
        <f aca="false">IF(AND(ISNUMBER(O4211),ISNUMBER(P4211)),Coef_A+Coef_B1*O4211+Coef_B2*P4211,"")</f>
        <v>31.0240980659395</v>
      </c>
      <c r="U4211" s="84" t="n">
        <f aca="false">IF(AND(R4211=1,ISNUMBER(T4211)),E4211-T4211,"")</f>
        <v>2.17590193406047</v>
      </c>
      <c r="V4211" s="84" t="n">
        <f aca="false">IF(ISNUMBER(T4211),T4211,-99)</f>
        <v>31.0240980659395</v>
      </c>
      <c r="W4211" s="84" t="n">
        <f aca="false">IF(ISNUMBER(U4211),ABS(U4211),"")</f>
        <v>2.17590193406047</v>
      </c>
    </row>
    <row r="4212" customFormat="false" ht="15" hidden="false" customHeight="false" outlineLevel="0" collapsed="false">
      <c r="A4212" s="57" t="n">
        <v>38917</v>
      </c>
      <c r="B4212" s="56" t="n">
        <v>2006</v>
      </c>
      <c r="C4212" s="56" t="n">
        <v>7</v>
      </c>
      <c r="D4212" s="56" t="n">
        <v>80</v>
      </c>
      <c r="E4212" s="56" t="n">
        <v>35.5</v>
      </c>
      <c r="F4212" s="56" t="n">
        <v>0</v>
      </c>
      <c r="G4212" s="56" t="n">
        <v>18.9</v>
      </c>
      <c r="H4212" s="56" t="n">
        <v>0</v>
      </c>
      <c r="I4212" s="56" t="n">
        <v>27.2</v>
      </c>
      <c r="J4212" s="56" t="n">
        <v>0</v>
      </c>
      <c r="K4212" s="56" t="n">
        <v>1015.7</v>
      </c>
      <c r="L4212" s="56" t="n">
        <v>0</v>
      </c>
      <c r="M4212" s="56" t="n">
        <v>48</v>
      </c>
      <c r="N4212" s="56" t="n">
        <v>12.2</v>
      </c>
      <c r="O4212" s="56" t="n">
        <f aca="false">IF(D4212=1,"",E4211)</f>
        <v>33.2</v>
      </c>
      <c r="P4212" s="56" t="n">
        <f aca="false">IF(OR(D4212=1,K4211=""),"",K4211)</f>
        <v>1021.1</v>
      </c>
      <c r="Q4212" s="56" t="n">
        <f aca="false">IF(OR(F4212&lt;&gt;0,AND(I4212&lt;&gt;"",E4212&lt;I4212)),1,0)</f>
        <v>0</v>
      </c>
      <c r="R4212" s="56" t="n">
        <f aca="false">IF(AND(D4212&gt;1,Q4212=0,ISNUMBER(O4212),ISNUMBER(P4212)),IF(Q4211=0,1,0),0)</f>
        <v>1</v>
      </c>
      <c r="S4212" s="56" t="n">
        <f aca="false">R4212*(B4212&gt;=Train_Start)*(B4212&lt;=Train_End)</f>
        <v>0</v>
      </c>
      <c r="T4212" s="84" t="n">
        <f aca="false">IF(AND(ISNUMBER(O4212),ISNUMBER(P4212)),Coef_A+Coef_B1*O4212+Coef_B2*P4212,"")</f>
        <v>31.3208360417785</v>
      </c>
      <c r="U4212" s="84" t="n">
        <f aca="false">IF(AND(R4212=1,ISNUMBER(T4212)),E4212-T4212,"")</f>
        <v>4.1791639582215</v>
      </c>
      <c r="V4212" s="84" t="n">
        <f aca="false">IF(ISNUMBER(T4212),T4212,-99)</f>
        <v>31.3208360417785</v>
      </c>
      <c r="W4212" s="84" t="n">
        <f aca="false">IF(ISNUMBER(U4212),ABS(U4212),"")</f>
        <v>4.1791639582215</v>
      </c>
    </row>
    <row r="4213" customFormat="false" ht="15" hidden="false" customHeight="false" outlineLevel="0" collapsed="false">
      <c r="A4213" s="57" t="n">
        <v>38918</v>
      </c>
      <c r="B4213" s="56" t="n">
        <v>2006</v>
      </c>
      <c r="C4213" s="56" t="n">
        <v>7</v>
      </c>
      <c r="D4213" s="56" t="n">
        <v>81</v>
      </c>
      <c r="E4213" s="56" t="n">
        <v>31.7</v>
      </c>
      <c r="F4213" s="56" t="n">
        <v>0</v>
      </c>
      <c r="G4213" s="56" t="n">
        <v>19.6</v>
      </c>
      <c r="H4213" s="56" t="n">
        <v>0</v>
      </c>
      <c r="I4213" s="56" t="n">
        <v>25.6</v>
      </c>
      <c r="J4213" s="56" t="n">
        <v>0</v>
      </c>
      <c r="K4213" s="56" t="n">
        <v>1016.5</v>
      </c>
      <c r="L4213" s="56" t="n">
        <v>0</v>
      </c>
      <c r="M4213" s="56" t="n">
        <v>54</v>
      </c>
      <c r="N4213" s="56" t="n">
        <v>10.4</v>
      </c>
      <c r="O4213" s="56" t="n">
        <f aca="false">IF(D4213=1,"",E4212)</f>
        <v>35.5</v>
      </c>
      <c r="P4213" s="56" t="n">
        <f aca="false">IF(OR(D4213=1,K4212=""),"",K4212)</f>
        <v>1015.7</v>
      </c>
      <c r="Q4213" s="56" t="n">
        <f aca="false">IF(OR(F4213&lt;&gt;0,AND(I4213&lt;&gt;"",E4213&lt;I4213)),1,0)</f>
        <v>0</v>
      </c>
      <c r="R4213" s="56" t="n">
        <f aca="false">IF(AND(D4213&gt;1,Q4213=0,ISNUMBER(O4213),ISNUMBER(P4213)),IF(Q4212=0,1,0),0)</f>
        <v>1</v>
      </c>
      <c r="S4213" s="56" t="n">
        <f aca="false">R4213*(B4213&gt;=Train_Start)*(B4213&lt;=Train_End)</f>
        <v>0</v>
      </c>
      <c r="T4213" s="84" t="n">
        <f aca="false">IF(AND(ISNUMBER(O4213),ISNUMBER(P4213)),Coef_A+Coef_B1*O4213+Coef_B2*P4213,"")</f>
        <v>33.0359187547531</v>
      </c>
      <c r="U4213" s="84" t="n">
        <f aca="false">IF(AND(R4213=1,ISNUMBER(T4213)),E4213-T4213,"")</f>
        <v>-1.33591875475307</v>
      </c>
      <c r="V4213" s="84" t="n">
        <f aca="false">IF(ISNUMBER(T4213),T4213,-99)</f>
        <v>33.0359187547531</v>
      </c>
      <c r="W4213" s="84" t="n">
        <f aca="false">IF(ISNUMBER(U4213),ABS(U4213),"")</f>
        <v>1.33591875475307</v>
      </c>
    </row>
    <row r="4214" customFormat="false" ht="15" hidden="false" customHeight="false" outlineLevel="0" collapsed="false">
      <c r="A4214" s="57" t="n">
        <v>38919</v>
      </c>
      <c r="B4214" s="56" t="n">
        <v>2006</v>
      </c>
      <c r="C4214" s="56" t="n">
        <v>7</v>
      </c>
      <c r="D4214" s="56" t="n">
        <v>82</v>
      </c>
      <c r="E4214" s="56" t="n">
        <v>31.7</v>
      </c>
      <c r="F4214" s="56" t="n">
        <v>0</v>
      </c>
      <c r="G4214" s="56" t="n">
        <v>17.9</v>
      </c>
      <c r="H4214" s="56" t="n">
        <v>0</v>
      </c>
      <c r="I4214" s="56" t="n">
        <v>24.8</v>
      </c>
      <c r="J4214" s="56" t="n">
        <v>0</v>
      </c>
      <c r="K4214" s="56" t="n">
        <v>1019.2</v>
      </c>
      <c r="L4214" s="56" t="n">
        <v>0</v>
      </c>
      <c r="M4214" s="56" t="n">
        <v>59</v>
      </c>
      <c r="N4214" s="56" t="n">
        <v>11.8</v>
      </c>
      <c r="O4214" s="56" t="n">
        <f aca="false">IF(D4214=1,"",E4213)</f>
        <v>31.7</v>
      </c>
      <c r="P4214" s="56" t="n">
        <f aca="false">IF(OR(D4214=1,K4213=""),"",K4213)</f>
        <v>1016.5</v>
      </c>
      <c r="Q4214" s="56" t="n">
        <f aca="false">IF(OR(F4214&lt;&gt;0,AND(I4214&lt;&gt;"",E4214&lt;I4214)),1,0)</f>
        <v>0</v>
      </c>
      <c r="R4214" s="56" t="n">
        <f aca="false">IF(AND(D4214&gt;1,Q4214=0,ISNUMBER(O4214),ISNUMBER(P4214)),IF(Q4213=0,1,0),0)</f>
        <v>1</v>
      </c>
      <c r="S4214" s="56" t="n">
        <f aca="false">R4214*(B4214&gt;=Train_Start)*(B4214&lt;=Train_End)</f>
        <v>0</v>
      </c>
      <c r="T4214" s="84" t="n">
        <f aca="false">IF(AND(ISNUMBER(O4214),ISNUMBER(P4214)),Coef_A+Coef_B1*O4214+Coef_B2*P4214,"")</f>
        <v>29.9475257368982</v>
      </c>
      <c r="U4214" s="84" t="n">
        <f aca="false">IF(AND(R4214=1,ISNUMBER(T4214)),E4214-T4214,"")</f>
        <v>1.75247426310184</v>
      </c>
      <c r="V4214" s="84" t="n">
        <f aca="false">IF(ISNUMBER(T4214),T4214,-99)</f>
        <v>29.9475257368982</v>
      </c>
      <c r="W4214" s="84" t="n">
        <f aca="false">IF(ISNUMBER(U4214),ABS(U4214),"")</f>
        <v>1.75247426310184</v>
      </c>
    </row>
    <row r="4215" customFormat="false" ht="15" hidden="false" customHeight="false" outlineLevel="0" collapsed="false">
      <c r="A4215" s="57" t="n">
        <v>38920</v>
      </c>
      <c r="B4215" s="56" t="n">
        <v>2006</v>
      </c>
      <c r="C4215" s="56" t="n">
        <v>7</v>
      </c>
      <c r="D4215" s="56" t="n">
        <v>83</v>
      </c>
      <c r="E4215" s="56" t="n">
        <v>29.5</v>
      </c>
      <c r="F4215" s="56" t="n">
        <v>0</v>
      </c>
      <c r="G4215" s="56" t="n">
        <v>19.8</v>
      </c>
      <c r="H4215" s="56" t="n">
        <v>0</v>
      </c>
      <c r="I4215" s="56" t="n">
        <v>24.6</v>
      </c>
      <c r="J4215" s="56" t="n">
        <v>0</v>
      </c>
      <c r="K4215" s="56" t="n">
        <v>1016.2</v>
      </c>
      <c r="L4215" s="56" t="n">
        <v>0</v>
      </c>
      <c r="M4215" s="56" t="n">
        <v>72</v>
      </c>
      <c r="N4215" s="56" t="n">
        <v>3.3</v>
      </c>
      <c r="O4215" s="56" t="n">
        <f aca="false">IF(D4215=1,"",E4214)</f>
        <v>31.7</v>
      </c>
      <c r="P4215" s="56" t="n">
        <f aca="false">IF(OR(D4215=1,K4214=""),"",K4214)</f>
        <v>1019.2</v>
      </c>
      <c r="Q4215" s="56" t="n">
        <f aca="false">IF(OR(F4215&lt;&gt;0,AND(I4215&lt;&gt;"",E4215&lt;I4215)),1,0)</f>
        <v>0</v>
      </c>
      <c r="R4215" s="56" t="n">
        <f aca="false">IF(AND(D4215&gt;1,Q4215=0,ISNUMBER(O4215),ISNUMBER(P4215)),IF(Q4214=0,1,0),0)</f>
        <v>1</v>
      </c>
      <c r="S4215" s="56" t="n">
        <f aca="false">R4215*(B4215&gt;=Train_Start)*(B4215&lt;=Train_End)</f>
        <v>0</v>
      </c>
      <c r="T4215" s="84" t="n">
        <f aca="false">IF(AND(ISNUMBER(O4215),ISNUMBER(P4215)),Coef_A+Coef_B1*O4215+Coef_B2*P4215,"")</f>
        <v>30.0322244524099</v>
      </c>
      <c r="U4215" s="84" t="n">
        <f aca="false">IF(AND(R4215=1,ISNUMBER(T4215)),E4215-T4215,"")</f>
        <v>-0.532224452409931</v>
      </c>
      <c r="V4215" s="84" t="n">
        <f aca="false">IF(ISNUMBER(T4215),T4215,-99)</f>
        <v>30.0322244524099</v>
      </c>
      <c r="W4215" s="84" t="n">
        <f aca="false">IF(ISNUMBER(U4215),ABS(U4215),"")</f>
        <v>0.532224452409931</v>
      </c>
    </row>
    <row r="4216" customFormat="false" ht="15" hidden="false" customHeight="false" outlineLevel="0" collapsed="false">
      <c r="A4216" s="57" t="n">
        <v>38921</v>
      </c>
      <c r="B4216" s="56" t="n">
        <v>2006</v>
      </c>
      <c r="C4216" s="56" t="n">
        <v>7</v>
      </c>
      <c r="D4216" s="56" t="n">
        <v>84</v>
      </c>
      <c r="E4216" s="56" t="n">
        <v>26.5</v>
      </c>
      <c r="F4216" s="56" t="n">
        <v>0</v>
      </c>
      <c r="G4216" s="56" t="n">
        <v>16.7</v>
      </c>
      <c r="H4216" s="56" t="n">
        <v>0</v>
      </c>
      <c r="I4216" s="56" t="n">
        <v>21.6</v>
      </c>
      <c r="J4216" s="56" t="n">
        <v>0</v>
      </c>
      <c r="K4216" s="56" t="n">
        <v>1018.6</v>
      </c>
      <c r="L4216" s="56" t="n">
        <v>0</v>
      </c>
      <c r="M4216" s="56" t="n">
        <v>71</v>
      </c>
      <c r="N4216" s="56" t="n">
        <v>3.3</v>
      </c>
      <c r="O4216" s="56" t="n">
        <f aca="false">IF(D4216=1,"",E4215)</f>
        <v>29.5</v>
      </c>
      <c r="P4216" s="56" t="n">
        <f aca="false">IF(OR(D4216=1,K4215=""),"",K4215)</f>
        <v>1016.2</v>
      </c>
      <c r="Q4216" s="56" t="n">
        <f aca="false">IF(OR(F4216&lt;&gt;0,AND(I4216&lt;&gt;"",E4216&lt;I4216)),1,0)</f>
        <v>0</v>
      </c>
      <c r="R4216" s="56" t="n">
        <f aca="false">IF(AND(D4216&gt;1,Q4216=0,ISNUMBER(O4216),ISNUMBER(P4216)),IF(Q4215=0,1,0),0)</f>
        <v>1</v>
      </c>
      <c r="S4216" s="56" t="n">
        <f aca="false">R4216*(B4216&gt;=Train_Start)*(B4216&lt;=Train_End)</f>
        <v>0</v>
      </c>
      <c r="T4216" s="84" t="n">
        <f aca="false">IF(AND(ISNUMBER(O4216),ISNUMBER(P4216)),Coef_A+Coef_B1*O4216+Coef_B2*P4216,"")</f>
        <v>28.1355685438141</v>
      </c>
      <c r="U4216" s="84" t="n">
        <f aca="false">IF(AND(R4216=1,ISNUMBER(T4216)),E4216-T4216,"")</f>
        <v>-1.63556854381412</v>
      </c>
      <c r="V4216" s="84" t="n">
        <f aca="false">IF(ISNUMBER(T4216),T4216,-99)</f>
        <v>28.1355685438141</v>
      </c>
      <c r="W4216" s="84" t="n">
        <f aca="false">IF(ISNUMBER(U4216),ABS(U4216),"")</f>
        <v>1.63556854381412</v>
      </c>
    </row>
    <row r="4217" customFormat="false" ht="15" hidden="false" customHeight="false" outlineLevel="0" collapsed="false">
      <c r="A4217" s="57" t="n">
        <v>38922</v>
      </c>
      <c r="B4217" s="56" t="n">
        <v>2006</v>
      </c>
      <c r="C4217" s="56" t="n">
        <v>7</v>
      </c>
      <c r="D4217" s="56" t="n">
        <v>85</v>
      </c>
      <c r="E4217" s="56" t="n">
        <v>30</v>
      </c>
      <c r="F4217" s="56" t="n">
        <v>0</v>
      </c>
      <c r="G4217" s="56" t="n">
        <v>15.7</v>
      </c>
      <c r="H4217" s="56" t="n">
        <v>0</v>
      </c>
      <c r="I4217" s="56" t="n">
        <v>22.8</v>
      </c>
      <c r="J4217" s="56" t="n">
        <v>0</v>
      </c>
      <c r="K4217" s="56" t="n">
        <v>1020.5</v>
      </c>
      <c r="L4217" s="56" t="n">
        <v>0</v>
      </c>
      <c r="M4217" s="56" t="n">
        <v>58</v>
      </c>
      <c r="N4217" s="56" t="n">
        <v>9.5</v>
      </c>
      <c r="O4217" s="56" t="n">
        <f aca="false">IF(D4217=1,"",E4216)</f>
        <v>26.5</v>
      </c>
      <c r="P4217" s="56" t="n">
        <f aca="false">IF(OR(D4217=1,K4216=""),"",K4216)</f>
        <v>1018.6</v>
      </c>
      <c r="Q4217" s="56" t="n">
        <f aca="false">IF(OR(F4217&lt;&gt;0,AND(I4217&lt;&gt;"",E4217&lt;I4217)),1,0)</f>
        <v>0</v>
      </c>
      <c r="R4217" s="56" t="n">
        <f aca="false">IF(AND(D4217&gt;1,Q4217=0,ISNUMBER(O4217),ISNUMBER(P4217)),IF(Q4216=0,1,0),0)</f>
        <v>1</v>
      </c>
      <c r="S4217" s="56" t="n">
        <f aca="false">R4217*(B4217&gt;=Train_Start)*(B4217&lt;=Train_End)</f>
        <v>0</v>
      </c>
      <c r="T4217" s="84" t="n">
        <f aca="false">IF(AND(ISNUMBER(O4217),ISNUMBER(P4217)),Coef_A+Coef_B1*O4217+Coef_B2*P4217,"")</f>
        <v>25.7528387118077</v>
      </c>
      <c r="U4217" s="84" t="n">
        <f aca="false">IF(AND(R4217=1,ISNUMBER(T4217)),E4217-T4217,"")</f>
        <v>4.24716128819228</v>
      </c>
      <c r="V4217" s="84" t="n">
        <f aca="false">IF(ISNUMBER(T4217),T4217,-99)</f>
        <v>25.7528387118077</v>
      </c>
      <c r="W4217" s="84" t="n">
        <f aca="false">IF(ISNUMBER(U4217),ABS(U4217),"")</f>
        <v>4.24716128819228</v>
      </c>
    </row>
    <row r="4218" customFormat="false" ht="15" hidden="false" customHeight="false" outlineLevel="0" collapsed="false">
      <c r="A4218" s="57" t="n">
        <v>38923</v>
      </c>
      <c r="B4218" s="56" t="n">
        <v>2006</v>
      </c>
      <c r="C4218" s="56" t="n">
        <v>7</v>
      </c>
      <c r="D4218" s="56" t="n">
        <v>86</v>
      </c>
      <c r="E4218" s="56" t="n">
        <v>33</v>
      </c>
      <c r="F4218" s="56" t="n">
        <v>0</v>
      </c>
      <c r="G4218" s="56" t="n">
        <v>16.8</v>
      </c>
      <c r="H4218" s="56" t="n">
        <v>0</v>
      </c>
      <c r="I4218" s="56" t="n">
        <v>24.9</v>
      </c>
      <c r="J4218" s="56" t="n">
        <v>0</v>
      </c>
      <c r="K4218" s="56" t="n">
        <v>1018</v>
      </c>
      <c r="L4218" s="56" t="n">
        <v>0</v>
      </c>
      <c r="M4218" s="56" t="n">
        <v>57</v>
      </c>
      <c r="N4218" s="56" t="n">
        <v>11.9</v>
      </c>
      <c r="O4218" s="56" t="n">
        <f aca="false">IF(D4218=1,"",E4217)</f>
        <v>30</v>
      </c>
      <c r="P4218" s="56" t="n">
        <f aca="false">IF(OR(D4218=1,K4217=""),"",K4217)</f>
        <v>1020.5</v>
      </c>
      <c r="Q4218" s="56" t="n">
        <f aca="false">IF(OR(F4218&lt;&gt;0,AND(I4218&lt;&gt;"",E4218&lt;I4218)),1,0)</f>
        <v>0</v>
      </c>
      <c r="R4218" s="56" t="n">
        <f aca="false">IF(AND(D4218&gt;1,Q4218=0,ISNUMBER(O4218),ISNUMBER(P4218)),IF(Q4217=0,1,0),0)</f>
        <v>1</v>
      </c>
      <c r="S4218" s="56" t="n">
        <f aca="false">R4218*(B4218&gt;=Train_Start)*(B4218&lt;=Train_End)</f>
        <v>0</v>
      </c>
      <c r="T4218" s="84" t="n">
        <f aca="false">IF(AND(ISNUMBER(O4218),ISNUMBER(P4218)),Coef_A+Coef_B1*O4218+Coef_B2*P4218,"")</f>
        <v>28.6801286872616</v>
      </c>
      <c r="U4218" s="84" t="n">
        <f aca="false">IF(AND(R4218=1,ISNUMBER(T4218)),E4218-T4218,"")</f>
        <v>4.3198713127384</v>
      </c>
      <c r="V4218" s="84" t="n">
        <f aca="false">IF(ISNUMBER(T4218),T4218,-99)</f>
        <v>28.6801286872616</v>
      </c>
      <c r="W4218" s="84" t="n">
        <f aca="false">IF(ISNUMBER(U4218),ABS(U4218),"")</f>
        <v>4.3198713127384</v>
      </c>
    </row>
    <row r="4219" customFormat="false" ht="15" hidden="false" customHeight="false" outlineLevel="0" collapsed="false">
      <c r="A4219" s="57" t="n">
        <v>38924</v>
      </c>
      <c r="B4219" s="56" t="n">
        <v>2006</v>
      </c>
      <c r="C4219" s="56" t="n">
        <v>7</v>
      </c>
      <c r="D4219" s="56" t="n">
        <v>87</v>
      </c>
      <c r="E4219" s="56" t="n">
        <v>32.7</v>
      </c>
      <c r="F4219" s="56" t="n">
        <v>0</v>
      </c>
      <c r="G4219" s="56" t="n">
        <v>19.9</v>
      </c>
      <c r="H4219" s="56" t="n">
        <v>0</v>
      </c>
      <c r="I4219" s="56" t="n">
        <v>26.3</v>
      </c>
      <c r="J4219" s="56" t="n">
        <v>0</v>
      </c>
      <c r="K4219" s="56" t="n">
        <v>1016.4</v>
      </c>
      <c r="L4219" s="56" t="n">
        <v>0</v>
      </c>
      <c r="M4219" s="56" t="n">
        <v>57</v>
      </c>
      <c r="N4219" s="56" t="n">
        <v>7.8</v>
      </c>
      <c r="O4219" s="56" t="n">
        <f aca="false">IF(D4219=1,"",E4218)</f>
        <v>33</v>
      </c>
      <c r="P4219" s="56" t="n">
        <f aca="false">IF(OR(D4219=1,K4218=""),"",K4218)</f>
        <v>1018</v>
      </c>
      <c r="Q4219" s="56" t="n">
        <f aca="false">IF(OR(F4219&lt;&gt;0,AND(I4219&lt;&gt;"",E4219&lt;I4219)),1,0)</f>
        <v>0</v>
      </c>
      <c r="R4219" s="56" t="n">
        <f aca="false">IF(AND(D4219&gt;1,Q4219=0,ISNUMBER(O4219),ISNUMBER(P4219)),IF(Q4218=0,1,0),0)</f>
        <v>1</v>
      </c>
      <c r="S4219" s="56" t="n">
        <f aca="false">R4219*(B4219&gt;=Train_Start)*(B4219&lt;=Train_End)</f>
        <v>0</v>
      </c>
      <c r="T4219" s="84" t="n">
        <f aca="false">IF(AND(ISNUMBER(O4219),ISNUMBER(P4219)),Coef_A+Coef_B1*O4219+Coef_B2*P4219,"")</f>
        <v>31.0597215298046</v>
      </c>
      <c r="U4219" s="84" t="n">
        <f aca="false">IF(AND(R4219=1,ISNUMBER(T4219)),E4219-T4219,"")</f>
        <v>1.6402784701954</v>
      </c>
      <c r="V4219" s="84" t="n">
        <f aca="false">IF(ISNUMBER(T4219),T4219,-99)</f>
        <v>31.0597215298046</v>
      </c>
      <c r="W4219" s="84" t="n">
        <f aca="false">IF(ISNUMBER(U4219),ABS(U4219),"")</f>
        <v>1.6402784701954</v>
      </c>
    </row>
    <row r="4220" customFormat="false" ht="15" hidden="false" customHeight="false" outlineLevel="0" collapsed="false">
      <c r="A4220" s="57" t="n">
        <v>38925</v>
      </c>
      <c r="B4220" s="56" t="n">
        <v>2006</v>
      </c>
      <c r="C4220" s="56" t="n">
        <v>7</v>
      </c>
      <c r="D4220" s="56" t="n">
        <v>88</v>
      </c>
      <c r="E4220" s="56" t="n">
        <v>30.3</v>
      </c>
      <c r="F4220" s="56" t="n">
        <v>0</v>
      </c>
      <c r="G4220" s="56" t="n">
        <v>19.2</v>
      </c>
      <c r="H4220" s="56" t="n">
        <v>0</v>
      </c>
      <c r="I4220" s="56" t="n">
        <v>24.8</v>
      </c>
      <c r="J4220" s="56" t="n">
        <v>0</v>
      </c>
      <c r="K4220" s="56" t="n">
        <v>1015</v>
      </c>
      <c r="L4220" s="56" t="n">
        <v>0</v>
      </c>
      <c r="M4220" s="56" t="n">
        <v>71</v>
      </c>
      <c r="N4220" s="56" t="n">
        <v>6</v>
      </c>
      <c r="O4220" s="56" t="n">
        <f aca="false">IF(D4220=1,"",E4219)</f>
        <v>32.7</v>
      </c>
      <c r="P4220" s="56" t="n">
        <f aca="false">IF(OR(D4220=1,K4219=""),"",K4219)</f>
        <v>1016.4</v>
      </c>
      <c r="Q4220" s="56" t="n">
        <f aca="false">IF(OR(F4220&lt;&gt;0,AND(I4220&lt;&gt;"",E4220&lt;I4220)),1,0)</f>
        <v>0</v>
      </c>
      <c r="R4220" s="56" t="n">
        <f aca="false">IF(AND(D4220&gt;1,Q4220=0,ISNUMBER(O4220),ISNUMBER(P4220)),IF(Q4219=0,1,0),0)</f>
        <v>1</v>
      </c>
      <c r="S4220" s="56" t="n">
        <f aca="false">R4220*(B4220&gt;=Train_Start)*(B4220&lt;=Train_End)</f>
        <v>0</v>
      </c>
      <c r="T4220" s="84" t="n">
        <f aca="false">IF(AND(ISNUMBER(O4220),ISNUMBER(P4220)),Coef_A+Coef_B1*O4220+Coef_B2*P4220,"")</f>
        <v>30.7637279404774</v>
      </c>
      <c r="U4220" s="84" t="n">
        <f aca="false">IF(AND(R4220=1,ISNUMBER(T4220)),E4220-T4220,"")</f>
        <v>-0.463727940477419</v>
      </c>
      <c r="V4220" s="84" t="n">
        <f aca="false">IF(ISNUMBER(T4220),T4220,-99)</f>
        <v>30.7637279404774</v>
      </c>
      <c r="W4220" s="84" t="n">
        <f aca="false">IF(ISNUMBER(U4220),ABS(U4220),"")</f>
        <v>0.463727940477419</v>
      </c>
    </row>
    <row r="4221" customFormat="false" ht="15" hidden="false" customHeight="false" outlineLevel="0" collapsed="false">
      <c r="A4221" s="57" t="n">
        <v>38926</v>
      </c>
      <c r="B4221" s="56" t="n">
        <v>2006</v>
      </c>
      <c r="C4221" s="56" t="n">
        <v>7</v>
      </c>
      <c r="D4221" s="56" t="n">
        <v>89</v>
      </c>
      <c r="E4221" s="56" t="n">
        <v>29.1</v>
      </c>
      <c r="F4221" s="56" t="n">
        <v>0</v>
      </c>
      <c r="G4221" s="56" t="n">
        <v>17.3</v>
      </c>
      <c r="H4221" s="56" t="n">
        <v>0</v>
      </c>
      <c r="I4221" s="56" t="n">
        <v>23.2</v>
      </c>
      <c r="J4221" s="56" t="n">
        <v>0</v>
      </c>
      <c r="K4221" s="56" t="n">
        <v>1012.9</v>
      </c>
      <c r="L4221" s="56" t="n">
        <v>0</v>
      </c>
      <c r="M4221" s="56" t="n">
        <v>62</v>
      </c>
      <c r="N4221" s="56" t="n">
        <v>8.5</v>
      </c>
      <c r="O4221" s="56" t="n">
        <f aca="false">IF(D4221=1,"",E4220)</f>
        <v>30.3</v>
      </c>
      <c r="P4221" s="56" t="n">
        <f aca="false">IF(OR(D4221=1,K4220=""),"",K4220)</f>
        <v>1015</v>
      </c>
      <c r="Q4221" s="56" t="n">
        <f aca="false">IF(OR(F4221&lt;&gt;0,AND(I4221&lt;&gt;"",E4221&lt;I4221)),1,0)</f>
        <v>0</v>
      </c>
      <c r="R4221" s="56" t="n">
        <f aca="false">IF(AND(D4221&gt;1,Q4221=0,ISNUMBER(O4221),ISNUMBER(P4221)),IF(Q4220=0,1,0),0)</f>
        <v>1</v>
      </c>
      <c r="S4221" s="56" t="n">
        <f aca="false">R4221*(B4221&gt;=Train_Start)*(B4221&lt;=Train_End)</f>
        <v>0</v>
      </c>
      <c r="T4221" s="84" t="n">
        <f aca="false">IF(AND(ISNUMBER(O4221),ISNUMBER(P4221)),Coef_A+Coef_B1*O4221+Coef_B2*P4221,"")</f>
        <v>28.7533960246875</v>
      </c>
      <c r="U4221" s="84" t="n">
        <f aca="false">IF(AND(R4221=1,ISNUMBER(T4221)),E4221-T4221,"")</f>
        <v>0.346603975312544</v>
      </c>
      <c r="V4221" s="84" t="n">
        <f aca="false">IF(ISNUMBER(T4221),T4221,-99)</f>
        <v>28.7533960246875</v>
      </c>
      <c r="W4221" s="84" t="n">
        <f aca="false">IF(ISNUMBER(U4221),ABS(U4221),"")</f>
        <v>0.346603975312544</v>
      </c>
    </row>
    <row r="4222" customFormat="false" ht="15" hidden="false" customHeight="false" outlineLevel="0" collapsed="false">
      <c r="A4222" s="57" t="n">
        <v>38927</v>
      </c>
      <c r="B4222" s="56" t="n">
        <v>2006</v>
      </c>
      <c r="C4222" s="56" t="n">
        <v>7</v>
      </c>
      <c r="D4222" s="56" t="n">
        <v>90</v>
      </c>
      <c r="E4222" s="56" t="n">
        <v>26.7</v>
      </c>
      <c r="F4222" s="56" t="n">
        <v>0</v>
      </c>
      <c r="G4222" s="56" t="n">
        <v>16.3</v>
      </c>
      <c r="H4222" s="56" t="n">
        <v>0</v>
      </c>
      <c r="I4222" s="56" t="n">
        <v>21.5</v>
      </c>
      <c r="J4222" s="56" t="n">
        <v>0</v>
      </c>
      <c r="K4222" s="56" t="n">
        <v>1009.1</v>
      </c>
      <c r="L4222" s="56" t="n">
        <v>0</v>
      </c>
      <c r="M4222" s="56" t="n">
        <v>66</v>
      </c>
      <c r="N4222" s="56" t="n">
        <v>7.8</v>
      </c>
      <c r="O4222" s="56" t="n">
        <f aca="false">IF(D4222=1,"",E4221)</f>
        <v>29.1</v>
      </c>
      <c r="P4222" s="56" t="n">
        <f aca="false">IF(OR(D4222=1,K4221=""),"",K4221)</f>
        <v>1012.9</v>
      </c>
      <c r="Q4222" s="56" t="n">
        <f aca="false">IF(OR(F4222&lt;&gt;0,AND(I4222&lt;&gt;"",E4222&lt;I4222)),1,0)</f>
        <v>0</v>
      </c>
      <c r="R4222" s="56" t="n">
        <f aca="false">IF(AND(D4222&gt;1,Q4222=0,ISNUMBER(O4222),ISNUMBER(P4222)),IF(Q4221=0,1,0),0)</f>
        <v>1</v>
      </c>
      <c r="S4222" s="56" t="n">
        <f aca="false">R4222*(B4222&gt;=Train_Start)*(B4222&lt;=Train_End)</f>
        <v>0</v>
      </c>
      <c r="T4222" s="84" t="n">
        <f aca="false">IF(AND(ISNUMBER(O4222),ISNUMBER(P4222)),Coef_A+Coef_B1*O4222+Coef_B2*P4222,"")</f>
        <v>27.7043122143049</v>
      </c>
      <c r="U4222" s="84" t="n">
        <f aca="false">IF(AND(R4222=1,ISNUMBER(T4222)),E4222-T4222,"")</f>
        <v>-1.00431221430489</v>
      </c>
      <c r="V4222" s="84" t="n">
        <f aca="false">IF(ISNUMBER(T4222),T4222,-99)</f>
        <v>27.7043122143049</v>
      </c>
      <c r="W4222" s="84" t="n">
        <f aca="false">IF(ISNUMBER(U4222),ABS(U4222),"")</f>
        <v>1.00431221430489</v>
      </c>
    </row>
    <row r="4223" customFormat="false" ht="15" hidden="false" customHeight="false" outlineLevel="0" collapsed="false">
      <c r="A4223" s="57" t="n">
        <v>38928</v>
      </c>
      <c r="B4223" s="56" t="n">
        <v>2006</v>
      </c>
      <c r="C4223" s="56" t="n">
        <v>7</v>
      </c>
      <c r="D4223" s="56" t="n">
        <v>91</v>
      </c>
      <c r="E4223" s="56" t="n">
        <v>25.8</v>
      </c>
      <c r="F4223" s="56" t="n">
        <v>0</v>
      </c>
      <c r="G4223" s="56" t="n">
        <v>17.9</v>
      </c>
      <c r="H4223" s="56" t="n">
        <v>0</v>
      </c>
      <c r="I4223" s="56" t="n">
        <v>21.8</v>
      </c>
      <c r="J4223" s="56" t="n">
        <v>0</v>
      </c>
      <c r="K4223" s="56" t="n">
        <v>1009.9</v>
      </c>
      <c r="L4223" s="56" t="n">
        <v>0</v>
      </c>
      <c r="M4223" s="56" t="n">
        <v>61</v>
      </c>
      <c r="N4223" s="56" t="n">
        <v>7.4</v>
      </c>
      <c r="O4223" s="56" t="n">
        <f aca="false">IF(D4223=1,"",E4222)</f>
        <v>26.7</v>
      </c>
      <c r="P4223" s="56" t="n">
        <f aca="false">IF(OR(D4223=1,K4222=""),"",K4222)</f>
        <v>1009.1</v>
      </c>
      <c r="Q4223" s="56" t="n">
        <f aca="false">IF(OR(F4223&lt;&gt;0,AND(I4223&lt;&gt;"",E4223&lt;I4223)),1,0)</f>
        <v>0</v>
      </c>
      <c r="R4223" s="56" t="n">
        <f aca="false">IF(AND(D4223&gt;1,Q4223=0,ISNUMBER(O4223),ISNUMBER(P4223)),IF(Q4222=0,1,0),0)</f>
        <v>1</v>
      </c>
      <c r="S4223" s="56" t="n">
        <f aca="false">R4223*(B4223&gt;=Train_Start)*(B4223&lt;=Train_End)</f>
        <v>0</v>
      </c>
      <c r="T4223" s="84" t="n">
        <f aca="false">IF(AND(ISNUMBER(O4223),ISNUMBER(P4223)),Coef_A+Coef_B1*O4223+Coef_B2*P4223,"")</f>
        <v>25.6186925513934</v>
      </c>
      <c r="U4223" s="84" t="n">
        <f aca="false">IF(AND(R4223=1,ISNUMBER(T4223)),E4223-T4223,"")</f>
        <v>0.181307448606649</v>
      </c>
      <c r="V4223" s="84" t="n">
        <f aca="false">IF(ISNUMBER(T4223),T4223,-99)</f>
        <v>25.6186925513934</v>
      </c>
      <c r="W4223" s="84" t="n">
        <f aca="false">IF(ISNUMBER(U4223),ABS(U4223),"")</f>
        <v>0.181307448606649</v>
      </c>
    </row>
    <row r="4224" customFormat="false" ht="15" hidden="false" customHeight="false" outlineLevel="0" collapsed="false">
      <c r="A4224" s="57" t="n">
        <v>38929</v>
      </c>
      <c r="B4224" s="56" t="n">
        <v>2006</v>
      </c>
      <c r="C4224" s="56" t="n">
        <v>7</v>
      </c>
      <c r="D4224" s="56" t="n">
        <v>92</v>
      </c>
      <c r="E4224" s="56" t="n">
        <v>24.2</v>
      </c>
      <c r="F4224" s="56" t="n">
        <v>0</v>
      </c>
      <c r="G4224" s="56" t="n">
        <v>16.6</v>
      </c>
      <c r="H4224" s="56" t="n">
        <v>0</v>
      </c>
      <c r="I4224" s="56" t="n">
        <v>20.4</v>
      </c>
      <c r="J4224" s="56" t="n">
        <v>0</v>
      </c>
      <c r="K4224" s="56" t="n">
        <v>1010</v>
      </c>
      <c r="L4224" s="56" t="n">
        <v>0</v>
      </c>
      <c r="M4224" s="56" t="n">
        <v>64</v>
      </c>
      <c r="N4224" s="56" t="n">
        <v>4.7</v>
      </c>
      <c r="O4224" s="56" t="n">
        <f aca="false">IF(D4224=1,"",E4223)</f>
        <v>25.8</v>
      </c>
      <c r="P4224" s="56" t="n">
        <f aca="false">IF(OR(D4224=1,K4223=""),"",K4223)</f>
        <v>1009.9</v>
      </c>
      <c r="Q4224" s="56" t="n">
        <f aca="false">IF(OR(F4224&lt;&gt;0,AND(I4224&lt;&gt;"",E4224&lt;I4224)),1,0)</f>
        <v>0</v>
      </c>
      <c r="R4224" s="56" t="n">
        <f aca="false">IF(AND(D4224&gt;1,Q4224=0,ISNUMBER(O4224),ISNUMBER(P4224)),IF(Q4223=0,1,0),0)</f>
        <v>1</v>
      </c>
      <c r="S4224" s="56" t="n">
        <f aca="false">R4224*(B4224&gt;=Train_Start)*(B4224&lt;=Train_End)</f>
        <v>0</v>
      </c>
      <c r="T4224" s="84" t="n">
        <f aca="false">IF(AND(ISNUMBER(O4224),ISNUMBER(P4224)),Coef_A+Coef_B1*O4224+Coef_B2*P4224,"")</f>
        <v>24.9063831933622</v>
      </c>
      <c r="U4224" s="84" t="n">
        <f aca="false">IF(AND(R4224=1,ISNUMBER(T4224)),E4224-T4224,"")</f>
        <v>-0.70638319336215</v>
      </c>
      <c r="V4224" s="84" t="n">
        <f aca="false">IF(ISNUMBER(T4224),T4224,-99)</f>
        <v>24.9063831933622</v>
      </c>
      <c r="W4224" s="84" t="n">
        <f aca="false">IF(ISNUMBER(U4224),ABS(U4224),"")</f>
        <v>0.70638319336215</v>
      </c>
    </row>
    <row r="4225" customFormat="false" ht="15" hidden="false" customHeight="false" outlineLevel="0" collapsed="false">
      <c r="A4225" s="57" t="n">
        <v>38930</v>
      </c>
      <c r="B4225" s="56" t="n">
        <v>2006</v>
      </c>
      <c r="C4225" s="56" t="n">
        <v>8</v>
      </c>
      <c r="D4225" s="56" t="n">
        <v>93</v>
      </c>
      <c r="E4225" s="56" t="n">
        <v>22.9</v>
      </c>
      <c r="F4225" s="56" t="n">
        <v>0</v>
      </c>
      <c r="G4225" s="56" t="n">
        <v>14.3</v>
      </c>
      <c r="H4225" s="56" t="n">
        <v>0</v>
      </c>
      <c r="I4225" s="56" t="n">
        <v>18.6</v>
      </c>
      <c r="J4225" s="56" t="n">
        <v>0</v>
      </c>
      <c r="K4225" s="56" t="n">
        <v>1006.4</v>
      </c>
      <c r="L4225" s="56" t="n">
        <v>0</v>
      </c>
      <c r="M4225" s="56" t="n">
        <v>64</v>
      </c>
      <c r="N4225" s="56" t="n">
        <v>3.3</v>
      </c>
      <c r="O4225" s="56" t="n">
        <f aca="false">IF(D4225=1,"",E4224)</f>
        <v>24.2</v>
      </c>
      <c r="P4225" s="56" t="n">
        <f aca="false">IF(OR(D4225=1,K4224=""),"",K4224)</f>
        <v>1010</v>
      </c>
      <c r="Q4225" s="56" t="n">
        <f aca="false">IF(OR(F4225&lt;&gt;0,AND(I4225&lt;&gt;"",E4225&lt;I4225)),1,0)</f>
        <v>0</v>
      </c>
      <c r="R4225" s="56" t="n">
        <f aca="false">IF(AND(D4225&gt;1,Q4225=0,ISNUMBER(O4225),ISNUMBER(P4225)),IF(Q4224=0,1,0),0)</f>
        <v>1</v>
      </c>
      <c r="S4225" s="56" t="n">
        <f aca="false">R4225*(B4225&gt;=Train_Start)*(B4225&lt;=Train_End)</f>
        <v>0</v>
      </c>
      <c r="T4225" s="84" t="n">
        <f aca="false">IF(AND(ISNUMBER(O4225),ISNUMBER(P4225)),Coef_A+Coef_B1*O4225+Coef_B2*P4225,"")</f>
        <v>23.5985774739573</v>
      </c>
      <c r="U4225" s="84" t="n">
        <f aca="false">IF(AND(R4225=1,ISNUMBER(T4225)),E4225-T4225,"")</f>
        <v>-0.698577473957297</v>
      </c>
      <c r="V4225" s="84" t="n">
        <f aca="false">IF(ISNUMBER(T4225),T4225,-99)</f>
        <v>23.5985774739573</v>
      </c>
      <c r="W4225" s="84" t="n">
        <f aca="false">IF(ISNUMBER(U4225),ABS(U4225),"")</f>
        <v>0.698577473957297</v>
      </c>
    </row>
    <row r="4226" customFormat="false" ht="15" hidden="false" customHeight="false" outlineLevel="0" collapsed="false">
      <c r="A4226" s="57" t="n">
        <v>38931</v>
      </c>
      <c r="B4226" s="56" t="n">
        <v>2006</v>
      </c>
      <c r="C4226" s="56" t="n">
        <v>8</v>
      </c>
      <c r="D4226" s="56" t="n">
        <v>94</v>
      </c>
      <c r="E4226" s="56" t="n">
        <v>23.2</v>
      </c>
      <c r="F4226" s="56" t="n">
        <v>0</v>
      </c>
      <c r="G4226" s="56" t="n">
        <v>13.6</v>
      </c>
      <c r="H4226" s="56" t="n">
        <v>0</v>
      </c>
      <c r="I4226" s="56" t="n">
        <v>18.4</v>
      </c>
      <c r="J4226" s="56" t="n">
        <v>0</v>
      </c>
      <c r="K4226" s="56" t="n">
        <v>1007.9</v>
      </c>
      <c r="L4226" s="56" t="n">
        <v>0</v>
      </c>
      <c r="M4226" s="56" t="n">
        <v>61</v>
      </c>
      <c r="N4226" s="56" t="n">
        <v>5.4</v>
      </c>
      <c r="O4226" s="56" t="n">
        <f aca="false">IF(D4226=1,"",E4225)</f>
        <v>22.9</v>
      </c>
      <c r="P4226" s="56" t="n">
        <f aca="false">IF(OR(D4226=1,K4225=""),"",K4225)</f>
        <v>1006.4</v>
      </c>
      <c r="Q4226" s="56" t="n">
        <f aca="false">IF(OR(F4226&lt;&gt;0,AND(I4226&lt;&gt;"",E4226&lt;I4226)),1,0)</f>
        <v>0</v>
      </c>
      <c r="R4226" s="56" t="n">
        <f aca="false">IF(AND(D4226&gt;1,Q4226=0,ISNUMBER(O4226),ISNUMBER(P4226)),IF(Q4225=0,1,0),0)</f>
        <v>1</v>
      </c>
      <c r="S4226" s="56" t="n">
        <f aca="false">R4226*(B4226&gt;=Train_Start)*(B4226&lt;=Train_End)</f>
        <v>0</v>
      </c>
      <c r="T4226" s="84" t="n">
        <f aca="false">IF(AND(ISNUMBER(O4226),ISNUMBER(P4226)),Coef_A+Coef_B1*O4226+Coef_B2*P4226,"")</f>
        <v>22.4205049023195</v>
      </c>
      <c r="U4226" s="84" t="n">
        <f aca="false">IF(AND(R4226=1,ISNUMBER(T4226)),E4226-T4226,"")</f>
        <v>0.77949509768052</v>
      </c>
      <c r="V4226" s="84" t="n">
        <f aca="false">IF(ISNUMBER(T4226),T4226,-99)</f>
        <v>22.4205049023195</v>
      </c>
      <c r="W4226" s="84" t="n">
        <f aca="false">IF(ISNUMBER(U4226),ABS(U4226),"")</f>
        <v>0.77949509768052</v>
      </c>
    </row>
    <row r="4227" customFormat="false" ht="15" hidden="false" customHeight="false" outlineLevel="0" collapsed="false">
      <c r="A4227" s="57" t="n">
        <v>38932</v>
      </c>
      <c r="B4227" s="56" t="n">
        <v>2006</v>
      </c>
      <c r="C4227" s="56" t="n">
        <v>8</v>
      </c>
      <c r="D4227" s="56" t="n">
        <v>95</v>
      </c>
      <c r="E4227" s="56" t="n">
        <v>21.1</v>
      </c>
      <c r="F4227" s="56" t="n">
        <v>0</v>
      </c>
      <c r="G4227" s="56" t="n">
        <v>14.1</v>
      </c>
      <c r="H4227" s="56" t="n">
        <v>0</v>
      </c>
      <c r="I4227" s="56" t="n">
        <v>17.6</v>
      </c>
      <c r="J4227" s="56" t="n">
        <v>0</v>
      </c>
      <c r="K4227" s="56" t="n">
        <v>1012.9</v>
      </c>
      <c r="L4227" s="56" t="n">
        <v>0</v>
      </c>
      <c r="M4227" s="56" t="n">
        <v>71</v>
      </c>
      <c r="N4227" s="56" t="n">
        <v>3.8</v>
      </c>
      <c r="O4227" s="56" t="n">
        <f aca="false">IF(D4227=1,"",E4226)</f>
        <v>23.2</v>
      </c>
      <c r="P4227" s="56" t="n">
        <f aca="false">IF(OR(D4227=1,K4226=""),"",K4226)</f>
        <v>1007.9</v>
      </c>
      <c r="Q4227" s="56" t="n">
        <f aca="false">IF(OR(F4227&lt;&gt;0,AND(I4227&lt;&gt;"",E4227&lt;I4227)),1,0)</f>
        <v>0</v>
      </c>
      <c r="R4227" s="56" t="n">
        <f aca="false">IF(AND(D4227&gt;1,Q4227=0,ISNUMBER(O4227),ISNUMBER(P4227)),IF(Q4226=0,1,0),0)</f>
        <v>1</v>
      </c>
      <c r="S4227" s="56" t="n">
        <f aca="false">R4227*(B4227&gt;=Train_Start)*(B4227&lt;=Train_End)</f>
        <v>0</v>
      </c>
      <c r="T4227" s="84" t="n">
        <f aca="false">IF(AND(ISNUMBER(O4227),ISNUMBER(P4227)),Coef_A+Coef_B1*O4227+Coef_B2*P4227,"")</f>
        <v>22.7133615021833</v>
      </c>
      <c r="U4227" s="84" t="n">
        <f aca="false">IF(AND(R4227=1,ISNUMBER(T4227)),E4227-T4227,"")</f>
        <v>-1.61336150218326</v>
      </c>
      <c r="V4227" s="84" t="n">
        <f aca="false">IF(ISNUMBER(T4227),T4227,-99)</f>
        <v>22.7133615021833</v>
      </c>
      <c r="W4227" s="84" t="n">
        <f aca="false">IF(ISNUMBER(U4227),ABS(U4227),"")</f>
        <v>1.61336150218326</v>
      </c>
    </row>
    <row r="4228" customFormat="false" ht="15" hidden="false" customHeight="false" outlineLevel="0" collapsed="false">
      <c r="A4228" s="57" t="n">
        <v>38933</v>
      </c>
      <c r="B4228" s="56" t="n">
        <v>2006</v>
      </c>
      <c r="C4228" s="56" t="n">
        <v>8</v>
      </c>
      <c r="D4228" s="56" t="n">
        <v>96</v>
      </c>
      <c r="E4228" s="56" t="n">
        <v>23</v>
      </c>
      <c r="F4228" s="56" t="n">
        <v>0</v>
      </c>
      <c r="G4228" s="56" t="n">
        <v>12.1</v>
      </c>
      <c r="H4228" s="56" t="n">
        <v>0</v>
      </c>
      <c r="I4228" s="56" t="n">
        <v>17.6</v>
      </c>
      <c r="J4228" s="56" t="n">
        <v>0</v>
      </c>
      <c r="K4228" s="56" t="n">
        <v>1018.7</v>
      </c>
      <c r="L4228" s="56" t="n">
        <v>0</v>
      </c>
      <c r="M4228" s="56" t="n">
        <v>64</v>
      </c>
      <c r="N4228" s="56" t="n">
        <v>2.9</v>
      </c>
      <c r="O4228" s="56" t="n">
        <f aca="false">IF(D4228=1,"",E4227)</f>
        <v>21.1</v>
      </c>
      <c r="P4228" s="56" t="n">
        <f aca="false">IF(OR(D4228=1,K4227=""),"",K4227)</f>
        <v>1012.9</v>
      </c>
      <c r="Q4228" s="56" t="n">
        <f aca="false">IF(OR(F4228&lt;&gt;0,AND(I4228&lt;&gt;"",E4228&lt;I4228)),1,0)</f>
        <v>0</v>
      </c>
      <c r="R4228" s="56" t="n">
        <f aca="false">IF(AND(D4228&gt;1,Q4228=0,ISNUMBER(O4228),ISNUMBER(P4228)),IF(Q4227=0,1,0),0)</f>
        <v>1</v>
      </c>
      <c r="S4228" s="56" t="n">
        <f aca="false">R4228*(B4228&gt;=Train_Start)*(B4228&lt;=Train_End)</f>
        <v>0</v>
      </c>
      <c r="T4228" s="84" t="n">
        <f aca="false">IF(AND(ISNUMBER(O4228),ISNUMBER(P4228)),Coef_A+Coef_B1*O4228+Coef_B2*P4228,"")</f>
        <v>21.1495986699636</v>
      </c>
      <c r="U4228" s="84" t="n">
        <f aca="false">IF(AND(R4228=1,ISNUMBER(T4228)),E4228-T4228,"")</f>
        <v>1.85040133003637</v>
      </c>
      <c r="V4228" s="84" t="n">
        <f aca="false">IF(ISNUMBER(T4228),T4228,-99)</f>
        <v>21.1495986699636</v>
      </c>
      <c r="W4228" s="84" t="n">
        <f aca="false">IF(ISNUMBER(U4228),ABS(U4228),"")</f>
        <v>1.85040133003637</v>
      </c>
    </row>
    <row r="4229" customFormat="false" ht="15" hidden="false" customHeight="false" outlineLevel="0" collapsed="false">
      <c r="A4229" s="57" t="n">
        <v>38934</v>
      </c>
      <c r="B4229" s="56" t="n">
        <v>2006</v>
      </c>
      <c r="C4229" s="56" t="n">
        <v>8</v>
      </c>
      <c r="D4229" s="56" t="n">
        <v>97</v>
      </c>
      <c r="E4229" s="56" t="n">
        <v>27.1</v>
      </c>
      <c r="F4229" s="56" t="n">
        <v>0</v>
      </c>
      <c r="G4229" s="56" t="n">
        <v>14.7</v>
      </c>
      <c r="H4229" s="56" t="n">
        <v>0</v>
      </c>
      <c r="I4229" s="56" t="n">
        <v>20.9</v>
      </c>
      <c r="J4229" s="56" t="n">
        <v>0</v>
      </c>
      <c r="K4229" s="56" t="n">
        <v>1020.9</v>
      </c>
      <c r="L4229" s="56" t="n">
        <v>0</v>
      </c>
      <c r="M4229" s="56" t="n">
        <v>57</v>
      </c>
      <c r="N4229" s="56" t="n">
        <v>10.6</v>
      </c>
      <c r="O4229" s="56" t="n">
        <f aca="false">IF(D4229=1,"",E4228)</f>
        <v>23</v>
      </c>
      <c r="P4229" s="56" t="n">
        <f aca="false">IF(OR(D4229=1,K4228=""),"",K4228)</f>
        <v>1018.7</v>
      </c>
      <c r="Q4229" s="56" t="n">
        <f aca="false">IF(OR(F4229&lt;&gt;0,AND(I4229&lt;&gt;"",E4229&lt;I4229)),1,0)</f>
        <v>0</v>
      </c>
      <c r="R4229" s="56" t="n">
        <f aca="false">IF(AND(D4229&gt;1,Q4229=0,ISNUMBER(O4229),ISNUMBER(P4229)),IF(Q4228=0,1,0),0)</f>
        <v>1</v>
      </c>
      <c r="S4229" s="56" t="n">
        <f aca="false">R4229*(B4229&gt;=Train_Start)*(B4229&lt;=Train_End)</f>
        <v>0</v>
      </c>
      <c r="T4229" s="84" t="n">
        <f aca="false">IF(AND(ISNUMBER(O4229),ISNUMBER(P4229)),Coef_A+Coef_B1*O4229+Coef_B2*P4229,"")</f>
        <v>22.8882885256218</v>
      </c>
      <c r="U4229" s="84" t="n">
        <f aca="false">IF(AND(R4229=1,ISNUMBER(T4229)),E4229-T4229,"")</f>
        <v>4.21171147437818</v>
      </c>
      <c r="V4229" s="84" t="n">
        <f aca="false">IF(ISNUMBER(T4229),T4229,-99)</f>
        <v>22.8882885256218</v>
      </c>
      <c r="W4229" s="84" t="n">
        <f aca="false">IF(ISNUMBER(U4229),ABS(U4229),"")</f>
        <v>4.21171147437818</v>
      </c>
    </row>
    <row r="4230" customFormat="false" ht="15" hidden="false" customHeight="false" outlineLevel="0" collapsed="false">
      <c r="A4230" s="57" t="n">
        <v>38935</v>
      </c>
      <c r="B4230" s="56" t="n">
        <v>2006</v>
      </c>
      <c r="C4230" s="56" t="n">
        <v>8</v>
      </c>
      <c r="D4230" s="56" t="n">
        <v>98</v>
      </c>
      <c r="E4230" s="56" t="n">
        <v>28.2</v>
      </c>
      <c r="F4230" s="56" t="n">
        <v>0</v>
      </c>
      <c r="G4230" s="56" t="n">
        <v>17.2</v>
      </c>
      <c r="H4230" s="56" t="n">
        <v>0</v>
      </c>
      <c r="I4230" s="56" t="n">
        <v>22.7</v>
      </c>
      <c r="J4230" s="56" t="n">
        <v>0</v>
      </c>
      <c r="K4230" s="56" t="n">
        <v>1020.9</v>
      </c>
      <c r="L4230" s="56" t="n">
        <v>0</v>
      </c>
      <c r="M4230" s="56" t="n">
        <v>61</v>
      </c>
      <c r="N4230" s="56" t="n">
        <v>3.6</v>
      </c>
      <c r="O4230" s="56" t="n">
        <f aca="false">IF(D4230=1,"",E4229)</f>
        <v>27.1</v>
      </c>
      <c r="P4230" s="56" t="n">
        <f aca="false">IF(OR(D4230=1,K4229=""),"",K4229)</f>
        <v>1020.9</v>
      </c>
      <c r="Q4230" s="56" t="n">
        <f aca="false">IF(OR(F4230&lt;&gt;0,AND(I4230&lt;&gt;"",E4230&lt;I4230)),1,0)</f>
        <v>0</v>
      </c>
      <c r="R4230" s="56" t="n">
        <f aca="false">IF(AND(D4230&gt;1,Q4230=0,ISNUMBER(O4230),ISNUMBER(P4230)),IF(Q4229=0,1,0),0)</f>
        <v>1</v>
      </c>
      <c r="S4230" s="56" t="n">
        <f aca="false">R4230*(B4230&gt;=Train_Start)*(B4230&lt;=Train_End)</f>
        <v>0</v>
      </c>
      <c r="T4230" s="84" t="n">
        <f aca="false">IF(AND(ISNUMBER(O4230),ISNUMBER(P4230)),Coef_A+Coef_B1*O4230+Coef_B2*P4230,"")</f>
        <v>26.3165929852915</v>
      </c>
      <c r="U4230" s="84" t="n">
        <f aca="false">IF(AND(R4230=1,ISNUMBER(T4230)),E4230-T4230,"")</f>
        <v>1.88340701470851</v>
      </c>
      <c r="V4230" s="84" t="n">
        <f aca="false">IF(ISNUMBER(T4230),T4230,-99)</f>
        <v>26.3165929852915</v>
      </c>
      <c r="W4230" s="84" t="n">
        <f aca="false">IF(ISNUMBER(U4230),ABS(U4230),"")</f>
        <v>1.88340701470851</v>
      </c>
    </row>
    <row r="4231" customFormat="false" ht="15" hidden="false" customHeight="false" outlineLevel="0" collapsed="false">
      <c r="A4231" s="57" t="n">
        <v>38936</v>
      </c>
      <c r="B4231" s="56" t="n">
        <v>2006</v>
      </c>
      <c r="C4231" s="56" t="n">
        <v>8</v>
      </c>
      <c r="D4231" s="56" t="n">
        <v>99</v>
      </c>
      <c r="E4231" s="56" t="n">
        <v>23.5</v>
      </c>
      <c r="F4231" s="56" t="n">
        <v>0</v>
      </c>
      <c r="G4231" s="56" t="n">
        <v>18.8</v>
      </c>
      <c r="H4231" s="56" t="n">
        <v>0</v>
      </c>
      <c r="I4231" s="56" t="n">
        <v>21.2</v>
      </c>
      <c r="J4231" s="56" t="n">
        <v>0</v>
      </c>
      <c r="K4231" s="56" t="n">
        <v>1021.5</v>
      </c>
      <c r="L4231" s="56" t="n">
        <v>0</v>
      </c>
      <c r="M4231" s="56" t="n">
        <v>73</v>
      </c>
      <c r="N4231" s="56" t="n">
        <v>0</v>
      </c>
      <c r="O4231" s="56" t="n">
        <f aca="false">IF(D4231=1,"",E4230)</f>
        <v>28.2</v>
      </c>
      <c r="P4231" s="56" t="n">
        <f aca="false">IF(OR(D4231=1,K4230=""),"",K4230)</f>
        <v>1020.9</v>
      </c>
      <c r="Q4231" s="56" t="n">
        <f aca="false">IF(OR(F4231&lt;&gt;0,AND(I4231&lt;&gt;"",E4231&lt;I4231)),1,0)</f>
        <v>0</v>
      </c>
      <c r="R4231" s="56" t="n">
        <f aca="false">IF(AND(D4231&gt;1,Q4231=0,ISNUMBER(O4231),ISNUMBER(P4231)),IF(Q4230=0,1,0),0)</f>
        <v>1</v>
      </c>
      <c r="S4231" s="56" t="n">
        <f aca="false">R4231*(B4231&gt;=Train_Start)*(B4231&lt;=Train_End)</f>
        <v>0</v>
      </c>
      <c r="T4231" s="84" t="n">
        <f aca="false">IF(AND(ISNUMBER(O4231),ISNUMBER(P4231)),Coef_A+Coef_B1*O4231+Coef_B2*P4231,"")</f>
        <v>27.2178660976384</v>
      </c>
      <c r="U4231" s="84" t="n">
        <f aca="false">IF(AND(R4231=1,ISNUMBER(T4231)),E4231-T4231,"")</f>
        <v>-3.71786609763841</v>
      </c>
      <c r="V4231" s="84" t="n">
        <f aca="false">IF(ISNUMBER(T4231),T4231,-99)</f>
        <v>27.2178660976384</v>
      </c>
      <c r="W4231" s="84" t="n">
        <f aca="false">IF(ISNUMBER(U4231),ABS(U4231),"")</f>
        <v>3.71786609763841</v>
      </c>
    </row>
    <row r="4232" customFormat="false" ht="15" hidden="false" customHeight="false" outlineLevel="0" collapsed="false">
      <c r="A4232" s="57" t="n">
        <v>38937</v>
      </c>
      <c r="B4232" s="56" t="n">
        <v>2006</v>
      </c>
      <c r="C4232" s="56" t="n">
        <v>8</v>
      </c>
      <c r="D4232" s="56" t="n">
        <v>100</v>
      </c>
      <c r="E4232" s="56" t="n">
        <v>26.1</v>
      </c>
      <c r="F4232" s="56" t="n">
        <v>0</v>
      </c>
      <c r="G4232" s="56" t="n">
        <v>10</v>
      </c>
      <c r="H4232" s="56" t="n">
        <v>0</v>
      </c>
      <c r="I4232" s="56" t="n">
        <v>18</v>
      </c>
      <c r="J4232" s="56" t="n">
        <v>0</v>
      </c>
      <c r="K4232" s="56" t="n">
        <v>1021.8</v>
      </c>
      <c r="L4232" s="56" t="n">
        <v>0</v>
      </c>
      <c r="M4232" s="56"/>
      <c r="N4232" s="56" t="n">
        <v>11</v>
      </c>
      <c r="O4232" s="56" t="n">
        <f aca="false">IF(D4232=1,"",E4231)</f>
        <v>23.5</v>
      </c>
      <c r="P4232" s="56" t="n">
        <f aca="false">IF(OR(D4232=1,K4231=""),"",K4231)</f>
        <v>1021.5</v>
      </c>
      <c r="Q4232" s="56" t="n">
        <f aca="false">IF(OR(F4232&lt;&gt;0,AND(I4232&lt;&gt;"",E4232&lt;I4232)),1,0)</f>
        <v>0</v>
      </c>
      <c r="R4232" s="56" t="n">
        <f aca="false">IF(AND(D4232&gt;1,Q4232=0,ISNUMBER(O4232),ISNUMBER(P4232)),IF(Q4231=0,1,0),0)</f>
        <v>1</v>
      </c>
      <c r="S4232" s="56" t="n">
        <f aca="false">R4232*(B4232&gt;=Train_Start)*(B4232&lt;=Train_End)</f>
        <v>0</v>
      </c>
      <c r="T4232" s="84" t="n">
        <f aca="false">IF(AND(ISNUMBER(O4232),ISNUMBER(P4232)),Coef_A+Coef_B1*O4232+Coef_B2*P4232,"")</f>
        <v>23.3857938271183</v>
      </c>
      <c r="U4232" s="84" t="n">
        <f aca="false">IF(AND(R4232=1,ISNUMBER(T4232)),E4232-T4232,"")</f>
        <v>2.71420617288169</v>
      </c>
      <c r="V4232" s="84" t="n">
        <f aca="false">IF(ISNUMBER(T4232),T4232,-99)</f>
        <v>23.3857938271183</v>
      </c>
      <c r="W4232" s="84" t="n">
        <f aca="false">IF(ISNUMBER(U4232),ABS(U4232),"")</f>
        <v>2.71420617288169</v>
      </c>
    </row>
    <row r="4233" customFormat="false" ht="15" hidden="false" customHeight="false" outlineLevel="0" collapsed="false">
      <c r="A4233" s="57" t="n">
        <v>38938</v>
      </c>
      <c r="B4233" s="56" t="n">
        <v>2006</v>
      </c>
      <c r="C4233" s="56" t="n">
        <v>8</v>
      </c>
      <c r="D4233" s="56" t="n">
        <v>101</v>
      </c>
      <c r="E4233" s="56" t="n">
        <v>23.4</v>
      </c>
      <c r="F4233" s="56" t="n">
        <v>0</v>
      </c>
      <c r="G4233" s="56" t="n">
        <v>14.9</v>
      </c>
      <c r="H4233" s="56" t="n">
        <v>0</v>
      </c>
      <c r="I4233" s="56" t="n">
        <v>19.2</v>
      </c>
      <c r="J4233" s="56" t="n">
        <v>0</v>
      </c>
      <c r="K4233" s="56" t="n">
        <v>1017.1</v>
      </c>
      <c r="L4233" s="56" t="n">
        <v>0</v>
      </c>
      <c r="M4233" s="56" t="n">
        <v>54</v>
      </c>
      <c r="N4233" s="56" t="n">
        <v>6.9</v>
      </c>
      <c r="O4233" s="56" t="n">
        <f aca="false">IF(D4233=1,"",E4232)</f>
        <v>26.1</v>
      </c>
      <c r="P4233" s="56" t="n">
        <f aca="false">IF(OR(D4233=1,K4232=""),"",K4232)</f>
        <v>1021.8</v>
      </c>
      <c r="Q4233" s="56" t="n">
        <f aca="false">IF(OR(F4233&lt;&gt;0,AND(I4233&lt;&gt;"",E4233&lt;I4233)),1,0)</f>
        <v>0</v>
      </c>
      <c r="R4233" s="56" t="n">
        <f aca="false">IF(AND(D4233&gt;1,Q4233=0,ISNUMBER(O4233),ISNUMBER(P4233)),IF(Q4232=0,1,0),0)</f>
        <v>1</v>
      </c>
      <c r="S4233" s="56" t="n">
        <f aca="false">R4233*(B4233&gt;=Train_Start)*(B4233&lt;=Train_End)</f>
        <v>0</v>
      </c>
      <c r="T4233" s="84" t="n">
        <f aca="false">IF(AND(ISNUMBER(O4233),ISNUMBER(P4233)),Coef_A+Coef_B1*O4233+Coef_B2*P4233,"")</f>
        <v>25.5254866974194</v>
      </c>
      <c r="U4233" s="84" t="n">
        <f aca="false">IF(AND(R4233=1,ISNUMBER(T4233)),E4233-T4233,"")</f>
        <v>-2.12548669741942</v>
      </c>
      <c r="V4233" s="84" t="n">
        <f aca="false">IF(ISNUMBER(T4233),T4233,-99)</f>
        <v>25.5254866974194</v>
      </c>
      <c r="W4233" s="84" t="n">
        <f aca="false">IF(ISNUMBER(U4233),ABS(U4233),"")</f>
        <v>2.12548669741942</v>
      </c>
    </row>
    <row r="4234" customFormat="false" ht="15" hidden="false" customHeight="false" outlineLevel="0" collapsed="false">
      <c r="A4234" s="57" t="n">
        <v>38939</v>
      </c>
      <c r="B4234" s="56" t="n">
        <v>2006</v>
      </c>
      <c r="C4234" s="56" t="n">
        <v>8</v>
      </c>
      <c r="D4234" s="56" t="n">
        <v>102</v>
      </c>
      <c r="E4234" s="56" t="n">
        <v>21</v>
      </c>
      <c r="F4234" s="56" t="n">
        <v>0</v>
      </c>
      <c r="G4234" s="56" t="n">
        <v>12.4</v>
      </c>
      <c r="H4234" s="56" t="n">
        <v>0</v>
      </c>
      <c r="I4234" s="56" t="n">
        <v>16.7</v>
      </c>
      <c r="J4234" s="56" t="n">
        <v>0</v>
      </c>
      <c r="K4234" s="56" t="n">
        <v>1015.6</v>
      </c>
      <c r="L4234" s="56" t="n">
        <v>0</v>
      </c>
      <c r="M4234" s="56" t="n">
        <v>60</v>
      </c>
      <c r="N4234" s="56" t="n">
        <v>4.2</v>
      </c>
      <c r="O4234" s="56" t="n">
        <f aca="false">IF(D4234=1,"",E4233)</f>
        <v>23.4</v>
      </c>
      <c r="P4234" s="56" t="n">
        <f aca="false">IF(OR(D4234=1,K4233=""),"",K4233)</f>
        <v>1017.1</v>
      </c>
      <c r="Q4234" s="56" t="n">
        <f aca="false">IF(OR(F4234&lt;&gt;0,AND(I4234&lt;&gt;"",E4234&lt;I4234)),1,0)</f>
        <v>0</v>
      </c>
      <c r="R4234" s="56" t="n">
        <f aca="false">IF(AND(D4234&gt;1,Q4234=0,ISNUMBER(O4234),ISNUMBER(P4234)),IF(Q4233=0,1,0),0)</f>
        <v>1</v>
      </c>
      <c r="S4234" s="56" t="n">
        <f aca="false">R4234*(B4234&gt;=Train_Start)*(B4234&lt;=Train_End)</f>
        <v>0</v>
      </c>
      <c r="T4234" s="84" t="n">
        <f aca="false">IF(AND(ISNUMBER(O4234),ISNUMBER(P4234)),Coef_A+Coef_B1*O4234+Coef_B2*P4234,"")</f>
        <v>23.1658323714245</v>
      </c>
      <c r="U4234" s="84" t="n">
        <f aca="false">IF(AND(R4234=1,ISNUMBER(T4234)),E4234-T4234,"")</f>
        <v>-2.1658323714245</v>
      </c>
      <c r="V4234" s="84" t="n">
        <f aca="false">IF(ISNUMBER(T4234),T4234,-99)</f>
        <v>23.1658323714245</v>
      </c>
      <c r="W4234" s="84" t="n">
        <f aca="false">IF(ISNUMBER(U4234),ABS(U4234),"")</f>
        <v>2.1658323714245</v>
      </c>
    </row>
    <row r="4235" customFormat="false" ht="15" hidden="false" customHeight="false" outlineLevel="0" collapsed="false">
      <c r="A4235" s="57" t="n">
        <v>38940</v>
      </c>
      <c r="B4235" s="56" t="n">
        <v>2006</v>
      </c>
      <c r="C4235" s="56" t="n">
        <v>8</v>
      </c>
      <c r="D4235" s="56" t="n">
        <v>103</v>
      </c>
      <c r="E4235" s="56" t="n">
        <v>21.7</v>
      </c>
      <c r="F4235" s="56" t="n">
        <v>0</v>
      </c>
      <c r="G4235" s="56" t="n">
        <v>12.1</v>
      </c>
      <c r="H4235" s="56" t="n">
        <v>0</v>
      </c>
      <c r="I4235" s="56" t="n">
        <v>16.9</v>
      </c>
      <c r="J4235" s="56" t="n">
        <v>0</v>
      </c>
      <c r="K4235" s="56" t="n">
        <v>1013.3</v>
      </c>
      <c r="L4235" s="56" t="n">
        <v>0</v>
      </c>
      <c r="M4235" s="56" t="n">
        <v>55</v>
      </c>
      <c r="N4235" s="56" t="n">
        <v>2.6</v>
      </c>
      <c r="O4235" s="56" t="n">
        <f aca="false">IF(D4235=1,"",E4234)</f>
        <v>21</v>
      </c>
      <c r="P4235" s="56" t="n">
        <f aca="false">IF(OR(D4235=1,K4234=""),"",K4234)</f>
        <v>1015.6</v>
      </c>
      <c r="Q4235" s="56" t="n">
        <f aca="false">IF(OR(F4235&lt;&gt;0,AND(I4235&lt;&gt;"",E4235&lt;I4235)),1,0)</f>
        <v>0</v>
      </c>
      <c r="R4235" s="56" t="n">
        <f aca="false">IF(AND(D4235&gt;1,Q4235=0,ISNUMBER(O4235),ISNUMBER(P4235)),IF(Q4234=0,1,0),0)</f>
        <v>1</v>
      </c>
      <c r="S4235" s="56" t="n">
        <f aca="false">R4235*(B4235&gt;=Train_Start)*(B4235&lt;=Train_End)</f>
        <v>0</v>
      </c>
      <c r="T4235" s="84" t="n">
        <f aca="false">IF(AND(ISNUMBER(O4235),ISNUMBER(P4235)),Coef_A+Coef_B1*O4235+Coef_B2*P4235,"")</f>
        <v>21.1523634661711</v>
      </c>
      <c r="U4235" s="84" t="n">
        <f aca="false">IF(AND(R4235=1,ISNUMBER(T4235)),E4235-T4235,"")</f>
        <v>0.547636533828865</v>
      </c>
      <c r="V4235" s="84" t="n">
        <f aca="false">IF(ISNUMBER(T4235),T4235,-99)</f>
        <v>21.1523634661711</v>
      </c>
      <c r="W4235" s="84" t="n">
        <f aca="false">IF(ISNUMBER(U4235),ABS(U4235),"")</f>
        <v>0.547636533828865</v>
      </c>
    </row>
    <row r="4236" customFormat="false" ht="15" hidden="false" customHeight="false" outlineLevel="0" collapsed="false">
      <c r="A4236" s="57" t="n">
        <v>38941</v>
      </c>
      <c r="B4236" s="56" t="n">
        <v>2006</v>
      </c>
      <c r="C4236" s="56" t="n">
        <v>8</v>
      </c>
      <c r="D4236" s="56" t="n">
        <v>104</v>
      </c>
      <c r="E4236" s="56" t="n">
        <v>19</v>
      </c>
      <c r="F4236" s="56" t="n">
        <v>0</v>
      </c>
      <c r="G4236" s="56" t="n">
        <v>14.5</v>
      </c>
      <c r="H4236" s="56" t="n">
        <v>0</v>
      </c>
      <c r="I4236" s="56" t="n">
        <v>16.8</v>
      </c>
      <c r="J4236" s="56" t="n">
        <v>0</v>
      </c>
      <c r="K4236" s="56" t="n">
        <v>1012.2</v>
      </c>
      <c r="L4236" s="56" t="n">
        <v>0</v>
      </c>
      <c r="M4236" s="56"/>
      <c r="N4236" s="56" t="n">
        <v>1.3</v>
      </c>
      <c r="O4236" s="56" t="n">
        <f aca="false">IF(D4236=1,"",E4235)</f>
        <v>21.7</v>
      </c>
      <c r="P4236" s="56" t="n">
        <f aca="false">IF(OR(D4236=1,K4235=""),"",K4235)</f>
        <v>1013.3</v>
      </c>
      <c r="Q4236" s="56" t="n">
        <f aca="false">IF(OR(F4236&lt;&gt;0,AND(I4236&lt;&gt;"",E4236&lt;I4236)),1,0)</f>
        <v>0</v>
      </c>
      <c r="R4236" s="56" t="n">
        <f aca="false">IF(AND(D4236&gt;1,Q4236=0,ISNUMBER(O4236),ISNUMBER(P4236)),IF(Q4235=0,1,0),0)</f>
        <v>1</v>
      </c>
      <c r="S4236" s="56" t="n">
        <f aca="false">R4236*(B4236&gt;=Train_Start)*(B4236&lt;=Train_End)</f>
        <v>0</v>
      </c>
      <c r="T4236" s="84" t="n">
        <f aca="false">IF(AND(ISNUMBER(O4236),ISNUMBER(P4236)),Coef_A+Coef_B1*O4236+Coef_B2*P4236,"")</f>
        <v>21.6537501436428</v>
      </c>
      <c r="U4236" s="84" t="n">
        <f aca="false">IF(AND(R4236=1,ISNUMBER(T4236)),E4236-T4236,"")</f>
        <v>-2.65375014364282</v>
      </c>
      <c r="V4236" s="84" t="n">
        <f aca="false">IF(ISNUMBER(T4236),T4236,-99)</f>
        <v>21.6537501436428</v>
      </c>
      <c r="W4236" s="84" t="n">
        <f aca="false">IF(ISNUMBER(U4236),ABS(U4236),"")</f>
        <v>2.65375014364282</v>
      </c>
    </row>
    <row r="4237" customFormat="false" ht="15" hidden="false" customHeight="false" outlineLevel="0" collapsed="false">
      <c r="A4237" s="57" t="n">
        <v>38942</v>
      </c>
      <c r="B4237" s="56" t="n">
        <v>2006</v>
      </c>
      <c r="C4237" s="56" t="n">
        <v>8</v>
      </c>
      <c r="D4237" s="56" t="n">
        <v>105</v>
      </c>
      <c r="E4237" s="56" t="n">
        <v>18.7</v>
      </c>
      <c r="F4237" s="56" t="n">
        <v>0</v>
      </c>
      <c r="G4237" s="56" t="n">
        <v>13.2</v>
      </c>
      <c r="H4237" s="56" t="n">
        <v>0</v>
      </c>
      <c r="I4237" s="56" t="n">
        <v>16</v>
      </c>
      <c r="J4237" s="56" t="n">
        <v>0</v>
      </c>
      <c r="K4237" s="56" t="n">
        <v>1009.5</v>
      </c>
      <c r="L4237" s="56" t="n">
        <v>0</v>
      </c>
      <c r="M4237" s="56" t="n">
        <v>86</v>
      </c>
      <c r="N4237" s="56" t="n">
        <v>0.9</v>
      </c>
      <c r="O4237" s="56" t="n">
        <f aca="false">IF(D4237=1,"",E4236)</f>
        <v>19</v>
      </c>
      <c r="P4237" s="56" t="n">
        <f aca="false">IF(OR(D4237=1,K4236=""),"",K4236)</f>
        <v>1012.2</v>
      </c>
      <c r="Q4237" s="56" t="n">
        <f aca="false">IF(OR(F4237&lt;&gt;0,AND(I4237&lt;&gt;"",E4237&lt;I4237)),1,0)</f>
        <v>0</v>
      </c>
      <c r="R4237" s="56" t="n">
        <f aca="false">IF(AND(D4237&gt;1,Q4237=0,ISNUMBER(O4237),ISNUMBER(P4237)),IF(Q4236=0,1,0),0)</f>
        <v>1</v>
      </c>
      <c r="S4237" s="56" t="n">
        <f aca="false">R4237*(B4237&gt;=Train_Start)*(B4237&lt;=Train_End)</f>
        <v>0</v>
      </c>
      <c r="T4237" s="84" t="n">
        <f aca="false">IF(AND(ISNUMBER(O4237),ISNUMBER(P4237)),Coef_A+Coef_B1*O4237+Coef_B2*P4237,"")</f>
        <v>19.4070274383303</v>
      </c>
      <c r="U4237" s="84" t="n">
        <f aca="false">IF(AND(R4237=1,ISNUMBER(T4237)),E4237-T4237,"")</f>
        <v>-0.707027438330254</v>
      </c>
      <c r="V4237" s="84" t="n">
        <f aca="false">IF(ISNUMBER(T4237),T4237,-99)</f>
        <v>19.4070274383303</v>
      </c>
      <c r="W4237" s="84" t="n">
        <f aca="false">IF(ISNUMBER(U4237),ABS(U4237),"")</f>
        <v>0.707027438330254</v>
      </c>
    </row>
    <row r="4238" customFormat="false" ht="15" hidden="false" customHeight="false" outlineLevel="0" collapsed="false">
      <c r="A4238" s="57" t="n">
        <v>38943</v>
      </c>
      <c r="B4238" s="56" t="n">
        <v>2006</v>
      </c>
      <c r="C4238" s="56" t="n">
        <v>8</v>
      </c>
      <c r="D4238" s="56" t="n">
        <v>106</v>
      </c>
      <c r="E4238" s="56" t="n">
        <v>19.3</v>
      </c>
      <c r="F4238" s="56" t="n">
        <v>0</v>
      </c>
      <c r="G4238" s="56" t="n">
        <v>12</v>
      </c>
      <c r="H4238" s="56" t="n">
        <v>0</v>
      </c>
      <c r="I4238" s="56" t="n">
        <v>15.6</v>
      </c>
      <c r="J4238" s="56" t="n">
        <v>0</v>
      </c>
      <c r="K4238" s="56" t="n">
        <v>1011.6</v>
      </c>
      <c r="L4238" s="56" t="n">
        <v>0</v>
      </c>
      <c r="M4238" s="56" t="n">
        <v>82</v>
      </c>
      <c r="N4238" s="56" t="n">
        <v>0.2</v>
      </c>
      <c r="O4238" s="56" t="n">
        <f aca="false">IF(D4238=1,"",E4237)</f>
        <v>18.7</v>
      </c>
      <c r="P4238" s="56" t="n">
        <f aca="false">IF(OR(D4238=1,K4237=""),"",K4237)</f>
        <v>1009.5</v>
      </c>
      <c r="Q4238" s="56" t="n">
        <f aca="false">IF(OR(F4238&lt;&gt;0,AND(I4238&lt;&gt;"",E4238&lt;I4238)),1,0)</f>
        <v>0</v>
      </c>
      <c r="R4238" s="56" t="n">
        <f aca="false">IF(AND(D4238&gt;1,Q4238=0,ISNUMBER(O4238),ISNUMBER(P4238)),IF(Q4237=0,1,0),0)</f>
        <v>1</v>
      </c>
      <c r="S4238" s="56" t="n">
        <f aca="false">R4238*(B4238&gt;=Train_Start)*(B4238&lt;=Train_End)</f>
        <v>0</v>
      </c>
      <c r="T4238" s="84" t="n">
        <f aca="false">IF(AND(ISNUMBER(O4238),ISNUMBER(P4238)),Coef_A+Coef_B1*O4238+Coef_B2*P4238,"")</f>
        <v>19.0765269649057</v>
      </c>
      <c r="U4238" s="84" t="n">
        <f aca="false">IF(AND(R4238=1,ISNUMBER(T4238)),E4238-T4238,"")</f>
        <v>0.223473035094319</v>
      </c>
      <c r="V4238" s="84" t="n">
        <f aca="false">IF(ISNUMBER(T4238),T4238,-99)</f>
        <v>19.0765269649057</v>
      </c>
      <c r="W4238" s="84" t="n">
        <f aca="false">IF(ISNUMBER(U4238),ABS(U4238),"")</f>
        <v>0.223473035094319</v>
      </c>
    </row>
    <row r="4239" customFormat="false" ht="15" hidden="false" customHeight="false" outlineLevel="0" collapsed="false">
      <c r="A4239" s="57" t="n">
        <v>38944</v>
      </c>
      <c r="B4239" s="56" t="n">
        <v>2006</v>
      </c>
      <c r="C4239" s="56" t="n">
        <v>8</v>
      </c>
      <c r="D4239" s="56" t="n">
        <v>107</v>
      </c>
      <c r="E4239" s="56" t="n">
        <v>21.9</v>
      </c>
      <c r="F4239" s="56" t="n">
        <v>0</v>
      </c>
      <c r="G4239" s="56" t="n">
        <v>13.5</v>
      </c>
      <c r="H4239" s="56" t="n">
        <v>0</v>
      </c>
      <c r="I4239" s="56" t="n">
        <v>17.7</v>
      </c>
      <c r="J4239" s="56" t="n">
        <v>0</v>
      </c>
      <c r="K4239" s="56" t="n">
        <v>1007.6</v>
      </c>
      <c r="L4239" s="56" t="n">
        <v>0</v>
      </c>
      <c r="M4239" s="56" t="n">
        <v>67</v>
      </c>
      <c r="N4239" s="56" t="n">
        <v>2.4</v>
      </c>
      <c r="O4239" s="56" t="n">
        <f aca="false">IF(D4239=1,"",E4238)</f>
        <v>19.3</v>
      </c>
      <c r="P4239" s="56" t="n">
        <f aca="false">IF(OR(D4239=1,K4238=""),"",K4238)</f>
        <v>1011.6</v>
      </c>
      <c r="Q4239" s="56" t="n">
        <f aca="false">IF(OR(F4239&lt;&gt;0,AND(I4239&lt;&gt;"",E4239&lt;I4239)),1,0)</f>
        <v>0</v>
      </c>
      <c r="R4239" s="56" t="n">
        <f aca="false">IF(AND(D4239&gt;1,Q4239=0,ISNUMBER(O4239),ISNUMBER(P4239)),IF(Q4238=0,1,0),0)</f>
        <v>1</v>
      </c>
      <c r="S4239" s="56" t="n">
        <f aca="false">R4239*(B4239&gt;=Train_Start)*(B4239&lt;=Train_End)</f>
        <v>0</v>
      </c>
      <c r="T4239" s="84" t="n">
        <f aca="false">IF(AND(ISNUMBER(O4239),ISNUMBER(P4239)),Coef_A+Coef_B1*O4239+Coef_B2*P4239,"")</f>
        <v>19.6340072594627</v>
      </c>
      <c r="U4239" s="84" t="n">
        <f aca="false">IF(AND(R4239=1,ISNUMBER(T4239)),E4239-T4239,"")</f>
        <v>2.26599274053734</v>
      </c>
      <c r="V4239" s="84" t="n">
        <f aca="false">IF(ISNUMBER(T4239),T4239,-99)</f>
        <v>19.6340072594627</v>
      </c>
      <c r="W4239" s="84" t="n">
        <f aca="false">IF(ISNUMBER(U4239),ABS(U4239),"")</f>
        <v>2.26599274053734</v>
      </c>
    </row>
    <row r="4240" customFormat="false" ht="15" hidden="false" customHeight="false" outlineLevel="0" collapsed="false">
      <c r="A4240" s="57" t="n">
        <v>38945</v>
      </c>
      <c r="B4240" s="56" t="n">
        <v>2006</v>
      </c>
      <c r="C4240" s="56" t="n">
        <v>8</v>
      </c>
      <c r="D4240" s="56" t="n">
        <v>108</v>
      </c>
      <c r="E4240" s="56" t="n">
        <v>22.5</v>
      </c>
      <c r="F4240" s="56" t="n">
        <v>0</v>
      </c>
      <c r="G4240" s="56" t="n">
        <v>11.5</v>
      </c>
      <c r="H4240" s="56" t="n">
        <v>0</v>
      </c>
      <c r="I4240" s="56" t="n">
        <v>17</v>
      </c>
      <c r="J4240" s="56" t="n">
        <v>0</v>
      </c>
      <c r="K4240" s="56" t="n">
        <v>1002.6</v>
      </c>
      <c r="L4240" s="56" t="n">
        <v>0</v>
      </c>
      <c r="M4240" s="56" t="n">
        <v>74</v>
      </c>
      <c r="N4240" s="56" t="n">
        <v>4.2</v>
      </c>
      <c r="O4240" s="56" t="n">
        <f aca="false">IF(D4240=1,"",E4239)</f>
        <v>21.9</v>
      </c>
      <c r="P4240" s="56" t="n">
        <f aca="false">IF(OR(D4240=1,K4239=""),"",K4239)</f>
        <v>1007.6</v>
      </c>
      <c r="Q4240" s="56" t="n">
        <f aca="false">IF(OR(F4240&lt;&gt;0,AND(I4240&lt;&gt;"",E4240&lt;I4240)),1,0)</f>
        <v>0</v>
      </c>
      <c r="R4240" s="56" t="n">
        <f aca="false">IF(AND(D4240&gt;1,Q4240=0,ISNUMBER(O4240),ISNUMBER(P4240)),IF(Q4239=0,1,0),0)</f>
        <v>1</v>
      </c>
      <c r="S4240" s="56" t="n">
        <f aca="false">R4240*(B4240&gt;=Train_Start)*(B4240&lt;=Train_End)</f>
        <v>0</v>
      </c>
      <c r="T4240" s="84" t="n">
        <f aca="false">IF(AND(ISNUMBER(O4240),ISNUMBER(P4240)),Coef_A+Coef_B1*O4240+Coef_B2*P4240,"")</f>
        <v>21.6388095828376</v>
      </c>
      <c r="U4240" s="84" t="n">
        <f aca="false">IF(AND(R4240=1,ISNUMBER(T4240)),E4240-T4240,"")</f>
        <v>0.861190417162387</v>
      </c>
      <c r="V4240" s="84" t="n">
        <f aca="false">IF(ISNUMBER(T4240),T4240,-99)</f>
        <v>21.6388095828376</v>
      </c>
      <c r="W4240" s="84" t="n">
        <f aca="false">IF(ISNUMBER(U4240),ABS(U4240),"")</f>
        <v>0.861190417162387</v>
      </c>
    </row>
    <row r="4241" customFormat="false" ht="15" hidden="false" customHeight="false" outlineLevel="0" collapsed="false">
      <c r="A4241" s="57" t="n">
        <v>38946</v>
      </c>
      <c r="B4241" s="56" t="n">
        <v>2006</v>
      </c>
      <c r="C4241" s="56" t="n">
        <v>8</v>
      </c>
      <c r="D4241" s="56" t="n">
        <v>109</v>
      </c>
      <c r="E4241" s="56" t="n">
        <v>24.2</v>
      </c>
      <c r="F4241" s="56" t="n">
        <v>0</v>
      </c>
      <c r="G4241" s="56" t="n">
        <v>14.7</v>
      </c>
      <c r="H4241" s="56" t="n">
        <v>0</v>
      </c>
      <c r="I4241" s="56" t="n">
        <v>19.4</v>
      </c>
      <c r="J4241" s="56" t="n">
        <v>0</v>
      </c>
      <c r="K4241" s="56" t="n">
        <v>1000.2</v>
      </c>
      <c r="L4241" s="56" t="n">
        <v>0</v>
      </c>
      <c r="M4241" s="56" t="n">
        <v>71</v>
      </c>
      <c r="N4241" s="56" t="n">
        <v>5.7</v>
      </c>
      <c r="O4241" s="56" t="n">
        <f aca="false">IF(D4241=1,"",E4240)</f>
        <v>22.5</v>
      </c>
      <c r="P4241" s="56" t="n">
        <f aca="false">IF(OR(D4241=1,K4240=""),"",K4240)</f>
        <v>1002.6</v>
      </c>
      <c r="Q4241" s="56" t="n">
        <f aca="false">IF(OR(F4241&lt;&gt;0,AND(I4241&lt;&gt;"",E4241&lt;I4241)),1,0)</f>
        <v>0</v>
      </c>
      <c r="R4241" s="56" t="n">
        <f aca="false">IF(AND(D4241&gt;1,Q4241=0,ISNUMBER(O4241),ISNUMBER(P4241)),IF(Q4240=0,1,0),0)</f>
        <v>1</v>
      </c>
      <c r="S4241" s="56" t="n">
        <f aca="false">R4241*(B4241&gt;=Train_Start)*(B4241&lt;=Train_End)</f>
        <v>0</v>
      </c>
      <c r="T4241" s="84" t="n">
        <f aca="false">IF(AND(ISNUMBER(O4241),ISNUMBER(P4241)),Coef_A+Coef_B1*O4241+Coef_B2*P4241,"")</f>
        <v>21.9735636254933</v>
      </c>
      <c r="U4241" s="84" t="n">
        <f aca="false">IF(AND(R4241=1,ISNUMBER(T4241)),E4241-T4241,"")</f>
        <v>2.22643637450674</v>
      </c>
      <c r="V4241" s="84" t="n">
        <f aca="false">IF(ISNUMBER(T4241),T4241,-99)</f>
        <v>21.9735636254933</v>
      </c>
      <c r="W4241" s="84" t="n">
        <f aca="false">IF(ISNUMBER(U4241),ABS(U4241),"")</f>
        <v>2.22643637450674</v>
      </c>
    </row>
    <row r="4242" customFormat="false" ht="15" hidden="false" customHeight="false" outlineLevel="0" collapsed="false">
      <c r="A4242" s="57" t="n">
        <v>38947</v>
      </c>
      <c r="B4242" s="56" t="n">
        <v>2006</v>
      </c>
      <c r="C4242" s="56" t="n">
        <v>8</v>
      </c>
      <c r="D4242" s="56" t="n">
        <v>110</v>
      </c>
      <c r="E4242" s="56" t="n">
        <v>20.9</v>
      </c>
      <c r="F4242" s="56" t="n">
        <v>0</v>
      </c>
      <c r="G4242" s="56" t="n">
        <v>15</v>
      </c>
      <c r="H4242" s="56" t="n">
        <v>0</v>
      </c>
      <c r="I4242" s="56" t="n">
        <v>18</v>
      </c>
      <c r="J4242" s="56" t="n">
        <v>0</v>
      </c>
      <c r="K4242" s="56" t="n">
        <v>1002</v>
      </c>
      <c r="L4242" s="56" t="n">
        <v>0</v>
      </c>
      <c r="M4242" s="56" t="n">
        <v>82</v>
      </c>
      <c r="N4242" s="56" t="n">
        <v>3.1</v>
      </c>
      <c r="O4242" s="56" t="n">
        <f aca="false">IF(D4242=1,"",E4241)</f>
        <v>24.2</v>
      </c>
      <c r="P4242" s="56" t="n">
        <f aca="false">IF(OR(D4242=1,K4241=""),"",K4241)</f>
        <v>1000.2</v>
      </c>
      <c r="Q4242" s="56" t="n">
        <f aca="false">IF(OR(F4242&lt;&gt;0,AND(I4242&lt;&gt;"",E4242&lt;I4242)),1,0)</f>
        <v>0</v>
      </c>
      <c r="R4242" s="56" t="n">
        <f aca="false">IF(AND(D4242&gt;1,Q4242=0,ISNUMBER(O4242),ISNUMBER(P4242)),IF(Q4241=0,1,0),0)</f>
        <v>1</v>
      </c>
      <c r="S4242" s="56" t="n">
        <f aca="false">R4242*(B4242&gt;=Train_Start)*(B4242&lt;=Train_End)</f>
        <v>0</v>
      </c>
      <c r="T4242" s="84" t="n">
        <f aca="false">IF(AND(ISNUMBER(O4242),ISNUMBER(P4242)),Coef_A+Coef_B1*O4242+Coef_B2*P4242,"")</f>
        <v>23.2911525065442</v>
      </c>
      <c r="U4242" s="84" t="n">
        <f aca="false">IF(AND(R4242=1,ISNUMBER(T4242)),E4242-T4242,"")</f>
        <v>-2.3911525065442</v>
      </c>
      <c r="V4242" s="84" t="n">
        <f aca="false">IF(ISNUMBER(T4242),T4242,-99)</f>
        <v>23.2911525065442</v>
      </c>
      <c r="W4242" s="84" t="n">
        <f aca="false">IF(ISNUMBER(U4242),ABS(U4242),"")</f>
        <v>2.3911525065442</v>
      </c>
    </row>
    <row r="4243" customFormat="false" ht="15" hidden="false" customHeight="false" outlineLevel="0" collapsed="false">
      <c r="A4243" s="57" t="n">
        <v>38948</v>
      </c>
      <c r="B4243" s="56" t="n">
        <v>2006</v>
      </c>
      <c r="C4243" s="56" t="n">
        <v>8</v>
      </c>
      <c r="D4243" s="56" t="n">
        <v>111</v>
      </c>
      <c r="E4243" s="56" t="n">
        <v>22.3</v>
      </c>
      <c r="F4243" s="56" t="n">
        <v>0</v>
      </c>
      <c r="G4243" s="56" t="n">
        <v>14.5</v>
      </c>
      <c r="H4243" s="56" t="n">
        <v>0</v>
      </c>
      <c r="I4243" s="56" t="n">
        <v>18.4</v>
      </c>
      <c r="J4243" s="56" t="n">
        <v>0</v>
      </c>
      <c r="K4243" s="56" t="n">
        <v>1008.8</v>
      </c>
      <c r="L4243" s="56" t="n">
        <v>0</v>
      </c>
      <c r="M4243" s="56" t="n">
        <v>76</v>
      </c>
      <c r="N4243" s="56" t="n">
        <v>7.7</v>
      </c>
      <c r="O4243" s="56" t="n">
        <f aca="false">IF(D4243=1,"",E4242)</f>
        <v>20.9</v>
      </c>
      <c r="P4243" s="56" t="n">
        <f aca="false">IF(OR(D4243=1,K4242=""),"",K4242)</f>
        <v>1002</v>
      </c>
      <c r="Q4243" s="56" t="n">
        <f aca="false">IF(OR(F4243&lt;&gt;0,AND(I4243&lt;&gt;"",E4243&lt;I4243)),1,0)</f>
        <v>0</v>
      </c>
      <c r="R4243" s="56" t="n">
        <f aca="false">IF(AND(D4243&gt;1,Q4243=0,ISNUMBER(O4243),ISNUMBER(P4243)),IF(Q4242=0,1,0),0)</f>
        <v>1</v>
      </c>
      <c r="S4243" s="56" t="n">
        <f aca="false">R4243*(B4243&gt;=Train_Start)*(B4243&lt;=Train_End)</f>
        <v>0</v>
      </c>
      <c r="T4243" s="84" t="n">
        <f aca="false">IF(AND(ISNUMBER(O4243),ISNUMBER(P4243)),Coef_A+Coef_B1*O4243+Coef_B2*P4243,"")</f>
        <v>20.6437989798446</v>
      </c>
      <c r="U4243" s="84" t="n">
        <f aca="false">IF(AND(R4243=1,ISNUMBER(T4243)),E4243-T4243,"")</f>
        <v>1.65620102015539</v>
      </c>
      <c r="V4243" s="84" t="n">
        <f aca="false">IF(ISNUMBER(T4243),T4243,-99)</f>
        <v>20.6437989798446</v>
      </c>
      <c r="W4243" s="84" t="n">
        <f aca="false">IF(ISNUMBER(U4243),ABS(U4243),"")</f>
        <v>1.65620102015539</v>
      </c>
    </row>
    <row r="4244" customFormat="false" ht="15" hidden="false" customHeight="false" outlineLevel="0" collapsed="false">
      <c r="A4244" s="57" t="n">
        <v>38949</v>
      </c>
      <c r="B4244" s="56" t="n">
        <v>2006</v>
      </c>
      <c r="C4244" s="56" t="n">
        <v>8</v>
      </c>
      <c r="D4244" s="56" t="n">
        <v>112</v>
      </c>
      <c r="E4244" s="56" t="n">
        <v>20.5</v>
      </c>
      <c r="F4244" s="56" t="n">
        <v>0</v>
      </c>
      <c r="G4244" s="56" t="n">
        <v>15.3</v>
      </c>
      <c r="H4244" s="56" t="n">
        <v>0</v>
      </c>
      <c r="I4244" s="56" t="n">
        <v>17.9</v>
      </c>
      <c r="J4244" s="56" t="n">
        <v>0</v>
      </c>
      <c r="K4244" s="56" t="n">
        <v>1015</v>
      </c>
      <c r="L4244" s="56" t="n">
        <v>0</v>
      </c>
      <c r="M4244" s="56" t="n">
        <v>78</v>
      </c>
      <c r="N4244" s="56" t="n">
        <v>0.6</v>
      </c>
      <c r="O4244" s="56" t="n">
        <f aca="false">IF(D4244=1,"",E4243)</f>
        <v>22.3</v>
      </c>
      <c r="P4244" s="56" t="n">
        <f aca="false">IF(OR(D4244=1,K4243=""),"",K4243)</f>
        <v>1008.8</v>
      </c>
      <c r="Q4244" s="56" t="n">
        <f aca="false">IF(OR(F4244&lt;&gt;0,AND(I4244&lt;&gt;"",E4244&lt;I4244)),1,0)</f>
        <v>0</v>
      </c>
      <c r="R4244" s="56" t="n">
        <f aca="false">IF(AND(D4244&gt;1,Q4244=0,ISNUMBER(O4244),ISNUMBER(P4244)),IF(Q4243=0,1,0),0)</f>
        <v>1</v>
      </c>
      <c r="S4244" s="56" t="n">
        <f aca="false">R4244*(B4244&gt;=Train_Start)*(B4244&lt;=Train_End)</f>
        <v>0</v>
      </c>
      <c r="T4244" s="84" t="n">
        <f aca="false">IF(AND(ISNUMBER(O4244),ISNUMBER(P4244)),Coef_A+Coef_B1*O4244+Coef_B2*P4244,"")</f>
        <v>22.0041891336155</v>
      </c>
      <c r="U4244" s="84" t="n">
        <f aca="false">IF(AND(R4244=1,ISNUMBER(T4244)),E4244-T4244,"")</f>
        <v>-1.50418913361546</v>
      </c>
      <c r="V4244" s="84" t="n">
        <f aca="false">IF(ISNUMBER(T4244),T4244,-99)</f>
        <v>22.0041891336155</v>
      </c>
      <c r="W4244" s="84" t="n">
        <f aca="false">IF(ISNUMBER(U4244),ABS(U4244),"")</f>
        <v>1.50418913361546</v>
      </c>
    </row>
    <row r="4245" customFormat="false" ht="15" hidden="false" customHeight="false" outlineLevel="0" collapsed="false">
      <c r="A4245" s="57" t="n">
        <v>38950</v>
      </c>
      <c r="B4245" s="56" t="n">
        <v>2006</v>
      </c>
      <c r="C4245" s="56" t="n">
        <v>8</v>
      </c>
      <c r="D4245" s="56" t="n">
        <v>113</v>
      </c>
      <c r="E4245" s="56" t="n">
        <v>22.6</v>
      </c>
      <c r="F4245" s="56" t="n">
        <v>0</v>
      </c>
      <c r="G4245" s="56" t="n">
        <v>12.8</v>
      </c>
      <c r="H4245" s="56" t="n">
        <v>0</v>
      </c>
      <c r="I4245" s="56" t="n">
        <v>17.7</v>
      </c>
      <c r="J4245" s="56" t="n">
        <v>0</v>
      </c>
      <c r="K4245" s="56" t="n">
        <v>1016.9</v>
      </c>
      <c r="L4245" s="56" t="n">
        <v>0</v>
      </c>
      <c r="M4245" s="56" t="n">
        <v>71</v>
      </c>
      <c r="N4245" s="56" t="n">
        <v>4.5</v>
      </c>
      <c r="O4245" s="56" t="n">
        <f aca="false">IF(D4245=1,"",E4244)</f>
        <v>20.5</v>
      </c>
      <c r="P4245" s="56" t="n">
        <f aca="false">IF(OR(D4245=1,K4244=""),"",K4244)</f>
        <v>1015</v>
      </c>
      <c r="Q4245" s="56" t="n">
        <f aca="false">IF(OR(F4245&lt;&gt;0,AND(I4245&lt;&gt;"",E4245&lt;I4245)),1,0)</f>
        <v>0</v>
      </c>
      <c r="R4245" s="56" t="n">
        <f aca="false">IF(AND(D4245&gt;1,Q4245=0,ISNUMBER(O4245),ISNUMBER(P4245)),IF(Q4244=0,1,0),0)</f>
        <v>1</v>
      </c>
      <c r="S4245" s="56" t="n">
        <f aca="false">R4245*(B4245&gt;=Train_Start)*(B4245&lt;=Train_End)</f>
        <v>0</v>
      </c>
      <c r="T4245" s="84" t="n">
        <f aca="false">IF(AND(ISNUMBER(O4245),ISNUMBER(P4245)),Coef_A+Coef_B1*O4245+Coef_B2*P4245,"")</f>
        <v>20.7238719328694</v>
      </c>
      <c r="U4245" s="84" t="n">
        <f aca="false">IF(AND(R4245=1,ISNUMBER(T4245)),E4245-T4245,"")</f>
        <v>1.87612806713059</v>
      </c>
      <c r="V4245" s="84" t="n">
        <f aca="false">IF(ISNUMBER(T4245),T4245,-99)</f>
        <v>20.7238719328694</v>
      </c>
      <c r="W4245" s="84" t="n">
        <f aca="false">IF(ISNUMBER(U4245),ABS(U4245),"")</f>
        <v>1.87612806713059</v>
      </c>
    </row>
    <row r="4246" customFormat="false" ht="15" hidden="false" customHeight="false" outlineLevel="0" collapsed="false">
      <c r="A4246" s="57" t="n">
        <v>38951</v>
      </c>
      <c r="B4246" s="56" t="n">
        <v>2006</v>
      </c>
      <c r="C4246" s="56" t="n">
        <v>8</v>
      </c>
      <c r="D4246" s="56" t="n">
        <v>114</v>
      </c>
      <c r="E4246" s="56" t="n">
        <v>22.4</v>
      </c>
      <c r="F4246" s="56" t="n">
        <v>0</v>
      </c>
      <c r="G4246" s="56" t="n">
        <v>10.7</v>
      </c>
      <c r="H4246" s="56" t="n">
        <v>0</v>
      </c>
      <c r="I4246" s="56" t="n">
        <v>16.6</v>
      </c>
      <c r="J4246" s="56" t="n">
        <v>0</v>
      </c>
      <c r="K4246" s="56" t="n">
        <v>1018.9</v>
      </c>
      <c r="L4246" s="56" t="n">
        <v>0</v>
      </c>
      <c r="M4246" s="56" t="n">
        <v>64</v>
      </c>
      <c r="N4246" s="56" t="n">
        <v>5.7</v>
      </c>
      <c r="O4246" s="56" t="n">
        <f aca="false">IF(D4246=1,"",E4245)</f>
        <v>22.6</v>
      </c>
      <c r="P4246" s="56" t="n">
        <f aca="false">IF(OR(D4246=1,K4245=""),"",K4245)</f>
        <v>1016.9</v>
      </c>
      <c r="Q4246" s="56" t="n">
        <f aca="false">IF(OR(F4246&lt;&gt;0,AND(I4246&lt;&gt;"",E4246&lt;I4246)),1,0)</f>
        <v>0</v>
      </c>
      <c r="R4246" s="56" t="n">
        <f aca="false">IF(AND(D4246&gt;1,Q4246=0,ISNUMBER(O4246),ISNUMBER(P4246)),IF(Q4245=0,1,0),0)</f>
        <v>1</v>
      </c>
      <c r="S4246" s="56" t="n">
        <f aca="false">R4246*(B4246&gt;=Train_Start)*(B4246&lt;=Train_End)</f>
        <v>0</v>
      </c>
      <c r="T4246" s="84" t="n">
        <f aca="false">IF(AND(ISNUMBER(O4246),ISNUMBER(P4246)),Coef_A+Coef_B1*O4246+Coef_B2*P4246,"")</f>
        <v>22.5040870380636</v>
      </c>
      <c r="U4246" s="84" t="n">
        <f aca="false">IF(AND(R4246=1,ISNUMBER(T4246)),E4246-T4246,"")</f>
        <v>-0.104087038063575</v>
      </c>
      <c r="V4246" s="84" t="n">
        <f aca="false">IF(ISNUMBER(T4246),T4246,-99)</f>
        <v>22.5040870380636</v>
      </c>
      <c r="W4246" s="84" t="n">
        <f aca="false">IF(ISNUMBER(U4246),ABS(U4246),"")</f>
        <v>0.104087038063575</v>
      </c>
    </row>
    <row r="4247" customFormat="false" ht="15" hidden="false" customHeight="false" outlineLevel="0" collapsed="false">
      <c r="A4247" s="57" t="n">
        <v>38952</v>
      </c>
      <c r="B4247" s="56" t="n">
        <v>2006</v>
      </c>
      <c r="C4247" s="56" t="n">
        <v>8</v>
      </c>
      <c r="D4247" s="56" t="n">
        <v>115</v>
      </c>
      <c r="E4247" s="56" t="n">
        <v>20.9</v>
      </c>
      <c r="F4247" s="56" t="n">
        <v>0</v>
      </c>
      <c r="G4247" s="56" t="n">
        <v>15.6</v>
      </c>
      <c r="H4247" s="56" t="n">
        <v>0</v>
      </c>
      <c r="I4247" s="56" t="n">
        <v>18.2</v>
      </c>
      <c r="J4247" s="56" t="n">
        <v>0</v>
      </c>
      <c r="K4247" s="56" t="n">
        <v>1013</v>
      </c>
      <c r="L4247" s="56" t="n">
        <v>0</v>
      </c>
      <c r="M4247" s="56" t="n">
        <v>82</v>
      </c>
      <c r="N4247" s="56" t="n">
        <v>0.1</v>
      </c>
      <c r="O4247" s="56" t="n">
        <f aca="false">IF(D4247=1,"",E4246)</f>
        <v>22.4</v>
      </c>
      <c r="P4247" s="56" t="n">
        <f aca="false">IF(OR(D4247=1,K4246=""),"",K4246)</f>
        <v>1018.9</v>
      </c>
      <c r="Q4247" s="56" t="n">
        <f aca="false">IF(OR(F4247&lt;&gt;0,AND(I4247&lt;&gt;"",E4247&lt;I4247)),1,0)</f>
        <v>0</v>
      </c>
      <c r="R4247" s="56" t="n">
        <f aca="false">IF(AND(D4247&gt;1,Q4247=0,ISNUMBER(O4247),ISNUMBER(P4247)),IF(Q4246=0,1,0),0)</f>
        <v>1</v>
      </c>
      <c r="S4247" s="56" t="n">
        <f aca="false">R4247*(B4247&gt;=Train_Start)*(B4247&lt;=Train_End)</f>
        <v>0</v>
      </c>
      <c r="T4247" s="84" t="n">
        <f aca="false">IF(AND(ISNUMBER(O4247),ISNUMBER(P4247)),Coef_A+Coef_B1*O4247+Coef_B2*P4247,"")</f>
        <v>22.402958988723</v>
      </c>
      <c r="U4247" s="84" t="n">
        <f aca="false">IF(AND(R4247=1,ISNUMBER(T4247)),E4247-T4247,"")</f>
        <v>-1.50295898872302</v>
      </c>
      <c r="V4247" s="84" t="n">
        <f aca="false">IF(ISNUMBER(T4247),T4247,-99)</f>
        <v>22.402958988723</v>
      </c>
      <c r="W4247" s="84" t="n">
        <f aca="false">IF(ISNUMBER(U4247),ABS(U4247),"")</f>
        <v>1.50295898872302</v>
      </c>
    </row>
    <row r="4248" customFormat="false" ht="15" hidden="false" customHeight="false" outlineLevel="0" collapsed="false">
      <c r="A4248" s="57" t="n">
        <v>38953</v>
      </c>
      <c r="B4248" s="56" t="n">
        <v>2006</v>
      </c>
      <c r="C4248" s="56" t="n">
        <v>8</v>
      </c>
      <c r="D4248" s="56" t="n">
        <v>116</v>
      </c>
      <c r="E4248" s="56" t="n">
        <v>21.4</v>
      </c>
      <c r="F4248" s="56" t="n">
        <v>0</v>
      </c>
      <c r="G4248" s="56" t="n">
        <v>14.6</v>
      </c>
      <c r="H4248" s="56" t="n">
        <v>0</v>
      </c>
      <c r="I4248" s="56" t="n">
        <v>18</v>
      </c>
      <c r="J4248" s="56" t="n">
        <v>0</v>
      </c>
      <c r="K4248" s="56" t="n">
        <v>1008.7</v>
      </c>
      <c r="L4248" s="56" t="n">
        <v>0</v>
      </c>
      <c r="M4248" s="56"/>
      <c r="N4248" s="56" t="n">
        <v>2.2</v>
      </c>
      <c r="O4248" s="56" t="n">
        <f aca="false">IF(D4248=1,"",E4247)</f>
        <v>20.9</v>
      </c>
      <c r="P4248" s="56" t="n">
        <f aca="false">IF(OR(D4248=1,K4247=""),"",K4247)</f>
        <v>1013</v>
      </c>
      <c r="Q4248" s="56" t="n">
        <f aca="false">IF(OR(F4248&lt;&gt;0,AND(I4248&lt;&gt;"",E4248&lt;I4248)),1,0)</f>
        <v>0</v>
      </c>
      <c r="R4248" s="56" t="n">
        <f aca="false">IF(AND(D4248&gt;1,Q4248=0,ISNUMBER(O4248),ISNUMBER(P4248)),IF(Q4247=0,1,0),0)</f>
        <v>1</v>
      </c>
      <c r="S4248" s="56" t="n">
        <f aca="false">R4248*(B4248&gt;=Train_Start)*(B4248&lt;=Train_End)</f>
        <v>0</v>
      </c>
      <c r="T4248" s="84" t="n">
        <f aca="false">IF(AND(ISNUMBER(O4248),ISNUMBER(P4248)),Coef_A+Coef_B1*O4248+Coef_B2*P4248,"")</f>
        <v>20.9888678208185</v>
      </c>
      <c r="U4248" s="84" t="n">
        <f aca="false">IF(AND(R4248=1,ISNUMBER(T4248)),E4248-T4248,"")</f>
        <v>0.411132179181504</v>
      </c>
      <c r="V4248" s="84" t="n">
        <f aca="false">IF(ISNUMBER(T4248),T4248,-99)</f>
        <v>20.9888678208185</v>
      </c>
      <c r="W4248" s="84" t="n">
        <f aca="false">IF(ISNUMBER(U4248),ABS(U4248),"")</f>
        <v>0.411132179181504</v>
      </c>
    </row>
    <row r="4249" customFormat="false" ht="15" hidden="false" customHeight="false" outlineLevel="0" collapsed="false">
      <c r="A4249" s="57" t="n">
        <v>38954</v>
      </c>
      <c r="B4249" s="56" t="n">
        <v>2006</v>
      </c>
      <c r="C4249" s="56" t="n">
        <v>8</v>
      </c>
      <c r="D4249" s="56" t="n">
        <v>117</v>
      </c>
      <c r="E4249" s="56" t="n">
        <v>22.7</v>
      </c>
      <c r="F4249" s="56" t="n">
        <v>0</v>
      </c>
      <c r="G4249" s="56" t="n">
        <v>10.2</v>
      </c>
      <c r="H4249" s="56" t="n">
        <v>0</v>
      </c>
      <c r="I4249" s="56" t="n">
        <v>16.4</v>
      </c>
      <c r="J4249" s="56" t="n">
        <v>0</v>
      </c>
      <c r="K4249" s="56" t="n">
        <v>1009.6</v>
      </c>
      <c r="L4249" s="56" t="n">
        <v>0</v>
      </c>
      <c r="M4249" s="56" t="n">
        <v>62</v>
      </c>
      <c r="N4249" s="56" t="n">
        <v>8</v>
      </c>
      <c r="O4249" s="56" t="n">
        <f aca="false">IF(D4249=1,"",E4248)</f>
        <v>21.4</v>
      </c>
      <c r="P4249" s="56" t="n">
        <f aca="false">IF(OR(D4249=1,K4248=""),"",K4248)</f>
        <v>1008.7</v>
      </c>
      <c r="Q4249" s="56" t="n">
        <f aca="false">IF(OR(F4249&lt;&gt;0,AND(I4249&lt;&gt;"",E4249&lt;I4249)),1,0)</f>
        <v>0</v>
      </c>
      <c r="R4249" s="56" t="n">
        <f aca="false">IF(AND(D4249&gt;1,Q4249=0,ISNUMBER(O4249),ISNUMBER(P4249)),IF(Q4248=0,1,0),0)</f>
        <v>1</v>
      </c>
      <c r="S4249" s="56" t="n">
        <f aca="false">R4249*(B4249&gt;=Train_Start)*(B4249&lt;=Train_End)</f>
        <v>0</v>
      </c>
      <c r="T4249" s="84" t="n">
        <f aca="false">IF(AND(ISNUMBER(O4249),ISNUMBER(P4249)),Coef_A+Coef_B1*O4249+Coef_B2*P4249,"")</f>
        <v>21.2636468704137</v>
      </c>
      <c r="U4249" s="84" t="n">
        <f aca="false">IF(AND(R4249=1,ISNUMBER(T4249)),E4249-T4249,"")</f>
        <v>1.43635312958633</v>
      </c>
      <c r="V4249" s="84" t="n">
        <f aca="false">IF(ISNUMBER(T4249),T4249,-99)</f>
        <v>21.2636468704137</v>
      </c>
      <c r="W4249" s="84" t="n">
        <f aca="false">IF(ISNUMBER(U4249),ABS(U4249),"")</f>
        <v>1.43635312958633</v>
      </c>
    </row>
    <row r="4250" customFormat="false" ht="15" hidden="false" customHeight="false" outlineLevel="0" collapsed="false">
      <c r="A4250" s="57" t="n">
        <v>38955</v>
      </c>
      <c r="B4250" s="56" t="n">
        <v>2006</v>
      </c>
      <c r="C4250" s="56" t="n">
        <v>8</v>
      </c>
      <c r="D4250" s="56" t="n">
        <v>118</v>
      </c>
      <c r="E4250" s="56" t="n">
        <v>21.2</v>
      </c>
      <c r="F4250" s="56" t="n">
        <v>0</v>
      </c>
      <c r="G4250" s="56" t="n">
        <v>13.7</v>
      </c>
      <c r="H4250" s="56" t="n">
        <v>0</v>
      </c>
      <c r="I4250" s="56" t="n">
        <v>17.4</v>
      </c>
      <c r="J4250" s="56" t="n">
        <v>0</v>
      </c>
      <c r="K4250" s="56" t="n">
        <v>1008.9</v>
      </c>
      <c r="L4250" s="56" t="n">
        <v>0</v>
      </c>
      <c r="M4250" s="56"/>
      <c r="N4250" s="56" t="n">
        <v>1.2</v>
      </c>
      <c r="O4250" s="56" t="n">
        <f aca="false">IF(D4250=1,"",E4249)</f>
        <v>22.7</v>
      </c>
      <c r="P4250" s="56" t="n">
        <f aca="false">IF(OR(D4250=1,K4249=""),"",K4249)</f>
        <v>1009.6</v>
      </c>
      <c r="Q4250" s="56" t="n">
        <f aca="false">IF(OR(F4250&lt;&gt;0,AND(I4250&lt;&gt;"",E4250&lt;I4250)),1,0)</f>
        <v>0</v>
      </c>
      <c r="R4250" s="56" t="n">
        <f aca="false">IF(AND(D4250&gt;1,Q4250=0,ISNUMBER(O4250),ISNUMBER(P4250)),IF(Q4249=0,1,0),0)</f>
        <v>1</v>
      </c>
      <c r="S4250" s="56" t="n">
        <f aca="false">R4250*(B4250&gt;=Train_Start)*(B4250&lt;=Train_End)</f>
        <v>0</v>
      </c>
      <c r="T4250" s="84" t="n">
        <f aca="false">IF(AND(ISNUMBER(O4250),ISNUMBER(P4250)),Coef_A+Coef_B1*O4250+Coef_B2*P4250,"")</f>
        <v>22.3570207265397</v>
      </c>
      <c r="U4250" s="84" t="n">
        <f aca="false">IF(AND(R4250=1,ISNUMBER(T4250)),E4250-T4250,"")</f>
        <v>-1.15702072653971</v>
      </c>
      <c r="V4250" s="84" t="n">
        <f aca="false">IF(ISNUMBER(T4250),T4250,-99)</f>
        <v>22.3570207265397</v>
      </c>
      <c r="W4250" s="84" t="n">
        <f aca="false">IF(ISNUMBER(U4250),ABS(U4250),"")</f>
        <v>1.15702072653971</v>
      </c>
    </row>
    <row r="4251" customFormat="false" ht="15" hidden="false" customHeight="false" outlineLevel="0" collapsed="false">
      <c r="A4251" s="57" t="n">
        <v>38956</v>
      </c>
      <c r="B4251" s="56" t="n">
        <v>2006</v>
      </c>
      <c r="C4251" s="56" t="n">
        <v>8</v>
      </c>
      <c r="D4251" s="56" t="n">
        <v>119</v>
      </c>
      <c r="E4251" s="56" t="n">
        <v>21.6</v>
      </c>
      <c r="F4251" s="56" t="n">
        <v>0</v>
      </c>
      <c r="G4251" s="56" t="n">
        <v>12.8</v>
      </c>
      <c r="H4251" s="56" t="n">
        <v>0</v>
      </c>
      <c r="I4251" s="56" t="n">
        <v>17.2</v>
      </c>
      <c r="J4251" s="56" t="n">
        <v>0</v>
      </c>
      <c r="K4251" s="56" t="n">
        <v>1013.4</v>
      </c>
      <c r="L4251" s="56" t="n">
        <v>0</v>
      </c>
      <c r="M4251" s="56"/>
      <c r="N4251" s="56" t="n">
        <v>10.1</v>
      </c>
      <c r="O4251" s="56" t="n">
        <f aca="false">IF(D4251=1,"",E4250)</f>
        <v>21.2</v>
      </c>
      <c r="P4251" s="56" t="n">
        <f aca="false">IF(OR(D4251=1,K4250=""),"",K4250)</f>
        <v>1008.9</v>
      </c>
      <c r="Q4251" s="56" t="n">
        <f aca="false">IF(OR(F4251&lt;&gt;0,AND(I4251&lt;&gt;"",E4251&lt;I4251)),1,0)</f>
        <v>0</v>
      </c>
      <c r="R4251" s="56" t="n">
        <f aca="false">IF(AND(D4251&gt;1,Q4251=0,ISNUMBER(O4251),ISNUMBER(P4251)),IF(Q4250=0,1,0),0)</f>
        <v>1</v>
      </c>
      <c r="S4251" s="56" t="n">
        <f aca="false">R4251*(B4251&gt;=Train_Start)*(B4251&lt;=Train_End)</f>
        <v>0</v>
      </c>
      <c r="T4251" s="84" t="n">
        <f aca="false">IF(AND(ISNUMBER(O4251),ISNUMBER(P4251)),Coef_A+Coef_B1*O4251+Coef_B2*P4251,"")</f>
        <v>21.1060530107319</v>
      </c>
      <c r="U4251" s="84" t="n">
        <f aca="false">IF(AND(R4251=1,ISNUMBER(T4251)),E4251-T4251,"")</f>
        <v>0.493946989268064</v>
      </c>
      <c r="V4251" s="84" t="n">
        <f aca="false">IF(ISNUMBER(T4251),T4251,-99)</f>
        <v>21.1060530107319</v>
      </c>
      <c r="W4251" s="84" t="n">
        <f aca="false">IF(ISNUMBER(U4251),ABS(U4251),"")</f>
        <v>0.493946989268064</v>
      </c>
    </row>
    <row r="4252" customFormat="false" ht="15" hidden="false" customHeight="false" outlineLevel="0" collapsed="false">
      <c r="A4252" s="57" t="n">
        <v>38957</v>
      </c>
      <c r="B4252" s="56" t="n">
        <v>2006</v>
      </c>
      <c r="C4252" s="56" t="n">
        <v>8</v>
      </c>
      <c r="D4252" s="56" t="n">
        <v>120</v>
      </c>
      <c r="E4252" s="56" t="n">
        <v>20</v>
      </c>
      <c r="F4252" s="56" t="n">
        <v>0</v>
      </c>
      <c r="G4252" s="56" t="n">
        <v>13.2</v>
      </c>
      <c r="H4252" s="56" t="n">
        <v>0</v>
      </c>
      <c r="I4252" s="56" t="n">
        <v>16.6</v>
      </c>
      <c r="J4252" s="56" t="n">
        <v>0</v>
      </c>
      <c r="K4252" s="56"/>
      <c r="L4252" s="56" t="n">
        <v>9</v>
      </c>
      <c r="M4252" s="56"/>
      <c r="N4252" s="56" t="n">
        <v>7</v>
      </c>
      <c r="O4252" s="56" t="n">
        <f aca="false">IF(D4252=1,"",E4251)</f>
        <v>21.6</v>
      </c>
      <c r="P4252" s="56" t="n">
        <f aca="false">IF(OR(D4252=1,K4251=""),"",K4251)</f>
        <v>1013.4</v>
      </c>
      <c r="Q4252" s="56" t="n">
        <f aca="false">IF(OR(F4252&lt;&gt;0,AND(I4252&lt;&gt;"",E4252&lt;I4252)),1,0)</f>
        <v>0</v>
      </c>
      <c r="R4252" s="56" t="n">
        <f aca="false">IF(AND(D4252&gt;1,Q4252=0,ISNUMBER(O4252),ISNUMBER(P4252)),IF(Q4251=0,1,0),0)</f>
        <v>1</v>
      </c>
      <c r="S4252" s="56" t="n">
        <f aca="false">R4252*(B4252&gt;=Train_Start)*(B4252&lt;=Train_End)</f>
        <v>0</v>
      </c>
      <c r="T4252" s="84" t="n">
        <f aca="false">IF(AND(ISNUMBER(O4252),ISNUMBER(P4252)),Coef_A+Coef_B1*O4252+Coef_B2*P4252,"")</f>
        <v>21.574953213802</v>
      </c>
      <c r="U4252" s="84" t="n">
        <f aca="false">IF(AND(R4252=1,ISNUMBER(T4252)),E4252-T4252,"")</f>
        <v>-1.57495321380195</v>
      </c>
      <c r="V4252" s="84" t="n">
        <f aca="false">IF(ISNUMBER(T4252),T4252,-99)</f>
        <v>21.574953213802</v>
      </c>
      <c r="W4252" s="84" t="n">
        <f aca="false">IF(ISNUMBER(U4252),ABS(U4252),"")</f>
        <v>1.57495321380195</v>
      </c>
    </row>
    <row r="4253" customFormat="false" ht="15" hidden="false" customHeight="false" outlineLevel="0" collapsed="false">
      <c r="A4253" s="57" t="n">
        <v>38958</v>
      </c>
      <c r="B4253" s="56" t="n">
        <v>2006</v>
      </c>
      <c r="C4253" s="56" t="n">
        <v>8</v>
      </c>
      <c r="D4253" s="56" t="n">
        <v>121</v>
      </c>
      <c r="E4253" s="56" t="n">
        <v>19.4</v>
      </c>
      <c r="F4253" s="56" t="n">
        <v>0</v>
      </c>
      <c r="G4253" s="56" t="n">
        <v>11.8</v>
      </c>
      <c r="H4253" s="56" t="n">
        <v>0</v>
      </c>
      <c r="I4253" s="56" t="n">
        <v>15.6</v>
      </c>
      <c r="J4253" s="56" t="n">
        <v>0</v>
      </c>
      <c r="K4253" s="56" t="n">
        <v>1009.5</v>
      </c>
      <c r="L4253" s="56" t="n">
        <v>0</v>
      </c>
      <c r="M4253" s="56"/>
      <c r="N4253" s="56" t="n">
        <v>8.8</v>
      </c>
      <c r="O4253" s="56" t="n">
        <f aca="false">IF(D4253=1,"",E4252)</f>
        <v>20</v>
      </c>
      <c r="P4253" s="56" t="str">
        <f aca="false">IF(OR(D4253=1,K4252=""),"",K4252)</f>
        <v/>
      </c>
      <c r="Q4253" s="56" t="n">
        <f aca="false">IF(OR(F4253&lt;&gt;0,AND(I4253&lt;&gt;"",E4253&lt;I4253)),1,0)</f>
        <v>0</v>
      </c>
      <c r="R4253" s="56" t="n">
        <f aca="false">IF(AND(D4253&gt;1,Q4253=0,ISNUMBER(O4253),ISNUMBER(P4253)),IF(Q4252=0,1,0),0)</f>
        <v>0</v>
      </c>
      <c r="S4253" s="56" t="n">
        <f aca="false">R4253*(B4253&gt;=Train_Start)*(B4253&lt;=Train_End)</f>
        <v>0</v>
      </c>
      <c r="T4253" s="84" t="str">
        <f aca="false">IF(AND(ISNUMBER(O4253),ISNUMBER(P4253)),Coef_A+Coef_B1*O4253+Coef_B2*P4253,"")</f>
        <v/>
      </c>
      <c r="U4253" s="84" t="str">
        <f aca="false">IF(AND(R4253=1,ISNUMBER(T4253)),E4253-T4253,"")</f>
        <v/>
      </c>
      <c r="V4253" s="84" t="n">
        <f aca="false">IF(ISNUMBER(T4253),T4253,-99)</f>
        <v>-99</v>
      </c>
      <c r="W4253" s="84" t="str">
        <f aca="false">IF(ISNUMBER(U4253),ABS(U4253),"")</f>
        <v/>
      </c>
    </row>
    <row r="4254" customFormat="false" ht="15" hidden="false" customHeight="false" outlineLevel="0" collapsed="false">
      <c r="A4254" s="57" t="n">
        <v>38959</v>
      </c>
      <c r="B4254" s="56" t="n">
        <v>2006</v>
      </c>
      <c r="C4254" s="56" t="n">
        <v>8</v>
      </c>
      <c r="D4254" s="56" t="n">
        <v>122</v>
      </c>
      <c r="E4254" s="56" t="n">
        <v>21</v>
      </c>
      <c r="F4254" s="56" t="n">
        <v>0</v>
      </c>
      <c r="G4254" s="56" t="n">
        <v>9.8</v>
      </c>
      <c r="H4254" s="56" t="n">
        <v>0</v>
      </c>
      <c r="I4254" s="56" t="n">
        <v>15.4</v>
      </c>
      <c r="J4254" s="56" t="n">
        <v>0</v>
      </c>
      <c r="K4254" s="56" t="n">
        <v>1019.5</v>
      </c>
      <c r="L4254" s="56" t="n">
        <v>0</v>
      </c>
      <c r="M4254" s="56" t="n">
        <v>65</v>
      </c>
      <c r="N4254" s="56" t="n">
        <v>8.7</v>
      </c>
      <c r="O4254" s="56" t="n">
        <f aca="false">IF(D4254=1,"",E4253)</f>
        <v>19.4</v>
      </c>
      <c r="P4254" s="56" t="n">
        <f aca="false">IF(OR(D4254=1,K4253=""),"",K4253)</f>
        <v>1009.5</v>
      </c>
      <c r="Q4254" s="56" t="n">
        <f aca="false">IF(OR(F4254&lt;&gt;0,AND(I4254&lt;&gt;"",E4254&lt;I4254)),1,0)</f>
        <v>0</v>
      </c>
      <c r="R4254" s="56" t="n">
        <f aca="false">IF(AND(D4254&gt;1,Q4254=0,ISNUMBER(O4254),ISNUMBER(P4254)),IF(Q4253=0,1,0),0)</f>
        <v>1</v>
      </c>
      <c r="S4254" s="56" t="n">
        <f aca="false">R4254*(B4254&gt;=Train_Start)*(B4254&lt;=Train_End)</f>
        <v>0</v>
      </c>
      <c r="T4254" s="84" t="n">
        <f aca="false">IF(AND(ISNUMBER(O4254),ISNUMBER(P4254)),Coef_A+Coef_B1*O4254+Coef_B2*P4254,"")</f>
        <v>19.6500644000355</v>
      </c>
      <c r="U4254" s="84" t="n">
        <f aca="false">IF(AND(R4254=1,ISNUMBER(T4254)),E4254-T4254,"")</f>
        <v>1.34993559996446</v>
      </c>
      <c r="V4254" s="84" t="n">
        <f aca="false">IF(ISNUMBER(T4254),T4254,-99)</f>
        <v>19.6500644000355</v>
      </c>
      <c r="W4254" s="84" t="n">
        <f aca="false">IF(ISNUMBER(U4254),ABS(U4254),"")</f>
        <v>1.34993559996446</v>
      </c>
    </row>
    <row r="4255" customFormat="false" ht="15" hidden="false" customHeight="false" outlineLevel="0" collapsed="false">
      <c r="A4255" s="57" t="n">
        <v>38960</v>
      </c>
      <c r="B4255" s="56" t="n">
        <v>2006</v>
      </c>
      <c r="C4255" s="56" t="n">
        <v>8</v>
      </c>
      <c r="D4255" s="56" t="n">
        <v>123</v>
      </c>
      <c r="E4255" s="56" t="n">
        <v>23.6</v>
      </c>
      <c r="F4255" s="56" t="n">
        <v>0</v>
      </c>
      <c r="G4255" s="56" t="n">
        <v>15.2</v>
      </c>
      <c r="H4255" s="56" t="n">
        <v>0</v>
      </c>
      <c r="I4255" s="56" t="n">
        <v>19.4</v>
      </c>
      <c r="J4255" s="56" t="n">
        <v>0</v>
      </c>
      <c r="K4255" s="56" t="n">
        <v>1020.2</v>
      </c>
      <c r="L4255" s="56" t="n">
        <v>0</v>
      </c>
      <c r="M4255" s="56"/>
      <c r="N4255" s="56" t="n">
        <v>3.5</v>
      </c>
      <c r="O4255" s="56" t="n">
        <f aca="false">IF(D4255=1,"",E4254)</f>
        <v>21</v>
      </c>
      <c r="P4255" s="56" t="n">
        <f aca="false">IF(OR(D4255=1,K4254=""),"",K4254)</f>
        <v>1019.5</v>
      </c>
      <c r="Q4255" s="56" t="n">
        <f aca="false">IF(OR(F4255&lt;&gt;0,AND(I4255&lt;&gt;"",E4255&lt;I4255)),1,0)</f>
        <v>0</v>
      </c>
      <c r="R4255" s="56" t="n">
        <f aca="false">IF(AND(D4255&gt;1,Q4255=0,ISNUMBER(O4255),ISNUMBER(P4255)),IF(Q4254=0,1,0),0)</f>
        <v>1</v>
      </c>
      <c r="S4255" s="56" t="n">
        <f aca="false">R4255*(B4255&gt;=Train_Start)*(B4255&lt;=Train_End)</f>
        <v>0</v>
      </c>
      <c r="T4255" s="84" t="n">
        <f aca="false">IF(AND(ISNUMBER(O4255),ISNUMBER(P4255)),Coef_A+Coef_B1*O4255+Coef_B2*P4255,"")</f>
        <v>21.2747060552437</v>
      </c>
      <c r="U4255" s="84" t="n">
        <f aca="false">IF(AND(R4255=1,ISNUMBER(T4255)),E4255-T4255,"")</f>
        <v>2.32529394475631</v>
      </c>
      <c r="V4255" s="84" t="n">
        <f aca="false">IF(ISNUMBER(T4255),T4255,-99)</f>
        <v>21.2747060552437</v>
      </c>
      <c r="W4255" s="84" t="n">
        <f aca="false">IF(ISNUMBER(U4255),ABS(U4255),"")</f>
        <v>2.32529394475631</v>
      </c>
    </row>
    <row r="4256" customFormat="false" ht="15" hidden="false" customHeight="false" outlineLevel="0" collapsed="false">
      <c r="A4256" s="57" t="n">
        <v>38961</v>
      </c>
      <c r="B4256" s="56" t="n">
        <v>2006</v>
      </c>
      <c r="C4256" s="56" t="n">
        <v>9</v>
      </c>
      <c r="D4256" s="56" t="n">
        <v>124</v>
      </c>
      <c r="E4256" s="56" t="n">
        <v>23.3</v>
      </c>
      <c r="F4256" s="56" t="n">
        <v>0</v>
      </c>
      <c r="G4256" s="56" t="n">
        <v>14.7</v>
      </c>
      <c r="H4256" s="56" t="n">
        <v>0</v>
      </c>
      <c r="I4256" s="56" t="n">
        <v>19</v>
      </c>
      <c r="J4256" s="56" t="n">
        <v>0</v>
      </c>
      <c r="K4256" s="56" t="n">
        <v>1015.2</v>
      </c>
      <c r="L4256" s="56" t="n">
        <v>0</v>
      </c>
      <c r="M4256" s="56"/>
      <c r="N4256" s="56" t="n">
        <v>4</v>
      </c>
      <c r="O4256" s="56" t="n">
        <f aca="false">IF(D4256=1,"",E4255)</f>
        <v>23.6</v>
      </c>
      <c r="P4256" s="56" t="n">
        <f aca="false">IF(OR(D4256=1,K4255=""),"",K4255)</f>
        <v>1020.2</v>
      </c>
      <c r="Q4256" s="56" t="n">
        <f aca="false">IF(OR(F4256&lt;&gt;0,AND(I4256&lt;&gt;"",E4256&lt;I4256)),1,0)</f>
        <v>0</v>
      </c>
      <c r="R4256" s="56" t="n">
        <f aca="false">IF(AND(D4256&gt;1,Q4256=0,ISNUMBER(O4256),ISNUMBER(P4256)),IF(Q4255=0,1,0),0)</f>
        <v>1</v>
      </c>
      <c r="S4256" s="56" t="n">
        <f aca="false">R4256*(B4256&gt;=Train_Start)*(B4256&lt;=Train_End)</f>
        <v>0</v>
      </c>
      <c r="T4256" s="84" t="n">
        <f aca="false">IF(AND(ISNUMBER(O4256),ISNUMBER(P4256)),Coef_A+Coef_B1*O4256+Coef_B2*P4256,"")</f>
        <v>23.4269468833984</v>
      </c>
      <c r="U4256" s="84" t="n">
        <f aca="false">IF(AND(R4256=1,ISNUMBER(T4256)),E4256-T4256,"")</f>
        <v>-0.126946883398396</v>
      </c>
      <c r="V4256" s="84" t="n">
        <f aca="false">IF(ISNUMBER(T4256),T4256,-99)</f>
        <v>23.4269468833984</v>
      </c>
      <c r="W4256" s="84" t="n">
        <f aca="false">IF(ISNUMBER(U4256),ABS(U4256),"")</f>
        <v>0.126946883398396</v>
      </c>
    </row>
    <row r="4257" customFormat="false" ht="15" hidden="false" customHeight="false" outlineLevel="0" collapsed="false">
      <c r="A4257" s="57" t="n">
        <v>38962</v>
      </c>
      <c r="B4257" s="56" t="n">
        <v>2006</v>
      </c>
      <c r="C4257" s="56" t="n">
        <v>9</v>
      </c>
      <c r="D4257" s="56" t="n">
        <v>125</v>
      </c>
      <c r="E4257" s="56" t="n">
        <v>20.7</v>
      </c>
      <c r="F4257" s="56" t="n">
        <v>0</v>
      </c>
      <c r="G4257" s="56" t="n">
        <v>14.3</v>
      </c>
      <c r="H4257" s="56" t="n">
        <v>0</v>
      </c>
      <c r="I4257" s="56" t="n">
        <v>17.5</v>
      </c>
      <c r="J4257" s="56" t="n">
        <v>0</v>
      </c>
      <c r="K4257" s="56" t="n">
        <v>1006.2</v>
      </c>
      <c r="L4257" s="56" t="n">
        <v>0</v>
      </c>
      <c r="M4257" s="56"/>
      <c r="N4257" s="56" t="n">
        <v>0</v>
      </c>
      <c r="O4257" s="56" t="n">
        <f aca="false">IF(D4257=1,"",E4256)</f>
        <v>23.3</v>
      </c>
      <c r="P4257" s="56" t="n">
        <f aca="false">IF(OR(D4257=1,K4256=""),"",K4256)</f>
        <v>1015.2</v>
      </c>
      <c r="Q4257" s="56" t="n">
        <f aca="false">IF(OR(F4257&lt;&gt;0,AND(I4257&lt;&gt;"",E4257&lt;I4257)),1,0)</f>
        <v>0</v>
      </c>
      <c r="R4257" s="56" t="n">
        <f aca="false">IF(AND(D4257&gt;1,Q4257=0,ISNUMBER(O4257),ISNUMBER(P4257)),IF(Q4256=0,1,0),0)</f>
        <v>1</v>
      </c>
      <c r="S4257" s="56" t="n">
        <f aca="false">R4257*(B4257&gt;=Train_Start)*(B4257&lt;=Train_End)</f>
        <v>0</v>
      </c>
      <c r="T4257" s="84" t="n">
        <f aca="false">IF(AND(ISNUMBER(O4257),ISNUMBER(P4257)),Coef_A+Coef_B1*O4257+Coef_B2*P4257,"")</f>
        <v>23.0242956523157</v>
      </c>
      <c r="U4257" s="84" t="n">
        <f aca="false">IF(AND(R4257=1,ISNUMBER(T4257)),E4257-T4257,"")</f>
        <v>-2.32429565231566</v>
      </c>
      <c r="V4257" s="84" t="n">
        <f aca="false">IF(ISNUMBER(T4257),T4257,-99)</f>
        <v>23.0242956523157</v>
      </c>
      <c r="W4257" s="84" t="n">
        <f aca="false">IF(ISNUMBER(U4257),ABS(U4257),"")</f>
        <v>2.32429565231566</v>
      </c>
    </row>
    <row r="4258" customFormat="false" ht="15" hidden="false" customHeight="false" outlineLevel="0" collapsed="false">
      <c r="A4258" s="57" t="n">
        <v>38963</v>
      </c>
      <c r="B4258" s="56" t="n">
        <v>2006</v>
      </c>
      <c r="C4258" s="56" t="n">
        <v>9</v>
      </c>
      <c r="D4258" s="56" t="n">
        <v>126</v>
      </c>
      <c r="E4258" s="56" t="n">
        <v>26.6</v>
      </c>
      <c r="F4258" s="56" t="n">
        <v>0</v>
      </c>
      <c r="G4258" s="56" t="n">
        <v>16</v>
      </c>
      <c r="H4258" s="56" t="n">
        <v>0</v>
      </c>
      <c r="I4258" s="56"/>
      <c r="J4258" s="56" t="n">
        <v>9</v>
      </c>
      <c r="K4258" s="56" t="n">
        <v>1010.7</v>
      </c>
      <c r="L4258" s="56" t="n">
        <v>0</v>
      </c>
      <c r="M4258" s="56"/>
      <c r="N4258" s="56" t="n">
        <v>5.7</v>
      </c>
      <c r="O4258" s="56" t="n">
        <f aca="false">IF(D4258=1,"",E4257)</f>
        <v>20.7</v>
      </c>
      <c r="P4258" s="56" t="n">
        <f aca="false">IF(OR(D4258=1,K4257=""),"",K4257)</f>
        <v>1006.2</v>
      </c>
      <c r="Q4258" s="56" t="n">
        <f aca="false">IF(OR(F4258&lt;&gt;0,AND(I4258&lt;&gt;"",E4258&lt;I4258)),1,0)</f>
        <v>0</v>
      </c>
      <c r="R4258" s="56" t="n">
        <f aca="false">IF(AND(D4258&gt;1,Q4258=0,ISNUMBER(O4258),ISNUMBER(P4258)),IF(Q4257=0,1,0),0)</f>
        <v>1</v>
      </c>
      <c r="S4258" s="56" t="n">
        <f aca="false">R4258*(B4258&gt;=Train_Start)*(B4258&lt;=Train_End)</f>
        <v>0</v>
      </c>
      <c r="T4258" s="84" t="n">
        <f aca="false">IF(AND(ISNUMBER(O4258),ISNUMBER(P4258)),Coef_A+Coef_B1*O4258+Coef_B2*P4258,"")</f>
        <v>20.6116846986988</v>
      </c>
      <c r="U4258" s="84" t="n">
        <f aca="false">IF(AND(R4258=1,ISNUMBER(T4258)),E4258-T4258,"")</f>
        <v>5.98831530130116</v>
      </c>
      <c r="V4258" s="84" t="n">
        <f aca="false">IF(ISNUMBER(T4258),T4258,-99)</f>
        <v>20.6116846986988</v>
      </c>
      <c r="W4258" s="84" t="n">
        <f aca="false">IF(ISNUMBER(U4258),ABS(U4258),"")</f>
        <v>5.98831530130116</v>
      </c>
    </row>
    <row r="4259" customFormat="false" ht="15" hidden="false" customHeight="false" outlineLevel="0" collapsed="false">
      <c r="A4259" s="57" t="n">
        <v>38964</v>
      </c>
      <c r="B4259" s="56" t="n">
        <v>2006</v>
      </c>
      <c r="C4259" s="56" t="n">
        <v>9</v>
      </c>
      <c r="D4259" s="56" t="n">
        <v>127</v>
      </c>
      <c r="E4259" s="56" t="n">
        <v>24.7</v>
      </c>
      <c r="F4259" s="56" t="n">
        <v>0</v>
      </c>
      <c r="G4259" s="56" t="n">
        <v>14.5</v>
      </c>
      <c r="H4259" s="56" t="n">
        <v>0</v>
      </c>
      <c r="I4259" s="56" t="n">
        <v>19.6</v>
      </c>
      <c r="J4259" s="56" t="n">
        <v>0</v>
      </c>
      <c r="K4259" s="56" t="n">
        <v>1022.7</v>
      </c>
      <c r="L4259" s="56" t="n">
        <v>0</v>
      </c>
      <c r="M4259" s="56" t="n">
        <v>71</v>
      </c>
      <c r="N4259" s="56" t="n">
        <v>4.3</v>
      </c>
      <c r="O4259" s="56" t="n">
        <f aca="false">IF(D4259=1,"",E4258)</f>
        <v>26.6</v>
      </c>
      <c r="P4259" s="56" t="n">
        <f aca="false">IF(OR(D4259=1,K4258=""),"",K4258)</f>
        <v>1010.7</v>
      </c>
      <c r="Q4259" s="56" t="n">
        <f aca="false">IF(OR(F4259&lt;&gt;0,AND(I4259&lt;&gt;"",E4259&lt;I4259)),1,0)</f>
        <v>0</v>
      </c>
      <c r="R4259" s="56" t="n">
        <f aca="false">IF(AND(D4259&gt;1,Q4259=0,ISNUMBER(O4259),ISNUMBER(P4259)),IF(Q4258=0,1,0),0)</f>
        <v>1</v>
      </c>
      <c r="S4259" s="56" t="n">
        <f aca="false">R4259*(B4259&gt;=Train_Start)*(B4259&lt;=Train_End)</f>
        <v>0</v>
      </c>
      <c r="T4259" s="84" t="n">
        <f aca="false">IF(AND(ISNUMBER(O4259),ISNUMBER(P4259)),Coef_A+Coef_B1*O4259+Coef_B2*P4259,"")</f>
        <v>25.5869504635035</v>
      </c>
      <c r="U4259" s="84" t="n">
        <f aca="false">IF(AND(R4259=1,ISNUMBER(T4259)),E4259-T4259,"")</f>
        <v>-0.886950463503471</v>
      </c>
      <c r="V4259" s="84" t="n">
        <f aca="false">IF(ISNUMBER(T4259),T4259,-99)</f>
        <v>25.5869504635035</v>
      </c>
      <c r="W4259" s="84" t="n">
        <f aca="false">IF(ISNUMBER(U4259),ABS(U4259),"")</f>
        <v>0.886950463503471</v>
      </c>
    </row>
    <row r="4260" customFormat="false" ht="15" hidden="false" customHeight="false" outlineLevel="0" collapsed="false">
      <c r="A4260" s="57" t="n">
        <v>38965</v>
      </c>
      <c r="B4260" s="56" t="n">
        <v>2006</v>
      </c>
      <c r="C4260" s="56" t="n">
        <v>9</v>
      </c>
      <c r="D4260" s="56" t="n">
        <v>128</v>
      </c>
      <c r="E4260" s="56" t="n">
        <v>25.7</v>
      </c>
      <c r="F4260" s="56" t="n">
        <v>0</v>
      </c>
      <c r="G4260" s="56" t="n">
        <v>18.3</v>
      </c>
      <c r="H4260" s="56" t="n">
        <v>0</v>
      </c>
      <c r="I4260" s="56" t="n">
        <v>22</v>
      </c>
      <c r="J4260" s="56" t="n">
        <v>0</v>
      </c>
      <c r="K4260" s="56" t="n">
        <v>1022.9</v>
      </c>
      <c r="L4260" s="56" t="n">
        <v>0</v>
      </c>
      <c r="M4260" s="56" t="n">
        <v>74</v>
      </c>
      <c r="N4260" s="56" t="n">
        <v>0.9</v>
      </c>
      <c r="O4260" s="56" t="n">
        <f aca="false">IF(D4260=1,"",E4259)</f>
        <v>24.7</v>
      </c>
      <c r="P4260" s="56" t="n">
        <f aca="false">IF(OR(D4260=1,K4259=""),"",K4259)</f>
        <v>1022.7</v>
      </c>
      <c r="Q4260" s="56" t="n">
        <f aca="false">IF(OR(F4260&lt;&gt;0,AND(I4260&lt;&gt;"",E4260&lt;I4260)),1,0)</f>
        <v>0</v>
      </c>
      <c r="R4260" s="56" t="n">
        <f aca="false">IF(AND(D4260&gt;1,Q4260=0,ISNUMBER(O4260),ISNUMBER(P4260)),IF(Q4259=0,1,0),0)</f>
        <v>1</v>
      </c>
      <c r="S4260" s="56" t="n">
        <f aca="false">R4260*(B4260&gt;=Train_Start)*(B4260&lt;=Train_End)</f>
        <v>0</v>
      </c>
      <c r="T4260" s="84" t="n">
        <f aca="false">IF(AND(ISNUMBER(O4260),ISNUMBER(P4260)),Coef_A+Coef_B1*O4260+Coef_B2*P4260,"")</f>
        <v>24.4066447323303</v>
      </c>
      <c r="U4260" s="84" t="n">
        <f aca="false">IF(AND(R4260=1,ISNUMBER(T4260)),E4260-T4260,"")</f>
        <v>1.2933552676697</v>
      </c>
      <c r="V4260" s="84" t="n">
        <f aca="false">IF(ISNUMBER(T4260),T4260,-99)</f>
        <v>24.4066447323303</v>
      </c>
      <c r="W4260" s="84" t="n">
        <f aca="false">IF(ISNUMBER(U4260),ABS(U4260),"")</f>
        <v>1.2933552676697</v>
      </c>
    </row>
    <row r="4261" customFormat="false" ht="15" hidden="false" customHeight="false" outlineLevel="0" collapsed="false">
      <c r="A4261" s="57" t="n">
        <v>38966</v>
      </c>
      <c r="B4261" s="56" t="n">
        <v>2006</v>
      </c>
      <c r="C4261" s="56" t="n">
        <v>9</v>
      </c>
      <c r="D4261" s="56" t="n">
        <v>129</v>
      </c>
      <c r="E4261" s="56" t="n">
        <v>26.5</v>
      </c>
      <c r="F4261" s="56" t="n">
        <v>0</v>
      </c>
      <c r="G4261" s="56" t="n">
        <v>17.2</v>
      </c>
      <c r="H4261" s="56" t="n">
        <v>0</v>
      </c>
      <c r="I4261" s="56" t="n">
        <v>21.8</v>
      </c>
      <c r="J4261" s="56" t="n">
        <v>0</v>
      </c>
      <c r="K4261" s="56" t="n">
        <v>1016.9</v>
      </c>
      <c r="L4261" s="56" t="n">
        <v>0</v>
      </c>
      <c r="M4261" s="56" t="n">
        <v>68</v>
      </c>
      <c r="N4261" s="56" t="n">
        <v>7.8</v>
      </c>
      <c r="O4261" s="56" t="n">
        <f aca="false">IF(D4261=1,"",E4260)</f>
        <v>25.7</v>
      </c>
      <c r="P4261" s="56" t="n">
        <f aca="false">IF(OR(D4261=1,K4260=""),"",K4260)</f>
        <v>1022.9</v>
      </c>
      <c r="Q4261" s="56" t="n">
        <f aca="false">IF(OR(F4261&lt;&gt;0,AND(I4261&lt;&gt;"",E4261&lt;I4261)),1,0)</f>
        <v>0</v>
      </c>
      <c r="R4261" s="56" t="n">
        <f aca="false">IF(AND(D4261&gt;1,Q4261=0,ISNUMBER(O4261),ISNUMBER(P4261)),IF(Q4260=0,1,0),0)</f>
        <v>1</v>
      </c>
      <c r="S4261" s="56" t="n">
        <f aca="false">R4261*(B4261&gt;=Train_Start)*(B4261&lt;=Train_End)</f>
        <v>0</v>
      </c>
      <c r="T4261" s="84" t="n">
        <f aca="false">IF(AND(ISNUMBER(O4261),ISNUMBER(P4261)),Coef_A+Coef_B1*O4261+Coef_B2*P4261,"")</f>
        <v>25.2322579042997</v>
      </c>
      <c r="U4261" s="84" t="n">
        <f aca="false">IF(AND(R4261=1,ISNUMBER(T4261)),E4261-T4261,"")</f>
        <v>1.26774209570025</v>
      </c>
      <c r="V4261" s="84" t="n">
        <f aca="false">IF(ISNUMBER(T4261),T4261,-99)</f>
        <v>25.2322579042997</v>
      </c>
      <c r="W4261" s="84" t="n">
        <f aca="false">IF(ISNUMBER(U4261),ABS(U4261),"")</f>
        <v>1.26774209570025</v>
      </c>
    </row>
    <row r="4262" customFormat="false" ht="15" hidden="false" customHeight="false" outlineLevel="0" collapsed="false">
      <c r="A4262" s="57" t="n">
        <v>38967</v>
      </c>
      <c r="B4262" s="56" t="n">
        <v>2006</v>
      </c>
      <c r="C4262" s="56" t="n">
        <v>9</v>
      </c>
      <c r="D4262" s="56" t="n">
        <v>130</v>
      </c>
      <c r="E4262" s="56" t="n">
        <v>21.3</v>
      </c>
      <c r="F4262" s="56" t="n">
        <v>0</v>
      </c>
      <c r="G4262" s="56" t="n">
        <v>13.3</v>
      </c>
      <c r="H4262" s="56" t="n">
        <v>0</v>
      </c>
      <c r="I4262" s="56" t="n">
        <v>17.3</v>
      </c>
      <c r="J4262" s="56" t="n">
        <v>0</v>
      </c>
      <c r="K4262" s="56" t="n">
        <v>1022.1</v>
      </c>
      <c r="L4262" s="56" t="n">
        <v>0</v>
      </c>
      <c r="M4262" s="56" t="n">
        <v>60</v>
      </c>
      <c r="N4262" s="56" t="n">
        <v>10.6</v>
      </c>
      <c r="O4262" s="56" t="n">
        <f aca="false">IF(D4262=1,"",E4261)</f>
        <v>26.5</v>
      </c>
      <c r="P4262" s="56" t="n">
        <f aca="false">IF(OR(D4262=1,K4261=""),"",K4261)</f>
        <v>1016.9</v>
      </c>
      <c r="Q4262" s="56" t="n">
        <f aca="false">IF(OR(F4262&lt;&gt;0,AND(I4262&lt;&gt;"",E4262&lt;I4262)),1,0)</f>
        <v>0</v>
      </c>
      <c r="R4262" s="56" t="n">
        <f aca="false">IF(AND(D4262&gt;1,Q4262=0,ISNUMBER(O4262),ISNUMBER(P4262)),IF(Q4261=0,1,0),0)</f>
        <v>1</v>
      </c>
      <c r="S4262" s="56" t="n">
        <f aca="false">R4262*(B4262&gt;=Train_Start)*(B4262&lt;=Train_End)</f>
        <v>0</v>
      </c>
      <c r="T4262" s="84" t="n">
        <f aca="false">IF(AND(ISNUMBER(O4262),ISNUMBER(P4262)),Coef_A+Coef_B1*O4262+Coef_B2*P4262,"")</f>
        <v>25.6995098909299</v>
      </c>
      <c r="U4262" s="84" t="n">
        <f aca="false">IF(AND(R4262=1,ISNUMBER(T4262)),E4262-T4262,"")</f>
        <v>-4.39950989092994</v>
      </c>
      <c r="V4262" s="84" t="n">
        <f aca="false">IF(ISNUMBER(T4262),T4262,-99)</f>
        <v>25.6995098909299</v>
      </c>
      <c r="W4262" s="84" t="n">
        <f aca="false">IF(ISNUMBER(U4262),ABS(U4262),"")</f>
        <v>4.39950989092994</v>
      </c>
    </row>
    <row r="4263" customFormat="false" ht="15" hidden="false" customHeight="false" outlineLevel="0" collapsed="false">
      <c r="A4263" s="57" t="n">
        <v>38968</v>
      </c>
      <c r="B4263" s="56" t="n">
        <v>2006</v>
      </c>
      <c r="C4263" s="56" t="n">
        <v>9</v>
      </c>
      <c r="D4263" s="56" t="n">
        <v>131</v>
      </c>
      <c r="E4263" s="56" t="n">
        <v>21.2</v>
      </c>
      <c r="F4263" s="56" t="n">
        <v>0</v>
      </c>
      <c r="G4263" s="56" t="n">
        <v>9.8</v>
      </c>
      <c r="H4263" s="56" t="n">
        <v>0</v>
      </c>
      <c r="I4263" s="56" t="n">
        <v>15.5</v>
      </c>
      <c r="J4263" s="56" t="n">
        <v>0</v>
      </c>
      <c r="K4263" s="56" t="n">
        <v>1029.7</v>
      </c>
      <c r="L4263" s="56" t="n">
        <v>0</v>
      </c>
      <c r="M4263" s="56" t="n">
        <v>66</v>
      </c>
      <c r="N4263" s="56" t="n">
        <v>12.2</v>
      </c>
      <c r="O4263" s="56" t="n">
        <f aca="false">IF(D4263=1,"",E4262)</f>
        <v>21.3</v>
      </c>
      <c r="P4263" s="56" t="n">
        <f aca="false">IF(OR(D4263=1,K4262=""),"",K4262)</f>
        <v>1022.1</v>
      </c>
      <c r="Q4263" s="56" t="n">
        <f aca="false">IF(OR(F4263&lt;&gt;0,AND(I4263&lt;&gt;"",E4263&lt;I4263)),1,0)</f>
        <v>0</v>
      </c>
      <c r="R4263" s="56" t="n">
        <f aca="false">IF(AND(D4263&gt;1,Q4263=0,ISNUMBER(O4263),ISNUMBER(P4263)),IF(Q4262=0,1,0),0)</f>
        <v>1</v>
      </c>
      <c r="S4263" s="56" t="n">
        <f aca="false">R4263*(B4263&gt;=Train_Start)*(B4263&lt;=Train_End)</f>
        <v>0</v>
      </c>
      <c r="T4263" s="84" t="n">
        <f aca="false">IF(AND(ISNUMBER(O4263),ISNUMBER(P4263)),Coef_A+Coef_B1*O4263+Coef_B2*P4263,"")</f>
        <v>21.6020695392049</v>
      </c>
      <c r="U4263" s="84" t="n">
        <f aca="false">IF(AND(R4263=1,ISNUMBER(T4263)),E4263-T4263,"")</f>
        <v>-0.402069539204863</v>
      </c>
      <c r="V4263" s="84" t="n">
        <f aca="false">IF(ISNUMBER(T4263),T4263,-99)</f>
        <v>21.6020695392049</v>
      </c>
      <c r="W4263" s="84" t="n">
        <f aca="false">IF(ISNUMBER(U4263),ABS(U4263),"")</f>
        <v>0.402069539204863</v>
      </c>
    </row>
    <row r="4264" customFormat="false" ht="15" hidden="false" customHeight="false" outlineLevel="0" collapsed="false">
      <c r="A4264" s="57" t="n">
        <v>38969</v>
      </c>
      <c r="B4264" s="56" t="n">
        <v>2006</v>
      </c>
      <c r="C4264" s="56" t="n">
        <v>9</v>
      </c>
      <c r="D4264" s="56" t="n">
        <v>132</v>
      </c>
      <c r="E4264" s="56" t="n">
        <v>22.7</v>
      </c>
      <c r="F4264" s="56" t="n">
        <v>0</v>
      </c>
      <c r="G4264" s="56" t="n">
        <v>11.9</v>
      </c>
      <c r="H4264" s="56" t="n">
        <v>0</v>
      </c>
      <c r="I4264" s="56" t="n">
        <v>17.3</v>
      </c>
      <c r="J4264" s="56" t="n">
        <v>0</v>
      </c>
      <c r="K4264" s="56" t="n">
        <v>1024.9</v>
      </c>
      <c r="L4264" s="56" t="n">
        <v>0</v>
      </c>
      <c r="M4264" s="56" t="n">
        <v>67</v>
      </c>
      <c r="N4264" s="56" t="n">
        <v>7.4</v>
      </c>
      <c r="O4264" s="56" t="n">
        <f aca="false">IF(D4264=1,"",E4263)</f>
        <v>21.2</v>
      </c>
      <c r="P4264" s="56" t="n">
        <f aca="false">IF(OR(D4264=1,K4263=""),"",K4263)</f>
        <v>1029.7</v>
      </c>
      <c r="Q4264" s="56" t="n">
        <f aca="false">IF(OR(F4264&lt;&gt;0,AND(I4264&lt;&gt;"",E4264&lt;I4264)),1,0)</f>
        <v>0</v>
      </c>
      <c r="R4264" s="56" t="n">
        <f aca="false">IF(AND(D4264&gt;1,Q4264=0,ISNUMBER(O4264),ISNUMBER(P4264)),IF(Q4263=0,1,0),0)</f>
        <v>1</v>
      </c>
      <c r="S4264" s="56" t="n">
        <f aca="false">R4264*(B4264&gt;=Train_Start)*(B4264&lt;=Train_End)</f>
        <v>0</v>
      </c>
      <c r="T4264" s="84" t="n">
        <f aca="false">IF(AND(ISNUMBER(O4264),ISNUMBER(P4264)),Coef_A+Coef_B1*O4264+Coef_B2*P4264,"")</f>
        <v>21.7585468191189</v>
      </c>
      <c r="U4264" s="84" t="n">
        <f aca="false">IF(AND(R4264=1,ISNUMBER(T4264)),E4264-T4264,"")</f>
        <v>0.941453180881084</v>
      </c>
      <c r="V4264" s="84" t="n">
        <f aca="false">IF(ISNUMBER(T4264),T4264,-99)</f>
        <v>21.7585468191189</v>
      </c>
      <c r="W4264" s="84" t="n">
        <f aca="false">IF(ISNUMBER(U4264),ABS(U4264),"")</f>
        <v>0.941453180881084</v>
      </c>
    </row>
    <row r="4265" customFormat="false" ht="15" hidden="false" customHeight="false" outlineLevel="0" collapsed="false">
      <c r="A4265" s="57" t="n">
        <v>38970</v>
      </c>
      <c r="B4265" s="56" t="n">
        <v>2006</v>
      </c>
      <c r="C4265" s="56" t="n">
        <v>9</v>
      </c>
      <c r="D4265" s="56" t="n">
        <v>133</v>
      </c>
      <c r="E4265" s="56" t="n">
        <v>27.1</v>
      </c>
      <c r="F4265" s="56" t="n">
        <v>0</v>
      </c>
      <c r="G4265" s="56" t="n">
        <v>11</v>
      </c>
      <c r="H4265" s="56" t="n">
        <v>0</v>
      </c>
      <c r="I4265" s="56" t="n">
        <v>19</v>
      </c>
      <c r="J4265" s="56" t="n">
        <v>0</v>
      </c>
      <c r="K4265" s="56" t="n">
        <v>1020.7</v>
      </c>
      <c r="L4265" s="56" t="n">
        <v>0</v>
      </c>
      <c r="M4265" s="56" t="n">
        <v>64</v>
      </c>
      <c r="N4265" s="56" t="n">
        <v>11.6</v>
      </c>
      <c r="O4265" s="56" t="n">
        <f aca="false">IF(D4265=1,"",E4264)</f>
        <v>22.7</v>
      </c>
      <c r="P4265" s="56" t="n">
        <f aca="false">IF(OR(D4265=1,K4264=""),"",K4264)</f>
        <v>1024.9</v>
      </c>
      <c r="Q4265" s="56" t="n">
        <f aca="false">IF(OR(F4265&lt;&gt;0,AND(I4265&lt;&gt;"",E4265&lt;I4265)),1,0)</f>
        <v>0</v>
      </c>
      <c r="R4265" s="56" t="n">
        <f aca="false">IF(AND(D4265&gt;1,Q4265=0,ISNUMBER(O4265),ISNUMBER(P4265)),IF(Q4264=0,1,0),0)</f>
        <v>1</v>
      </c>
      <c r="S4265" s="56" t="n">
        <f aca="false">R4265*(B4265&gt;=Train_Start)*(B4265&lt;=Train_End)</f>
        <v>0</v>
      </c>
      <c r="T4265" s="84" t="n">
        <f aca="false">IF(AND(ISNUMBER(O4265),ISNUMBER(P4265)),Coef_A+Coef_B1*O4265+Coef_B2*P4265,"")</f>
        <v>22.8369801144398</v>
      </c>
      <c r="U4265" s="84" t="n">
        <f aca="false">IF(AND(R4265=1,ISNUMBER(T4265)),E4265-T4265,"")</f>
        <v>4.26301988556025</v>
      </c>
      <c r="V4265" s="84" t="n">
        <f aca="false">IF(ISNUMBER(T4265),T4265,-99)</f>
        <v>22.8369801144398</v>
      </c>
      <c r="W4265" s="84" t="n">
        <f aca="false">IF(ISNUMBER(U4265),ABS(U4265),"")</f>
        <v>4.26301988556025</v>
      </c>
    </row>
    <row r="4266" customFormat="false" ht="15" hidden="false" customHeight="false" outlineLevel="0" collapsed="false">
      <c r="A4266" s="57" t="n">
        <v>38971</v>
      </c>
      <c r="B4266" s="56" t="n">
        <v>2006</v>
      </c>
      <c r="C4266" s="56" t="n">
        <v>9</v>
      </c>
      <c r="D4266" s="56" t="n">
        <v>134</v>
      </c>
      <c r="E4266" s="56" t="n">
        <v>30.2</v>
      </c>
      <c r="F4266" s="56" t="n">
        <v>0</v>
      </c>
      <c r="G4266" s="56" t="n">
        <v>14</v>
      </c>
      <c r="H4266" s="56" t="n">
        <v>0</v>
      </c>
      <c r="I4266" s="56" t="n">
        <v>22.1</v>
      </c>
      <c r="J4266" s="56" t="n">
        <v>0</v>
      </c>
      <c r="K4266" s="56" t="n">
        <v>1017.3</v>
      </c>
      <c r="L4266" s="56" t="n">
        <v>0</v>
      </c>
      <c r="M4266" s="56" t="n">
        <v>57</v>
      </c>
      <c r="N4266" s="56" t="n">
        <v>7.3</v>
      </c>
      <c r="O4266" s="56" t="n">
        <f aca="false">IF(D4266=1,"",E4265)</f>
        <v>27.1</v>
      </c>
      <c r="P4266" s="56" t="n">
        <f aca="false">IF(OR(D4266=1,K4265=""),"",K4265)</f>
        <v>1020.7</v>
      </c>
      <c r="Q4266" s="56" t="n">
        <f aca="false">IF(OR(F4266&lt;&gt;0,AND(I4266&lt;&gt;"",E4266&lt;I4266)),1,0)</f>
        <v>0</v>
      </c>
      <c r="R4266" s="56" t="n">
        <f aca="false">IF(AND(D4266&gt;1,Q4266=0,ISNUMBER(O4266),ISNUMBER(P4266)),IF(Q4265=0,1,0),0)</f>
        <v>1</v>
      </c>
      <c r="S4266" s="56" t="n">
        <f aca="false">R4266*(B4266&gt;=Train_Start)*(B4266&lt;=Train_End)</f>
        <v>0</v>
      </c>
      <c r="T4266" s="84" t="n">
        <f aca="false">IF(AND(ISNUMBER(O4266),ISNUMBER(P4266)),Coef_A+Coef_B1*O4266+Coef_B2*P4266,"")</f>
        <v>26.3103190063647</v>
      </c>
      <c r="U4266" s="84" t="n">
        <f aca="false">IF(AND(R4266=1,ISNUMBER(T4266)),E4266-T4266,"")</f>
        <v>3.8896809936353</v>
      </c>
      <c r="V4266" s="84" t="n">
        <f aca="false">IF(ISNUMBER(T4266),T4266,-99)</f>
        <v>26.3103190063647</v>
      </c>
      <c r="W4266" s="84" t="n">
        <f aca="false">IF(ISNUMBER(U4266),ABS(U4266),"")</f>
        <v>3.8896809936353</v>
      </c>
    </row>
    <row r="4267" customFormat="false" ht="15" hidden="false" customHeight="false" outlineLevel="0" collapsed="false">
      <c r="A4267" s="57" t="n">
        <v>38972</v>
      </c>
      <c r="B4267" s="56" t="n">
        <v>2006</v>
      </c>
      <c r="C4267" s="56" t="n">
        <v>9</v>
      </c>
      <c r="D4267" s="56" t="n">
        <v>135</v>
      </c>
      <c r="E4267" s="56" t="n">
        <v>20.9</v>
      </c>
      <c r="F4267" s="56" t="n">
        <v>0</v>
      </c>
      <c r="G4267" s="56" t="n">
        <v>16.1</v>
      </c>
      <c r="H4267" s="56" t="n">
        <v>0</v>
      </c>
      <c r="I4267" s="56" t="n">
        <v>18.5</v>
      </c>
      <c r="J4267" s="56" t="n">
        <v>0</v>
      </c>
      <c r="K4267" s="56" t="n">
        <v>1015.1</v>
      </c>
      <c r="L4267" s="56" t="n">
        <v>0</v>
      </c>
      <c r="M4267" s="56" t="n">
        <v>85</v>
      </c>
      <c r="N4267" s="56" t="n">
        <v>0</v>
      </c>
      <c r="O4267" s="56" t="n">
        <f aca="false">IF(D4267=1,"",E4266)</f>
        <v>30.2</v>
      </c>
      <c r="P4267" s="56" t="n">
        <f aca="false">IF(OR(D4267=1,K4266=""),"",K4266)</f>
        <v>1017.3</v>
      </c>
      <c r="Q4267" s="56" t="n">
        <f aca="false">IF(OR(F4267&lt;&gt;0,AND(I4267&lt;&gt;"",E4267&lt;I4267)),1,0)</f>
        <v>0</v>
      </c>
      <c r="R4267" s="56" t="n">
        <f aca="false">IF(AND(D4267&gt;1,Q4267=0,ISNUMBER(O4267),ISNUMBER(P4267)),IF(Q4266=0,1,0),0)</f>
        <v>1</v>
      </c>
      <c r="S4267" s="56" t="n">
        <f aca="false">R4267*(B4267&gt;=Train_Start)*(B4267&lt;=Train_End)</f>
        <v>0</v>
      </c>
      <c r="T4267" s="84" t="n">
        <f aca="false">IF(AND(ISNUMBER(O4267),ISNUMBER(P4267)),Coef_A+Coef_B1*O4267+Coef_B2*P4267,"")</f>
        <v>28.7436128630414</v>
      </c>
      <c r="U4267" s="84" t="n">
        <f aca="false">IF(AND(R4267=1,ISNUMBER(T4267)),E4267-T4267,"")</f>
        <v>-7.84361286304137</v>
      </c>
      <c r="V4267" s="84" t="n">
        <f aca="false">IF(ISNUMBER(T4267),T4267,-99)</f>
        <v>28.7436128630414</v>
      </c>
      <c r="W4267" s="84" t="n">
        <f aca="false">IF(ISNUMBER(U4267),ABS(U4267),"")</f>
        <v>7.84361286304137</v>
      </c>
    </row>
    <row r="4268" customFormat="false" ht="15" hidden="false" customHeight="false" outlineLevel="0" collapsed="false">
      <c r="A4268" s="57" t="n">
        <v>38973</v>
      </c>
      <c r="B4268" s="56" t="n">
        <v>2006</v>
      </c>
      <c r="C4268" s="56" t="n">
        <v>9</v>
      </c>
      <c r="D4268" s="56" t="n">
        <v>136</v>
      </c>
      <c r="E4268" s="56" t="n">
        <v>24</v>
      </c>
      <c r="F4268" s="56" t="n">
        <v>0</v>
      </c>
      <c r="G4268" s="56" t="n">
        <v>16.4</v>
      </c>
      <c r="H4268" s="56" t="n">
        <v>0</v>
      </c>
      <c r="I4268" s="56" t="n">
        <v>20.2</v>
      </c>
      <c r="J4268" s="56" t="n">
        <v>0</v>
      </c>
      <c r="K4268" s="56" t="n">
        <v>1008.9</v>
      </c>
      <c r="L4268" s="56" t="n">
        <v>0</v>
      </c>
      <c r="M4268" s="56" t="n">
        <v>84</v>
      </c>
      <c r="N4268" s="56" t="n">
        <v>3.5</v>
      </c>
      <c r="O4268" s="56" t="n">
        <f aca="false">IF(D4268=1,"",E4267)</f>
        <v>20.9</v>
      </c>
      <c r="P4268" s="56" t="n">
        <f aca="false">IF(OR(D4268=1,K4267=""),"",K4267)</f>
        <v>1015.1</v>
      </c>
      <c r="Q4268" s="56" t="n">
        <f aca="false">IF(OR(F4268&lt;&gt;0,AND(I4268&lt;&gt;"",E4268&lt;I4268)),1,0)</f>
        <v>0</v>
      </c>
      <c r="R4268" s="56" t="n">
        <f aca="false">IF(AND(D4268&gt;1,Q4268=0,ISNUMBER(O4268),ISNUMBER(P4268)),IF(Q4267=0,1,0),0)</f>
        <v>1</v>
      </c>
      <c r="S4268" s="56" t="n">
        <f aca="false">R4268*(B4268&gt;=Train_Start)*(B4268&lt;=Train_End)</f>
        <v>0</v>
      </c>
      <c r="T4268" s="84" t="n">
        <f aca="false">IF(AND(ISNUMBER(O4268),ISNUMBER(P4268)),Coef_A+Coef_B1*O4268+Coef_B2*P4268,"")</f>
        <v>21.0547445995499</v>
      </c>
      <c r="U4268" s="84" t="n">
        <f aca="false">IF(AND(R4268=1,ISNUMBER(T4268)),E4268-T4268,"")</f>
        <v>2.94525540045013</v>
      </c>
      <c r="V4268" s="84" t="n">
        <f aca="false">IF(ISNUMBER(T4268),T4268,-99)</f>
        <v>21.0547445995499</v>
      </c>
      <c r="W4268" s="84" t="n">
        <f aca="false">IF(ISNUMBER(U4268),ABS(U4268),"")</f>
        <v>2.94525540045013</v>
      </c>
    </row>
    <row r="4269" customFormat="false" ht="15" hidden="false" customHeight="false" outlineLevel="0" collapsed="false">
      <c r="A4269" s="57" t="n">
        <v>38974</v>
      </c>
      <c r="B4269" s="56" t="n">
        <v>2006</v>
      </c>
      <c r="C4269" s="56" t="n">
        <v>9</v>
      </c>
      <c r="D4269" s="56" t="n">
        <v>137</v>
      </c>
      <c r="E4269" s="56" t="n">
        <v>20.6</v>
      </c>
      <c r="F4269" s="56" t="n">
        <v>0</v>
      </c>
      <c r="G4269" s="56" t="n">
        <v>16.8</v>
      </c>
      <c r="H4269" s="56" t="n">
        <v>0</v>
      </c>
      <c r="I4269" s="56" t="n">
        <v>18.7</v>
      </c>
      <c r="J4269" s="56" t="n">
        <v>0</v>
      </c>
      <c r="K4269" s="56" t="n">
        <v>1003.9</v>
      </c>
      <c r="L4269" s="56" t="n">
        <v>0</v>
      </c>
      <c r="M4269" s="56" t="n">
        <v>85</v>
      </c>
      <c r="N4269" s="56" t="n">
        <v>0.6</v>
      </c>
      <c r="O4269" s="56" t="n">
        <f aca="false">IF(D4269=1,"",E4268)</f>
        <v>24</v>
      </c>
      <c r="P4269" s="56" t="n">
        <f aca="false">IF(OR(D4269=1,K4268=""),"",K4268)</f>
        <v>1008.9</v>
      </c>
      <c r="Q4269" s="56" t="n">
        <f aca="false">IF(OR(F4269&lt;&gt;0,AND(I4269&lt;&gt;"",E4269&lt;I4269)),1,0)</f>
        <v>0</v>
      </c>
      <c r="R4269" s="56" t="n">
        <f aca="false">IF(AND(D4269&gt;1,Q4269=0,ISNUMBER(O4269),ISNUMBER(P4269)),IF(Q4268=0,1,0),0)</f>
        <v>1</v>
      </c>
      <c r="S4269" s="56" t="n">
        <f aca="false">R4269*(B4269&gt;=Train_Start)*(B4269&lt;=Train_End)</f>
        <v>0</v>
      </c>
      <c r="T4269" s="84" t="n">
        <f aca="false">IF(AND(ISNUMBER(O4269),ISNUMBER(P4269)),Coef_A+Coef_B1*O4269+Coef_B2*P4269,"")</f>
        <v>23.4002027512514</v>
      </c>
      <c r="U4269" s="84" t="n">
        <f aca="false">IF(AND(R4269=1,ISNUMBER(T4269)),E4269-T4269,"")</f>
        <v>-2.80020275125138</v>
      </c>
      <c r="V4269" s="84" t="n">
        <f aca="false">IF(ISNUMBER(T4269),T4269,-99)</f>
        <v>23.4002027512514</v>
      </c>
      <c r="W4269" s="84" t="n">
        <f aca="false">IF(ISNUMBER(U4269),ABS(U4269),"")</f>
        <v>2.80020275125138</v>
      </c>
    </row>
    <row r="4270" customFormat="false" ht="15" hidden="false" customHeight="false" outlineLevel="0" collapsed="false">
      <c r="A4270" s="57" t="n">
        <v>38975</v>
      </c>
      <c r="B4270" s="56" t="n">
        <v>2006</v>
      </c>
      <c r="C4270" s="56" t="n">
        <v>9</v>
      </c>
      <c r="D4270" s="56" t="n">
        <v>138</v>
      </c>
      <c r="E4270" s="56" t="n">
        <v>22.4</v>
      </c>
      <c r="F4270" s="56" t="n">
        <v>0</v>
      </c>
      <c r="G4270" s="56" t="n">
        <v>14.7</v>
      </c>
      <c r="H4270" s="56" t="n">
        <v>0</v>
      </c>
      <c r="I4270" s="56" t="n">
        <v>18.6</v>
      </c>
      <c r="J4270" s="56" t="n">
        <v>0</v>
      </c>
      <c r="K4270" s="56" t="n">
        <v>1009.6</v>
      </c>
      <c r="L4270" s="56" t="n">
        <v>0</v>
      </c>
      <c r="M4270" s="56" t="n">
        <v>78</v>
      </c>
      <c r="N4270" s="56" t="n">
        <v>4.9</v>
      </c>
      <c r="O4270" s="56" t="n">
        <f aca="false">IF(D4270=1,"",E4269)</f>
        <v>20.6</v>
      </c>
      <c r="P4270" s="56" t="n">
        <f aca="false">IF(OR(D4270=1,K4269=""),"",K4269)</f>
        <v>1003.9</v>
      </c>
      <c r="Q4270" s="56" t="n">
        <f aca="false">IF(OR(F4270&lt;&gt;0,AND(I4270&lt;&gt;"",E4270&lt;I4270)),1,0)</f>
        <v>0</v>
      </c>
      <c r="R4270" s="56" t="n">
        <f aca="false">IF(AND(D4270&gt;1,Q4270=0,ISNUMBER(O4270),ISNUMBER(P4270)),IF(Q4269=0,1,0),0)</f>
        <v>1</v>
      </c>
      <c r="S4270" s="56" t="n">
        <f aca="false">R4270*(B4270&gt;=Train_Start)*(B4270&lt;=Train_End)</f>
        <v>0</v>
      </c>
      <c r="T4270" s="84" t="n">
        <f aca="false">IF(AND(ISNUMBER(O4270),ISNUMBER(P4270)),Coef_A+Coef_B1*O4270+Coef_B2*P4270,"")</f>
        <v>20.4576000217364</v>
      </c>
      <c r="U4270" s="84" t="n">
        <f aca="false">IF(AND(R4270=1,ISNUMBER(T4270)),E4270-T4270,"")</f>
        <v>1.9423999782636</v>
      </c>
      <c r="V4270" s="84" t="n">
        <f aca="false">IF(ISNUMBER(T4270),T4270,-99)</f>
        <v>20.4576000217364</v>
      </c>
      <c r="W4270" s="84" t="n">
        <f aca="false">IF(ISNUMBER(U4270),ABS(U4270),"")</f>
        <v>1.9423999782636</v>
      </c>
    </row>
    <row r="4271" customFormat="false" ht="15" hidden="false" customHeight="false" outlineLevel="0" collapsed="false">
      <c r="A4271" s="57" t="n">
        <v>38976</v>
      </c>
      <c r="B4271" s="56" t="n">
        <v>2006</v>
      </c>
      <c r="C4271" s="56" t="n">
        <v>9</v>
      </c>
      <c r="D4271" s="56" t="n">
        <v>139</v>
      </c>
      <c r="E4271" s="56" t="n">
        <v>21.3</v>
      </c>
      <c r="F4271" s="56" t="n">
        <v>0</v>
      </c>
      <c r="G4271" s="56" t="n">
        <v>15.9</v>
      </c>
      <c r="H4271" s="56" t="n">
        <v>0</v>
      </c>
      <c r="I4271" s="56" t="n">
        <v>18.6</v>
      </c>
      <c r="J4271" s="56" t="n">
        <v>0</v>
      </c>
      <c r="K4271" s="56" t="n">
        <v>1010.6</v>
      </c>
      <c r="L4271" s="56" t="n">
        <v>0</v>
      </c>
      <c r="M4271" s="56" t="n">
        <v>79</v>
      </c>
      <c r="N4271" s="56" t="n">
        <v>0.1</v>
      </c>
      <c r="O4271" s="56" t="n">
        <f aca="false">IF(D4271=1,"",E4270)</f>
        <v>22.4</v>
      </c>
      <c r="P4271" s="56" t="n">
        <f aca="false">IF(OR(D4271=1,K4270=""),"",K4270)</f>
        <v>1009.6</v>
      </c>
      <c r="Q4271" s="56" t="n">
        <f aca="false">IF(OR(F4271&lt;&gt;0,AND(I4271&lt;&gt;"",E4271&lt;I4271)),1,0)</f>
        <v>0</v>
      </c>
      <c r="R4271" s="56" t="n">
        <f aca="false">IF(AND(D4271&gt;1,Q4271=0,ISNUMBER(O4271),ISNUMBER(P4271)),IF(Q4270=0,1,0),0)</f>
        <v>1</v>
      </c>
      <c r="S4271" s="56" t="n">
        <f aca="false">R4271*(B4271&gt;=Train_Start)*(B4271&lt;=Train_End)</f>
        <v>0</v>
      </c>
      <c r="T4271" s="84" t="n">
        <f aca="false">IF(AND(ISNUMBER(O4271),ISNUMBER(P4271)),Coef_A+Coef_B1*O4271+Coef_B2*P4271,"")</f>
        <v>22.1112189686269</v>
      </c>
      <c r="U4271" s="84" t="n">
        <f aca="false">IF(AND(R4271=1,ISNUMBER(T4271)),E4271-T4271,"")</f>
        <v>-0.811218968626914</v>
      </c>
      <c r="V4271" s="84" t="n">
        <f aca="false">IF(ISNUMBER(T4271),T4271,-99)</f>
        <v>22.1112189686269</v>
      </c>
      <c r="W4271" s="84" t="n">
        <f aca="false">IF(ISNUMBER(U4271),ABS(U4271),"")</f>
        <v>0.811218968626914</v>
      </c>
    </row>
    <row r="4272" customFormat="false" ht="15" hidden="false" customHeight="false" outlineLevel="0" collapsed="false">
      <c r="A4272" s="57" t="n">
        <v>38977</v>
      </c>
      <c r="B4272" s="56" t="n">
        <v>2006</v>
      </c>
      <c r="C4272" s="56" t="n">
        <v>9</v>
      </c>
      <c r="D4272" s="56" t="n">
        <v>140</v>
      </c>
      <c r="E4272" s="56" t="n">
        <v>24.1</v>
      </c>
      <c r="F4272" s="56" t="n">
        <v>0</v>
      </c>
      <c r="G4272" s="56" t="n">
        <v>15.4</v>
      </c>
      <c r="H4272" s="56" t="n">
        <v>0</v>
      </c>
      <c r="I4272" s="56" t="n">
        <v>19.8</v>
      </c>
      <c r="J4272" s="56" t="n">
        <v>0</v>
      </c>
      <c r="K4272" s="56" t="n">
        <v>1011.9</v>
      </c>
      <c r="L4272" s="56" t="n">
        <v>0</v>
      </c>
      <c r="M4272" s="56" t="n">
        <v>72</v>
      </c>
      <c r="N4272" s="56" t="n">
        <v>8.8</v>
      </c>
      <c r="O4272" s="56" t="n">
        <f aca="false">IF(D4272=1,"",E4271)</f>
        <v>21.3</v>
      </c>
      <c r="P4272" s="56" t="n">
        <f aca="false">IF(OR(D4272=1,K4271=""),"",K4271)</f>
        <v>1010.6</v>
      </c>
      <c r="Q4272" s="56" t="n">
        <f aca="false">IF(OR(F4272&lt;&gt;0,AND(I4272&lt;&gt;"",E4272&lt;I4272)),1,0)</f>
        <v>0</v>
      </c>
      <c r="R4272" s="56" t="n">
        <f aca="false">IF(AND(D4272&gt;1,Q4272=0,ISNUMBER(O4272),ISNUMBER(P4272)),IF(Q4271=0,1,0),0)</f>
        <v>1</v>
      </c>
      <c r="S4272" s="56" t="n">
        <f aca="false">R4272*(B4272&gt;=Train_Start)*(B4272&lt;=Train_End)</f>
        <v>0</v>
      </c>
      <c r="T4272" s="84" t="n">
        <f aca="false">IF(AND(ISNUMBER(O4272),ISNUMBER(P4272)),Coef_A+Coef_B1*O4272+Coef_B2*P4272,"")</f>
        <v>21.241315750914</v>
      </c>
      <c r="U4272" s="84" t="n">
        <f aca="false">IF(AND(R4272=1,ISNUMBER(T4272)),E4272-T4272,"")</f>
        <v>2.85868424908602</v>
      </c>
      <c r="V4272" s="84" t="n">
        <f aca="false">IF(ISNUMBER(T4272),T4272,-99)</f>
        <v>21.241315750914</v>
      </c>
      <c r="W4272" s="84" t="n">
        <f aca="false">IF(ISNUMBER(U4272),ABS(U4272),"")</f>
        <v>2.85868424908602</v>
      </c>
    </row>
    <row r="4273" customFormat="false" ht="15" hidden="false" customHeight="false" outlineLevel="0" collapsed="false">
      <c r="A4273" s="57" t="n">
        <v>38978</v>
      </c>
      <c r="B4273" s="56" t="n">
        <v>2006</v>
      </c>
      <c r="C4273" s="56" t="n">
        <v>9</v>
      </c>
      <c r="D4273" s="56" t="n">
        <v>141</v>
      </c>
      <c r="E4273" s="56" t="n">
        <v>21.2</v>
      </c>
      <c r="F4273" s="56" t="n">
        <v>0</v>
      </c>
      <c r="G4273" s="56" t="n">
        <v>15.2</v>
      </c>
      <c r="H4273" s="56" t="n">
        <v>0</v>
      </c>
      <c r="I4273" s="56" t="n">
        <v>18.2</v>
      </c>
      <c r="J4273" s="56" t="n">
        <v>0</v>
      </c>
      <c r="K4273" s="56" t="n">
        <v>1012</v>
      </c>
      <c r="L4273" s="56" t="n">
        <v>0</v>
      </c>
      <c r="M4273" s="56" t="n">
        <v>73</v>
      </c>
      <c r="N4273" s="56" t="n">
        <v>5</v>
      </c>
      <c r="O4273" s="56" t="n">
        <f aca="false">IF(D4273=1,"",E4272)</f>
        <v>24.1</v>
      </c>
      <c r="P4273" s="56" t="n">
        <f aca="false">IF(OR(D4273=1,K4272=""),"",K4272)</f>
        <v>1011.9</v>
      </c>
      <c r="Q4273" s="56" t="n">
        <f aca="false">IF(OR(F4273&lt;&gt;0,AND(I4273&lt;&gt;"",E4273&lt;I4273)),1,0)</f>
        <v>0</v>
      </c>
      <c r="R4273" s="56" t="n">
        <f aca="false">IF(AND(D4273&gt;1,Q4273=0,ISNUMBER(O4273),ISNUMBER(P4273)),IF(Q4272=0,1,0),0)</f>
        <v>1</v>
      </c>
      <c r="S4273" s="56" t="n">
        <f aca="false">R4273*(B4273&gt;=Train_Start)*(B4273&lt;=Train_End)</f>
        <v>0</v>
      </c>
      <c r="T4273" s="84" t="n">
        <f aca="false">IF(AND(ISNUMBER(O4273),ISNUMBER(P4273)),Coef_A+Coef_B1*O4273+Coef_B2*P4273,"")</f>
        <v>23.5762463544576</v>
      </c>
      <c r="U4273" s="84" t="n">
        <f aca="false">IF(AND(R4273=1,ISNUMBER(T4273)),E4273-T4273,"")</f>
        <v>-2.37624635445761</v>
      </c>
      <c r="V4273" s="84" t="n">
        <f aca="false">IF(ISNUMBER(T4273),T4273,-99)</f>
        <v>23.5762463544576</v>
      </c>
      <c r="W4273" s="84" t="n">
        <f aca="false">IF(ISNUMBER(U4273),ABS(U4273),"")</f>
        <v>2.37624635445761</v>
      </c>
    </row>
    <row r="4274" customFormat="false" ht="15" hidden="false" customHeight="false" outlineLevel="0" collapsed="false">
      <c r="A4274" s="57" t="n">
        <v>38979</v>
      </c>
      <c r="B4274" s="56" t="n">
        <v>2006</v>
      </c>
      <c r="C4274" s="56" t="n">
        <v>9</v>
      </c>
      <c r="D4274" s="56" t="n">
        <v>142</v>
      </c>
      <c r="E4274" s="56" t="n">
        <v>20.3</v>
      </c>
      <c r="F4274" s="56" t="n">
        <v>0</v>
      </c>
      <c r="G4274" s="56" t="n">
        <v>13</v>
      </c>
      <c r="H4274" s="56" t="n">
        <v>0</v>
      </c>
      <c r="I4274" s="56" t="n">
        <v>16.6</v>
      </c>
      <c r="J4274" s="56" t="n">
        <v>0</v>
      </c>
      <c r="K4274" s="56" t="n">
        <v>1012</v>
      </c>
      <c r="L4274" s="56" t="n">
        <v>0</v>
      </c>
      <c r="M4274" s="56"/>
      <c r="N4274" s="56" t="n">
        <v>9</v>
      </c>
      <c r="O4274" s="56" t="n">
        <f aca="false">IF(D4274=1,"",E4273)</f>
        <v>21.2</v>
      </c>
      <c r="P4274" s="56" t="n">
        <f aca="false">IF(OR(D4274=1,K4273=""),"",K4273)</f>
        <v>1012</v>
      </c>
      <c r="Q4274" s="56" t="n">
        <f aca="false">IF(OR(F4274&lt;&gt;0,AND(I4274&lt;&gt;"",E4274&lt;I4274)),1,0)</f>
        <v>0</v>
      </c>
      <c r="R4274" s="56" t="n">
        <f aca="false">IF(AND(D4274&gt;1,Q4274=0,ISNUMBER(O4274),ISNUMBER(P4274)),IF(Q4273=0,1,0),0)</f>
        <v>1</v>
      </c>
      <c r="S4274" s="56" t="n">
        <f aca="false">R4274*(B4274&gt;=Train_Start)*(B4274&lt;=Train_End)</f>
        <v>0</v>
      </c>
      <c r="T4274" s="84" t="n">
        <f aca="false">IF(AND(ISNUMBER(O4274),ISNUMBER(P4274)),Coef_A+Coef_B1*O4274+Coef_B2*P4274,"")</f>
        <v>21.2032996840973</v>
      </c>
      <c r="U4274" s="84" t="n">
        <f aca="false">IF(AND(R4274=1,ISNUMBER(T4274)),E4274-T4274,"")</f>
        <v>-0.903299684097302</v>
      </c>
      <c r="V4274" s="84" t="n">
        <f aca="false">IF(ISNUMBER(T4274),T4274,-99)</f>
        <v>21.2032996840973</v>
      </c>
      <c r="W4274" s="84" t="n">
        <f aca="false">IF(ISNUMBER(U4274),ABS(U4274),"")</f>
        <v>0.903299684097302</v>
      </c>
    </row>
    <row r="4275" customFormat="false" ht="15" hidden="false" customHeight="false" outlineLevel="0" collapsed="false">
      <c r="A4275" s="57" t="n">
        <v>38980</v>
      </c>
      <c r="B4275" s="56" t="n">
        <v>2006</v>
      </c>
      <c r="C4275" s="56" t="n">
        <v>9</v>
      </c>
      <c r="D4275" s="56" t="n">
        <v>143</v>
      </c>
      <c r="E4275" s="56" t="n">
        <v>22.9</v>
      </c>
      <c r="F4275" s="56" t="n">
        <v>0</v>
      </c>
      <c r="G4275" s="56" t="n">
        <v>11.5</v>
      </c>
      <c r="H4275" s="56" t="n">
        <v>0</v>
      </c>
      <c r="I4275" s="56" t="n">
        <v>17.2</v>
      </c>
      <c r="J4275" s="56" t="n">
        <v>0</v>
      </c>
      <c r="K4275" s="56" t="n">
        <v>1010</v>
      </c>
      <c r="L4275" s="56" t="n">
        <v>0</v>
      </c>
      <c r="M4275" s="56"/>
      <c r="N4275" s="56" t="n">
        <v>7.8</v>
      </c>
      <c r="O4275" s="56" t="n">
        <f aca="false">IF(D4275=1,"",E4274)</f>
        <v>20.3</v>
      </c>
      <c r="P4275" s="56" t="n">
        <f aca="false">IF(OR(D4275=1,K4274=""),"",K4274)</f>
        <v>1012</v>
      </c>
      <c r="Q4275" s="56" t="n">
        <f aca="false">IF(OR(F4275&lt;&gt;0,AND(I4275&lt;&gt;"",E4275&lt;I4275)),1,0)</f>
        <v>0</v>
      </c>
      <c r="R4275" s="56" t="n">
        <f aca="false">IF(AND(D4275&gt;1,Q4275=0,ISNUMBER(O4275),ISNUMBER(P4275)),IF(Q4274=0,1,0),0)</f>
        <v>1</v>
      </c>
      <c r="S4275" s="56" t="n">
        <f aca="false">R4275*(B4275&gt;=Train_Start)*(B4275&lt;=Train_End)</f>
        <v>0</v>
      </c>
      <c r="T4275" s="84" t="n">
        <f aca="false">IF(AND(ISNUMBER(O4275),ISNUMBER(P4275)),Coef_A+Coef_B1*O4275+Coef_B2*P4275,"")</f>
        <v>20.4658944103589</v>
      </c>
      <c r="U4275" s="84" t="n">
        <f aca="false">IF(AND(R4275=1,ISNUMBER(T4275)),E4275-T4275,"")</f>
        <v>2.43410558964109</v>
      </c>
      <c r="V4275" s="84" t="n">
        <f aca="false">IF(ISNUMBER(T4275),T4275,-99)</f>
        <v>20.4658944103589</v>
      </c>
      <c r="W4275" s="84" t="n">
        <f aca="false">IF(ISNUMBER(U4275),ABS(U4275),"")</f>
        <v>2.43410558964109</v>
      </c>
    </row>
    <row r="4276" customFormat="false" ht="15" hidden="false" customHeight="false" outlineLevel="0" collapsed="false">
      <c r="A4276" s="57" t="n">
        <v>38981</v>
      </c>
      <c r="B4276" s="56" t="n">
        <v>2006</v>
      </c>
      <c r="C4276" s="56" t="n">
        <v>9</v>
      </c>
      <c r="D4276" s="56" t="n">
        <v>144</v>
      </c>
      <c r="E4276" s="56" t="n">
        <v>27.8</v>
      </c>
      <c r="F4276" s="56" t="n">
        <v>0</v>
      </c>
      <c r="G4276" s="56" t="n">
        <v>16.5</v>
      </c>
      <c r="H4276" s="56" t="n">
        <v>0</v>
      </c>
      <c r="I4276" s="56" t="n">
        <v>22.2</v>
      </c>
      <c r="J4276" s="56" t="n">
        <v>0</v>
      </c>
      <c r="K4276" s="56" t="n">
        <v>1003.5</v>
      </c>
      <c r="L4276" s="56" t="n">
        <v>0</v>
      </c>
      <c r="M4276" s="56" t="n">
        <v>65</v>
      </c>
      <c r="N4276" s="56" t="n">
        <v>9.6</v>
      </c>
      <c r="O4276" s="56" t="n">
        <f aca="false">IF(D4276=1,"",E4275)</f>
        <v>22.9</v>
      </c>
      <c r="P4276" s="56" t="n">
        <f aca="false">IF(OR(D4276=1,K4275=""),"",K4275)</f>
        <v>1010</v>
      </c>
      <c r="Q4276" s="56" t="n">
        <f aca="false">IF(OR(F4276&lt;&gt;0,AND(I4276&lt;&gt;"",E4276&lt;I4276)),1,0)</f>
        <v>0</v>
      </c>
      <c r="R4276" s="56" t="n">
        <f aca="false">IF(AND(D4276&gt;1,Q4276=0,ISNUMBER(O4276),ISNUMBER(P4276)),IF(Q4275=0,1,0),0)</f>
        <v>1</v>
      </c>
      <c r="S4276" s="56" t="n">
        <f aca="false">R4276*(B4276&gt;=Train_Start)*(B4276&lt;=Train_End)</f>
        <v>0</v>
      </c>
      <c r="T4276" s="84" t="n">
        <f aca="false">IF(AND(ISNUMBER(O4276),ISNUMBER(P4276)),Coef_A+Coef_B1*O4276+Coef_B2*P4276,"")</f>
        <v>22.5334365230018</v>
      </c>
      <c r="U4276" s="84" t="n">
        <f aca="false">IF(AND(R4276=1,ISNUMBER(T4276)),E4276-T4276,"")</f>
        <v>5.26656347699816</v>
      </c>
      <c r="V4276" s="84" t="n">
        <f aca="false">IF(ISNUMBER(T4276),T4276,-99)</f>
        <v>22.5334365230018</v>
      </c>
      <c r="W4276" s="84" t="n">
        <f aca="false">IF(ISNUMBER(U4276),ABS(U4276),"")</f>
        <v>5.26656347699816</v>
      </c>
    </row>
    <row r="4277" customFormat="false" ht="15" hidden="false" customHeight="false" outlineLevel="0" collapsed="false">
      <c r="A4277" s="57" t="n">
        <v>38982</v>
      </c>
      <c r="B4277" s="56" t="n">
        <v>2006</v>
      </c>
      <c r="C4277" s="56" t="n">
        <v>9</v>
      </c>
      <c r="D4277" s="56" t="n">
        <v>145</v>
      </c>
      <c r="E4277" s="56" t="n">
        <v>18.5</v>
      </c>
      <c r="F4277" s="56" t="n">
        <v>0</v>
      </c>
      <c r="G4277" s="56" t="n">
        <v>15.8</v>
      </c>
      <c r="H4277" s="56" t="n">
        <v>0</v>
      </c>
      <c r="I4277" s="56" t="n">
        <v>17.2</v>
      </c>
      <c r="J4277" s="56" t="n">
        <v>0</v>
      </c>
      <c r="K4277" s="56" t="n">
        <v>1005.5</v>
      </c>
      <c r="L4277" s="56" t="n">
        <v>0</v>
      </c>
      <c r="M4277" s="56" t="n">
        <v>90</v>
      </c>
      <c r="N4277" s="56" t="n">
        <v>2.1</v>
      </c>
      <c r="O4277" s="56" t="n">
        <f aca="false">IF(D4277=1,"",E4276)</f>
        <v>27.8</v>
      </c>
      <c r="P4277" s="56" t="n">
        <f aca="false">IF(OR(D4277=1,K4276=""),"",K4276)</f>
        <v>1003.5</v>
      </c>
      <c r="Q4277" s="56" t="n">
        <f aca="false">IF(OR(F4277&lt;&gt;0,AND(I4277&lt;&gt;"",E4277&lt;I4277)),1,0)</f>
        <v>0</v>
      </c>
      <c r="R4277" s="56" t="n">
        <f aca="false">IF(AND(D4277&gt;1,Q4277=0,ISNUMBER(O4277),ISNUMBER(P4277)),IF(Q4276=0,1,0),0)</f>
        <v>1</v>
      </c>
      <c r="S4277" s="56" t="n">
        <f aca="false">R4277*(B4277&gt;=Train_Start)*(B4277&lt;=Train_End)</f>
        <v>0</v>
      </c>
      <c r="T4277" s="84" t="n">
        <f aca="false">IF(AND(ISNUMBER(O4277),ISNUMBER(P4277)),Coef_A+Coef_B1*O4277+Coef_B2*P4277,"")</f>
        <v>26.3442942537899</v>
      </c>
      <c r="U4277" s="84" t="n">
        <f aca="false">IF(AND(R4277=1,ISNUMBER(T4277)),E4277-T4277,"")</f>
        <v>-7.84429425378993</v>
      </c>
      <c r="V4277" s="84" t="n">
        <f aca="false">IF(ISNUMBER(T4277),T4277,-99)</f>
        <v>26.3442942537899</v>
      </c>
      <c r="W4277" s="84" t="n">
        <f aca="false">IF(ISNUMBER(U4277),ABS(U4277),"")</f>
        <v>7.84429425378993</v>
      </c>
    </row>
    <row r="4278" customFormat="false" ht="15" hidden="false" customHeight="false" outlineLevel="0" collapsed="false">
      <c r="A4278" s="57" t="n">
        <v>38983</v>
      </c>
      <c r="B4278" s="56" t="n">
        <v>2006</v>
      </c>
      <c r="C4278" s="56" t="n">
        <v>9</v>
      </c>
      <c r="D4278" s="56" t="n">
        <v>146</v>
      </c>
      <c r="E4278" s="56" t="n">
        <v>23.5</v>
      </c>
      <c r="F4278" s="56" t="n">
        <v>0</v>
      </c>
      <c r="G4278" s="56" t="n">
        <v>12.9</v>
      </c>
      <c r="H4278" s="56" t="n">
        <v>0</v>
      </c>
      <c r="I4278" s="56" t="n">
        <v>18.2</v>
      </c>
      <c r="J4278" s="56" t="n">
        <v>0</v>
      </c>
      <c r="K4278" s="56" t="n">
        <v>1008.5</v>
      </c>
      <c r="L4278" s="56" t="n">
        <v>0</v>
      </c>
      <c r="M4278" s="56" t="n">
        <v>81</v>
      </c>
      <c r="N4278" s="56" t="n">
        <v>8.6</v>
      </c>
      <c r="O4278" s="56" t="n">
        <f aca="false">IF(D4278=1,"",E4277)</f>
        <v>18.5</v>
      </c>
      <c r="P4278" s="56" t="n">
        <f aca="false">IF(OR(D4278=1,K4277=""),"",K4277)</f>
        <v>1005.5</v>
      </c>
      <c r="Q4278" s="56" t="n">
        <f aca="false">IF(OR(F4278&lt;&gt;0,AND(I4278&lt;&gt;"",E4278&lt;I4278)),1,0)</f>
        <v>0</v>
      </c>
      <c r="R4278" s="56" t="n">
        <f aca="false">IF(AND(D4278&gt;1,Q4278=0,ISNUMBER(O4278),ISNUMBER(P4278)),IF(Q4277=0,1,0),0)</f>
        <v>1</v>
      </c>
      <c r="S4278" s="56" t="n">
        <f aca="false">R4278*(B4278&gt;=Train_Start)*(B4278&lt;=Train_End)</f>
        <v>0</v>
      </c>
      <c r="T4278" s="84" t="n">
        <f aca="false">IF(AND(ISNUMBER(O4278),ISNUMBER(P4278)),Coef_A+Coef_B1*O4278+Coef_B2*P4278,"")</f>
        <v>18.7871795477612</v>
      </c>
      <c r="U4278" s="84" t="n">
        <f aca="false">IF(AND(R4278=1,ISNUMBER(T4278)),E4278-T4278,"")</f>
        <v>4.7128204522388</v>
      </c>
      <c r="V4278" s="84" t="n">
        <f aca="false">IF(ISNUMBER(T4278),T4278,-99)</f>
        <v>18.7871795477612</v>
      </c>
      <c r="W4278" s="84" t="n">
        <f aca="false">IF(ISNUMBER(U4278),ABS(U4278),"")</f>
        <v>4.7128204522388</v>
      </c>
    </row>
    <row r="4279" customFormat="false" ht="15" hidden="false" customHeight="false" outlineLevel="0" collapsed="false">
      <c r="A4279" s="57" t="n">
        <v>38984</v>
      </c>
      <c r="B4279" s="56" t="n">
        <v>2006</v>
      </c>
      <c r="C4279" s="56" t="n">
        <v>9</v>
      </c>
      <c r="D4279" s="56" t="n">
        <v>147</v>
      </c>
      <c r="E4279" s="56" t="n">
        <v>22.6</v>
      </c>
      <c r="F4279" s="56" t="n">
        <v>0</v>
      </c>
      <c r="G4279" s="56" t="n">
        <v>16</v>
      </c>
      <c r="H4279" s="56" t="n">
        <v>0</v>
      </c>
      <c r="I4279" s="56" t="n">
        <v>19.3</v>
      </c>
      <c r="J4279" s="56" t="n">
        <v>0</v>
      </c>
      <c r="K4279" s="56" t="n">
        <v>1004.8</v>
      </c>
      <c r="L4279" s="56" t="n">
        <v>0</v>
      </c>
      <c r="M4279" s="56" t="n">
        <v>78</v>
      </c>
      <c r="N4279" s="56" t="n">
        <v>6.7</v>
      </c>
      <c r="O4279" s="56" t="n">
        <f aca="false">IF(D4279=1,"",E4278)</f>
        <v>23.5</v>
      </c>
      <c r="P4279" s="56" t="n">
        <f aca="false">IF(OR(D4279=1,K4278=""),"",K4278)</f>
        <v>1008.5</v>
      </c>
      <c r="Q4279" s="56" t="n">
        <f aca="false">IF(OR(F4279&lt;&gt;0,AND(I4279&lt;&gt;"",E4279&lt;I4279)),1,0)</f>
        <v>0</v>
      </c>
      <c r="R4279" s="56" t="n">
        <f aca="false">IF(AND(D4279&gt;1,Q4279=0,ISNUMBER(O4279),ISNUMBER(P4279)),IF(Q4278=0,1,0),0)</f>
        <v>1</v>
      </c>
      <c r="S4279" s="56" t="n">
        <f aca="false">R4279*(B4279&gt;=Train_Start)*(B4279&lt;=Train_End)</f>
        <v>0</v>
      </c>
      <c r="T4279" s="84" t="n">
        <f aca="false">IF(AND(ISNUMBER(O4279),ISNUMBER(P4279)),Coef_A+Coef_B1*O4279+Coef_B2*P4279,"")</f>
        <v>22.9779851968765</v>
      </c>
      <c r="U4279" s="84" t="n">
        <f aca="false">IF(AND(R4279=1,ISNUMBER(T4279)),E4279-T4279,"")</f>
        <v>-0.377985196876452</v>
      </c>
      <c r="V4279" s="84" t="n">
        <f aca="false">IF(ISNUMBER(T4279),T4279,-99)</f>
        <v>22.9779851968765</v>
      </c>
      <c r="W4279" s="84" t="n">
        <f aca="false">IF(ISNUMBER(U4279),ABS(U4279),"")</f>
        <v>0.377985196876452</v>
      </c>
    </row>
    <row r="4280" customFormat="false" ht="15" hidden="false" customHeight="false" outlineLevel="0" collapsed="false">
      <c r="A4280" s="57" t="n">
        <v>38985</v>
      </c>
      <c r="B4280" s="56" t="n">
        <v>2006</v>
      </c>
      <c r="C4280" s="56" t="n">
        <v>9</v>
      </c>
      <c r="D4280" s="56" t="n">
        <v>148</v>
      </c>
      <c r="E4280" s="56" t="n">
        <v>19.7</v>
      </c>
      <c r="F4280" s="56" t="n">
        <v>0</v>
      </c>
      <c r="G4280" s="56" t="n">
        <v>15.4</v>
      </c>
      <c r="H4280" s="56" t="n">
        <v>0</v>
      </c>
      <c r="I4280" s="56" t="n">
        <v>17.6</v>
      </c>
      <c r="J4280" s="56" t="n">
        <v>0</v>
      </c>
      <c r="K4280" s="56" t="n">
        <v>1008.6</v>
      </c>
      <c r="L4280" s="56" t="n">
        <v>0</v>
      </c>
      <c r="M4280" s="56" t="n">
        <v>86</v>
      </c>
      <c r="N4280" s="56" t="n">
        <v>0.1</v>
      </c>
      <c r="O4280" s="56" t="n">
        <f aca="false">IF(D4280=1,"",E4279)</f>
        <v>22.6</v>
      </c>
      <c r="P4280" s="56" t="n">
        <f aca="false">IF(OR(D4280=1,K4279=""),"",K4279)</f>
        <v>1004.8</v>
      </c>
      <c r="Q4280" s="56" t="n">
        <f aca="false">IF(OR(F4280&lt;&gt;0,AND(I4280&lt;&gt;"",E4280&lt;I4280)),1,0)</f>
        <v>0</v>
      </c>
      <c r="R4280" s="56" t="n">
        <f aca="false">IF(AND(D4280&gt;1,Q4280=0,ISNUMBER(O4280),ISNUMBER(P4280)),IF(Q4279=0,1,0),0)</f>
        <v>1</v>
      </c>
      <c r="S4280" s="56" t="n">
        <f aca="false">R4280*(B4280&gt;=Train_Start)*(B4280&lt;=Train_End)</f>
        <v>0</v>
      </c>
      <c r="T4280" s="84" t="n">
        <f aca="false">IF(AND(ISNUMBER(O4280),ISNUMBER(P4280)),Coef_A+Coef_B1*O4280+Coef_B2*P4280,"")</f>
        <v>22.1245113129923</v>
      </c>
      <c r="U4280" s="84" t="n">
        <f aca="false">IF(AND(R4280=1,ISNUMBER(T4280)),E4280-T4280,"")</f>
        <v>-2.4245113129923</v>
      </c>
      <c r="V4280" s="84" t="n">
        <f aca="false">IF(ISNUMBER(T4280),T4280,-99)</f>
        <v>22.1245113129923</v>
      </c>
      <c r="W4280" s="84" t="n">
        <f aca="false">IF(ISNUMBER(U4280),ABS(U4280),"")</f>
        <v>2.4245113129923</v>
      </c>
    </row>
    <row r="4281" customFormat="false" ht="15" hidden="false" customHeight="false" outlineLevel="0" collapsed="false">
      <c r="A4281" s="57" t="n">
        <v>38986</v>
      </c>
      <c r="B4281" s="56" t="n">
        <v>2006</v>
      </c>
      <c r="C4281" s="56" t="n">
        <v>9</v>
      </c>
      <c r="D4281" s="56" t="n">
        <v>149</v>
      </c>
      <c r="E4281" s="56" t="n">
        <v>21.3</v>
      </c>
      <c r="F4281" s="56" t="n">
        <v>0</v>
      </c>
      <c r="G4281" s="56" t="n">
        <v>11.7</v>
      </c>
      <c r="H4281" s="56" t="n">
        <v>0</v>
      </c>
      <c r="I4281" s="56" t="n">
        <v>16.5</v>
      </c>
      <c r="J4281" s="56" t="n">
        <v>0</v>
      </c>
      <c r="K4281" s="56" t="n">
        <v>1016.6</v>
      </c>
      <c r="L4281" s="56" t="n">
        <v>0</v>
      </c>
      <c r="M4281" s="56" t="n">
        <v>75</v>
      </c>
      <c r="N4281" s="56" t="n">
        <v>8.9</v>
      </c>
      <c r="O4281" s="56" t="n">
        <f aca="false">IF(D4281=1,"",E4280)</f>
        <v>19.7</v>
      </c>
      <c r="P4281" s="56" t="n">
        <f aca="false">IF(OR(D4281=1,K4280=""),"",K4280)</f>
        <v>1008.6</v>
      </c>
      <c r="Q4281" s="56" t="n">
        <f aca="false">IF(OR(F4281&lt;&gt;0,AND(I4281&lt;&gt;"",E4281&lt;I4281)),1,0)</f>
        <v>0</v>
      </c>
      <c r="R4281" s="56" t="n">
        <f aca="false">IF(AND(D4281&gt;1,Q4281=0,ISNUMBER(O4281),ISNUMBER(P4281)),IF(Q4280=0,1,0),0)</f>
        <v>1</v>
      </c>
      <c r="S4281" s="56" t="n">
        <f aca="false">R4281*(B4281&gt;=Train_Start)*(B4281&lt;=Train_End)</f>
        <v>0</v>
      </c>
      <c r="T4281" s="84" t="n">
        <f aca="false">IF(AND(ISNUMBER(O4281),ISNUMBER(P4281)),Coef_A+Coef_B1*O4281+Coef_B2*P4281,"")</f>
        <v>19.8676332527778</v>
      </c>
      <c r="U4281" s="84" t="n">
        <f aca="false">IF(AND(R4281=1,ISNUMBER(T4281)),E4281-T4281,"")</f>
        <v>1.43236674722225</v>
      </c>
      <c r="V4281" s="84" t="n">
        <f aca="false">IF(ISNUMBER(T4281),T4281,-99)</f>
        <v>19.8676332527778</v>
      </c>
      <c r="W4281" s="84" t="n">
        <f aca="false">IF(ISNUMBER(U4281),ABS(U4281),"")</f>
        <v>1.43236674722225</v>
      </c>
    </row>
    <row r="4282" customFormat="false" ht="15" hidden="false" customHeight="false" outlineLevel="0" collapsed="false">
      <c r="A4282" s="57" t="n">
        <v>38987</v>
      </c>
      <c r="B4282" s="56" t="n">
        <v>2006</v>
      </c>
      <c r="C4282" s="56" t="n">
        <v>9</v>
      </c>
      <c r="D4282" s="56" t="n">
        <v>150</v>
      </c>
      <c r="E4282" s="56" t="n">
        <v>19.9</v>
      </c>
      <c r="F4282" s="56" t="n">
        <v>0</v>
      </c>
      <c r="G4282" s="56" t="n">
        <v>12.2</v>
      </c>
      <c r="H4282" s="56" t="n">
        <v>0</v>
      </c>
      <c r="I4282" s="56" t="n">
        <v>16</v>
      </c>
      <c r="J4282" s="56" t="n">
        <v>0</v>
      </c>
      <c r="K4282" s="56" t="n">
        <v>1013</v>
      </c>
      <c r="L4282" s="56" t="n">
        <v>0</v>
      </c>
      <c r="M4282" s="56" t="n">
        <v>80</v>
      </c>
      <c r="N4282" s="56" t="n">
        <v>0.8</v>
      </c>
      <c r="O4282" s="56" t="n">
        <f aca="false">IF(D4282=1,"",E4281)</f>
        <v>21.3</v>
      </c>
      <c r="P4282" s="56" t="n">
        <f aca="false">IF(OR(D4282=1,K4281=""),"",K4281)</f>
        <v>1016.6</v>
      </c>
      <c r="Q4282" s="56" t="n">
        <f aca="false">IF(OR(F4282&lt;&gt;0,AND(I4282&lt;&gt;"",E4282&lt;I4282)),1,0)</f>
        <v>0</v>
      </c>
      <c r="R4282" s="56" t="n">
        <f aca="false">IF(AND(D4282&gt;1,Q4282=0,ISNUMBER(O4282),ISNUMBER(P4282)),IF(Q4281=0,1,0),0)</f>
        <v>1</v>
      </c>
      <c r="S4282" s="56" t="n">
        <f aca="false">R4282*(B4282&gt;=Train_Start)*(B4282&lt;=Train_End)</f>
        <v>0</v>
      </c>
      <c r="T4282" s="84" t="n">
        <f aca="false">IF(AND(ISNUMBER(O4282),ISNUMBER(P4282)),Coef_A+Coef_B1*O4282+Coef_B2*P4282,"")</f>
        <v>21.4295351187179</v>
      </c>
      <c r="U4282" s="84" t="n">
        <f aca="false">IF(AND(R4282=1,ISNUMBER(T4282)),E4282-T4282,"")</f>
        <v>-1.52953511871792</v>
      </c>
      <c r="V4282" s="84" t="n">
        <f aca="false">IF(ISNUMBER(T4282),T4282,-99)</f>
        <v>21.4295351187179</v>
      </c>
      <c r="W4282" s="84" t="n">
        <f aca="false">IF(ISNUMBER(U4282),ABS(U4282),"")</f>
        <v>1.52953511871792</v>
      </c>
    </row>
    <row r="4283" customFormat="false" ht="15" hidden="false" customHeight="false" outlineLevel="0" collapsed="false">
      <c r="A4283" s="57" t="n">
        <v>38988</v>
      </c>
      <c r="B4283" s="56" t="n">
        <v>2006</v>
      </c>
      <c r="C4283" s="56" t="n">
        <v>9</v>
      </c>
      <c r="D4283" s="56" t="n">
        <v>151</v>
      </c>
      <c r="E4283" s="56" t="n">
        <v>20.1</v>
      </c>
      <c r="F4283" s="56" t="n">
        <v>0</v>
      </c>
      <c r="G4283" s="56" t="n">
        <v>15.9</v>
      </c>
      <c r="H4283" s="56" t="n">
        <v>0</v>
      </c>
      <c r="I4283" s="56" t="n">
        <v>18</v>
      </c>
      <c r="J4283" s="56" t="n">
        <v>0</v>
      </c>
      <c r="K4283" s="56" t="n">
        <v>1007.3</v>
      </c>
      <c r="L4283" s="56" t="n">
        <v>0</v>
      </c>
      <c r="M4283" s="56" t="n">
        <v>85</v>
      </c>
      <c r="N4283" s="56" t="n">
        <v>0.4</v>
      </c>
      <c r="O4283" s="56" t="n">
        <f aca="false">IF(D4283=1,"",E4282)</f>
        <v>19.9</v>
      </c>
      <c r="P4283" s="56" t="n">
        <f aca="false">IF(OR(D4283=1,K4282=""),"",K4282)</f>
        <v>1013</v>
      </c>
      <c r="Q4283" s="56" t="n">
        <f aca="false">IF(OR(F4283&lt;&gt;0,AND(I4283&lt;&gt;"",E4283&lt;I4283)),1,0)</f>
        <v>0</v>
      </c>
      <c r="R4283" s="56" t="n">
        <f aca="false">IF(AND(D4283&gt;1,Q4283=0,ISNUMBER(O4283),ISNUMBER(P4283)),IF(Q4282=0,1,0),0)</f>
        <v>1</v>
      </c>
      <c r="S4283" s="56" t="n">
        <f aca="false">R4283*(B4283&gt;=Train_Start)*(B4283&lt;=Train_End)</f>
        <v>0</v>
      </c>
      <c r="T4283" s="84" t="n">
        <f aca="false">IF(AND(ISNUMBER(O4283),ISNUMBER(P4283)),Coef_A+Coef_B1*O4283+Coef_B2*P4283,"")</f>
        <v>20.1695286277758</v>
      </c>
      <c r="U4283" s="84" t="n">
        <f aca="false">IF(AND(R4283=1,ISNUMBER(T4283)),E4283-T4283,"")</f>
        <v>-0.0695286277758349</v>
      </c>
      <c r="V4283" s="84" t="n">
        <f aca="false">IF(ISNUMBER(T4283),T4283,-99)</f>
        <v>20.1695286277758</v>
      </c>
      <c r="W4283" s="84" t="n">
        <f aca="false">IF(ISNUMBER(U4283),ABS(U4283),"")</f>
        <v>0.0695286277758349</v>
      </c>
    </row>
    <row r="4284" customFormat="false" ht="15" hidden="false" customHeight="false" outlineLevel="0" collapsed="false">
      <c r="A4284" s="57" t="n">
        <v>38989</v>
      </c>
      <c r="B4284" s="56" t="n">
        <v>2006</v>
      </c>
      <c r="C4284" s="56" t="n">
        <v>9</v>
      </c>
      <c r="D4284" s="56" t="n">
        <v>152</v>
      </c>
      <c r="E4284" s="56" t="n">
        <v>19.9</v>
      </c>
      <c r="F4284" s="56" t="n">
        <v>0</v>
      </c>
      <c r="G4284" s="56" t="n">
        <v>15.9</v>
      </c>
      <c r="H4284" s="56" t="n">
        <v>0</v>
      </c>
      <c r="I4284" s="56" t="n">
        <v>17.9</v>
      </c>
      <c r="J4284" s="56" t="n">
        <v>0</v>
      </c>
      <c r="K4284" s="56" t="n">
        <v>1003.9</v>
      </c>
      <c r="L4284" s="56" t="n">
        <v>0</v>
      </c>
      <c r="M4284" s="56" t="n">
        <v>86</v>
      </c>
      <c r="N4284" s="56" t="n">
        <v>0.6</v>
      </c>
      <c r="O4284" s="56" t="n">
        <f aca="false">IF(D4284=1,"",E4283)</f>
        <v>20.1</v>
      </c>
      <c r="P4284" s="56" t="n">
        <f aca="false">IF(OR(D4284=1,K4283=""),"",K4283)</f>
        <v>1007.3</v>
      </c>
      <c r="Q4284" s="56" t="n">
        <f aca="false">IF(OR(F4284&lt;&gt;0,AND(I4284&lt;&gt;"",E4284&lt;I4284)),1,0)</f>
        <v>0</v>
      </c>
      <c r="R4284" s="56" t="n">
        <f aca="false">IF(AND(D4284&gt;1,Q4284=0,ISNUMBER(O4284),ISNUMBER(P4284)),IF(Q4283=0,1,0),0)</f>
        <v>1</v>
      </c>
      <c r="S4284" s="56" t="n">
        <f aca="false">R4284*(B4284&gt;=Train_Start)*(B4284&lt;=Train_End)</f>
        <v>0</v>
      </c>
      <c r="T4284" s="84" t="n">
        <f aca="false">IF(AND(ISNUMBER(O4284),ISNUMBER(P4284)),Coef_A+Coef_B1*O4284+Coef_B2*P4284,"")</f>
        <v>20.1545880669706</v>
      </c>
      <c r="U4284" s="84" t="n">
        <f aca="false">IF(AND(R4284=1,ISNUMBER(T4284)),E4284-T4284,"")</f>
        <v>-0.254588066970634</v>
      </c>
      <c r="V4284" s="84" t="n">
        <f aca="false">IF(ISNUMBER(T4284),T4284,-99)</f>
        <v>20.1545880669706</v>
      </c>
      <c r="W4284" s="84" t="n">
        <f aca="false">IF(ISNUMBER(U4284),ABS(U4284),"")</f>
        <v>0.254588066970634</v>
      </c>
    </row>
    <row r="4285" customFormat="false" ht="15" hidden="false" customHeight="false" outlineLevel="0" collapsed="false">
      <c r="A4285" s="57" t="n">
        <v>38990</v>
      </c>
      <c r="B4285" s="56" t="n">
        <v>2006</v>
      </c>
      <c r="C4285" s="56" t="n">
        <v>9</v>
      </c>
      <c r="D4285" s="56" t="n">
        <v>153</v>
      </c>
      <c r="E4285" s="56" t="n">
        <v>19.4</v>
      </c>
      <c r="F4285" s="56" t="n">
        <v>0</v>
      </c>
      <c r="G4285" s="56" t="n">
        <v>11.8</v>
      </c>
      <c r="H4285" s="56" t="n">
        <v>0</v>
      </c>
      <c r="I4285" s="56" t="n">
        <v>15.6</v>
      </c>
      <c r="J4285" s="56" t="n">
        <v>0</v>
      </c>
      <c r="K4285" s="56" t="n">
        <v>1005.8</v>
      </c>
      <c r="L4285" s="56" t="n">
        <v>0</v>
      </c>
      <c r="M4285" s="56" t="n">
        <v>85</v>
      </c>
      <c r="N4285" s="56" t="n">
        <v>4.6</v>
      </c>
      <c r="O4285" s="56" t="n">
        <f aca="false">IF(D4285=1,"",E4284)</f>
        <v>19.9</v>
      </c>
      <c r="P4285" s="56" t="n">
        <f aca="false">IF(OR(D4285=1,K4284=""),"",K4284)</f>
        <v>1003.9</v>
      </c>
      <c r="Q4285" s="56" t="n">
        <f aca="false">IF(OR(F4285&lt;&gt;0,AND(I4285&lt;&gt;"",E4285&lt;I4285)),1,0)</f>
        <v>0</v>
      </c>
      <c r="R4285" s="56" t="n">
        <f aca="false">IF(AND(D4285&gt;1,Q4285=0,ISNUMBER(O4285),ISNUMBER(P4285)),IF(Q4284=0,1,0),0)</f>
        <v>1</v>
      </c>
      <c r="S4285" s="56" t="n">
        <f aca="false">R4285*(B4285&gt;=Train_Start)*(B4285&lt;=Train_End)</f>
        <v>0</v>
      </c>
      <c r="T4285" s="84" t="n">
        <f aca="false">IF(AND(ISNUMBER(O4285),ISNUMBER(P4285)),Coef_A+Coef_B1*O4285+Coef_B2*P4285,"")</f>
        <v>19.8840625866065</v>
      </c>
      <c r="U4285" s="84" t="n">
        <f aca="false">IF(AND(R4285=1,ISNUMBER(T4285)),E4285-T4285,"")</f>
        <v>-0.484062586606534</v>
      </c>
      <c r="V4285" s="84" t="n">
        <f aca="false">IF(ISNUMBER(T4285),T4285,-99)</f>
        <v>19.8840625866065</v>
      </c>
      <c r="W4285" s="84" t="n">
        <f aca="false">IF(ISNUMBER(U4285),ABS(U4285),"")</f>
        <v>0.484062586606534</v>
      </c>
    </row>
    <row r="4286" customFormat="false" ht="15" hidden="false" customHeight="false" outlineLevel="0" collapsed="false">
      <c r="A4286" s="57" t="n">
        <v>39203</v>
      </c>
      <c r="B4286" s="56" t="n">
        <v>2007</v>
      </c>
      <c r="C4286" s="56" t="n">
        <v>5</v>
      </c>
      <c r="D4286" s="56" t="n">
        <v>1</v>
      </c>
      <c r="E4286" s="56" t="n">
        <v>21.5</v>
      </c>
      <c r="F4286" s="56" t="n">
        <v>0</v>
      </c>
      <c r="G4286" s="56" t="n">
        <v>9.3</v>
      </c>
      <c r="H4286" s="56" t="n">
        <v>0</v>
      </c>
      <c r="I4286" s="56" t="n">
        <v>15.4</v>
      </c>
      <c r="J4286" s="56" t="n">
        <v>0</v>
      </c>
      <c r="K4286" s="56" t="n">
        <v>1014</v>
      </c>
      <c r="L4286" s="56" t="n">
        <v>0</v>
      </c>
      <c r="M4286" s="56" t="n">
        <v>55</v>
      </c>
      <c r="N4286" s="56" t="n">
        <v>13.3</v>
      </c>
      <c r="O4286" s="56" t="str">
        <f aca="false">IF(D4286=1,"",E4285)</f>
        <v/>
      </c>
      <c r="P4286" s="56" t="str">
        <f aca="false">IF(OR(D4286=1,K4285=""),"",K4285)</f>
        <v/>
      </c>
      <c r="Q4286" s="56" t="n">
        <f aca="false">IF(OR(F4286&lt;&gt;0,AND(I4286&lt;&gt;"",E4286&lt;I4286)),1,0)</f>
        <v>0</v>
      </c>
      <c r="R4286" s="56" t="n">
        <f aca="false">IF(AND(D4286&gt;1,Q4286=0,ISNUMBER(O4286),ISNUMBER(P4286)),IF(Q4285=0,1,0),0)</f>
        <v>0</v>
      </c>
      <c r="S4286" s="56" t="n">
        <f aca="false">R4286*(B4286&gt;=Train_Start)*(B4286&lt;=Train_End)</f>
        <v>0</v>
      </c>
      <c r="T4286" s="84" t="str">
        <f aca="false">IF(AND(ISNUMBER(O4286),ISNUMBER(P4286)),Coef_A+Coef_B1*O4286+Coef_B2*P4286,"")</f>
        <v/>
      </c>
      <c r="U4286" s="84" t="str">
        <f aca="false">IF(AND(R4286=1,ISNUMBER(T4286)),E4286-T4286,"")</f>
        <v/>
      </c>
      <c r="V4286" s="84" t="n">
        <f aca="false">IF(ISNUMBER(T4286),T4286,-99)</f>
        <v>-99</v>
      </c>
      <c r="W4286" s="84" t="str">
        <f aca="false">IF(ISNUMBER(U4286),ABS(U4286),"")</f>
        <v/>
      </c>
    </row>
    <row r="4287" customFormat="false" ht="15" hidden="false" customHeight="false" outlineLevel="0" collapsed="false">
      <c r="A4287" s="57" t="n">
        <v>39204</v>
      </c>
      <c r="B4287" s="56" t="n">
        <v>2007</v>
      </c>
      <c r="C4287" s="56" t="n">
        <v>5</v>
      </c>
      <c r="D4287" s="56" t="n">
        <v>2</v>
      </c>
      <c r="E4287" s="56" t="n">
        <v>22.1</v>
      </c>
      <c r="F4287" s="56" t="n">
        <v>0</v>
      </c>
      <c r="G4287" s="56" t="n">
        <v>8.9</v>
      </c>
      <c r="H4287" s="56" t="n">
        <v>0</v>
      </c>
      <c r="I4287" s="56" t="n">
        <v>15.5</v>
      </c>
      <c r="J4287" s="56" t="n">
        <v>0</v>
      </c>
      <c r="K4287" s="56" t="n">
        <v>1015.2</v>
      </c>
      <c r="L4287" s="56" t="n">
        <v>0</v>
      </c>
      <c r="M4287" s="56" t="n">
        <v>51</v>
      </c>
      <c r="N4287" s="56" t="n">
        <v>13.5</v>
      </c>
      <c r="O4287" s="56" t="n">
        <f aca="false">IF(D4287=1,"",E4286)</f>
        <v>21.5</v>
      </c>
      <c r="P4287" s="56" t="n">
        <f aca="false">IF(OR(D4287=1,K4286=""),"",K4286)</f>
        <v>1014</v>
      </c>
      <c r="Q4287" s="56" t="n">
        <f aca="false">IF(OR(F4287&lt;&gt;0,AND(I4287&lt;&gt;"",E4287&lt;I4287)),1,0)</f>
        <v>0</v>
      </c>
      <c r="R4287" s="56" t="n">
        <f aca="false">IF(AND(D4287&gt;1,Q4287=0,ISNUMBER(O4287),ISNUMBER(P4287)),IF(Q4286=0,1,0),0)</f>
        <v>1</v>
      </c>
      <c r="S4287" s="56" t="n">
        <f aca="false">R4287*(B4287&gt;=Train_Start)*(B4287&lt;=Train_End)</f>
        <v>0</v>
      </c>
      <c r="T4287" s="84" t="n">
        <f aca="false">IF(AND(ISNUMBER(O4287),ISNUMBER(P4287)),Coef_A+Coef_B1*O4287+Coef_B2*P4287,"")</f>
        <v>21.5118412312781</v>
      </c>
      <c r="U4287" s="84" t="n">
        <f aca="false">IF(AND(R4287=1,ISNUMBER(T4287)),E4287-T4287,"")</f>
        <v>0.588158768721922</v>
      </c>
      <c r="V4287" s="84" t="n">
        <f aca="false">IF(ISNUMBER(T4287),T4287,-99)</f>
        <v>21.5118412312781</v>
      </c>
      <c r="W4287" s="84" t="n">
        <f aca="false">IF(ISNUMBER(U4287),ABS(U4287),"")</f>
        <v>0.588158768721922</v>
      </c>
    </row>
    <row r="4288" customFormat="false" ht="15" hidden="false" customHeight="false" outlineLevel="0" collapsed="false">
      <c r="A4288" s="57" t="n">
        <v>39205</v>
      </c>
      <c r="B4288" s="56" t="n">
        <v>2007</v>
      </c>
      <c r="C4288" s="56" t="n">
        <v>5</v>
      </c>
      <c r="D4288" s="56" t="n">
        <v>3</v>
      </c>
      <c r="E4288" s="56" t="n">
        <v>15.4</v>
      </c>
      <c r="F4288" s="56" t="n">
        <v>0</v>
      </c>
      <c r="G4288" s="56" t="n">
        <v>7.4</v>
      </c>
      <c r="H4288" s="56" t="n">
        <v>0</v>
      </c>
      <c r="I4288" s="56" t="n">
        <v>11.4</v>
      </c>
      <c r="J4288" s="56" t="n">
        <v>0</v>
      </c>
      <c r="K4288" s="56" t="n">
        <v>1017.5</v>
      </c>
      <c r="L4288" s="56" t="n">
        <v>0</v>
      </c>
      <c r="M4288" s="56" t="n">
        <v>72</v>
      </c>
      <c r="N4288" s="56" t="n">
        <v>6.4</v>
      </c>
      <c r="O4288" s="56" t="n">
        <f aca="false">IF(D4288=1,"",E4287)</f>
        <v>22.1</v>
      </c>
      <c r="P4288" s="56" t="n">
        <f aca="false">IF(OR(D4288=1,K4287=""),"",K4287)</f>
        <v>1015.2</v>
      </c>
      <c r="Q4288" s="56" t="n">
        <f aca="false">IF(OR(F4288&lt;&gt;0,AND(I4288&lt;&gt;"",E4288&lt;I4288)),1,0)</f>
        <v>0</v>
      </c>
      <c r="R4288" s="56" t="n">
        <f aca="false">IF(AND(D4288&gt;1,Q4288=0,ISNUMBER(O4288),ISNUMBER(P4288)),IF(Q4287=0,1,0),0)</f>
        <v>1</v>
      </c>
      <c r="S4288" s="56" t="n">
        <f aca="false">R4288*(B4288&gt;=Train_Start)*(B4288&lt;=Train_End)</f>
        <v>0</v>
      </c>
      <c r="T4288" s="84" t="n">
        <f aca="false">IF(AND(ISNUMBER(O4288),ISNUMBER(P4288)),Coef_A+Coef_B1*O4288+Coef_B2*P4288,"")</f>
        <v>22.0410886206645</v>
      </c>
      <c r="U4288" s="84" t="n">
        <f aca="false">IF(AND(R4288=1,ISNUMBER(T4288)),E4288-T4288,"")</f>
        <v>-6.64108862066446</v>
      </c>
      <c r="V4288" s="84" t="n">
        <f aca="false">IF(ISNUMBER(T4288),T4288,-99)</f>
        <v>22.0410886206645</v>
      </c>
      <c r="W4288" s="84" t="n">
        <f aca="false">IF(ISNUMBER(U4288),ABS(U4288),"")</f>
        <v>6.64108862066446</v>
      </c>
    </row>
    <row r="4289" customFormat="false" ht="15" hidden="false" customHeight="false" outlineLevel="0" collapsed="false">
      <c r="A4289" s="57" t="n">
        <v>39206</v>
      </c>
      <c r="B4289" s="56" t="n">
        <v>2007</v>
      </c>
      <c r="C4289" s="56" t="n">
        <v>5</v>
      </c>
      <c r="D4289" s="56" t="n">
        <v>4</v>
      </c>
      <c r="E4289" s="56" t="n">
        <v>17.5</v>
      </c>
      <c r="F4289" s="56" t="n">
        <v>0</v>
      </c>
      <c r="G4289" s="56" t="n">
        <v>8.6</v>
      </c>
      <c r="H4289" s="56" t="n">
        <v>0</v>
      </c>
      <c r="I4289" s="56" t="n">
        <v>13</v>
      </c>
      <c r="J4289" s="56" t="n">
        <v>0</v>
      </c>
      <c r="K4289" s="56" t="n">
        <v>1016.5</v>
      </c>
      <c r="L4289" s="56" t="n">
        <v>0</v>
      </c>
      <c r="M4289" s="56" t="n">
        <v>67</v>
      </c>
      <c r="N4289" s="56" t="n">
        <v>6.9</v>
      </c>
      <c r="O4289" s="56" t="n">
        <f aca="false">IF(D4289=1,"",E4288)</f>
        <v>15.4</v>
      </c>
      <c r="P4289" s="56" t="n">
        <f aca="false">IF(OR(D4289=1,K4288=""),"",K4288)</f>
        <v>1017.5</v>
      </c>
      <c r="Q4289" s="56" t="n">
        <f aca="false">IF(OR(F4289&lt;&gt;0,AND(I4289&lt;&gt;"",E4289&lt;I4289)),1,0)</f>
        <v>0</v>
      </c>
      <c r="R4289" s="56" t="n">
        <f aca="false">IF(AND(D4289&gt;1,Q4289=0,ISNUMBER(O4289),ISNUMBER(P4289)),IF(Q4288=0,1,0),0)</f>
        <v>1</v>
      </c>
      <c r="S4289" s="56" t="n">
        <f aca="false">R4289*(B4289&gt;=Train_Start)*(B4289&lt;=Train_End)</f>
        <v>0</v>
      </c>
      <c r="T4289" s="84" t="n">
        <f aca="false">IF(AND(ISNUMBER(O4289),ISNUMBER(P4289)),Coef_A+Coef_B1*O4289+Coef_B2*P4289,"")</f>
        <v>16.6236667849368</v>
      </c>
      <c r="U4289" s="84" t="n">
        <f aca="false">IF(AND(R4289=1,ISNUMBER(T4289)),E4289-T4289,"")</f>
        <v>0.876333215063166</v>
      </c>
      <c r="V4289" s="84" t="n">
        <f aca="false">IF(ISNUMBER(T4289),T4289,-99)</f>
        <v>16.6236667849368</v>
      </c>
      <c r="W4289" s="84" t="n">
        <f aca="false">IF(ISNUMBER(U4289),ABS(U4289),"")</f>
        <v>0.876333215063166</v>
      </c>
    </row>
    <row r="4290" customFormat="false" ht="15" hidden="false" customHeight="false" outlineLevel="0" collapsed="false">
      <c r="A4290" s="57" t="n">
        <v>39207</v>
      </c>
      <c r="B4290" s="56" t="n">
        <v>2007</v>
      </c>
      <c r="C4290" s="56" t="n">
        <v>5</v>
      </c>
      <c r="D4290" s="56" t="n">
        <v>5</v>
      </c>
      <c r="E4290" s="56" t="n">
        <v>14.9</v>
      </c>
      <c r="F4290" s="56" t="n">
        <v>0</v>
      </c>
      <c r="G4290" s="56" t="n">
        <v>9.1</v>
      </c>
      <c r="H4290" s="56" t="n">
        <v>0</v>
      </c>
      <c r="I4290" s="56" t="n">
        <v>12</v>
      </c>
      <c r="J4290" s="56" t="n">
        <v>0</v>
      </c>
      <c r="K4290" s="56" t="n">
        <v>1019.5</v>
      </c>
      <c r="L4290" s="56" t="n">
        <v>0</v>
      </c>
      <c r="M4290" s="56" t="n">
        <v>68</v>
      </c>
      <c r="N4290" s="56" t="n">
        <v>4.6</v>
      </c>
      <c r="O4290" s="56" t="n">
        <f aca="false">IF(D4290=1,"",E4289)</f>
        <v>17.5</v>
      </c>
      <c r="P4290" s="56" t="n">
        <f aca="false">IF(OR(D4290=1,K4289=""),"",K4289)</f>
        <v>1016.5</v>
      </c>
      <c r="Q4290" s="56" t="n">
        <f aca="false">IF(OR(F4290&lt;&gt;0,AND(I4290&lt;&gt;"",E4290&lt;I4290)),1,0)</f>
        <v>0</v>
      </c>
      <c r="R4290" s="56" t="n">
        <f aca="false">IF(AND(D4290&gt;1,Q4290=0,ISNUMBER(O4290),ISNUMBER(P4290)),IF(Q4289=0,1,0),0)</f>
        <v>1</v>
      </c>
      <c r="S4290" s="56" t="n">
        <f aca="false">R4290*(B4290&gt;=Train_Start)*(B4290&lt;=Train_End)</f>
        <v>0</v>
      </c>
      <c r="T4290" s="84" t="n">
        <f aca="false">IF(AND(ISNUMBER(O4290),ISNUMBER(P4290)),Coef_A+Coef_B1*O4290+Coef_B2*P4290,"")</f>
        <v>18.3129091956924</v>
      </c>
      <c r="U4290" s="84" t="n">
        <f aca="false">IF(AND(R4290=1,ISNUMBER(T4290)),E4290-T4290,"")</f>
        <v>-3.41290919569242</v>
      </c>
      <c r="V4290" s="84" t="n">
        <f aca="false">IF(ISNUMBER(T4290),T4290,-99)</f>
        <v>18.3129091956924</v>
      </c>
      <c r="W4290" s="84" t="n">
        <f aca="false">IF(ISNUMBER(U4290),ABS(U4290),"")</f>
        <v>3.41290919569242</v>
      </c>
    </row>
    <row r="4291" customFormat="false" ht="15" hidden="false" customHeight="false" outlineLevel="0" collapsed="false">
      <c r="A4291" s="57" t="n">
        <v>39208</v>
      </c>
      <c r="B4291" s="56" t="n">
        <v>2007</v>
      </c>
      <c r="C4291" s="56" t="n">
        <v>5</v>
      </c>
      <c r="D4291" s="56" t="n">
        <v>6</v>
      </c>
      <c r="E4291" s="56" t="n">
        <v>20.4</v>
      </c>
      <c r="F4291" s="56" t="n">
        <v>0</v>
      </c>
      <c r="G4291" s="56" t="n">
        <v>8.1</v>
      </c>
      <c r="H4291" s="56" t="n">
        <v>0</v>
      </c>
      <c r="I4291" s="56" t="n">
        <v>14.2</v>
      </c>
      <c r="J4291" s="56" t="n">
        <v>0</v>
      </c>
      <c r="K4291" s="56" t="n">
        <v>1016.2</v>
      </c>
      <c r="L4291" s="56" t="n">
        <v>0</v>
      </c>
      <c r="M4291" s="56" t="n">
        <v>67</v>
      </c>
      <c r="N4291" s="56" t="n">
        <v>0.6</v>
      </c>
      <c r="O4291" s="56" t="n">
        <f aca="false">IF(D4291=1,"",E4290)</f>
        <v>14.9</v>
      </c>
      <c r="P4291" s="56" t="n">
        <f aca="false">IF(OR(D4291=1,K4290=""),"",K4290)</f>
        <v>1019.5</v>
      </c>
      <c r="Q4291" s="56" t="n">
        <f aca="false">IF(OR(F4291&lt;&gt;0,AND(I4291&lt;&gt;"",E4291&lt;I4291)),1,0)</f>
        <v>0</v>
      </c>
      <c r="R4291" s="56" t="n">
        <f aca="false">IF(AND(D4291&gt;1,Q4291=0,ISNUMBER(O4291),ISNUMBER(P4291)),IF(Q4290=0,1,0),0)</f>
        <v>1</v>
      </c>
      <c r="S4291" s="56" t="n">
        <f aca="false">R4291*(B4291&gt;=Train_Start)*(B4291&lt;=Train_End)</f>
        <v>0</v>
      </c>
      <c r="T4291" s="84" t="n">
        <f aca="false">IF(AND(ISNUMBER(O4291),ISNUMBER(P4291)),Coef_A+Coef_B1*O4291+Coef_B2*P4291,"")</f>
        <v>16.2767369776835</v>
      </c>
      <c r="U4291" s="84" t="n">
        <f aca="false">IF(AND(R4291=1,ISNUMBER(T4291)),E4291-T4291,"")</f>
        <v>4.12326302231652</v>
      </c>
      <c r="V4291" s="84" t="n">
        <f aca="false">IF(ISNUMBER(T4291),T4291,-99)</f>
        <v>16.2767369776835</v>
      </c>
      <c r="W4291" s="84" t="n">
        <f aca="false">IF(ISNUMBER(U4291),ABS(U4291),"")</f>
        <v>4.12326302231652</v>
      </c>
    </row>
    <row r="4292" customFormat="false" ht="15" hidden="false" customHeight="false" outlineLevel="0" collapsed="false">
      <c r="A4292" s="57" t="n">
        <v>39209</v>
      </c>
      <c r="B4292" s="56" t="n">
        <v>2007</v>
      </c>
      <c r="C4292" s="56" t="n">
        <v>5</v>
      </c>
      <c r="D4292" s="56" t="n">
        <v>7</v>
      </c>
      <c r="E4292" s="56" t="n">
        <v>19.2</v>
      </c>
      <c r="F4292" s="56" t="n">
        <v>0</v>
      </c>
      <c r="G4292" s="56" t="n">
        <v>13.6</v>
      </c>
      <c r="H4292" s="56" t="n">
        <v>0</v>
      </c>
      <c r="I4292" s="56" t="n">
        <v>16.4</v>
      </c>
      <c r="J4292" s="56" t="n">
        <v>0</v>
      </c>
      <c r="K4292" s="56" t="n">
        <v>1009.6</v>
      </c>
      <c r="L4292" s="56" t="n">
        <v>0</v>
      </c>
      <c r="M4292" s="56" t="n">
        <v>78</v>
      </c>
      <c r="N4292" s="56" t="n">
        <v>5</v>
      </c>
      <c r="O4292" s="56" t="n">
        <f aca="false">IF(D4292=1,"",E4291)</f>
        <v>20.4</v>
      </c>
      <c r="P4292" s="56" t="n">
        <f aca="false">IF(OR(D4292=1,K4291=""),"",K4291)</f>
        <v>1016.2</v>
      </c>
      <c r="Q4292" s="56" t="n">
        <f aca="false">IF(OR(F4292&lt;&gt;0,AND(I4292&lt;&gt;"",E4292&lt;I4292)),1,0)</f>
        <v>0</v>
      </c>
      <c r="R4292" s="56" t="n">
        <f aca="false">IF(AND(D4292&gt;1,Q4292=0,ISNUMBER(O4292),ISNUMBER(P4292)),IF(Q4291=0,1,0),0)</f>
        <v>1</v>
      </c>
      <c r="S4292" s="56" t="n">
        <f aca="false">R4292*(B4292&gt;=Train_Start)*(B4292&lt;=Train_End)</f>
        <v>0</v>
      </c>
      <c r="T4292" s="84" t="n">
        <f aca="false">IF(AND(ISNUMBER(O4292),ISNUMBER(P4292)),Coef_A+Coef_B1*O4292+Coef_B2*P4292,"")</f>
        <v>20.6795818871259</v>
      </c>
      <c r="U4292" s="84" t="n">
        <f aca="false">IF(AND(R4292=1,ISNUMBER(T4292)),E4292-T4292,"")</f>
        <v>-1.47958188712594</v>
      </c>
      <c r="V4292" s="84" t="n">
        <f aca="false">IF(ISNUMBER(T4292),T4292,-99)</f>
        <v>20.6795818871259</v>
      </c>
      <c r="W4292" s="84" t="n">
        <f aca="false">IF(ISNUMBER(U4292),ABS(U4292),"")</f>
        <v>1.47958188712594</v>
      </c>
    </row>
    <row r="4293" customFormat="false" ht="15" hidden="false" customHeight="false" outlineLevel="0" collapsed="false">
      <c r="A4293" s="57" t="n">
        <v>39210</v>
      </c>
      <c r="B4293" s="56" t="n">
        <v>2007</v>
      </c>
      <c r="C4293" s="56" t="n">
        <v>5</v>
      </c>
      <c r="D4293" s="56" t="n">
        <v>8</v>
      </c>
      <c r="E4293" s="56" t="n">
        <v>20</v>
      </c>
      <c r="F4293" s="56" t="n">
        <v>0</v>
      </c>
      <c r="G4293" s="56" t="n">
        <v>10.3</v>
      </c>
      <c r="H4293" s="56" t="n">
        <v>0</v>
      </c>
      <c r="I4293" s="56" t="n">
        <v>15.2</v>
      </c>
      <c r="J4293" s="56" t="n">
        <v>0</v>
      </c>
      <c r="K4293" s="56" t="n">
        <v>1011.2</v>
      </c>
      <c r="L4293" s="56" t="n">
        <v>0</v>
      </c>
      <c r="M4293" s="56" t="n">
        <v>67</v>
      </c>
      <c r="N4293" s="56" t="n">
        <v>4</v>
      </c>
      <c r="O4293" s="56" t="n">
        <f aca="false">IF(D4293=1,"",E4292)</f>
        <v>19.2</v>
      </c>
      <c r="P4293" s="56" t="n">
        <f aca="false">IF(OR(D4293=1,K4292=""),"",K4292)</f>
        <v>1009.6</v>
      </c>
      <c r="Q4293" s="56" t="n">
        <f aca="false">IF(OR(F4293&lt;&gt;0,AND(I4293&lt;&gt;"",E4293&lt;I4293)),1,0)</f>
        <v>0</v>
      </c>
      <c r="R4293" s="56" t="n">
        <f aca="false">IF(AND(D4293&gt;1,Q4293=0,ISNUMBER(O4293),ISNUMBER(P4293)),IF(Q4292=0,1,0),0)</f>
        <v>1</v>
      </c>
      <c r="S4293" s="56" t="n">
        <f aca="false">R4293*(B4293&gt;=Train_Start)*(B4293&lt;=Train_End)</f>
        <v>0</v>
      </c>
      <c r="T4293" s="84" t="n">
        <f aca="false">IF(AND(ISNUMBER(O4293),ISNUMBER(P4293)),Coef_A+Coef_B1*O4293+Coef_B2*P4293,"")</f>
        <v>19.4893335508904</v>
      </c>
      <c r="U4293" s="84" t="n">
        <f aca="false">IF(AND(R4293=1,ISNUMBER(T4293)),E4293-T4293,"")</f>
        <v>0.510666449109586</v>
      </c>
      <c r="V4293" s="84" t="n">
        <f aca="false">IF(ISNUMBER(T4293),T4293,-99)</f>
        <v>19.4893335508904</v>
      </c>
      <c r="W4293" s="84" t="n">
        <f aca="false">IF(ISNUMBER(U4293),ABS(U4293),"")</f>
        <v>0.510666449109586</v>
      </c>
    </row>
    <row r="4294" customFormat="false" ht="15" hidden="false" customHeight="false" outlineLevel="0" collapsed="false">
      <c r="A4294" s="57" t="n">
        <v>39211</v>
      </c>
      <c r="B4294" s="56" t="n">
        <v>2007</v>
      </c>
      <c r="C4294" s="56" t="n">
        <v>5</v>
      </c>
      <c r="D4294" s="56" t="n">
        <v>9</v>
      </c>
      <c r="E4294" s="56" t="n">
        <v>15</v>
      </c>
      <c r="F4294" s="56" t="n">
        <v>0</v>
      </c>
      <c r="G4294" s="56" t="n">
        <v>9.9</v>
      </c>
      <c r="H4294" s="56" t="n">
        <v>0</v>
      </c>
      <c r="I4294" s="56" t="n">
        <v>12.4</v>
      </c>
      <c r="J4294" s="56" t="n">
        <v>0</v>
      </c>
      <c r="K4294" s="56" t="n">
        <v>1012</v>
      </c>
      <c r="L4294" s="56" t="n">
        <v>0</v>
      </c>
      <c r="M4294" s="56" t="n">
        <v>85</v>
      </c>
      <c r="N4294" s="56" t="n">
        <v>0</v>
      </c>
      <c r="O4294" s="56" t="n">
        <f aca="false">IF(D4294=1,"",E4293)</f>
        <v>20</v>
      </c>
      <c r="P4294" s="56" t="n">
        <f aca="false">IF(OR(D4294=1,K4293=""),"",K4293)</f>
        <v>1011.2</v>
      </c>
      <c r="Q4294" s="56" t="n">
        <f aca="false">IF(OR(F4294&lt;&gt;0,AND(I4294&lt;&gt;"",E4294&lt;I4294)),1,0)</f>
        <v>0</v>
      </c>
      <c r="R4294" s="56" t="n">
        <f aca="false">IF(AND(D4294&gt;1,Q4294=0,ISNUMBER(O4294),ISNUMBER(P4294)),IF(Q4293=0,1,0),0)</f>
        <v>1</v>
      </c>
      <c r="S4294" s="56" t="n">
        <f aca="false">R4294*(B4294&gt;=Train_Start)*(B4294&lt;=Train_End)</f>
        <v>0</v>
      </c>
      <c r="T4294" s="84" t="n">
        <f aca="false">IF(AND(ISNUMBER(O4294),ISNUMBER(P4294)),Coef_A+Coef_B1*O4294+Coef_B2*P4294,"")</f>
        <v>20.1949967367389</v>
      </c>
      <c r="U4294" s="84" t="n">
        <f aca="false">IF(AND(R4294=1,ISNUMBER(T4294)),E4294-T4294,"")</f>
        <v>-5.19499673673892</v>
      </c>
      <c r="V4294" s="84" t="n">
        <f aca="false">IF(ISNUMBER(T4294),T4294,-99)</f>
        <v>20.1949967367389</v>
      </c>
      <c r="W4294" s="84" t="n">
        <f aca="false">IF(ISNUMBER(U4294),ABS(U4294),"")</f>
        <v>5.19499673673892</v>
      </c>
    </row>
    <row r="4295" customFormat="false" ht="15" hidden="false" customHeight="false" outlineLevel="0" collapsed="false">
      <c r="A4295" s="57" t="n">
        <v>39212</v>
      </c>
      <c r="B4295" s="56" t="n">
        <v>2007</v>
      </c>
      <c r="C4295" s="56" t="n">
        <v>5</v>
      </c>
      <c r="D4295" s="56" t="n">
        <v>10</v>
      </c>
      <c r="E4295" s="56" t="n">
        <v>16.8</v>
      </c>
      <c r="F4295" s="56" t="n">
        <v>0</v>
      </c>
      <c r="G4295" s="56" t="n">
        <v>10</v>
      </c>
      <c r="H4295" s="56" t="n">
        <v>0</v>
      </c>
      <c r="I4295" s="56" t="n">
        <v>13.4</v>
      </c>
      <c r="J4295" s="56" t="n">
        <v>0</v>
      </c>
      <c r="K4295" s="56" t="n">
        <v>1004.9</v>
      </c>
      <c r="L4295" s="56" t="n">
        <v>0</v>
      </c>
      <c r="M4295" s="56" t="n">
        <v>84</v>
      </c>
      <c r="N4295" s="56" t="n">
        <v>2.2</v>
      </c>
      <c r="O4295" s="56" t="n">
        <f aca="false">IF(D4295=1,"",E4294)</f>
        <v>15</v>
      </c>
      <c r="P4295" s="56" t="n">
        <f aca="false">IF(OR(D4295=1,K4294=""),"",K4294)</f>
        <v>1012</v>
      </c>
      <c r="Q4295" s="56" t="n">
        <f aca="false">IF(OR(F4295&lt;&gt;0,AND(I4295&lt;&gt;"",E4295&lt;I4295)),1,0)</f>
        <v>0</v>
      </c>
      <c r="R4295" s="56" t="n">
        <f aca="false">IF(AND(D4295&gt;1,Q4295=0,ISNUMBER(O4295),ISNUMBER(P4295)),IF(Q4294=0,1,0),0)</f>
        <v>1</v>
      </c>
      <c r="S4295" s="56" t="n">
        <f aca="false">R4295*(B4295&gt;=Train_Start)*(B4295&lt;=Train_End)</f>
        <v>0</v>
      </c>
      <c r="T4295" s="84" t="n">
        <f aca="false">IF(AND(ISNUMBER(O4295),ISNUMBER(P4295)),Coef_A+Coef_B1*O4295+Coef_B2*P4295,"")</f>
        <v>16.1233966872328</v>
      </c>
      <c r="U4295" s="84" t="n">
        <f aca="false">IF(AND(R4295=1,ISNUMBER(T4295)),E4295-T4295,"")</f>
        <v>0.676603312767174</v>
      </c>
      <c r="V4295" s="84" t="n">
        <f aca="false">IF(ISNUMBER(T4295),T4295,-99)</f>
        <v>16.1233966872328</v>
      </c>
      <c r="W4295" s="84" t="n">
        <f aca="false">IF(ISNUMBER(U4295),ABS(U4295),"")</f>
        <v>0.676603312767174</v>
      </c>
    </row>
    <row r="4296" customFormat="false" ht="15" hidden="false" customHeight="false" outlineLevel="0" collapsed="false">
      <c r="A4296" s="57" t="n">
        <v>39213</v>
      </c>
      <c r="B4296" s="56" t="n">
        <v>2007</v>
      </c>
      <c r="C4296" s="56" t="n">
        <v>5</v>
      </c>
      <c r="D4296" s="56" t="n">
        <v>11</v>
      </c>
      <c r="E4296" s="56" t="n">
        <v>16.7</v>
      </c>
      <c r="F4296" s="56" t="n">
        <v>0</v>
      </c>
      <c r="G4296" s="56" t="n">
        <v>8.2</v>
      </c>
      <c r="H4296" s="56" t="n">
        <v>0</v>
      </c>
      <c r="I4296" s="56" t="n">
        <v>12.4</v>
      </c>
      <c r="J4296" s="56" t="n">
        <v>0</v>
      </c>
      <c r="K4296" s="56" t="n">
        <v>1001.8</v>
      </c>
      <c r="L4296" s="56" t="n">
        <v>0</v>
      </c>
      <c r="M4296" s="56" t="n">
        <v>83</v>
      </c>
      <c r="N4296" s="56" t="n">
        <v>3.1</v>
      </c>
      <c r="O4296" s="56" t="n">
        <f aca="false">IF(D4296=1,"",E4295)</f>
        <v>16.8</v>
      </c>
      <c r="P4296" s="56" t="n">
        <f aca="false">IF(OR(D4296=1,K4295=""),"",K4295)</f>
        <v>1004.9</v>
      </c>
      <c r="Q4296" s="56" t="n">
        <f aca="false">IF(OR(F4296&lt;&gt;0,AND(I4296&lt;&gt;"",E4296&lt;I4296)),1,0)</f>
        <v>0</v>
      </c>
      <c r="R4296" s="56" t="n">
        <f aca="false">IF(AND(D4296&gt;1,Q4296=0,ISNUMBER(O4296),ISNUMBER(P4296)),IF(Q4295=0,1,0),0)</f>
        <v>1</v>
      </c>
      <c r="S4296" s="56" t="n">
        <f aca="false">R4296*(B4296&gt;=Train_Start)*(B4296&lt;=Train_End)</f>
        <v>0</v>
      </c>
      <c r="T4296" s="84" t="n">
        <f aca="false">IF(AND(ISNUMBER(O4296),ISNUMBER(P4296)),Coef_A+Coef_B1*O4296+Coef_B2*P4296,"")</f>
        <v>17.3754809828083</v>
      </c>
      <c r="U4296" s="84" t="n">
        <f aca="false">IF(AND(R4296=1,ISNUMBER(T4296)),E4296-T4296,"")</f>
        <v>-0.675480982808285</v>
      </c>
      <c r="V4296" s="84" t="n">
        <f aca="false">IF(ISNUMBER(T4296),T4296,-99)</f>
        <v>17.3754809828083</v>
      </c>
      <c r="W4296" s="84" t="n">
        <f aca="false">IF(ISNUMBER(U4296),ABS(U4296),"")</f>
        <v>0.675480982808285</v>
      </c>
    </row>
    <row r="4297" customFormat="false" ht="15" hidden="false" customHeight="false" outlineLevel="0" collapsed="false">
      <c r="A4297" s="57" t="n">
        <v>39214</v>
      </c>
      <c r="B4297" s="56" t="n">
        <v>2007</v>
      </c>
      <c r="C4297" s="56" t="n">
        <v>5</v>
      </c>
      <c r="D4297" s="56" t="n">
        <v>12</v>
      </c>
      <c r="E4297" s="56" t="n">
        <v>17.3</v>
      </c>
      <c r="F4297" s="56" t="n">
        <v>0</v>
      </c>
      <c r="G4297" s="56" t="n">
        <v>10</v>
      </c>
      <c r="H4297" s="56" t="n">
        <v>0</v>
      </c>
      <c r="I4297" s="56" t="n">
        <v>13.6</v>
      </c>
      <c r="J4297" s="56" t="n">
        <v>0</v>
      </c>
      <c r="K4297" s="56" t="n">
        <v>1003.5</v>
      </c>
      <c r="L4297" s="56" t="n">
        <v>0</v>
      </c>
      <c r="M4297" s="56" t="n">
        <v>80</v>
      </c>
      <c r="N4297" s="56" t="n">
        <v>3.3</v>
      </c>
      <c r="O4297" s="56" t="n">
        <f aca="false">IF(D4297=1,"",E4296)</f>
        <v>16.7</v>
      </c>
      <c r="P4297" s="56" t="n">
        <f aca="false">IF(OR(D4297=1,K4296=""),"",K4296)</f>
        <v>1001.8</v>
      </c>
      <c r="Q4297" s="56" t="n">
        <f aca="false">IF(OR(F4297&lt;&gt;0,AND(I4297&lt;&gt;"",E4297&lt;I4297)),1,0)</f>
        <v>0</v>
      </c>
      <c r="R4297" s="56" t="n">
        <f aca="false">IF(AND(D4297&gt;1,Q4297=0,ISNUMBER(O4297),ISNUMBER(P4297)),IF(Q4296=0,1,0),0)</f>
        <v>1</v>
      </c>
      <c r="S4297" s="56" t="n">
        <f aca="false">R4297*(B4297&gt;=Train_Start)*(B4297&lt;=Train_End)</f>
        <v>0</v>
      </c>
      <c r="T4297" s="84" t="n">
        <f aca="false">IF(AND(ISNUMBER(O4297),ISNUMBER(P4297)),Coef_A+Coef_B1*O4297+Coef_B2*P4297,"")</f>
        <v>17.1963003901387</v>
      </c>
      <c r="U4297" s="84" t="n">
        <f aca="false">IF(AND(R4297=1,ISNUMBER(T4297)),E4297-T4297,"")</f>
        <v>0.103699609861351</v>
      </c>
      <c r="V4297" s="84" t="n">
        <f aca="false">IF(ISNUMBER(T4297),T4297,-99)</f>
        <v>17.1963003901387</v>
      </c>
      <c r="W4297" s="84" t="n">
        <f aca="false">IF(ISNUMBER(U4297),ABS(U4297),"")</f>
        <v>0.103699609861351</v>
      </c>
    </row>
    <row r="4298" customFormat="false" ht="15" hidden="false" customHeight="false" outlineLevel="0" collapsed="false">
      <c r="A4298" s="57" t="n">
        <v>39215</v>
      </c>
      <c r="B4298" s="56" t="n">
        <v>2007</v>
      </c>
      <c r="C4298" s="56" t="n">
        <v>5</v>
      </c>
      <c r="D4298" s="56" t="n">
        <v>13</v>
      </c>
      <c r="E4298" s="56" t="n">
        <v>15.3</v>
      </c>
      <c r="F4298" s="56" t="n">
        <v>0</v>
      </c>
      <c r="G4298" s="56" t="n">
        <v>10.4</v>
      </c>
      <c r="H4298" s="56" t="n">
        <v>0</v>
      </c>
      <c r="I4298" s="56" t="n">
        <v>12.8</v>
      </c>
      <c r="J4298" s="56" t="n">
        <v>0</v>
      </c>
      <c r="K4298" s="56" t="n">
        <v>1000.2</v>
      </c>
      <c r="L4298" s="56" t="n">
        <v>0</v>
      </c>
      <c r="M4298" s="56" t="n">
        <v>89</v>
      </c>
      <c r="N4298" s="56" t="n">
        <v>0.7</v>
      </c>
      <c r="O4298" s="56" t="n">
        <f aca="false">IF(D4298=1,"",E4297)</f>
        <v>17.3</v>
      </c>
      <c r="P4298" s="56" t="n">
        <f aca="false">IF(OR(D4298=1,K4297=""),"",K4297)</f>
        <v>1003.5</v>
      </c>
      <c r="Q4298" s="56" t="n">
        <f aca="false">IF(OR(F4298&lt;&gt;0,AND(I4298&lt;&gt;"",E4298&lt;I4298)),1,0)</f>
        <v>0</v>
      </c>
      <c r="R4298" s="56" t="n">
        <f aca="false">IF(AND(D4298&gt;1,Q4298=0,ISNUMBER(O4298),ISNUMBER(P4298)),IF(Q4297=0,1,0),0)</f>
        <v>1</v>
      </c>
      <c r="S4298" s="56" t="n">
        <f aca="false">R4298*(B4298&gt;=Train_Start)*(B4298&lt;=Train_End)</f>
        <v>0</v>
      </c>
      <c r="T4298" s="84" t="n">
        <f aca="false">IF(AND(ISNUMBER(O4298),ISNUMBER(P4298)),Coef_A+Coef_B1*O4298+Coef_B2*P4298,"")</f>
        <v>17.741232726842</v>
      </c>
      <c r="U4298" s="84" t="n">
        <f aca="false">IF(AND(R4298=1,ISNUMBER(T4298)),E4298-T4298,"")</f>
        <v>-2.44123272684203</v>
      </c>
      <c r="V4298" s="84" t="n">
        <f aca="false">IF(ISNUMBER(T4298),T4298,-99)</f>
        <v>17.741232726842</v>
      </c>
      <c r="W4298" s="84" t="n">
        <f aca="false">IF(ISNUMBER(U4298),ABS(U4298),"")</f>
        <v>2.44123272684203</v>
      </c>
    </row>
    <row r="4299" customFormat="false" ht="15" hidden="false" customHeight="false" outlineLevel="0" collapsed="false">
      <c r="A4299" s="57" t="n">
        <v>39216</v>
      </c>
      <c r="B4299" s="56" t="n">
        <v>2007</v>
      </c>
      <c r="C4299" s="56" t="n">
        <v>5</v>
      </c>
      <c r="D4299" s="56" t="n">
        <v>14</v>
      </c>
      <c r="E4299" s="56" t="n">
        <v>11.9</v>
      </c>
      <c r="F4299" s="56" t="n">
        <v>0</v>
      </c>
      <c r="G4299" s="56" t="n">
        <v>11</v>
      </c>
      <c r="H4299" s="56" t="n">
        <v>0</v>
      </c>
      <c r="I4299" s="56" t="n">
        <v>11.4</v>
      </c>
      <c r="J4299" s="56" t="n">
        <v>0</v>
      </c>
      <c r="K4299" s="56" t="n">
        <v>1005.2</v>
      </c>
      <c r="L4299" s="56" t="n">
        <v>0</v>
      </c>
      <c r="M4299" s="56" t="n">
        <v>85</v>
      </c>
      <c r="N4299" s="56" t="n">
        <v>1</v>
      </c>
      <c r="O4299" s="56" t="n">
        <f aca="false">IF(D4299=1,"",E4298)</f>
        <v>15.3</v>
      </c>
      <c r="P4299" s="56" t="n">
        <f aca="false">IF(OR(D4299=1,K4298=""),"",K4298)</f>
        <v>1000.2</v>
      </c>
      <c r="Q4299" s="56" t="n">
        <f aca="false">IF(OR(F4299&lt;&gt;0,AND(I4299&lt;&gt;"",E4299&lt;I4299)),1,0)</f>
        <v>0</v>
      </c>
      <c r="R4299" s="56" t="n">
        <f aca="false">IF(AND(D4299&gt;1,Q4299=0,ISNUMBER(O4299),ISNUMBER(P4299)),IF(Q4298=0,1,0),0)</f>
        <v>1</v>
      </c>
      <c r="S4299" s="56" t="n">
        <f aca="false">R4299*(B4299&gt;=Train_Start)*(B4299&lt;=Train_End)</f>
        <v>0</v>
      </c>
      <c r="T4299" s="84" t="n">
        <f aca="false">IF(AND(ISNUMBER(O4299),ISNUMBER(P4299)),Coef_A+Coef_B1*O4299+Coef_B2*P4299,"")</f>
        <v>15.9990336884646</v>
      </c>
      <c r="U4299" s="84" t="n">
        <f aca="false">IF(AND(R4299=1,ISNUMBER(T4299)),E4299-T4299,"")</f>
        <v>-4.09903368846455</v>
      </c>
      <c r="V4299" s="84" t="n">
        <f aca="false">IF(ISNUMBER(T4299),T4299,-99)</f>
        <v>15.9990336884646</v>
      </c>
      <c r="W4299" s="84" t="n">
        <f aca="false">IF(ISNUMBER(U4299),ABS(U4299),"")</f>
        <v>4.09903368846455</v>
      </c>
    </row>
    <row r="4300" customFormat="false" ht="15" hidden="false" customHeight="false" outlineLevel="0" collapsed="false">
      <c r="A4300" s="57" t="n">
        <v>39217</v>
      </c>
      <c r="B4300" s="56" t="n">
        <v>2007</v>
      </c>
      <c r="C4300" s="56" t="n">
        <v>5</v>
      </c>
      <c r="D4300" s="56" t="n">
        <v>15</v>
      </c>
      <c r="E4300" s="56" t="n">
        <v>16.9</v>
      </c>
      <c r="F4300" s="56" t="n">
        <v>0</v>
      </c>
      <c r="G4300" s="56" t="n">
        <v>5.7</v>
      </c>
      <c r="H4300" s="56" t="n">
        <v>0</v>
      </c>
      <c r="I4300" s="56" t="n">
        <v>11.3</v>
      </c>
      <c r="J4300" s="56" t="n">
        <v>0</v>
      </c>
      <c r="K4300" s="56" t="n">
        <v>1012.3</v>
      </c>
      <c r="L4300" s="56" t="n">
        <v>0</v>
      </c>
      <c r="M4300" s="56" t="n">
        <v>85</v>
      </c>
      <c r="N4300" s="56" t="n">
        <v>1.2</v>
      </c>
      <c r="O4300" s="56" t="n">
        <f aca="false">IF(D4300=1,"",E4299)</f>
        <v>11.9</v>
      </c>
      <c r="P4300" s="56" t="n">
        <f aca="false">IF(OR(D4300=1,K4299=""),"",K4299)</f>
        <v>1005.2</v>
      </c>
      <c r="Q4300" s="56" t="n">
        <f aca="false">IF(OR(F4300&lt;&gt;0,AND(I4300&lt;&gt;"",E4300&lt;I4300)),1,0)</f>
        <v>0</v>
      </c>
      <c r="R4300" s="56" t="n">
        <f aca="false">IF(AND(D4300&gt;1,Q4300=0,ISNUMBER(O4300),ISNUMBER(P4300)),IF(Q4299=0,1,0),0)</f>
        <v>1</v>
      </c>
      <c r="S4300" s="56" t="n">
        <f aca="false">R4300*(B4300&gt;=Train_Start)*(B4300&lt;=Train_End)</f>
        <v>0</v>
      </c>
      <c r="T4300" s="84" t="n">
        <f aca="false">IF(AND(ISNUMBER(O4300),ISNUMBER(P4300)),Coef_A+Coef_B1*O4300+Coef_B2*P4300,"")</f>
        <v>13.3701299052895</v>
      </c>
      <c r="U4300" s="84" t="n">
        <f aca="false">IF(AND(R4300=1,ISNUMBER(T4300)),E4300-T4300,"")</f>
        <v>3.52987009471054</v>
      </c>
      <c r="V4300" s="84" t="n">
        <f aca="false">IF(ISNUMBER(T4300),T4300,-99)</f>
        <v>13.3701299052895</v>
      </c>
      <c r="W4300" s="84" t="n">
        <f aca="false">IF(ISNUMBER(U4300),ABS(U4300),"")</f>
        <v>3.52987009471054</v>
      </c>
    </row>
    <row r="4301" customFormat="false" ht="15" hidden="false" customHeight="false" outlineLevel="0" collapsed="false">
      <c r="A4301" s="57" t="n">
        <v>39218</v>
      </c>
      <c r="B4301" s="56" t="n">
        <v>2007</v>
      </c>
      <c r="C4301" s="56" t="n">
        <v>5</v>
      </c>
      <c r="D4301" s="56" t="n">
        <v>16</v>
      </c>
      <c r="E4301" s="56" t="n">
        <v>16.2</v>
      </c>
      <c r="F4301" s="56" t="n">
        <v>0</v>
      </c>
      <c r="G4301" s="56" t="n">
        <v>10.1</v>
      </c>
      <c r="H4301" s="56" t="n">
        <v>0</v>
      </c>
      <c r="I4301" s="56" t="n">
        <v>13.2</v>
      </c>
      <c r="J4301" s="56" t="n">
        <v>0</v>
      </c>
      <c r="K4301" s="56" t="n">
        <v>1012.1</v>
      </c>
      <c r="L4301" s="56" t="n">
        <v>0</v>
      </c>
      <c r="M4301" s="56" t="n">
        <v>84</v>
      </c>
      <c r="N4301" s="56" t="n">
        <v>1.4</v>
      </c>
      <c r="O4301" s="56" t="n">
        <f aca="false">IF(D4301=1,"",E4300)</f>
        <v>16.9</v>
      </c>
      <c r="P4301" s="56" t="n">
        <f aca="false">IF(OR(D4301=1,K4300=""),"",K4300)</f>
        <v>1012.3</v>
      </c>
      <c r="Q4301" s="56" t="n">
        <f aca="false">IF(OR(F4301&lt;&gt;0,AND(I4301&lt;&gt;"",E4301&lt;I4301)),1,0)</f>
        <v>0</v>
      </c>
      <c r="R4301" s="56" t="n">
        <f aca="false">IF(AND(D4301&gt;1,Q4301=0,ISNUMBER(O4301),ISNUMBER(P4301)),IF(Q4300=0,1,0),0)</f>
        <v>1</v>
      </c>
      <c r="S4301" s="56" t="n">
        <f aca="false">R4301*(B4301&gt;=Train_Start)*(B4301&lt;=Train_End)</f>
        <v>0</v>
      </c>
      <c r="T4301" s="84" t="n">
        <f aca="false">IF(AND(ISNUMBER(O4301),ISNUMBER(P4301)),Coef_A+Coef_B1*O4301+Coef_B2*P4301,"")</f>
        <v>17.6895521224041</v>
      </c>
      <c r="U4301" s="84" t="n">
        <f aca="false">IF(AND(R4301=1,ISNUMBER(T4301)),E4301-T4301,"")</f>
        <v>-1.48955212240407</v>
      </c>
      <c r="V4301" s="84" t="n">
        <f aca="false">IF(ISNUMBER(T4301),T4301,-99)</f>
        <v>17.6895521224041</v>
      </c>
      <c r="W4301" s="84" t="n">
        <f aca="false">IF(ISNUMBER(U4301),ABS(U4301),"")</f>
        <v>1.48955212240407</v>
      </c>
    </row>
    <row r="4302" customFormat="false" ht="15" hidden="false" customHeight="false" outlineLevel="0" collapsed="false">
      <c r="A4302" s="57" t="n">
        <v>39219</v>
      </c>
      <c r="B4302" s="56" t="n">
        <v>2007</v>
      </c>
      <c r="C4302" s="56" t="n">
        <v>5</v>
      </c>
      <c r="D4302" s="56" t="n">
        <v>17</v>
      </c>
      <c r="E4302" s="56" t="n">
        <v>19.2</v>
      </c>
      <c r="F4302" s="56" t="n">
        <v>0</v>
      </c>
      <c r="G4302" s="56" t="n">
        <v>12.1</v>
      </c>
      <c r="H4302" s="56" t="n">
        <v>0</v>
      </c>
      <c r="I4302" s="56" t="n">
        <v>15.6</v>
      </c>
      <c r="J4302" s="56" t="n">
        <v>0</v>
      </c>
      <c r="K4302" s="56" t="n">
        <v>1012.6</v>
      </c>
      <c r="L4302" s="56" t="n">
        <v>0</v>
      </c>
      <c r="M4302" s="56" t="n">
        <v>85</v>
      </c>
      <c r="N4302" s="56" t="n">
        <v>1</v>
      </c>
      <c r="O4302" s="56" t="n">
        <f aca="false">IF(D4302=1,"",E4301)</f>
        <v>16.2</v>
      </c>
      <c r="P4302" s="56" t="n">
        <f aca="false">IF(OR(D4302=1,K4301=""),"",K4301)</f>
        <v>1012.1</v>
      </c>
      <c r="Q4302" s="56" t="n">
        <f aca="false">IF(OR(F4302&lt;&gt;0,AND(I4302&lt;&gt;"",E4302&lt;I4302)),1,0)</f>
        <v>0</v>
      </c>
      <c r="R4302" s="56" t="n">
        <f aca="false">IF(AND(D4302&gt;1,Q4302=0,ISNUMBER(O4302),ISNUMBER(P4302)),IF(Q4301=0,1,0),0)</f>
        <v>1</v>
      </c>
      <c r="S4302" s="56" t="n">
        <f aca="false">R4302*(B4302&gt;=Train_Start)*(B4302&lt;=Train_End)</f>
        <v>0</v>
      </c>
      <c r="T4302" s="84" t="n">
        <f aca="false">IF(AND(ISNUMBER(O4302),ISNUMBER(P4302)),Coef_A+Coef_B1*O4302+Coef_B2*P4302,"")</f>
        <v>17.1097407083474</v>
      </c>
      <c r="U4302" s="84" t="n">
        <f aca="false">IF(AND(R4302=1,ISNUMBER(T4302)),E4302-T4302,"")</f>
        <v>2.09025929165258</v>
      </c>
      <c r="V4302" s="84" t="n">
        <f aca="false">IF(ISNUMBER(T4302),T4302,-99)</f>
        <v>17.1097407083474</v>
      </c>
      <c r="W4302" s="84" t="n">
        <f aca="false">IF(ISNUMBER(U4302),ABS(U4302),"")</f>
        <v>2.09025929165258</v>
      </c>
    </row>
    <row r="4303" customFormat="false" ht="15" hidden="false" customHeight="false" outlineLevel="0" collapsed="false">
      <c r="A4303" s="57" t="n">
        <v>39220</v>
      </c>
      <c r="B4303" s="56" t="n">
        <v>2007</v>
      </c>
      <c r="C4303" s="56" t="n">
        <v>5</v>
      </c>
      <c r="D4303" s="56" t="n">
        <v>18</v>
      </c>
      <c r="E4303" s="56" t="n">
        <v>21.4</v>
      </c>
      <c r="F4303" s="56" t="n">
        <v>0</v>
      </c>
      <c r="G4303" s="56" t="n">
        <v>12.7</v>
      </c>
      <c r="H4303" s="56" t="n">
        <v>0</v>
      </c>
      <c r="I4303" s="56" t="n">
        <v>17</v>
      </c>
      <c r="J4303" s="56" t="n">
        <v>0</v>
      </c>
      <c r="K4303" s="56" t="n">
        <v>1011.8</v>
      </c>
      <c r="L4303" s="56" t="n">
        <v>0</v>
      </c>
      <c r="M4303" s="56" t="n">
        <v>78</v>
      </c>
      <c r="N4303" s="56" t="n">
        <v>6.5</v>
      </c>
      <c r="O4303" s="56" t="n">
        <f aca="false">IF(D4303=1,"",E4302)</f>
        <v>19.2</v>
      </c>
      <c r="P4303" s="56" t="n">
        <f aca="false">IF(OR(D4303=1,K4302=""),"",K4302)</f>
        <v>1012.6</v>
      </c>
      <c r="Q4303" s="56" t="n">
        <f aca="false">IF(OR(F4303&lt;&gt;0,AND(I4303&lt;&gt;"",E4303&lt;I4303)),1,0)</f>
        <v>0</v>
      </c>
      <c r="R4303" s="56" t="n">
        <f aca="false">IF(AND(D4303&gt;1,Q4303=0,ISNUMBER(O4303),ISNUMBER(P4303)),IF(Q4302=0,1,0),0)</f>
        <v>1</v>
      </c>
      <c r="S4303" s="56" t="n">
        <f aca="false">R4303*(B4303&gt;=Train_Start)*(B4303&lt;=Train_End)</f>
        <v>0</v>
      </c>
      <c r="T4303" s="84" t="n">
        <f aca="false">IF(AND(ISNUMBER(O4303),ISNUMBER(P4303)),Coef_A+Coef_B1*O4303+Coef_B2*P4303,"")</f>
        <v>19.5834432347924</v>
      </c>
      <c r="U4303" s="84" t="n">
        <f aca="false">IF(AND(R4303=1,ISNUMBER(T4303)),E4303-T4303,"")</f>
        <v>1.81655676520761</v>
      </c>
      <c r="V4303" s="84" t="n">
        <f aca="false">IF(ISNUMBER(T4303),T4303,-99)</f>
        <v>19.5834432347924</v>
      </c>
      <c r="W4303" s="84" t="n">
        <f aca="false">IF(ISNUMBER(U4303),ABS(U4303),"")</f>
        <v>1.81655676520761</v>
      </c>
    </row>
    <row r="4304" customFormat="false" ht="15" hidden="false" customHeight="false" outlineLevel="0" collapsed="false">
      <c r="A4304" s="57" t="n">
        <v>39221</v>
      </c>
      <c r="B4304" s="56" t="n">
        <v>2007</v>
      </c>
      <c r="C4304" s="56" t="n">
        <v>5</v>
      </c>
      <c r="D4304" s="56" t="n">
        <v>19</v>
      </c>
      <c r="E4304" s="56" t="n">
        <v>18</v>
      </c>
      <c r="F4304" s="56" t="n">
        <v>0</v>
      </c>
      <c r="G4304" s="56" t="n">
        <v>9.3</v>
      </c>
      <c r="H4304" s="56" t="n">
        <v>0</v>
      </c>
      <c r="I4304" s="56" t="n">
        <v>13.6</v>
      </c>
      <c r="J4304" s="56" t="n">
        <v>0</v>
      </c>
      <c r="K4304" s="56" t="n">
        <v>1012</v>
      </c>
      <c r="L4304" s="56" t="n">
        <v>0</v>
      </c>
      <c r="M4304" s="56" t="n">
        <v>62</v>
      </c>
      <c r="N4304" s="56" t="n">
        <v>8</v>
      </c>
      <c r="O4304" s="56" t="n">
        <f aca="false">IF(D4304=1,"",E4303)</f>
        <v>21.4</v>
      </c>
      <c r="P4304" s="56" t="n">
        <f aca="false">IF(OR(D4304=1,K4303=""),"",K4303)</f>
        <v>1011.8</v>
      </c>
      <c r="Q4304" s="56" t="n">
        <f aca="false">IF(OR(F4304&lt;&gt;0,AND(I4304&lt;&gt;"",E4304&lt;I4304)),1,0)</f>
        <v>0</v>
      </c>
      <c r="R4304" s="56" t="n">
        <f aca="false">IF(AND(D4304&gt;1,Q4304=0,ISNUMBER(O4304),ISNUMBER(P4304)),IF(Q4303=0,1,0),0)</f>
        <v>1</v>
      </c>
      <c r="S4304" s="56" t="n">
        <f aca="false">R4304*(B4304&gt;=Train_Start)*(B4304&lt;=Train_End)</f>
        <v>0</v>
      </c>
      <c r="T4304" s="84" t="n">
        <f aca="false">IF(AND(ISNUMBER(O4304),ISNUMBER(P4304)),Coef_A+Coef_B1*O4304+Coef_B2*P4304,"")</f>
        <v>21.360893543779</v>
      </c>
      <c r="U4304" s="84" t="n">
        <f aca="false">IF(AND(R4304=1,ISNUMBER(T4304)),E4304-T4304,"")</f>
        <v>-3.36089354377904</v>
      </c>
      <c r="V4304" s="84" t="n">
        <f aca="false">IF(ISNUMBER(T4304),T4304,-99)</f>
        <v>21.360893543779</v>
      </c>
      <c r="W4304" s="84" t="n">
        <f aca="false">IF(ISNUMBER(U4304),ABS(U4304),"")</f>
        <v>3.36089354377904</v>
      </c>
    </row>
    <row r="4305" customFormat="false" ht="15" hidden="false" customHeight="false" outlineLevel="0" collapsed="false">
      <c r="A4305" s="57" t="n">
        <v>39222</v>
      </c>
      <c r="B4305" s="56" t="n">
        <v>2007</v>
      </c>
      <c r="C4305" s="56" t="n">
        <v>5</v>
      </c>
      <c r="D4305" s="56" t="n">
        <v>20</v>
      </c>
      <c r="E4305" s="56" t="n">
        <v>19.7</v>
      </c>
      <c r="F4305" s="56" t="n">
        <v>0</v>
      </c>
      <c r="G4305" s="56" t="n">
        <v>7.1</v>
      </c>
      <c r="H4305" s="56" t="n">
        <v>0</v>
      </c>
      <c r="I4305" s="56" t="n">
        <v>13.4</v>
      </c>
      <c r="J4305" s="56" t="n">
        <v>0</v>
      </c>
      <c r="K4305" s="56" t="n">
        <v>1015.5</v>
      </c>
      <c r="L4305" s="56" t="n">
        <v>0</v>
      </c>
      <c r="M4305" s="56" t="n">
        <v>62</v>
      </c>
      <c r="N4305" s="56" t="n">
        <v>7.7</v>
      </c>
      <c r="O4305" s="56" t="n">
        <f aca="false">IF(D4305=1,"",E4304)</f>
        <v>18</v>
      </c>
      <c r="P4305" s="56" t="n">
        <f aca="false">IF(OR(D4305=1,K4304=""),"",K4304)</f>
        <v>1012</v>
      </c>
      <c r="Q4305" s="56" t="n">
        <f aca="false">IF(OR(F4305&lt;&gt;0,AND(I4305&lt;&gt;"",E4305&lt;I4305)),1,0)</f>
        <v>0</v>
      </c>
      <c r="R4305" s="56" t="n">
        <f aca="false">IF(AND(D4305&gt;1,Q4305=0,ISNUMBER(O4305),ISNUMBER(P4305)),IF(Q4304=0,1,0),0)</f>
        <v>1</v>
      </c>
      <c r="S4305" s="56" t="n">
        <f aca="false">R4305*(B4305&gt;=Train_Start)*(B4305&lt;=Train_End)</f>
        <v>0</v>
      </c>
      <c r="T4305" s="84" t="n">
        <f aca="false">IF(AND(ISNUMBER(O4305),ISNUMBER(P4305)),Coef_A+Coef_B1*O4305+Coef_B2*P4305,"")</f>
        <v>18.5814142663608</v>
      </c>
      <c r="U4305" s="84" t="n">
        <f aca="false">IF(AND(R4305=1,ISNUMBER(T4305)),E4305-T4305,"")</f>
        <v>1.1185857336392</v>
      </c>
      <c r="V4305" s="84" t="n">
        <f aca="false">IF(ISNUMBER(T4305),T4305,-99)</f>
        <v>18.5814142663608</v>
      </c>
      <c r="W4305" s="84" t="n">
        <f aca="false">IF(ISNUMBER(U4305),ABS(U4305),"")</f>
        <v>1.1185857336392</v>
      </c>
    </row>
    <row r="4306" customFormat="false" ht="15" hidden="false" customHeight="false" outlineLevel="0" collapsed="false">
      <c r="A4306" s="57" t="n">
        <v>39223</v>
      </c>
      <c r="B4306" s="56" t="n">
        <v>2007</v>
      </c>
      <c r="C4306" s="56" t="n">
        <v>5</v>
      </c>
      <c r="D4306" s="56" t="n">
        <v>21</v>
      </c>
      <c r="E4306" s="56" t="n">
        <v>16.5</v>
      </c>
      <c r="F4306" s="56" t="n">
        <v>0</v>
      </c>
      <c r="G4306" s="56" t="n">
        <v>11.6</v>
      </c>
      <c r="H4306" s="56" t="n">
        <v>0</v>
      </c>
      <c r="I4306" s="56" t="n">
        <v>14</v>
      </c>
      <c r="J4306" s="56" t="n">
        <v>0</v>
      </c>
      <c r="K4306" s="56" t="n">
        <v>1017.4</v>
      </c>
      <c r="L4306" s="56" t="n">
        <v>0</v>
      </c>
      <c r="M4306" s="56" t="n">
        <v>78</v>
      </c>
      <c r="N4306" s="56" t="n">
        <v>0</v>
      </c>
      <c r="O4306" s="56" t="n">
        <f aca="false">IF(D4306=1,"",E4305)</f>
        <v>19.7</v>
      </c>
      <c r="P4306" s="56" t="n">
        <f aca="false">IF(OR(D4306=1,K4305=""),"",K4305)</f>
        <v>1015.5</v>
      </c>
      <c r="Q4306" s="56" t="n">
        <f aca="false">IF(OR(F4306&lt;&gt;0,AND(I4306&lt;&gt;"",E4306&lt;I4306)),1,0)</f>
        <v>0</v>
      </c>
      <c r="R4306" s="56" t="n">
        <f aca="false">IF(AND(D4306&gt;1,Q4306=0,ISNUMBER(O4306),ISNUMBER(P4306)),IF(Q4305=0,1,0),0)</f>
        <v>1</v>
      </c>
      <c r="S4306" s="56" t="n">
        <f aca="false">R4306*(B4306&gt;=Train_Start)*(B4306&lt;=Train_End)</f>
        <v>0</v>
      </c>
      <c r="T4306" s="84" t="n">
        <f aca="false">IF(AND(ISNUMBER(O4306),ISNUMBER(P4306)),Coef_A+Coef_B1*O4306+Coef_B2*P4306,"")</f>
        <v>20.0840855257523</v>
      </c>
      <c r="U4306" s="84" t="n">
        <f aca="false">IF(AND(R4306=1,ISNUMBER(T4306)),E4306-T4306,"")</f>
        <v>-3.58408552575228</v>
      </c>
      <c r="V4306" s="84" t="n">
        <f aca="false">IF(ISNUMBER(T4306),T4306,-99)</f>
        <v>20.0840855257523</v>
      </c>
      <c r="W4306" s="84" t="n">
        <f aca="false">IF(ISNUMBER(U4306),ABS(U4306),"")</f>
        <v>3.58408552575228</v>
      </c>
    </row>
    <row r="4307" customFormat="false" ht="15" hidden="false" customHeight="false" outlineLevel="0" collapsed="false">
      <c r="A4307" s="57" t="n">
        <v>39224</v>
      </c>
      <c r="B4307" s="56" t="n">
        <v>2007</v>
      </c>
      <c r="C4307" s="56" t="n">
        <v>5</v>
      </c>
      <c r="D4307" s="56" t="n">
        <v>22</v>
      </c>
      <c r="E4307" s="56" t="n">
        <v>22.1</v>
      </c>
      <c r="F4307" s="56" t="n">
        <v>0</v>
      </c>
      <c r="G4307" s="56" t="n">
        <v>11.4</v>
      </c>
      <c r="H4307" s="56" t="n">
        <v>0</v>
      </c>
      <c r="I4307" s="56"/>
      <c r="J4307" s="56" t="n">
        <v>9</v>
      </c>
      <c r="K4307" s="56" t="n">
        <v>1021.1</v>
      </c>
      <c r="L4307" s="56" t="n">
        <v>0</v>
      </c>
      <c r="M4307" s="56" t="n">
        <v>57</v>
      </c>
      <c r="N4307" s="56" t="n">
        <v>13.7</v>
      </c>
      <c r="O4307" s="56" t="n">
        <f aca="false">IF(D4307=1,"",E4306)</f>
        <v>16.5</v>
      </c>
      <c r="P4307" s="56" t="n">
        <f aca="false">IF(OR(D4307=1,K4306=""),"",K4306)</f>
        <v>1017.4</v>
      </c>
      <c r="Q4307" s="56" t="n">
        <f aca="false">IF(OR(F4307&lt;&gt;0,AND(I4307&lt;&gt;"",E4307&lt;I4307)),1,0)</f>
        <v>0</v>
      </c>
      <c r="R4307" s="56" t="n">
        <f aca="false">IF(AND(D4307&gt;1,Q4307=0,ISNUMBER(O4307),ISNUMBER(P4307)),IF(Q4306=0,1,0),0)</f>
        <v>1</v>
      </c>
      <c r="S4307" s="56" t="n">
        <f aca="false">R4307*(B4307&gt;=Train_Start)*(B4307&lt;=Train_End)</f>
        <v>0</v>
      </c>
      <c r="T4307" s="84" t="n">
        <f aca="false">IF(AND(ISNUMBER(O4307),ISNUMBER(P4307)),Coef_A+Coef_B1*O4307+Coef_B2*P4307,"")</f>
        <v>17.5218029078204</v>
      </c>
      <c r="U4307" s="84" t="n">
        <f aca="false">IF(AND(R4307=1,ISNUMBER(T4307)),E4307-T4307,"")</f>
        <v>4.57819709217964</v>
      </c>
      <c r="V4307" s="84" t="n">
        <f aca="false">IF(ISNUMBER(T4307),T4307,-99)</f>
        <v>17.5218029078204</v>
      </c>
      <c r="W4307" s="84" t="n">
        <f aca="false">IF(ISNUMBER(U4307),ABS(U4307),"")</f>
        <v>4.57819709217964</v>
      </c>
    </row>
    <row r="4308" customFormat="false" ht="15" hidden="false" customHeight="false" outlineLevel="0" collapsed="false">
      <c r="A4308" s="57" t="n">
        <v>39225</v>
      </c>
      <c r="B4308" s="56" t="n">
        <v>2007</v>
      </c>
      <c r="C4308" s="56" t="n">
        <v>5</v>
      </c>
      <c r="D4308" s="56" t="n">
        <v>23</v>
      </c>
      <c r="E4308" s="56" t="n">
        <v>24.5</v>
      </c>
      <c r="F4308" s="56" t="n">
        <v>0</v>
      </c>
      <c r="G4308" s="56" t="n">
        <v>10.9</v>
      </c>
      <c r="H4308" s="56" t="n">
        <v>0</v>
      </c>
      <c r="I4308" s="56" t="n">
        <v>17.7</v>
      </c>
      <c r="J4308" s="56" t="n">
        <v>0</v>
      </c>
      <c r="K4308" s="56" t="n">
        <v>1022</v>
      </c>
      <c r="L4308" s="56" t="n">
        <v>0</v>
      </c>
      <c r="M4308" s="56" t="n">
        <v>63</v>
      </c>
      <c r="N4308" s="56" t="n">
        <v>12.2</v>
      </c>
      <c r="O4308" s="56" t="n">
        <f aca="false">IF(D4308=1,"",E4307)</f>
        <v>22.1</v>
      </c>
      <c r="P4308" s="56" t="n">
        <f aca="false">IF(OR(D4308=1,K4307=""),"",K4307)</f>
        <v>1021.1</v>
      </c>
      <c r="Q4308" s="56" t="n">
        <f aca="false">IF(OR(F4308&lt;&gt;0,AND(I4308&lt;&gt;"",E4308&lt;I4308)),1,0)</f>
        <v>0</v>
      </c>
      <c r="R4308" s="56" t="n">
        <f aca="false">IF(AND(D4308&gt;1,Q4308=0,ISNUMBER(O4308),ISNUMBER(P4308)),IF(Q4307=0,1,0),0)</f>
        <v>1</v>
      </c>
      <c r="S4308" s="56" t="n">
        <f aca="false">R4308*(B4308&gt;=Train_Start)*(B4308&lt;=Train_End)</f>
        <v>0</v>
      </c>
      <c r="T4308" s="84" t="n">
        <f aca="false">IF(AND(ISNUMBER(O4308),ISNUMBER(P4308)),Coef_A+Coef_B1*O4308+Coef_B2*P4308,"")</f>
        <v>22.226170999005</v>
      </c>
      <c r="U4308" s="84" t="n">
        <f aca="false">IF(AND(R4308=1,ISNUMBER(T4308)),E4308-T4308,"")</f>
        <v>2.273829000995</v>
      </c>
      <c r="V4308" s="84" t="n">
        <f aca="false">IF(ISNUMBER(T4308),T4308,-99)</f>
        <v>22.226170999005</v>
      </c>
      <c r="W4308" s="84" t="n">
        <f aca="false">IF(ISNUMBER(U4308),ABS(U4308),"")</f>
        <v>2.273829000995</v>
      </c>
    </row>
    <row r="4309" customFormat="false" ht="15" hidden="false" customHeight="false" outlineLevel="0" collapsed="false">
      <c r="A4309" s="57" t="n">
        <v>39226</v>
      </c>
      <c r="B4309" s="56" t="n">
        <v>2007</v>
      </c>
      <c r="C4309" s="56" t="n">
        <v>5</v>
      </c>
      <c r="D4309" s="56" t="n">
        <v>24</v>
      </c>
      <c r="E4309" s="56" t="n">
        <v>25.7</v>
      </c>
      <c r="F4309" s="56" t="n">
        <v>0</v>
      </c>
      <c r="G4309" s="56" t="n">
        <v>13.8</v>
      </c>
      <c r="H4309" s="56" t="n">
        <v>0</v>
      </c>
      <c r="I4309" s="56" t="n">
        <v>19.8</v>
      </c>
      <c r="J4309" s="56" t="n">
        <v>0</v>
      </c>
      <c r="K4309" s="56" t="n">
        <v>1015.9</v>
      </c>
      <c r="L4309" s="56" t="n">
        <v>0</v>
      </c>
      <c r="M4309" s="56" t="n">
        <v>68</v>
      </c>
      <c r="N4309" s="56" t="n">
        <v>6.8</v>
      </c>
      <c r="O4309" s="56" t="n">
        <f aca="false">IF(D4309=1,"",E4308)</f>
        <v>24.5</v>
      </c>
      <c r="P4309" s="56" t="n">
        <f aca="false">IF(OR(D4309=1,K4308=""),"",K4308)</f>
        <v>1022</v>
      </c>
      <c r="Q4309" s="56" t="n">
        <f aca="false">IF(OR(F4309&lt;&gt;0,AND(I4309&lt;&gt;"",E4309&lt;I4309)),1,0)</f>
        <v>0</v>
      </c>
      <c r="R4309" s="56" t="n">
        <f aca="false">IF(AND(D4309&gt;1,Q4309=0,ISNUMBER(O4309),ISNUMBER(P4309)),IF(Q4308=0,1,0),0)</f>
        <v>1</v>
      </c>
      <c r="S4309" s="56" t="n">
        <f aca="false">R4309*(B4309&gt;=Train_Start)*(B4309&lt;=Train_End)</f>
        <v>0</v>
      </c>
      <c r="T4309" s="84" t="n">
        <f aca="false">IF(AND(ISNUMBER(O4309),ISNUMBER(P4309)),Coef_A+Coef_B1*O4309+Coef_B2*P4309,"")</f>
        <v>24.220817967478</v>
      </c>
      <c r="U4309" s="84" t="n">
        <f aca="false">IF(AND(R4309=1,ISNUMBER(T4309)),E4309-T4309,"")</f>
        <v>1.47918203252203</v>
      </c>
      <c r="V4309" s="84" t="n">
        <f aca="false">IF(ISNUMBER(T4309),T4309,-99)</f>
        <v>24.220817967478</v>
      </c>
      <c r="W4309" s="84" t="n">
        <f aca="false">IF(ISNUMBER(U4309),ABS(U4309),"")</f>
        <v>1.47918203252203</v>
      </c>
    </row>
    <row r="4310" customFormat="false" ht="15" hidden="false" customHeight="false" outlineLevel="0" collapsed="false">
      <c r="A4310" s="57" t="n">
        <v>39227</v>
      </c>
      <c r="B4310" s="56" t="n">
        <v>2007</v>
      </c>
      <c r="C4310" s="56" t="n">
        <v>5</v>
      </c>
      <c r="D4310" s="56" t="n">
        <v>25</v>
      </c>
      <c r="E4310" s="56" t="n">
        <v>23.3</v>
      </c>
      <c r="F4310" s="56" t="n">
        <v>0</v>
      </c>
      <c r="G4310" s="56" t="n">
        <v>13.8</v>
      </c>
      <c r="H4310" s="56" t="n">
        <v>0</v>
      </c>
      <c r="I4310" s="56" t="n">
        <v>18.6</v>
      </c>
      <c r="J4310" s="56" t="n">
        <v>0</v>
      </c>
      <c r="K4310" s="56" t="n">
        <v>1008.5</v>
      </c>
      <c r="L4310" s="56" t="n">
        <v>0</v>
      </c>
      <c r="M4310" s="56" t="n">
        <v>71</v>
      </c>
      <c r="N4310" s="56" t="n">
        <v>7.6</v>
      </c>
      <c r="O4310" s="56" t="n">
        <f aca="false">IF(D4310=1,"",E4309)</f>
        <v>25.7</v>
      </c>
      <c r="P4310" s="56" t="n">
        <f aca="false">IF(OR(D4310=1,K4309=""),"",K4309)</f>
        <v>1015.9</v>
      </c>
      <c r="Q4310" s="56" t="n">
        <f aca="false">IF(OR(F4310&lt;&gt;0,AND(I4310&lt;&gt;"",E4310&lt;I4310)),1,0)</f>
        <v>0</v>
      </c>
      <c r="R4310" s="56" t="n">
        <f aca="false">IF(AND(D4310&gt;1,Q4310=0,ISNUMBER(O4310),ISNUMBER(P4310)),IF(Q4309=0,1,0),0)</f>
        <v>1</v>
      </c>
      <c r="S4310" s="56" t="n">
        <f aca="false">R4310*(B4310&gt;=Train_Start)*(B4310&lt;=Train_End)</f>
        <v>0</v>
      </c>
      <c r="T4310" s="84" t="n">
        <f aca="false">IF(AND(ISNUMBER(O4310),ISNUMBER(P4310)),Coef_A+Coef_B1*O4310+Coef_B2*P4310,"")</f>
        <v>25.0126686418618</v>
      </c>
      <c r="U4310" s="84" t="n">
        <f aca="false">IF(AND(R4310=1,ISNUMBER(T4310)),E4310-T4310,"")</f>
        <v>-1.71266864186182</v>
      </c>
      <c r="V4310" s="84" t="n">
        <f aca="false">IF(ISNUMBER(T4310),T4310,-99)</f>
        <v>25.0126686418618</v>
      </c>
      <c r="W4310" s="84" t="n">
        <f aca="false">IF(ISNUMBER(U4310),ABS(U4310),"")</f>
        <v>1.71266864186182</v>
      </c>
    </row>
    <row r="4311" customFormat="false" ht="15" hidden="false" customHeight="false" outlineLevel="0" collapsed="false">
      <c r="A4311" s="57" t="n">
        <v>39228</v>
      </c>
      <c r="B4311" s="56" t="n">
        <v>2007</v>
      </c>
      <c r="C4311" s="56" t="n">
        <v>5</v>
      </c>
      <c r="D4311" s="56" t="n">
        <v>26</v>
      </c>
      <c r="E4311" s="56" t="n">
        <v>13.4</v>
      </c>
      <c r="F4311" s="56" t="n">
        <v>0</v>
      </c>
      <c r="G4311" s="56" t="n">
        <v>10.5</v>
      </c>
      <c r="H4311" s="56" t="n">
        <v>0</v>
      </c>
      <c r="I4311" s="56" t="n">
        <v>12</v>
      </c>
      <c r="J4311" s="56" t="n">
        <v>0</v>
      </c>
      <c r="K4311" s="56" t="n">
        <v>1005.3</v>
      </c>
      <c r="L4311" s="56" t="n">
        <v>0</v>
      </c>
      <c r="M4311" s="56" t="n">
        <v>83</v>
      </c>
      <c r="N4311" s="56" t="n">
        <v>0.1</v>
      </c>
      <c r="O4311" s="56" t="n">
        <f aca="false">IF(D4311=1,"",E4310)</f>
        <v>23.3</v>
      </c>
      <c r="P4311" s="56" t="n">
        <f aca="false">IF(OR(D4311=1,K4310=""),"",K4310)</f>
        <v>1008.5</v>
      </c>
      <c r="Q4311" s="56" t="n">
        <f aca="false">IF(OR(F4311&lt;&gt;0,AND(I4311&lt;&gt;"",E4311&lt;I4311)),1,0)</f>
        <v>0</v>
      </c>
      <c r="R4311" s="56" t="n">
        <f aca="false">IF(AND(D4311&gt;1,Q4311=0,ISNUMBER(O4311),ISNUMBER(P4311)),IF(Q4310=0,1,0),0)</f>
        <v>1</v>
      </c>
      <c r="S4311" s="56" t="n">
        <f aca="false">R4311*(B4311&gt;=Train_Start)*(B4311&lt;=Train_End)</f>
        <v>0</v>
      </c>
      <c r="T4311" s="84" t="n">
        <f aca="false">IF(AND(ISNUMBER(O4311),ISNUMBER(P4311)),Coef_A+Coef_B1*O4311+Coef_B2*P4311,"")</f>
        <v>22.8141173582679</v>
      </c>
      <c r="U4311" s="84" t="n">
        <f aca="false">IF(AND(R4311=1,ISNUMBER(T4311)),E4311-T4311,"")</f>
        <v>-9.41411735826793</v>
      </c>
      <c r="V4311" s="84" t="n">
        <f aca="false">IF(ISNUMBER(T4311),T4311,-99)</f>
        <v>22.8141173582679</v>
      </c>
      <c r="W4311" s="84" t="n">
        <f aca="false">IF(ISNUMBER(U4311),ABS(U4311),"")</f>
        <v>9.41411735826793</v>
      </c>
    </row>
    <row r="4312" customFormat="false" ht="15" hidden="false" customHeight="false" outlineLevel="0" collapsed="false">
      <c r="A4312" s="57" t="n">
        <v>39229</v>
      </c>
      <c r="B4312" s="56" t="n">
        <v>2007</v>
      </c>
      <c r="C4312" s="56" t="n">
        <v>5</v>
      </c>
      <c r="D4312" s="56" t="n">
        <v>27</v>
      </c>
      <c r="E4312" s="56" t="n">
        <v>12.5</v>
      </c>
      <c r="F4312" s="56" t="n">
        <v>0</v>
      </c>
      <c r="G4312" s="56" t="n">
        <v>9.3</v>
      </c>
      <c r="H4312" s="56" t="n">
        <v>0</v>
      </c>
      <c r="I4312" s="56" t="n">
        <v>10.9</v>
      </c>
      <c r="J4312" s="56" t="n">
        <v>0</v>
      </c>
      <c r="K4312" s="56" t="n">
        <v>997.3</v>
      </c>
      <c r="L4312" s="56" t="n">
        <v>0</v>
      </c>
      <c r="M4312" s="56" t="n">
        <v>92</v>
      </c>
      <c r="N4312" s="56" t="n">
        <v>0</v>
      </c>
      <c r="O4312" s="56" t="n">
        <f aca="false">IF(D4312=1,"",E4311)</f>
        <v>13.4</v>
      </c>
      <c r="P4312" s="56" t="n">
        <f aca="false">IF(OR(D4312=1,K4311=""),"",K4311)</f>
        <v>1005.3</v>
      </c>
      <c r="Q4312" s="56" t="n">
        <f aca="false">IF(OR(F4312&lt;&gt;0,AND(I4312&lt;&gt;"",E4312&lt;I4312)),1,0)</f>
        <v>0</v>
      </c>
      <c r="R4312" s="56" t="n">
        <f aca="false">IF(AND(D4312&gt;1,Q4312=0,ISNUMBER(O4312),ISNUMBER(P4312)),IF(Q4311=0,1,0),0)</f>
        <v>1</v>
      </c>
      <c r="S4312" s="56" t="n">
        <f aca="false">R4312*(B4312&gt;=Train_Start)*(B4312&lt;=Train_End)</f>
        <v>0</v>
      </c>
      <c r="T4312" s="84" t="n">
        <f aca="false">IF(AND(ISNUMBER(O4312),ISNUMBER(P4312)),Coef_A+Coef_B1*O4312+Coef_B2*P4312,"")</f>
        <v>14.6022756843168</v>
      </c>
      <c r="U4312" s="84" t="n">
        <f aca="false">IF(AND(R4312=1,ISNUMBER(T4312)),E4312-T4312,"")</f>
        <v>-2.10227568431685</v>
      </c>
      <c r="V4312" s="84" t="n">
        <f aca="false">IF(ISNUMBER(T4312),T4312,-99)</f>
        <v>14.6022756843168</v>
      </c>
      <c r="W4312" s="84" t="n">
        <f aca="false">IF(ISNUMBER(U4312),ABS(U4312),"")</f>
        <v>2.10227568431685</v>
      </c>
    </row>
    <row r="4313" customFormat="false" ht="15" hidden="false" customHeight="false" outlineLevel="0" collapsed="false">
      <c r="A4313" s="57" t="n">
        <v>39230</v>
      </c>
      <c r="B4313" s="56" t="n">
        <v>2007</v>
      </c>
      <c r="C4313" s="56" t="n">
        <v>5</v>
      </c>
      <c r="D4313" s="56" t="n">
        <v>28</v>
      </c>
      <c r="E4313" s="56" t="n">
        <v>10.1</v>
      </c>
      <c r="F4313" s="56" t="n">
        <v>0</v>
      </c>
      <c r="G4313" s="56" t="n">
        <v>6.6</v>
      </c>
      <c r="H4313" s="56" t="n">
        <v>0</v>
      </c>
      <c r="I4313" s="56" t="n">
        <v>8.4</v>
      </c>
      <c r="J4313" s="56" t="n">
        <v>0</v>
      </c>
      <c r="K4313" s="56" t="n">
        <v>1004.1</v>
      </c>
      <c r="L4313" s="56" t="n">
        <v>0</v>
      </c>
      <c r="M4313" s="56" t="n">
        <v>88</v>
      </c>
      <c r="N4313" s="56" t="n">
        <v>0</v>
      </c>
      <c r="O4313" s="56" t="n">
        <f aca="false">IF(D4313=1,"",E4312)</f>
        <v>12.5</v>
      </c>
      <c r="P4313" s="56" t="n">
        <f aca="false">IF(OR(D4313=1,K4312=""),"",K4312)</f>
        <v>997.3</v>
      </c>
      <c r="Q4313" s="56" t="n">
        <f aca="false">IF(OR(F4313&lt;&gt;0,AND(I4313&lt;&gt;"",E4313&lt;I4313)),1,0)</f>
        <v>0</v>
      </c>
      <c r="R4313" s="56" t="n">
        <f aca="false">IF(AND(D4313&gt;1,Q4313=0,ISNUMBER(O4313),ISNUMBER(P4313)),IF(Q4312=0,1,0),0)</f>
        <v>1</v>
      </c>
      <c r="S4313" s="56" t="n">
        <f aca="false">R4313*(B4313&gt;=Train_Start)*(B4313&lt;=Train_End)</f>
        <v>0</v>
      </c>
      <c r="T4313" s="84" t="n">
        <f aca="false">IF(AND(ISNUMBER(O4313),ISNUMBER(P4313)),Coef_A+Coef_B1*O4313+Coef_B2*P4313,"")</f>
        <v>13.6139112535065</v>
      </c>
      <c r="U4313" s="84" t="n">
        <f aca="false">IF(AND(R4313=1,ISNUMBER(T4313)),E4313-T4313,"")</f>
        <v>-3.51391125350654</v>
      </c>
      <c r="V4313" s="84" t="n">
        <f aca="false">IF(ISNUMBER(T4313),T4313,-99)</f>
        <v>13.6139112535065</v>
      </c>
      <c r="W4313" s="84" t="n">
        <f aca="false">IF(ISNUMBER(U4313),ABS(U4313),"")</f>
        <v>3.51391125350654</v>
      </c>
    </row>
    <row r="4314" customFormat="false" ht="15" hidden="false" customHeight="false" outlineLevel="0" collapsed="false">
      <c r="A4314" s="57" t="n">
        <v>39231</v>
      </c>
      <c r="B4314" s="56" t="n">
        <v>2007</v>
      </c>
      <c r="C4314" s="56" t="n">
        <v>5</v>
      </c>
      <c r="D4314" s="56" t="n">
        <v>29</v>
      </c>
      <c r="E4314" s="56" t="n">
        <v>15.6</v>
      </c>
      <c r="F4314" s="56" t="n">
        <v>0</v>
      </c>
      <c r="G4314" s="56" t="n">
        <v>4.2</v>
      </c>
      <c r="H4314" s="56" t="n">
        <v>0</v>
      </c>
      <c r="I4314" s="56" t="n">
        <v>9.9</v>
      </c>
      <c r="J4314" s="56" t="n">
        <v>0</v>
      </c>
      <c r="K4314" s="56" t="n">
        <v>1009.9</v>
      </c>
      <c r="L4314" s="56" t="n">
        <v>0</v>
      </c>
      <c r="M4314" s="56" t="n">
        <v>70</v>
      </c>
      <c r="N4314" s="56" t="n">
        <v>6.9</v>
      </c>
      <c r="O4314" s="56" t="n">
        <f aca="false">IF(D4314=1,"",E4313)</f>
        <v>10.1</v>
      </c>
      <c r="P4314" s="56" t="n">
        <f aca="false">IF(OR(D4314=1,K4313=""),"",K4313)</f>
        <v>1004.1</v>
      </c>
      <c r="Q4314" s="56" t="n">
        <f aca="false">IF(OR(F4314&lt;&gt;0,AND(I4314&lt;&gt;"",E4314&lt;I4314)),1,0)</f>
        <v>0</v>
      </c>
      <c r="R4314" s="56" t="n">
        <f aca="false">IF(AND(D4314&gt;1,Q4314=0,ISNUMBER(O4314),ISNUMBER(P4314)),IF(Q4313=0,1,0),0)</f>
        <v>1</v>
      </c>
      <c r="S4314" s="56" t="n">
        <f aca="false">R4314*(B4314&gt;=Train_Start)*(B4314&lt;=Train_End)</f>
        <v>0</v>
      </c>
      <c r="T4314" s="84" t="n">
        <f aca="false">IF(AND(ISNUMBER(O4314),ISNUMBER(P4314)),Coef_A+Coef_B1*O4314+Coef_B2*P4314,"")</f>
        <v>11.8608124737153</v>
      </c>
      <c r="U4314" s="84" t="n">
        <f aca="false">IF(AND(R4314=1,ISNUMBER(T4314)),E4314-T4314,"")</f>
        <v>3.73918752628471</v>
      </c>
      <c r="V4314" s="84" t="n">
        <f aca="false">IF(ISNUMBER(T4314),T4314,-99)</f>
        <v>11.8608124737153</v>
      </c>
      <c r="W4314" s="84" t="n">
        <f aca="false">IF(ISNUMBER(U4314),ABS(U4314),"")</f>
        <v>3.73918752628471</v>
      </c>
    </row>
    <row r="4315" customFormat="false" ht="15" hidden="false" customHeight="false" outlineLevel="0" collapsed="false">
      <c r="A4315" s="57" t="n">
        <v>39232</v>
      </c>
      <c r="B4315" s="56" t="n">
        <v>2007</v>
      </c>
      <c r="C4315" s="56" t="n">
        <v>5</v>
      </c>
      <c r="D4315" s="56" t="n">
        <v>30</v>
      </c>
      <c r="E4315" s="56" t="n">
        <v>17.1</v>
      </c>
      <c r="F4315" s="56" t="n">
        <v>0</v>
      </c>
      <c r="G4315" s="56" t="n">
        <v>6.1</v>
      </c>
      <c r="H4315" s="56" t="n">
        <v>0</v>
      </c>
      <c r="I4315" s="56" t="n">
        <v>11.6</v>
      </c>
      <c r="J4315" s="56" t="n">
        <v>0</v>
      </c>
      <c r="K4315" s="56" t="n">
        <v>1005</v>
      </c>
      <c r="L4315" s="56" t="n">
        <v>0</v>
      </c>
      <c r="M4315" s="56" t="n">
        <v>85</v>
      </c>
      <c r="N4315" s="56" t="n">
        <v>2.9</v>
      </c>
      <c r="O4315" s="56" t="n">
        <f aca="false">IF(D4315=1,"",E4314)</f>
        <v>15.6</v>
      </c>
      <c r="P4315" s="56" t="n">
        <f aca="false">IF(OR(D4315=1,K4314=""),"",K4314)</f>
        <v>1009.9</v>
      </c>
      <c r="Q4315" s="56" t="n">
        <f aca="false">IF(OR(F4315&lt;&gt;0,AND(I4315&lt;&gt;"",E4315&lt;I4315)),1,0)</f>
        <v>0</v>
      </c>
      <c r="R4315" s="56" t="n">
        <f aca="false">IF(AND(D4315&gt;1,Q4315=0,ISNUMBER(O4315),ISNUMBER(P4315)),IF(Q4314=0,1,0),0)</f>
        <v>1</v>
      </c>
      <c r="S4315" s="56" t="n">
        <f aca="false">R4315*(B4315&gt;=Train_Start)*(B4315&lt;=Train_End)</f>
        <v>0</v>
      </c>
      <c r="T4315" s="84" t="n">
        <f aca="false">IF(AND(ISNUMBER(O4315),ISNUMBER(P4315)),Coef_A+Coef_B1*O4315+Coef_B2*P4315,"")</f>
        <v>16.549123424327</v>
      </c>
      <c r="U4315" s="84" t="n">
        <f aca="false">IF(AND(R4315=1,ISNUMBER(T4315)),E4315-T4315,"")</f>
        <v>0.550876575672959</v>
      </c>
      <c r="V4315" s="84" t="n">
        <f aca="false">IF(ISNUMBER(T4315),T4315,-99)</f>
        <v>16.549123424327</v>
      </c>
      <c r="W4315" s="84" t="n">
        <f aca="false">IF(ISNUMBER(U4315),ABS(U4315),"")</f>
        <v>0.550876575672959</v>
      </c>
    </row>
    <row r="4316" customFormat="false" ht="15" hidden="false" customHeight="false" outlineLevel="0" collapsed="false">
      <c r="A4316" s="57" t="n">
        <v>39233</v>
      </c>
      <c r="B4316" s="56" t="n">
        <v>2007</v>
      </c>
      <c r="C4316" s="56" t="n">
        <v>5</v>
      </c>
      <c r="D4316" s="56" t="n">
        <v>31</v>
      </c>
      <c r="E4316" s="56" t="n">
        <v>19.6</v>
      </c>
      <c r="F4316" s="56" t="n">
        <v>0</v>
      </c>
      <c r="G4316" s="56" t="n">
        <v>9.7</v>
      </c>
      <c r="H4316" s="56" t="n">
        <v>0</v>
      </c>
      <c r="I4316" s="56" t="n">
        <v>14.6</v>
      </c>
      <c r="J4316" s="56" t="n">
        <v>0</v>
      </c>
      <c r="K4316" s="56" t="n">
        <v>1008.4</v>
      </c>
      <c r="L4316" s="56" t="n">
        <v>0</v>
      </c>
      <c r="M4316" s="56" t="n">
        <v>72</v>
      </c>
      <c r="N4316" s="56" t="n">
        <v>9</v>
      </c>
      <c r="O4316" s="56" t="n">
        <f aca="false">IF(D4316=1,"",E4315)</f>
        <v>17.1</v>
      </c>
      <c r="P4316" s="56" t="n">
        <f aca="false">IF(OR(D4316=1,K4315=""),"",K4315)</f>
        <v>1005</v>
      </c>
      <c r="Q4316" s="56" t="n">
        <f aca="false">IF(OR(F4316&lt;&gt;0,AND(I4316&lt;&gt;"",E4316&lt;I4316)),1,0)</f>
        <v>0</v>
      </c>
      <c r="R4316" s="56" t="n">
        <f aca="false">IF(AND(D4316&gt;1,Q4316=0,ISNUMBER(O4316),ISNUMBER(P4316)),IF(Q4315=0,1,0),0)</f>
        <v>1</v>
      </c>
      <c r="S4316" s="56" t="n">
        <f aca="false">R4316*(B4316&gt;=Train_Start)*(B4316&lt;=Train_End)</f>
        <v>0</v>
      </c>
      <c r="T4316" s="84" t="n">
        <f aca="false">IF(AND(ISNUMBER(O4316),ISNUMBER(P4316)),Coef_A+Coef_B1*O4316+Coef_B2*P4316,"")</f>
        <v>17.6244197301845</v>
      </c>
      <c r="U4316" s="84" t="n">
        <f aca="false">IF(AND(R4316=1,ISNUMBER(T4316)),E4316-T4316,"")</f>
        <v>1.97558026981552</v>
      </c>
      <c r="V4316" s="84" t="n">
        <f aca="false">IF(ISNUMBER(T4316),T4316,-99)</f>
        <v>17.6244197301845</v>
      </c>
      <c r="W4316" s="84" t="n">
        <f aca="false">IF(ISNUMBER(U4316),ABS(U4316),"")</f>
        <v>1.97558026981552</v>
      </c>
    </row>
    <row r="4317" customFormat="false" ht="15" hidden="false" customHeight="false" outlineLevel="0" collapsed="false">
      <c r="A4317" s="57" t="n">
        <v>39234</v>
      </c>
      <c r="B4317" s="56" t="n">
        <v>2007</v>
      </c>
      <c r="C4317" s="56" t="n">
        <v>6</v>
      </c>
      <c r="D4317" s="56" t="n">
        <v>32</v>
      </c>
      <c r="E4317" s="56" t="n">
        <v>22.1</v>
      </c>
      <c r="F4317" s="56" t="n">
        <v>0</v>
      </c>
      <c r="G4317" s="56" t="n">
        <v>10.1</v>
      </c>
      <c r="H4317" s="56" t="n">
        <v>0</v>
      </c>
      <c r="I4317" s="56" t="n">
        <v>16.1</v>
      </c>
      <c r="J4317" s="56" t="n">
        <v>0</v>
      </c>
      <c r="K4317" s="56" t="n">
        <v>1017.2</v>
      </c>
      <c r="L4317" s="56" t="n">
        <v>0</v>
      </c>
      <c r="M4317" s="56" t="n">
        <v>69</v>
      </c>
      <c r="N4317" s="56" t="n">
        <v>8.3</v>
      </c>
      <c r="O4317" s="56" t="n">
        <f aca="false">IF(D4317=1,"",E4316)</f>
        <v>19.6</v>
      </c>
      <c r="P4317" s="56" t="n">
        <f aca="false">IF(OR(D4317=1,K4316=""),"",K4316)</f>
        <v>1008.4</v>
      </c>
      <c r="Q4317" s="56" t="n">
        <f aca="false">IF(OR(F4317&lt;&gt;0,AND(I4317&lt;&gt;"",E4317&lt;I4317)),1,0)</f>
        <v>0</v>
      </c>
      <c r="R4317" s="56" t="n">
        <f aca="false">IF(AND(D4317&gt;1,Q4317=0,ISNUMBER(O4317),ISNUMBER(P4317)),IF(Q4316=0,1,0),0)</f>
        <v>1</v>
      </c>
      <c r="S4317" s="56" t="n">
        <f aca="false">R4317*(B4317&gt;=Train_Start)*(B4317&lt;=Train_End)</f>
        <v>0</v>
      </c>
      <c r="T4317" s="84" t="n">
        <f aca="false">IF(AND(ISNUMBER(O4317),ISNUMBER(P4317)),Coef_A+Coef_B1*O4317+Coef_B2*P4317,"")</f>
        <v>19.7794253545467</v>
      </c>
      <c r="U4317" s="84" t="n">
        <f aca="false">IF(AND(R4317=1,ISNUMBER(T4317)),E4317-T4317,"")</f>
        <v>2.32057464545331</v>
      </c>
      <c r="V4317" s="84" t="n">
        <f aca="false">IF(ISNUMBER(T4317),T4317,-99)</f>
        <v>19.7794253545467</v>
      </c>
      <c r="W4317" s="84" t="n">
        <f aca="false">IF(ISNUMBER(U4317),ABS(U4317),"")</f>
        <v>2.32057464545331</v>
      </c>
    </row>
    <row r="4318" customFormat="false" ht="15" hidden="false" customHeight="false" outlineLevel="0" collapsed="false">
      <c r="A4318" s="57" t="n">
        <v>39235</v>
      </c>
      <c r="B4318" s="56" t="n">
        <v>2007</v>
      </c>
      <c r="C4318" s="56" t="n">
        <v>6</v>
      </c>
      <c r="D4318" s="56" t="n">
        <v>33</v>
      </c>
      <c r="E4318" s="56" t="n">
        <v>24.7</v>
      </c>
      <c r="F4318" s="56" t="n">
        <v>0</v>
      </c>
      <c r="G4318" s="56" t="n">
        <v>11.5</v>
      </c>
      <c r="H4318" s="56" t="n">
        <v>0</v>
      </c>
      <c r="I4318" s="56" t="n">
        <v>18.1</v>
      </c>
      <c r="J4318" s="56" t="n">
        <v>0</v>
      </c>
      <c r="K4318" s="56" t="n">
        <v>1024.3</v>
      </c>
      <c r="L4318" s="56" t="n">
        <v>0</v>
      </c>
      <c r="M4318" s="56" t="n">
        <v>59</v>
      </c>
      <c r="N4318" s="56" t="n">
        <v>14</v>
      </c>
      <c r="O4318" s="56" t="n">
        <f aca="false">IF(D4318=1,"",E4317)</f>
        <v>22.1</v>
      </c>
      <c r="P4318" s="56" t="n">
        <f aca="false">IF(OR(D4318=1,K4317=""),"",K4317)</f>
        <v>1017.2</v>
      </c>
      <c r="Q4318" s="56" t="n">
        <f aca="false">IF(OR(F4318&lt;&gt;0,AND(I4318&lt;&gt;"",E4318&lt;I4318)),1,0)</f>
        <v>0</v>
      </c>
      <c r="R4318" s="56" t="n">
        <f aca="false">IF(AND(D4318&gt;1,Q4318=0,ISNUMBER(O4318),ISNUMBER(P4318)),IF(Q4317=0,1,0),0)</f>
        <v>1</v>
      </c>
      <c r="S4318" s="56" t="n">
        <f aca="false">R4318*(B4318&gt;=Train_Start)*(B4318&lt;=Train_End)</f>
        <v>0</v>
      </c>
      <c r="T4318" s="84" t="n">
        <f aca="false">IF(AND(ISNUMBER(O4318),ISNUMBER(P4318)),Coef_A+Coef_B1*O4318+Coef_B2*P4318,"")</f>
        <v>22.1038284099324</v>
      </c>
      <c r="U4318" s="84" t="n">
        <f aca="false">IF(AND(R4318=1,ISNUMBER(T4318)),E4318-T4318,"")</f>
        <v>2.59617159006756</v>
      </c>
      <c r="V4318" s="84" t="n">
        <f aca="false">IF(ISNUMBER(T4318),T4318,-99)</f>
        <v>22.1038284099324</v>
      </c>
      <c r="W4318" s="84" t="n">
        <f aca="false">IF(ISNUMBER(U4318),ABS(U4318),"")</f>
        <v>2.59617159006756</v>
      </c>
    </row>
    <row r="4319" customFormat="false" ht="15" hidden="false" customHeight="false" outlineLevel="0" collapsed="false">
      <c r="A4319" s="57" t="n">
        <v>39236</v>
      </c>
      <c r="B4319" s="56" t="n">
        <v>2007</v>
      </c>
      <c r="C4319" s="56" t="n">
        <v>6</v>
      </c>
      <c r="D4319" s="56" t="n">
        <v>34</v>
      </c>
      <c r="E4319" s="56" t="n">
        <v>25</v>
      </c>
      <c r="F4319" s="56" t="n">
        <v>0</v>
      </c>
      <c r="G4319" s="56" t="n">
        <v>12.2</v>
      </c>
      <c r="H4319" s="56" t="n">
        <v>0</v>
      </c>
      <c r="I4319" s="56" t="n">
        <v>18.6</v>
      </c>
      <c r="J4319" s="56" t="n">
        <v>0</v>
      </c>
      <c r="K4319" s="56" t="n">
        <v>1022.7</v>
      </c>
      <c r="L4319" s="56" t="n">
        <v>0</v>
      </c>
      <c r="M4319" s="56" t="n">
        <v>63</v>
      </c>
      <c r="N4319" s="56" t="n">
        <v>6.9</v>
      </c>
      <c r="O4319" s="56" t="n">
        <f aca="false">IF(D4319=1,"",E4318)</f>
        <v>24.7</v>
      </c>
      <c r="P4319" s="56" t="n">
        <f aca="false">IF(OR(D4319=1,K4318=""),"",K4318)</f>
        <v>1024.3</v>
      </c>
      <c r="Q4319" s="56" t="n">
        <f aca="false">IF(OR(F4319&lt;&gt;0,AND(I4319&lt;&gt;"",E4319&lt;I4319)),1,0)</f>
        <v>0</v>
      </c>
      <c r="R4319" s="56" t="n">
        <f aca="false">IF(AND(D4319&gt;1,Q4319=0,ISNUMBER(O4319),ISNUMBER(P4319)),IF(Q4318=0,1,0),0)</f>
        <v>1</v>
      </c>
      <c r="S4319" s="56" t="n">
        <f aca="false">R4319*(B4319&gt;=Train_Start)*(B4319&lt;=Train_End)</f>
        <v>0</v>
      </c>
      <c r="T4319" s="84" t="n">
        <f aca="false">IF(AND(ISNUMBER(O4319),ISNUMBER(P4319)),Coef_A+Coef_B1*O4319+Coef_B2*P4319,"")</f>
        <v>24.4568365637447</v>
      </c>
      <c r="U4319" s="84" t="n">
        <f aca="false">IF(AND(R4319=1,ISNUMBER(T4319)),E4319-T4319,"")</f>
        <v>0.54316343625533</v>
      </c>
      <c r="V4319" s="84" t="n">
        <f aca="false">IF(ISNUMBER(T4319),T4319,-99)</f>
        <v>24.4568365637447</v>
      </c>
      <c r="W4319" s="84" t="n">
        <f aca="false">IF(ISNUMBER(U4319),ABS(U4319),"")</f>
        <v>0.54316343625533</v>
      </c>
    </row>
    <row r="4320" customFormat="false" ht="15" hidden="false" customHeight="false" outlineLevel="0" collapsed="false">
      <c r="A4320" s="57" t="n">
        <v>39237</v>
      </c>
      <c r="B4320" s="56" t="n">
        <v>2007</v>
      </c>
      <c r="C4320" s="56" t="n">
        <v>6</v>
      </c>
      <c r="D4320" s="56" t="n">
        <v>35</v>
      </c>
      <c r="E4320" s="56" t="n">
        <v>20</v>
      </c>
      <c r="F4320" s="56" t="n">
        <v>0</v>
      </c>
      <c r="G4320" s="56" t="n">
        <v>12.5</v>
      </c>
      <c r="H4320" s="56" t="n">
        <v>0</v>
      </c>
      <c r="I4320" s="56" t="n">
        <v>16.2</v>
      </c>
      <c r="J4320" s="56" t="n">
        <v>0</v>
      </c>
      <c r="K4320" s="56" t="n">
        <v>1024.1</v>
      </c>
      <c r="L4320" s="56" t="n">
        <v>0</v>
      </c>
      <c r="M4320" s="56" t="n">
        <v>77</v>
      </c>
      <c r="N4320" s="56" t="n">
        <v>0.9</v>
      </c>
      <c r="O4320" s="56" t="n">
        <f aca="false">IF(D4320=1,"",E4319)</f>
        <v>25</v>
      </c>
      <c r="P4320" s="56" t="n">
        <f aca="false">IF(OR(D4320=1,K4319=""),"",K4319)</f>
        <v>1022.7</v>
      </c>
      <c r="Q4320" s="56" t="n">
        <f aca="false">IF(OR(F4320&lt;&gt;0,AND(I4320&lt;&gt;"",E4320&lt;I4320)),1,0)</f>
        <v>0</v>
      </c>
      <c r="R4320" s="56" t="n">
        <f aca="false">IF(AND(D4320&gt;1,Q4320=0,ISNUMBER(O4320),ISNUMBER(P4320)),IF(Q4319=0,1,0),0)</f>
        <v>1</v>
      </c>
      <c r="S4320" s="56" t="n">
        <f aca="false">R4320*(B4320&gt;=Train_Start)*(B4320&lt;=Train_End)</f>
        <v>0</v>
      </c>
      <c r="T4320" s="84" t="n">
        <f aca="false">IF(AND(ISNUMBER(O4320),ISNUMBER(P4320)),Coef_A+Coef_B1*O4320+Coef_B2*P4320,"")</f>
        <v>24.6524464902431</v>
      </c>
      <c r="U4320" s="84" t="n">
        <f aca="false">IF(AND(R4320=1,ISNUMBER(T4320)),E4320-T4320,"")</f>
        <v>-4.65244649024309</v>
      </c>
      <c r="V4320" s="84" t="n">
        <f aca="false">IF(ISNUMBER(T4320),T4320,-99)</f>
        <v>24.6524464902431</v>
      </c>
      <c r="W4320" s="84" t="n">
        <f aca="false">IF(ISNUMBER(U4320),ABS(U4320),"")</f>
        <v>4.65244649024309</v>
      </c>
    </row>
    <row r="4321" customFormat="false" ht="15" hidden="false" customHeight="false" outlineLevel="0" collapsed="false">
      <c r="A4321" s="57" t="n">
        <v>39238</v>
      </c>
      <c r="B4321" s="56" t="n">
        <v>2007</v>
      </c>
      <c r="C4321" s="56" t="n">
        <v>6</v>
      </c>
      <c r="D4321" s="56" t="n">
        <v>36</v>
      </c>
      <c r="E4321" s="56" t="n">
        <v>21.8</v>
      </c>
      <c r="F4321" s="56" t="n">
        <v>0</v>
      </c>
      <c r="G4321" s="56" t="n">
        <v>11.4</v>
      </c>
      <c r="H4321" s="56" t="n">
        <v>0</v>
      </c>
      <c r="I4321" s="56" t="n">
        <v>16.6</v>
      </c>
      <c r="J4321" s="56" t="n">
        <v>0</v>
      </c>
      <c r="K4321" s="56" t="n">
        <v>1023.7</v>
      </c>
      <c r="L4321" s="56" t="n">
        <v>0</v>
      </c>
      <c r="M4321" s="56" t="n">
        <v>72</v>
      </c>
      <c r="N4321" s="56" t="n">
        <v>13</v>
      </c>
      <c r="O4321" s="56" t="n">
        <f aca="false">IF(D4321=1,"",E4320)</f>
        <v>20</v>
      </c>
      <c r="P4321" s="56" t="n">
        <f aca="false">IF(OR(D4321=1,K4320=""),"",K4320)</f>
        <v>1024.1</v>
      </c>
      <c r="Q4321" s="56" t="n">
        <f aca="false">IF(OR(F4321&lt;&gt;0,AND(I4321&lt;&gt;"",E4321&lt;I4321)),1,0)</f>
        <v>0</v>
      </c>
      <c r="R4321" s="56" t="n">
        <f aca="false">IF(AND(D4321&gt;1,Q4321=0,ISNUMBER(O4321),ISNUMBER(P4321)),IF(Q4320=0,1,0),0)</f>
        <v>1</v>
      </c>
      <c r="S4321" s="56" t="n">
        <f aca="false">R4321*(B4321&gt;=Train_Start)*(B4321&lt;=Train_End)</f>
        <v>0</v>
      </c>
      <c r="T4321" s="84" t="n">
        <f aca="false">IF(AND(ISNUMBER(O4321),ISNUMBER(P4321)),Coef_A+Coef_B1*O4321+Coef_B2*P4321,"")</f>
        <v>20.5996683775174</v>
      </c>
      <c r="U4321" s="84" t="n">
        <f aca="false">IF(AND(R4321=1,ISNUMBER(T4321)),E4321-T4321,"")</f>
        <v>1.20033162248262</v>
      </c>
      <c r="V4321" s="84" t="n">
        <f aca="false">IF(ISNUMBER(T4321),T4321,-99)</f>
        <v>20.5996683775174</v>
      </c>
      <c r="W4321" s="84" t="n">
        <f aca="false">IF(ISNUMBER(U4321),ABS(U4321),"")</f>
        <v>1.20033162248262</v>
      </c>
    </row>
    <row r="4322" customFormat="false" ht="15" hidden="false" customHeight="false" outlineLevel="0" collapsed="false">
      <c r="A4322" s="57" t="n">
        <v>39239</v>
      </c>
      <c r="B4322" s="56" t="n">
        <v>2007</v>
      </c>
      <c r="C4322" s="56" t="n">
        <v>6</v>
      </c>
      <c r="D4322" s="56" t="n">
        <v>37</v>
      </c>
      <c r="E4322" s="56" t="n">
        <v>17.8</v>
      </c>
      <c r="F4322" s="56" t="n">
        <v>0</v>
      </c>
      <c r="G4322" s="56" t="n">
        <v>11.2</v>
      </c>
      <c r="H4322" s="56" t="n">
        <v>0</v>
      </c>
      <c r="I4322" s="56" t="n">
        <v>14.5</v>
      </c>
      <c r="J4322" s="56" t="n">
        <v>0</v>
      </c>
      <c r="K4322" s="56" t="n">
        <v>1021.5</v>
      </c>
      <c r="L4322" s="56" t="n">
        <v>0</v>
      </c>
      <c r="M4322" s="56" t="n">
        <v>73</v>
      </c>
      <c r="N4322" s="56" t="n">
        <v>4.5</v>
      </c>
      <c r="O4322" s="56" t="n">
        <f aca="false">IF(D4322=1,"",E4321)</f>
        <v>21.8</v>
      </c>
      <c r="P4322" s="56" t="n">
        <f aca="false">IF(OR(D4322=1,K4321=""),"",K4321)</f>
        <v>1023.7</v>
      </c>
      <c r="Q4322" s="56" t="n">
        <f aca="false">IF(OR(F4322&lt;&gt;0,AND(I4322&lt;&gt;"",E4322&lt;I4322)),1,0)</f>
        <v>0</v>
      </c>
      <c r="R4322" s="56" t="n">
        <f aca="false">IF(AND(D4322&gt;1,Q4322=0,ISNUMBER(O4322),ISNUMBER(P4322)),IF(Q4321=0,1,0),0)</f>
        <v>1</v>
      </c>
      <c r="S4322" s="56" t="n">
        <f aca="false">R4322*(B4322&gt;=Train_Start)*(B4322&lt;=Train_End)</f>
        <v>0</v>
      </c>
      <c r="T4322" s="84" t="n">
        <f aca="false">IF(AND(ISNUMBER(O4322),ISNUMBER(P4322)),Coef_A+Coef_B1*O4322+Coef_B2*P4322,"")</f>
        <v>22.0619309671406</v>
      </c>
      <c r="U4322" s="84" t="n">
        <f aca="false">IF(AND(R4322=1,ISNUMBER(T4322)),E4322-T4322,"")</f>
        <v>-4.26193096714058</v>
      </c>
      <c r="V4322" s="84" t="n">
        <f aca="false">IF(ISNUMBER(T4322),T4322,-99)</f>
        <v>22.0619309671406</v>
      </c>
      <c r="W4322" s="84" t="n">
        <f aca="false">IF(ISNUMBER(U4322),ABS(U4322),"")</f>
        <v>4.26193096714058</v>
      </c>
    </row>
    <row r="4323" customFormat="false" ht="15" hidden="false" customHeight="false" outlineLevel="0" collapsed="false">
      <c r="A4323" s="57" t="n">
        <v>39240</v>
      </c>
      <c r="B4323" s="56" t="n">
        <v>2007</v>
      </c>
      <c r="C4323" s="56" t="n">
        <v>6</v>
      </c>
      <c r="D4323" s="56" t="n">
        <v>38</v>
      </c>
      <c r="E4323" s="56" t="n">
        <v>18.3</v>
      </c>
      <c r="F4323" s="56" t="n">
        <v>0</v>
      </c>
      <c r="G4323" s="56" t="n">
        <v>12.3</v>
      </c>
      <c r="H4323" s="56" t="n">
        <v>0</v>
      </c>
      <c r="I4323" s="56" t="n">
        <v>15.3</v>
      </c>
      <c r="J4323" s="56" t="n">
        <v>0</v>
      </c>
      <c r="K4323" s="56" t="n">
        <v>1019.9</v>
      </c>
      <c r="L4323" s="56" t="n">
        <v>0</v>
      </c>
      <c r="M4323" s="56" t="n">
        <v>81</v>
      </c>
      <c r="N4323" s="56" t="n">
        <v>0.1</v>
      </c>
      <c r="O4323" s="56" t="n">
        <f aca="false">IF(D4323=1,"",E4322)</f>
        <v>17.8</v>
      </c>
      <c r="P4323" s="56" t="n">
        <f aca="false">IF(OR(D4323=1,K4322=""),"",K4322)</f>
        <v>1021.5</v>
      </c>
      <c r="Q4323" s="56" t="n">
        <f aca="false">IF(OR(F4323&lt;&gt;0,AND(I4323&lt;&gt;"",E4323&lt;I4323)),1,0)</f>
        <v>0</v>
      </c>
      <c r="R4323" s="56" t="n">
        <f aca="false">IF(AND(D4323&gt;1,Q4323=0,ISNUMBER(O4323),ISNUMBER(P4323)),IF(Q4322=0,1,0),0)</f>
        <v>1</v>
      </c>
      <c r="S4323" s="56" t="n">
        <f aca="false">R4323*(B4323&gt;=Train_Start)*(B4323&lt;=Train_End)</f>
        <v>0</v>
      </c>
      <c r="T4323" s="84" t="n">
        <f aca="false">IF(AND(ISNUMBER(O4323),ISNUMBER(P4323)),Coef_A+Coef_B1*O4323+Coef_B2*P4323,"")</f>
        <v>18.7155604267752</v>
      </c>
      <c r="U4323" s="84" t="n">
        <f aca="false">IF(AND(R4323=1,ISNUMBER(T4323)),E4323-T4323,"")</f>
        <v>-0.415560426775169</v>
      </c>
      <c r="V4323" s="84" t="n">
        <f aca="false">IF(ISNUMBER(T4323),T4323,-99)</f>
        <v>18.7155604267752</v>
      </c>
      <c r="W4323" s="84" t="n">
        <f aca="false">IF(ISNUMBER(U4323),ABS(U4323),"")</f>
        <v>0.415560426775169</v>
      </c>
    </row>
    <row r="4324" customFormat="false" ht="15" hidden="false" customHeight="false" outlineLevel="0" collapsed="false">
      <c r="A4324" s="57" t="n">
        <v>39241</v>
      </c>
      <c r="B4324" s="56" t="n">
        <v>2007</v>
      </c>
      <c r="C4324" s="56" t="n">
        <v>6</v>
      </c>
      <c r="D4324" s="56" t="n">
        <v>39</v>
      </c>
      <c r="E4324" s="56" t="n">
        <v>21.4</v>
      </c>
      <c r="F4324" s="56" t="n">
        <v>0</v>
      </c>
      <c r="G4324" s="56" t="n">
        <v>13.1</v>
      </c>
      <c r="H4324" s="56" t="n">
        <v>0</v>
      </c>
      <c r="I4324" s="56" t="n">
        <v>17.2</v>
      </c>
      <c r="J4324" s="56" t="n">
        <v>0</v>
      </c>
      <c r="K4324" s="56" t="n">
        <v>1019.2</v>
      </c>
      <c r="L4324" s="56" t="n">
        <v>0</v>
      </c>
      <c r="M4324" s="56" t="n">
        <v>78</v>
      </c>
      <c r="N4324" s="56" t="n">
        <v>2.7</v>
      </c>
      <c r="O4324" s="56" t="n">
        <f aca="false">IF(D4324=1,"",E4323)</f>
        <v>18.3</v>
      </c>
      <c r="P4324" s="56" t="n">
        <f aca="false">IF(OR(D4324=1,K4323=""),"",K4323)</f>
        <v>1019.9</v>
      </c>
      <c r="Q4324" s="56" t="n">
        <f aca="false">IF(OR(F4324&lt;&gt;0,AND(I4324&lt;&gt;"",E4324&lt;I4324)),1,0)</f>
        <v>0</v>
      </c>
      <c r="R4324" s="56" t="n">
        <f aca="false">IF(AND(D4324&gt;1,Q4324=0,ISNUMBER(O4324),ISNUMBER(P4324)),IF(Q4323=0,1,0),0)</f>
        <v>1</v>
      </c>
      <c r="S4324" s="56" t="n">
        <f aca="false">R4324*(B4324&gt;=Train_Start)*(B4324&lt;=Train_End)</f>
        <v>0</v>
      </c>
      <c r="T4324" s="84" t="n">
        <f aca="false">IF(AND(ISNUMBER(O4324),ISNUMBER(P4324)),Coef_A+Coef_B1*O4324+Coef_B2*P4324,"")</f>
        <v>19.0750381918821</v>
      </c>
      <c r="U4324" s="84" t="n">
        <f aca="false">IF(AND(R4324=1,ISNUMBER(T4324)),E4324-T4324,"")</f>
        <v>2.32496180811789</v>
      </c>
      <c r="V4324" s="84" t="n">
        <f aca="false">IF(ISNUMBER(T4324),T4324,-99)</f>
        <v>19.0750381918821</v>
      </c>
      <c r="W4324" s="84" t="n">
        <f aca="false">IF(ISNUMBER(U4324),ABS(U4324),"")</f>
        <v>2.32496180811789</v>
      </c>
    </row>
    <row r="4325" customFormat="false" ht="15" hidden="false" customHeight="false" outlineLevel="0" collapsed="false">
      <c r="A4325" s="57" t="n">
        <v>39242</v>
      </c>
      <c r="B4325" s="56" t="n">
        <v>2007</v>
      </c>
      <c r="C4325" s="56" t="n">
        <v>6</v>
      </c>
      <c r="D4325" s="56" t="n">
        <v>40</v>
      </c>
      <c r="E4325" s="56" t="n">
        <v>24.9</v>
      </c>
      <c r="F4325" s="56" t="n">
        <v>0</v>
      </c>
      <c r="G4325" s="56" t="n">
        <v>14.4</v>
      </c>
      <c r="H4325" s="56" t="n">
        <v>0</v>
      </c>
      <c r="I4325" s="56" t="n">
        <v>19.6</v>
      </c>
      <c r="J4325" s="56" t="n">
        <v>0</v>
      </c>
      <c r="K4325" s="56" t="n">
        <v>1018.4</v>
      </c>
      <c r="L4325" s="56" t="n">
        <v>0</v>
      </c>
      <c r="M4325" s="56" t="n">
        <v>72</v>
      </c>
      <c r="N4325" s="56" t="n">
        <v>1</v>
      </c>
      <c r="O4325" s="56" t="n">
        <f aca="false">IF(D4325=1,"",E4324)</f>
        <v>21.4</v>
      </c>
      <c r="P4325" s="56" t="n">
        <f aca="false">IF(OR(D4325=1,K4324=""),"",K4324)</f>
        <v>1019.2</v>
      </c>
      <c r="Q4325" s="56" t="n">
        <f aca="false">IF(OR(F4325&lt;&gt;0,AND(I4325&lt;&gt;"",E4325&lt;I4325)),1,0)</f>
        <v>0</v>
      </c>
      <c r="R4325" s="56" t="n">
        <f aca="false">IF(AND(D4325&gt;1,Q4325=0,ISNUMBER(O4325),ISNUMBER(P4325)),IF(Q4324=0,1,0),0)</f>
        <v>1</v>
      </c>
      <c r="S4325" s="56" t="n">
        <f aca="false">R4325*(B4325&gt;=Train_Start)*(B4325&lt;=Train_End)</f>
        <v>0</v>
      </c>
      <c r="T4325" s="84" t="n">
        <f aca="false">IF(AND(ISNUMBER(O4325),ISNUMBER(P4325)),Coef_A+Coef_B1*O4325+Coef_B2*P4325,"")</f>
        <v>21.5930307640706</v>
      </c>
      <c r="U4325" s="84" t="n">
        <f aca="false">IF(AND(R4325=1,ISNUMBER(T4325)),E4325-T4325,"")</f>
        <v>3.30696923592944</v>
      </c>
      <c r="V4325" s="84" t="n">
        <f aca="false">IF(ISNUMBER(T4325),T4325,-99)</f>
        <v>21.5930307640706</v>
      </c>
      <c r="W4325" s="84" t="n">
        <f aca="false">IF(ISNUMBER(U4325),ABS(U4325),"")</f>
        <v>3.30696923592944</v>
      </c>
    </row>
    <row r="4326" customFormat="false" ht="15" hidden="false" customHeight="false" outlineLevel="0" collapsed="false">
      <c r="A4326" s="57" t="n">
        <v>39243</v>
      </c>
      <c r="B4326" s="56" t="n">
        <v>2007</v>
      </c>
      <c r="C4326" s="56" t="n">
        <v>6</v>
      </c>
      <c r="D4326" s="56" t="n">
        <v>41</v>
      </c>
      <c r="E4326" s="56" t="n">
        <v>24.9</v>
      </c>
      <c r="F4326" s="56" t="n">
        <v>0</v>
      </c>
      <c r="G4326" s="56" t="n">
        <v>15.2</v>
      </c>
      <c r="H4326" s="56" t="n">
        <v>0</v>
      </c>
      <c r="I4326" s="56" t="n">
        <v>20</v>
      </c>
      <c r="J4326" s="56" t="n">
        <v>0</v>
      </c>
      <c r="K4326" s="56" t="n">
        <v>1016.7</v>
      </c>
      <c r="L4326" s="56" t="n">
        <v>0</v>
      </c>
      <c r="M4326" s="56" t="n">
        <v>72</v>
      </c>
      <c r="N4326" s="56" t="n">
        <v>12.2</v>
      </c>
      <c r="O4326" s="56" t="n">
        <f aca="false">IF(D4326=1,"",E4325)</f>
        <v>24.9</v>
      </c>
      <c r="P4326" s="56" t="n">
        <f aca="false">IF(OR(D4326=1,K4325=""),"",K4325)</f>
        <v>1018.4</v>
      </c>
      <c r="Q4326" s="56" t="n">
        <f aca="false">IF(OR(F4326&lt;&gt;0,AND(I4326&lt;&gt;"",E4326&lt;I4326)),1,0)</f>
        <v>0</v>
      </c>
      <c r="R4326" s="56" t="n">
        <f aca="false">IF(AND(D4326&gt;1,Q4326=0,ISNUMBER(O4326),ISNUMBER(P4326)),IF(Q4325=0,1,0),0)</f>
        <v>1</v>
      </c>
      <c r="S4326" s="56" t="n">
        <f aca="false">R4326*(B4326&gt;=Train_Start)*(B4326&lt;=Train_End)</f>
        <v>0</v>
      </c>
      <c r="T4326" s="84" t="n">
        <f aca="false">IF(AND(ISNUMBER(O4326),ISNUMBER(P4326)),Coef_A+Coef_B1*O4326+Coef_B2*P4326,"")</f>
        <v>24.4356220240127</v>
      </c>
      <c r="U4326" s="84" t="n">
        <f aca="false">IF(AND(R4326=1,ISNUMBER(T4326)),E4326-T4326,"")</f>
        <v>0.464377975987329</v>
      </c>
      <c r="V4326" s="84" t="n">
        <f aca="false">IF(ISNUMBER(T4326),T4326,-99)</f>
        <v>24.4356220240127</v>
      </c>
      <c r="W4326" s="84" t="n">
        <f aca="false">IF(ISNUMBER(U4326),ABS(U4326),"")</f>
        <v>0.464377975987329</v>
      </c>
    </row>
    <row r="4327" customFormat="false" ht="15" hidden="false" customHeight="false" outlineLevel="0" collapsed="false">
      <c r="A4327" s="57" t="n">
        <v>39244</v>
      </c>
      <c r="B4327" s="56" t="n">
        <v>2007</v>
      </c>
      <c r="C4327" s="56" t="n">
        <v>6</v>
      </c>
      <c r="D4327" s="56" t="n">
        <v>42</v>
      </c>
      <c r="E4327" s="56" t="n">
        <v>21.6</v>
      </c>
      <c r="F4327" s="56" t="n">
        <v>0</v>
      </c>
      <c r="G4327" s="56" t="n">
        <v>14.3</v>
      </c>
      <c r="H4327" s="56" t="n">
        <v>0</v>
      </c>
      <c r="I4327" s="56" t="n">
        <v>18</v>
      </c>
      <c r="J4327" s="56" t="n">
        <v>0</v>
      </c>
      <c r="K4327" s="56" t="n">
        <v>1015.1</v>
      </c>
      <c r="L4327" s="56" t="n">
        <v>0</v>
      </c>
      <c r="M4327" s="56" t="n">
        <v>77</v>
      </c>
      <c r="N4327" s="56" t="n">
        <v>0.1</v>
      </c>
      <c r="O4327" s="56" t="n">
        <f aca="false">IF(D4327=1,"",E4326)</f>
        <v>24.9</v>
      </c>
      <c r="P4327" s="56" t="n">
        <f aca="false">IF(OR(D4327=1,K4326=""),"",K4326)</f>
        <v>1016.7</v>
      </c>
      <c r="Q4327" s="56" t="n">
        <f aca="false">IF(OR(F4327&lt;&gt;0,AND(I4327&lt;&gt;"",E4327&lt;I4327)),1,0)</f>
        <v>0</v>
      </c>
      <c r="R4327" s="56" t="n">
        <f aca="false">IF(AND(D4327&gt;1,Q4327=0,ISNUMBER(O4327),ISNUMBER(P4327)),IF(Q4326=0,1,0),0)</f>
        <v>1</v>
      </c>
      <c r="S4327" s="56" t="n">
        <f aca="false">R4327*(B4327&gt;=Train_Start)*(B4327&lt;=Train_End)</f>
        <v>0</v>
      </c>
      <c r="T4327" s="84" t="n">
        <f aca="false">IF(AND(ISNUMBER(O4327),ISNUMBER(P4327)),Coef_A+Coef_B1*O4327+Coef_B2*P4327,"")</f>
        <v>24.3822932031349</v>
      </c>
      <c r="U4327" s="84" t="n">
        <f aca="false">IF(AND(R4327=1,ISNUMBER(T4327)),E4327-T4327,"")</f>
        <v>-2.78229320313489</v>
      </c>
      <c r="V4327" s="84" t="n">
        <f aca="false">IF(ISNUMBER(T4327),T4327,-99)</f>
        <v>24.3822932031349</v>
      </c>
      <c r="W4327" s="84" t="n">
        <f aca="false">IF(ISNUMBER(U4327),ABS(U4327),"")</f>
        <v>2.78229320313489</v>
      </c>
    </row>
    <row r="4328" customFormat="false" ht="15" hidden="false" customHeight="false" outlineLevel="0" collapsed="false">
      <c r="A4328" s="57" t="n">
        <v>39245</v>
      </c>
      <c r="B4328" s="56" t="n">
        <v>2007</v>
      </c>
      <c r="C4328" s="56" t="n">
        <v>6</v>
      </c>
      <c r="D4328" s="56" t="n">
        <v>43</v>
      </c>
      <c r="E4328" s="56" t="n">
        <v>23.7</v>
      </c>
      <c r="F4328" s="56" t="n">
        <v>0</v>
      </c>
      <c r="G4328" s="56" t="n">
        <v>14.4</v>
      </c>
      <c r="H4328" s="56" t="n">
        <v>0</v>
      </c>
      <c r="I4328" s="56" t="n">
        <v>19</v>
      </c>
      <c r="J4328" s="56" t="n">
        <v>0</v>
      </c>
      <c r="K4328" s="56" t="n">
        <v>1011.7</v>
      </c>
      <c r="L4328" s="56" t="n">
        <v>0</v>
      </c>
      <c r="M4328" s="56" t="n">
        <v>74</v>
      </c>
      <c r="N4328" s="56" t="n">
        <v>6.2</v>
      </c>
      <c r="O4328" s="56" t="n">
        <f aca="false">IF(D4328=1,"",E4327)</f>
        <v>21.6</v>
      </c>
      <c r="P4328" s="56" t="n">
        <f aca="false">IF(OR(D4328=1,K4327=""),"",K4327)</f>
        <v>1015.1</v>
      </c>
      <c r="Q4328" s="56" t="n">
        <f aca="false">IF(OR(F4328&lt;&gt;0,AND(I4328&lt;&gt;"",E4328&lt;I4328)),1,0)</f>
        <v>0</v>
      </c>
      <c r="R4328" s="56" t="n">
        <f aca="false">IF(AND(D4328&gt;1,Q4328=0,ISNUMBER(O4328),ISNUMBER(P4328)),IF(Q4327=0,1,0),0)</f>
        <v>1</v>
      </c>
      <c r="S4328" s="56" t="n">
        <f aca="false">R4328*(B4328&gt;=Train_Start)*(B4328&lt;=Train_End)</f>
        <v>0</v>
      </c>
      <c r="T4328" s="84" t="n">
        <f aca="false">IF(AND(ISNUMBER(O4328),ISNUMBER(P4328)),Coef_A+Coef_B1*O4328+Coef_B2*P4328,"")</f>
        <v>21.6282820346797</v>
      </c>
      <c r="U4328" s="84" t="n">
        <f aca="false">IF(AND(R4328=1,ISNUMBER(T4328)),E4328-T4328,"")</f>
        <v>2.07171796532026</v>
      </c>
      <c r="V4328" s="84" t="n">
        <f aca="false">IF(ISNUMBER(T4328),T4328,-99)</f>
        <v>21.6282820346797</v>
      </c>
      <c r="W4328" s="84" t="n">
        <f aca="false">IF(ISNUMBER(U4328),ABS(U4328),"")</f>
        <v>2.07171796532026</v>
      </c>
    </row>
    <row r="4329" customFormat="false" ht="15" hidden="false" customHeight="false" outlineLevel="0" collapsed="false">
      <c r="A4329" s="57" t="n">
        <v>39246</v>
      </c>
      <c r="B4329" s="56" t="n">
        <v>2007</v>
      </c>
      <c r="C4329" s="56" t="n">
        <v>6</v>
      </c>
      <c r="D4329" s="56" t="n">
        <v>44</v>
      </c>
      <c r="E4329" s="56" t="n">
        <v>24.3</v>
      </c>
      <c r="F4329" s="56" t="n">
        <v>0</v>
      </c>
      <c r="G4329" s="56" t="n">
        <v>12.5</v>
      </c>
      <c r="H4329" s="56" t="n">
        <v>0</v>
      </c>
      <c r="I4329" s="56" t="n">
        <v>18.4</v>
      </c>
      <c r="J4329" s="56" t="n">
        <v>0</v>
      </c>
      <c r="K4329" s="56" t="n">
        <v>1007.4</v>
      </c>
      <c r="L4329" s="56" t="n">
        <v>0</v>
      </c>
      <c r="M4329" s="56" t="n">
        <v>70</v>
      </c>
      <c r="N4329" s="56" t="n">
        <v>7.1</v>
      </c>
      <c r="O4329" s="56" t="n">
        <f aca="false">IF(D4329=1,"",E4328)</f>
        <v>23.7</v>
      </c>
      <c r="P4329" s="56" t="n">
        <f aca="false">IF(OR(D4329=1,K4328=""),"",K4328)</f>
        <v>1011.7</v>
      </c>
      <c r="Q4329" s="56" t="n">
        <f aca="false">IF(OR(F4329&lt;&gt;0,AND(I4329&lt;&gt;"",E4329&lt;I4329)),1,0)</f>
        <v>0</v>
      </c>
      <c r="R4329" s="56" t="n">
        <f aca="false">IF(AND(D4329&gt;1,Q4329=0,ISNUMBER(O4329),ISNUMBER(P4329)),IF(Q4328=0,1,0),0)</f>
        <v>1</v>
      </c>
      <c r="S4329" s="56" t="n">
        <f aca="false">R4329*(B4329&gt;=Train_Start)*(B4329&lt;=Train_End)</f>
        <v>0</v>
      </c>
      <c r="T4329" s="84" t="n">
        <f aca="false">IF(AND(ISNUMBER(O4329),ISNUMBER(P4329)),Coef_A+Coef_B1*O4329+Coef_B2*P4329,"")</f>
        <v>23.2422366983138</v>
      </c>
      <c r="U4329" s="84" t="n">
        <f aca="false">IF(AND(R4329=1,ISNUMBER(T4329)),E4329-T4329,"")</f>
        <v>1.05776330168625</v>
      </c>
      <c r="V4329" s="84" t="n">
        <f aca="false">IF(ISNUMBER(T4329),T4329,-99)</f>
        <v>23.2422366983138</v>
      </c>
      <c r="W4329" s="84" t="n">
        <f aca="false">IF(ISNUMBER(U4329),ABS(U4329),"")</f>
        <v>1.05776330168625</v>
      </c>
    </row>
    <row r="4330" customFormat="false" ht="15" hidden="false" customHeight="false" outlineLevel="0" collapsed="false">
      <c r="A4330" s="57" t="n">
        <v>39247</v>
      </c>
      <c r="B4330" s="56" t="n">
        <v>2007</v>
      </c>
      <c r="C4330" s="56" t="n">
        <v>6</v>
      </c>
      <c r="D4330" s="56" t="n">
        <v>45</v>
      </c>
      <c r="E4330" s="56" t="n">
        <v>22.6</v>
      </c>
      <c r="F4330" s="56" t="n">
        <v>0</v>
      </c>
      <c r="G4330" s="56" t="n">
        <v>14.9</v>
      </c>
      <c r="H4330" s="56" t="n">
        <v>0</v>
      </c>
      <c r="I4330" s="56" t="n">
        <v>18.8</v>
      </c>
      <c r="J4330" s="56" t="n">
        <v>0</v>
      </c>
      <c r="K4330" s="56" t="n">
        <v>1002.3</v>
      </c>
      <c r="L4330" s="56" t="n">
        <v>0</v>
      </c>
      <c r="M4330" s="56" t="n">
        <v>80</v>
      </c>
      <c r="N4330" s="56" t="n">
        <v>0.1</v>
      </c>
      <c r="O4330" s="56" t="n">
        <f aca="false">IF(D4330=1,"",E4329)</f>
        <v>24.3</v>
      </c>
      <c r="P4330" s="56" t="n">
        <f aca="false">IF(OR(D4330=1,K4329=""),"",K4329)</f>
        <v>1007.4</v>
      </c>
      <c r="Q4330" s="56" t="n">
        <f aca="false">IF(OR(F4330&lt;&gt;0,AND(I4330&lt;&gt;"",E4330&lt;I4330)),1,0)</f>
        <v>0</v>
      </c>
      <c r="R4330" s="56" t="n">
        <f aca="false">IF(AND(D4330&gt;1,Q4330=0,ISNUMBER(O4330),ISNUMBER(P4330)),IF(Q4329=0,1,0),0)</f>
        <v>1</v>
      </c>
      <c r="S4330" s="56" t="n">
        <f aca="false">R4330*(B4330&gt;=Train_Start)*(B4330&lt;=Train_End)</f>
        <v>0</v>
      </c>
      <c r="T4330" s="84" t="n">
        <f aca="false">IF(AND(ISNUMBER(O4330),ISNUMBER(P4330)),Coef_A+Coef_B1*O4330+Coef_B2*P4330,"")</f>
        <v>23.5989496672132</v>
      </c>
      <c r="U4330" s="84" t="n">
        <f aca="false">IF(AND(R4330=1,ISNUMBER(T4330)),E4330-T4330,"")</f>
        <v>-0.998949667213189</v>
      </c>
      <c r="V4330" s="84" t="n">
        <f aca="false">IF(ISNUMBER(T4330),T4330,-99)</f>
        <v>23.5989496672132</v>
      </c>
      <c r="W4330" s="84" t="n">
        <f aca="false">IF(ISNUMBER(U4330),ABS(U4330),"")</f>
        <v>0.998949667213189</v>
      </c>
    </row>
    <row r="4331" customFormat="false" ht="15" hidden="false" customHeight="false" outlineLevel="0" collapsed="false">
      <c r="A4331" s="57" t="n">
        <v>39248</v>
      </c>
      <c r="B4331" s="56" t="n">
        <v>2007</v>
      </c>
      <c r="C4331" s="56" t="n">
        <v>6</v>
      </c>
      <c r="D4331" s="56" t="n">
        <v>46</v>
      </c>
      <c r="E4331" s="56" t="n">
        <v>20.9</v>
      </c>
      <c r="F4331" s="56" t="n">
        <v>0</v>
      </c>
      <c r="G4331" s="56" t="n">
        <v>14.5</v>
      </c>
      <c r="H4331" s="56" t="n">
        <v>0</v>
      </c>
      <c r="I4331" s="56" t="n">
        <v>17.7</v>
      </c>
      <c r="J4331" s="56" t="n">
        <v>0</v>
      </c>
      <c r="K4331" s="56" t="n">
        <v>999.8</v>
      </c>
      <c r="L4331" s="56" t="n">
        <v>0</v>
      </c>
      <c r="M4331" s="56" t="n">
        <v>76</v>
      </c>
      <c r="N4331" s="56" t="n">
        <v>5</v>
      </c>
      <c r="O4331" s="56" t="n">
        <f aca="false">IF(D4331=1,"",E4330)</f>
        <v>22.6</v>
      </c>
      <c r="P4331" s="56" t="n">
        <f aca="false">IF(OR(D4331=1,K4330=""),"",K4330)</f>
        <v>1002.3</v>
      </c>
      <c r="Q4331" s="56" t="n">
        <f aca="false">IF(OR(F4331&lt;&gt;0,AND(I4331&lt;&gt;"",E4331&lt;I4331)),1,0)</f>
        <v>0</v>
      </c>
      <c r="R4331" s="56" t="n">
        <f aca="false">IF(AND(D4331&gt;1,Q4331=0,ISNUMBER(O4331),ISNUMBER(P4331)),IF(Q4330=0,1,0),0)</f>
        <v>1</v>
      </c>
      <c r="S4331" s="56" t="n">
        <f aca="false">R4331*(B4331&gt;=Train_Start)*(B4331&lt;=Train_End)</f>
        <v>0</v>
      </c>
      <c r="T4331" s="84" t="n">
        <f aca="false">IF(AND(ISNUMBER(O4331),ISNUMBER(P4331)),Coef_A+Coef_B1*O4331+Coef_B2*P4331,"")</f>
        <v>22.0460865764073</v>
      </c>
      <c r="U4331" s="84" t="n">
        <f aca="false">IF(AND(R4331=1,ISNUMBER(T4331)),E4331-T4331,"")</f>
        <v>-1.14608657640733</v>
      </c>
      <c r="V4331" s="84" t="n">
        <f aca="false">IF(ISNUMBER(T4331),T4331,-99)</f>
        <v>22.0460865764073</v>
      </c>
      <c r="W4331" s="84" t="n">
        <f aca="false">IF(ISNUMBER(U4331),ABS(U4331),"")</f>
        <v>1.14608657640733</v>
      </c>
    </row>
    <row r="4332" customFormat="false" ht="15" hidden="false" customHeight="false" outlineLevel="0" collapsed="false">
      <c r="A4332" s="57" t="n">
        <v>39249</v>
      </c>
      <c r="B4332" s="56" t="n">
        <v>2007</v>
      </c>
      <c r="C4332" s="56" t="n">
        <v>6</v>
      </c>
      <c r="D4332" s="56" t="n">
        <v>47</v>
      </c>
      <c r="E4332" s="56" t="n">
        <v>19.5</v>
      </c>
      <c r="F4332" s="56" t="n">
        <v>0</v>
      </c>
      <c r="G4332" s="56" t="n">
        <v>13.5</v>
      </c>
      <c r="H4332" s="56" t="n">
        <v>0</v>
      </c>
      <c r="I4332" s="56" t="n">
        <v>16.5</v>
      </c>
      <c r="J4332" s="56" t="n">
        <v>0</v>
      </c>
      <c r="K4332" s="56" t="n">
        <v>1001.2</v>
      </c>
      <c r="L4332" s="56" t="n">
        <v>0</v>
      </c>
      <c r="M4332" s="56" t="n">
        <v>81</v>
      </c>
      <c r="N4332" s="56" t="n">
        <v>4.2</v>
      </c>
      <c r="O4332" s="56" t="n">
        <f aca="false">IF(D4332=1,"",E4331)</f>
        <v>20.9</v>
      </c>
      <c r="P4332" s="56" t="n">
        <f aca="false">IF(OR(D4332=1,K4331=""),"",K4331)</f>
        <v>999.8</v>
      </c>
      <c r="Q4332" s="56" t="n">
        <f aca="false">IF(OR(F4332&lt;&gt;0,AND(I4332&lt;&gt;"",E4332&lt;I4332)),1,0)</f>
        <v>0</v>
      </c>
      <c r="R4332" s="56" t="n">
        <f aca="false">IF(AND(D4332&gt;1,Q4332=0,ISNUMBER(O4332),ISNUMBER(P4332)),IF(Q4331=0,1,0),0)</f>
        <v>1</v>
      </c>
      <c r="S4332" s="56" t="n">
        <f aca="false">R4332*(B4332&gt;=Train_Start)*(B4332&lt;=Train_End)</f>
        <v>0</v>
      </c>
      <c r="T4332" s="84" t="n">
        <f aca="false">IF(AND(ISNUMBER(O4332),ISNUMBER(P4332)),Coef_A+Coef_B1*O4332+Coef_B2*P4332,"")</f>
        <v>20.5747852116498</v>
      </c>
      <c r="U4332" s="84" t="n">
        <f aca="false">IF(AND(R4332=1,ISNUMBER(T4332)),E4332-T4332,"")</f>
        <v>-1.07478521164983</v>
      </c>
      <c r="V4332" s="84" t="n">
        <f aca="false">IF(ISNUMBER(T4332),T4332,-99)</f>
        <v>20.5747852116498</v>
      </c>
      <c r="W4332" s="84" t="n">
        <f aca="false">IF(ISNUMBER(U4332),ABS(U4332),"")</f>
        <v>1.07478521164983</v>
      </c>
    </row>
    <row r="4333" customFormat="false" ht="15" hidden="false" customHeight="false" outlineLevel="0" collapsed="false">
      <c r="A4333" s="57" t="n">
        <v>39250</v>
      </c>
      <c r="B4333" s="56" t="n">
        <v>2007</v>
      </c>
      <c r="C4333" s="56" t="n">
        <v>6</v>
      </c>
      <c r="D4333" s="56" t="n">
        <v>48</v>
      </c>
      <c r="E4333" s="56" t="n">
        <v>21.3</v>
      </c>
      <c r="F4333" s="56" t="n">
        <v>0</v>
      </c>
      <c r="G4333" s="56" t="n">
        <v>12.4</v>
      </c>
      <c r="H4333" s="56" t="n">
        <v>0</v>
      </c>
      <c r="I4333" s="56" t="n">
        <v>16.8</v>
      </c>
      <c r="J4333" s="56" t="n">
        <v>0</v>
      </c>
      <c r="K4333" s="56" t="n">
        <v>1004</v>
      </c>
      <c r="L4333" s="56" t="n">
        <v>0</v>
      </c>
      <c r="M4333" s="56" t="n">
        <v>74</v>
      </c>
      <c r="N4333" s="56" t="n">
        <v>3.3</v>
      </c>
      <c r="O4333" s="56" t="n">
        <f aca="false">IF(D4333=1,"",E4332)</f>
        <v>19.5</v>
      </c>
      <c r="P4333" s="56" t="n">
        <f aca="false">IF(OR(D4333=1,K4332=""),"",K4332)</f>
        <v>1001.2</v>
      </c>
      <c r="Q4333" s="56" t="n">
        <f aca="false">IF(OR(F4333&lt;&gt;0,AND(I4333&lt;&gt;"",E4333&lt;I4333)),1,0)</f>
        <v>0</v>
      </c>
      <c r="R4333" s="56" t="n">
        <f aca="false">IF(AND(D4333&gt;1,Q4333=0,ISNUMBER(O4333),ISNUMBER(P4333)),IF(Q4332=0,1,0),0)</f>
        <v>1</v>
      </c>
      <c r="S4333" s="56" t="n">
        <f aca="false">R4333*(B4333&gt;=Train_Start)*(B4333&lt;=Train_End)</f>
        <v>0</v>
      </c>
      <c r="T4333" s="84" t="n">
        <f aca="false">IF(AND(ISNUMBER(O4333),ISNUMBER(P4333)),Coef_A+Coef_B1*O4333+Coef_B2*P4333,"")</f>
        <v>19.4716281938777</v>
      </c>
      <c r="U4333" s="84" t="n">
        <f aca="false">IF(AND(R4333=1,ISNUMBER(T4333)),E4333-T4333,"")</f>
        <v>1.8283718061223</v>
      </c>
      <c r="V4333" s="84" t="n">
        <f aca="false">IF(ISNUMBER(T4333),T4333,-99)</f>
        <v>19.4716281938777</v>
      </c>
      <c r="W4333" s="84" t="n">
        <f aca="false">IF(ISNUMBER(U4333),ABS(U4333),"")</f>
        <v>1.8283718061223</v>
      </c>
    </row>
    <row r="4334" customFormat="false" ht="15" hidden="false" customHeight="false" outlineLevel="0" collapsed="false">
      <c r="A4334" s="57" t="n">
        <v>39251</v>
      </c>
      <c r="B4334" s="56" t="n">
        <v>2007</v>
      </c>
      <c r="C4334" s="56" t="n">
        <v>6</v>
      </c>
      <c r="D4334" s="56" t="n">
        <v>49</v>
      </c>
      <c r="E4334" s="56" t="n">
        <v>20.6</v>
      </c>
      <c r="F4334" s="56" t="n">
        <v>0</v>
      </c>
      <c r="G4334" s="56" t="n">
        <v>12.3</v>
      </c>
      <c r="H4334" s="56" t="n">
        <v>0</v>
      </c>
      <c r="I4334" s="56" t="n">
        <v>16.4</v>
      </c>
      <c r="J4334" s="56" t="n">
        <v>0</v>
      </c>
      <c r="K4334" s="56" t="n">
        <v>1007.2</v>
      </c>
      <c r="L4334" s="56" t="n">
        <v>0</v>
      </c>
      <c r="M4334" s="56" t="n">
        <v>80</v>
      </c>
      <c r="N4334" s="56" t="n">
        <v>3.8</v>
      </c>
      <c r="O4334" s="56" t="n">
        <f aca="false">IF(D4334=1,"",E4333)</f>
        <v>21.3</v>
      </c>
      <c r="P4334" s="56" t="n">
        <f aca="false">IF(OR(D4334=1,K4333=""),"",K4333)</f>
        <v>1004</v>
      </c>
      <c r="Q4334" s="56" t="n">
        <f aca="false">IF(OR(F4334&lt;&gt;0,AND(I4334&lt;&gt;"",E4334&lt;I4334)),1,0)</f>
        <v>0</v>
      </c>
      <c r="R4334" s="56" t="n">
        <f aca="false">IF(AND(D4334&gt;1,Q4334=0,ISNUMBER(O4334),ISNUMBER(P4334)),IF(Q4333=0,1,0),0)</f>
        <v>1</v>
      </c>
      <c r="S4334" s="56" t="n">
        <f aca="false">R4334*(B4334&gt;=Train_Start)*(B4334&lt;=Train_End)</f>
        <v>0</v>
      </c>
      <c r="T4334" s="84" t="n">
        <f aca="false">IF(AND(ISNUMBER(O4334),ISNUMBER(P4334)),Coef_A+Coef_B1*O4334+Coef_B2*P4334,"")</f>
        <v>21.0342744463297</v>
      </c>
      <c r="U4334" s="84" t="n">
        <f aca="false">IF(AND(R4334=1,ISNUMBER(T4334)),E4334-T4334,"")</f>
        <v>-0.434274446329653</v>
      </c>
      <c r="V4334" s="84" t="n">
        <f aca="false">IF(ISNUMBER(T4334),T4334,-99)</f>
        <v>21.0342744463297</v>
      </c>
      <c r="W4334" s="84" t="n">
        <f aca="false">IF(ISNUMBER(U4334),ABS(U4334),"")</f>
        <v>0.434274446329653</v>
      </c>
    </row>
    <row r="4335" customFormat="false" ht="15" hidden="false" customHeight="false" outlineLevel="0" collapsed="false">
      <c r="A4335" s="57" t="n">
        <v>39252</v>
      </c>
      <c r="B4335" s="56" t="n">
        <v>2007</v>
      </c>
      <c r="C4335" s="56" t="n">
        <v>6</v>
      </c>
      <c r="D4335" s="56" t="n">
        <v>50</v>
      </c>
      <c r="E4335" s="56" t="n">
        <v>25.4</v>
      </c>
      <c r="F4335" s="56" t="n">
        <v>0</v>
      </c>
      <c r="G4335" s="56" t="n">
        <v>11.7</v>
      </c>
      <c r="H4335" s="56" t="n">
        <v>0</v>
      </c>
      <c r="I4335" s="56" t="n">
        <v>18.6</v>
      </c>
      <c r="J4335" s="56" t="n">
        <v>0</v>
      </c>
      <c r="K4335" s="56" t="n">
        <v>1009.4</v>
      </c>
      <c r="L4335" s="56" t="n">
        <v>0</v>
      </c>
      <c r="M4335" s="56" t="n">
        <v>73</v>
      </c>
      <c r="N4335" s="56" t="n">
        <v>7.3</v>
      </c>
      <c r="O4335" s="56" t="n">
        <f aca="false">IF(D4335=1,"",E4334)</f>
        <v>20.6</v>
      </c>
      <c r="P4335" s="56" t="n">
        <f aca="false">IF(OR(D4335=1,K4334=""),"",K4334)</f>
        <v>1007.2</v>
      </c>
      <c r="Q4335" s="56" t="n">
        <f aca="false">IF(OR(F4335&lt;&gt;0,AND(I4335&lt;&gt;"",E4335&lt;I4335)),1,0)</f>
        <v>0</v>
      </c>
      <c r="R4335" s="56" t="n">
        <f aca="false">IF(AND(D4335&gt;1,Q4335=0,ISNUMBER(O4335),ISNUMBER(P4335)),IF(Q4334=0,1,0),0)</f>
        <v>1</v>
      </c>
      <c r="S4335" s="56" t="n">
        <f aca="false">R4335*(B4335&gt;=Train_Start)*(B4335&lt;=Train_End)</f>
        <v>0</v>
      </c>
      <c r="T4335" s="84" t="n">
        <f aca="false">IF(AND(ISNUMBER(O4335),ISNUMBER(P4335)),Coef_A+Coef_B1*O4335+Coef_B2*P4335,"")</f>
        <v>20.5611206740286</v>
      </c>
      <c r="U4335" s="84" t="n">
        <f aca="false">IF(AND(R4335=1,ISNUMBER(T4335)),E4335-T4335,"")</f>
        <v>4.83887932597143</v>
      </c>
      <c r="V4335" s="84" t="n">
        <f aca="false">IF(ISNUMBER(T4335),T4335,-99)</f>
        <v>20.5611206740286</v>
      </c>
      <c r="W4335" s="84" t="n">
        <f aca="false">IF(ISNUMBER(U4335),ABS(U4335),"")</f>
        <v>4.83887932597143</v>
      </c>
    </row>
    <row r="4336" customFormat="false" ht="15" hidden="false" customHeight="false" outlineLevel="0" collapsed="false">
      <c r="A4336" s="57" t="n">
        <v>39253</v>
      </c>
      <c r="B4336" s="56" t="n">
        <v>2007</v>
      </c>
      <c r="C4336" s="56" t="n">
        <v>6</v>
      </c>
      <c r="D4336" s="56" t="n">
        <v>51</v>
      </c>
      <c r="E4336" s="56" t="n">
        <v>22.2</v>
      </c>
      <c r="F4336" s="56" t="n">
        <v>0</v>
      </c>
      <c r="G4336" s="56" t="n">
        <v>13.9</v>
      </c>
      <c r="H4336" s="56" t="n">
        <v>0</v>
      </c>
      <c r="I4336" s="56" t="n">
        <v>18</v>
      </c>
      <c r="J4336" s="56" t="n">
        <v>0</v>
      </c>
      <c r="K4336" s="56" t="n">
        <v>1010.3</v>
      </c>
      <c r="L4336" s="56" t="n">
        <v>0</v>
      </c>
      <c r="M4336" s="56" t="n">
        <v>66</v>
      </c>
      <c r="N4336" s="56" t="n">
        <v>10.1</v>
      </c>
      <c r="O4336" s="56" t="n">
        <f aca="false">IF(D4336=1,"",E4335)</f>
        <v>25.4</v>
      </c>
      <c r="P4336" s="56" t="n">
        <f aca="false">IF(OR(D4336=1,K4335=""),"",K4335)</f>
        <v>1009.4</v>
      </c>
      <c r="Q4336" s="56" t="n">
        <f aca="false">IF(OR(F4336&lt;&gt;0,AND(I4336&lt;&gt;"",E4336&lt;I4336)),1,0)</f>
        <v>0</v>
      </c>
      <c r="R4336" s="56" t="n">
        <f aca="false">IF(AND(D4336&gt;1,Q4336=0,ISNUMBER(O4336),ISNUMBER(P4336)),IF(Q4335=0,1,0),0)</f>
        <v>1</v>
      </c>
      <c r="S4336" s="56" t="n">
        <f aca="false">R4336*(B4336&gt;=Train_Start)*(B4336&lt;=Train_End)</f>
        <v>0</v>
      </c>
      <c r="T4336" s="84" t="n">
        <f aca="false">IF(AND(ISNUMBER(O4336),ISNUMBER(P4336)),Coef_A+Coef_B1*O4336+Coef_B2*P4336,"")</f>
        <v>24.5629625688281</v>
      </c>
      <c r="U4336" s="84" t="n">
        <f aca="false">IF(AND(R4336=1,ISNUMBER(T4336)),E4336-T4336,"")</f>
        <v>-2.36296256882809</v>
      </c>
      <c r="V4336" s="84" t="n">
        <f aca="false">IF(ISNUMBER(T4336),T4336,-99)</f>
        <v>24.5629625688281</v>
      </c>
      <c r="W4336" s="84" t="n">
        <f aca="false">IF(ISNUMBER(U4336),ABS(U4336),"")</f>
        <v>2.36296256882809</v>
      </c>
    </row>
    <row r="4337" customFormat="false" ht="15" hidden="false" customHeight="false" outlineLevel="0" collapsed="false">
      <c r="A4337" s="57" t="n">
        <v>39254</v>
      </c>
      <c r="B4337" s="56" t="n">
        <v>2007</v>
      </c>
      <c r="C4337" s="56" t="n">
        <v>6</v>
      </c>
      <c r="D4337" s="56" t="n">
        <v>52</v>
      </c>
      <c r="E4337" s="56" t="n">
        <v>21.1</v>
      </c>
      <c r="F4337" s="56" t="n">
        <v>0</v>
      </c>
      <c r="G4337" s="56" t="n">
        <v>13.2</v>
      </c>
      <c r="H4337" s="56" t="n">
        <v>0</v>
      </c>
      <c r="I4337" s="56" t="n">
        <v>17.2</v>
      </c>
      <c r="J4337" s="56" t="n">
        <v>0</v>
      </c>
      <c r="K4337" s="56" t="n">
        <v>1010.1</v>
      </c>
      <c r="L4337" s="56" t="n">
        <v>0</v>
      </c>
      <c r="M4337" s="56" t="n">
        <v>71</v>
      </c>
      <c r="N4337" s="56" t="n">
        <v>5.9</v>
      </c>
      <c r="O4337" s="56" t="n">
        <f aca="false">IF(D4337=1,"",E4336)</f>
        <v>22.2</v>
      </c>
      <c r="P4337" s="56" t="n">
        <f aca="false">IF(OR(D4337=1,K4336=""),"",K4336)</f>
        <v>1010.3</v>
      </c>
      <c r="Q4337" s="56" t="n">
        <f aca="false">IF(OR(F4337&lt;&gt;0,AND(I4337&lt;&gt;"",E4337&lt;I4337)),1,0)</f>
        <v>0</v>
      </c>
      <c r="R4337" s="56" t="n">
        <f aca="false">IF(AND(D4337&gt;1,Q4337=0,ISNUMBER(O4337),ISNUMBER(P4337)),IF(Q4336=0,1,0),0)</f>
        <v>1</v>
      </c>
      <c r="S4337" s="56" t="n">
        <f aca="false">R4337*(B4337&gt;=Train_Start)*(B4337&lt;=Train_End)</f>
        <v>0</v>
      </c>
      <c r="T4337" s="84" t="n">
        <f aca="false">IF(AND(ISNUMBER(O4337),ISNUMBER(P4337)),Coef_A+Coef_B1*O4337+Coef_B2*P4337,"")</f>
        <v>21.9693100562622</v>
      </c>
      <c r="U4337" s="84" t="n">
        <f aca="false">IF(AND(R4337=1,ISNUMBER(T4337)),E4337-T4337,"")</f>
        <v>-0.869310056262176</v>
      </c>
      <c r="V4337" s="84" t="n">
        <f aca="false">IF(ISNUMBER(T4337),T4337,-99)</f>
        <v>21.9693100562622</v>
      </c>
      <c r="W4337" s="84" t="n">
        <f aca="false">IF(ISNUMBER(U4337),ABS(U4337),"")</f>
        <v>0.869310056262176</v>
      </c>
    </row>
    <row r="4338" customFormat="false" ht="15" hidden="false" customHeight="false" outlineLevel="0" collapsed="false">
      <c r="A4338" s="57" t="n">
        <v>39255</v>
      </c>
      <c r="B4338" s="56" t="n">
        <v>2007</v>
      </c>
      <c r="C4338" s="56" t="n">
        <v>6</v>
      </c>
      <c r="D4338" s="56" t="n">
        <v>53</v>
      </c>
      <c r="E4338" s="56" t="n">
        <v>20</v>
      </c>
      <c r="F4338" s="56" t="n">
        <v>0</v>
      </c>
      <c r="G4338" s="56" t="n">
        <v>13.8</v>
      </c>
      <c r="H4338" s="56" t="n">
        <v>0</v>
      </c>
      <c r="I4338" s="56" t="n">
        <v>16.9</v>
      </c>
      <c r="J4338" s="56" t="n">
        <v>0</v>
      </c>
      <c r="K4338" s="56" t="n">
        <v>1005.3</v>
      </c>
      <c r="L4338" s="56" t="n">
        <v>0</v>
      </c>
      <c r="M4338" s="56" t="n">
        <v>84</v>
      </c>
      <c r="N4338" s="56" t="n">
        <v>2.1</v>
      </c>
      <c r="O4338" s="56" t="n">
        <f aca="false">IF(D4338=1,"",E4337)</f>
        <v>21.1</v>
      </c>
      <c r="P4338" s="56" t="n">
        <f aca="false">IF(OR(D4338=1,K4337=""),"",K4337)</f>
        <v>1010.1</v>
      </c>
      <c r="Q4338" s="56" t="n">
        <f aca="false">IF(OR(F4338&lt;&gt;0,AND(I4338&lt;&gt;"",E4338&lt;I4338)),1,0)</f>
        <v>0</v>
      </c>
      <c r="R4338" s="56" t="n">
        <f aca="false">IF(AND(D4338&gt;1,Q4338=0,ISNUMBER(O4338),ISNUMBER(P4338)),IF(Q4337=0,1,0),0)</f>
        <v>1</v>
      </c>
      <c r="S4338" s="56" t="n">
        <f aca="false">R4338*(B4338&gt;=Train_Start)*(B4338&lt;=Train_End)</f>
        <v>0</v>
      </c>
      <c r="T4338" s="84" t="n">
        <f aca="false">IF(AND(ISNUMBER(O4338),ISNUMBER(P4338)),Coef_A+Coef_B1*O4338+Coef_B2*P4338,"")</f>
        <v>21.0617629649885</v>
      </c>
      <c r="U4338" s="84" t="n">
        <f aca="false">IF(AND(R4338=1,ISNUMBER(T4338)),E4338-T4338,"")</f>
        <v>-1.06176296498846</v>
      </c>
      <c r="V4338" s="84" t="n">
        <f aca="false">IF(ISNUMBER(T4338),T4338,-99)</f>
        <v>21.0617629649885</v>
      </c>
      <c r="W4338" s="84" t="n">
        <f aca="false">IF(ISNUMBER(U4338),ABS(U4338),"")</f>
        <v>1.06176296498846</v>
      </c>
    </row>
    <row r="4339" customFormat="false" ht="15" hidden="false" customHeight="false" outlineLevel="0" collapsed="false">
      <c r="A4339" s="57" t="n">
        <v>39256</v>
      </c>
      <c r="B4339" s="56" t="n">
        <v>2007</v>
      </c>
      <c r="C4339" s="56" t="n">
        <v>6</v>
      </c>
      <c r="D4339" s="56" t="n">
        <v>54</v>
      </c>
      <c r="E4339" s="56" t="n">
        <v>20.4</v>
      </c>
      <c r="F4339" s="56" t="n">
        <v>0</v>
      </c>
      <c r="G4339" s="56" t="n">
        <v>14.4</v>
      </c>
      <c r="H4339" s="56" t="n">
        <v>0</v>
      </c>
      <c r="I4339" s="56" t="n">
        <v>17.4</v>
      </c>
      <c r="J4339" s="56" t="n">
        <v>0</v>
      </c>
      <c r="K4339" s="56" t="n">
        <v>1008.5</v>
      </c>
      <c r="L4339" s="56" t="n">
        <v>0</v>
      </c>
      <c r="M4339" s="56" t="n">
        <v>80</v>
      </c>
      <c r="N4339" s="56" t="n">
        <v>2.8</v>
      </c>
      <c r="O4339" s="56" t="n">
        <f aca="false">IF(D4339=1,"",E4338)</f>
        <v>20</v>
      </c>
      <c r="P4339" s="56" t="n">
        <f aca="false">IF(OR(D4339=1,K4338=""),"",K4338)</f>
        <v>1005.3</v>
      </c>
      <c r="Q4339" s="56" t="n">
        <f aca="false">IF(OR(F4339&lt;&gt;0,AND(I4339&lt;&gt;"",E4339&lt;I4339)),1,0)</f>
        <v>0</v>
      </c>
      <c r="R4339" s="56" t="n">
        <f aca="false">IF(AND(D4339&gt;1,Q4339=0,ISNUMBER(O4339),ISNUMBER(P4339)),IF(Q4338=0,1,0),0)</f>
        <v>1</v>
      </c>
      <c r="S4339" s="56" t="n">
        <f aca="false">R4339*(B4339&gt;=Train_Start)*(B4339&lt;=Train_End)</f>
        <v>0</v>
      </c>
      <c r="T4339" s="84" t="n">
        <f aca="false">IF(AND(ISNUMBER(O4339),ISNUMBER(P4339)),Coef_A+Coef_B1*O4339+Coef_B2*P4339,"")</f>
        <v>20.0099143583984</v>
      </c>
      <c r="U4339" s="84" t="n">
        <f aca="false">IF(AND(R4339=1,ISNUMBER(T4339)),E4339-T4339,"")</f>
        <v>0.390085641601615</v>
      </c>
      <c r="V4339" s="84" t="n">
        <f aca="false">IF(ISNUMBER(T4339),T4339,-99)</f>
        <v>20.0099143583984</v>
      </c>
      <c r="W4339" s="84" t="n">
        <f aca="false">IF(ISNUMBER(U4339),ABS(U4339),"")</f>
        <v>0.390085641601615</v>
      </c>
    </row>
    <row r="4340" customFormat="false" ht="15" hidden="false" customHeight="false" outlineLevel="0" collapsed="false">
      <c r="A4340" s="57" t="n">
        <v>39257</v>
      </c>
      <c r="B4340" s="56" t="n">
        <v>2007</v>
      </c>
      <c r="C4340" s="56" t="n">
        <v>6</v>
      </c>
      <c r="D4340" s="56" t="n">
        <v>55</v>
      </c>
      <c r="E4340" s="56" t="n">
        <v>16.6</v>
      </c>
      <c r="F4340" s="56" t="n">
        <v>0</v>
      </c>
      <c r="G4340" s="56" t="n">
        <v>12.3</v>
      </c>
      <c r="H4340" s="56" t="n">
        <v>0</v>
      </c>
      <c r="I4340" s="56" t="n">
        <v>14.4</v>
      </c>
      <c r="J4340" s="56" t="n">
        <v>0</v>
      </c>
      <c r="K4340" s="56" t="n">
        <v>1006.4</v>
      </c>
      <c r="L4340" s="56" t="n">
        <v>0</v>
      </c>
      <c r="M4340" s="56" t="n">
        <v>88</v>
      </c>
      <c r="N4340" s="56" t="n">
        <v>0.1</v>
      </c>
      <c r="O4340" s="56" t="n">
        <f aca="false">IF(D4340=1,"",E4339)</f>
        <v>20.4</v>
      </c>
      <c r="P4340" s="56" t="n">
        <f aca="false">IF(OR(D4340=1,K4339=""),"",K4339)</f>
        <v>1008.5</v>
      </c>
      <c r="Q4340" s="56" t="n">
        <f aca="false">IF(OR(F4340&lt;&gt;0,AND(I4340&lt;&gt;"",E4340&lt;I4340)),1,0)</f>
        <v>0</v>
      </c>
      <c r="R4340" s="56" t="n">
        <f aca="false">IF(AND(D4340&gt;1,Q4340=0,ISNUMBER(O4340),ISNUMBER(P4340)),IF(Q4339=0,1,0),0)</f>
        <v>1</v>
      </c>
      <c r="S4340" s="56" t="n">
        <f aca="false">R4340*(B4340&gt;=Train_Start)*(B4340&lt;=Train_End)</f>
        <v>0</v>
      </c>
      <c r="T4340" s="84" t="n">
        <f aca="false">IF(AND(ISNUMBER(O4340),ISNUMBER(P4340)),Coef_A+Coef_B1*O4340+Coef_B2*P4340,"")</f>
        <v>20.4380336984442</v>
      </c>
      <c r="U4340" s="84" t="n">
        <f aca="false">IF(AND(R4340=1,ISNUMBER(T4340)),E4340-T4340,"")</f>
        <v>-3.83803369844421</v>
      </c>
      <c r="V4340" s="84" t="n">
        <f aca="false">IF(ISNUMBER(T4340),T4340,-99)</f>
        <v>20.4380336984442</v>
      </c>
      <c r="W4340" s="84" t="n">
        <f aca="false">IF(ISNUMBER(U4340),ABS(U4340),"")</f>
        <v>3.83803369844421</v>
      </c>
    </row>
    <row r="4341" customFormat="false" ht="15" hidden="false" customHeight="false" outlineLevel="0" collapsed="false">
      <c r="A4341" s="57" t="n">
        <v>39258</v>
      </c>
      <c r="B4341" s="56" t="n">
        <v>2007</v>
      </c>
      <c r="C4341" s="56" t="n">
        <v>6</v>
      </c>
      <c r="D4341" s="56" t="n">
        <v>56</v>
      </c>
      <c r="E4341" s="56" t="n">
        <v>16.2</v>
      </c>
      <c r="F4341" s="56" t="n">
        <v>0</v>
      </c>
      <c r="G4341" s="56" t="n">
        <v>11.9</v>
      </c>
      <c r="H4341" s="56" t="n">
        <v>0</v>
      </c>
      <c r="I4341" s="56" t="n">
        <v>14</v>
      </c>
      <c r="J4341" s="56" t="n">
        <v>0</v>
      </c>
      <c r="K4341" s="56" t="n">
        <v>997.5</v>
      </c>
      <c r="L4341" s="56" t="n">
        <v>0</v>
      </c>
      <c r="M4341" s="56" t="n">
        <v>85</v>
      </c>
      <c r="N4341" s="56" t="n">
        <v>2.7</v>
      </c>
      <c r="O4341" s="56" t="n">
        <f aca="false">IF(D4341=1,"",E4340)</f>
        <v>16.6</v>
      </c>
      <c r="P4341" s="56" t="n">
        <f aca="false">IF(OR(D4341=1,K4340=""),"",K4340)</f>
        <v>1006.4</v>
      </c>
      <c r="Q4341" s="56" t="n">
        <f aca="false">IF(OR(F4341&lt;&gt;0,AND(I4341&lt;&gt;"",E4341&lt;I4341)),1,0)</f>
        <v>0</v>
      </c>
      <c r="R4341" s="56" t="n">
        <f aca="false">IF(AND(D4341&gt;1,Q4341=0,ISNUMBER(O4341),ISNUMBER(P4341)),IF(Q4340=0,1,0),0)</f>
        <v>1</v>
      </c>
      <c r="S4341" s="56" t="n">
        <f aca="false">R4341*(B4341&gt;=Train_Start)*(B4341&lt;=Train_End)</f>
        <v>0</v>
      </c>
      <c r="T4341" s="84" t="n">
        <f aca="false">IF(AND(ISNUMBER(O4341),ISNUMBER(P4341)),Coef_A+Coef_B1*O4341+Coef_B2*P4341,"")</f>
        <v>17.2586679861507</v>
      </c>
      <c r="U4341" s="84" t="n">
        <f aca="false">IF(AND(R4341=1,ISNUMBER(T4341)),E4341-T4341,"")</f>
        <v>-1.05866798615074</v>
      </c>
      <c r="V4341" s="84" t="n">
        <f aca="false">IF(ISNUMBER(T4341),T4341,-99)</f>
        <v>17.2586679861507</v>
      </c>
      <c r="W4341" s="84" t="n">
        <f aca="false">IF(ISNUMBER(U4341),ABS(U4341),"")</f>
        <v>1.05866798615074</v>
      </c>
    </row>
    <row r="4342" customFormat="false" ht="15" hidden="false" customHeight="false" outlineLevel="0" collapsed="false">
      <c r="A4342" s="57" t="n">
        <v>39259</v>
      </c>
      <c r="B4342" s="56" t="n">
        <v>2007</v>
      </c>
      <c r="C4342" s="56" t="n">
        <v>6</v>
      </c>
      <c r="D4342" s="56" t="n">
        <v>57</v>
      </c>
      <c r="E4342" s="56" t="n">
        <v>17</v>
      </c>
      <c r="F4342" s="56" t="n">
        <v>0</v>
      </c>
      <c r="G4342" s="56" t="n">
        <v>11.2</v>
      </c>
      <c r="H4342" s="56" t="n">
        <v>0</v>
      </c>
      <c r="I4342" s="56" t="n">
        <v>14.1</v>
      </c>
      <c r="J4342" s="56" t="n">
        <v>0</v>
      </c>
      <c r="K4342" s="56" t="n">
        <v>1008.3</v>
      </c>
      <c r="L4342" s="56" t="n">
        <v>0</v>
      </c>
      <c r="M4342" s="56" t="n">
        <v>63</v>
      </c>
      <c r="N4342" s="56" t="n">
        <v>4.5</v>
      </c>
      <c r="O4342" s="56" t="n">
        <f aca="false">IF(D4342=1,"",E4341)</f>
        <v>16.2</v>
      </c>
      <c r="P4342" s="56" t="n">
        <f aca="false">IF(OR(D4342=1,K4341=""),"",K4341)</f>
        <v>997.5</v>
      </c>
      <c r="Q4342" s="56" t="n">
        <f aca="false">IF(OR(F4342&lt;&gt;0,AND(I4342&lt;&gt;"",E4342&lt;I4342)),1,0)</f>
        <v>0</v>
      </c>
      <c r="R4342" s="56" t="n">
        <f aca="false">IF(AND(D4342&gt;1,Q4342=0,ISNUMBER(O4342),ISNUMBER(P4342)),IF(Q4341=0,1,0),0)</f>
        <v>1</v>
      </c>
      <c r="S4342" s="56" t="n">
        <f aca="false">R4342*(B4342&gt;=Train_Start)*(B4342&lt;=Train_End)</f>
        <v>0</v>
      </c>
      <c r="T4342" s="84" t="n">
        <f aca="false">IF(AND(ISNUMBER(O4342),ISNUMBER(P4342)),Coef_A+Coef_B1*O4342+Coef_B2*P4342,"")</f>
        <v>16.6517402466912</v>
      </c>
      <c r="U4342" s="84" t="n">
        <f aca="false">IF(AND(R4342=1,ISNUMBER(T4342)),E4342-T4342,"")</f>
        <v>0.348259753308831</v>
      </c>
      <c r="V4342" s="84" t="n">
        <f aca="false">IF(ISNUMBER(T4342),T4342,-99)</f>
        <v>16.6517402466912</v>
      </c>
      <c r="W4342" s="84" t="n">
        <f aca="false">IF(ISNUMBER(U4342),ABS(U4342),"")</f>
        <v>0.348259753308831</v>
      </c>
    </row>
    <row r="4343" customFormat="false" ht="15" hidden="false" customHeight="false" outlineLevel="0" collapsed="false">
      <c r="A4343" s="57" t="n">
        <v>39260</v>
      </c>
      <c r="B4343" s="56" t="n">
        <v>2007</v>
      </c>
      <c r="C4343" s="56" t="n">
        <v>6</v>
      </c>
      <c r="D4343" s="56" t="n">
        <v>58</v>
      </c>
      <c r="E4343" s="56" t="n">
        <v>19.6</v>
      </c>
      <c r="F4343" s="56" t="n">
        <v>0</v>
      </c>
      <c r="G4343" s="56" t="n">
        <v>9.2</v>
      </c>
      <c r="H4343" s="56" t="n">
        <v>0</v>
      </c>
      <c r="I4343" s="56" t="n">
        <v>14.4</v>
      </c>
      <c r="J4343" s="56" t="n">
        <v>0</v>
      </c>
      <c r="K4343" s="56" t="n">
        <v>1007.4</v>
      </c>
      <c r="L4343" s="56" t="n">
        <v>0</v>
      </c>
      <c r="M4343" s="56" t="n">
        <v>74</v>
      </c>
      <c r="N4343" s="56" t="n">
        <v>1.4</v>
      </c>
      <c r="O4343" s="56" t="n">
        <f aca="false">IF(D4343=1,"",E4342)</f>
        <v>17</v>
      </c>
      <c r="P4343" s="56" t="n">
        <f aca="false">IF(OR(D4343=1,K4342=""),"",K4342)</f>
        <v>1008.3</v>
      </c>
      <c r="Q4343" s="56" t="n">
        <f aca="false">IF(OR(F4343&lt;&gt;0,AND(I4343&lt;&gt;"",E4343&lt;I4343)),1,0)</f>
        <v>0</v>
      </c>
      <c r="R4343" s="56" t="n">
        <f aca="false">IF(AND(D4343&gt;1,Q4343=0,ISNUMBER(O4343),ISNUMBER(P4343)),IF(Q4342=0,1,0),0)</f>
        <v>1</v>
      </c>
      <c r="S4343" s="56" t="n">
        <f aca="false">R4343*(B4343&gt;=Train_Start)*(B4343&lt;=Train_End)</f>
        <v>0</v>
      </c>
      <c r="T4343" s="84" t="n">
        <f aca="false">IF(AND(ISNUMBER(O4343),ISNUMBER(P4343)),Coef_A+Coef_B1*O4343+Coef_B2*P4343,"")</f>
        <v>17.6460064631724</v>
      </c>
      <c r="U4343" s="84" t="n">
        <f aca="false">IF(AND(R4343=1,ISNUMBER(T4343)),E4343-T4343,"")</f>
        <v>1.95399353682762</v>
      </c>
      <c r="V4343" s="84" t="n">
        <f aca="false">IF(ISNUMBER(T4343),T4343,-99)</f>
        <v>17.6460064631724</v>
      </c>
      <c r="W4343" s="84" t="n">
        <f aca="false">IF(ISNUMBER(U4343),ABS(U4343),"")</f>
        <v>1.95399353682762</v>
      </c>
    </row>
    <row r="4344" customFormat="false" ht="15" hidden="false" customHeight="false" outlineLevel="0" collapsed="false">
      <c r="A4344" s="57" t="n">
        <v>39261</v>
      </c>
      <c r="B4344" s="56" t="n">
        <v>2007</v>
      </c>
      <c r="C4344" s="56" t="n">
        <v>6</v>
      </c>
      <c r="D4344" s="56" t="n">
        <v>59</v>
      </c>
      <c r="E4344" s="56" t="n">
        <v>20.1</v>
      </c>
      <c r="F4344" s="56" t="n">
        <v>0</v>
      </c>
      <c r="G4344" s="56" t="n">
        <v>7.7</v>
      </c>
      <c r="H4344" s="56" t="n">
        <v>0</v>
      </c>
      <c r="I4344" s="56" t="n">
        <v>13.9</v>
      </c>
      <c r="J4344" s="56" t="n">
        <v>0</v>
      </c>
      <c r="K4344" s="56" t="n">
        <v>1009.8</v>
      </c>
      <c r="L4344" s="56" t="n">
        <v>0</v>
      </c>
      <c r="M4344" s="56" t="n">
        <v>71</v>
      </c>
      <c r="N4344" s="56" t="n">
        <v>3.5</v>
      </c>
      <c r="O4344" s="56" t="n">
        <f aca="false">IF(D4344=1,"",E4343)</f>
        <v>19.6</v>
      </c>
      <c r="P4344" s="56" t="n">
        <f aca="false">IF(OR(D4344=1,K4343=""),"",K4343)</f>
        <v>1007.4</v>
      </c>
      <c r="Q4344" s="56" t="n">
        <f aca="false">IF(OR(F4344&lt;&gt;0,AND(I4344&lt;&gt;"",E4344&lt;I4344)),1,0)</f>
        <v>0</v>
      </c>
      <c r="R4344" s="56" t="n">
        <f aca="false">IF(AND(D4344&gt;1,Q4344=0,ISNUMBER(O4344),ISNUMBER(P4344)),IF(Q4343=0,1,0),0)</f>
        <v>1</v>
      </c>
      <c r="S4344" s="56" t="n">
        <f aca="false">R4344*(B4344&gt;=Train_Start)*(B4344&lt;=Train_End)</f>
        <v>0</v>
      </c>
      <c r="T4344" s="84" t="n">
        <f aca="false">IF(AND(ISNUMBER(O4344),ISNUMBER(P4344)),Coef_A+Coef_B1*O4344+Coef_B2*P4344,"")</f>
        <v>19.7480554599127</v>
      </c>
      <c r="U4344" s="84" t="n">
        <f aca="false">IF(AND(R4344=1,ISNUMBER(T4344)),E4344-T4344,"")</f>
        <v>0.351944540087299</v>
      </c>
      <c r="V4344" s="84" t="n">
        <f aca="false">IF(ISNUMBER(T4344),T4344,-99)</f>
        <v>19.7480554599127</v>
      </c>
      <c r="W4344" s="84" t="n">
        <f aca="false">IF(ISNUMBER(U4344),ABS(U4344),"")</f>
        <v>0.351944540087299</v>
      </c>
    </row>
    <row r="4345" customFormat="false" ht="15" hidden="false" customHeight="false" outlineLevel="0" collapsed="false">
      <c r="A4345" s="57" t="n">
        <v>39262</v>
      </c>
      <c r="B4345" s="56" t="n">
        <v>2007</v>
      </c>
      <c r="C4345" s="56" t="n">
        <v>6</v>
      </c>
      <c r="D4345" s="56" t="n">
        <v>60</v>
      </c>
      <c r="E4345" s="56" t="n">
        <v>22.2</v>
      </c>
      <c r="F4345" s="56" t="n">
        <v>0</v>
      </c>
      <c r="G4345" s="56" t="n">
        <v>13</v>
      </c>
      <c r="H4345" s="56" t="n">
        <v>0</v>
      </c>
      <c r="I4345" s="56" t="n">
        <v>17.6</v>
      </c>
      <c r="J4345" s="56" t="n">
        <v>0</v>
      </c>
      <c r="K4345" s="56" t="n">
        <v>1007.8</v>
      </c>
      <c r="L4345" s="56" t="n">
        <v>0</v>
      </c>
      <c r="M4345" s="56" t="n">
        <v>75</v>
      </c>
      <c r="N4345" s="56" t="n">
        <v>5.9</v>
      </c>
      <c r="O4345" s="56" t="n">
        <f aca="false">IF(D4345=1,"",E4344)</f>
        <v>20.1</v>
      </c>
      <c r="P4345" s="56" t="n">
        <f aca="false">IF(OR(D4345=1,K4344=""),"",K4344)</f>
        <v>1009.8</v>
      </c>
      <c r="Q4345" s="56" t="n">
        <f aca="false">IF(OR(F4345&lt;&gt;0,AND(I4345&lt;&gt;"",E4345&lt;I4345)),1,0)</f>
        <v>0</v>
      </c>
      <c r="R4345" s="56" t="n">
        <f aca="false">IF(AND(D4345&gt;1,Q4345=0,ISNUMBER(O4345),ISNUMBER(P4345)),IF(Q4344=0,1,0),0)</f>
        <v>1</v>
      </c>
      <c r="S4345" s="56" t="n">
        <f aca="false">R4345*(B4345&gt;=Train_Start)*(B4345&lt;=Train_End)</f>
        <v>0</v>
      </c>
      <c r="T4345" s="84" t="n">
        <f aca="false">IF(AND(ISNUMBER(O4345),ISNUMBER(P4345)),Coef_A+Coef_B1*O4345+Coef_B2*P4345,"")</f>
        <v>20.2330128035556</v>
      </c>
      <c r="U4345" s="84" t="n">
        <f aca="false">IF(AND(R4345=1,ISNUMBER(T4345)),E4345-T4345,"")</f>
        <v>1.9669871964444</v>
      </c>
      <c r="V4345" s="84" t="n">
        <f aca="false">IF(ISNUMBER(T4345),T4345,-99)</f>
        <v>20.2330128035556</v>
      </c>
      <c r="W4345" s="84" t="n">
        <f aca="false">IF(ISNUMBER(U4345),ABS(U4345),"")</f>
        <v>1.9669871964444</v>
      </c>
    </row>
    <row r="4346" customFormat="false" ht="15" hidden="false" customHeight="false" outlineLevel="0" collapsed="false">
      <c r="A4346" s="57" t="n">
        <v>39263</v>
      </c>
      <c r="B4346" s="56" t="n">
        <v>2007</v>
      </c>
      <c r="C4346" s="56" t="n">
        <v>6</v>
      </c>
      <c r="D4346" s="56" t="n">
        <v>61</v>
      </c>
      <c r="E4346" s="56" t="n">
        <v>18.3</v>
      </c>
      <c r="F4346" s="56" t="n">
        <v>0</v>
      </c>
      <c r="G4346" s="56" t="n">
        <v>13.2</v>
      </c>
      <c r="H4346" s="56" t="n">
        <v>0</v>
      </c>
      <c r="I4346" s="56" t="n">
        <v>15.8</v>
      </c>
      <c r="J4346" s="56" t="n">
        <v>0</v>
      </c>
      <c r="K4346" s="56" t="n">
        <v>1011.2</v>
      </c>
      <c r="L4346" s="56" t="n">
        <v>0</v>
      </c>
      <c r="M4346" s="56" t="n">
        <v>91</v>
      </c>
      <c r="N4346" s="56" t="n">
        <v>0</v>
      </c>
      <c r="O4346" s="56" t="n">
        <f aca="false">IF(D4346=1,"",E4345)</f>
        <v>22.2</v>
      </c>
      <c r="P4346" s="56" t="n">
        <f aca="false">IF(OR(D4346=1,K4345=""),"",K4345)</f>
        <v>1007.8</v>
      </c>
      <c r="Q4346" s="56" t="n">
        <f aca="false">IF(OR(F4346&lt;&gt;0,AND(I4346&lt;&gt;"",E4346&lt;I4346)),1,0)</f>
        <v>0</v>
      </c>
      <c r="R4346" s="56" t="n">
        <f aca="false">IF(AND(D4346&gt;1,Q4346=0,ISNUMBER(O4346),ISNUMBER(P4346)),IF(Q4345=0,1,0),0)</f>
        <v>1</v>
      </c>
      <c r="S4346" s="56" t="n">
        <f aca="false">R4346*(B4346&gt;=Train_Start)*(B4346&lt;=Train_End)</f>
        <v>0</v>
      </c>
      <c r="T4346" s="84" t="n">
        <f aca="false">IF(AND(ISNUMBER(O4346),ISNUMBER(P4346)),Coef_A+Coef_B1*O4346+Coef_B2*P4346,"")</f>
        <v>21.8908853196772</v>
      </c>
      <c r="U4346" s="84" t="n">
        <f aca="false">IF(AND(R4346=1,ISNUMBER(T4346)),E4346-T4346,"")</f>
        <v>-3.59088531967721</v>
      </c>
      <c r="V4346" s="84" t="n">
        <f aca="false">IF(ISNUMBER(T4346),T4346,-99)</f>
        <v>21.8908853196772</v>
      </c>
      <c r="W4346" s="84" t="n">
        <f aca="false">IF(ISNUMBER(U4346),ABS(U4346),"")</f>
        <v>3.59088531967721</v>
      </c>
    </row>
    <row r="4347" customFormat="false" ht="15" hidden="false" customHeight="false" outlineLevel="0" collapsed="false">
      <c r="A4347" s="57" t="n">
        <v>39264</v>
      </c>
      <c r="B4347" s="56" t="n">
        <v>2007</v>
      </c>
      <c r="C4347" s="56" t="n">
        <v>7</v>
      </c>
      <c r="D4347" s="56" t="n">
        <v>62</v>
      </c>
      <c r="E4347" s="56" t="n">
        <v>20.7</v>
      </c>
      <c r="F4347" s="56" t="n">
        <v>0</v>
      </c>
      <c r="G4347" s="56" t="n">
        <v>15.1</v>
      </c>
      <c r="H4347" s="56" t="n">
        <v>0</v>
      </c>
      <c r="I4347" s="56" t="n">
        <v>17.9</v>
      </c>
      <c r="J4347" s="56" t="n">
        <v>0</v>
      </c>
      <c r="K4347" s="56" t="n">
        <v>1002.6</v>
      </c>
      <c r="L4347" s="56" t="n">
        <v>0</v>
      </c>
      <c r="M4347" s="56" t="n">
        <v>80</v>
      </c>
      <c r="N4347" s="56" t="n">
        <v>6.1</v>
      </c>
      <c r="O4347" s="56" t="n">
        <f aca="false">IF(D4347=1,"",E4346)</f>
        <v>18.3</v>
      </c>
      <c r="P4347" s="56" t="n">
        <f aca="false">IF(OR(D4347=1,K4346=""),"",K4346)</f>
        <v>1011.2</v>
      </c>
      <c r="Q4347" s="56" t="n">
        <f aca="false">IF(OR(F4347&lt;&gt;0,AND(I4347&lt;&gt;"",E4347&lt;I4347)),1,0)</f>
        <v>0</v>
      </c>
      <c r="R4347" s="56" t="n">
        <f aca="false">IF(AND(D4347&gt;1,Q4347=0,ISNUMBER(O4347),ISNUMBER(P4347)),IF(Q4346=0,1,0),0)</f>
        <v>1</v>
      </c>
      <c r="S4347" s="56" t="n">
        <f aca="false">R4347*(B4347&gt;=Train_Start)*(B4347&lt;=Train_End)</f>
        <v>0</v>
      </c>
      <c r="T4347" s="84" t="n">
        <f aca="false">IF(AND(ISNUMBER(O4347),ISNUMBER(P4347)),Coef_A+Coef_B1*O4347+Coef_B2*P4347,"")</f>
        <v>18.8021201085664</v>
      </c>
      <c r="U4347" s="84" t="n">
        <f aca="false">IF(AND(R4347=1,ISNUMBER(T4347)),E4347-T4347,"")</f>
        <v>1.89787989143359</v>
      </c>
      <c r="V4347" s="84" t="n">
        <f aca="false">IF(ISNUMBER(T4347),T4347,-99)</f>
        <v>18.8021201085664</v>
      </c>
      <c r="W4347" s="84" t="n">
        <f aca="false">IF(ISNUMBER(U4347),ABS(U4347),"")</f>
        <v>1.89787989143359</v>
      </c>
    </row>
    <row r="4348" customFormat="false" ht="15" hidden="false" customHeight="false" outlineLevel="0" collapsed="false">
      <c r="A4348" s="57" t="n">
        <v>39265</v>
      </c>
      <c r="B4348" s="56" t="n">
        <v>2007</v>
      </c>
      <c r="C4348" s="56" t="n">
        <v>7</v>
      </c>
      <c r="D4348" s="56" t="n">
        <v>63</v>
      </c>
      <c r="E4348" s="56" t="n">
        <v>20.6</v>
      </c>
      <c r="F4348" s="56" t="n">
        <v>0</v>
      </c>
      <c r="G4348" s="56" t="n">
        <v>14.2</v>
      </c>
      <c r="H4348" s="56" t="n">
        <v>0</v>
      </c>
      <c r="I4348" s="56" t="n">
        <v>17.4</v>
      </c>
      <c r="J4348" s="56" t="n">
        <v>0</v>
      </c>
      <c r="K4348" s="56" t="n">
        <v>1002.3</v>
      </c>
      <c r="L4348" s="56" t="n">
        <v>0</v>
      </c>
      <c r="M4348" s="56" t="n">
        <v>85</v>
      </c>
      <c r="N4348" s="56" t="n">
        <v>2.1</v>
      </c>
      <c r="O4348" s="56" t="n">
        <f aca="false">IF(D4348=1,"",E4347)</f>
        <v>20.7</v>
      </c>
      <c r="P4348" s="56" t="n">
        <f aca="false">IF(OR(D4348=1,K4347=""),"",K4347)</f>
        <v>1002.6</v>
      </c>
      <c r="Q4348" s="56" t="n">
        <f aca="false">IF(OR(F4348&lt;&gt;0,AND(I4348&lt;&gt;"",E4348&lt;I4348)),1,0)</f>
        <v>0</v>
      </c>
      <c r="R4348" s="56" t="n">
        <f aca="false">IF(AND(D4348&gt;1,Q4348=0,ISNUMBER(O4348),ISNUMBER(P4348)),IF(Q4347=0,1,0),0)</f>
        <v>1</v>
      </c>
      <c r="S4348" s="56" t="n">
        <f aca="false">R4348*(B4348&gt;=Train_Start)*(B4348&lt;=Train_End)</f>
        <v>0</v>
      </c>
      <c r="T4348" s="84" t="n">
        <f aca="false">IF(AND(ISNUMBER(O4348),ISNUMBER(P4348)),Coef_A+Coef_B1*O4348+Coef_B2*P4348,"")</f>
        <v>20.4987530780165</v>
      </c>
      <c r="U4348" s="84" t="n">
        <f aca="false">IF(AND(R4348=1,ISNUMBER(T4348)),E4348-T4348,"")</f>
        <v>0.101246921983527</v>
      </c>
      <c r="V4348" s="84" t="n">
        <f aca="false">IF(ISNUMBER(T4348),T4348,-99)</f>
        <v>20.4987530780165</v>
      </c>
      <c r="W4348" s="84" t="n">
        <f aca="false">IF(ISNUMBER(U4348),ABS(U4348),"")</f>
        <v>0.101246921983527</v>
      </c>
    </row>
    <row r="4349" customFormat="false" ht="15" hidden="false" customHeight="false" outlineLevel="0" collapsed="false">
      <c r="A4349" s="57" t="n">
        <v>39266</v>
      </c>
      <c r="B4349" s="56" t="n">
        <v>2007</v>
      </c>
      <c r="C4349" s="56" t="n">
        <v>7</v>
      </c>
      <c r="D4349" s="56" t="n">
        <v>64</v>
      </c>
      <c r="E4349" s="56" t="n">
        <v>20</v>
      </c>
      <c r="F4349" s="56" t="n">
        <v>0</v>
      </c>
      <c r="G4349" s="56" t="n">
        <v>11.9</v>
      </c>
      <c r="H4349" s="56" t="n">
        <v>0</v>
      </c>
      <c r="I4349" s="56" t="n">
        <v>16</v>
      </c>
      <c r="J4349" s="56" t="n">
        <v>0</v>
      </c>
      <c r="K4349" s="56" t="n">
        <v>1000.2</v>
      </c>
      <c r="L4349" s="56" t="n">
        <v>0</v>
      </c>
      <c r="M4349" s="56" t="n">
        <v>80</v>
      </c>
      <c r="N4349" s="56" t="n">
        <v>4</v>
      </c>
      <c r="O4349" s="56" t="n">
        <f aca="false">IF(D4349=1,"",E4348)</f>
        <v>20.6</v>
      </c>
      <c r="P4349" s="56" t="n">
        <f aca="false">IF(OR(D4349=1,K4348=""),"",K4348)</f>
        <v>1002.3</v>
      </c>
      <c r="Q4349" s="56" t="n">
        <f aca="false">IF(OR(F4349&lt;&gt;0,AND(I4349&lt;&gt;"",E4349&lt;I4349)),1,0)</f>
        <v>0</v>
      </c>
      <c r="R4349" s="56" t="n">
        <f aca="false">IF(AND(D4349&gt;1,Q4349=0,ISNUMBER(O4349),ISNUMBER(P4349)),IF(Q4348=0,1,0),0)</f>
        <v>1</v>
      </c>
      <c r="S4349" s="56" t="n">
        <f aca="false">R4349*(B4349&gt;=Train_Start)*(B4349&lt;=Train_End)</f>
        <v>0</v>
      </c>
      <c r="T4349" s="84" t="n">
        <f aca="false">IF(AND(ISNUMBER(O4349),ISNUMBER(P4349)),Coef_A+Coef_B1*O4349+Coef_B2*P4349,"")</f>
        <v>20.407408190322</v>
      </c>
      <c r="U4349" s="84" t="n">
        <f aca="false">IF(AND(R4349=1,ISNUMBER(T4349)),E4349-T4349,"")</f>
        <v>-0.407408190322013</v>
      </c>
      <c r="V4349" s="84" t="n">
        <f aca="false">IF(ISNUMBER(T4349),T4349,-99)</f>
        <v>20.407408190322</v>
      </c>
      <c r="W4349" s="84" t="n">
        <f aca="false">IF(ISNUMBER(U4349),ABS(U4349),"")</f>
        <v>0.407408190322013</v>
      </c>
    </row>
    <row r="4350" customFormat="false" ht="15" hidden="false" customHeight="false" outlineLevel="0" collapsed="false">
      <c r="A4350" s="57" t="n">
        <v>39267</v>
      </c>
      <c r="B4350" s="56" t="n">
        <v>2007</v>
      </c>
      <c r="C4350" s="56" t="n">
        <v>7</v>
      </c>
      <c r="D4350" s="56" t="n">
        <v>65</v>
      </c>
      <c r="E4350" s="56" t="n">
        <v>19.3</v>
      </c>
      <c r="F4350" s="56" t="n">
        <v>0</v>
      </c>
      <c r="G4350" s="56" t="n">
        <v>12.3</v>
      </c>
      <c r="H4350" s="56" t="n">
        <v>0</v>
      </c>
      <c r="I4350" s="56" t="n">
        <v>15.8</v>
      </c>
      <c r="J4350" s="56" t="n">
        <v>0</v>
      </c>
      <c r="K4350" s="56" t="n">
        <v>1005.3</v>
      </c>
      <c r="L4350" s="56" t="n">
        <v>0</v>
      </c>
      <c r="M4350" s="56" t="n">
        <v>79</v>
      </c>
      <c r="N4350" s="56" t="n">
        <v>4.1</v>
      </c>
      <c r="O4350" s="56" t="n">
        <f aca="false">IF(D4350=1,"",E4349)</f>
        <v>20</v>
      </c>
      <c r="P4350" s="56" t="n">
        <f aca="false">IF(OR(D4350=1,K4349=""),"",K4349)</f>
        <v>1000.2</v>
      </c>
      <c r="Q4350" s="56" t="n">
        <f aca="false">IF(OR(F4350&lt;&gt;0,AND(I4350&lt;&gt;"",E4350&lt;I4350)),1,0)</f>
        <v>0</v>
      </c>
      <c r="R4350" s="56" t="n">
        <f aca="false">IF(AND(D4350&gt;1,Q4350=0,ISNUMBER(O4350),ISNUMBER(P4350)),IF(Q4349=0,1,0),0)</f>
        <v>1</v>
      </c>
      <c r="S4350" s="56" t="n">
        <f aca="false">R4350*(B4350&gt;=Train_Start)*(B4350&lt;=Train_End)</f>
        <v>0</v>
      </c>
      <c r="T4350" s="84" t="n">
        <f aca="false">IF(AND(ISNUMBER(O4350),ISNUMBER(P4350)),Coef_A+Coef_B1*O4350+Coef_B2*P4350,"")</f>
        <v>19.849927895765</v>
      </c>
      <c r="U4350" s="84" t="n">
        <f aca="false">IF(AND(R4350=1,ISNUMBER(T4350)),E4350-T4350,"")</f>
        <v>-0.549927895765038</v>
      </c>
      <c r="V4350" s="84" t="n">
        <f aca="false">IF(ISNUMBER(T4350),T4350,-99)</f>
        <v>19.849927895765</v>
      </c>
      <c r="W4350" s="84" t="n">
        <f aca="false">IF(ISNUMBER(U4350),ABS(U4350),"")</f>
        <v>0.549927895765038</v>
      </c>
    </row>
    <row r="4351" customFormat="false" ht="15" hidden="false" customHeight="false" outlineLevel="0" collapsed="false">
      <c r="A4351" s="57" t="n">
        <v>39268</v>
      </c>
      <c r="B4351" s="56" t="n">
        <v>2007</v>
      </c>
      <c r="C4351" s="56" t="n">
        <v>7</v>
      </c>
      <c r="D4351" s="56" t="n">
        <v>66</v>
      </c>
      <c r="E4351" s="56" t="n">
        <v>19.8</v>
      </c>
      <c r="F4351" s="56" t="n">
        <v>0</v>
      </c>
      <c r="G4351" s="56" t="n">
        <v>14.2</v>
      </c>
      <c r="H4351" s="56" t="n">
        <v>0</v>
      </c>
      <c r="I4351" s="56" t="n">
        <v>17</v>
      </c>
      <c r="J4351" s="56" t="n">
        <v>0</v>
      </c>
      <c r="K4351" s="56" t="n">
        <v>1010.2</v>
      </c>
      <c r="L4351" s="56" t="n">
        <v>0</v>
      </c>
      <c r="M4351" s="56" t="n">
        <v>80</v>
      </c>
      <c r="N4351" s="56" t="n">
        <v>1.6</v>
      </c>
      <c r="O4351" s="56" t="n">
        <f aca="false">IF(D4351=1,"",E4350)</f>
        <v>19.3</v>
      </c>
      <c r="P4351" s="56" t="n">
        <f aca="false">IF(OR(D4351=1,K4350=""),"",K4350)</f>
        <v>1005.3</v>
      </c>
      <c r="Q4351" s="56" t="n">
        <f aca="false">IF(OR(F4351&lt;&gt;0,AND(I4351&lt;&gt;"",E4351&lt;I4351)),1,0)</f>
        <v>0</v>
      </c>
      <c r="R4351" s="56" t="n">
        <f aca="false">IF(AND(D4351&gt;1,Q4351=0,ISNUMBER(O4351),ISNUMBER(P4351)),IF(Q4350=0,1,0),0)</f>
        <v>1</v>
      </c>
      <c r="S4351" s="56" t="n">
        <f aca="false">R4351*(B4351&gt;=Train_Start)*(B4351&lt;=Train_End)</f>
        <v>0</v>
      </c>
      <c r="T4351" s="84" t="n">
        <f aca="false">IF(AND(ISNUMBER(O4351),ISNUMBER(P4351)),Coef_A+Coef_B1*O4351+Coef_B2*P4351,"")</f>
        <v>19.4363769232685</v>
      </c>
      <c r="U4351" s="84" t="n">
        <f aca="false">IF(AND(R4351=1,ISNUMBER(T4351)),E4351-T4351,"")</f>
        <v>0.363623076731475</v>
      </c>
      <c r="V4351" s="84" t="n">
        <f aca="false">IF(ISNUMBER(T4351),T4351,-99)</f>
        <v>19.4363769232685</v>
      </c>
      <c r="W4351" s="84" t="n">
        <f aca="false">IF(ISNUMBER(U4351),ABS(U4351),"")</f>
        <v>0.363623076731475</v>
      </c>
    </row>
    <row r="4352" customFormat="false" ht="15" hidden="false" customHeight="false" outlineLevel="0" collapsed="false">
      <c r="A4352" s="57" t="n">
        <v>39269</v>
      </c>
      <c r="B4352" s="56" t="n">
        <v>2007</v>
      </c>
      <c r="C4352" s="56" t="n">
        <v>7</v>
      </c>
      <c r="D4352" s="56" t="n">
        <v>67</v>
      </c>
      <c r="E4352" s="56" t="n">
        <v>20.8</v>
      </c>
      <c r="F4352" s="56" t="n">
        <v>0</v>
      </c>
      <c r="G4352" s="56" t="n">
        <v>13.9</v>
      </c>
      <c r="H4352" s="56" t="n">
        <v>0</v>
      </c>
      <c r="I4352" s="56" t="n">
        <v>17.4</v>
      </c>
      <c r="J4352" s="56" t="n">
        <v>0</v>
      </c>
      <c r="K4352" s="56" t="n">
        <v>1009.1</v>
      </c>
      <c r="L4352" s="56" t="n">
        <v>0</v>
      </c>
      <c r="M4352" s="56" t="n">
        <v>67</v>
      </c>
      <c r="N4352" s="56" t="n">
        <v>3.5</v>
      </c>
      <c r="O4352" s="56" t="n">
        <f aca="false">IF(D4352=1,"",E4351)</f>
        <v>19.8</v>
      </c>
      <c r="P4352" s="56" t="n">
        <f aca="false">IF(OR(D4352=1,K4351=""),"",K4351)</f>
        <v>1010.2</v>
      </c>
      <c r="Q4352" s="56" t="n">
        <f aca="false">IF(OR(F4352&lt;&gt;0,AND(I4352&lt;&gt;"",E4352&lt;I4352)),1,0)</f>
        <v>0</v>
      </c>
      <c r="R4352" s="56" t="n">
        <f aca="false">IF(AND(D4352&gt;1,Q4352=0,ISNUMBER(O4352),ISNUMBER(P4352)),IF(Q4351=0,1,0),0)</f>
        <v>1</v>
      </c>
      <c r="S4352" s="56" t="n">
        <f aca="false">R4352*(B4352&gt;=Train_Start)*(B4352&lt;=Train_End)</f>
        <v>0</v>
      </c>
      <c r="T4352" s="84" t="n">
        <f aca="false">IF(AND(ISNUMBER(O4352),ISNUMBER(P4352)),Coef_A+Coef_B1*O4352+Coef_B2*P4352,"")</f>
        <v>19.9997590034964</v>
      </c>
      <c r="U4352" s="84" t="n">
        <f aca="false">IF(AND(R4352=1,ISNUMBER(T4352)),E4352-T4352,"")</f>
        <v>0.800240996503597</v>
      </c>
      <c r="V4352" s="84" t="n">
        <f aca="false">IF(ISNUMBER(T4352),T4352,-99)</f>
        <v>19.9997590034964</v>
      </c>
      <c r="W4352" s="84" t="n">
        <f aca="false">IF(ISNUMBER(U4352),ABS(U4352),"")</f>
        <v>0.800240996503597</v>
      </c>
    </row>
    <row r="4353" customFormat="false" ht="15" hidden="false" customHeight="false" outlineLevel="0" collapsed="false">
      <c r="A4353" s="57" t="n">
        <v>39270</v>
      </c>
      <c r="B4353" s="56" t="n">
        <v>2007</v>
      </c>
      <c r="C4353" s="56" t="n">
        <v>7</v>
      </c>
      <c r="D4353" s="56" t="n">
        <v>68</v>
      </c>
      <c r="E4353" s="56" t="n">
        <v>22.4</v>
      </c>
      <c r="F4353" s="56" t="n">
        <v>0</v>
      </c>
      <c r="G4353" s="56" t="n">
        <v>11.4</v>
      </c>
      <c r="H4353" s="56" t="n">
        <v>0</v>
      </c>
      <c r="I4353" s="56" t="n">
        <v>16.9</v>
      </c>
      <c r="J4353" s="56" t="n">
        <v>0</v>
      </c>
      <c r="K4353" s="56" t="n">
        <v>1015.9</v>
      </c>
      <c r="L4353" s="56" t="n">
        <v>0</v>
      </c>
      <c r="M4353" s="56" t="n">
        <v>66</v>
      </c>
      <c r="N4353" s="56" t="n">
        <v>11.8</v>
      </c>
      <c r="O4353" s="56" t="n">
        <f aca="false">IF(D4353=1,"",E4352)</f>
        <v>20.8</v>
      </c>
      <c r="P4353" s="56" t="n">
        <f aca="false">IF(OR(D4353=1,K4352=""),"",K4352)</f>
        <v>1009.1</v>
      </c>
      <c r="Q4353" s="56" t="n">
        <f aca="false">IF(OR(F4353&lt;&gt;0,AND(I4353&lt;&gt;"",E4353&lt;I4353)),1,0)</f>
        <v>0</v>
      </c>
      <c r="R4353" s="56" t="n">
        <f aca="false">IF(AND(D4353&gt;1,Q4353=0,ISNUMBER(O4353),ISNUMBER(P4353)),IF(Q4352=0,1,0),0)</f>
        <v>1</v>
      </c>
      <c r="S4353" s="56" t="n">
        <f aca="false">R4353*(B4353&gt;=Train_Start)*(B4353&lt;=Train_End)</f>
        <v>0</v>
      </c>
      <c r="T4353" s="84" t="n">
        <f aca="false">IF(AND(ISNUMBER(O4353),ISNUMBER(P4353)),Coef_A+Coef_B1*O4353+Coef_B2*P4353,"")</f>
        <v>20.7845913124417</v>
      </c>
      <c r="U4353" s="84" t="n">
        <f aca="false">IF(AND(R4353=1,ISNUMBER(T4353)),E4353-T4353,"")</f>
        <v>1.61540868755833</v>
      </c>
      <c r="V4353" s="84" t="n">
        <f aca="false">IF(ISNUMBER(T4353),T4353,-99)</f>
        <v>20.7845913124417</v>
      </c>
      <c r="W4353" s="84" t="n">
        <f aca="false">IF(ISNUMBER(U4353),ABS(U4353),"")</f>
        <v>1.61540868755833</v>
      </c>
    </row>
    <row r="4354" customFormat="false" ht="15" hidden="false" customHeight="false" outlineLevel="0" collapsed="false">
      <c r="A4354" s="57" t="n">
        <v>39271</v>
      </c>
      <c r="B4354" s="56" t="n">
        <v>2007</v>
      </c>
      <c r="C4354" s="56" t="n">
        <v>7</v>
      </c>
      <c r="D4354" s="56" t="n">
        <v>69</v>
      </c>
      <c r="E4354" s="56" t="n">
        <v>22.1</v>
      </c>
      <c r="F4354" s="56" t="n">
        <v>0</v>
      </c>
      <c r="G4354" s="56" t="n">
        <v>9.9</v>
      </c>
      <c r="H4354" s="56" t="n">
        <v>0</v>
      </c>
      <c r="I4354" s="56" t="n">
        <v>16</v>
      </c>
      <c r="J4354" s="56" t="n">
        <v>0</v>
      </c>
      <c r="K4354" s="56" t="n">
        <v>1016.9</v>
      </c>
      <c r="L4354" s="56" t="n">
        <v>0</v>
      </c>
      <c r="M4354" s="56" t="n">
        <v>66</v>
      </c>
      <c r="N4354" s="56" t="n">
        <v>9.3</v>
      </c>
      <c r="O4354" s="56" t="n">
        <f aca="false">IF(D4354=1,"",E4353)</f>
        <v>22.4</v>
      </c>
      <c r="P4354" s="56" t="n">
        <f aca="false">IF(OR(D4354=1,K4353=""),"",K4353)</f>
        <v>1015.9</v>
      </c>
      <c r="Q4354" s="56" t="n">
        <f aca="false">IF(OR(F4354&lt;&gt;0,AND(I4354&lt;&gt;"",E4354&lt;I4354)),1,0)</f>
        <v>0</v>
      </c>
      <c r="R4354" s="56" t="n">
        <f aca="false">IF(AND(D4354&gt;1,Q4354=0,ISNUMBER(O4354),ISNUMBER(P4354)),IF(Q4353=0,1,0),0)</f>
        <v>1</v>
      </c>
      <c r="S4354" s="56" t="n">
        <f aca="false">R4354*(B4354&gt;=Train_Start)*(B4354&lt;=Train_End)</f>
        <v>0</v>
      </c>
      <c r="T4354" s="84" t="n">
        <f aca="false">IF(AND(ISNUMBER(O4354),ISNUMBER(P4354)),Coef_A+Coef_B1*O4354+Coef_B2*P4354,"")</f>
        <v>22.3088493048211</v>
      </c>
      <c r="U4354" s="84" t="n">
        <f aca="false">IF(AND(R4354=1,ISNUMBER(T4354)),E4354-T4354,"")</f>
        <v>-0.208849304821047</v>
      </c>
      <c r="V4354" s="84" t="n">
        <f aca="false">IF(ISNUMBER(T4354),T4354,-99)</f>
        <v>22.3088493048211</v>
      </c>
      <c r="W4354" s="84" t="n">
        <f aca="false">IF(ISNUMBER(U4354),ABS(U4354),"")</f>
        <v>0.208849304821047</v>
      </c>
    </row>
    <row r="4355" customFormat="false" ht="15" hidden="false" customHeight="false" outlineLevel="0" collapsed="false">
      <c r="A4355" s="57" t="n">
        <v>39272</v>
      </c>
      <c r="B4355" s="56" t="n">
        <v>2007</v>
      </c>
      <c r="C4355" s="56" t="n">
        <v>7</v>
      </c>
      <c r="D4355" s="56" t="n">
        <v>70</v>
      </c>
      <c r="E4355" s="56" t="n">
        <v>21.2</v>
      </c>
      <c r="F4355" s="56" t="n">
        <v>0</v>
      </c>
      <c r="G4355" s="56" t="n">
        <v>11.2</v>
      </c>
      <c r="H4355" s="56" t="n">
        <v>0</v>
      </c>
      <c r="I4355" s="56" t="n">
        <v>16.2</v>
      </c>
      <c r="J4355" s="56" t="n">
        <v>0</v>
      </c>
      <c r="K4355" s="56" t="n">
        <v>1013.4</v>
      </c>
      <c r="L4355" s="56" t="n">
        <v>0</v>
      </c>
      <c r="M4355" s="56" t="n">
        <v>70</v>
      </c>
      <c r="N4355" s="56" t="n">
        <v>7.6</v>
      </c>
      <c r="O4355" s="56" t="n">
        <f aca="false">IF(D4355=1,"",E4354)</f>
        <v>22.1</v>
      </c>
      <c r="P4355" s="56" t="n">
        <f aca="false">IF(OR(D4355=1,K4354=""),"",K4354)</f>
        <v>1016.9</v>
      </c>
      <c r="Q4355" s="56" t="n">
        <f aca="false">IF(OR(F4355&lt;&gt;0,AND(I4355&lt;&gt;"",E4355&lt;I4355)),1,0)</f>
        <v>0</v>
      </c>
      <c r="R4355" s="56" t="n">
        <f aca="false">IF(AND(D4355&gt;1,Q4355=0,ISNUMBER(O4355),ISNUMBER(P4355)),IF(Q4354=0,1,0),0)</f>
        <v>1</v>
      </c>
      <c r="S4355" s="56" t="n">
        <f aca="false">R4355*(B4355&gt;=Train_Start)*(B4355&lt;=Train_End)</f>
        <v>0</v>
      </c>
      <c r="T4355" s="84" t="n">
        <f aca="false">IF(AND(ISNUMBER(O4355),ISNUMBER(P4355)),Coef_A+Coef_B1*O4355+Coef_B2*P4355,"")</f>
        <v>22.0944174415422</v>
      </c>
      <c r="U4355" s="84" t="n">
        <f aca="false">IF(AND(R4355=1,ISNUMBER(T4355)),E4355-T4355,"")</f>
        <v>-0.894417441542245</v>
      </c>
      <c r="V4355" s="84" t="n">
        <f aca="false">IF(ISNUMBER(T4355),T4355,-99)</f>
        <v>22.0944174415422</v>
      </c>
      <c r="W4355" s="84" t="n">
        <f aca="false">IF(ISNUMBER(U4355),ABS(U4355),"")</f>
        <v>0.894417441542245</v>
      </c>
    </row>
    <row r="4356" customFormat="false" ht="15" hidden="false" customHeight="false" outlineLevel="0" collapsed="false">
      <c r="A4356" s="57" t="n">
        <v>39273</v>
      </c>
      <c r="B4356" s="56" t="n">
        <v>2007</v>
      </c>
      <c r="C4356" s="56" t="n">
        <v>7</v>
      </c>
      <c r="D4356" s="56" t="n">
        <v>71</v>
      </c>
      <c r="E4356" s="56" t="n">
        <v>19.7</v>
      </c>
      <c r="F4356" s="56" t="n">
        <v>0</v>
      </c>
      <c r="G4356" s="56" t="n">
        <v>11.5</v>
      </c>
      <c r="H4356" s="56" t="n">
        <v>0</v>
      </c>
      <c r="I4356" s="56" t="n">
        <v>15.6</v>
      </c>
      <c r="J4356" s="56" t="n">
        <v>0</v>
      </c>
      <c r="K4356" s="56" t="n">
        <v>1012.2</v>
      </c>
      <c r="L4356" s="56" t="n">
        <v>0</v>
      </c>
      <c r="M4356" s="56" t="n">
        <v>70</v>
      </c>
      <c r="N4356" s="56" t="n">
        <v>2.8</v>
      </c>
      <c r="O4356" s="56" t="n">
        <f aca="false">IF(D4356=1,"",E4355)</f>
        <v>21.2</v>
      </c>
      <c r="P4356" s="56" t="n">
        <f aca="false">IF(OR(D4356=1,K4355=""),"",K4355)</f>
        <v>1013.4</v>
      </c>
      <c r="Q4356" s="56" t="n">
        <f aca="false">IF(OR(F4356&lt;&gt;0,AND(I4356&lt;&gt;"",E4356&lt;I4356)),1,0)</f>
        <v>0</v>
      </c>
      <c r="R4356" s="56" t="n">
        <f aca="false">IF(AND(D4356&gt;1,Q4356=0,ISNUMBER(O4356),ISNUMBER(P4356)),IF(Q4355=0,1,0),0)</f>
        <v>1</v>
      </c>
      <c r="S4356" s="56" t="n">
        <f aca="false">R4356*(B4356&gt;=Train_Start)*(B4356&lt;=Train_End)</f>
        <v>0</v>
      </c>
      <c r="T4356" s="84" t="n">
        <f aca="false">IF(AND(ISNUMBER(O4356),ISNUMBER(P4356)),Coef_A+Coef_B1*O4356+Coef_B2*P4356,"")</f>
        <v>21.2472175365849</v>
      </c>
      <c r="U4356" s="84" t="n">
        <f aca="false">IF(AND(R4356=1,ISNUMBER(T4356)),E4356-T4356,"")</f>
        <v>-1.54721753658489</v>
      </c>
      <c r="V4356" s="84" t="n">
        <f aca="false">IF(ISNUMBER(T4356),T4356,-99)</f>
        <v>21.2472175365849</v>
      </c>
      <c r="W4356" s="84" t="n">
        <f aca="false">IF(ISNUMBER(U4356),ABS(U4356),"")</f>
        <v>1.54721753658489</v>
      </c>
    </row>
    <row r="4357" customFormat="false" ht="15" hidden="false" customHeight="false" outlineLevel="0" collapsed="false">
      <c r="A4357" s="57" t="n">
        <v>39274</v>
      </c>
      <c r="B4357" s="56" t="n">
        <v>2007</v>
      </c>
      <c r="C4357" s="56" t="n">
        <v>7</v>
      </c>
      <c r="D4357" s="56" t="n">
        <v>72</v>
      </c>
      <c r="E4357" s="56" t="n">
        <v>21.2</v>
      </c>
      <c r="F4357" s="56" t="n">
        <v>0</v>
      </c>
      <c r="G4357" s="56" t="n">
        <v>12.8</v>
      </c>
      <c r="H4357" s="56" t="n">
        <v>0</v>
      </c>
      <c r="I4357" s="56" t="n">
        <v>17</v>
      </c>
      <c r="J4357" s="56" t="n">
        <v>0</v>
      </c>
      <c r="K4357" s="56" t="n">
        <v>1014.5</v>
      </c>
      <c r="L4357" s="56" t="n">
        <v>0</v>
      </c>
      <c r="M4357" s="56" t="n">
        <v>71</v>
      </c>
      <c r="N4357" s="56" t="n">
        <v>4</v>
      </c>
      <c r="O4357" s="56" t="n">
        <f aca="false">IF(D4357=1,"",E4356)</f>
        <v>19.7</v>
      </c>
      <c r="P4357" s="56" t="n">
        <f aca="false">IF(OR(D4357=1,K4356=""),"",K4356)</f>
        <v>1012.2</v>
      </c>
      <c r="Q4357" s="56" t="n">
        <f aca="false">IF(OR(F4357&lt;&gt;0,AND(I4357&lt;&gt;"",E4357&lt;I4357)),1,0)</f>
        <v>0</v>
      </c>
      <c r="R4357" s="56" t="n">
        <f aca="false">IF(AND(D4357&gt;1,Q4357=0,ISNUMBER(O4357),ISNUMBER(P4357)),IF(Q4356=0,1,0),0)</f>
        <v>1</v>
      </c>
      <c r="S4357" s="56" t="n">
        <f aca="false">R4357*(B4357&gt;=Train_Start)*(B4357&lt;=Train_End)</f>
        <v>0</v>
      </c>
      <c r="T4357" s="84" t="n">
        <f aca="false">IF(AND(ISNUMBER(O4357),ISNUMBER(P4357)),Coef_A+Coef_B1*O4357+Coef_B2*P4357,"")</f>
        <v>19.9805648734601</v>
      </c>
      <c r="U4357" s="84" t="n">
        <f aca="false">IF(AND(R4357=1,ISNUMBER(T4357)),E4357-T4357,"")</f>
        <v>1.21943512653989</v>
      </c>
      <c r="V4357" s="84" t="n">
        <f aca="false">IF(ISNUMBER(T4357),T4357,-99)</f>
        <v>19.9805648734601</v>
      </c>
      <c r="W4357" s="84" t="n">
        <f aca="false">IF(ISNUMBER(U4357),ABS(U4357),"")</f>
        <v>1.21943512653989</v>
      </c>
    </row>
    <row r="4358" customFormat="false" ht="15" hidden="false" customHeight="false" outlineLevel="0" collapsed="false">
      <c r="A4358" s="57" t="n">
        <v>39275</v>
      </c>
      <c r="B4358" s="56" t="n">
        <v>2007</v>
      </c>
      <c r="C4358" s="56" t="n">
        <v>7</v>
      </c>
      <c r="D4358" s="56" t="n">
        <v>73</v>
      </c>
      <c r="E4358" s="56" t="n">
        <v>24</v>
      </c>
      <c r="F4358" s="56" t="n">
        <v>0</v>
      </c>
      <c r="G4358" s="56" t="n">
        <v>13.4</v>
      </c>
      <c r="H4358" s="56" t="n">
        <v>0</v>
      </c>
      <c r="I4358" s="56" t="n">
        <v>18.7</v>
      </c>
      <c r="J4358" s="56" t="n">
        <v>0</v>
      </c>
      <c r="K4358" s="56" t="n">
        <v>1014.1</v>
      </c>
      <c r="L4358" s="56" t="n">
        <v>0</v>
      </c>
      <c r="M4358" s="56" t="n">
        <v>82</v>
      </c>
      <c r="N4358" s="56" t="n">
        <v>1.7</v>
      </c>
      <c r="O4358" s="56" t="n">
        <f aca="false">IF(D4358=1,"",E4357)</f>
        <v>21.2</v>
      </c>
      <c r="P4358" s="56" t="n">
        <f aca="false">IF(OR(D4358=1,K4357=""),"",K4357)</f>
        <v>1014.5</v>
      </c>
      <c r="Q4358" s="56" t="n">
        <f aca="false">IF(OR(F4358&lt;&gt;0,AND(I4358&lt;&gt;"",E4358&lt;I4358)),1,0)</f>
        <v>0</v>
      </c>
      <c r="R4358" s="56" t="n">
        <f aca="false">IF(AND(D4358&gt;1,Q4358=0,ISNUMBER(O4358),ISNUMBER(P4358)),IF(Q4357=0,1,0),0)</f>
        <v>1</v>
      </c>
      <c r="S4358" s="56" t="n">
        <f aca="false">R4358*(B4358&gt;=Train_Start)*(B4358&lt;=Train_End)</f>
        <v>0</v>
      </c>
      <c r="T4358" s="84" t="n">
        <f aca="false">IF(AND(ISNUMBER(O4358),ISNUMBER(P4358)),Coef_A+Coef_B1*O4358+Coef_B2*P4358,"")</f>
        <v>21.2817244206823</v>
      </c>
      <c r="U4358" s="84" t="n">
        <f aca="false">IF(AND(R4358=1,ISNUMBER(T4358)),E4358-T4358,"")</f>
        <v>2.71827557931772</v>
      </c>
      <c r="V4358" s="84" t="n">
        <f aca="false">IF(ISNUMBER(T4358),T4358,-99)</f>
        <v>21.2817244206823</v>
      </c>
      <c r="W4358" s="84" t="n">
        <f aca="false">IF(ISNUMBER(U4358),ABS(U4358),"")</f>
        <v>2.71827557931772</v>
      </c>
    </row>
    <row r="4359" customFormat="false" ht="15" hidden="false" customHeight="false" outlineLevel="0" collapsed="false">
      <c r="A4359" s="57" t="n">
        <v>39276</v>
      </c>
      <c r="B4359" s="56" t="n">
        <v>2007</v>
      </c>
      <c r="C4359" s="56" t="n">
        <v>7</v>
      </c>
      <c r="D4359" s="56" t="n">
        <v>74</v>
      </c>
      <c r="E4359" s="56" t="n">
        <v>23.5</v>
      </c>
      <c r="F4359" s="56" t="n">
        <v>0</v>
      </c>
      <c r="G4359" s="56" t="n">
        <v>15.8</v>
      </c>
      <c r="H4359" s="56" t="n">
        <v>0</v>
      </c>
      <c r="I4359" s="56" t="n">
        <v>19.6</v>
      </c>
      <c r="J4359" s="56" t="n">
        <v>0</v>
      </c>
      <c r="K4359" s="56" t="n">
        <v>1011.3</v>
      </c>
      <c r="L4359" s="56" t="n">
        <v>0</v>
      </c>
      <c r="M4359" s="56" t="n">
        <v>79</v>
      </c>
      <c r="N4359" s="56" t="n">
        <v>2</v>
      </c>
      <c r="O4359" s="56" t="n">
        <f aca="false">IF(D4359=1,"",E4358)</f>
        <v>24</v>
      </c>
      <c r="P4359" s="56" t="n">
        <f aca="false">IF(OR(D4359=1,K4358=""),"",K4358)</f>
        <v>1014.1</v>
      </c>
      <c r="Q4359" s="56" t="n">
        <f aca="false">IF(OR(F4359&lt;&gt;0,AND(I4359&lt;&gt;"",E4359&lt;I4359)),1,0)</f>
        <v>0</v>
      </c>
      <c r="R4359" s="56" t="n">
        <f aca="false">IF(AND(D4359&gt;1,Q4359=0,ISNUMBER(O4359),ISNUMBER(P4359)),IF(Q4358=0,1,0),0)</f>
        <v>1</v>
      </c>
      <c r="S4359" s="56" t="n">
        <f aca="false">R4359*(B4359&gt;=Train_Start)*(B4359&lt;=Train_End)</f>
        <v>0</v>
      </c>
      <c r="T4359" s="84" t="n">
        <f aca="false">IF(AND(ISNUMBER(O4359),ISNUMBER(P4359)),Coef_A+Coef_B1*O4359+Coef_B2*P4359,"")</f>
        <v>23.5633262033481</v>
      </c>
      <c r="U4359" s="84" t="n">
        <f aca="false">IF(AND(R4359=1,ISNUMBER(T4359)),E4359-T4359,"")</f>
        <v>-0.0633262033481223</v>
      </c>
      <c r="V4359" s="84" t="n">
        <f aca="false">IF(ISNUMBER(T4359),T4359,-99)</f>
        <v>23.5633262033481</v>
      </c>
      <c r="W4359" s="84" t="n">
        <f aca="false">IF(ISNUMBER(U4359),ABS(U4359),"")</f>
        <v>0.0633262033481223</v>
      </c>
    </row>
    <row r="4360" customFormat="false" ht="15" hidden="false" customHeight="false" outlineLevel="0" collapsed="false">
      <c r="A4360" s="57" t="n">
        <v>39277</v>
      </c>
      <c r="B4360" s="56" t="n">
        <v>2007</v>
      </c>
      <c r="C4360" s="56" t="n">
        <v>7</v>
      </c>
      <c r="D4360" s="56" t="n">
        <v>75</v>
      </c>
      <c r="E4360" s="56" t="n">
        <v>23.1</v>
      </c>
      <c r="F4360" s="56" t="n">
        <v>0</v>
      </c>
      <c r="G4360" s="56" t="n">
        <v>16.4</v>
      </c>
      <c r="H4360" s="56" t="n">
        <v>0</v>
      </c>
      <c r="I4360" s="56" t="n">
        <v>19.8</v>
      </c>
      <c r="J4360" s="56" t="n">
        <v>0</v>
      </c>
      <c r="K4360" s="56" t="n">
        <v>1011.4</v>
      </c>
      <c r="L4360" s="56" t="n">
        <v>0</v>
      </c>
      <c r="M4360" s="56" t="n">
        <v>71</v>
      </c>
      <c r="N4360" s="56" t="n">
        <v>4.5</v>
      </c>
      <c r="O4360" s="56" t="n">
        <f aca="false">IF(D4360=1,"",E4359)</f>
        <v>23.5</v>
      </c>
      <c r="P4360" s="56" t="n">
        <f aca="false">IF(OR(D4360=1,K4359=""),"",K4359)</f>
        <v>1011.3</v>
      </c>
      <c r="Q4360" s="56" t="n">
        <f aca="false">IF(OR(F4360&lt;&gt;0,AND(I4360&lt;&gt;"",E4360&lt;I4360)),1,0)</f>
        <v>0</v>
      </c>
      <c r="R4360" s="56" t="n">
        <f aca="false">IF(AND(D4360&gt;1,Q4360=0,ISNUMBER(O4360),ISNUMBER(P4360)),IF(Q4359=0,1,0),0)</f>
        <v>1</v>
      </c>
      <c r="S4360" s="56" t="n">
        <f aca="false">R4360*(B4360&gt;=Train_Start)*(B4360&lt;=Train_End)</f>
        <v>0</v>
      </c>
      <c r="T4360" s="84" t="n">
        <f aca="false">IF(AND(ISNUMBER(O4360),ISNUMBER(P4360)),Coef_A+Coef_B1*O4360+Coef_B2*P4360,"")</f>
        <v>23.0658209018516</v>
      </c>
      <c r="U4360" s="84" t="n">
        <f aca="false">IF(AND(R4360=1,ISNUMBER(T4360)),E4360-T4360,"")</f>
        <v>0.0341790981483818</v>
      </c>
      <c r="V4360" s="84" t="n">
        <f aca="false">IF(ISNUMBER(T4360),T4360,-99)</f>
        <v>23.0658209018516</v>
      </c>
      <c r="W4360" s="84" t="n">
        <f aca="false">IF(ISNUMBER(U4360),ABS(U4360),"")</f>
        <v>0.0341790981483818</v>
      </c>
    </row>
    <row r="4361" customFormat="false" ht="15" hidden="false" customHeight="false" outlineLevel="0" collapsed="false">
      <c r="A4361" s="57" t="n">
        <v>39278</v>
      </c>
      <c r="B4361" s="56" t="n">
        <v>2007</v>
      </c>
      <c r="C4361" s="56" t="n">
        <v>7</v>
      </c>
      <c r="D4361" s="56" t="n">
        <v>76</v>
      </c>
      <c r="E4361" s="56" t="n">
        <v>23.8</v>
      </c>
      <c r="F4361" s="56" t="n">
        <v>0</v>
      </c>
      <c r="G4361" s="56" t="n">
        <v>15.4</v>
      </c>
      <c r="H4361" s="56" t="n">
        <v>0</v>
      </c>
      <c r="I4361" s="56" t="n">
        <v>19.6</v>
      </c>
      <c r="J4361" s="56" t="n">
        <v>0</v>
      </c>
      <c r="K4361" s="56" t="n">
        <v>1010.6</v>
      </c>
      <c r="L4361" s="56" t="n">
        <v>0</v>
      </c>
      <c r="M4361" s="56" t="n">
        <v>78</v>
      </c>
      <c r="N4361" s="56" t="n">
        <v>1.3</v>
      </c>
      <c r="O4361" s="56" t="n">
        <f aca="false">IF(D4361=1,"",E4360)</f>
        <v>23.1</v>
      </c>
      <c r="P4361" s="56" t="n">
        <f aca="false">IF(OR(D4361=1,K4360=""),"",K4360)</f>
        <v>1011.4</v>
      </c>
      <c r="Q4361" s="56" t="n">
        <f aca="false">IF(OR(F4361&lt;&gt;0,AND(I4361&lt;&gt;"",E4361&lt;I4361)),1,0)</f>
        <v>0</v>
      </c>
      <c r="R4361" s="56" t="n">
        <f aca="false">IF(AND(D4361&gt;1,Q4361=0,ISNUMBER(O4361),ISNUMBER(P4361)),IF(Q4360=0,1,0),0)</f>
        <v>1</v>
      </c>
      <c r="S4361" s="56" t="n">
        <f aca="false">R4361*(B4361&gt;=Train_Start)*(B4361&lt;=Train_End)</f>
        <v>0</v>
      </c>
      <c r="T4361" s="84" t="n">
        <f aca="false">IF(AND(ISNUMBER(O4361),ISNUMBER(P4361)),Coef_A+Coef_B1*O4361+Coef_B2*P4361,"")</f>
        <v>22.741222214098</v>
      </c>
      <c r="U4361" s="84" t="n">
        <f aca="false">IF(AND(R4361=1,ISNUMBER(T4361)),E4361-T4361,"")</f>
        <v>1.05877778590204</v>
      </c>
      <c r="V4361" s="84" t="n">
        <f aca="false">IF(ISNUMBER(T4361),T4361,-99)</f>
        <v>22.741222214098</v>
      </c>
      <c r="W4361" s="84" t="n">
        <f aca="false">IF(ISNUMBER(U4361),ABS(U4361),"")</f>
        <v>1.05877778590204</v>
      </c>
    </row>
    <row r="4362" customFormat="false" ht="15" hidden="false" customHeight="false" outlineLevel="0" collapsed="false">
      <c r="A4362" s="57" t="n">
        <v>39279</v>
      </c>
      <c r="B4362" s="56" t="n">
        <v>2007</v>
      </c>
      <c r="C4362" s="56" t="n">
        <v>7</v>
      </c>
      <c r="D4362" s="56" t="n">
        <v>77</v>
      </c>
      <c r="E4362" s="56" t="n">
        <v>22.5</v>
      </c>
      <c r="F4362" s="56" t="n">
        <v>0</v>
      </c>
      <c r="G4362" s="56" t="n">
        <v>17.1</v>
      </c>
      <c r="H4362" s="56" t="n">
        <v>0</v>
      </c>
      <c r="I4362" s="56" t="n">
        <v>19.8</v>
      </c>
      <c r="J4362" s="56" t="n">
        <v>0</v>
      </c>
      <c r="K4362" s="56" t="n">
        <v>1009.5</v>
      </c>
      <c r="L4362" s="56" t="n">
        <v>0</v>
      </c>
      <c r="M4362" s="56" t="n">
        <v>76</v>
      </c>
      <c r="N4362" s="56" t="n">
        <v>1.7</v>
      </c>
      <c r="O4362" s="56" t="n">
        <f aca="false">IF(D4362=1,"",E4361)</f>
        <v>23.8</v>
      </c>
      <c r="P4362" s="56" t="n">
        <f aca="false">IF(OR(D4362=1,K4361=""),"",K4361)</f>
        <v>1010.6</v>
      </c>
      <c r="Q4362" s="56" t="n">
        <f aca="false">IF(OR(F4362&lt;&gt;0,AND(I4362&lt;&gt;"",E4362&lt;I4362)),1,0)</f>
        <v>0</v>
      </c>
      <c r="R4362" s="56" t="n">
        <f aca="false">IF(AND(D4362&gt;1,Q4362=0,ISNUMBER(O4362),ISNUMBER(P4362)),IF(Q4361=0,1,0),0)</f>
        <v>1</v>
      </c>
      <c r="S4362" s="56" t="n">
        <f aca="false">R4362*(B4362&gt;=Train_Start)*(B4362&lt;=Train_End)</f>
        <v>0</v>
      </c>
      <c r="T4362" s="84" t="n">
        <f aca="false">IF(AND(ISNUMBER(O4362),ISNUMBER(P4362)),Coef_A+Coef_B1*O4362+Coef_B2*P4362,"")</f>
        <v>23.2896637335206</v>
      </c>
      <c r="U4362" s="84" t="n">
        <f aca="false">IF(AND(R4362=1,ISNUMBER(T4362)),E4362-T4362,"")</f>
        <v>-0.789663733520627</v>
      </c>
      <c r="V4362" s="84" t="n">
        <f aca="false">IF(ISNUMBER(T4362),T4362,-99)</f>
        <v>23.2896637335206</v>
      </c>
      <c r="W4362" s="84" t="n">
        <f aca="false">IF(ISNUMBER(U4362),ABS(U4362),"")</f>
        <v>0.789663733520627</v>
      </c>
    </row>
    <row r="4363" customFormat="false" ht="15" hidden="false" customHeight="false" outlineLevel="0" collapsed="false">
      <c r="A4363" s="57" t="n">
        <v>39280</v>
      </c>
      <c r="B4363" s="56" t="n">
        <v>2007</v>
      </c>
      <c r="C4363" s="56" t="n">
        <v>7</v>
      </c>
      <c r="D4363" s="56" t="n">
        <v>78</v>
      </c>
      <c r="E4363" s="56" t="n">
        <v>21.7</v>
      </c>
      <c r="F4363" s="56" t="n">
        <v>0</v>
      </c>
      <c r="G4363" s="56" t="n">
        <v>14</v>
      </c>
      <c r="H4363" s="56" t="n">
        <v>0</v>
      </c>
      <c r="I4363" s="56" t="n">
        <v>17.8</v>
      </c>
      <c r="J4363" s="56" t="n">
        <v>0</v>
      </c>
      <c r="K4363" s="56" t="n">
        <v>1012.4</v>
      </c>
      <c r="L4363" s="56" t="n">
        <v>0</v>
      </c>
      <c r="M4363" s="56" t="n">
        <v>77</v>
      </c>
      <c r="N4363" s="56" t="n">
        <v>6.6</v>
      </c>
      <c r="O4363" s="56" t="n">
        <f aca="false">IF(D4363=1,"",E4362)</f>
        <v>22.5</v>
      </c>
      <c r="P4363" s="56" t="n">
        <f aca="false">IF(OR(D4363=1,K4362=""),"",K4362)</f>
        <v>1009.5</v>
      </c>
      <c r="Q4363" s="56" t="n">
        <f aca="false">IF(OR(F4363&lt;&gt;0,AND(I4363&lt;&gt;"",E4363&lt;I4363)),1,0)</f>
        <v>0</v>
      </c>
      <c r="R4363" s="56" t="n">
        <f aca="false">IF(AND(D4363&gt;1,Q4363=0,ISNUMBER(O4363),ISNUMBER(P4363)),IF(Q4362=0,1,0),0)</f>
        <v>1</v>
      </c>
      <c r="S4363" s="56" t="n">
        <f aca="false">R4363*(B4363&gt;=Train_Start)*(B4363&lt;=Train_End)</f>
        <v>0</v>
      </c>
      <c r="T4363" s="84" t="n">
        <f aca="false">IF(AND(ISNUMBER(O4363),ISNUMBER(P4363)),Coef_A+Coef_B1*O4363+Coef_B2*P4363,"")</f>
        <v>22.1900158984678</v>
      </c>
      <c r="U4363" s="84" t="n">
        <f aca="false">IF(AND(R4363=1,ISNUMBER(T4363)),E4363-T4363,"")</f>
        <v>-0.490015898467785</v>
      </c>
      <c r="V4363" s="84" t="n">
        <f aca="false">IF(ISNUMBER(T4363),T4363,-99)</f>
        <v>22.1900158984678</v>
      </c>
      <c r="W4363" s="84" t="n">
        <f aca="false">IF(ISNUMBER(U4363),ABS(U4363),"")</f>
        <v>0.490015898467785</v>
      </c>
    </row>
    <row r="4364" customFormat="false" ht="15" hidden="false" customHeight="false" outlineLevel="0" collapsed="false">
      <c r="A4364" s="57" t="n">
        <v>39281</v>
      </c>
      <c r="B4364" s="56" t="n">
        <v>2007</v>
      </c>
      <c r="C4364" s="56" t="n">
        <v>7</v>
      </c>
      <c r="D4364" s="56" t="n">
        <v>79</v>
      </c>
      <c r="E4364" s="56" t="n">
        <v>23.9</v>
      </c>
      <c r="F4364" s="56" t="n">
        <v>0</v>
      </c>
      <c r="G4364" s="56" t="n">
        <v>13.4</v>
      </c>
      <c r="H4364" s="56" t="n">
        <v>0</v>
      </c>
      <c r="I4364" s="56" t="n">
        <v>18.6</v>
      </c>
      <c r="J4364" s="56" t="n">
        <v>0</v>
      </c>
      <c r="K4364" s="56" t="n">
        <v>1016.9</v>
      </c>
      <c r="L4364" s="56" t="n">
        <v>0</v>
      </c>
      <c r="M4364" s="56" t="n">
        <v>65</v>
      </c>
      <c r="N4364" s="56" t="n">
        <v>9.4</v>
      </c>
      <c r="O4364" s="56" t="n">
        <f aca="false">IF(D4364=1,"",E4363)</f>
        <v>21.7</v>
      </c>
      <c r="P4364" s="56" t="n">
        <f aca="false">IF(OR(D4364=1,K4363=""),"",K4363)</f>
        <v>1012.4</v>
      </c>
      <c r="Q4364" s="56" t="n">
        <f aca="false">IF(OR(F4364&lt;&gt;0,AND(I4364&lt;&gt;"",E4364&lt;I4364)),1,0)</f>
        <v>0</v>
      </c>
      <c r="R4364" s="56" t="n">
        <f aca="false">IF(AND(D4364&gt;1,Q4364=0,ISNUMBER(O4364),ISNUMBER(P4364)),IF(Q4363=0,1,0),0)</f>
        <v>1</v>
      </c>
      <c r="S4364" s="56" t="n">
        <f aca="false">R4364*(B4364&gt;=Train_Start)*(B4364&lt;=Train_End)</f>
        <v>0</v>
      </c>
      <c r="T4364" s="84" t="n">
        <f aca="false">IF(AND(ISNUMBER(O4364),ISNUMBER(P4364)),Coef_A+Coef_B1*O4364+Coef_B2*P4364,"")</f>
        <v>21.6255172384722</v>
      </c>
      <c r="U4364" s="84" t="n">
        <f aca="false">IF(AND(R4364=1,ISNUMBER(T4364)),E4364-T4364,"")</f>
        <v>2.27448276152777</v>
      </c>
      <c r="V4364" s="84" t="n">
        <f aca="false">IF(ISNUMBER(T4364),T4364,-99)</f>
        <v>21.6255172384722</v>
      </c>
      <c r="W4364" s="84" t="n">
        <f aca="false">IF(ISNUMBER(U4364),ABS(U4364),"")</f>
        <v>2.27448276152777</v>
      </c>
    </row>
    <row r="4365" customFormat="false" ht="15" hidden="false" customHeight="false" outlineLevel="0" collapsed="false">
      <c r="A4365" s="57" t="n">
        <v>39282</v>
      </c>
      <c r="B4365" s="56" t="n">
        <v>2007</v>
      </c>
      <c r="C4365" s="56" t="n">
        <v>7</v>
      </c>
      <c r="D4365" s="56" t="n">
        <v>80</v>
      </c>
      <c r="E4365" s="56" t="n">
        <v>23.7</v>
      </c>
      <c r="F4365" s="56" t="n">
        <v>0</v>
      </c>
      <c r="G4365" s="56" t="n">
        <v>12.5</v>
      </c>
      <c r="H4365" s="56" t="n">
        <v>0</v>
      </c>
      <c r="I4365" s="56" t="n">
        <v>18.1</v>
      </c>
      <c r="J4365" s="56" t="n">
        <v>0</v>
      </c>
      <c r="K4365" s="56" t="n">
        <v>1018.1</v>
      </c>
      <c r="L4365" s="56" t="n">
        <v>0</v>
      </c>
      <c r="M4365" s="56" t="n">
        <v>68</v>
      </c>
      <c r="N4365" s="56" t="n">
        <v>2.9</v>
      </c>
      <c r="O4365" s="56" t="n">
        <f aca="false">IF(D4365=1,"",E4364)</f>
        <v>23.9</v>
      </c>
      <c r="P4365" s="56" t="n">
        <f aca="false">IF(OR(D4365=1,K4364=""),"",K4364)</f>
        <v>1016.9</v>
      </c>
      <c r="Q4365" s="56" t="n">
        <f aca="false">IF(OR(F4365&lt;&gt;0,AND(I4365&lt;&gt;"",E4365&lt;I4365)),1,0)</f>
        <v>0</v>
      </c>
      <c r="R4365" s="56" t="n">
        <f aca="false">IF(AND(D4365&gt;1,Q4365=0,ISNUMBER(O4365),ISNUMBER(P4365)),IF(Q4364=0,1,0),0)</f>
        <v>1</v>
      </c>
      <c r="S4365" s="56" t="n">
        <f aca="false">R4365*(B4365&gt;=Train_Start)*(B4365&lt;=Train_End)</f>
        <v>0</v>
      </c>
      <c r="T4365" s="84" t="n">
        <f aca="false">IF(AND(ISNUMBER(O4365),ISNUMBER(P4365)),Coef_A+Coef_B1*O4365+Coef_B2*P4365,"")</f>
        <v>23.569227989019</v>
      </c>
      <c r="U4365" s="84" t="n">
        <f aca="false">IF(AND(R4365=1,ISNUMBER(T4365)),E4365-T4365,"")</f>
        <v>0.130772010980973</v>
      </c>
      <c r="V4365" s="84" t="n">
        <f aca="false">IF(ISNUMBER(T4365),T4365,-99)</f>
        <v>23.569227989019</v>
      </c>
      <c r="W4365" s="84" t="n">
        <f aca="false">IF(ISNUMBER(U4365),ABS(U4365),"")</f>
        <v>0.130772010980973</v>
      </c>
    </row>
    <row r="4366" customFormat="false" ht="15" hidden="false" customHeight="false" outlineLevel="0" collapsed="false">
      <c r="A4366" s="57" t="n">
        <v>39283</v>
      </c>
      <c r="B4366" s="56" t="n">
        <v>2007</v>
      </c>
      <c r="C4366" s="56" t="n">
        <v>7</v>
      </c>
      <c r="D4366" s="56" t="n">
        <v>81</v>
      </c>
      <c r="E4366" s="56" t="n">
        <v>20.1</v>
      </c>
      <c r="F4366" s="56" t="n">
        <v>0</v>
      </c>
      <c r="G4366" s="56" t="n">
        <v>15.9</v>
      </c>
      <c r="H4366" s="56" t="n">
        <v>0</v>
      </c>
      <c r="I4366" s="56" t="n">
        <v>18</v>
      </c>
      <c r="J4366" s="56" t="n">
        <v>0</v>
      </c>
      <c r="K4366" s="56" t="n">
        <v>1012.1</v>
      </c>
      <c r="L4366" s="56" t="n">
        <v>0</v>
      </c>
      <c r="M4366" s="56" t="n">
        <v>84</v>
      </c>
      <c r="N4366" s="56" t="n">
        <v>4.2</v>
      </c>
      <c r="O4366" s="56" t="n">
        <f aca="false">IF(D4366=1,"",E4365)</f>
        <v>23.7</v>
      </c>
      <c r="P4366" s="56" t="n">
        <f aca="false">IF(OR(D4366=1,K4365=""),"",K4365)</f>
        <v>1018.1</v>
      </c>
      <c r="Q4366" s="56" t="n">
        <f aca="false">IF(OR(F4366&lt;&gt;0,AND(I4366&lt;&gt;"",E4366&lt;I4366)),1,0)</f>
        <v>0</v>
      </c>
      <c r="R4366" s="56" t="n">
        <f aca="false">IF(AND(D4366&gt;1,Q4366=0,ISNUMBER(O4366),ISNUMBER(P4366)),IF(Q4365=0,1,0),0)</f>
        <v>1</v>
      </c>
      <c r="S4366" s="56" t="n">
        <f aca="false">R4366*(B4366&gt;=Train_Start)*(B4366&lt;=Train_End)</f>
        <v>0</v>
      </c>
      <c r="T4366" s="84" t="n">
        <f aca="false">IF(AND(ISNUMBER(O4366),ISNUMBER(P4366)),Coef_A+Coef_B1*O4366+Coef_B2*P4366,"")</f>
        <v>23.4430040239713</v>
      </c>
      <c r="U4366" s="84" t="n">
        <f aca="false">IF(AND(R4366=1,ISNUMBER(T4366)),E4366-T4366,"")</f>
        <v>-3.34300402397128</v>
      </c>
      <c r="V4366" s="84" t="n">
        <f aca="false">IF(ISNUMBER(T4366),T4366,-99)</f>
        <v>23.4430040239713</v>
      </c>
      <c r="W4366" s="84" t="n">
        <f aca="false">IF(ISNUMBER(U4366),ABS(U4366),"")</f>
        <v>3.34300402397128</v>
      </c>
    </row>
    <row r="4367" customFormat="false" ht="15" hidden="false" customHeight="false" outlineLevel="0" collapsed="false">
      <c r="A4367" s="57" t="n">
        <v>39284</v>
      </c>
      <c r="B4367" s="56" t="n">
        <v>2007</v>
      </c>
      <c r="C4367" s="56" t="n">
        <v>7</v>
      </c>
      <c r="D4367" s="56" t="n">
        <v>82</v>
      </c>
      <c r="E4367" s="56" t="n">
        <v>20.1</v>
      </c>
      <c r="F4367" s="56" t="n">
        <v>0</v>
      </c>
      <c r="G4367" s="56" t="n">
        <v>12.1</v>
      </c>
      <c r="H4367" s="56" t="n">
        <v>0</v>
      </c>
      <c r="I4367" s="56" t="n">
        <v>16.1</v>
      </c>
      <c r="J4367" s="56" t="n">
        <v>0</v>
      </c>
      <c r="K4367" s="56" t="n">
        <v>1012.5</v>
      </c>
      <c r="L4367" s="56" t="n">
        <v>0</v>
      </c>
      <c r="M4367" s="56" t="n">
        <v>84</v>
      </c>
      <c r="N4367" s="56" t="n">
        <v>4.9</v>
      </c>
      <c r="O4367" s="56" t="n">
        <f aca="false">IF(D4367=1,"",E4366)</f>
        <v>20.1</v>
      </c>
      <c r="P4367" s="56" t="n">
        <f aca="false">IF(OR(D4367=1,K4366=""),"",K4366)</f>
        <v>1012.1</v>
      </c>
      <c r="Q4367" s="56" t="n">
        <f aca="false">IF(OR(F4367&lt;&gt;0,AND(I4367&lt;&gt;"",E4367&lt;I4367)),1,0)</f>
        <v>0</v>
      </c>
      <c r="R4367" s="56" t="n">
        <f aca="false">IF(AND(D4367&gt;1,Q4367=0,ISNUMBER(O4367),ISNUMBER(P4367)),IF(Q4366=0,1,0),0)</f>
        <v>1</v>
      </c>
      <c r="S4367" s="56" t="n">
        <f aca="false">R4367*(B4367&gt;=Train_Start)*(B4367&lt;=Train_End)</f>
        <v>0</v>
      </c>
      <c r="T4367" s="84" t="n">
        <f aca="false">IF(AND(ISNUMBER(O4367),ISNUMBER(P4367)),Coef_A+Coef_B1*O4367+Coef_B2*P4367,"")</f>
        <v>20.3051635612138</v>
      </c>
      <c r="U4367" s="84" t="n">
        <f aca="false">IF(AND(R4367=1,ISNUMBER(T4367)),E4367-T4367,"")</f>
        <v>-0.20516356121378</v>
      </c>
      <c r="V4367" s="84" t="n">
        <f aca="false">IF(ISNUMBER(T4367),T4367,-99)</f>
        <v>20.3051635612138</v>
      </c>
      <c r="W4367" s="84" t="n">
        <f aca="false">IF(ISNUMBER(U4367),ABS(U4367),"")</f>
        <v>0.20516356121378</v>
      </c>
    </row>
    <row r="4368" customFormat="false" ht="15" hidden="false" customHeight="false" outlineLevel="0" collapsed="false">
      <c r="A4368" s="57" t="n">
        <v>39285</v>
      </c>
      <c r="B4368" s="56" t="n">
        <v>2007</v>
      </c>
      <c r="C4368" s="56" t="n">
        <v>7</v>
      </c>
      <c r="D4368" s="56" t="n">
        <v>83</v>
      </c>
      <c r="E4368" s="56" t="n">
        <v>20.6</v>
      </c>
      <c r="F4368" s="56" t="n">
        <v>0</v>
      </c>
      <c r="G4368" s="56" t="n">
        <v>11.9</v>
      </c>
      <c r="H4368" s="56" t="n">
        <v>0</v>
      </c>
      <c r="I4368" s="56" t="n">
        <v>16.2</v>
      </c>
      <c r="J4368" s="56" t="n">
        <v>0</v>
      </c>
      <c r="K4368" s="56" t="n">
        <v>1009.8</v>
      </c>
      <c r="L4368" s="56" t="n">
        <v>0</v>
      </c>
      <c r="M4368" s="56" t="n">
        <v>75</v>
      </c>
      <c r="N4368" s="56" t="n">
        <v>9.6</v>
      </c>
      <c r="O4368" s="56" t="n">
        <f aca="false">IF(D4368=1,"",E4367)</f>
        <v>20.1</v>
      </c>
      <c r="P4368" s="56" t="n">
        <f aca="false">IF(OR(D4368=1,K4367=""),"",K4367)</f>
        <v>1012.5</v>
      </c>
      <c r="Q4368" s="56" t="n">
        <f aca="false">IF(OR(F4368&lt;&gt;0,AND(I4368&lt;&gt;"",E4368&lt;I4368)),1,0)</f>
        <v>0</v>
      </c>
      <c r="R4368" s="56" t="n">
        <f aca="false">IF(AND(D4368&gt;1,Q4368=0,ISNUMBER(O4368),ISNUMBER(P4368)),IF(Q4367=0,1,0),0)</f>
        <v>1</v>
      </c>
      <c r="S4368" s="56" t="n">
        <f aca="false">R4368*(B4368&gt;=Train_Start)*(B4368&lt;=Train_End)</f>
        <v>0</v>
      </c>
      <c r="T4368" s="84" t="n">
        <f aca="false">IF(AND(ISNUMBER(O4368),ISNUMBER(P4368)),Coef_A+Coef_B1*O4368+Coef_B2*P4368,"")</f>
        <v>20.3177115190674</v>
      </c>
      <c r="U4368" s="84" t="n">
        <f aca="false">IF(AND(R4368=1,ISNUMBER(T4368)),E4368-T4368,"")</f>
        <v>0.282288480932625</v>
      </c>
      <c r="V4368" s="84" t="n">
        <f aca="false">IF(ISNUMBER(T4368),T4368,-99)</f>
        <v>20.3177115190674</v>
      </c>
      <c r="W4368" s="84" t="n">
        <f aca="false">IF(ISNUMBER(U4368),ABS(U4368),"")</f>
        <v>0.282288480932625</v>
      </c>
    </row>
    <row r="4369" customFormat="false" ht="15" hidden="false" customHeight="false" outlineLevel="0" collapsed="false">
      <c r="A4369" s="57" t="n">
        <v>39286</v>
      </c>
      <c r="B4369" s="56" t="n">
        <v>2007</v>
      </c>
      <c r="C4369" s="56" t="n">
        <v>7</v>
      </c>
      <c r="D4369" s="56" t="n">
        <v>84</v>
      </c>
      <c r="E4369" s="56" t="n">
        <v>19.4</v>
      </c>
      <c r="F4369" s="56" t="n">
        <v>0</v>
      </c>
      <c r="G4369" s="56" t="n">
        <v>13.8</v>
      </c>
      <c r="H4369" s="56" t="n">
        <v>0</v>
      </c>
      <c r="I4369" s="56" t="n">
        <v>16.6</v>
      </c>
      <c r="J4369" s="56" t="n">
        <v>0</v>
      </c>
      <c r="K4369" s="56" t="n">
        <v>999.5</v>
      </c>
      <c r="L4369" s="56" t="n">
        <v>0</v>
      </c>
      <c r="M4369" s="56" t="n">
        <v>81</v>
      </c>
      <c r="N4369" s="56" t="n">
        <v>0</v>
      </c>
      <c r="O4369" s="56" t="n">
        <f aca="false">IF(D4369=1,"",E4368)</f>
        <v>20.6</v>
      </c>
      <c r="P4369" s="56" t="n">
        <f aca="false">IF(OR(D4369=1,K4368=""),"",K4368)</f>
        <v>1009.8</v>
      </c>
      <c r="Q4369" s="56" t="n">
        <f aca="false">IF(OR(F4369&lt;&gt;0,AND(I4369&lt;&gt;"",E4369&lt;I4369)),1,0)</f>
        <v>0</v>
      </c>
      <c r="R4369" s="56" t="n">
        <f aca="false">IF(AND(D4369&gt;1,Q4369=0,ISNUMBER(O4369),ISNUMBER(P4369)),IF(Q4368=0,1,0),0)</f>
        <v>1</v>
      </c>
      <c r="S4369" s="56" t="n">
        <f aca="false">R4369*(B4369&gt;=Train_Start)*(B4369&lt;=Train_End)</f>
        <v>0</v>
      </c>
      <c r="T4369" s="84" t="n">
        <f aca="false">IF(AND(ISNUMBER(O4369),ISNUMBER(P4369)),Coef_A+Coef_B1*O4369+Coef_B2*P4369,"")</f>
        <v>20.6426824000769</v>
      </c>
      <c r="U4369" s="84" t="n">
        <f aca="false">IF(AND(R4369=1,ISNUMBER(T4369)),E4369-T4369,"")</f>
        <v>-1.24268240007693</v>
      </c>
      <c r="V4369" s="84" t="n">
        <f aca="false">IF(ISNUMBER(T4369),T4369,-99)</f>
        <v>20.6426824000769</v>
      </c>
      <c r="W4369" s="84" t="n">
        <f aca="false">IF(ISNUMBER(U4369),ABS(U4369),"")</f>
        <v>1.24268240007693</v>
      </c>
    </row>
    <row r="4370" customFormat="false" ht="15" hidden="false" customHeight="false" outlineLevel="0" collapsed="false">
      <c r="A4370" s="57" t="n">
        <v>39287</v>
      </c>
      <c r="B4370" s="56" t="n">
        <v>2007</v>
      </c>
      <c r="C4370" s="56" t="n">
        <v>7</v>
      </c>
      <c r="D4370" s="56" t="n">
        <v>85</v>
      </c>
      <c r="E4370" s="56" t="n">
        <v>22.4</v>
      </c>
      <c r="F4370" s="56" t="n">
        <v>0</v>
      </c>
      <c r="G4370" s="56" t="n">
        <v>12.4</v>
      </c>
      <c r="H4370" s="56" t="n">
        <v>0</v>
      </c>
      <c r="I4370" s="56" t="n">
        <v>17.4</v>
      </c>
      <c r="J4370" s="56" t="n">
        <v>0</v>
      </c>
      <c r="K4370" s="56" t="n">
        <v>1008.1</v>
      </c>
      <c r="L4370" s="56" t="n">
        <v>0</v>
      </c>
      <c r="M4370" s="56" t="n">
        <v>67</v>
      </c>
      <c r="N4370" s="56" t="n">
        <v>10.9</v>
      </c>
      <c r="O4370" s="56" t="n">
        <f aca="false">IF(D4370=1,"",E4369)</f>
        <v>19.4</v>
      </c>
      <c r="P4370" s="56" t="n">
        <f aca="false">IF(OR(D4370=1,K4369=""),"",K4369)</f>
        <v>999.5</v>
      </c>
      <c r="Q4370" s="56" t="n">
        <f aca="false">IF(OR(F4370&lt;&gt;0,AND(I4370&lt;&gt;"",E4370&lt;I4370)),1,0)</f>
        <v>0</v>
      </c>
      <c r="R4370" s="56" t="n">
        <f aca="false">IF(AND(D4370&gt;1,Q4370=0,ISNUMBER(O4370),ISNUMBER(P4370)),IF(Q4369=0,1,0),0)</f>
        <v>1</v>
      </c>
      <c r="S4370" s="56" t="n">
        <f aca="false">R4370*(B4370&gt;=Train_Start)*(B4370&lt;=Train_End)</f>
        <v>0</v>
      </c>
      <c r="T4370" s="84" t="n">
        <f aca="false">IF(AND(ISNUMBER(O4370),ISNUMBER(P4370)),Coef_A+Coef_B1*O4370+Coef_B2*P4370,"")</f>
        <v>19.3363654536957</v>
      </c>
      <c r="U4370" s="84" t="n">
        <f aca="false">IF(AND(R4370=1,ISNUMBER(T4370)),E4370-T4370,"")</f>
        <v>3.06363454630435</v>
      </c>
      <c r="V4370" s="84" t="n">
        <f aca="false">IF(ISNUMBER(T4370),T4370,-99)</f>
        <v>19.3363654536957</v>
      </c>
      <c r="W4370" s="84" t="n">
        <f aca="false">IF(ISNUMBER(U4370),ABS(U4370),"")</f>
        <v>3.06363454630435</v>
      </c>
    </row>
    <row r="4371" customFormat="false" ht="15" hidden="false" customHeight="false" outlineLevel="0" collapsed="false">
      <c r="A4371" s="57" t="n">
        <v>39288</v>
      </c>
      <c r="B4371" s="56" t="n">
        <v>2007</v>
      </c>
      <c r="C4371" s="56" t="n">
        <v>7</v>
      </c>
      <c r="D4371" s="56" t="n">
        <v>86</v>
      </c>
      <c r="E4371" s="56" t="n">
        <v>19.9</v>
      </c>
      <c r="F4371" s="56" t="n">
        <v>0</v>
      </c>
      <c r="G4371" s="56" t="n">
        <v>13.2</v>
      </c>
      <c r="H4371" s="56" t="n">
        <v>0</v>
      </c>
      <c r="I4371" s="56" t="n">
        <v>16.6</v>
      </c>
      <c r="J4371" s="56" t="n">
        <v>0</v>
      </c>
      <c r="K4371" s="56" t="n">
        <v>1011.8</v>
      </c>
      <c r="L4371" s="56" t="n">
        <v>0</v>
      </c>
      <c r="M4371" s="56" t="n">
        <v>81</v>
      </c>
      <c r="N4371" s="56" t="n">
        <v>1.2</v>
      </c>
      <c r="O4371" s="56" t="n">
        <f aca="false">IF(D4371=1,"",E4370)</f>
        <v>22.4</v>
      </c>
      <c r="P4371" s="56" t="n">
        <f aca="false">IF(OR(D4371=1,K4370=""),"",K4370)</f>
        <v>1008.1</v>
      </c>
      <c r="Q4371" s="56" t="n">
        <f aca="false">IF(OR(F4371&lt;&gt;0,AND(I4371&lt;&gt;"",E4371&lt;I4371)),1,0)</f>
        <v>0</v>
      </c>
      <c r="R4371" s="56" t="n">
        <f aca="false">IF(AND(D4371&gt;1,Q4371=0,ISNUMBER(O4371),ISNUMBER(P4371)),IF(Q4370=0,1,0),0)</f>
        <v>1</v>
      </c>
      <c r="S4371" s="56" t="n">
        <f aca="false">R4371*(B4371&gt;=Train_Start)*(B4371&lt;=Train_End)</f>
        <v>0</v>
      </c>
      <c r="T4371" s="84" t="n">
        <f aca="false">IF(AND(ISNUMBER(O4371),ISNUMBER(P4371)),Coef_A+Coef_B1*O4371+Coef_B2*P4371,"")</f>
        <v>22.0641641266759</v>
      </c>
      <c r="U4371" s="84" t="n">
        <f aca="false">IF(AND(R4371=1,ISNUMBER(T4371)),E4371-T4371,"")</f>
        <v>-2.16416412667594</v>
      </c>
      <c r="V4371" s="84" t="n">
        <f aca="false">IF(ISNUMBER(T4371),T4371,-99)</f>
        <v>22.0641641266759</v>
      </c>
      <c r="W4371" s="84" t="n">
        <f aca="false">IF(ISNUMBER(U4371),ABS(U4371),"")</f>
        <v>2.16416412667594</v>
      </c>
    </row>
    <row r="4372" customFormat="false" ht="15" hidden="false" customHeight="false" outlineLevel="0" collapsed="false">
      <c r="A4372" s="57" t="n">
        <v>39289</v>
      </c>
      <c r="B4372" s="56" t="n">
        <v>2007</v>
      </c>
      <c r="C4372" s="56" t="n">
        <v>7</v>
      </c>
      <c r="D4372" s="56" t="n">
        <v>87</v>
      </c>
      <c r="E4372" s="56" t="n">
        <v>18.6</v>
      </c>
      <c r="F4372" s="56" t="n">
        <v>0</v>
      </c>
      <c r="G4372" s="56" t="n">
        <v>14.3</v>
      </c>
      <c r="H4372" s="56" t="n">
        <v>0</v>
      </c>
      <c r="I4372" s="56" t="n">
        <v>16.4</v>
      </c>
      <c r="J4372" s="56" t="n">
        <v>0</v>
      </c>
      <c r="K4372" s="56" t="n">
        <v>1005.4</v>
      </c>
      <c r="L4372" s="56" t="n">
        <v>0</v>
      </c>
      <c r="M4372" s="56" t="n">
        <v>83</v>
      </c>
      <c r="N4372" s="56" t="n">
        <v>0.8</v>
      </c>
      <c r="O4372" s="56" t="n">
        <f aca="false">IF(D4372=1,"",E4371)</f>
        <v>19.9</v>
      </c>
      <c r="P4372" s="56" t="n">
        <f aca="false">IF(OR(D4372=1,K4371=""),"",K4371)</f>
        <v>1011.8</v>
      </c>
      <c r="Q4372" s="56" t="n">
        <f aca="false">IF(OR(F4372&lt;&gt;0,AND(I4372&lt;&gt;"",E4372&lt;I4372)),1,0)</f>
        <v>0</v>
      </c>
      <c r="R4372" s="56" t="n">
        <f aca="false">IF(AND(D4372&gt;1,Q4372=0,ISNUMBER(O4372),ISNUMBER(P4372)),IF(Q4371=0,1,0),0)</f>
        <v>1</v>
      </c>
      <c r="S4372" s="56" t="n">
        <f aca="false">R4372*(B4372&gt;=Train_Start)*(B4372&lt;=Train_End)</f>
        <v>0</v>
      </c>
      <c r="T4372" s="84" t="n">
        <f aca="false">IF(AND(ISNUMBER(O4372),ISNUMBER(P4372)),Coef_A+Coef_B1*O4372+Coef_B2*P4372,"")</f>
        <v>20.131884754215</v>
      </c>
      <c r="U4372" s="84" t="n">
        <f aca="false">IF(AND(R4372=1,ISNUMBER(T4372)),E4372-T4372,"")</f>
        <v>-1.53188475421505</v>
      </c>
      <c r="V4372" s="84" t="n">
        <f aca="false">IF(ISNUMBER(T4372),T4372,-99)</f>
        <v>20.131884754215</v>
      </c>
      <c r="W4372" s="84" t="n">
        <f aca="false">IF(ISNUMBER(U4372),ABS(U4372),"")</f>
        <v>1.53188475421505</v>
      </c>
    </row>
    <row r="4373" customFormat="false" ht="15" hidden="false" customHeight="false" outlineLevel="0" collapsed="false">
      <c r="A4373" s="57" t="n">
        <v>39290</v>
      </c>
      <c r="B4373" s="56" t="n">
        <v>2007</v>
      </c>
      <c r="C4373" s="56" t="n">
        <v>7</v>
      </c>
      <c r="D4373" s="56" t="n">
        <v>88</v>
      </c>
      <c r="E4373" s="56" t="n">
        <v>22.2</v>
      </c>
      <c r="F4373" s="56" t="n">
        <v>0</v>
      </c>
      <c r="G4373" s="56" t="n">
        <v>13.2</v>
      </c>
      <c r="H4373" s="56" t="n">
        <v>0</v>
      </c>
      <c r="I4373" s="56" t="n">
        <v>17.7</v>
      </c>
      <c r="J4373" s="56" t="n">
        <v>0</v>
      </c>
      <c r="K4373" s="56" t="n">
        <v>1010.5</v>
      </c>
      <c r="L4373" s="56" t="n">
        <v>0</v>
      </c>
      <c r="M4373" s="56" t="n">
        <v>76</v>
      </c>
      <c r="N4373" s="56" t="n">
        <v>5.6</v>
      </c>
      <c r="O4373" s="56" t="n">
        <f aca="false">IF(D4373=1,"",E4372)</f>
        <v>18.6</v>
      </c>
      <c r="P4373" s="56" t="n">
        <f aca="false">IF(OR(D4373=1,K4372=""),"",K4372)</f>
        <v>1005.4</v>
      </c>
      <c r="Q4373" s="56" t="n">
        <f aca="false">IF(OR(F4373&lt;&gt;0,AND(I4373&lt;&gt;"",E4373&lt;I4373)),1,0)</f>
        <v>0</v>
      </c>
      <c r="R4373" s="56" t="n">
        <f aca="false">IF(AND(D4373&gt;1,Q4373=0,ISNUMBER(O4373),ISNUMBER(P4373)),IF(Q4372=0,1,0),0)</f>
        <v>1</v>
      </c>
      <c r="S4373" s="56" t="n">
        <f aca="false">R4373*(B4373&gt;=Train_Start)*(B4373&lt;=Train_End)</f>
        <v>0</v>
      </c>
      <c r="T4373" s="84" t="n">
        <f aca="false">IF(AND(ISNUMBER(O4373),ISNUMBER(P4373)),Coef_A+Coef_B1*O4373+Coef_B2*P4373,"")</f>
        <v>18.8659764776021</v>
      </c>
      <c r="U4373" s="84" t="n">
        <f aca="false">IF(AND(R4373=1,ISNUMBER(T4373)),E4373-T4373,"")</f>
        <v>3.33402352239794</v>
      </c>
      <c r="V4373" s="84" t="n">
        <f aca="false">IF(ISNUMBER(T4373),T4373,-99)</f>
        <v>18.8659764776021</v>
      </c>
      <c r="W4373" s="84" t="n">
        <f aca="false">IF(ISNUMBER(U4373),ABS(U4373),"")</f>
        <v>3.33402352239794</v>
      </c>
    </row>
    <row r="4374" customFormat="false" ht="15" hidden="false" customHeight="false" outlineLevel="0" collapsed="false">
      <c r="A4374" s="57" t="n">
        <v>39291</v>
      </c>
      <c r="B4374" s="56" t="n">
        <v>2007</v>
      </c>
      <c r="C4374" s="56" t="n">
        <v>7</v>
      </c>
      <c r="D4374" s="56" t="n">
        <v>89</v>
      </c>
      <c r="E4374" s="56" t="n">
        <v>22.7</v>
      </c>
      <c r="F4374" s="56" t="n">
        <v>0</v>
      </c>
      <c r="G4374" s="56" t="n">
        <v>12.3</v>
      </c>
      <c r="H4374" s="56" t="n">
        <v>0</v>
      </c>
      <c r="I4374" s="56" t="n">
        <v>17.5</v>
      </c>
      <c r="J4374" s="56" t="n">
        <v>0</v>
      </c>
      <c r="K4374" s="56" t="n">
        <v>1014.2</v>
      </c>
      <c r="L4374" s="56" t="n">
        <v>0</v>
      </c>
      <c r="M4374" s="56" t="n">
        <v>74</v>
      </c>
      <c r="N4374" s="56" t="n">
        <v>7.1</v>
      </c>
      <c r="O4374" s="56" t="n">
        <f aca="false">IF(D4374=1,"",E4373)</f>
        <v>22.2</v>
      </c>
      <c r="P4374" s="56" t="n">
        <f aca="false">IF(OR(D4374=1,K4373=""),"",K4373)</f>
        <v>1010.5</v>
      </c>
      <c r="Q4374" s="56" t="n">
        <f aca="false">IF(OR(F4374&lt;&gt;0,AND(I4374&lt;&gt;"",E4374&lt;I4374)),1,0)</f>
        <v>0</v>
      </c>
      <c r="R4374" s="56" t="n">
        <f aca="false">IF(AND(D4374&gt;1,Q4374=0,ISNUMBER(O4374),ISNUMBER(P4374)),IF(Q4373=0,1,0),0)</f>
        <v>1</v>
      </c>
      <c r="S4374" s="56" t="n">
        <f aca="false">R4374*(B4374&gt;=Train_Start)*(B4374&lt;=Train_End)</f>
        <v>0</v>
      </c>
      <c r="T4374" s="84" t="n">
        <f aca="false">IF(AND(ISNUMBER(O4374),ISNUMBER(P4374)),Coef_A+Coef_B1*O4374+Coef_B2*P4374,"")</f>
        <v>21.975584035189</v>
      </c>
      <c r="U4374" s="84" t="n">
        <f aca="false">IF(AND(R4374=1,ISNUMBER(T4374)),E4374-T4374,"")</f>
        <v>0.724415964811023</v>
      </c>
      <c r="V4374" s="84" t="n">
        <f aca="false">IF(ISNUMBER(T4374),T4374,-99)</f>
        <v>21.975584035189</v>
      </c>
      <c r="W4374" s="84" t="n">
        <f aca="false">IF(ISNUMBER(U4374),ABS(U4374),"")</f>
        <v>0.724415964811023</v>
      </c>
    </row>
    <row r="4375" customFormat="false" ht="15" hidden="false" customHeight="false" outlineLevel="0" collapsed="false">
      <c r="A4375" s="57" t="n">
        <v>39292</v>
      </c>
      <c r="B4375" s="56" t="n">
        <v>2007</v>
      </c>
      <c r="C4375" s="56" t="n">
        <v>7</v>
      </c>
      <c r="D4375" s="56" t="n">
        <v>90</v>
      </c>
      <c r="E4375" s="56" t="n">
        <v>20.4</v>
      </c>
      <c r="F4375" s="56" t="n">
        <v>0</v>
      </c>
      <c r="G4375" s="56" t="n">
        <v>12.2</v>
      </c>
      <c r="H4375" s="56" t="n">
        <v>0</v>
      </c>
      <c r="I4375" s="56" t="n">
        <v>16.3</v>
      </c>
      <c r="J4375" s="56" t="n">
        <v>0</v>
      </c>
      <c r="K4375" s="56" t="n">
        <v>1015.2</v>
      </c>
      <c r="L4375" s="56" t="n">
        <v>0</v>
      </c>
      <c r="M4375" s="56" t="n">
        <v>69</v>
      </c>
      <c r="N4375" s="56" t="n">
        <v>6.8</v>
      </c>
      <c r="O4375" s="56" t="n">
        <f aca="false">IF(D4375=1,"",E4374)</f>
        <v>22.7</v>
      </c>
      <c r="P4375" s="56" t="n">
        <f aca="false">IF(OR(D4375=1,K4374=""),"",K4374)</f>
        <v>1014.2</v>
      </c>
      <c r="Q4375" s="56" t="n">
        <f aca="false">IF(OR(F4375&lt;&gt;0,AND(I4375&lt;&gt;"",E4375&lt;I4375)),1,0)</f>
        <v>0</v>
      </c>
      <c r="R4375" s="56" t="n">
        <f aca="false">IF(AND(D4375&gt;1,Q4375=0,ISNUMBER(O4375),ISNUMBER(P4375)),IF(Q4374=0,1,0),0)</f>
        <v>1</v>
      </c>
      <c r="S4375" s="56" t="n">
        <f aca="false">R4375*(B4375&gt;=Train_Start)*(B4375&lt;=Train_End)</f>
        <v>0</v>
      </c>
      <c r="T4375" s="84" t="n">
        <f aca="false">IF(AND(ISNUMBER(O4375),ISNUMBER(P4375)),Coef_A+Coef_B1*O4375+Coef_B2*P4375,"")</f>
        <v>22.5013222418561</v>
      </c>
      <c r="U4375" s="84" t="n">
        <f aca="false">IF(AND(R4375=1,ISNUMBER(T4375)),E4375-T4375,"")</f>
        <v>-2.10132224185607</v>
      </c>
      <c r="V4375" s="84" t="n">
        <f aca="false">IF(ISNUMBER(T4375),T4375,-99)</f>
        <v>22.5013222418561</v>
      </c>
      <c r="W4375" s="84" t="n">
        <f aca="false">IF(ISNUMBER(U4375),ABS(U4375),"")</f>
        <v>2.10132224185607</v>
      </c>
    </row>
    <row r="4376" customFormat="false" ht="15" hidden="false" customHeight="false" outlineLevel="0" collapsed="false">
      <c r="A4376" s="57" t="n">
        <v>39293</v>
      </c>
      <c r="B4376" s="56" t="n">
        <v>2007</v>
      </c>
      <c r="C4376" s="56" t="n">
        <v>7</v>
      </c>
      <c r="D4376" s="56" t="n">
        <v>91</v>
      </c>
      <c r="E4376" s="56" t="n">
        <v>20.6</v>
      </c>
      <c r="F4376" s="56" t="n">
        <v>0</v>
      </c>
      <c r="G4376" s="56" t="n">
        <v>8.9</v>
      </c>
      <c r="H4376" s="56" t="n">
        <v>0</v>
      </c>
      <c r="I4376" s="56" t="n">
        <v>14.8</v>
      </c>
      <c r="J4376" s="56" t="n">
        <v>0</v>
      </c>
      <c r="K4376" s="56" t="n">
        <v>1021</v>
      </c>
      <c r="L4376" s="56" t="n">
        <v>0</v>
      </c>
      <c r="M4376" s="56" t="n">
        <v>61</v>
      </c>
      <c r="N4376" s="56" t="n">
        <v>9</v>
      </c>
      <c r="O4376" s="56" t="n">
        <f aca="false">IF(D4376=1,"",E4375)</f>
        <v>20.4</v>
      </c>
      <c r="P4376" s="56" t="n">
        <f aca="false">IF(OR(D4376=1,K4375=""),"",K4375)</f>
        <v>1015.2</v>
      </c>
      <c r="Q4376" s="56" t="n">
        <f aca="false">IF(OR(F4376&lt;&gt;0,AND(I4376&lt;&gt;"",E4376&lt;I4376)),1,0)</f>
        <v>0</v>
      </c>
      <c r="R4376" s="56" t="n">
        <f aca="false">IF(AND(D4376&gt;1,Q4376=0,ISNUMBER(O4376),ISNUMBER(P4376)),IF(Q4375=0,1,0),0)</f>
        <v>1</v>
      </c>
      <c r="S4376" s="56" t="n">
        <f aca="false">R4376*(B4376&gt;=Train_Start)*(B4376&lt;=Train_End)</f>
        <v>0</v>
      </c>
      <c r="T4376" s="84" t="n">
        <f aca="false">IF(AND(ISNUMBER(O4376),ISNUMBER(P4376)),Coef_A+Coef_B1*O4376+Coef_B2*P4376,"")</f>
        <v>20.6482119924919</v>
      </c>
      <c r="U4376" s="84" t="n">
        <f aca="false">IF(AND(R4376=1,ISNUMBER(T4376)),E4376-T4376,"")</f>
        <v>-0.0482119924919431</v>
      </c>
      <c r="V4376" s="84" t="n">
        <f aca="false">IF(ISNUMBER(T4376),T4376,-99)</f>
        <v>20.6482119924919</v>
      </c>
      <c r="W4376" s="84" t="n">
        <f aca="false">IF(ISNUMBER(U4376),ABS(U4376),"")</f>
        <v>0.0482119924919431</v>
      </c>
    </row>
    <row r="4377" customFormat="false" ht="15" hidden="false" customHeight="false" outlineLevel="0" collapsed="false">
      <c r="A4377" s="57" t="n">
        <v>39294</v>
      </c>
      <c r="B4377" s="56" t="n">
        <v>2007</v>
      </c>
      <c r="C4377" s="56" t="n">
        <v>7</v>
      </c>
      <c r="D4377" s="56" t="n">
        <v>92</v>
      </c>
      <c r="E4377" s="56" t="n">
        <v>21.8</v>
      </c>
      <c r="F4377" s="56" t="n">
        <v>0</v>
      </c>
      <c r="G4377" s="56" t="n">
        <v>9.9</v>
      </c>
      <c r="H4377" s="56" t="n">
        <v>0</v>
      </c>
      <c r="I4377" s="56" t="n">
        <v>15.8</v>
      </c>
      <c r="J4377" s="56" t="n">
        <v>0</v>
      </c>
      <c r="K4377" s="56" t="n">
        <v>1020.2</v>
      </c>
      <c r="L4377" s="56" t="n">
        <v>0</v>
      </c>
      <c r="M4377" s="56" t="n">
        <v>60</v>
      </c>
      <c r="N4377" s="56" t="n">
        <v>12.8</v>
      </c>
      <c r="O4377" s="56" t="n">
        <f aca="false">IF(D4377=1,"",E4376)</f>
        <v>20.6</v>
      </c>
      <c r="P4377" s="56" t="n">
        <f aca="false">IF(OR(D4377=1,K4376=""),"",K4376)</f>
        <v>1021</v>
      </c>
      <c r="Q4377" s="56" t="n">
        <f aca="false">IF(OR(F4377&lt;&gt;0,AND(I4377&lt;&gt;"",E4377&lt;I4377)),1,0)</f>
        <v>0</v>
      </c>
      <c r="R4377" s="56" t="n">
        <f aca="false">IF(AND(D4377&gt;1,Q4377=0,ISNUMBER(O4377),ISNUMBER(P4377)),IF(Q4376=0,1,0),0)</f>
        <v>1</v>
      </c>
      <c r="S4377" s="56" t="n">
        <f aca="false">R4377*(B4377&gt;=Train_Start)*(B4377&lt;=Train_End)</f>
        <v>0</v>
      </c>
      <c r="T4377" s="84" t="n">
        <f aca="false">IF(AND(ISNUMBER(O4377),ISNUMBER(P4377)),Coef_A+Coef_B1*O4377+Coef_B2*P4377,"")</f>
        <v>20.9940252199776</v>
      </c>
      <c r="U4377" s="84" t="n">
        <f aca="false">IF(AND(R4377=1,ISNUMBER(T4377)),E4377-T4377,"")</f>
        <v>0.805974780022385</v>
      </c>
      <c r="V4377" s="84" t="n">
        <f aca="false">IF(ISNUMBER(T4377),T4377,-99)</f>
        <v>20.9940252199776</v>
      </c>
      <c r="W4377" s="84" t="n">
        <f aca="false">IF(ISNUMBER(U4377),ABS(U4377),"")</f>
        <v>0.805974780022385</v>
      </c>
    </row>
    <row r="4378" customFormat="false" ht="15" hidden="false" customHeight="false" outlineLevel="0" collapsed="false">
      <c r="A4378" s="57" t="n">
        <v>39295</v>
      </c>
      <c r="B4378" s="56" t="n">
        <v>2007</v>
      </c>
      <c r="C4378" s="56" t="n">
        <v>8</v>
      </c>
      <c r="D4378" s="56" t="n">
        <v>93</v>
      </c>
      <c r="E4378" s="56" t="n">
        <v>24.2</v>
      </c>
      <c r="F4378" s="56" t="n">
        <v>0</v>
      </c>
      <c r="G4378" s="56" t="n">
        <v>11.6</v>
      </c>
      <c r="H4378" s="56" t="n">
        <v>0</v>
      </c>
      <c r="I4378" s="56" t="n">
        <v>17.9</v>
      </c>
      <c r="J4378" s="56" t="n">
        <v>0</v>
      </c>
      <c r="K4378" s="56" t="n">
        <v>1014.3</v>
      </c>
      <c r="L4378" s="56" t="n">
        <v>0</v>
      </c>
      <c r="M4378" s="56" t="n">
        <v>58</v>
      </c>
      <c r="N4378" s="56" t="n">
        <v>10</v>
      </c>
      <c r="O4378" s="56" t="n">
        <f aca="false">IF(D4378=1,"",E4377)</f>
        <v>21.8</v>
      </c>
      <c r="P4378" s="56" t="n">
        <f aca="false">IF(OR(D4378=1,K4377=""),"",K4377)</f>
        <v>1020.2</v>
      </c>
      <c r="Q4378" s="56" t="n">
        <f aca="false">IF(OR(F4378&lt;&gt;0,AND(I4378&lt;&gt;"",E4378&lt;I4378)),1,0)</f>
        <v>0</v>
      </c>
      <c r="R4378" s="56" t="n">
        <f aca="false">IF(AND(D4378&gt;1,Q4378=0,ISNUMBER(O4378),ISNUMBER(P4378)),IF(Q4377=0,1,0),0)</f>
        <v>1</v>
      </c>
      <c r="S4378" s="56" t="n">
        <f aca="false">R4378*(B4378&gt;=Train_Start)*(B4378&lt;=Train_End)</f>
        <v>0</v>
      </c>
      <c r="T4378" s="84" t="n">
        <f aca="false">IF(AND(ISNUMBER(O4378),ISNUMBER(P4378)),Coef_A+Coef_B1*O4378+Coef_B2*P4378,"")</f>
        <v>21.9521363359216</v>
      </c>
      <c r="U4378" s="84" t="n">
        <f aca="false">IF(AND(R4378=1,ISNUMBER(T4378)),E4378-T4378,"")</f>
        <v>2.24786366407839</v>
      </c>
      <c r="V4378" s="84" t="n">
        <f aca="false">IF(ISNUMBER(T4378),T4378,-99)</f>
        <v>21.9521363359216</v>
      </c>
      <c r="W4378" s="84" t="n">
        <f aca="false">IF(ISNUMBER(U4378),ABS(U4378),"")</f>
        <v>2.24786366407839</v>
      </c>
    </row>
    <row r="4379" customFormat="false" ht="15" hidden="false" customHeight="false" outlineLevel="0" collapsed="false">
      <c r="A4379" s="57" t="n">
        <v>39296</v>
      </c>
      <c r="B4379" s="56" t="n">
        <v>2007</v>
      </c>
      <c r="C4379" s="56" t="n">
        <v>8</v>
      </c>
      <c r="D4379" s="56" t="n">
        <v>94</v>
      </c>
      <c r="E4379" s="56" t="n">
        <v>19.9</v>
      </c>
      <c r="F4379" s="56" t="n">
        <v>0</v>
      </c>
      <c r="G4379" s="56" t="n">
        <v>13.3</v>
      </c>
      <c r="H4379" s="56" t="n">
        <v>0</v>
      </c>
      <c r="I4379" s="56" t="n">
        <v>16.6</v>
      </c>
      <c r="J4379" s="56" t="n">
        <v>0</v>
      </c>
      <c r="K4379" s="56" t="n">
        <v>1013.3</v>
      </c>
      <c r="L4379" s="56" t="n">
        <v>0</v>
      </c>
      <c r="M4379" s="56" t="n">
        <v>72</v>
      </c>
      <c r="N4379" s="56" t="n">
        <v>3.9</v>
      </c>
      <c r="O4379" s="56" t="n">
        <f aca="false">IF(D4379=1,"",E4378)</f>
        <v>24.2</v>
      </c>
      <c r="P4379" s="56" t="n">
        <f aca="false">IF(OR(D4379=1,K4378=""),"",K4378)</f>
        <v>1014.3</v>
      </c>
      <c r="Q4379" s="56" t="n">
        <f aca="false">IF(OR(F4379&lt;&gt;0,AND(I4379&lt;&gt;"",E4379&lt;I4379)),1,0)</f>
        <v>0</v>
      </c>
      <c r="R4379" s="56" t="n">
        <f aca="false">IF(AND(D4379&gt;1,Q4379=0,ISNUMBER(O4379),ISNUMBER(P4379)),IF(Q4378=0,1,0),0)</f>
        <v>1</v>
      </c>
      <c r="S4379" s="56" t="n">
        <f aca="false">R4379*(B4379&gt;=Train_Start)*(B4379&lt;=Train_End)</f>
        <v>0</v>
      </c>
      <c r="T4379" s="84" t="n">
        <f aca="false">IF(AND(ISNUMBER(O4379),ISNUMBER(P4379)),Coef_A+Coef_B1*O4379+Coef_B2*P4379,"")</f>
        <v>23.7334680208835</v>
      </c>
      <c r="U4379" s="84" t="n">
        <f aca="false">IF(AND(R4379=1,ISNUMBER(T4379)),E4379-T4379,"")</f>
        <v>-3.83346802088345</v>
      </c>
      <c r="V4379" s="84" t="n">
        <f aca="false">IF(ISNUMBER(T4379),T4379,-99)</f>
        <v>23.7334680208835</v>
      </c>
      <c r="W4379" s="84" t="n">
        <f aca="false">IF(ISNUMBER(U4379),ABS(U4379),"")</f>
        <v>3.83346802088345</v>
      </c>
    </row>
    <row r="4380" customFormat="false" ht="15" hidden="false" customHeight="false" outlineLevel="0" collapsed="false">
      <c r="A4380" s="57" t="n">
        <v>39297</v>
      </c>
      <c r="B4380" s="56" t="n">
        <v>2007</v>
      </c>
      <c r="C4380" s="56" t="n">
        <v>8</v>
      </c>
      <c r="D4380" s="56" t="n">
        <v>95</v>
      </c>
      <c r="E4380" s="56" t="n">
        <v>24.9</v>
      </c>
      <c r="F4380" s="56" t="n">
        <v>0</v>
      </c>
      <c r="G4380" s="56" t="n">
        <v>11.9</v>
      </c>
      <c r="H4380" s="56" t="n">
        <v>0</v>
      </c>
      <c r="I4380" s="56" t="n">
        <v>18.4</v>
      </c>
      <c r="J4380" s="56" t="n">
        <v>0</v>
      </c>
      <c r="K4380" s="56" t="n">
        <v>1021.2</v>
      </c>
      <c r="L4380" s="56" t="n">
        <v>0</v>
      </c>
      <c r="M4380" s="56" t="n">
        <v>67</v>
      </c>
      <c r="N4380" s="56" t="n">
        <v>11.1</v>
      </c>
      <c r="O4380" s="56" t="n">
        <f aca="false">IF(D4380=1,"",E4379)</f>
        <v>19.9</v>
      </c>
      <c r="P4380" s="56" t="n">
        <f aca="false">IF(OR(D4380=1,K4379=""),"",K4379)</f>
        <v>1013.3</v>
      </c>
      <c r="Q4380" s="56" t="n">
        <f aca="false">IF(OR(F4380&lt;&gt;0,AND(I4380&lt;&gt;"",E4380&lt;I4380)),1,0)</f>
        <v>0</v>
      </c>
      <c r="R4380" s="56" t="n">
        <f aca="false">IF(AND(D4380&gt;1,Q4380=0,ISNUMBER(O4380),ISNUMBER(P4380)),IF(Q4379=0,1,0),0)</f>
        <v>1</v>
      </c>
      <c r="S4380" s="56" t="n">
        <f aca="false">R4380*(B4380&gt;=Train_Start)*(B4380&lt;=Train_End)</f>
        <v>0</v>
      </c>
      <c r="T4380" s="84" t="n">
        <f aca="false">IF(AND(ISNUMBER(O4380),ISNUMBER(P4380)),Coef_A+Coef_B1*O4380+Coef_B2*P4380,"")</f>
        <v>20.178939596166</v>
      </c>
      <c r="U4380" s="84" t="n">
        <f aca="false">IF(AND(R4380=1,ISNUMBER(T4380)),E4380-T4380,"")</f>
        <v>4.72106040383397</v>
      </c>
      <c r="V4380" s="84" t="n">
        <f aca="false">IF(ISNUMBER(T4380),T4380,-99)</f>
        <v>20.178939596166</v>
      </c>
      <c r="W4380" s="84" t="n">
        <f aca="false">IF(ISNUMBER(U4380),ABS(U4380),"")</f>
        <v>4.72106040383397</v>
      </c>
    </row>
    <row r="4381" customFormat="false" ht="15" hidden="false" customHeight="false" outlineLevel="0" collapsed="false">
      <c r="A4381" s="57" t="n">
        <v>39298</v>
      </c>
      <c r="B4381" s="56" t="n">
        <v>2007</v>
      </c>
      <c r="C4381" s="56" t="n">
        <v>8</v>
      </c>
      <c r="D4381" s="56" t="n">
        <v>96</v>
      </c>
      <c r="E4381" s="56" t="n">
        <v>26.2</v>
      </c>
      <c r="F4381" s="56" t="n">
        <v>0</v>
      </c>
      <c r="G4381" s="56" t="n">
        <v>14.8</v>
      </c>
      <c r="H4381" s="56" t="n">
        <v>0</v>
      </c>
      <c r="I4381" s="56" t="n">
        <v>20.5</v>
      </c>
      <c r="J4381" s="56" t="n">
        <v>0</v>
      </c>
      <c r="K4381" s="56" t="n">
        <v>1020.2</v>
      </c>
      <c r="L4381" s="56" t="n">
        <v>0</v>
      </c>
      <c r="M4381" s="56" t="n">
        <v>65</v>
      </c>
      <c r="N4381" s="56" t="n">
        <v>13.9</v>
      </c>
      <c r="O4381" s="56" t="n">
        <f aca="false">IF(D4381=1,"",E4380)</f>
        <v>24.9</v>
      </c>
      <c r="P4381" s="56" t="n">
        <f aca="false">IF(OR(D4381=1,K4380=""),"",K4380)</f>
        <v>1021.2</v>
      </c>
      <c r="Q4381" s="56" t="n">
        <f aca="false">IF(OR(F4381&lt;&gt;0,AND(I4381&lt;&gt;"",E4381&lt;I4381)),1,0)</f>
        <v>0</v>
      </c>
      <c r="R4381" s="56" t="n">
        <f aca="false">IF(AND(D4381&gt;1,Q4381=0,ISNUMBER(O4381),ISNUMBER(P4381)),IF(Q4380=0,1,0),0)</f>
        <v>1</v>
      </c>
      <c r="S4381" s="56" t="n">
        <f aca="false">R4381*(B4381&gt;=Train_Start)*(B4381&lt;=Train_End)</f>
        <v>0</v>
      </c>
      <c r="T4381" s="84" t="n">
        <f aca="false">IF(AND(ISNUMBER(O4381),ISNUMBER(P4381)),Coef_A+Coef_B1*O4381+Coef_B2*P4381,"")</f>
        <v>24.5234577289878</v>
      </c>
      <c r="U4381" s="84" t="n">
        <f aca="false">IF(AND(R4381=1,ISNUMBER(T4381)),E4381-T4381,"")</f>
        <v>1.67654227101216</v>
      </c>
      <c r="V4381" s="84" t="n">
        <f aca="false">IF(ISNUMBER(T4381),T4381,-99)</f>
        <v>24.5234577289878</v>
      </c>
      <c r="W4381" s="84" t="n">
        <f aca="false">IF(ISNUMBER(U4381),ABS(U4381),"")</f>
        <v>1.67654227101216</v>
      </c>
    </row>
    <row r="4382" customFormat="false" ht="15" hidden="false" customHeight="false" outlineLevel="0" collapsed="false">
      <c r="A4382" s="57" t="n">
        <v>39299</v>
      </c>
      <c r="B4382" s="56" t="n">
        <v>2007</v>
      </c>
      <c r="C4382" s="56" t="n">
        <v>8</v>
      </c>
      <c r="D4382" s="56" t="n">
        <v>97</v>
      </c>
      <c r="E4382" s="56" t="n">
        <v>29</v>
      </c>
      <c r="F4382" s="56" t="n">
        <v>0</v>
      </c>
      <c r="G4382" s="56" t="n">
        <v>14.7</v>
      </c>
      <c r="H4382" s="56" t="n">
        <v>0</v>
      </c>
      <c r="I4382" s="56" t="n">
        <v>21.8</v>
      </c>
      <c r="J4382" s="56" t="n">
        <v>0</v>
      </c>
      <c r="K4382" s="56" t="n">
        <v>1010.5</v>
      </c>
      <c r="L4382" s="56" t="n">
        <v>0</v>
      </c>
      <c r="M4382" s="56" t="n">
        <v>64</v>
      </c>
      <c r="N4382" s="56" t="n">
        <v>13.6</v>
      </c>
      <c r="O4382" s="56" t="n">
        <f aca="false">IF(D4382=1,"",E4381)</f>
        <v>26.2</v>
      </c>
      <c r="P4382" s="56" t="n">
        <f aca="false">IF(OR(D4382=1,K4381=""),"",K4381)</f>
        <v>1020.2</v>
      </c>
      <c r="Q4382" s="56" t="n">
        <f aca="false">IF(OR(F4382&lt;&gt;0,AND(I4382&lt;&gt;"",E4382&lt;I4382)),1,0)</f>
        <v>0</v>
      </c>
      <c r="R4382" s="56" t="n">
        <f aca="false">IF(AND(D4382&gt;1,Q4382=0,ISNUMBER(O4382),ISNUMBER(P4382)),IF(Q4381=0,1,0),0)</f>
        <v>1</v>
      </c>
      <c r="S4382" s="56" t="n">
        <f aca="false">R4382*(B4382&gt;=Train_Start)*(B4382&lt;=Train_End)</f>
        <v>0</v>
      </c>
      <c r="T4382" s="84" t="n">
        <f aca="false">IF(AND(ISNUMBER(O4382),ISNUMBER(P4382)),Coef_A+Coef_B1*O4382+Coef_B2*P4382,"")</f>
        <v>25.5572287853093</v>
      </c>
      <c r="U4382" s="84" t="n">
        <f aca="false">IF(AND(R4382=1,ISNUMBER(T4382)),E4382-T4382,"")</f>
        <v>3.4427712146907</v>
      </c>
      <c r="V4382" s="84" t="n">
        <f aca="false">IF(ISNUMBER(T4382),T4382,-99)</f>
        <v>25.5572287853093</v>
      </c>
      <c r="W4382" s="84" t="n">
        <f aca="false">IF(ISNUMBER(U4382),ABS(U4382),"")</f>
        <v>3.4427712146907</v>
      </c>
    </row>
    <row r="4383" customFormat="false" ht="15" hidden="false" customHeight="false" outlineLevel="0" collapsed="false">
      <c r="A4383" s="57" t="n">
        <v>39300</v>
      </c>
      <c r="B4383" s="56" t="n">
        <v>2007</v>
      </c>
      <c r="C4383" s="56" t="n">
        <v>8</v>
      </c>
      <c r="D4383" s="56" t="n">
        <v>98</v>
      </c>
      <c r="E4383" s="56" t="n">
        <v>23.6</v>
      </c>
      <c r="F4383" s="56" t="n">
        <v>0</v>
      </c>
      <c r="G4383" s="56" t="n">
        <v>15.8</v>
      </c>
      <c r="H4383" s="56" t="n">
        <v>0</v>
      </c>
      <c r="I4383" s="56" t="n">
        <v>19.7</v>
      </c>
      <c r="J4383" s="56" t="n">
        <v>0</v>
      </c>
      <c r="K4383" s="56" t="n">
        <v>1009.5</v>
      </c>
      <c r="L4383" s="56" t="n">
        <v>0</v>
      </c>
      <c r="M4383" s="56" t="n">
        <v>65</v>
      </c>
      <c r="N4383" s="56" t="n">
        <v>8.2</v>
      </c>
      <c r="O4383" s="56" t="n">
        <f aca="false">IF(D4383=1,"",E4382)</f>
        <v>29</v>
      </c>
      <c r="P4383" s="56" t="n">
        <f aca="false">IF(OR(D4383=1,K4382=""),"",K4382)</f>
        <v>1010.5</v>
      </c>
      <c r="Q4383" s="56" t="n">
        <f aca="false">IF(OR(F4383&lt;&gt;0,AND(I4383&lt;&gt;"",E4383&lt;I4383)),1,0)</f>
        <v>0</v>
      </c>
      <c r="R4383" s="56" t="n">
        <f aca="false">IF(AND(D4383&gt;1,Q4383=0,ISNUMBER(O4383),ISNUMBER(P4383)),IF(Q4382=0,1,0),0)</f>
        <v>1</v>
      </c>
      <c r="S4383" s="56" t="n">
        <f aca="false">R4383*(B4383&gt;=Train_Start)*(B4383&lt;=Train_End)</f>
        <v>0</v>
      </c>
      <c r="T4383" s="84" t="n">
        <f aca="false">IF(AND(ISNUMBER(O4383),ISNUMBER(P4383)),Coef_A+Coef_B1*O4383+Coef_B2*P4383,"")</f>
        <v>27.547090547879</v>
      </c>
      <c r="U4383" s="84" t="n">
        <f aca="false">IF(AND(R4383=1,ISNUMBER(T4383)),E4383-T4383,"")</f>
        <v>-3.94709054787905</v>
      </c>
      <c r="V4383" s="84" t="n">
        <f aca="false">IF(ISNUMBER(T4383),T4383,-99)</f>
        <v>27.547090547879</v>
      </c>
      <c r="W4383" s="84" t="n">
        <f aca="false">IF(ISNUMBER(U4383),ABS(U4383),"")</f>
        <v>3.94709054787905</v>
      </c>
    </row>
    <row r="4384" customFormat="false" ht="15" hidden="false" customHeight="false" outlineLevel="0" collapsed="false">
      <c r="A4384" s="57" t="n">
        <v>39301</v>
      </c>
      <c r="B4384" s="56" t="n">
        <v>2007</v>
      </c>
      <c r="C4384" s="56" t="n">
        <v>8</v>
      </c>
      <c r="D4384" s="56" t="n">
        <v>99</v>
      </c>
      <c r="E4384" s="56" t="n">
        <v>22.7</v>
      </c>
      <c r="F4384" s="56" t="n">
        <v>0</v>
      </c>
      <c r="G4384" s="56" t="n">
        <v>11.2</v>
      </c>
      <c r="H4384" s="56" t="n">
        <v>0</v>
      </c>
      <c r="I4384" s="56" t="n">
        <v>17</v>
      </c>
      <c r="J4384" s="56" t="n">
        <v>0</v>
      </c>
      <c r="K4384" s="56" t="n">
        <v>1015.8</v>
      </c>
      <c r="L4384" s="56" t="n">
        <v>0</v>
      </c>
      <c r="M4384" s="56" t="n">
        <v>67</v>
      </c>
      <c r="N4384" s="56" t="n">
        <v>9.5</v>
      </c>
      <c r="O4384" s="56" t="n">
        <f aca="false">IF(D4384=1,"",E4383)</f>
        <v>23.6</v>
      </c>
      <c r="P4384" s="56" t="n">
        <f aca="false">IF(OR(D4384=1,K4383=""),"",K4383)</f>
        <v>1009.5</v>
      </c>
      <c r="Q4384" s="56" t="n">
        <f aca="false">IF(OR(F4384&lt;&gt;0,AND(I4384&lt;&gt;"",E4384&lt;I4384)),1,0)</f>
        <v>0</v>
      </c>
      <c r="R4384" s="56" t="n">
        <f aca="false">IF(AND(D4384&gt;1,Q4384=0,ISNUMBER(O4384),ISNUMBER(P4384)),IF(Q4383=0,1,0),0)</f>
        <v>1</v>
      </c>
      <c r="S4384" s="56" t="n">
        <f aca="false">R4384*(B4384&gt;=Train_Start)*(B4384&lt;=Train_End)</f>
        <v>0</v>
      </c>
      <c r="T4384" s="84" t="n">
        <f aca="false">IF(AND(ISNUMBER(O4384),ISNUMBER(P4384)),Coef_A+Coef_B1*O4384+Coef_B2*P4384,"")</f>
        <v>23.0912890108147</v>
      </c>
      <c r="U4384" s="84" t="n">
        <f aca="false">IF(AND(R4384=1,ISNUMBER(T4384)),E4384-T4384,"")</f>
        <v>-0.39128901081471</v>
      </c>
      <c r="V4384" s="84" t="n">
        <f aca="false">IF(ISNUMBER(T4384),T4384,-99)</f>
        <v>23.0912890108147</v>
      </c>
      <c r="W4384" s="84" t="n">
        <f aca="false">IF(ISNUMBER(U4384),ABS(U4384),"")</f>
        <v>0.39128901081471</v>
      </c>
    </row>
    <row r="4385" customFormat="false" ht="15" hidden="false" customHeight="false" outlineLevel="0" collapsed="false">
      <c r="A4385" s="57" t="n">
        <v>39302</v>
      </c>
      <c r="B4385" s="56" t="n">
        <v>2007</v>
      </c>
      <c r="C4385" s="56" t="n">
        <v>8</v>
      </c>
      <c r="D4385" s="56" t="n">
        <v>100</v>
      </c>
      <c r="E4385" s="56" t="n">
        <v>21.7</v>
      </c>
      <c r="F4385" s="56" t="n">
        <v>0</v>
      </c>
      <c r="G4385" s="56" t="n">
        <v>11.9</v>
      </c>
      <c r="H4385" s="56" t="n">
        <v>0</v>
      </c>
      <c r="I4385" s="56" t="n">
        <v>16.8</v>
      </c>
      <c r="J4385" s="56" t="n">
        <v>0</v>
      </c>
      <c r="K4385" s="56" t="n">
        <v>1019.9</v>
      </c>
      <c r="L4385" s="56" t="n">
        <v>0</v>
      </c>
      <c r="M4385" s="56" t="n">
        <v>57</v>
      </c>
      <c r="N4385" s="56" t="n">
        <v>10.7</v>
      </c>
      <c r="O4385" s="56" t="n">
        <f aca="false">IF(D4385=1,"",E4384)</f>
        <v>22.7</v>
      </c>
      <c r="P4385" s="56" t="n">
        <f aca="false">IF(OR(D4385=1,K4384=""),"",K4384)</f>
        <v>1015.8</v>
      </c>
      <c r="Q4385" s="56" t="n">
        <f aca="false">IF(OR(F4385&lt;&gt;0,AND(I4385&lt;&gt;"",E4385&lt;I4385)),1,0)</f>
        <v>0</v>
      </c>
      <c r="R4385" s="56" t="n">
        <f aca="false">IF(AND(D4385&gt;1,Q4385=0,ISNUMBER(O4385),ISNUMBER(P4385)),IF(Q4384=0,1,0),0)</f>
        <v>1</v>
      </c>
      <c r="S4385" s="56" t="n">
        <f aca="false">R4385*(B4385&gt;=Train_Start)*(B4385&lt;=Train_End)</f>
        <v>0</v>
      </c>
      <c r="T4385" s="84" t="n">
        <f aca="false">IF(AND(ISNUMBER(O4385),ISNUMBER(P4385)),Coef_A+Coef_B1*O4385+Coef_B2*P4385,"")</f>
        <v>22.5515140732704</v>
      </c>
      <c r="U4385" s="84" t="n">
        <f aca="false">IF(AND(R4385=1,ISNUMBER(T4385)),E4385-T4385,"")</f>
        <v>-0.851514073270447</v>
      </c>
      <c r="V4385" s="84" t="n">
        <f aca="false">IF(ISNUMBER(T4385),T4385,-99)</f>
        <v>22.5515140732704</v>
      </c>
      <c r="W4385" s="84" t="n">
        <f aca="false">IF(ISNUMBER(U4385),ABS(U4385),"")</f>
        <v>0.851514073270447</v>
      </c>
    </row>
    <row r="4386" customFormat="false" ht="15" hidden="false" customHeight="false" outlineLevel="0" collapsed="false">
      <c r="A4386" s="57" t="n">
        <v>39303</v>
      </c>
      <c r="B4386" s="56" t="n">
        <v>2007</v>
      </c>
      <c r="C4386" s="56" t="n">
        <v>8</v>
      </c>
      <c r="D4386" s="56" t="n">
        <v>101</v>
      </c>
      <c r="E4386" s="56" t="n">
        <v>21.7</v>
      </c>
      <c r="F4386" s="56" t="n">
        <v>0</v>
      </c>
      <c r="G4386" s="56" t="n">
        <v>11.9</v>
      </c>
      <c r="H4386" s="56" t="n">
        <v>0</v>
      </c>
      <c r="I4386" s="56" t="n">
        <v>16.8</v>
      </c>
      <c r="J4386" s="56" t="n">
        <v>0</v>
      </c>
      <c r="K4386" s="56" t="n">
        <v>1020.7</v>
      </c>
      <c r="L4386" s="56" t="n">
        <v>0</v>
      </c>
      <c r="M4386" s="56" t="n">
        <v>58</v>
      </c>
      <c r="N4386" s="56" t="n">
        <v>9.1</v>
      </c>
      <c r="O4386" s="56" t="n">
        <f aca="false">IF(D4386=1,"",E4385)</f>
        <v>21.7</v>
      </c>
      <c r="P4386" s="56" t="n">
        <f aca="false">IF(OR(D4386=1,K4385=""),"",K4385)</f>
        <v>1019.9</v>
      </c>
      <c r="Q4386" s="56" t="n">
        <f aca="false">IF(OR(F4386&lt;&gt;0,AND(I4386&lt;&gt;"",E4386&lt;I4386)),1,0)</f>
        <v>0</v>
      </c>
      <c r="R4386" s="56" t="n">
        <f aca="false">IF(AND(D4386&gt;1,Q4386=0,ISNUMBER(O4386),ISNUMBER(P4386)),IF(Q4385=0,1,0),0)</f>
        <v>1</v>
      </c>
      <c r="S4386" s="56" t="n">
        <f aca="false">R4386*(B4386&gt;=Train_Start)*(B4386&lt;=Train_End)</f>
        <v>0</v>
      </c>
      <c r="T4386" s="84" t="n">
        <f aca="false">IF(AND(ISNUMBER(O4386),ISNUMBER(P4386)),Coef_A+Coef_B1*O4386+Coef_B2*P4386,"")</f>
        <v>21.8607914482271</v>
      </c>
      <c r="U4386" s="84" t="n">
        <f aca="false">IF(AND(R4386=1,ISNUMBER(T4386)),E4386-T4386,"")</f>
        <v>-0.160791448227148</v>
      </c>
      <c r="V4386" s="84" t="n">
        <f aca="false">IF(ISNUMBER(T4386),T4386,-99)</f>
        <v>21.8607914482271</v>
      </c>
      <c r="W4386" s="84" t="n">
        <f aca="false">IF(ISNUMBER(U4386),ABS(U4386),"")</f>
        <v>0.160791448227148</v>
      </c>
    </row>
    <row r="4387" customFormat="false" ht="15" hidden="false" customHeight="false" outlineLevel="0" collapsed="false">
      <c r="A4387" s="57" t="n">
        <v>39304</v>
      </c>
      <c r="B4387" s="56" t="n">
        <v>2007</v>
      </c>
      <c r="C4387" s="56" t="n">
        <v>8</v>
      </c>
      <c r="D4387" s="56" t="n">
        <v>102</v>
      </c>
      <c r="E4387" s="56" t="n">
        <v>24.4</v>
      </c>
      <c r="F4387" s="56" t="n">
        <v>0</v>
      </c>
      <c r="G4387" s="56" t="n">
        <v>10.5</v>
      </c>
      <c r="H4387" s="56" t="n">
        <v>0</v>
      </c>
      <c r="I4387" s="56" t="n">
        <v>17.4</v>
      </c>
      <c r="J4387" s="56" t="n">
        <v>0</v>
      </c>
      <c r="K4387" s="56" t="n">
        <v>1018.9</v>
      </c>
      <c r="L4387" s="56" t="n">
        <v>0</v>
      </c>
      <c r="M4387" s="56" t="n">
        <v>59</v>
      </c>
      <c r="N4387" s="56" t="n">
        <v>13</v>
      </c>
      <c r="O4387" s="56" t="n">
        <f aca="false">IF(D4387=1,"",E4386)</f>
        <v>21.7</v>
      </c>
      <c r="P4387" s="56" t="n">
        <f aca="false">IF(OR(D4387=1,K4386=""),"",K4386)</f>
        <v>1020.7</v>
      </c>
      <c r="Q4387" s="56" t="n">
        <f aca="false">IF(OR(F4387&lt;&gt;0,AND(I4387&lt;&gt;"",E4387&lt;I4387)),1,0)</f>
        <v>0</v>
      </c>
      <c r="R4387" s="56" t="n">
        <f aca="false">IF(AND(D4387&gt;1,Q4387=0,ISNUMBER(O4387),ISNUMBER(P4387)),IF(Q4386=0,1,0),0)</f>
        <v>1</v>
      </c>
      <c r="S4387" s="56" t="n">
        <f aca="false">R4387*(B4387&gt;=Train_Start)*(B4387&lt;=Train_End)</f>
        <v>0</v>
      </c>
      <c r="T4387" s="84" t="n">
        <f aca="false">IF(AND(ISNUMBER(O4387),ISNUMBER(P4387)),Coef_A+Coef_B1*O4387+Coef_B2*P4387,"")</f>
        <v>21.8858873639343</v>
      </c>
      <c r="U4387" s="84" t="n">
        <f aca="false">IF(AND(R4387=1,ISNUMBER(T4387)),E4387-T4387,"")</f>
        <v>2.51411263606565</v>
      </c>
      <c r="V4387" s="84" t="n">
        <f aca="false">IF(ISNUMBER(T4387),T4387,-99)</f>
        <v>21.8858873639343</v>
      </c>
      <c r="W4387" s="84" t="n">
        <f aca="false">IF(ISNUMBER(U4387),ABS(U4387),"")</f>
        <v>2.51411263606565</v>
      </c>
    </row>
    <row r="4388" customFormat="false" ht="15" hidden="false" customHeight="false" outlineLevel="0" collapsed="false">
      <c r="A4388" s="57" t="n">
        <v>39305</v>
      </c>
      <c r="B4388" s="56" t="n">
        <v>2007</v>
      </c>
      <c r="C4388" s="56" t="n">
        <v>8</v>
      </c>
      <c r="D4388" s="56" t="n">
        <v>103</v>
      </c>
      <c r="E4388" s="56" t="n">
        <v>25.8</v>
      </c>
      <c r="F4388" s="56" t="n">
        <v>0</v>
      </c>
      <c r="G4388" s="56" t="n">
        <v>12.7</v>
      </c>
      <c r="H4388" s="56" t="n">
        <v>0</v>
      </c>
      <c r="I4388" s="56" t="n">
        <v>19.2</v>
      </c>
      <c r="J4388" s="56" t="n">
        <v>0</v>
      </c>
      <c r="K4388" s="56" t="n">
        <v>1014.8</v>
      </c>
      <c r="L4388" s="56" t="n">
        <v>0</v>
      </c>
      <c r="M4388" s="56" t="n">
        <v>66</v>
      </c>
      <c r="N4388" s="56" t="n">
        <v>12.5</v>
      </c>
      <c r="O4388" s="56" t="n">
        <f aca="false">IF(D4388=1,"",E4387)</f>
        <v>24.4</v>
      </c>
      <c r="P4388" s="56" t="n">
        <f aca="false">IF(OR(D4388=1,K4387=""),"",K4387)</f>
        <v>1018.9</v>
      </c>
      <c r="Q4388" s="56" t="n">
        <f aca="false">IF(OR(F4388&lt;&gt;0,AND(I4388&lt;&gt;"",E4388&lt;I4388)),1,0)</f>
        <v>0</v>
      </c>
      <c r="R4388" s="56" t="n">
        <f aca="false">IF(AND(D4388&gt;1,Q4388=0,ISNUMBER(O4388),ISNUMBER(P4388)),IF(Q4387=0,1,0),0)</f>
        <v>1</v>
      </c>
      <c r="S4388" s="56" t="n">
        <f aca="false">R4388*(B4388&gt;=Train_Start)*(B4388&lt;=Train_End)</f>
        <v>0</v>
      </c>
      <c r="T4388" s="84" t="n">
        <f aca="false">IF(AND(ISNUMBER(O4388),ISNUMBER(P4388)),Coef_A+Coef_B1*O4388+Coef_B2*P4388,"")</f>
        <v>24.0416373748083</v>
      </c>
      <c r="U4388" s="84" t="n">
        <f aca="false">IF(AND(R4388=1,ISNUMBER(T4388)),E4388-T4388,"")</f>
        <v>1.75836262519167</v>
      </c>
      <c r="V4388" s="84" t="n">
        <f aca="false">IF(ISNUMBER(T4388),T4388,-99)</f>
        <v>24.0416373748083</v>
      </c>
      <c r="W4388" s="84" t="n">
        <f aca="false">IF(ISNUMBER(U4388),ABS(U4388),"")</f>
        <v>1.75836262519167</v>
      </c>
    </row>
    <row r="4389" customFormat="false" ht="15" hidden="false" customHeight="false" outlineLevel="0" collapsed="false">
      <c r="A4389" s="57" t="n">
        <v>39306</v>
      </c>
      <c r="B4389" s="56" t="n">
        <v>2007</v>
      </c>
      <c r="C4389" s="56" t="n">
        <v>8</v>
      </c>
      <c r="D4389" s="56" t="n">
        <v>104</v>
      </c>
      <c r="E4389" s="56" t="n">
        <v>22.7</v>
      </c>
      <c r="F4389" s="56" t="n">
        <v>0</v>
      </c>
      <c r="G4389" s="56" t="n">
        <v>12.9</v>
      </c>
      <c r="H4389" s="56" t="n">
        <v>0</v>
      </c>
      <c r="I4389" s="56" t="n">
        <v>17.8</v>
      </c>
      <c r="J4389" s="56" t="n">
        <v>0</v>
      </c>
      <c r="K4389" s="56" t="n">
        <v>1008.9</v>
      </c>
      <c r="L4389" s="56" t="n">
        <v>0</v>
      </c>
      <c r="M4389" s="56" t="n">
        <v>65</v>
      </c>
      <c r="N4389" s="56" t="n">
        <v>5</v>
      </c>
      <c r="O4389" s="56" t="n">
        <f aca="false">IF(D4389=1,"",E4388)</f>
        <v>25.8</v>
      </c>
      <c r="P4389" s="56" t="n">
        <f aca="false">IF(OR(D4389=1,K4388=""),"",K4388)</f>
        <v>1014.8</v>
      </c>
      <c r="Q4389" s="56" t="n">
        <f aca="false">IF(OR(F4389&lt;&gt;0,AND(I4389&lt;&gt;"",E4389&lt;I4389)),1,0)</f>
        <v>0</v>
      </c>
      <c r="R4389" s="56" t="n">
        <f aca="false">IF(AND(D4389&gt;1,Q4389=0,ISNUMBER(O4389),ISNUMBER(P4389)),IF(Q4388=0,1,0),0)</f>
        <v>1</v>
      </c>
      <c r="S4389" s="56" t="n">
        <f aca="false">R4389*(B4389&gt;=Train_Start)*(B4389&lt;=Train_End)</f>
        <v>0</v>
      </c>
      <c r="T4389" s="84" t="n">
        <f aca="false">IF(AND(ISNUMBER(O4389),ISNUMBER(P4389)),Coef_A+Coef_B1*O4389+Coef_B2*P4389,"")</f>
        <v>25.0600956770687</v>
      </c>
      <c r="U4389" s="84" t="n">
        <f aca="false">IF(AND(R4389=1,ISNUMBER(T4389)),E4389-T4389,"")</f>
        <v>-2.3600956770687</v>
      </c>
      <c r="V4389" s="84" t="n">
        <f aca="false">IF(ISNUMBER(T4389),T4389,-99)</f>
        <v>25.0600956770687</v>
      </c>
      <c r="W4389" s="84" t="n">
        <f aca="false">IF(ISNUMBER(U4389),ABS(U4389),"")</f>
        <v>2.3600956770687</v>
      </c>
    </row>
    <row r="4390" customFormat="false" ht="15" hidden="false" customHeight="false" outlineLevel="0" collapsed="false">
      <c r="A4390" s="57" t="n">
        <v>39307</v>
      </c>
      <c r="B4390" s="56" t="n">
        <v>2007</v>
      </c>
      <c r="C4390" s="56" t="n">
        <v>8</v>
      </c>
      <c r="D4390" s="56" t="n">
        <v>105</v>
      </c>
      <c r="E4390" s="56" t="n">
        <v>22.1</v>
      </c>
      <c r="F4390" s="56" t="n">
        <v>0</v>
      </c>
      <c r="G4390" s="56" t="n">
        <v>11.1</v>
      </c>
      <c r="H4390" s="56" t="n">
        <v>0</v>
      </c>
      <c r="I4390" s="56" t="n">
        <v>16.6</v>
      </c>
      <c r="J4390" s="56" t="n">
        <v>0</v>
      </c>
      <c r="K4390" s="56" t="n">
        <v>1009.5</v>
      </c>
      <c r="L4390" s="56" t="n">
        <v>0</v>
      </c>
      <c r="M4390" s="56" t="n">
        <v>69</v>
      </c>
      <c r="N4390" s="56" t="n">
        <v>5.5</v>
      </c>
      <c r="O4390" s="56" t="n">
        <f aca="false">IF(D4390=1,"",E4389)</f>
        <v>22.7</v>
      </c>
      <c r="P4390" s="56" t="n">
        <f aca="false">IF(OR(D4390=1,K4389=""),"",K4389)</f>
        <v>1008.9</v>
      </c>
      <c r="Q4390" s="56" t="n">
        <f aca="false">IF(OR(F4390&lt;&gt;0,AND(I4390&lt;&gt;"",E4390&lt;I4390)),1,0)</f>
        <v>0</v>
      </c>
      <c r="R4390" s="56" t="n">
        <f aca="false">IF(AND(D4390&gt;1,Q4390=0,ISNUMBER(O4390),ISNUMBER(P4390)),IF(Q4389=0,1,0),0)</f>
        <v>1</v>
      </c>
      <c r="S4390" s="56" t="n">
        <f aca="false">R4390*(B4390&gt;=Train_Start)*(B4390&lt;=Train_End)</f>
        <v>0</v>
      </c>
      <c r="T4390" s="84" t="n">
        <f aca="false">IF(AND(ISNUMBER(O4390),ISNUMBER(P4390)),Coef_A+Coef_B1*O4390+Coef_B2*P4390,"")</f>
        <v>22.3350618002959</v>
      </c>
      <c r="U4390" s="84" t="n">
        <f aca="false">IF(AND(R4390=1,ISNUMBER(T4390)),E4390-T4390,"")</f>
        <v>-0.23506180029592</v>
      </c>
      <c r="V4390" s="84" t="n">
        <f aca="false">IF(ISNUMBER(T4390),T4390,-99)</f>
        <v>22.3350618002959</v>
      </c>
      <c r="W4390" s="84" t="n">
        <f aca="false">IF(ISNUMBER(U4390),ABS(U4390),"")</f>
        <v>0.23506180029592</v>
      </c>
    </row>
    <row r="4391" customFormat="false" ht="15" hidden="false" customHeight="false" outlineLevel="0" collapsed="false">
      <c r="A4391" s="57" t="n">
        <v>39308</v>
      </c>
      <c r="B4391" s="56" t="n">
        <v>2007</v>
      </c>
      <c r="C4391" s="56" t="n">
        <v>8</v>
      </c>
      <c r="D4391" s="56" t="n">
        <v>106</v>
      </c>
      <c r="E4391" s="56" t="n">
        <v>19.5</v>
      </c>
      <c r="F4391" s="56" t="n">
        <v>0</v>
      </c>
      <c r="G4391" s="56" t="n">
        <v>14.9</v>
      </c>
      <c r="H4391" s="56" t="n">
        <v>0</v>
      </c>
      <c r="I4391" s="56" t="n">
        <v>17.2</v>
      </c>
      <c r="J4391" s="56" t="n">
        <v>0</v>
      </c>
      <c r="K4391" s="56" t="n">
        <v>1000.5</v>
      </c>
      <c r="L4391" s="56" t="n">
        <v>0</v>
      </c>
      <c r="M4391" s="56" t="n">
        <v>90</v>
      </c>
      <c r="N4391" s="56" t="n">
        <v>0</v>
      </c>
      <c r="O4391" s="56" t="n">
        <f aca="false">IF(D4391=1,"",E4390)</f>
        <v>22.1</v>
      </c>
      <c r="P4391" s="56" t="n">
        <f aca="false">IF(OR(D4391=1,K4390=""),"",K4390)</f>
        <v>1009.5</v>
      </c>
      <c r="Q4391" s="56" t="n">
        <f aca="false">IF(OR(F4391&lt;&gt;0,AND(I4391&lt;&gt;"",E4391&lt;I4391)),1,0)</f>
        <v>0</v>
      </c>
      <c r="R4391" s="56" t="n">
        <f aca="false">IF(AND(D4391&gt;1,Q4391=0,ISNUMBER(O4391),ISNUMBER(P4391)),IF(Q4390=0,1,0),0)</f>
        <v>1</v>
      </c>
      <c r="S4391" s="56" t="n">
        <f aca="false">R4391*(B4391&gt;=Train_Start)*(B4391&lt;=Train_End)</f>
        <v>0</v>
      </c>
      <c r="T4391" s="84" t="n">
        <f aca="false">IF(AND(ISNUMBER(O4391),ISNUMBER(P4391)),Coef_A+Coef_B1*O4391+Coef_B2*P4391,"")</f>
        <v>21.8622802212507</v>
      </c>
      <c r="U4391" s="84" t="n">
        <f aca="false">IF(AND(R4391=1,ISNUMBER(T4391)),E4391-T4391,"")</f>
        <v>-2.36228022125072</v>
      </c>
      <c r="V4391" s="84" t="n">
        <f aca="false">IF(ISNUMBER(T4391),T4391,-99)</f>
        <v>21.8622802212507</v>
      </c>
      <c r="W4391" s="84" t="n">
        <f aca="false">IF(ISNUMBER(U4391),ABS(U4391),"")</f>
        <v>2.36228022125072</v>
      </c>
    </row>
    <row r="4392" customFormat="false" ht="15" hidden="false" customHeight="false" outlineLevel="0" collapsed="false">
      <c r="A4392" s="57" t="n">
        <v>39309</v>
      </c>
      <c r="B4392" s="56" t="n">
        <v>2007</v>
      </c>
      <c r="C4392" s="56" t="n">
        <v>8</v>
      </c>
      <c r="D4392" s="56" t="n">
        <v>107</v>
      </c>
      <c r="E4392" s="56" t="n">
        <v>22.1</v>
      </c>
      <c r="F4392" s="56" t="n">
        <v>0</v>
      </c>
      <c r="G4392" s="56" t="n">
        <v>15.3</v>
      </c>
      <c r="H4392" s="56" t="n">
        <v>0</v>
      </c>
      <c r="I4392" s="56" t="n">
        <v>18.7</v>
      </c>
      <c r="J4392" s="56" t="n">
        <v>0</v>
      </c>
      <c r="K4392" s="56" t="n">
        <v>996.3</v>
      </c>
      <c r="L4392" s="56" t="n">
        <v>0</v>
      </c>
      <c r="M4392" s="56" t="n">
        <v>84</v>
      </c>
      <c r="N4392" s="56" t="n">
        <v>1.8</v>
      </c>
      <c r="O4392" s="56" t="n">
        <f aca="false">IF(D4392=1,"",E4391)</f>
        <v>19.5</v>
      </c>
      <c r="P4392" s="56" t="n">
        <f aca="false">IF(OR(D4392=1,K4391=""),"",K4391)</f>
        <v>1000.5</v>
      </c>
      <c r="Q4392" s="56" t="n">
        <f aca="false">IF(OR(F4392&lt;&gt;0,AND(I4392&lt;&gt;"",E4392&lt;I4392)),1,0)</f>
        <v>0</v>
      </c>
      <c r="R4392" s="56" t="n">
        <f aca="false">IF(AND(D4392&gt;1,Q4392=0,ISNUMBER(O4392),ISNUMBER(P4392)),IF(Q4391=0,1,0),0)</f>
        <v>1</v>
      </c>
      <c r="S4392" s="56" t="n">
        <f aca="false">R4392*(B4392&gt;=Train_Start)*(B4392&lt;=Train_End)</f>
        <v>0</v>
      </c>
      <c r="T4392" s="84" t="n">
        <f aca="false">IF(AND(ISNUMBER(O4392),ISNUMBER(P4392)),Coef_A+Coef_B1*O4392+Coef_B2*P4392,"")</f>
        <v>19.4496692676339</v>
      </c>
      <c r="U4392" s="84" t="n">
        <f aca="false">IF(AND(R4392=1,ISNUMBER(T4392)),E4392-T4392,"")</f>
        <v>2.65033073236609</v>
      </c>
      <c r="V4392" s="84" t="n">
        <f aca="false">IF(ISNUMBER(T4392),T4392,-99)</f>
        <v>19.4496692676339</v>
      </c>
      <c r="W4392" s="84" t="n">
        <f aca="false">IF(ISNUMBER(U4392),ABS(U4392),"")</f>
        <v>2.65033073236609</v>
      </c>
    </row>
    <row r="4393" customFormat="false" ht="15" hidden="false" customHeight="false" outlineLevel="0" collapsed="false">
      <c r="A4393" s="57" t="n">
        <v>39310</v>
      </c>
      <c r="B4393" s="56" t="n">
        <v>2007</v>
      </c>
      <c r="C4393" s="56" t="n">
        <v>8</v>
      </c>
      <c r="D4393" s="56" t="n">
        <v>108</v>
      </c>
      <c r="E4393" s="56" t="n">
        <v>19.6</v>
      </c>
      <c r="F4393" s="56" t="n">
        <v>0</v>
      </c>
      <c r="G4393" s="56" t="n">
        <v>10.9</v>
      </c>
      <c r="H4393" s="56" t="n">
        <v>0</v>
      </c>
      <c r="I4393" s="56" t="n">
        <v>15.2</v>
      </c>
      <c r="J4393" s="56" t="n">
        <v>0</v>
      </c>
      <c r="K4393" s="56" t="n">
        <v>1009.3</v>
      </c>
      <c r="L4393" s="56" t="n">
        <v>0</v>
      </c>
      <c r="M4393" s="56" t="n">
        <v>72</v>
      </c>
      <c r="N4393" s="56" t="n">
        <v>8.4</v>
      </c>
      <c r="O4393" s="56" t="n">
        <f aca="false">IF(D4393=1,"",E4392)</f>
        <v>22.1</v>
      </c>
      <c r="P4393" s="56" t="n">
        <f aca="false">IF(OR(D4393=1,K4392=""),"",K4392)</f>
        <v>996.3</v>
      </c>
      <c r="Q4393" s="56" t="n">
        <f aca="false">IF(OR(F4393&lt;&gt;0,AND(I4393&lt;&gt;"",E4393&lt;I4393)),1,0)</f>
        <v>0</v>
      </c>
      <c r="R4393" s="56" t="n">
        <f aca="false">IF(AND(D4393&gt;1,Q4393=0,ISNUMBER(O4393),ISNUMBER(P4393)),IF(Q4392=0,1,0),0)</f>
        <v>1</v>
      </c>
      <c r="S4393" s="56" t="n">
        <f aca="false">R4393*(B4393&gt;=Train_Start)*(B4393&lt;=Train_End)</f>
        <v>0</v>
      </c>
      <c r="T4393" s="84" t="n">
        <f aca="false">IF(AND(ISNUMBER(O4393),ISNUMBER(P4393)),Coef_A+Coef_B1*O4393+Coef_B2*P4393,"")</f>
        <v>21.4481976120821</v>
      </c>
      <c r="U4393" s="84" t="n">
        <f aca="false">IF(AND(R4393=1,ISNUMBER(T4393)),E4393-T4393,"")</f>
        <v>-1.84819761208206</v>
      </c>
      <c r="V4393" s="84" t="n">
        <f aca="false">IF(ISNUMBER(T4393),T4393,-99)</f>
        <v>21.4481976120821</v>
      </c>
      <c r="W4393" s="84" t="n">
        <f aca="false">IF(ISNUMBER(U4393),ABS(U4393),"")</f>
        <v>1.84819761208206</v>
      </c>
    </row>
    <row r="4394" customFormat="false" ht="15" hidden="false" customHeight="false" outlineLevel="0" collapsed="false">
      <c r="A4394" s="57" t="n">
        <v>39311</v>
      </c>
      <c r="B4394" s="56" t="n">
        <v>2007</v>
      </c>
      <c r="C4394" s="56" t="n">
        <v>8</v>
      </c>
      <c r="D4394" s="56" t="n">
        <v>109</v>
      </c>
      <c r="E4394" s="56" t="n">
        <v>20.1</v>
      </c>
      <c r="F4394" s="56" t="n">
        <v>0</v>
      </c>
      <c r="G4394" s="56" t="n">
        <v>10.3</v>
      </c>
      <c r="H4394" s="56" t="n">
        <v>0</v>
      </c>
      <c r="I4394" s="56" t="n">
        <v>15.2</v>
      </c>
      <c r="J4394" s="56" t="n">
        <v>0</v>
      </c>
      <c r="K4394" s="56" t="n">
        <v>1016.2</v>
      </c>
      <c r="L4394" s="56" t="n">
        <v>0</v>
      </c>
      <c r="M4394" s="56" t="n">
        <v>70</v>
      </c>
      <c r="N4394" s="56" t="n">
        <v>5.3</v>
      </c>
      <c r="O4394" s="56" t="n">
        <f aca="false">IF(D4394=1,"",E4393)</f>
        <v>19.6</v>
      </c>
      <c r="P4394" s="56" t="n">
        <f aca="false">IF(OR(D4394=1,K4393=""),"",K4393)</f>
        <v>1009.3</v>
      </c>
      <c r="Q4394" s="56" t="n">
        <f aca="false">IF(OR(F4394&lt;&gt;0,AND(I4394&lt;&gt;"",E4394&lt;I4394)),1,0)</f>
        <v>0</v>
      </c>
      <c r="R4394" s="56" t="n">
        <f aca="false">IF(AND(D4394&gt;1,Q4394=0,ISNUMBER(O4394),ISNUMBER(P4394)),IF(Q4393=0,1,0),0)</f>
        <v>1</v>
      </c>
      <c r="S4394" s="56" t="n">
        <f aca="false">R4394*(B4394&gt;=Train_Start)*(B4394&lt;=Train_End)</f>
        <v>0</v>
      </c>
      <c r="T4394" s="84" t="n">
        <f aca="false">IF(AND(ISNUMBER(O4394),ISNUMBER(P4394)),Coef_A+Coef_B1*O4394+Coef_B2*P4394,"")</f>
        <v>19.8076582597173</v>
      </c>
      <c r="U4394" s="84" t="n">
        <f aca="false">IF(AND(R4394=1,ISNUMBER(T4394)),E4394-T4394,"")</f>
        <v>0.292341740282723</v>
      </c>
      <c r="V4394" s="84" t="n">
        <f aca="false">IF(ISNUMBER(T4394),T4394,-99)</f>
        <v>19.8076582597173</v>
      </c>
      <c r="W4394" s="84" t="n">
        <f aca="false">IF(ISNUMBER(U4394),ABS(U4394),"")</f>
        <v>0.292341740282723</v>
      </c>
    </row>
    <row r="4395" customFormat="false" ht="15" hidden="false" customHeight="false" outlineLevel="0" collapsed="false">
      <c r="A4395" s="57" t="n">
        <v>39312</v>
      </c>
      <c r="B4395" s="56" t="n">
        <v>2007</v>
      </c>
      <c r="C4395" s="56" t="n">
        <v>8</v>
      </c>
      <c r="D4395" s="56" t="n">
        <v>110</v>
      </c>
      <c r="E4395" s="56" t="n">
        <v>19.3</v>
      </c>
      <c r="F4395" s="56" t="n">
        <v>0</v>
      </c>
      <c r="G4395" s="56" t="n">
        <v>14.3</v>
      </c>
      <c r="H4395" s="56" t="n">
        <v>0</v>
      </c>
      <c r="I4395" s="56" t="n">
        <v>16.8</v>
      </c>
      <c r="J4395" s="56" t="n">
        <v>0</v>
      </c>
      <c r="K4395" s="56" t="n">
        <v>1010.4</v>
      </c>
      <c r="L4395" s="56" t="n">
        <v>0</v>
      </c>
      <c r="M4395" s="56" t="n">
        <v>87</v>
      </c>
      <c r="N4395" s="56" t="n">
        <v>0.3</v>
      </c>
      <c r="O4395" s="56" t="n">
        <f aca="false">IF(D4395=1,"",E4394)</f>
        <v>20.1</v>
      </c>
      <c r="P4395" s="56" t="n">
        <f aca="false">IF(OR(D4395=1,K4394=""),"",K4394)</f>
        <v>1016.2</v>
      </c>
      <c r="Q4395" s="56" t="n">
        <f aca="false">IF(OR(F4395&lt;&gt;0,AND(I4395&lt;&gt;"",E4395&lt;I4395)),1,0)</f>
        <v>0</v>
      </c>
      <c r="R4395" s="56" t="n">
        <f aca="false">IF(AND(D4395&gt;1,Q4395=0,ISNUMBER(O4395),ISNUMBER(P4395)),IF(Q4394=0,1,0),0)</f>
        <v>1</v>
      </c>
      <c r="S4395" s="56" t="n">
        <f aca="false">R4395*(B4395&gt;=Train_Start)*(B4395&lt;=Train_End)</f>
        <v>0</v>
      </c>
      <c r="T4395" s="84" t="n">
        <f aca="false">IF(AND(ISNUMBER(O4395),ISNUMBER(P4395)),Coef_A+Coef_B1*O4395+Coef_B2*P4395,"")</f>
        <v>20.4337801292131</v>
      </c>
      <c r="U4395" s="84" t="n">
        <f aca="false">IF(AND(R4395=1,ISNUMBER(T4395)),E4395-T4395,"")</f>
        <v>-1.13378012921314</v>
      </c>
      <c r="V4395" s="84" t="n">
        <f aca="false">IF(ISNUMBER(T4395),T4395,-99)</f>
        <v>20.4337801292131</v>
      </c>
      <c r="W4395" s="84" t="n">
        <f aca="false">IF(ISNUMBER(U4395),ABS(U4395),"")</f>
        <v>1.13378012921314</v>
      </c>
    </row>
    <row r="4396" customFormat="false" ht="15" hidden="false" customHeight="false" outlineLevel="0" collapsed="false">
      <c r="A4396" s="57" t="n">
        <v>39313</v>
      </c>
      <c r="B4396" s="56" t="n">
        <v>2007</v>
      </c>
      <c r="C4396" s="56" t="n">
        <v>8</v>
      </c>
      <c r="D4396" s="56" t="n">
        <v>111</v>
      </c>
      <c r="E4396" s="56" t="n">
        <v>17.8</v>
      </c>
      <c r="F4396" s="56" t="n">
        <v>0</v>
      </c>
      <c r="G4396" s="56" t="n">
        <v>15.2</v>
      </c>
      <c r="H4396" s="56" t="n">
        <v>0</v>
      </c>
      <c r="I4396" s="56" t="n">
        <v>16.5</v>
      </c>
      <c r="J4396" s="56" t="n">
        <v>0</v>
      </c>
      <c r="K4396" s="56" t="n">
        <v>1006</v>
      </c>
      <c r="L4396" s="56" t="n">
        <v>0</v>
      </c>
      <c r="M4396" s="56" t="n">
        <v>93</v>
      </c>
      <c r="N4396" s="56" t="n">
        <v>0</v>
      </c>
      <c r="O4396" s="56" t="n">
        <f aca="false">IF(D4396=1,"",E4395)</f>
        <v>19.3</v>
      </c>
      <c r="P4396" s="56" t="n">
        <f aca="false">IF(OR(D4396=1,K4395=""),"",K4395)</f>
        <v>1010.4</v>
      </c>
      <c r="Q4396" s="56" t="n">
        <f aca="false">IF(OR(F4396&lt;&gt;0,AND(I4396&lt;&gt;"",E4396&lt;I4396)),1,0)</f>
        <v>0</v>
      </c>
      <c r="R4396" s="56" t="n">
        <f aca="false">IF(AND(D4396&gt;1,Q4396=0,ISNUMBER(O4396),ISNUMBER(P4396)),IF(Q4395=0,1,0),0)</f>
        <v>1</v>
      </c>
      <c r="S4396" s="56" t="n">
        <f aca="false">R4396*(B4396&gt;=Train_Start)*(B4396&lt;=Train_End)</f>
        <v>0</v>
      </c>
      <c r="T4396" s="84" t="n">
        <f aca="false">IF(AND(ISNUMBER(O4396),ISNUMBER(P4396)),Coef_A+Coef_B1*O4396+Coef_B2*P4396,"")</f>
        <v>19.5963633859019</v>
      </c>
      <c r="U4396" s="84" t="n">
        <f aca="false">IF(AND(R4396=1,ISNUMBER(T4396)),E4396-T4396,"")</f>
        <v>-1.79636338590187</v>
      </c>
      <c r="V4396" s="84" t="n">
        <f aca="false">IF(ISNUMBER(T4396),T4396,-99)</f>
        <v>19.5963633859019</v>
      </c>
      <c r="W4396" s="84" t="n">
        <f aca="false">IF(ISNUMBER(U4396),ABS(U4396),"")</f>
        <v>1.79636338590187</v>
      </c>
    </row>
    <row r="4397" customFormat="false" ht="15" hidden="false" customHeight="false" outlineLevel="0" collapsed="false">
      <c r="A4397" s="57" t="n">
        <v>39314</v>
      </c>
      <c r="B4397" s="56" t="n">
        <v>2007</v>
      </c>
      <c r="C4397" s="56" t="n">
        <v>8</v>
      </c>
      <c r="D4397" s="56" t="n">
        <v>112</v>
      </c>
      <c r="E4397" s="56" t="n">
        <v>16.4</v>
      </c>
      <c r="F4397" s="56" t="n">
        <v>0</v>
      </c>
      <c r="G4397" s="56" t="n">
        <v>12.4</v>
      </c>
      <c r="H4397" s="56" t="n">
        <v>0</v>
      </c>
      <c r="I4397" s="56" t="n">
        <v>14.4</v>
      </c>
      <c r="J4397" s="56" t="n">
        <v>0</v>
      </c>
      <c r="K4397" s="56" t="n">
        <v>1007.1</v>
      </c>
      <c r="L4397" s="56" t="n">
        <v>0</v>
      </c>
      <c r="M4397" s="56" t="n">
        <v>84</v>
      </c>
      <c r="N4397" s="56" t="n">
        <v>0.4</v>
      </c>
      <c r="O4397" s="56" t="n">
        <f aca="false">IF(D4397=1,"",E4396)</f>
        <v>17.8</v>
      </c>
      <c r="P4397" s="56" t="n">
        <f aca="false">IF(OR(D4397=1,K4396=""),"",K4396)</f>
        <v>1006</v>
      </c>
      <c r="Q4397" s="56" t="n">
        <f aca="false">IF(OR(F4397&lt;&gt;0,AND(I4397&lt;&gt;"",E4397&lt;I4397)),1,0)</f>
        <v>0</v>
      </c>
      <c r="R4397" s="56" t="n">
        <f aca="false">IF(AND(D4397&gt;1,Q4397=0,ISNUMBER(O4397),ISNUMBER(P4397)),IF(Q4396=0,1,0),0)</f>
        <v>1</v>
      </c>
      <c r="S4397" s="56" t="n">
        <f aca="false">R4397*(B4397&gt;=Train_Start)*(B4397&lt;=Train_End)</f>
        <v>0</v>
      </c>
      <c r="T4397" s="84" t="n">
        <f aca="false">IF(AND(ISNUMBER(O4397),ISNUMBER(P4397)),Coef_A+Coef_B1*O4397+Coef_B2*P4397,"")</f>
        <v>18.2293270599483</v>
      </c>
      <c r="U4397" s="84" t="n">
        <f aca="false">IF(AND(R4397=1,ISNUMBER(T4397)),E4397-T4397,"")</f>
        <v>-1.82932705994833</v>
      </c>
      <c r="V4397" s="84" t="n">
        <f aca="false">IF(ISNUMBER(T4397),T4397,-99)</f>
        <v>18.2293270599483</v>
      </c>
      <c r="W4397" s="84" t="n">
        <f aca="false">IF(ISNUMBER(U4397),ABS(U4397),"")</f>
        <v>1.82932705994833</v>
      </c>
    </row>
    <row r="4398" customFormat="false" ht="15" hidden="false" customHeight="false" outlineLevel="0" collapsed="false">
      <c r="A4398" s="57" t="n">
        <v>39315</v>
      </c>
      <c r="B4398" s="56" t="n">
        <v>2007</v>
      </c>
      <c r="C4398" s="56" t="n">
        <v>8</v>
      </c>
      <c r="D4398" s="56" t="n">
        <v>113</v>
      </c>
      <c r="E4398" s="56" t="n">
        <v>17</v>
      </c>
      <c r="F4398" s="56" t="n">
        <v>0</v>
      </c>
      <c r="G4398" s="56" t="n">
        <v>12.9</v>
      </c>
      <c r="H4398" s="56" t="n">
        <v>0</v>
      </c>
      <c r="I4398" s="56" t="n">
        <v>15</v>
      </c>
      <c r="J4398" s="56" t="n">
        <v>0</v>
      </c>
      <c r="K4398" s="56" t="n">
        <v>1013.3</v>
      </c>
      <c r="L4398" s="56" t="n">
        <v>0</v>
      </c>
      <c r="M4398" s="56" t="n">
        <v>90</v>
      </c>
      <c r="N4398" s="56" t="n">
        <v>0</v>
      </c>
      <c r="O4398" s="56" t="n">
        <f aca="false">IF(D4398=1,"",E4397)</f>
        <v>16.4</v>
      </c>
      <c r="P4398" s="56" t="n">
        <f aca="false">IF(OR(D4398=1,K4397=""),"",K4397)</f>
        <v>1007.1</v>
      </c>
      <c r="Q4398" s="56" t="n">
        <f aca="false">IF(OR(F4398&lt;&gt;0,AND(I4398&lt;&gt;"",E4398&lt;I4398)),1,0)</f>
        <v>0</v>
      </c>
      <c r="R4398" s="56" t="n">
        <f aca="false">IF(AND(D4398&gt;1,Q4398=0,ISNUMBER(O4398),ISNUMBER(P4398)),IF(Q4397=0,1,0),0)</f>
        <v>1</v>
      </c>
      <c r="S4398" s="56" t="n">
        <f aca="false">R4398*(B4398&gt;=Train_Start)*(B4398&lt;=Train_End)</f>
        <v>0</v>
      </c>
      <c r="T4398" s="84" t="n">
        <f aca="false">IF(AND(ISNUMBER(O4398),ISNUMBER(P4398)),Coef_A+Coef_B1*O4398+Coef_B2*P4398,"")</f>
        <v>17.116759073786</v>
      </c>
      <c r="U4398" s="84" t="n">
        <f aca="false">IF(AND(R4398=1,ISNUMBER(T4398)),E4398-T4398,"")</f>
        <v>-0.116759073786</v>
      </c>
      <c r="V4398" s="84" t="n">
        <f aca="false">IF(ISNUMBER(T4398),T4398,-99)</f>
        <v>17.116759073786</v>
      </c>
      <c r="W4398" s="84" t="n">
        <f aca="false">IF(ISNUMBER(U4398),ABS(U4398),"")</f>
        <v>0.116759073786</v>
      </c>
    </row>
    <row r="4399" customFormat="false" ht="15" hidden="false" customHeight="false" outlineLevel="0" collapsed="false">
      <c r="A4399" s="57" t="n">
        <v>39316</v>
      </c>
      <c r="B4399" s="56" t="n">
        <v>2007</v>
      </c>
      <c r="C4399" s="56" t="n">
        <v>8</v>
      </c>
      <c r="D4399" s="56" t="n">
        <v>114</v>
      </c>
      <c r="E4399" s="56" t="n">
        <v>17.1</v>
      </c>
      <c r="F4399" s="56" t="n">
        <v>0</v>
      </c>
      <c r="G4399" s="56" t="n">
        <v>14.9</v>
      </c>
      <c r="H4399" s="56" t="n">
        <v>0</v>
      </c>
      <c r="I4399" s="56" t="n">
        <v>16</v>
      </c>
      <c r="J4399" s="56" t="n">
        <v>0</v>
      </c>
      <c r="K4399" s="56" t="n">
        <v>1014.9</v>
      </c>
      <c r="L4399" s="56" t="n">
        <v>0</v>
      </c>
      <c r="M4399" s="56" t="n">
        <v>85</v>
      </c>
      <c r="N4399" s="56" t="n">
        <v>0</v>
      </c>
      <c r="O4399" s="56" t="n">
        <f aca="false">IF(D4399=1,"",E4398)</f>
        <v>17</v>
      </c>
      <c r="P4399" s="56" t="n">
        <f aca="false">IF(OR(D4399=1,K4398=""),"",K4398)</f>
        <v>1013.3</v>
      </c>
      <c r="Q4399" s="56" t="n">
        <f aca="false">IF(OR(F4399&lt;&gt;0,AND(I4399&lt;&gt;"",E4399&lt;I4399)),1,0)</f>
        <v>0</v>
      </c>
      <c r="R4399" s="56" t="n">
        <f aca="false">IF(AND(D4399&gt;1,Q4399=0,ISNUMBER(O4399),ISNUMBER(P4399)),IF(Q4398=0,1,0),0)</f>
        <v>1</v>
      </c>
      <c r="S4399" s="56" t="n">
        <f aca="false">R4399*(B4399&gt;=Train_Start)*(B4399&lt;=Train_End)</f>
        <v>0</v>
      </c>
      <c r="T4399" s="84" t="n">
        <f aca="false">IF(AND(ISNUMBER(O4399),ISNUMBER(P4399)),Coef_A+Coef_B1*O4399+Coef_B2*P4399,"")</f>
        <v>17.8028559363423</v>
      </c>
      <c r="U4399" s="84" t="n">
        <f aca="false">IF(AND(R4399=1,ISNUMBER(T4399)),E4399-T4399,"")</f>
        <v>-0.702855936342324</v>
      </c>
      <c r="V4399" s="84" t="n">
        <f aca="false">IF(ISNUMBER(T4399),T4399,-99)</f>
        <v>17.8028559363423</v>
      </c>
      <c r="W4399" s="84" t="n">
        <f aca="false">IF(ISNUMBER(U4399),ABS(U4399),"")</f>
        <v>0.702855936342324</v>
      </c>
    </row>
    <row r="4400" customFormat="false" ht="15" hidden="false" customHeight="false" outlineLevel="0" collapsed="false">
      <c r="A4400" s="57" t="n">
        <v>39317</v>
      </c>
      <c r="B4400" s="56" t="n">
        <v>2007</v>
      </c>
      <c r="C4400" s="56" t="n">
        <v>8</v>
      </c>
      <c r="D4400" s="56" t="n">
        <v>115</v>
      </c>
      <c r="E4400" s="56" t="n">
        <v>18.3</v>
      </c>
      <c r="F4400" s="56" t="n">
        <v>0</v>
      </c>
      <c r="G4400" s="56" t="n">
        <v>14.2</v>
      </c>
      <c r="H4400" s="56" t="n">
        <v>0</v>
      </c>
      <c r="I4400" s="56" t="n">
        <v>16.2</v>
      </c>
      <c r="J4400" s="56" t="n">
        <v>0</v>
      </c>
      <c r="K4400" s="56" t="n">
        <v>1016.9</v>
      </c>
      <c r="L4400" s="56" t="n">
        <v>0</v>
      </c>
      <c r="M4400" s="56" t="n">
        <v>90</v>
      </c>
      <c r="N4400" s="56" t="n">
        <v>0</v>
      </c>
      <c r="O4400" s="56" t="n">
        <f aca="false">IF(D4400=1,"",E4399)</f>
        <v>17.1</v>
      </c>
      <c r="P4400" s="56" t="n">
        <f aca="false">IF(OR(D4400=1,K4399=""),"",K4399)</f>
        <v>1014.9</v>
      </c>
      <c r="Q4400" s="56" t="n">
        <f aca="false">IF(OR(F4400&lt;&gt;0,AND(I4400&lt;&gt;"",E4400&lt;I4400)),1,0)</f>
        <v>0</v>
      </c>
      <c r="R4400" s="56" t="n">
        <f aca="false">IF(AND(D4400&gt;1,Q4400=0,ISNUMBER(O4400),ISNUMBER(P4400)),IF(Q4399=0,1,0),0)</f>
        <v>1</v>
      </c>
      <c r="S4400" s="56" t="n">
        <f aca="false">R4400*(B4400&gt;=Train_Start)*(B4400&lt;=Train_End)</f>
        <v>0</v>
      </c>
      <c r="T4400" s="84" t="n">
        <f aca="false">IF(AND(ISNUMBER(O4400),ISNUMBER(P4400)),Coef_A+Coef_B1*O4400+Coef_B2*P4400,"")</f>
        <v>17.934981687061</v>
      </c>
      <c r="U4400" s="84" t="n">
        <f aca="false">IF(AND(R4400=1,ISNUMBER(T4400)),E4400-T4400,"")</f>
        <v>0.365018312939025</v>
      </c>
      <c r="V4400" s="84" t="n">
        <f aca="false">IF(ISNUMBER(T4400),T4400,-99)</f>
        <v>17.934981687061</v>
      </c>
      <c r="W4400" s="84" t="n">
        <f aca="false">IF(ISNUMBER(U4400),ABS(U4400),"")</f>
        <v>0.365018312939025</v>
      </c>
    </row>
    <row r="4401" customFormat="false" ht="15" hidden="false" customHeight="false" outlineLevel="0" collapsed="false">
      <c r="A4401" s="57" t="n">
        <v>39318</v>
      </c>
      <c r="B4401" s="56" t="n">
        <v>2007</v>
      </c>
      <c r="C4401" s="56" t="n">
        <v>8</v>
      </c>
      <c r="D4401" s="56" t="n">
        <v>116</v>
      </c>
      <c r="E4401" s="56" t="n">
        <v>19.4</v>
      </c>
      <c r="F4401" s="56" t="n">
        <v>0</v>
      </c>
      <c r="G4401" s="56" t="n">
        <v>14.6</v>
      </c>
      <c r="H4401" s="56" t="n">
        <v>0</v>
      </c>
      <c r="I4401" s="56" t="n">
        <v>17</v>
      </c>
      <c r="J4401" s="56" t="n">
        <v>0</v>
      </c>
      <c r="K4401" s="56" t="n">
        <v>1024.7</v>
      </c>
      <c r="L4401" s="56" t="n">
        <v>0</v>
      </c>
      <c r="M4401" s="56" t="n">
        <v>89</v>
      </c>
      <c r="N4401" s="56" t="n">
        <v>0.7</v>
      </c>
      <c r="O4401" s="56" t="n">
        <f aca="false">IF(D4401=1,"",E4400)</f>
        <v>18.3</v>
      </c>
      <c r="P4401" s="56" t="n">
        <f aca="false">IF(OR(D4401=1,K4400=""),"",K4400)</f>
        <v>1016.9</v>
      </c>
      <c r="Q4401" s="56" t="n">
        <f aca="false">IF(OR(F4401&lt;&gt;0,AND(I4401&lt;&gt;"",E4401&lt;I4401)),1,0)</f>
        <v>0</v>
      </c>
      <c r="R4401" s="56" t="n">
        <f aca="false">IF(AND(D4401&gt;1,Q4401=0,ISNUMBER(O4401),ISNUMBER(P4401)),IF(Q4400=0,1,0),0)</f>
        <v>1</v>
      </c>
      <c r="S4401" s="56" t="n">
        <f aca="false">R4401*(B4401&gt;=Train_Start)*(B4401&lt;=Train_End)</f>
        <v>0</v>
      </c>
      <c r="T4401" s="84" t="n">
        <f aca="false">IF(AND(ISNUMBER(O4401),ISNUMBER(P4401)),Coef_A+Coef_B1*O4401+Coef_B2*P4401,"")</f>
        <v>18.9809285079801</v>
      </c>
      <c r="U4401" s="84" t="n">
        <f aca="false">IF(AND(R4401=1,ISNUMBER(T4401)),E4401-T4401,"")</f>
        <v>0.419071492019853</v>
      </c>
      <c r="V4401" s="84" t="n">
        <f aca="false">IF(ISNUMBER(T4401),T4401,-99)</f>
        <v>18.9809285079801</v>
      </c>
      <c r="W4401" s="84" t="n">
        <f aca="false">IF(ISNUMBER(U4401),ABS(U4401),"")</f>
        <v>0.419071492019853</v>
      </c>
    </row>
    <row r="4402" customFormat="false" ht="15" hidden="false" customHeight="false" outlineLevel="0" collapsed="false">
      <c r="A4402" s="57" t="n">
        <v>39319</v>
      </c>
      <c r="B4402" s="56" t="n">
        <v>2007</v>
      </c>
      <c r="C4402" s="56" t="n">
        <v>8</v>
      </c>
      <c r="D4402" s="56" t="n">
        <v>117</v>
      </c>
      <c r="E4402" s="56" t="n">
        <v>26.5</v>
      </c>
      <c r="F4402" s="56" t="n">
        <v>0</v>
      </c>
      <c r="G4402" s="56" t="n">
        <v>11.3</v>
      </c>
      <c r="H4402" s="56" t="n">
        <v>0</v>
      </c>
      <c r="I4402" s="56" t="n">
        <v>18.9</v>
      </c>
      <c r="J4402" s="56" t="n">
        <v>0</v>
      </c>
      <c r="K4402" s="56" t="n">
        <v>1027.9</v>
      </c>
      <c r="L4402" s="56" t="n">
        <v>0</v>
      </c>
      <c r="M4402" s="56" t="n">
        <v>79</v>
      </c>
      <c r="N4402" s="56" t="n">
        <v>12.8</v>
      </c>
      <c r="O4402" s="56" t="n">
        <f aca="false">IF(D4402=1,"",E4401)</f>
        <v>19.4</v>
      </c>
      <c r="P4402" s="56" t="n">
        <f aca="false">IF(OR(D4402=1,K4401=""),"",K4401)</f>
        <v>1024.7</v>
      </c>
      <c r="Q4402" s="56" t="n">
        <f aca="false">IF(OR(F4402&lt;&gt;0,AND(I4402&lt;&gt;"",E4402&lt;I4402)),1,0)</f>
        <v>0</v>
      </c>
      <c r="R4402" s="56" t="n">
        <f aca="false">IF(AND(D4402&gt;1,Q4402=0,ISNUMBER(O4402),ISNUMBER(P4402)),IF(Q4401=0,1,0),0)</f>
        <v>1</v>
      </c>
      <c r="S4402" s="56" t="n">
        <f aca="false">R4402*(B4402&gt;=Train_Start)*(B4402&lt;=Train_End)</f>
        <v>0</v>
      </c>
      <c r="T4402" s="84" t="n">
        <f aca="false">IF(AND(ISNUMBER(O4402),ISNUMBER(P4402)),Coef_A+Coef_B1*O4402+Coef_B2*P4402,"")</f>
        <v>20.1268867984722</v>
      </c>
      <c r="U4402" s="84" t="n">
        <f aca="false">IF(AND(R4402=1,ISNUMBER(T4402)),E4402-T4402,"")</f>
        <v>6.37311320152782</v>
      </c>
      <c r="V4402" s="84" t="n">
        <f aca="false">IF(ISNUMBER(T4402),T4402,-99)</f>
        <v>20.1268867984722</v>
      </c>
      <c r="W4402" s="84" t="n">
        <f aca="false">IF(ISNUMBER(U4402),ABS(U4402),"")</f>
        <v>6.37311320152782</v>
      </c>
    </row>
    <row r="4403" customFormat="false" ht="15" hidden="false" customHeight="false" outlineLevel="0" collapsed="false">
      <c r="A4403" s="57" t="n">
        <v>39320</v>
      </c>
      <c r="B4403" s="56" t="n">
        <v>2007</v>
      </c>
      <c r="C4403" s="56" t="n">
        <v>8</v>
      </c>
      <c r="D4403" s="56" t="n">
        <v>118</v>
      </c>
      <c r="E4403" s="56" t="n">
        <v>23.3</v>
      </c>
      <c r="F4403" s="56" t="n">
        <v>0</v>
      </c>
      <c r="G4403" s="56" t="n">
        <v>15.7</v>
      </c>
      <c r="H4403" s="56" t="n">
        <v>0</v>
      </c>
      <c r="I4403" s="56" t="n">
        <v>19.5</v>
      </c>
      <c r="J4403" s="56" t="n">
        <v>0</v>
      </c>
      <c r="K4403" s="56" t="n">
        <v>1028.4</v>
      </c>
      <c r="L4403" s="56" t="n">
        <v>0</v>
      </c>
      <c r="M4403" s="56" t="n">
        <v>68</v>
      </c>
      <c r="N4403" s="56" t="n">
        <v>11.3</v>
      </c>
      <c r="O4403" s="56" t="n">
        <f aca="false">IF(D4403=1,"",E4402)</f>
        <v>26.5</v>
      </c>
      <c r="P4403" s="56" t="n">
        <f aca="false">IF(OR(D4403=1,K4402=""),"",K4402)</f>
        <v>1027.9</v>
      </c>
      <c r="Q4403" s="56" t="n">
        <f aca="false">IF(OR(F4403&lt;&gt;0,AND(I4403&lt;&gt;"",E4403&lt;I4403)),1,0)</f>
        <v>0</v>
      </c>
      <c r="R4403" s="56" t="n">
        <f aca="false">IF(AND(D4403&gt;1,Q4403=0,ISNUMBER(O4403),ISNUMBER(P4403)),IF(Q4402=0,1,0),0)</f>
        <v>1</v>
      </c>
      <c r="S4403" s="56" t="n">
        <f aca="false">R4403*(B4403&gt;=Train_Start)*(B4403&lt;=Train_End)</f>
        <v>0</v>
      </c>
      <c r="T4403" s="84" t="n">
        <f aca="false">IF(AND(ISNUMBER(O4403),ISNUMBER(P4403)),Coef_A+Coef_B1*O4403+Coef_B2*P4403,"")</f>
        <v>26.0445787319038</v>
      </c>
      <c r="U4403" s="84" t="n">
        <f aca="false">IF(AND(R4403=1,ISNUMBER(T4403)),E4403-T4403,"")</f>
        <v>-2.74457873190382</v>
      </c>
      <c r="V4403" s="84" t="n">
        <f aca="false">IF(ISNUMBER(T4403),T4403,-99)</f>
        <v>26.0445787319038</v>
      </c>
      <c r="W4403" s="84" t="n">
        <f aca="false">IF(ISNUMBER(U4403),ABS(U4403),"")</f>
        <v>2.74457873190382</v>
      </c>
    </row>
    <row r="4404" customFormat="false" ht="15" hidden="false" customHeight="false" outlineLevel="0" collapsed="false">
      <c r="A4404" s="57" t="n">
        <v>39321</v>
      </c>
      <c r="B4404" s="56" t="n">
        <v>2007</v>
      </c>
      <c r="C4404" s="56" t="n">
        <v>8</v>
      </c>
      <c r="D4404" s="56" t="n">
        <v>119</v>
      </c>
      <c r="E4404" s="56" t="n">
        <v>20.3</v>
      </c>
      <c r="F4404" s="56" t="n">
        <v>0</v>
      </c>
      <c r="G4404" s="56" t="n">
        <v>11.7</v>
      </c>
      <c r="H4404" s="56" t="n">
        <v>0</v>
      </c>
      <c r="I4404" s="56" t="n">
        <v>16</v>
      </c>
      <c r="J4404" s="56" t="n">
        <v>0</v>
      </c>
      <c r="K4404" s="56" t="n">
        <v>1025.9</v>
      </c>
      <c r="L4404" s="56" t="n">
        <v>0</v>
      </c>
      <c r="M4404" s="56" t="n">
        <v>66</v>
      </c>
      <c r="N4404" s="56" t="n">
        <v>7.8</v>
      </c>
      <c r="O4404" s="56" t="n">
        <f aca="false">IF(D4404=1,"",E4403)</f>
        <v>23.3</v>
      </c>
      <c r="P4404" s="56" t="n">
        <f aca="false">IF(OR(D4404=1,K4403=""),"",K4403)</f>
        <v>1028.4</v>
      </c>
      <c r="Q4404" s="56" t="n">
        <f aca="false">IF(OR(F4404&lt;&gt;0,AND(I4404&lt;&gt;"",E4404&lt;I4404)),1,0)</f>
        <v>0</v>
      </c>
      <c r="R4404" s="56" t="n">
        <f aca="false">IF(AND(D4404&gt;1,Q4404=0,ISNUMBER(O4404),ISNUMBER(P4404)),IF(Q4403=0,1,0),0)</f>
        <v>1</v>
      </c>
      <c r="S4404" s="56" t="n">
        <f aca="false">R4404*(B4404&gt;=Train_Start)*(B4404&lt;=Train_End)</f>
        <v>0</v>
      </c>
      <c r="T4404" s="84" t="n">
        <f aca="false">IF(AND(ISNUMBER(O4404),ISNUMBER(P4404)),Coef_A+Coef_B1*O4404+Coef_B2*P4404,"")</f>
        <v>23.4383782614843</v>
      </c>
      <c r="U4404" s="84" t="n">
        <f aca="false">IF(AND(R4404=1,ISNUMBER(T4404)),E4404-T4404,"")</f>
        <v>-3.13837826148432</v>
      </c>
      <c r="V4404" s="84" t="n">
        <f aca="false">IF(ISNUMBER(T4404),T4404,-99)</f>
        <v>23.4383782614843</v>
      </c>
      <c r="W4404" s="84" t="n">
        <f aca="false">IF(ISNUMBER(U4404),ABS(U4404),"")</f>
        <v>3.13837826148432</v>
      </c>
    </row>
    <row r="4405" customFormat="false" ht="15" hidden="false" customHeight="false" outlineLevel="0" collapsed="false">
      <c r="A4405" s="57" t="n">
        <v>39322</v>
      </c>
      <c r="B4405" s="56" t="n">
        <v>2007</v>
      </c>
      <c r="C4405" s="56" t="n">
        <v>8</v>
      </c>
      <c r="D4405" s="56" t="n">
        <v>120</v>
      </c>
      <c r="E4405" s="56" t="n">
        <v>20.8</v>
      </c>
      <c r="F4405" s="56" t="n">
        <v>0</v>
      </c>
      <c r="G4405" s="56" t="n">
        <v>12.6</v>
      </c>
      <c r="H4405" s="56" t="n">
        <v>0</v>
      </c>
      <c r="I4405" s="56" t="n">
        <v>16.7</v>
      </c>
      <c r="J4405" s="56" t="n">
        <v>0</v>
      </c>
      <c r="K4405" s="56" t="n">
        <v>1022</v>
      </c>
      <c r="L4405" s="56" t="n">
        <v>0</v>
      </c>
      <c r="M4405" s="56" t="n">
        <v>67</v>
      </c>
      <c r="N4405" s="56" t="n">
        <v>5.4</v>
      </c>
      <c r="O4405" s="56" t="n">
        <f aca="false">IF(D4405=1,"",E4404)</f>
        <v>20.3</v>
      </c>
      <c r="P4405" s="56" t="n">
        <f aca="false">IF(OR(D4405=1,K4404=""),"",K4404)</f>
        <v>1025.9</v>
      </c>
      <c r="Q4405" s="56" t="n">
        <f aca="false">IF(OR(F4405&lt;&gt;0,AND(I4405&lt;&gt;"",E4405&lt;I4405)),1,0)</f>
        <v>0</v>
      </c>
      <c r="R4405" s="56" t="n">
        <f aca="false">IF(AND(D4405&gt;1,Q4405=0,ISNUMBER(O4405),ISNUMBER(P4405)),IF(Q4404=0,1,0),0)</f>
        <v>1</v>
      </c>
      <c r="S4405" s="56" t="n">
        <f aca="false">R4405*(B4405&gt;=Train_Start)*(B4405&lt;=Train_End)</f>
        <v>0</v>
      </c>
      <c r="T4405" s="84" t="n">
        <f aca="false">IF(AND(ISNUMBER(O4405),ISNUMBER(P4405)),Coef_A+Coef_B1*O4405+Coef_B2*P4405,"")</f>
        <v>20.9019359457714</v>
      </c>
      <c r="U4405" s="84" t="n">
        <f aca="false">IF(AND(R4405=1,ISNUMBER(T4405)),E4405-T4405,"")</f>
        <v>-0.101935945771363</v>
      </c>
      <c r="V4405" s="84" t="n">
        <f aca="false">IF(ISNUMBER(T4405),T4405,-99)</f>
        <v>20.9019359457714</v>
      </c>
      <c r="W4405" s="84" t="n">
        <f aca="false">IF(ISNUMBER(U4405),ABS(U4405),"")</f>
        <v>0.101935945771363</v>
      </c>
    </row>
    <row r="4406" customFormat="false" ht="15" hidden="false" customHeight="false" outlineLevel="0" collapsed="false">
      <c r="A4406" s="57" t="n">
        <v>39323</v>
      </c>
      <c r="B4406" s="56" t="n">
        <v>2007</v>
      </c>
      <c r="C4406" s="56" t="n">
        <v>8</v>
      </c>
      <c r="D4406" s="56" t="n">
        <v>121</v>
      </c>
      <c r="E4406" s="56" t="n">
        <v>21.3</v>
      </c>
      <c r="F4406" s="56" t="n">
        <v>0</v>
      </c>
      <c r="G4406" s="56" t="n">
        <v>13.5</v>
      </c>
      <c r="H4406" s="56" t="n">
        <v>0</v>
      </c>
      <c r="I4406" s="56" t="n">
        <v>17.4</v>
      </c>
      <c r="J4406" s="56" t="n">
        <v>0</v>
      </c>
      <c r="K4406" s="56" t="n">
        <v>1020.8</v>
      </c>
      <c r="L4406" s="56" t="n">
        <v>0</v>
      </c>
      <c r="M4406" s="56" t="n">
        <v>67</v>
      </c>
      <c r="N4406" s="56" t="n">
        <v>9.9</v>
      </c>
      <c r="O4406" s="56" t="n">
        <f aca="false">IF(D4406=1,"",E4405)</f>
        <v>20.8</v>
      </c>
      <c r="P4406" s="56" t="n">
        <f aca="false">IF(OR(D4406=1,K4405=""),"",K4405)</f>
        <v>1022</v>
      </c>
      <c r="Q4406" s="56" t="n">
        <f aca="false">IF(OR(F4406&lt;&gt;0,AND(I4406&lt;&gt;"",E4406&lt;I4406)),1,0)</f>
        <v>0</v>
      </c>
      <c r="R4406" s="56" t="n">
        <f aca="false">IF(AND(D4406&gt;1,Q4406=0,ISNUMBER(O4406),ISNUMBER(P4406)),IF(Q4405=0,1,0),0)</f>
        <v>1</v>
      </c>
      <c r="S4406" s="56" t="n">
        <f aca="false">R4406*(B4406&gt;=Train_Start)*(B4406&lt;=Train_End)</f>
        <v>0</v>
      </c>
      <c r="T4406" s="84" t="n">
        <f aca="false">IF(AND(ISNUMBER(O4406),ISNUMBER(P4406)),Coef_A+Coef_B1*O4406+Coef_B2*P4406,"")</f>
        <v>21.1892629532201</v>
      </c>
      <c r="U4406" s="84" t="n">
        <f aca="false">IF(AND(R4406=1,ISNUMBER(T4406)),E4406-T4406,"")</f>
        <v>0.110737046779867</v>
      </c>
      <c r="V4406" s="84" t="n">
        <f aca="false">IF(ISNUMBER(T4406),T4406,-99)</f>
        <v>21.1892629532201</v>
      </c>
      <c r="W4406" s="84" t="n">
        <f aca="false">IF(ISNUMBER(U4406),ABS(U4406),"")</f>
        <v>0.110737046779867</v>
      </c>
    </row>
    <row r="4407" customFormat="false" ht="15" hidden="false" customHeight="false" outlineLevel="0" collapsed="false">
      <c r="A4407" s="57" t="n">
        <v>39324</v>
      </c>
      <c r="B4407" s="56" t="n">
        <v>2007</v>
      </c>
      <c r="C4407" s="56" t="n">
        <v>8</v>
      </c>
      <c r="D4407" s="56" t="n">
        <v>122</v>
      </c>
      <c r="E4407" s="56" t="n">
        <v>19.5</v>
      </c>
      <c r="F4407" s="56" t="n">
        <v>0</v>
      </c>
      <c r="G4407" s="56" t="n">
        <v>10.4</v>
      </c>
      <c r="H4407" s="56" t="n">
        <v>0</v>
      </c>
      <c r="I4407" s="56" t="n">
        <v>15</v>
      </c>
      <c r="J4407" s="56" t="n">
        <v>0</v>
      </c>
      <c r="K4407" s="56" t="n">
        <v>1022.3</v>
      </c>
      <c r="L4407" s="56" t="n">
        <v>0</v>
      </c>
      <c r="M4407" s="56" t="n">
        <v>77</v>
      </c>
      <c r="N4407" s="56" t="n">
        <v>0.1</v>
      </c>
      <c r="O4407" s="56" t="n">
        <f aca="false">IF(D4407=1,"",E4406)</f>
        <v>21.3</v>
      </c>
      <c r="P4407" s="56" t="n">
        <f aca="false">IF(OR(D4407=1,K4406=""),"",K4406)</f>
        <v>1020.8</v>
      </c>
      <c r="Q4407" s="56" t="n">
        <f aca="false">IF(OR(F4407&lt;&gt;0,AND(I4407&lt;&gt;"",E4407&lt;I4407)),1,0)</f>
        <v>0</v>
      </c>
      <c r="R4407" s="56" t="n">
        <f aca="false">IF(AND(D4407&gt;1,Q4407=0,ISNUMBER(O4407),ISNUMBER(P4407)),IF(Q4406=0,1,0),0)</f>
        <v>1</v>
      </c>
      <c r="S4407" s="56" t="n">
        <f aca="false">R4407*(B4407&gt;=Train_Start)*(B4407&lt;=Train_End)</f>
        <v>0</v>
      </c>
      <c r="T4407" s="84" t="n">
        <f aca="false">IF(AND(ISNUMBER(O4407),ISNUMBER(P4407)),Coef_A+Coef_B1*O4407+Coef_B2*P4407,"")</f>
        <v>21.5612886761807</v>
      </c>
      <c r="U4407" s="84" t="n">
        <f aca="false">IF(AND(R4407=1,ISNUMBER(T4407)),E4407-T4407,"")</f>
        <v>-2.06128867618067</v>
      </c>
      <c r="V4407" s="84" t="n">
        <f aca="false">IF(ISNUMBER(T4407),T4407,-99)</f>
        <v>21.5612886761807</v>
      </c>
      <c r="W4407" s="84" t="n">
        <f aca="false">IF(ISNUMBER(U4407),ABS(U4407),"")</f>
        <v>2.06128867618067</v>
      </c>
    </row>
    <row r="4408" customFormat="false" ht="15" hidden="false" customHeight="false" outlineLevel="0" collapsed="false">
      <c r="A4408" s="57" t="n">
        <v>39325</v>
      </c>
      <c r="B4408" s="56" t="n">
        <v>2007</v>
      </c>
      <c r="C4408" s="56" t="n">
        <v>8</v>
      </c>
      <c r="D4408" s="56" t="n">
        <v>123</v>
      </c>
      <c r="E4408" s="56" t="n">
        <v>20.3</v>
      </c>
      <c r="F4408" s="56" t="n">
        <v>0</v>
      </c>
      <c r="G4408" s="56" t="n">
        <v>11.4</v>
      </c>
      <c r="H4408" s="56" t="n">
        <v>0</v>
      </c>
      <c r="I4408" s="56" t="n">
        <v>15.8</v>
      </c>
      <c r="J4408" s="56" t="n">
        <v>0</v>
      </c>
      <c r="K4408" s="56" t="n">
        <v>1022</v>
      </c>
      <c r="L4408" s="56" t="n">
        <v>0</v>
      </c>
      <c r="M4408" s="56" t="n">
        <v>76</v>
      </c>
      <c r="N4408" s="56" t="n">
        <v>2.4</v>
      </c>
      <c r="O4408" s="56" t="n">
        <f aca="false">IF(D4408=1,"",E4407)</f>
        <v>19.5</v>
      </c>
      <c r="P4408" s="56" t="n">
        <f aca="false">IF(OR(D4408=1,K4407=""),"",K4407)</f>
        <v>1022.3</v>
      </c>
      <c r="Q4408" s="56" t="n">
        <f aca="false">IF(OR(F4408&lt;&gt;0,AND(I4408&lt;&gt;"",E4408&lt;I4408)),1,0)</f>
        <v>0</v>
      </c>
      <c r="R4408" s="56" t="n">
        <f aca="false">IF(AND(D4408&gt;1,Q4408=0,ISNUMBER(O4408),ISNUMBER(P4408)),IF(Q4407=0,1,0),0)</f>
        <v>1</v>
      </c>
      <c r="S4408" s="56" t="n">
        <f aca="false">R4408*(B4408&gt;=Train_Start)*(B4408&lt;=Train_End)</f>
        <v>0</v>
      </c>
      <c r="T4408" s="84" t="n">
        <f aca="false">IF(AND(ISNUMBER(O4408),ISNUMBER(P4408)),Coef_A+Coef_B1*O4408+Coef_B2*P4408,"")</f>
        <v>20.1335329706549</v>
      </c>
      <c r="U4408" s="84" t="n">
        <f aca="false">IF(AND(R4408=1,ISNUMBER(T4408)),E4408-T4408,"")</f>
        <v>0.166467029345124</v>
      </c>
      <c r="V4408" s="84" t="n">
        <f aca="false">IF(ISNUMBER(T4408),T4408,-99)</f>
        <v>20.1335329706549</v>
      </c>
      <c r="W4408" s="84" t="n">
        <f aca="false">IF(ISNUMBER(U4408),ABS(U4408),"")</f>
        <v>0.166467029345124</v>
      </c>
    </row>
    <row r="4409" customFormat="false" ht="15" hidden="false" customHeight="false" outlineLevel="0" collapsed="false">
      <c r="A4409" s="57" t="n">
        <v>39326</v>
      </c>
      <c r="B4409" s="56" t="n">
        <v>2007</v>
      </c>
      <c r="C4409" s="56" t="n">
        <v>9</v>
      </c>
      <c r="D4409" s="56" t="n">
        <v>124</v>
      </c>
      <c r="E4409" s="56" t="n">
        <v>20.9</v>
      </c>
      <c r="F4409" s="56" t="n">
        <v>0</v>
      </c>
      <c r="G4409" s="56" t="n">
        <v>14.5</v>
      </c>
      <c r="H4409" s="56" t="n">
        <v>0</v>
      </c>
      <c r="I4409" s="56" t="n">
        <v>17.7</v>
      </c>
      <c r="J4409" s="56" t="n">
        <v>0</v>
      </c>
      <c r="K4409" s="56" t="n">
        <v>1021.3</v>
      </c>
      <c r="L4409" s="56" t="n">
        <v>0</v>
      </c>
      <c r="M4409" s="56" t="n">
        <v>74</v>
      </c>
      <c r="N4409" s="56" t="n">
        <v>1.4</v>
      </c>
      <c r="O4409" s="56" t="n">
        <f aca="false">IF(D4409=1,"",E4408)</f>
        <v>20.3</v>
      </c>
      <c r="P4409" s="56" t="n">
        <f aca="false">IF(OR(D4409=1,K4408=""),"",K4408)</f>
        <v>1022</v>
      </c>
      <c r="Q4409" s="56" t="n">
        <f aca="false">IF(OR(F4409&lt;&gt;0,AND(I4409&lt;&gt;"",E4409&lt;I4409)),1,0)</f>
        <v>0</v>
      </c>
      <c r="R4409" s="56" t="n">
        <f aca="false">IF(AND(D4409&gt;1,Q4409=0,ISNUMBER(O4409),ISNUMBER(P4409)),IF(Q4408=0,1,0),0)</f>
        <v>1</v>
      </c>
      <c r="S4409" s="56" t="n">
        <f aca="false">R4409*(B4409&gt;=Train_Start)*(B4409&lt;=Train_End)</f>
        <v>0</v>
      </c>
      <c r="T4409" s="84" t="n">
        <f aca="false">IF(AND(ISNUMBER(O4409),ISNUMBER(P4409)),Coef_A+Coef_B1*O4409+Coef_B2*P4409,"")</f>
        <v>20.7795933566988</v>
      </c>
      <c r="U4409" s="84" t="n">
        <f aca="false">IF(AND(R4409=1,ISNUMBER(T4409)),E4409-T4409,"")</f>
        <v>0.120406643301195</v>
      </c>
      <c r="V4409" s="84" t="n">
        <f aca="false">IF(ISNUMBER(T4409),T4409,-99)</f>
        <v>20.7795933566988</v>
      </c>
      <c r="W4409" s="84" t="n">
        <f aca="false">IF(ISNUMBER(U4409),ABS(U4409),"")</f>
        <v>0.120406643301195</v>
      </c>
    </row>
    <row r="4410" customFormat="false" ht="15" hidden="false" customHeight="false" outlineLevel="0" collapsed="false">
      <c r="A4410" s="57" t="n">
        <v>39327</v>
      </c>
      <c r="B4410" s="56" t="n">
        <v>2007</v>
      </c>
      <c r="C4410" s="56" t="n">
        <v>9</v>
      </c>
      <c r="D4410" s="56" t="n">
        <v>125</v>
      </c>
      <c r="E4410" s="56" t="n">
        <v>21.6</v>
      </c>
      <c r="F4410" s="56" t="n">
        <v>0</v>
      </c>
      <c r="G4410" s="56" t="n">
        <v>12.7</v>
      </c>
      <c r="H4410" s="56" t="n">
        <v>0</v>
      </c>
      <c r="I4410" s="56" t="n">
        <v>17.2</v>
      </c>
      <c r="J4410" s="56" t="n">
        <v>0</v>
      </c>
      <c r="K4410" s="56" t="n">
        <v>1017.5</v>
      </c>
      <c r="L4410" s="56" t="n">
        <v>0</v>
      </c>
      <c r="M4410" s="56" t="n">
        <v>76</v>
      </c>
      <c r="N4410" s="56" t="n">
        <v>3.4</v>
      </c>
      <c r="O4410" s="56" t="n">
        <f aca="false">IF(D4410=1,"",E4409)</f>
        <v>20.9</v>
      </c>
      <c r="P4410" s="56" t="n">
        <f aca="false">IF(OR(D4410=1,K4409=""),"",K4409)</f>
        <v>1021.3</v>
      </c>
      <c r="Q4410" s="56" t="n">
        <f aca="false">IF(OR(F4410&lt;&gt;0,AND(I4410&lt;&gt;"",E4410&lt;I4410)),1,0)</f>
        <v>0</v>
      </c>
      <c r="R4410" s="56" t="n">
        <f aca="false">IF(AND(D4410&gt;1,Q4410=0,ISNUMBER(O4410),ISNUMBER(P4410)),IF(Q4409=0,1,0),0)</f>
        <v>1</v>
      </c>
      <c r="S4410" s="56" t="n">
        <f aca="false">R4410*(B4410&gt;=Train_Start)*(B4410&lt;=Train_End)</f>
        <v>0</v>
      </c>
      <c r="T4410" s="84" t="n">
        <f aca="false">IF(AND(ISNUMBER(O4410),ISNUMBER(P4410)),Coef_A+Coef_B1*O4410+Coef_B2*P4410,"")</f>
        <v>21.2492379462806</v>
      </c>
      <c r="U4410" s="84" t="n">
        <f aca="false">IF(AND(R4410=1,ISNUMBER(T4410)),E4410-T4410,"")</f>
        <v>0.350762053719393</v>
      </c>
      <c r="V4410" s="84" t="n">
        <f aca="false">IF(ISNUMBER(T4410),T4410,-99)</f>
        <v>21.2492379462806</v>
      </c>
      <c r="W4410" s="84" t="n">
        <f aca="false">IF(ISNUMBER(U4410),ABS(U4410),"")</f>
        <v>0.350762053719393</v>
      </c>
    </row>
    <row r="4411" customFormat="false" ht="15" hidden="false" customHeight="false" outlineLevel="0" collapsed="false">
      <c r="A4411" s="57" t="n">
        <v>39328</v>
      </c>
      <c r="B4411" s="56" t="n">
        <v>2007</v>
      </c>
      <c r="C4411" s="56" t="n">
        <v>9</v>
      </c>
      <c r="D4411" s="56" t="n">
        <v>126</v>
      </c>
      <c r="E4411" s="56" t="n">
        <v>19.5</v>
      </c>
      <c r="F4411" s="56" t="n">
        <v>0</v>
      </c>
      <c r="G4411" s="56" t="n">
        <v>13.6</v>
      </c>
      <c r="H4411" s="56" t="n">
        <v>0</v>
      </c>
      <c r="I4411" s="56" t="n">
        <v>16.6</v>
      </c>
      <c r="J4411" s="56" t="n">
        <v>0</v>
      </c>
      <c r="K4411" s="56" t="n">
        <v>1019.4</v>
      </c>
      <c r="L4411" s="56" t="n">
        <v>0</v>
      </c>
      <c r="M4411" s="56" t="n">
        <v>65</v>
      </c>
      <c r="N4411" s="56" t="n">
        <v>6.2</v>
      </c>
      <c r="O4411" s="56" t="n">
        <f aca="false">IF(D4411=1,"",E4410)</f>
        <v>21.6</v>
      </c>
      <c r="P4411" s="56" t="n">
        <f aca="false">IF(OR(D4411=1,K4410=""),"",K4410)</f>
        <v>1017.5</v>
      </c>
      <c r="Q4411" s="56" t="n">
        <f aca="false">IF(OR(F4411&lt;&gt;0,AND(I4411&lt;&gt;"",E4411&lt;I4411)),1,0)</f>
        <v>0</v>
      </c>
      <c r="R4411" s="56" t="n">
        <f aca="false">IF(AND(D4411&gt;1,Q4411=0,ISNUMBER(O4411),ISNUMBER(P4411)),IF(Q4410=0,1,0),0)</f>
        <v>1</v>
      </c>
      <c r="S4411" s="56" t="n">
        <f aca="false">R4411*(B4411&gt;=Train_Start)*(B4411&lt;=Train_End)</f>
        <v>0</v>
      </c>
      <c r="T4411" s="84" t="n">
        <f aca="false">IF(AND(ISNUMBER(O4411),ISNUMBER(P4411)),Coef_A+Coef_B1*O4411+Coef_B2*P4411,"")</f>
        <v>21.7035697818013</v>
      </c>
      <c r="U4411" s="84" t="n">
        <f aca="false">IF(AND(R4411=1,ISNUMBER(T4411)),E4411-T4411,"")</f>
        <v>-2.20356978180131</v>
      </c>
      <c r="V4411" s="84" t="n">
        <f aca="false">IF(ISNUMBER(T4411),T4411,-99)</f>
        <v>21.7035697818013</v>
      </c>
      <c r="W4411" s="84" t="n">
        <f aca="false">IF(ISNUMBER(U4411),ABS(U4411),"")</f>
        <v>2.20356978180131</v>
      </c>
    </row>
    <row r="4412" customFormat="false" ht="15" hidden="false" customHeight="false" outlineLevel="0" collapsed="false">
      <c r="A4412" s="57" t="n">
        <v>39329</v>
      </c>
      <c r="B4412" s="56" t="n">
        <v>2007</v>
      </c>
      <c r="C4412" s="56" t="n">
        <v>9</v>
      </c>
      <c r="D4412" s="56" t="n">
        <v>127</v>
      </c>
      <c r="E4412" s="56" t="n">
        <v>19.3</v>
      </c>
      <c r="F4412" s="56" t="n">
        <v>0</v>
      </c>
      <c r="G4412" s="56" t="n">
        <v>10.7</v>
      </c>
      <c r="H4412" s="56" t="n">
        <v>0</v>
      </c>
      <c r="I4412" s="56" t="n">
        <v>15</v>
      </c>
      <c r="J4412" s="56" t="n">
        <v>0</v>
      </c>
      <c r="K4412" s="56" t="n">
        <v>1028.5</v>
      </c>
      <c r="L4412" s="56" t="n">
        <v>0</v>
      </c>
      <c r="M4412" s="56" t="n">
        <v>63</v>
      </c>
      <c r="N4412" s="56" t="n">
        <v>8.9</v>
      </c>
      <c r="O4412" s="56" t="n">
        <f aca="false">IF(D4412=1,"",E4411)</f>
        <v>19.5</v>
      </c>
      <c r="P4412" s="56" t="n">
        <f aca="false">IF(OR(D4412=1,K4411=""),"",K4411)</f>
        <v>1019.4</v>
      </c>
      <c r="Q4412" s="56" t="n">
        <f aca="false">IF(OR(F4412&lt;&gt;0,AND(I4412&lt;&gt;"",E4412&lt;I4412)),1,0)</f>
        <v>0</v>
      </c>
      <c r="R4412" s="56" t="n">
        <f aca="false">IF(AND(D4412&gt;1,Q4412=0,ISNUMBER(O4412),ISNUMBER(P4412)),IF(Q4411=0,1,0),0)</f>
        <v>1</v>
      </c>
      <c r="S4412" s="56" t="n">
        <f aca="false">R4412*(B4412&gt;=Train_Start)*(B4412&lt;=Train_End)</f>
        <v>0</v>
      </c>
      <c r="T4412" s="84" t="n">
        <f aca="false">IF(AND(ISNUMBER(O4412),ISNUMBER(P4412)),Coef_A+Coef_B1*O4412+Coef_B2*P4412,"")</f>
        <v>20.0425602762163</v>
      </c>
      <c r="U4412" s="84" t="n">
        <f aca="false">IF(AND(R4412=1,ISNUMBER(T4412)),E4412-T4412,"")</f>
        <v>-0.742560276216306</v>
      </c>
      <c r="V4412" s="84" t="n">
        <f aca="false">IF(ISNUMBER(T4412),T4412,-99)</f>
        <v>20.0425602762163</v>
      </c>
      <c r="W4412" s="84" t="n">
        <f aca="false">IF(ISNUMBER(U4412),ABS(U4412),"")</f>
        <v>0.742560276216306</v>
      </c>
    </row>
    <row r="4413" customFormat="false" ht="15" hidden="false" customHeight="false" outlineLevel="0" collapsed="false">
      <c r="A4413" s="57" t="n">
        <v>39330</v>
      </c>
      <c r="B4413" s="56" t="n">
        <v>2007</v>
      </c>
      <c r="C4413" s="56" t="n">
        <v>9</v>
      </c>
      <c r="D4413" s="56" t="n">
        <v>128</v>
      </c>
      <c r="E4413" s="56" t="n">
        <v>23.7</v>
      </c>
      <c r="F4413" s="56" t="n">
        <v>0</v>
      </c>
      <c r="G4413" s="56" t="n">
        <v>12.8</v>
      </c>
      <c r="H4413" s="56" t="n">
        <v>0</v>
      </c>
      <c r="I4413" s="56" t="n">
        <v>18.2</v>
      </c>
      <c r="J4413" s="56" t="n">
        <v>0</v>
      </c>
      <c r="K4413" s="56" t="n">
        <v>1029.8</v>
      </c>
      <c r="L4413" s="56" t="n">
        <v>0</v>
      </c>
      <c r="M4413" s="56" t="n">
        <v>74</v>
      </c>
      <c r="N4413" s="56" t="n">
        <v>1.7</v>
      </c>
      <c r="O4413" s="56" t="n">
        <f aca="false">IF(D4413=1,"",E4412)</f>
        <v>19.3</v>
      </c>
      <c r="P4413" s="56" t="n">
        <f aca="false">IF(OR(D4413=1,K4412=""),"",K4412)</f>
        <v>1028.5</v>
      </c>
      <c r="Q4413" s="56" t="n">
        <f aca="false">IF(OR(F4413&lt;&gt;0,AND(I4413&lt;&gt;"",E4413&lt;I4413)),1,0)</f>
        <v>0</v>
      </c>
      <c r="R4413" s="56" t="n">
        <f aca="false">IF(AND(D4413&gt;1,Q4413=0,ISNUMBER(O4413),ISNUMBER(P4413)),IF(Q4412=0,1,0),0)</f>
        <v>1</v>
      </c>
      <c r="S4413" s="56" t="n">
        <f aca="false">R4413*(B4413&gt;=Train_Start)*(B4413&lt;=Train_End)</f>
        <v>0</v>
      </c>
      <c r="T4413" s="84" t="n">
        <f aca="false">IF(AND(ISNUMBER(O4413),ISNUMBER(P4413)),Coef_A+Coef_B1*O4413+Coef_B2*P4413,"")</f>
        <v>20.1641584787771</v>
      </c>
      <c r="U4413" s="84" t="n">
        <f aca="false">IF(AND(R4413=1,ISNUMBER(T4413)),E4413-T4413,"")</f>
        <v>3.53584152122292</v>
      </c>
      <c r="V4413" s="84" t="n">
        <f aca="false">IF(ISNUMBER(T4413),T4413,-99)</f>
        <v>20.1641584787771</v>
      </c>
      <c r="W4413" s="84" t="n">
        <f aca="false">IF(ISNUMBER(U4413),ABS(U4413),"")</f>
        <v>3.53584152122292</v>
      </c>
    </row>
    <row r="4414" customFormat="false" ht="15" hidden="false" customHeight="false" outlineLevel="0" collapsed="false">
      <c r="A4414" s="57" t="n">
        <v>39331</v>
      </c>
      <c r="B4414" s="56" t="n">
        <v>2007</v>
      </c>
      <c r="C4414" s="56" t="n">
        <v>9</v>
      </c>
      <c r="D4414" s="56" t="n">
        <v>129</v>
      </c>
      <c r="E4414" s="56" t="n">
        <v>24.7</v>
      </c>
      <c r="F4414" s="56" t="n">
        <v>0</v>
      </c>
      <c r="G4414" s="56" t="n">
        <v>13.5</v>
      </c>
      <c r="H4414" s="56" t="n">
        <v>0</v>
      </c>
      <c r="I4414" s="56" t="n">
        <v>19.1</v>
      </c>
      <c r="J4414" s="56" t="n">
        <v>0</v>
      </c>
      <c r="K4414" s="56" t="n">
        <v>1031.3</v>
      </c>
      <c r="L4414" s="56" t="n">
        <v>0</v>
      </c>
      <c r="M4414" s="56" t="n">
        <v>77</v>
      </c>
      <c r="N4414" s="56" t="n">
        <v>5.6</v>
      </c>
      <c r="O4414" s="56" t="n">
        <f aca="false">IF(D4414=1,"",E4413)</f>
        <v>23.7</v>
      </c>
      <c r="P4414" s="56" t="n">
        <f aca="false">IF(OR(D4414=1,K4413=""),"",K4413)</f>
        <v>1029.8</v>
      </c>
      <c r="Q4414" s="56" t="n">
        <f aca="false">IF(OR(F4414&lt;&gt;0,AND(I4414&lt;&gt;"",E4414&lt;I4414)),1,0)</f>
        <v>0</v>
      </c>
      <c r="R4414" s="56" t="n">
        <f aca="false">IF(AND(D4414&gt;1,Q4414=0,ISNUMBER(O4414),ISNUMBER(P4414)),IF(Q4413=0,1,0),0)</f>
        <v>1</v>
      </c>
      <c r="S4414" s="56" t="n">
        <f aca="false">R4414*(B4414&gt;=Train_Start)*(B4414&lt;=Train_End)</f>
        <v>0</v>
      </c>
      <c r="T4414" s="84" t="n">
        <f aca="false">IF(AND(ISNUMBER(O4414),ISNUMBER(P4414)),Coef_A+Coef_B1*O4414+Coef_B2*P4414,"")</f>
        <v>23.810031791189</v>
      </c>
      <c r="U4414" s="84" t="n">
        <f aca="false">IF(AND(R4414=1,ISNUMBER(T4414)),E4414-T4414,"")</f>
        <v>0.889968208811041</v>
      </c>
      <c r="V4414" s="84" t="n">
        <f aca="false">IF(ISNUMBER(T4414),T4414,-99)</f>
        <v>23.810031791189</v>
      </c>
      <c r="W4414" s="84" t="n">
        <f aca="false">IF(ISNUMBER(U4414),ABS(U4414),"")</f>
        <v>0.889968208811041</v>
      </c>
    </row>
    <row r="4415" customFormat="false" ht="15" hidden="false" customHeight="false" outlineLevel="0" collapsed="false">
      <c r="A4415" s="57" t="n">
        <v>39332</v>
      </c>
      <c r="B4415" s="56" t="n">
        <v>2007</v>
      </c>
      <c r="C4415" s="56" t="n">
        <v>9</v>
      </c>
      <c r="D4415" s="56" t="n">
        <v>130</v>
      </c>
      <c r="E4415" s="56" t="n">
        <v>24</v>
      </c>
      <c r="F4415" s="56" t="n">
        <v>0</v>
      </c>
      <c r="G4415" s="56" t="n">
        <v>16.5</v>
      </c>
      <c r="H4415" s="56" t="n">
        <v>0</v>
      </c>
      <c r="I4415" s="56" t="n">
        <v>20.2</v>
      </c>
      <c r="J4415" s="56" t="n">
        <v>0</v>
      </c>
      <c r="K4415" s="56" t="n">
        <v>1030.8</v>
      </c>
      <c r="L4415" s="56" t="n">
        <v>0</v>
      </c>
      <c r="M4415" s="56" t="n">
        <v>76</v>
      </c>
      <c r="N4415" s="56" t="n">
        <v>5</v>
      </c>
      <c r="O4415" s="56" t="n">
        <f aca="false">IF(D4415=1,"",E4414)</f>
        <v>24.7</v>
      </c>
      <c r="P4415" s="56" t="n">
        <f aca="false">IF(OR(D4415=1,K4414=""),"",K4414)</f>
        <v>1031.3</v>
      </c>
      <c r="Q4415" s="56" t="n">
        <f aca="false">IF(OR(F4415&lt;&gt;0,AND(I4415&lt;&gt;"",E4415&lt;I4415)),1,0)</f>
        <v>0</v>
      </c>
      <c r="R4415" s="56" t="n">
        <f aca="false">IF(AND(D4415&gt;1,Q4415=0,ISNUMBER(O4415),ISNUMBER(P4415)),IF(Q4414=0,1,0),0)</f>
        <v>1</v>
      </c>
      <c r="S4415" s="56" t="n">
        <f aca="false">R4415*(B4415&gt;=Train_Start)*(B4415&lt;=Train_End)</f>
        <v>0</v>
      </c>
      <c r="T4415" s="84" t="n">
        <f aca="false">IF(AND(ISNUMBER(O4415),ISNUMBER(P4415)),Coef_A+Coef_B1*O4415+Coef_B2*P4415,"")</f>
        <v>24.6764258261826</v>
      </c>
      <c r="U4415" s="84" t="n">
        <f aca="false">IF(AND(R4415=1,ISNUMBER(T4415)),E4415-T4415,"")</f>
        <v>-0.676425826182598</v>
      </c>
      <c r="V4415" s="84" t="n">
        <f aca="false">IF(ISNUMBER(T4415),T4415,-99)</f>
        <v>24.6764258261826</v>
      </c>
      <c r="W4415" s="84" t="n">
        <f aca="false">IF(ISNUMBER(U4415),ABS(U4415),"")</f>
        <v>0.676425826182598</v>
      </c>
    </row>
    <row r="4416" customFormat="false" ht="15" hidden="false" customHeight="false" outlineLevel="0" collapsed="false">
      <c r="A4416" s="57" t="n">
        <v>39333</v>
      </c>
      <c r="B4416" s="56" t="n">
        <v>2007</v>
      </c>
      <c r="C4416" s="56" t="n">
        <v>9</v>
      </c>
      <c r="D4416" s="56" t="n">
        <v>131</v>
      </c>
      <c r="E4416" s="56" t="n">
        <v>19.8</v>
      </c>
      <c r="F4416" s="56" t="n">
        <v>0</v>
      </c>
      <c r="G4416" s="56" t="n">
        <v>12</v>
      </c>
      <c r="H4416" s="56" t="n">
        <v>0</v>
      </c>
      <c r="I4416" s="56" t="n">
        <v>15.9</v>
      </c>
      <c r="J4416" s="56" t="n">
        <v>0</v>
      </c>
      <c r="K4416" s="56" t="n">
        <v>1027.7</v>
      </c>
      <c r="L4416" s="56" t="n">
        <v>0</v>
      </c>
      <c r="M4416" s="56" t="n">
        <v>79</v>
      </c>
      <c r="N4416" s="56" t="n">
        <v>1.5</v>
      </c>
      <c r="O4416" s="56" t="n">
        <f aca="false">IF(D4416=1,"",E4415)</f>
        <v>24</v>
      </c>
      <c r="P4416" s="56" t="n">
        <f aca="false">IF(OR(D4416=1,K4415=""),"",K4415)</f>
        <v>1030.8</v>
      </c>
      <c r="Q4416" s="56" t="n">
        <f aca="false">IF(OR(F4416&lt;&gt;0,AND(I4416&lt;&gt;"",E4416&lt;I4416)),1,0)</f>
        <v>0</v>
      </c>
      <c r="R4416" s="56" t="n">
        <f aca="false">IF(AND(D4416&gt;1,Q4416=0,ISNUMBER(O4416),ISNUMBER(P4416)),IF(Q4415=0,1,0),0)</f>
        <v>1</v>
      </c>
      <c r="S4416" s="56" t="n">
        <f aca="false">R4416*(B4416&gt;=Train_Start)*(B4416&lt;=Train_End)</f>
        <v>0</v>
      </c>
      <c r="T4416" s="84" t="n">
        <f aca="false">IF(AND(ISNUMBER(O4416),ISNUMBER(P4416)),Coef_A+Coef_B1*O4416+Coef_B2*P4416,"")</f>
        <v>24.0872034437357</v>
      </c>
      <c r="U4416" s="84" t="n">
        <f aca="false">IF(AND(R4416=1,ISNUMBER(T4416)),E4416-T4416,"")</f>
        <v>-4.28720344373575</v>
      </c>
      <c r="V4416" s="84" t="n">
        <f aca="false">IF(ISNUMBER(T4416),T4416,-99)</f>
        <v>24.0872034437357</v>
      </c>
      <c r="W4416" s="84" t="n">
        <f aca="false">IF(ISNUMBER(U4416),ABS(U4416),"")</f>
        <v>4.28720344373575</v>
      </c>
    </row>
    <row r="4417" customFormat="false" ht="15" hidden="false" customHeight="false" outlineLevel="0" collapsed="false">
      <c r="A4417" s="57" t="n">
        <v>39334</v>
      </c>
      <c r="B4417" s="56" t="n">
        <v>2007</v>
      </c>
      <c r="C4417" s="56" t="n">
        <v>9</v>
      </c>
      <c r="D4417" s="56" t="n">
        <v>132</v>
      </c>
      <c r="E4417" s="56" t="n">
        <v>21.3</v>
      </c>
      <c r="F4417" s="56" t="n">
        <v>0</v>
      </c>
      <c r="G4417" s="56" t="n">
        <v>13</v>
      </c>
      <c r="H4417" s="56" t="n">
        <v>0</v>
      </c>
      <c r="I4417" s="56" t="n">
        <v>17.2</v>
      </c>
      <c r="J4417" s="56" t="n">
        <v>0</v>
      </c>
      <c r="K4417" s="56" t="n">
        <v>1024.5</v>
      </c>
      <c r="L4417" s="56" t="n">
        <v>0</v>
      </c>
      <c r="M4417" s="56" t="n">
        <v>70</v>
      </c>
      <c r="N4417" s="56" t="n">
        <v>4.9</v>
      </c>
      <c r="O4417" s="56" t="n">
        <f aca="false">IF(D4417=1,"",E4416)</f>
        <v>19.8</v>
      </c>
      <c r="P4417" s="56" t="n">
        <f aca="false">IF(OR(D4417=1,K4416=""),"",K4416)</f>
        <v>1027.7</v>
      </c>
      <c r="Q4417" s="56" t="n">
        <f aca="false">IF(OR(F4417&lt;&gt;0,AND(I4417&lt;&gt;"",E4417&lt;I4417)),1,0)</f>
        <v>0</v>
      </c>
      <c r="R4417" s="56" t="n">
        <f aca="false">IF(AND(D4417&gt;1,Q4417=0,ISNUMBER(O4417),ISNUMBER(P4417)),IF(Q4416=0,1,0),0)</f>
        <v>1</v>
      </c>
      <c r="S4417" s="56" t="n">
        <f aca="false">R4417*(B4417&gt;=Train_Start)*(B4417&lt;=Train_End)</f>
        <v>0</v>
      </c>
      <c r="T4417" s="84" t="n">
        <f aca="false">IF(AND(ISNUMBER(O4417),ISNUMBER(P4417)),Coef_A+Coef_B1*O4417+Coef_B2*P4417,"")</f>
        <v>20.5487321595912</v>
      </c>
      <c r="U4417" s="84" t="n">
        <f aca="false">IF(AND(R4417=1,ISNUMBER(T4417)),E4417-T4417,"")</f>
        <v>0.751267840408783</v>
      </c>
      <c r="V4417" s="84" t="n">
        <f aca="false">IF(ISNUMBER(T4417),T4417,-99)</f>
        <v>20.5487321595912</v>
      </c>
      <c r="W4417" s="84" t="n">
        <f aca="false">IF(ISNUMBER(U4417),ABS(U4417),"")</f>
        <v>0.751267840408783</v>
      </c>
    </row>
    <row r="4418" customFormat="false" ht="15" hidden="false" customHeight="false" outlineLevel="0" collapsed="false">
      <c r="A4418" s="57" t="n">
        <v>39335</v>
      </c>
      <c r="B4418" s="56" t="n">
        <v>2007</v>
      </c>
      <c r="C4418" s="56" t="n">
        <v>9</v>
      </c>
      <c r="D4418" s="56" t="n">
        <v>133</v>
      </c>
      <c r="E4418" s="56" t="n">
        <v>21.3</v>
      </c>
      <c r="F4418" s="56" t="n">
        <v>0</v>
      </c>
      <c r="G4418" s="56" t="n">
        <v>13.9</v>
      </c>
      <c r="H4418" s="56" t="n">
        <v>0</v>
      </c>
      <c r="I4418" s="56" t="n">
        <v>17.6</v>
      </c>
      <c r="J4418" s="56" t="n">
        <v>0</v>
      </c>
      <c r="K4418" s="56" t="n">
        <v>1020.2</v>
      </c>
      <c r="L4418" s="56" t="n">
        <v>0</v>
      </c>
      <c r="M4418" s="56" t="n">
        <v>64</v>
      </c>
      <c r="N4418" s="56" t="n">
        <v>6.6</v>
      </c>
      <c r="O4418" s="56" t="n">
        <f aca="false">IF(D4418=1,"",E4417)</f>
        <v>21.3</v>
      </c>
      <c r="P4418" s="56" t="n">
        <f aca="false">IF(OR(D4418=1,K4417=""),"",K4417)</f>
        <v>1024.5</v>
      </c>
      <c r="Q4418" s="56" t="n">
        <f aca="false">IF(OR(F4418&lt;&gt;0,AND(I4418&lt;&gt;"",E4418&lt;I4418)),1,0)</f>
        <v>0</v>
      </c>
      <c r="R4418" s="56" t="n">
        <f aca="false">IF(AND(D4418&gt;1,Q4418=0,ISNUMBER(O4418),ISNUMBER(P4418)),IF(Q4417=0,1,0),0)</f>
        <v>1</v>
      </c>
      <c r="S4418" s="56" t="n">
        <f aca="false">R4418*(B4418&gt;=Train_Start)*(B4418&lt;=Train_End)</f>
        <v>0</v>
      </c>
      <c r="T4418" s="84" t="n">
        <f aca="false">IF(AND(ISNUMBER(O4418),ISNUMBER(P4418)),Coef_A+Coef_B1*O4418+Coef_B2*P4418,"")</f>
        <v>21.6773572863264</v>
      </c>
      <c r="U4418" s="84" t="n">
        <f aca="false">IF(AND(R4418=1,ISNUMBER(T4418)),E4418-T4418,"")</f>
        <v>-0.377357286326433</v>
      </c>
      <c r="V4418" s="84" t="n">
        <f aca="false">IF(ISNUMBER(T4418),T4418,-99)</f>
        <v>21.6773572863264</v>
      </c>
      <c r="W4418" s="84" t="n">
        <f aca="false">IF(ISNUMBER(U4418),ABS(U4418),"")</f>
        <v>0.377357286326433</v>
      </c>
    </row>
    <row r="4419" customFormat="false" ht="15" hidden="false" customHeight="false" outlineLevel="0" collapsed="false">
      <c r="A4419" s="57" t="n">
        <v>39336</v>
      </c>
      <c r="B4419" s="56" t="n">
        <v>2007</v>
      </c>
      <c r="C4419" s="56" t="n">
        <v>9</v>
      </c>
      <c r="D4419" s="56" t="n">
        <v>134</v>
      </c>
      <c r="E4419" s="56" t="n">
        <v>20.4</v>
      </c>
      <c r="F4419" s="56" t="n">
        <v>0</v>
      </c>
      <c r="G4419" s="56" t="n">
        <v>8.9</v>
      </c>
      <c r="H4419" s="56" t="n">
        <v>0</v>
      </c>
      <c r="I4419" s="56" t="n">
        <v>14.6</v>
      </c>
      <c r="J4419" s="56" t="n">
        <v>0</v>
      </c>
      <c r="K4419" s="56" t="n">
        <v>1025.8</v>
      </c>
      <c r="L4419" s="56" t="n">
        <v>0</v>
      </c>
      <c r="M4419" s="56" t="n">
        <v>66</v>
      </c>
      <c r="N4419" s="56" t="n">
        <v>11.3</v>
      </c>
      <c r="O4419" s="56" t="n">
        <f aca="false">IF(D4419=1,"",E4418)</f>
        <v>21.3</v>
      </c>
      <c r="P4419" s="56" t="n">
        <f aca="false">IF(OR(D4419=1,K4418=""),"",K4418)</f>
        <v>1020.2</v>
      </c>
      <c r="Q4419" s="56" t="n">
        <f aca="false">IF(OR(F4419&lt;&gt;0,AND(I4419&lt;&gt;"",E4419&lt;I4419)),1,0)</f>
        <v>0</v>
      </c>
      <c r="R4419" s="56" t="n">
        <f aca="false">IF(AND(D4419&gt;1,Q4419=0,ISNUMBER(O4419),ISNUMBER(P4419)),IF(Q4418=0,1,0),0)</f>
        <v>1</v>
      </c>
      <c r="S4419" s="56" t="n">
        <f aca="false">R4419*(B4419&gt;=Train_Start)*(B4419&lt;=Train_End)</f>
        <v>0</v>
      </c>
      <c r="T4419" s="84" t="n">
        <f aca="false">IF(AND(ISNUMBER(O4419),ISNUMBER(P4419)),Coef_A+Coef_B1*O4419+Coef_B2*P4419,"")</f>
        <v>21.5424667394003</v>
      </c>
      <c r="U4419" s="84" t="n">
        <f aca="false">IF(AND(R4419=1,ISNUMBER(T4419)),E4419-T4419,"")</f>
        <v>-1.14246673940028</v>
      </c>
      <c r="V4419" s="84" t="n">
        <f aca="false">IF(ISNUMBER(T4419),T4419,-99)</f>
        <v>21.5424667394003</v>
      </c>
      <c r="W4419" s="84" t="n">
        <f aca="false">IF(ISNUMBER(U4419),ABS(U4419),"")</f>
        <v>1.14246673940028</v>
      </c>
    </row>
    <row r="4420" customFormat="false" ht="15" hidden="false" customHeight="false" outlineLevel="0" collapsed="false">
      <c r="A4420" s="57" t="n">
        <v>39337</v>
      </c>
      <c r="B4420" s="56" t="n">
        <v>2007</v>
      </c>
      <c r="C4420" s="56" t="n">
        <v>9</v>
      </c>
      <c r="D4420" s="56" t="n">
        <v>135</v>
      </c>
      <c r="E4420" s="56" t="n">
        <v>22</v>
      </c>
      <c r="F4420" s="56" t="n">
        <v>0</v>
      </c>
      <c r="G4420" s="56" t="n">
        <v>9.5</v>
      </c>
      <c r="H4420" s="56" t="n">
        <v>0</v>
      </c>
      <c r="I4420" s="56" t="n">
        <v>15.8</v>
      </c>
      <c r="J4420" s="56" t="n">
        <v>0</v>
      </c>
      <c r="K4420" s="56" t="n">
        <v>1027.7</v>
      </c>
      <c r="L4420" s="56" t="n">
        <v>0</v>
      </c>
      <c r="M4420" s="56" t="n">
        <v>72</v>
      </c>
      <c r="N4420" s="56" t="n">
        <v>5.9</v>
      </c>
      <c r="O4420" s="56" t="n">
        <f aca="false">IF(D4420=1,"",E4419)</f>
        <v>20.4</v>
      </c>
      <c r="P4420" s="56" t="n">
        <f aca="false">IF(OR(D4420=1,K4419=""),"",K4419)</f>
        <v>1025.8</v>
      </c>
      <c r="Q4420" s="56" t="n">
        <f aca="false">IF(OR(F4420&lt;&gt;0,AND(I4420&lt;&gt;"",E4420&lt;I4420)),1,0)</f>
        <v>0</v>
      </c>
      <c r="R4420" s="56" t="n">
        <f aca="false">IF(AND(D4420&gt;1,Q4420=0,ISNUMBER(O4420),ISNUMBER(P4420)),IF(Q4419=0,1,0),0)</f>
        <v>1</v>
      </c>
      <c r="S4420" s="56" t="n">
        <f aca="false">R4420*(B4420&gt;=Train_Start)*(B4420&lt;=Train_End)</f>
        <v>0</v>
      </c>
      <c r="T4420" s="84" t="n">
        <f aca="false">IF(AND(ISNUMBER(O4420),ISNUMBER(P4420)),Coef_A+Coef_B1*O4420+Coef_B2*P4420,"")</f>
        <v>20.9807328756122</v>
      </c>
      <c r="U4420" s="84" t="n">
        <f aca="false">IF(AND(R4420=1,ISNUMBER(T4420)),E4420-T4420,"")</f>
        <v>1.01926712438777</v>
      </c>
      <c r="V4420" s="84" t="n">
        <f aca="false">IF(ISNUMBER(T4420),T4420,-99)</f>
        <v>20.9807328756122</v>
      </c>
      <c r="W4420" s="84" t="n">
        <f aca="false">IF(ISNUMBER(U4420),ABS(U4420),"")</f>
        <v>1.01926712438777</v>
      </c>
    </row>
    <row r="4421" customFormat="false" ht="15" hidden="false" customHeight="false" outlineLevel="0" collapsed="false">
      <c r="A4421" s="57" t="n">
        <v>39338</v>
      </c>
      <c r="B4421" s="56" t="n">
        <v>2007</v>
      </c>
      <c r="C4421" s="56" t="n">
        <v>9</v>
      </c>
      <c r="D4421" s="56" t="n">
        <v>136</v>
      </c>
      <c r="E4421" s="56" t="n">
        <v>22.8</v>
      </c>
      <c r="F4421" s="56" t="n">
        <v>0</v>
      </c>
      <c r="G4421" s="56" t="n">
        <v>10.8</v>
      </c>
      <c r="H4421" s="56" t="n">
        <v>0</v>
      </c>
      <c r="I4421" s="56" t="n">
        <v>16.8</v>
      </c>
      <c r="J4421" s="56" t="n">
        <v>0</v>
      </c>
      <c r="K4421" s="56" t="n">
        <v>1024.8</v>
      </c>
      <c r="L4421" s="56" t="n">
        <v>0</v>
      </c>
      <c r="M4421" s="56" t="n">
        <v>72</v>
      </c>
      <c r="N4421" s="56" t="n">
        <v>11</v>
      </c>
      <c r="O4421" s="56" t="n">
        <f aca="false">IF(D4421=1,"",E4420)</f>
        <v>22</v>
      </c>
      <c r="P4421" s="56" t="n">
        <f aca="false">IF(OR(D4421=1,K4420=""),"",K4420)</f>
        <v>1027.7</v>
      </c>
      <c r="Q4421" s="56" t="n">
        <f aca="false">IF(OR(F4421&lt;&gt;0,AND(I4421&lt;&gt;"",E4421&lt;I4421)),1,0)</f>
        <v>0</v>
      </c>
      <c r="R4421" s="56" t="n">
        <f aca="false">IF(AND(D4421&gt;1,Q4421=0,ISNUMBER(O4421),ISNUMBER(P4421)),IF(Q4420=0,1,0),0)</f>
        <v>1</v>
      </c>
      <c r="S4421" s="56" t="n">
        <f aca="false">R4421*(B4421&gt;=Train_Start)*(B4421&lt;=Train_End)</f>
        <v>0</v>
      </c>
      <c r="T4421" s="84" t="n">
        <f aca="false">IF(AND(ISNUMBER(O4421),ISNUMBER(P4421)),Coef_A+Coef_B1*O4421+Coef_B2*P4421,"")</f>
        <v>22.3512783842851</v>
      </c>
      <c r="U4421" s="84" t="n">
        <f aca="false">IF(AND(R4421=1,ISNUMBER(T4421)),E4421-T4421,"")</f>
        <v>0.448721615714938</v>
      </c>
      <c r="V4421" s="84" t="n">
        <f aca="false">IF(ISNUMBER(T4421),T4421,-99)</f>
        <v>22.3512783842851</v>
      </c>
      <c r="W4421" s="84" t="n">
        <f aca="false">IF(ISNUMBER(U4421),ABS(U4421),"")</f>
        <v>0.448721615714938</v>
      </c>
    </row>
    <row r="4422" customFormat="false" ht="15" hidden="false" customHeight="false" outlineLevel="0" collapsed="false">
      <c r="A4422" s="57" t="n">
        <v>39339</v>
      </c>
      <c r="B4422" s="56" t="n">
        <v>2007</v>
      </c>
      <c r="C4422" s="56" t="n">
        <v>9</v>
      </c>
      <c r="D4422" s="56" t="n">
        <v>137</v>
      </c>
      <c r="E4422" s="56" t="n">
        <v>22.9</v>
      </c>
      <c r="F4422" s="56" t="n">
        <v>0</v>
      </c>
      <c r="G4422" s="56" t="n">
        <v>12.1</v>
      </c>
      <c r="H4422" s="56" t="n">
        <v>0</v>
      </c>
      <c r="I4422" s="56" t="n">
        <v>17.5</v>
      </c>
      <c r="J4422" s="56" t="n">
        <v>0</v>
      </c>
      <c r="K4422" s="56" t="n">
        <v>1020.3</v>
      </c>
      <c r="L4422" s="56" t="n">
        <v>0</v>
      </c>
      <c r="M4422" s="56" t="n">
        <v>74</v>
      </c>
      <c r="N4422" s="56" t="n">
        <v>2.8</v>
      </c>
      <c r="O4422" s="56" t="n">
        <f aca="false">IF(D4422=1,"",E4421)</f>
        <v>22.8</v>
      </c>
      <c r="P4422" s="56" t="n">
        <f aca="false">IF(OR(D4422=1,K4421=""),"",K4421)</f>
        <v>1024.8</v>
      </c>
      <c r="Q4422" s="56" t="n">
        <f aca="false">IF(OR(F4422&lt;&gt;0,AND(I4422&lt;&gt;"",E4422&lt;I4422)),1,0)</f>
        <v>0</v>
      </c>
      <c r="R4422" s="56" t="n">
        <f aca="false">IF(AND(D4422&gt;1,Q4422=0,ISNUMBER(O4422),ISNUMBER(P4422)),IF(Q4421=0,1,0),0)</f>
        <v>1</v>
      </c>
      <c r="S4422" s="56" t="n">
        <f aca="false">R4422*(B4422&gt;=Train_Start)*(B4422&lt;=Train_End)</f>
        <v>0</v>
      </c>
      <c r="T4422" s="84" t="n">
        <f aca="false">IF(AND(ISNUMBER(O4422),ISNUMBER(P4422)),Coef_A+Coef_B1*O4422+Coef_B2*P4422,"")</f>
        <v>22.9157770442806</v>
      </c>
      <c r="U4422" s="84" t="n">
        <f aca="false">IF(AND(R4422=1,ISNUMBER(T4422)),E4422-T4422,"")</f>
        <v>-0.0157770442806218</v>
      </c>
      <c r="V4422" s="84" t="n">
        <f aca="false">IF(ISNUMBER(T4422),T4422,-99)</f>
        <v>22.9157770442806</v>
      </c>
      <c r="W4422" s="84" t="n">
        <f aca="false">IF(ISNUMBER(U4422),ABS(U4422),"")</f>
        <v>0.0157770442806218</v>
      </c>
    </row>
    <row r="4423" customFormat="false" ht="15" hidden="false" customHeight="false" outlineLevel="0" collapsed="false">
      <c r="A4423" s="57" t="n">
        <v>39340</v>
      </c>
      <c r="B4423" s="56" t="n">
        <v>2007</v>
      </c>
      <c r="C4423" s="56" t="n">
        <v>9</v>
      </c>
      <c r="D4423" s="56" t="n">
        <v>138</v>
      </c>
      <c r="E4423" s="56" t="n">
        <v>21</v>
      </c>
      <c r="F4423" s="56" t="n">
        <v>0</v>
      </c>
      <c r="G4423" s="56" t="n">
        <v>8.7</v>
      </c>
      <c r="H4423" s="56" t="n">
        <v>0</v>
      </c>
      <c r="I4423" s="56" t="n">
        <v>14.8</v>
      </c>
      <c r="J4423" s="56" t="n">
        <v>0</v>
      </c>
      <c r="K4423" s="56" t="n">
        <v>1024.1</v>
      </c>
      <c r="L4423" s="56" t="n">
        <v>0</v>
      </c>
      <c r="M4423" s="56" t="n">
        <v>69</v>
      </c>
      <c r="N4423" s="56" t="n">
        <v>11.2</v>
      </c>
      <c r="O4423" s="56" t="n">
        <f aca="false">IF(D4423=1,"",E4422)</f>
        <v>22.9</v>
      </c>
      <c r="P4423" s="56" t="n">
        <f aca="false">IF(OR(D4423=1,K4422=""),"",K4422)</f>
        <v>1020.3</v>
      </c>
      <c r="Q4423" s="56" t="n">
        <f aca="false">IF(OR(F4423&lt;&gt;0,AND(I4423&lt;&gt;"",E4423&lt;I4423)),1,0)</f>
        <v>0</v>
      </c>
      <c r="R4423" s="56" t="n">
        <f aca="false">IF(AND(D4423&gt;1,Q4423=0,ISNUMBER(O4423),ISNUMBER(P4423)),IF(Q4422=0,1,0),0)</f>
        <v>1</v>
      </c>
      <c r="S4423" s="56" t="n">
        <f aca="false">R4423*(B4423&gt;=Train_Start)*(B4423&lt;=Train_End)</f>
        <v>0</v>
      </c>
      <c r="T4423" s="84" t="n">
        <f aca="false">IF(AND(ISNUMBER(O4423),ISNUMBER(P4423)),Coef_A+Coef_B1*O4423+Coef_B2*P4423,"")</f>
        <v>22.8565464377319</v>
      </c>
      <c r="U4423" s="84" t="n">
        <f aca="false">IF(AND(R4423=1,ISNUMBER(T4423)),E4423-T4423,"")</f>
        <v>-1.85654643773193</v>
      </c>
      <c r="V4423" s="84" t="n">
        <f aca="false">IF(ISNUMBER(T4423),T4423,-99)</f>
        <v>22.8565464377319</v>
      </c>
      <c r="W4423" s="84" t="n">
        <f aca="false">IF(ISNUMBER(U4423),ABS(U4423),"")</f>
        <v>1.85654643773193</v>
      </c>
    </row>
    <row r="4424" customFormat="false" ht="15" hidden="false" customHeight="false" outlineLevel="0" collapsed="false">
      <c r="A4424" s="57" t="n">
        <v>39341</v>
      </c>
      <c r="B4424" s="56" t="n">
        <v>2007</v>
      </c>
      <c r="C4424" s="56" t="n">
        <v>9</v>
      </c>
      <c r="D4424" s="56" t="n">
        <v>139</v>
      </c>
      <c r="E4424" s="56" t="n">
        <v>21.6</v>
      </c>
      <c r="F4424" s="56" t="n">
        <v>0</v>
      </c>
      <c r="G4424" s="56" t="n">
        <v>10.4</v>
      </c>
      <c r="H4424" s="56" t="n">
        <v>0</v>
      </c>
      <c r="I4424" s="56" t="n">
        <v>16</v>
      </c>
      <c r="J4424" s="56" t="n">
        <v>0</v>
      </c>
      <c r="K4424" s="56" t="n">
        <v>1013.2</v>
      </c>
      <c r="L4424" s="56" t="n">
        <v>0</v>
      </c>
      <c r="M4424" s="56" t="n">
        <v>75</v>
      </c>
      <c r="N4424" s="56" t="n">
        <v>7.2</v>
      </c>
      <c r="O4424" s="56" t="n">
        <f aca="false">IF(D4424=1,"",E4423)</f>
        <v>21</v>
      </c>
      <c r="P4424" s="56" t="n">
        <f aca="false">IF(OR(D4424=1,K4423=""),"",K4423)</f>
        <v>1024.1</v>
      </c>
      <c r="Q4424" s="56" t="n">
        <f aca="false">IF(OR(F4424&lt;&gt;0,AND(I4424&lt;&gt;"",E4424&lt;I4424)),1,0)</f>
        <v>0</v>
      </c>
      <c r="R4424" s="56" t="n">
        <f aca="false">IF(AND(D4424&gt;1,Q4424=0,ISNUMBER(O4424),ISNUMBER(P4424)),IF(Q4423=0,1,0),0)</f>
        <v>1</v>
      </c>
      <c r="S4424" s="56" t="n">
        <f aca="false">R4424*(B4424&gt;=Train_Start)*(B4424&lt;=Train_End)</f>
        <v>0</v>
      </c>
      <c r="T4424" s="84" t="n">
        <f aca="false">IF(AND(ISNUMBER(O4424),ISNUMBER(P4424)),Coef_A+Coef_B1*O4424+Coef_B2*P4424,"")</f>
        <v>21.41900757056</v>
      </c>
      <c r="U4424" s="84" t="n">
        <f aca="false">IF(AND(R4424=1,ISNUMBER(T4424)),E4424-T4424,"")</f>
        <v>0.180992429439964</v>
      </c>
      <c r="V4424" s="84" t="n">
        <f aca="false">IF(ISNUMBER(T4424),T4424,-99)</f>
        <v>21.41900757056</v>
      </c>
      <c r="W4424" s="84" t="n">
        <f aca="false">IF(ISNUMBER(U4424),ABS(U4424),"")</f>
        <v>0.180992429439964</v>
      </c>
    </row>
    <row r="4425" customFormat="false" ht="15" hidden="false" customHeight="false" outlineLevel="0" collapsed="false">
      <c r="A4425" s="57" t="n">
        <v>39342</v>
      </c>
      <c r="B4425" s="56" t="n">
        <v>2007</v>
      </c>
      <c r="C4425" s="56" t="n">
        <v>9</v>
      </c>
      <c r="D4425" s="56" t="n">
        <v>140</v>
      </c>
      <c r="E4425" s="56" t="n">
        <v>16.6</v>
      </c>
      <c r="F4425" s="56" t="n">
        <v>0</v>
      </c>
      <c r="G4425" s="56" t="n">
        <v>12.9</v>
      </c>
      <c r="H4425" s="56" t="n">
        <v>0</v>
      </c>
      <c r="I4425" s="56" t="n">
        <v>14.8</v>
      </c>
      <c r="J4425" s="56" t="n">
        <v>0</v>
      </c>
      <c r="K4425" s="56" t="n">
        <v>1011.1</v>
      </c>
      <c r="L4425" s="56" t="n">
        <v>0</v>
      </c>
      <c r="M4425" s="56" t="n">
        <v>71</v>
      </c>
      <c r="N4425" s="56" t="n">
        <v>0.3</v>
      </c>
      <c r="O4425" s="56" t="n">
        <f aca="false">IF(D4425=1,"",E4424)</f>
        <v>21.6</v>
      </c>
      <c r="P4425" s="56" t="n">
        <f aca="false">IF(OR(D4425=1,K4424=""),"",K4424)</f>
        <v>1013.2</v>
      </c>
      <c r="Q4425" s="56" t="n">
        <f aca="false">IF(OR(F4425&lt;&gt;0,AND(I4425&lt;&gt;"",E4425&lt;I4425)),1,0)</f>
        <v>0</v>
      </c>
      <c r="R4425" s="56" t="n">
        <f aca="false">IF(AND(D4425&gt;1,Q4425=0,ISNUMBER(O4425),ISNUMBER(P4425)),IF(Q4424=0,1,0),0)</f>
        <v>1</v>
      </c>
      <c r="S4425" s="56" t="n">
        <f aca="false">R4425*(B4425&gt;=Train_Start)*(B4425&lt;=Train_End)</f>
        <v>0</v>
      </c>
      <c r="T4425" s="84" t="n">
        <f aca="false">IF(AND(ISNUMBER(O4425),ISNUMBER(P4425)),Coef_A+Coef_B1*O4425+Coef_B2*P4425,"")</f>
        <v>21.5686792348752</v>
      </c>
      <c r="U4425" s="84" t="n">
        <f aca="false">IF(AND(R4425=1,ISNUMBER(T4425)),E4425-T4425,"")</f>
        <v>-4.96867923487515</v>
      </c>
      <c r="V4425" s="84" t="n">
        <f aca="false">IF(ISNUMBER(T4425),T4425,-99)</f>
        <v>21.5686792348752</v>
      </c>
      <c r="W4425" s="84" t="n">
        <f aca="false">IF(ISNUMBER(U4425),ABS(U4425),"")</f>
        <v>4.96867923487515</v>
      </c>
    </row>
    <row r="4426" customFormat="false" ht="15" hidden="false" customHeight="false" outlineLevel="0" collapsed="false">
      <c r="A4426" s="57" t="n">
        <v>39343</v>
      </c>
      <c r="B4426" s="56" t="n">
        <v>2007</v>
      </c>
      <c r="C4426" s="56" t="n">
        <v>9</v>
      </c>
      <c r="D4426" s="56" t="n">
        <v>141</v>
      </c>
      <c r="E4426" s="56" t="n">
        <v>15.7</v>
      </c>
      <c r="F4426" s="56" t="n">
        <v>0</v>
      </c>
      <c r="G4426" s="56" t="n">
        <v>6.2</v>
      </c>
      <c r="H4426" s="56" t="n">
        <v>0</v>
      </c>
      <c r="I4426" s="56" t="n">
        <v>11</v>
      </c>
      <c r="J4426" s="56" t="n">
        <v>0</v>
      </c>
      <c r="K4426" s="56" t="n">
        <v>1022.7</v>
      </c>
      <c r="L4426" s="56" t="n">
        <v>0</v>
      </c>
      <c r="M4426" s="56" t="n">
        <v>60</v>
      </c>
      <c r="N4426" s="56" t="n">
        <v>10.7</v>
      </c>
      <c r="O4426" s="56" t="n">
        <f aca="false">IF(D4426=1,"",E4425)</f>
        <v>16.6</v>
      </c>
      <c r="P4426" s="56" t="n">
        <f aca="false">IF(OR(D4426=1,K4425=""),"",K4425)</f>
        <v>1011.1</v>
      </c>
      <c r="Q4426" s="56" t="n">
        <f aca="false">IF(OR(F4426&lt;&gt;0,AND(I4426&lt;&gt;"",E4426&lt;I4426)),1,0)</f>
        <v>0</v>
      </c>
      <c r="R4426" s="56" t="n">
        <f aca="false">IF(AND(D4426&gt;1,Q4426=0,ISNUMBER(O4426),ISNUMBER(P4426)),IF(Q4425=0,1,0),0)</f>
        <v>1</v>
      </c>
      <c r="S4426" s="56" t="n">
        <f aca="false">R4426*(B4426&gt;=Train_Start)*(B4426&lt;=Train_End)</f>
        <v>0</v>
      </c>
      <c r="T4426" s="84" t="n">
        <f aca="false">IF(AND(ISNUMBER(O4426),ISNUMBER(P4426)),Coef_A+Coef_B1*O4426+Coef_B2*P4426,"")</f>
        <v>17.4061064909305</v>
      </c>
      <c r="U4426" s="84" t="n">
        <f aca="false">IF(AND(R4426=1,ISNUMBER(T4426)),E4426-T4426,"")</f>
        <v>-1.70610649093049</v>
      </c>
      <c r="V4426" s="84" t="n">
        <f aca="false">IF(ISNUMBER(T4426),T4426,-99)</f>
        <v>17.4061064909305</v>
      </c>
      <c r="W4426" s="84" t="n">
        <f aca="false">IF(ISNUMBER(U4426),ABS(U4426),"")</f>
        <v>1.70610649093049</v>
      </c>
    </row>
    <row r="4427" customFormat="false" ht="15" hidden="false" customHeight="false" outlineLevel="0" collapsed="false">
      <c r="A4427" s="57" t="n">
        <v>39344</v>
      </c>
      <c r="B4427" s="56" t="n">
        <v>2007</v>
      </c>
      <c r="C4427" s="56" t="n">
        <v>9</v>
      </c>
      <c r="D4427" s="56" t="n">
        <v>142</v>
      </c>
      <c r="E4427" s="56" t="n">
        <v>19.1</v>
      </c>
      <c r="F4427" s="56" t="n">
        <v>0</v>
      </c>
      <c r="G4427" s="56" t="n">
        <v>9.5</v>
      </c>
      <c r="H4427" s="56" t="n">
        <v>0</v>
      </c>
      <c r="I4427" s="56" t="n">
        <v>14.3</v>
      </c>
      <c r="J4427" s="56" t="n">
        <v>0</v>
      </c>
      <c r="K4427" s="56" t="n">
        <v>1020.3</v>
      </c>
      <c r="L4427" s="56" t="n">
        <v>0</v>
      </c>
      <c r="M4427" s="56" t="n">
        <v>77</v>
      </c>
      <c r="N4427" s="56" t="n">
        <v>0.2</v>
      </c>
      <c r="O4427" s="56" t="n">
        <f aca="false">IF(D4427=1,"",E4426)</f>
        <v>15.7</v>
      </c>
      <c r="P4427" s="56" t="n">
        <f aca="false">IF(OR(D4427=1,K4426=""),"",K4426)</f>
        <v>1022.7</v>
      </c>
      <c r="Q4427" s="56" t="n">
        <f aca="false">IF(OR(F4427&lt;&gt;0,AND(I4427&lt;&gt;"",E4427&lt;I4427)),1,0)</f>
        <v>0</v>
      </c>
      <c r="R4427" s="56" t="n">
        <f aca="false">IF(AND(D4427&gt;1,Q4427=0,ISNUMBER(O4427),ISNUMBER(P4427)),IF(Q4426=0,1,0),0)</f>
        <v>1</v>
      </c>
      <c r="S4427" s="56" t="n">
        <f aca="false">R4427*(B4427&gt;=Train_Start)*(B4427&lt;=Train_End)</f>
        <v>0</v>
      </c>
      <c r="T4427" s="84" t="n">
        <f aca="false">IF(AND(ISNUMBER(O4427),ISNUMBER(P4427)),Coef_A+Coef_B1*O4427+Coef_B2*P4427,"")</f>
        <v>17.0325919949464</v>
      </c>
      <c r="U4427" s="84" t="n">
        <f aca="false">IF(AND(R4427=1,ISNUMBER(T4427)),E4427-T4427,"")</f>
        <v>2.06740800505362</v>
      </c>
      <c r="V4427" s="84" t="n">
        <f aca="false">IF(ISNUMBER(T4427),T4427,-99)</f>
        <v>17.0325919949464</v>
      </c>
      <c r="W4427" s="84" t="n">
        <f aca="false">IF(ISNUMBER(U4427),ABS(U4427),"")</f>
        <v>2.06740800505362</v>
      </c>
    </row>
    <row r="4428" customFormat="false" ht="15" hidden="false" customHeight="false" outlineLevel="0" collapsed="false">
      <c r="A4428" s="57" t="n">
        <v>39345</v>
      </c>
      <c r="B4428" s="56" t="n">
        <v>2007</v>
      </c>
      <c r="C4428" s="56" t="n">
        <v>9</v>
      </c>
      <c r="D4428" s="56" t="n">
        <v>143</v>
      </c>
      <c r="E4428" s="56" t="n">
        <v>20.7</v>
      </c>
      <c r="F4428" s="56" t="n">
        <v>0</v>
      </c>
      <c r="G4428" s="56" t="n">
        <v>12.7</v>
      </c>
      <c r="H4428" s="56" t="n">
        <v>0</v>
      </c>
      <c r="I4428" s="56" t="n">
        <v>16.7</v>
      </c>
      <c r="J4428" s="56" t="n">
        <v>0</v>
      </c>
      <c r="K4428" s="56" t="n">
        <v>1016.9</v>
      </c>
      <c r="L4428" s="56" t="n">
        <v>0</v>
      </c>
      <c r="M4428" s="56" t="n">
        <v>81</v>
      </c>
      <c r="N4428" s="56" t="n">
        <v>1.4</v>
      </c>
      <c r="O4428" s="56" t="n">
        <f aca="false">IF(D4428=1,"",E4427)</f>
        <v>19.1</v>
      </c>
      <c r="P4428" s="56" t="n">
        <f aca="false">IF(OR(D4428=1,K4427=""),"",K4427)</f>
        <v>1020.3</v>
      </c>
      <c r="Q4428" s="56" t="n">
        <f aca="false">IF(OR(F4428&lt;&gt;0,AND(I4428&lt;&gt;"",E4428&lt;I4428)),1,0)</f>
        <v>0</v>
      </c>
      <c r="R4428" s="56" t="n">
        <f aca="false">IF(AND(D4428&gt;1,Q4428=0,ISNUMBER(O4428),ISNUMBER(P4428)),IF(Q4427=0,1,0),0)</f>
        <v>1</v>
      </c>
      <c r="S4428" s="56" t="n">
        <f aca="false">R4428*(B4428&gt;=Train_Start)*(B4428&lt;=Train_End)</f>
        <v>0</v>
      </c>
      <c r="T4428" s="84" t="n">
        <f aca="false">IF(AND(ISNUMBER(O4428),ISNUMBER(P4428)),Coef_A+Coef_B1*O4428+Coef_B2*P4428,"")</f>
        <v>19.7430575041698</v>
      </c>
      <c r="U4428" s="84" t="n">
        <f aca="false">IF(AND(R4428=1,ISNUMBER(T4428)),E4428-T4428,"")</f>
        <v>0.956942495830162</v>
      </c>
      <c r="V4428" s="84" t="n">
        <f aca="false">IF(ISNUMBER(T4428),T4428,-99)</f>
        <v>19.7430575041698</v>
      </c>
      <c r="W4428" s="84" t="n">
        <f aca="false">IF(ISNUMBER(U4428),ABS(U4428),"")</f>
        <v>0.956942495830162</v>
      </c>
    </row>
    <row r="4429" customFormat="false" ht="15" hidden="false" customHeight="false" outlineLevel="0" collapsed="false">
      <c r="A4429" s="57" t="n">
        <v>39346</v>
      </c>
      <c r="B4429" s="56" t="n">
        <v>2007</v>
      </c>
      <c r="C4429" s="56" t="n">
        <v>9</v>
      </c>
      <c r="D4429" s="56" t="n">
        <v>144</v>
      </c>
      <c r="E4429" s="56" t="n">
        <v>20.2</v>
      </c>
      <c r="F4429" s="56" t="n">
        <v>0</v>
      </c>
      <c r="G4429" s="56" t="n">
        <v>15.3</v>
      </c>
      <c r="H4429" s="56" t="n">
        <v>0</v>
      </c>
      <c r="I4429" s="56" t="n">
        <v>17.8</v>
      </c>
      <c r="J4429" s="56" t="n">
        <v>0</v>
      </c>
      <c r="K4429" s="56" t="n">
        <v>1016.9</v>
      </c>
      <c r="L4429" s="56" t="n">
        <v>0</v>
      </c>
      <c r="M4429" s="56" t="n">
        <v>78</v>
      </c>
      <c r="N4429" s="56" t="n">
        <v>0.9</v>
      </c>
      <c r="O4429" s="56" t="n">
        <f aca="false">IF(D4429=1,"",E4428)</f>
        <v>20.7</v>
      </c>
      <c r="P4429" s="56" t="n">
        <f aca="false">IF(OR(D4429=1,K4428=""),"",K4428)</f>
        <v>1016.9</v>
      </c>
      <c r="Q4429" s="56" t="n">
        <f aca="false">IF(OR(F4429&lt;&gt;0,AND(I4429&lt;&gt;"",E4429&lt;I4429)),1,0)</f>
        <v>0</v>
      </c>
      <c r="R4429" s="56" t="n">
        <f aca="false">IF(AND(D4429&gt;1,Q4429=0,ISNUMBER(O4429),ISNUMBER(P4429)),IF(Q4428=0,1,0),0)</f>
        <v>1</v>
      </c>
      <c r="S4429" s="56" t="n">
        <f aca="false">R4429*(B4429&gt;=Train_Start)*(B4429&lt;=Train_End)</f>
        <v>0</v>
      </c>
      <c r="T4429" s="84" t="n">
        <f aca="false">IF(AND(ISNUMBER(O4429),ISNUMBER(P4429)),Coef_A+Coef_B1*O4429+Coef_B2*P4429,"")</f>
        <v>20.9473425712825</v>
      </c>
      <c r="U4429" s="84" t="n">
        <f aca="false">IF(AND(R4429=1,ISNUMBER(T4429)),E4429-T4429,"")</f>
        <v>-0.747342571282523</v>
      </c>
      <c r="V4429" s="84" t="n">
        <f aca="false">IF(ISNUMBER(T4429),T4429,-99)</f>
        <v>20.9473425712825</v>
      </c>
      <c r="W4429" s="84" t="n">
        <f aca="false">IF(ISNUMBER(U4429),ABS(U4429),"")</f>
        <v>0.747342571282523</v>
      </c>
    </row>
    <row r="4430" customFormat="false" ht="15" hidden="false" customHeight="false" outlineLevel="0" collapsed="false">
      <c r="A4430" s="57" t="n">
        <v>39347</v>
      </c>
      <c r="B4430" s="56" t="n">
        <v>2007</v>
      </c>
      <c r="C4430" s="56" t="n">
        <v>9</v>
      </c>
      <c r="D4430" s="56" t="n">
        <v>145</v>
      </c>
      <c r="E4430" s="56" t="n">
        <v>21.8</v>
      </c>
      <c r="F4430" s="56" t="n">
        <v>0</v>
      </c>
      <c r="G4430" s="56" t="n">
        <v>13.5</v>
      </c>
      <c r="H4430" s="56" t="n">
        <v>0</v>
      </c>
      <c r="I4430" s="56" t="n">
        <v>17.6</v>
      </c>
      <c r="J4430" s="56" t="n">
        <v>0</v>
      </c>
      <c r="K4430" s="56" t="n">
        <v>1020.4</v>
      </c>
      <c r="L4430" s="56" t="n">
        <v>0</v>
      </c>
      <c r="M4430" s="56" t="n">
        <v>83</v>
      </c>
      <c r="N4430" s="56" t="n">
        <v>3.1</v>
      </c>
      <c r="O4430" s="56" t="n">
        <f aca="false">IF(D4430=1,"",E4429)</f>
        <v>20.2</v>
      </c>
      <c r="P4430" s="56" t="n">
        <f aca="false">IF(OR(D4430=1,K4429=""),"",K4429)</f>
        <v>1016.9</v>
      </c>
      <c r="Q4430" s="56" t="n">
        <f aca="false">IF(OR(F4430&lt;&gt;0,AND(I4430&lt;&gt;"",E4430&lt;I4430)),1,0)</f>
        <v>0</v>
      </c>
      <c r="R4430" s="56" t="n">
        <f aca="false">IF(AND(D4430&gt;1,Q4430=0,ISNUMBER(O4430),ISNUMBER(P4430)),IF(Q4429=0,1,0),0)</f>
        <v>1</v>
      </c>
      <c r="S4430" s="56" t="n">
        <f aca="false">R4430*(B4430&gt;=Train_Start)*(B4430&lt;=Train_End)</f>
        <v>0</v>
      </c>
      <c r="T4430" s="84" t="n">
        <f aca="false">IF(AND(ISNUMBER(O4430),ISNUMBER(P4430)),Coef_A+Coef_B1*O4430+Coef_B2*P4430,"")</f>
        <v>20.5376729747612</v>
      </c>
      <c r="U4430" s="84" t="n">
        <f aca="false">IF(AND(R4430=1,ISNUMBER(T4430)),E4430-T4430,"")</f>
        <v>1.26232702523881</v>
      </c>
      <c r="V4430" s="84" t="n">
        <f aca="false">IF(ISNUMBER(T4430),T4430,-99)</f>
        <v>20.5376729747612</v>
      </c>
      <c r="W4430" s="84" t="n">
        <f aca="false">IF(ISNUMBER(U4430),ABS(U4430),"")</f>
        <v>1.26232702523881</v>
      </c>
    </row>
    <row r="4431" customFormat="false" ht="15" hidden="false" customHeight="false" outlineLevel="0" collapsed="false">
      <c r="A4431" s="57" t="n">
        <v>39348</v>
      </c>
      <c r="B4431" s="56" t="n">
        <v>2007</v>
      </c>
      <c r="C4431" s="56" t="n">
        <v>9</v>
      </c>
      <c r="D4431" s="56" t="n">
        <v>146</v>
      </c>
      <c r="E4431" s="56" t="n">
        <v>21.3</v>
      </c>
      <c r="F4431" s="56" t="n">
        <v>0</v>
      </c>
      <c r="G4431" s="56" t="n">
        <v>10.1</v>
      </c>
      <c r="H4431" s="56" t="n">
        <v>0</v>
      </c>
      <c r="I4431" s="56" t="n">
        <v>15.7</v>
      </c>
      <c r="J4431" s="56" t="n">
        <v>0</v>
      </c>
      <c r="K4431" s="56" t="n">
        <v>1017</v>
      </c>
      <c r="L4431" s="56" t="n">
        <v>0</v>
      </c>
      <c r="M4431" s="56" t="n">
        <v>84</v>
      </c>
      <c r="N4431" s="56" t="n">
        <v>4.4</v>
      </c>
      <c r="O4431" s="56" t="n">
        <f aca="false">IF(D4431=1,"",E4430)</f>
        <v>21.8</v>
      </c>
      <c r="P4431" s="56" t="n">
        <f aca="false">IF(OR(D4431=1,K4430=""),"",K4430)</f>
        <v>1020.4</v>
      </c>
      <c r="Q4431" s="56" t="n">
        <f aca="false">IF(OR(F4431&lt;&gt;0,AND(I4431&lt;&gt;"",E4431&lt;I4431)),1,0)</f>
        <v>0</v>
      </c>
      <c r="R4431" s="56" t="n">
        <f aca="false">IF(AND(D4431&gt;1,Q4431=0,ISNUMBER(O4431),ISNUMBER(P4431)),IF(Q4430=0,1,0),0)</f>
        <v>1</v>
      </c>
      <c r="S4431" s="56" t="n">
        <f aca="false">R4431*(B4431&gt;=Train_Start)*(B4431&lt;=Train_End)</f>
        <v>0</v>
      </c>
      <c r="T4431" s="84" t="n">
        <f aca="false">IF(AND(ISNUMBER(O4431),ISNUMBER(P4431)),Coef_A+Coef_B1*O4431+Coef_B2*P4431,"")</f>
        <v>21.9584103148484</v>
      </c>
      <c r="U4431" s="84" t="n">
        <f aca="false">IF(AND(R4431=1,ISNUMBER(T4431)),E4431-T4431,"")</f>
        <v>-0.65841031484841</v>
      </c>
      <c r="V4431" s="84" t="n">
        <f aca="false">IF(ISNUMBER(T4431),T4431,-99)</f>
        <v>21.9584103148484</v>
      </c>
      <c r="W4431" s="84" t="n">
        <f aca="false">IF(ISNUMBER(U4431),ABS(U4431),"")</f>
        <v>0.65841031484841</v>
      </c>
    </row>
    <row r="4432" customFormat="false" ht="15" hidden="false" customHeight="false" outlineLevel="0" collapsed="false">
      <c r="A4432" s="57" t="n">
        <v>39349</v>
      </c>
      <c r="B4432" s="56" t="n">
        <v>2007</v>
      </c>
      <c r="C4432" s="56" t="n">
        <v>9</v>
      </c>
      <c r="D4432" s="56" t="n">
        <v>147</v>
      </c>
      <c r="E4432" s="56" t="n">
        <v>18.1</v>
      </c>
      <c r="F4432" s="56" t="n">
        <v>0</v>
      </c>
      <c r="G4432" s="56" t="n">
        <v>11.8</v>
      </c>
      <c r="H4432" s="56" t="n">
        <v>0</v>
      </c>
      <c r="I4432" s="56" t="n">
        <v>15</v>
      </c>
      <c r="J4432" s="56" t="n">
        <v>0</v>
      </c>
      <c r="K4432" s="56" t="n">
        <v>1008.5</v>
      </c>
      <c r="L4432" s="56" t="n">
        <v>0</v>
      </c>
      <c r="M4432" s="56" t="n">
        <v>76</v>
      </c>
      <c r="N4432" s="56" t="n">
        <v>6.4</v>
      </c>
      <c r="O4432" s="56" t="n">
        <f aca="false">IF(D4432=1,"",E4431)</f>
        <v>21.3</v>
      </c>
      <c r="P4432" s="56" t="n">
        <f aca="false">IF(OR(D4432=1,K4431=""),"",K4431)</f>
        <v>1017</v>
      </c>
      <c r="Q4432" s="56" t="n">
        <f aca="false">IF(OR(F4432&lt;&gt;0,AND(I4432&lt;&gt;"",E4432&lt;I4432)),1,0)</f>
        <v>0</v>
      </c>
      <c r="R4432" s="56" t="n">
        <f aca="false">IF(AND(D4432&gt;1,Q4432=0,ISNUMBER(O4432),ISNUMBER(P4432)),IF(Q4431=0,1,0),0)</f>
        <v>1</v>
      </c>
      <c r="S4432" s="56" t="n">
        <f aca="false">R4432*(B4432&gt;=Train_Start)*(B4432&lt;=Train_End)</f>
        <v>0</v>
      </c>
      <c r="T4432" s="84" t="n">
        <f aca="false">IF(AND(ISNUMBER(O4432),ISNUMBER(P4432)),Coef_A+Coef_B1*O4432+Coef_B2*P4432,"")</f>
        <v>21.4420830765715</v>
      </c>
      <c r="U4432" s="84" t="n">
        <f aca="false">IF(AND(R4432=1,ISNUMBER(T4432)),E4432-T4432,"")</f>
        <v>-3.34208307657152</v>
      </c>
      <c r="V4432" s="84" t="n">
        <f aca="false">IF(ISNUMBER(T4432),T4432,-99)</f>
        <v>21.4420830765715</v>
      </c>
      <c r="W4432" s="84" t="n">
        <f aca="false">IF(ISNUMBER(U4432),ABS(U4432),"")</f>
        <v>3.34208307657152</v>
      </c>
    </row>
    <row r="4433" customFormat="false" ht="15" hidden="false" customHeight="false" outlineLevel="0" collapsed="false">
      <c r="A4433" s="57" t="n">
        <v>39350</v>
      </c>
      <c r="B4433" s="56" t="n">
        <v>2007</v>
      </c>
      <c r="C4433" s="56" t="n">
        <v>9</v>
      </c>
      <c r="D4433" s="56" t="n">
        <v>148</v>
      </c>
      <c r="E4433" s="56" t="n">
        <v>18.3</v>
      </c>
      <c r="F4433" s="56" t="n">
        <v>0</v>
      </c>
      <c r="G4433" s="56" t="n">
        <v>9.6</v>
      </c>
      <c r="H4433" s="56" t="n">
        <v>0</v>
      </c>
      <c r="I4433" s="56" t="n">
        <v>14</v>
      </c>
      <c r="J4433" s="56" t="n">
        <v>0</v>
      </c>
      <c r="K4433" s="56" t="n">
        <v>1013.8</v>
      </c>
      <c r="L4433" s="56" t="n">
        <v>0</v>
      </c>
      <c r="M4433" s="56" t="n">
        <v>78</v>
      </c>
      <c r="N4433" s="56" t="n">
        <v>5.8</v>
      </c>
      <c r="O4433" s="56" t="n">
        <f aca="false">IF(D4433=1,"",E4432)</f>
        <v>18.1</v>
      </c>
      <c r="P4433" s="56" t="n">
        <f aca="false">IF(OR(D4433=1,K4432=""),"",K4432)</f>
        <v>1008.5</v>
      </c>
      <c r="Q4433" s="56" t="n">
        <f aca="false">IF(OR(F4433&lt;&gt;0,AND(I4433&lt;&gt;"",E4433&lt;I4433)),1,0)</f>
        <v>0</v>
      </c>
      <c r="R4433" s="56" t="n">
        <f aca="false">IF(AND(D4433&gt;1,Q4433=0,ISNUMBER(O4433),ISNUMBER(P4433)),IF(Q4432=0,1,0),0)</f>
        <v>1</v>
      </c>
      <c r="S4433" s="56" t="n">
        <f aca="false">R4433*(B4433&gt;=Train_Start)*(B4433&lt;=Train_End)</f>
        <v>0</v>
      </c>
      <c r="T4433" s="84" t="n">
        <f aca="false">IF(AND(ISNUMBER(O4433),ISNUMBER(P4433)),Coef_A+Coef_B1*O4433+Coef_B2*P4433,"")</f>
        <v>18.5535535544461</v>
      </c>
      <c r="U4433" s="84" t="n">
        <f aca="false">IF(AND(R4433=1,ISNUMBER(T4433)),E4433-T4433,"")</f>
        <v>-0.253553554446103</v>
      </c>
      <c r="V4433" s="84" t="n">
        <f aca="false">IF(ISNUMBER(T4433),T4433,-99)</f>
        <v>18.5535535544461</v>
      </c>
      <c r="W4433" s="84" t="n">
        <f aca="false">IF(ISNUMBER(U4433),ABS(U4433),"")</f>
        <v>0.253553554446103</v>
      </c>
    </row>
    <row r="4434" customFormat="false" ht="15" hidden="false" customHeight="false" outlineLevel="0" collapsed="false">
      <c r="A4434" s="57" t="n">
        <v>39351</v>
      </c>
      <c r="B4434" s="56" t="n">
        <v>2007</v>
      </c>
      <c r="C4434" s="56" t="n">
        <v>9</v>
      </c>
      <c r="D4434" s="56" t="n">
        <v>149</v>
      </c>
      <c r="E4434" s="56" t="n">
        <v>13</v>
      </c>
      <c r="F4434" s="56" t="n">
        <v>0</v>
      </c>
      <c r="G4434" s="56" t="n">
        <v>8.6</v>
      </c>
      <c r="H4434" s="56" t="n">
        <v>0</v>
      </c>
      <c r="I4434" s="56" t="n">
        <v>10.8</v>
      </c>
      <c r="J4434" s="56" t="n">
        <v>0</v>
      </c>
      <c r="K4434" s="56" t="n">
        <v>1021</v>
      </c>
      <c r="L4434" s="56" t="n">
        <v>0</v>
      </c>
      <c r="M4434" s="56" t="n">
        <v>73</v>
      </c>
      <c r="N4434" s="56" t="n">
        <v>4.8</v>
      </c>
      <c r="O4434" s="56" t="n">
        <f aca="false">IF(D4434=1,"",E4433)</f>
        <v>18.3</v>
      </c>
      <c r="P4434" s="56" t="n">
        <f aca="false">IF(OR(D4434=1,K4433=""),"",K4433)</f>
        <v>1013.8</v>
      </c>
      <c r="Q4434" s="56" t="n">
        <f aca="false">IF(OR(F4434&lt;&gt;0,AND(I4434&lt;&gt;"",E4434&lt;I4434)),1,0)</f>
        <v>0</v>
      </c>
      <c r="R4434" s="56" t="n">
        <f aca="false">IF(AND(D4434&gt;1,Q4434=0,ISNUMBER(O4434),ISNUMBER(P4434)),IF(Q4433=0,1,0),0)</f>
        <v>1</v>
      </c>
      <c r="S4434" s="56" t="n">
        <f aca="false">R4434*(B4434&gt;=Train_Start)*(B4434&lt;=Train_End)</f>
        <v>0</v>
      </c>
      <c r="T4434" s="84" t="n">
        <f aca="false">IF(AND(ISNUMBER(O4434),ISNUMBER(P4434)),Coef_A+Coef_B1*O4434+Coef_B2*P4434,"")</f>
        <v>18.8836818346148</v>
      </c>
      <c r="U4434" s="84" t="n">
        <f aca="false">IF(AND(R4434=1,ISNUMBER(T4434)),E4434-T4434,"")</f>
        <v>-5.88368183461478</v>
      </c>
      <c r="V4434" s="84" t="n">
        <f aca="false">IF(ISNUMBER(T4434),T4434,-99)</f>
        <v>18.8836818346148</v>
      </c>
      <c r="W4434" s="84" t="n">
        <f aca="false">IF(ISNUMBER(U4434),ABS(U4434),"")</f>
        <v>5.88368183461478</v>
      </c>
    </row>
    <row r="4435" customFormat="false" ht="15" hidden="false" customHeight="false" outlineLevel="0" collapsed="false">
      <c r="A4435" s="57" t="n">
        <v>39352</v>
      </c>
      <c r="B4435" s="56" t="n">
        <v>2007</v>
      </c>
      <c r="C4435" s="56" t="n">
        <v>9</v>
      </c>
      <c r="D4435" s="56" t="n">
        <v>150</v>
      </c>
      <c r="E4435" s="56" t="n">
        <v>14.2</v>
      </c>
      <c r="F4435" s="56" t="n">
        <v>0</v>
      </c>
      <c r="G4435" s="56" t="n">
        <v>7.3</v>
      </c>
      <c r="H4435" s="56" t="n">
        <v>0</v>
      </c>
      <c r="I4435" s="56" t="n">
        <v>10.8</v>
      </c>
      <c r="J4435" s="56" t="n">
        <v>0</v>
      </c>
      <c r="K4435" s="56" t="n">
        <v>1019.7</v>
      </c>
      <c r="L4435" s="56" t="n">
        <v>0</v>
      </c>
      <c r="M4435" s="56" t="n">
        <v>79</v>
      </c>
      <c r="N4435" s="56" t="n">
        <v>3.9</v>
      </c>
      <c r="O4435" s="56" t="n">
        <f aca="false">IF(D4435=1,"",E4434)</f>
        <v>13</v>
      </c>
      <c r="P4435" s="56" t="n">
        <f aca="false">IF(OR(D4435=1,K4434=""),"",K4434)</f>
        <v>1021</v>
      </c>
      <c r="Q4435" s="56" t="n">
        <f aca="false">IF(OR(F4435&lt;&gt;0,AND(I4435&lt;&gt;"",E4435&lt;I4435)),1,0)</f>
        <v>0</v>
      </c>
      <c r="R4435" s="56" t="n">
        <f aca="false">IF(AND(D4435&gt;1,Q4435=0,ISNUMBER(O4435),ISNUMBER(P4435)),IF(Q4434=0,1,0),0)</f>
        <v>1</v>
      </c>
      <c r="S4435" s="56" t="n">
        <f aca="false">R4435*(B4435&gt;=Train_Start)*(B4435&lt;=Train_End)</f>
        <v>0</v>
      </c>
      <c r="T4435" s="84" t="n">
        <f aca="false">IF(AND(ISNUMBER(O4435),ISNUMBER(P4435)),Coef_A+Coef_B1*O4435+Coef_B2*P4435,"")</f>
        <v>14.7670473528534</v>
      </c>
      <c r="U4435" s="84" t="n">
        <f aca="false">IF(AND(R4435=1,ISNUMBER(T4435)),E4435-T4435,"")</f>
        <v>-0.567047352853418</v>
      </c>
      <c r="V4435" s="84" t="n">
        <f aca="false">IF(ISNUMBER(T4435),T4435,-99)</f>
        <v>14.7670473528534</v>
      </c>
      <c r="W4435" s="84" t="n">
        <f aca="false">IF(ISNUMBER(U4435),ABS(U4435),"")</f>
        <v>0.567047352853418</v>
      </c>
    </row>
    <row r="4436" customFormat="false" ht="15" hidden="false" customHeight="false" outlineLevel="0" collapsed="false">
      <c r="A4436" s="57" t="n">
        <v>39353</v>
      </c>
      <c r="B4436" s="56" t="n">
        <v>2007</v>
      </c>
      <c r="C4436" s="56" t="n">
        <v>9</v>
      </c>
      <c r="D4436" s="56" t="n">
        <v>151</v>
      </c>
      <c r="E4436" s="56" t="n">
        <v>14.6</v>
      </c>
      <c r="F4436" s="56" t="n">
        <v>0</v>
      </c>
      <c r="G4436" s="56" t="n">
        <v>10.5</v>
      </c>
      <c r="H4436" s="56" t="n">
        <v>0</v>
      </c>
      <c r="I4436" s="56" t="n">
        <v>12.6</v>
      </c>
      <c r="J4436" s="56" t="n">
        <v>0</v>
      </c>
      <c r="K4436" s="56" t="n">
        <v>1012.5</v>
      </c>
      <c r="L4436" s="56" t="n">
        <v>0</v>
      </c>
      <c r="M4436" s="56" t="n">
        <v>90</v>
      </c>
      <c r="N4436" s="56" t="n">
        <v>0.1</v>
      </c>
      <c r="O4436" s="56" t="n">
        <f aca="false">IF(D4436=1,"",E4435)</f>
        <v>14.2</v>
      </c>
      <c r="P4436" s="56" t="n">
        <f aca="false">IF(OR(D4436=1,K4435=""),"",K4435)</f>
        <v>1019.7</v>
      </c>
      <c r="Q4436" s="56" t="n">
        <f aca="false">IF(OR(F4436&lt;&gt;0,AND(I4436&lt;&gt;"",E4436&lt;I4436)),1,0)</f>
        <v>0</v>
      </c>
      <c r="R4436" s="56" t="n">
        <f aca="false">IF(AND(D4436&gt;1,Q4436=0,ISNUMBER(O4436),ISNUMBER(P4436)),IF(Q4435=0,1,0),0)</f>
        <v>1</v>
      </c>
      <c r="S4436" s="56" t="n">
        <f aca="false">R4436*(B4436&gt;=Train_Start)*(B4436&lt;=Train_End)</f>
        <v>0</v>
      </c>
      <c r="T4436" s="84" t="n">
        <f aca="false">IF(AND(ISNUMBER(O4436),ISNUMBER(P4436)),Coef_A+Coef_B1*O4436+Coef_B2*P4436,"")</f>
        <v>15.7094735214804</v>
      </c>
      <c r="U4436" s="84" t="n">
        <f aca="false">IF(AND(R4436=1,ISNUMBER(T4436)),E4436-T4436,"")</f>
        <v>-1.10947352148042</v>
      </c>
      <c r="V4436" s="84" t="n">
        <f aca="false">IF(ISNUMBER(T4436),T4436,-99)</f>
        <v>15.7094735214804</v>
      </c>
      <c r="W4436" s="84" t="n">
        <f aca="false">IF(ISNUMBER(U4436),ABS(U4436),"")</f>
        <v>1.10947352148042</v>
      </c>
    </row>
    <row r="4437" customFormat="false" ht="15" hidden="false" customHeight="false" outlineLevel="0" collapsed="false">
      <c r="A4437" s="57" t="n">
        <v>39354</v>
      </c>
      <c r="B4437" s="56" t="n">
        <v>2007</v>
      </c>
      <c r="C4437" s="56" t="n">
        <v>9</v>
      </c>
      <c r="D4437" s="56" t="n">
        <v>152</v>
      </c>
      <c r="E4437" s="56" t="n">
        <v>18</v>
      </c>
      <c r="F4437" s="56" t="n">
        <v>0</v>
      </c>
      <c r="G4437" s="56" t="n">
        <v>12.4</v>
      </c>
      <c r="H4437" s="56" t="n">
        <v>0</v>
      </c>
      <c r="I4437" s="56"/>
      <c r="J4437" s="56" t="n">
        <v>9</v>
      </c>
      <c r="K4437" s="56" t="n">
        <v>1014.1</v>
      </c>
      <c r="L4437" s="56" t="n">
        <v>0</v>
      </c>
      <c r="M4437" s="56" t="n">
        <v>84</v>
      </c>
      <c r="N4437" s="56" t="n">
        <v>0.8</v>
      </c>
      <c r="O4437" s="56" t="n">
        <f aca="false">IF(D4437=1,"",E4436)</f>
        <v>14.6</v>
      </c>
      <c r="P4437" s="56" t="n">
        <f aca="false">IF(OR(D4437=1,K4436=""),"",K4436)</f>
        <v>1012.5</v>
      </c>
      <c r="Q4437" s="56" t="n">
        <f aca="false">IF(OR(F4437&lt;&gt;0,AND(I4437&lt;&gt;"",E4437&lt;I4437)),1,0)</f>
        <v>0</v>
      </c>
      <c r="R4437" s="56" t="n">
        <f aca="false">IF(AND(D4437&gt;1,Q4437=0,ISNUMBER(O4437),ISNUMBER(P4437)),IF(Q4436=0,1,0),0)</f>
        <v>1</v>
      </c>
      <c r="S4437" s="56" t="n">
        <f aca="false">R4437*(B4437&gt;=Train_Start)*(B4437&lt;=Train_End)</f>
        <v>0</v>
      </c>
      <c r="T4437" s="84" t="n">
        <f aca="false">IF(AND(ISNUMBER(O4437),ISNUMBER(P4437)),Coef_A+Coef_B1*O4437+Coef_B2*P4437,"")</f>
        <v>15.8113459573328</v>
      </c>
      <c r="U4437" s="84" t="n">
        <f aca="false">IF(AND(R4437=1,ISNUMBER(T4437)),E4437-T4437,"")</f>
        <v>2.18865404266724</v>
      </c>
      <c r="V4437" s="84" t="n">
        <f aca="false">IF(ISNUMBER(T4437),T4437,-99)</f>
        <v>15.8113459573328</v>
      </c>
      <c r="W4437" s="84" t="n">
        <f aca="false">IF(ISNUMBER(U4437),ABS(U4437),"")</f>
        <v>2.18865404266724</v>
      </c>
    </row>
    <row r="4438" customFormat="false" ht="15" hidden="false" customHeight="false" outlineLevel="0" collapsed="false">
      <c r="A4438" s="57" t="n">
        <v>39355</v>
      </c>
      <c r="B4438" s="56" t="n">
        <v>2007</v>
      </c>
      <c r="C4438" s="56" t="n">
        <v>9</v>
      </c>
      <c r="D4438" s="56" t="n">
        <v>153</v>
      </c>
      <c r="E4438" s="56" t="n">
        <v>18.3</v>
      </c>
      <c r="F4438" s="56" t="n">
        <v>0</v>
      </c>
      <c r="G4438" s="56" t="n">
        <v>6.9</v>
      </c>
      <c r="H4438" s="56" t="n">
        <v>0</v>
      </c>
      <c r="I4438" s="56" t="n">
        <v>12.6</v>
      </c>
      <c r="J4438" s="56" t="n">
        <v>0</v>
      </c>
      <c r="K4438" s="56" t="n">
        <v>1021.5</v>
      </c>
      <c r="L4438" s="56" t="n">
        <v>0</v>
      </c>
      <c r="M4438" s="56" t="n">
        <v>79</v>
      </c>
      <c r="N4438" s="56" t="n">
        <v>3.7</v>
      </c>
      <c r="O4438" s="56" t="n">
        <f aca="false">IF(D4438=1,"",E4437)</f>
        <v>18</v>
      </c>
      <c r="P4438" s="56" t="n">
        <f aca="false">IF(OR(D4438=1,K4437=""),"",K4437)</f>
        <v>1014.1</v>
      </c>
      <c r="Q4438" s="56" t="n">
        <f aca="false">IF(OR(F4438&lt;&gt;0,AND(I4438&lt;&gt;"",E4438&lt;I4438)),1,0)</f>
        <v>0</v>
      </c>
      <c r="R4438" s="56" t="n">
        <f aca="false">IF(AND(D4438&gt;1,Q4438=0,ISNUMBER(O4438),ISNUMBER(P4438)),IF(Q4437=0,1,0),0)</f>
        <v>1</v>
      </c>
      <c r="S4438" s="56" t="n">
        <f aca="false">R4438*(B4438&gt;=Train_Start)*(B4438&lt;=Train_End)</f>
        <v>0</v>
      </c>
      <c r="T4438" s="84" t="n">
        <f aca="false">IF(AND(ISNUMBER(O4438),ISNUMBER(P4438)),Coef_A+Coef_B1*O4438+Coef_B2*P4438,"")</f>
        <v>18.6472910450922</v>
      </c>
      <c r="U4438" s="84" t="n">
        <f aca="false">IF(AND(R4438=1,ISNUMBER(T4438)),E4438-T4438,"")</f>
        <v>-0.347291045092177</v>
      </c>
      <c r="V4438" s="84" t="n">
        <f aca="false">IF(ISNUMBER(T4438),T4438,-99)</f>
        <v>18.6472910450922</v>
      </c>
      <c r="W4438" s="84" t="n">
        <f aca="false">IF(ISNUMBER(U4438),ABS(U4438),"")</f>
        <v>0.347291045092177</v>
      </c>
    </row>
    <row r="4439" customFormat="false" ht="15" hidden="false" customHeight="false" outlineLevel="0" collapsed="false">
      <c r="A4439" s="57" t="n">
        <v>39569</v>
      </c>
      <c r="B4439" s="56" t="n">
        <v>2008</v>
      </c>
      <c r="C4439" s="56" t="n">
        <v>5</v>
      </c>
      <c r="D4439" s="56" t="n">
        <v>1</v>
      </c>
      <c r="E4439" s="56" t="n">
        <v>15.2</v>
      </c>
      <c r="F4439" s="56" t="n">
        <v>0</v>
      </c>
      <c r="G4439" s="56" t="n">
        <v>6.9</v>
      </c>
      <c r="H4439" s="56" t="n">
        <v>0</v>
      </c>
      <c r="I4439" s="56" t="n">
        <v>11</v>
      </c>
      <c r="J4439" s="56" t="n">
        <v>0</v>
      </c>
      <c r="K4439" s="56" t="n">
        <v>1006.5</v>
      </c>
      <c r="L4439" s="56" t="n">
        <v>0</v>
      </c>
      <c r="M4439" s="56" t="n">
        <v>79</v>
      </c>
      <c r="N4439" s="56" t="n">
        <v>4.6</v>
      </c>
      <c r="O4439" s="56" t="str">
        <f aca="false">IF(D4439=1,"",E4438)</f>
        <v/>
      </c>
      <c r="P4439" s="56" t="str">
        <f aca="false">IF(OR(D4439=1,K4438=""),"",K4438)</f>
        <v/>
      </c>
      <c r="Q4439" s="56" t="n">
        <f aca="false">IF(OR(F4439&lt;&gt;0,AND(I4439&lt;&gt;"",E4439&lt;I4439)),1,0)</f>
        <v>0</v>
      </c>
      <c r="R4439" s="56" t="n">
        <f aca="false">IF(AND(D4439&gt;1,Q4439=0,ISNUMBER(O4439),ISNUMBER(P4439)),IF(Q4438=0,1,0),0)</f>
        <v>0</v>
      </c>
      <c r="S4439" s="56" t="n">
        <f aca="false">R4439*(B4439&gt;=Train_Start)*(B4439&lt;=Train_End)</f>
        <v>0</v>
      </c>
      <c r="T4439" s="84" t="str">
        <f aca="false">IF(AND(ISNUMBER(O4439),ISNUMBER(P4439)),Coef_A+Coef_B1*O4439+Coef_B2*P4439,"")</f>
        <v/>
      </c>
      <c r="U4439" s="84" t="str">
        <f aca="false">IF(AND(R4439=1,ISNUMBER(T4439)),E4439-T4439,"")</f>
        <v/>
      </c>
      <c r="V4439" s="84" t="n">
        <f aca="false">IF(ISNUMBER(T4439),T4439,-99)</f>
        <v>-99</v>
      </c>
      <c r="W4439" s="84" t="str">
        <f aca="false">IF(ISNUMBER(U4439),ABS(U4439),"")</f>
        <v/>
      </c>
    </row>
    <row r="4440" customFormat="false" ht="15" hidden="false" customHeight="false" outlineLevel="0" collapsed="false">
      <c r="A4440" s="57" t="n">
        <v>39570</v>
      </c>
      <c r="B4440" s="56" t="n">
        <v>2008</v>
      </c>
      <c r="C4440" s="56" t="n">
        <v>5</v>
      </c>
      <c r="D4440" s="56" t="n">
        <v>2</v>
      </c>
      <c r="E4440" s="56" t="n">
        <v>15.8</v>
      </c>
      <c r="F4440" s="56" t="n">
        <v>0</v>
      </c>
      <c r="G4440" s="56" t="n">
        <v>4.7</v>
      </c>
      <c r="H4440" s="56" t="n">
        <v>0</v>
      </c>
      <c r="I4440" s="56" t="n">
        <v>10.2</v>
      </c>
      <c r="J4440" s="56" t="n">
        <v>0</v>
      </c>
      <c r="K4440" s="56" t="n">
        <v>1020</v>
      </c>
      <c r="L4440" s="56" t="n">
        <v>0</v>
      </c>
      <c r="M4440" s="56" t="n">
        <v>81</v>
      </c>
      <c r="N4440" s="56" t="n">
        <v>4.3</v>
      </c>
      <c r="O4440" s="56" t="n">
        <f aca="false">IF(D4440=1,"",E4439)</f>
        <v>15.2</v>
      </c>
      <c r="P4440" s="56" t="n">
        <f aca="false">IF(OR(D4440=1,K4439=""),"",K4439)</f>
        <v>1006.5</v>
      </c>
      <c r="Q4440" s="56" t="n">
        <f aca="false">IF(OR(F4440&lt;&gt;0,AND(I4440&lt;&gt;"",E4440&lt;I4440)),1,0)</f>
        <v>0</v>
      </c>
      <c r="R4440" s="56" t="n">
        <f aca="false">IF(AND(D4440&gt;1,Q4440=0,ISNUMBER(O4440),ISNUMBER(P4440)),IF(Q4439=0,1,0),0)</f>
        <v>1</v>
      </c>
      <c r="S4440" s="56" t="n">
        <f aca="false">R4440*(B4440&gt;=Train_Start)*(B4440&lt;=Train_End)</f>
        <v>0</v>
      </c>
      <c r="T4440" s="84" t="n">
        <f aca="false">IF(AND(ISNUMBER(O4440),ISNUMBER(P4440)),Coef_A+Coef_B1*O4440+Coef_B2*P4440,"")</f>
        <v>16.1147301053544</v>
      </c>
      <c r="U4440" s="84" t="n">
        <f aca="false">IF(AND(R4440=1,ISNUMBER(T4440)),E4440-T4440,"")</f>
        <v>-0.314730105354418</v>
      </c>
      <c r="V4440" s="84" t="n">
        <f aca="false">IF(ISNUMBER(T4440),T4440,-99)</f>
        <v>16.1147301053544</v>
      </c>
      <c r="W4440" s="84" t="n">
        <f aca="false">IF(ISNUMBER(U4440),ABS(U4440),"")</f>
        <v>0.314730105354418</v>
      </c>
    </row>
    <row r="4441" customFormat="false" ht="15" hidden="false" customHeight="false" outlineLevel="0" collapsed="false">
      <c r="A4441" s="57" t="n">
        <v>39571</v>
      </c>
      <c r="B4441" s="56" t="n">
        <v>2008</v>
      </c>
      <c r="C4441" s="56" t="n">
        <v>5</v>
      </c>
      <c r="D4441" s="56" t="n">
        <v>3</v>
      </c>
      <c r="E4441" s="56" t="n">
        <v>20.3</v>
      </c>
      <c r="F4441" s="56" t="n">
        <v>0</v>
      </c>
      <c r="G4441" s="56" t="n">
        <v>5.5</v>
      </c>
      <c r="H4441" s="56" t="n">
        <v>0</v>
      </c>
      <c r="I4441" s="56" t="n">
        <v>12.9</v>
      </c>
      <c r="J4441" s="56" t="n">
        <v>0</v>
      </c>
      <c r="K4441" s="56" t="n">
        <v>1022.9</v>
      </c>
      <c r="L4441" s="56" t="n">
        <v>0</v>
      </c>
      <c r="M4441" s="56" t="n">
        <v>68</v>
      </c>
      <c r="N4441" s="56" t="n">
        <v>5.1</v>
      </c>
      <c r="O4441" s="56" t="n">
        <f aca="false">IF(D4441=1,"",E4440)</f>
        <v>15.8</v>
      </c>
      <c r="P4441" s="56" t="n">
        <f aca="false">IF(OR(D4441=1,K4440=""),"",K4440)</f>
        <v>1020</v>
      </c>
      <c r="Q4441" s="56" t="n">
        <f aca="false">IF(OR(F4441&lt;&gt;0,AND(I4441&lt;&gt;"",E4441&lt;I4441)),1,0)</f>
        <v>0</v>
      </c>
      <c r="R4441" s="56" t="n">
        <f aca="false">IF(AND(D4441&gt;1,Q4441=0,ISNUMBER(O4441),ISNUMBER(P4441)),IF(Q4440=0,1,0),0)</f>
        <v>1</v>
      </c>
      <c r="S4441" s="56" t="n">
        <f aca="false">R4441*(B4441&gt;=Train_Start)*(B4441&lt;=Train_End)</f>
        <v>0</v>
      </c>
      <c r="T4441" s="84" t="n">
        <f aca="false">IF(AND(ISNUMBER(O4441),ISNUMBER(P4441)),Coef_A+Coef_B1*O4441+Coef_B2*P4441,"")</f>
        <v>17.0298271987389</v>
      </c>
      <c r="U4441" s="84" t="n">
        <f aca="false">IF(AND(R4441=1,ISNUMBER(T4441)),E4441-T4441,"")</f>
        <v>3.27017280126114</v>
      </c>
      <c r="V4441" s="84" t="n">
        <f aca="false">IF(ISNUMBER(T4441),T4441,-99)</f>
        <v>17.0298271987389</v>
      </c>
      <c r="W4441" s="84" t="n">
        <f aca="false">IF(ISNUMBER(U4441),ABS(U4441),"")</f>
        <v>3.27017280126114</v>
      </c>
    </row>
    <row r="4442" customFormat="false" ht="15" hidden="false" customHeight="false" outlineLevel="0" collapsed="false">
      <c r="A4442" s="57" t="n">
        <v>39572</v>
      </c>
      <c r="B4442" s="56" t="n">
        <v>2008</v>
      </c>
      <c r="C4442" s="56" t="n">
        <v>5</v>
      </c>
      <c r="D4442" s="56" t="n">
        <v>4</v>
      </c>
      <c r="E4442" s="56" t="n">
        <v>22</v>
      </c>
      <c r="F4442" s="56" t="n">
        <v>0</v>
      </c>
      <c r="G4442" s="56" t="n">
        <v>12.8</v>
      </c>
      <c r="H4442" s="56" t="n">
        <v>0</v>
      </c>
      <c r="I4442" s="56" t="n">
        <v>17.4</v>
      </c>
      <c r="J4442" s="56" t="n">
        <v>0</v>
      </c>
      <c r="K4442" s="56" t="n">
        <v>1021.5</v>
      </c>
      <c r="L4442" s="56" t="n">
        <v>0</v>
      </c>
      <c r="M4442" s="56"/>
      <c r="N4442" s="56" t="n">
        <v>0</v>
      </c>
      <c r="O4442" s="56" t="n">
        <f aca="false">IF(D4442=1,"",E4441)</f>
        <v>20.3</v>
      </c>
      <c r="P4442" s="56" t="n">
        <f aca="false">IF(OR(D4442=1,K4441=""),"",K4441)</f>
        <v>1022.9</v>
      </c>
      <c r="Q4442" s="56" t="n">
        <f aca="false">IF(OR(F4442&lt;&gt;0,AND(I4442&lt;&gt;"",E4442&lt;I4442)),1,0)</f>
        <v>0</v>
      </c>
      <c r="R4442" s="56" t="n">
        <f aca="false">IF(AND(D4442&gt;1,Q4442=0,ISNUMBER(O4442),ISNUMBER(P4442)),IF(Q4441=0,1,0),0)</f>
        <v>1</v>
      </c>
      <c r="S4442" s="56" t="n">
        <f aca="false">R4442*(B4442&gt;=Train_Start)*(B4442&lt;=Train_End)</f>
        <v>0</v>
      </c>
      <c r="T4442" s="84" t="n">
        <f aca="false">IF(AND(ISNUMBER(O4442),ISNUMBER(P4442)),Coef_A+Coef_B1*O4442+Coef_B2*P4442,"")</f>
        <v>20.8078262618694</v>
      </c>
      <c r="U4442" s="84" t="n">
        <f aca="false">IF(AND(R4442=1,ISNUMBER(T4442)),E4442-T4442,"")</f>
        <v>1.19217373813061</v>
      </c>
      <c r="V4442" s="84" t="n">
        <f aca="false">IF(ISNUMBER(T4442),T4442,-99)</f>
        <v>20.8078262618694</v>
      </c>
      <c r="W4442" s="84" t="n">
        <f aca="false">IF(ISNUMBER(U4442),ABS(U4442),"")</f>
        <v>1.19217373813061</v>
      </c>
    </row>
    <row r="4443" customFormat="false" ht="15" hidden="false" customHeight="false" outlineLevel="0" collapsed="false">
      <c r="A4443" s="57" t="n">
        <v>39573</v>
      </c>
      <c r="B4443" s="56" t="n">
        <v>2008</v>
      </c>
      <c r="C4443" s="56" t="n">
        <v>5</v>
      </c>
      <c r="D4443" s="56" t="n">
        <v>5</v>
      </c>
      <c r="E4443" s="56" t="n">
        <v>21.8</v>
      </c>
      <c r="F4443" s="56" t="n">
        <v>0</v>
      </c>
      <c r="G4443" s="56" t="n">
        <v>14.2</v>
      </c>
      <c r="H4443" s="56" t="n">
        <v>0</v>
      </c>
      <c r="I4443" s="56" t="n">
        <v>18</v>
      </c>
      <c r="J4443" s="56" t="n">
        <v>0</v>
      </c>
      <c r="K4443" s="56" t="n">
        <v>1024.6</v>
      </c>
      <c r="L4443" s="56" t="n">
        <v>0</v>
      </c>
      <c r="M4443" s="56"/>
      <c r="N4443" s="56" t="n">
        <v>6.2</v>
      </c>
      <c r="O4443" s="56" t="n">
        <f aca="false">IF(D4443=1,"",E4442)</f>
        <v>22</v>
      </c>
      <c r="P4443" s="56" t="n">
        <f aca="false">IF(OR(D4443=1,K4442=""),"",K4442)</f>
        <v>1021.5</v>
      </c>
      <c r="Q4443" s="56" t="n">
        <f aca="false">IF(OR(F4443&lt;&gt;0,AND(I4443&lt;&gt;"",E4443&lt;I4443)),1,0)</f>
        <v>0</v>
      </c>
      <c r="R4443" s="56" t="n">
        <f aca="false">IF(AND(D4443&gt;1,Q4443=0,ISNUMBER(O4443),ISNUMBER(P4443)),IF(Q4442=0,1,0),0)</f>
        <v>1</v>
      </c>
      <c r="S4443" s="56" t="n">
        <f aca="false">R4443*(B4443&gt;=Train_Start)*(B4443&lt;=Train_End)</f>
        <v>0</v>
      </c>
      <c r="T4443" s="84" t="n">
        <f aca="false">IF(AND(ISNUMBER(O4443),ISNUMBER(P4443)),Coef_A+Coef_B1*O4443+Coef_B2*P4443,"")</f>
        <v>22.1567850375543</v>
      </c>
      <c r="U4443" s="84" t="n">
        <f aca="false">IF(AND(R4443=1,ISNUMBER(T4443)),E4443-T4443,"")</f>
        <v>-0.356785037554332</v>
      </c>
      <c r="V4443" s="84" t="n">
        <f aca="false">IF(ISNUMBER(T4443),T4443,-99)</f>
        <v>22.1567850375543</v>
      </c>
      <c r="W4443" s="84" t="n">
        <f aca="false">IF(ISNUMBER(U4443),ABS(U4443),"")</f>
        <v>0.356785037554332</v>
      </c>
    </row>
    <row r="4444" customFormat="false" ht="15" hidden="false" customHeight="false" outlineLevel="0" collapsed="false">
      <c r="A4444" s="57" t="n">
        <v>39574</v>
      </c>
      <c r="B4444" s="56" t="n">
        <v>2008</v>
      </c>
      <c r="C4444" s="56" t="n">
        <v>5</v>
      </c>
      <c r="D4444" s="56" t="n">
        <v>6</v>
      </c>
      <c r="E4444" s="56" t="n">
        <v>22.2</v>
      </c>
      <c r="F4444" s="56" t="n">
        <v>0</v>
      </c>
      <c r="G4444" s="56" t="n">
        <v>10.3</v>
      </c>
      <c r="H4444" s="56" t="n">
        <v>0</v>
      </c>
      <c r="I4444" s="56" t="n">
        <v>16.2</v>
      </c>
      <c r="J4444" s="56" t="n">
        <v>0</v>
      </c>
      <c r="K4444" s="56" t="n">
        <v>1023.3</v>
      </c>
      <c r="L4444" s="56" t="n">
        <v>0</v>
      </c>
      <c r="M4444" s="56" t="n">
        <v>62</v>
      </c>
      <c r="N4444" s="56" t="n">
        <v>12.8</v>
      </c>
      <c r="O4444" s="56" t="n">
        <f aca="false">IF(D4444=1,"",E4443)</f>
        <v>21.8</v>
      </c>
      <c r="P4444" s="56" t="n">
        <f aca="false">IF(OR(D4444=1,K4443=""),"",K4443)</f>
        <v>1024.6</v>
      </c>
      <c r="Q4444" s="56" t="n">
        <f aca="false">IF(OR(F4444&lt;&gt;0,AND(I4444&lt;&gt;"",E4444&lt;I4444)),1,0)</f>
        <v>0</v>
      </c>
      <c r="R4444" s="56" t="n">
        <f aca="false">IF(AND(D4444&gt;1,Q4444=0,ISNUMBER(O4444),ISNUMBER(P4444)),IF(Q4443=0,1,0),0)</f>
        <v>1</v>
      </c>
      <c r="S4444" s="56" t="n">
        <f aca="false">R4444*(B4444&gt;=Train_Start)*(B4444&lt;=Train_End)</f>
        <v>0</v>
      </c>
      <c r="T4444" s="84" t="n">
        <f aca="false">IF(AND(ISNUMBER(O4444),ISNUMBER(P4444)),Coef_A+Coef_B1*O4444+Coef_B2*P4444,"")</f>
        <v>22.0901638723112</v>
      </c>
      <c r="U4444" s="84" t="n">
        <f aca="false">IF(AND(R4444=1,ISNUMBER(T4444)),E4444-T4444,"")</f>
        <v>0.109836127688837</v>
      </c>
      <c r="V4444" s="84" t="n">
        <f aca="false">IF(ISNUMBER(T4444),T4444,-99)</f>
        <v>22.0901638723112</v>
      </c>
      <c r="W4444" s="84" t="n">
        <f aca="false">IF(ISNUMBER(U4444),ABS(U4444),"")</f>
        <v>0.109836127688837</v>
      </c>
    </row>
    <row r="4445" customFormat="false" ht="15" hidden="false" customHeight="false" outlineLevel="0" collapsed="false">
      <c r="A4445" s="57" t="n">
        <v>39575</v>
      </c>
      <c r="B4445" s="56" t="n">
        <v>2008</v>
      </c>
      <c r="C4445" s="56" t="n">
        <v>5</v>
      </c>
      <c r="D4445" s="56" t="n">
        <v>7</v>
      </c>
      <c r="E4445" s="56" t="n">
        <v>24.7</v>
      </c>
      <c r="F4445" s="56" t="n">
        <v>0</v>
      </c>
      <c r="G4445" s="56" t="n">
        <v>12.2</v>
      </c>
      <c r="H4445" s="56" t="n">
        <v>0</v>
      </c>
      <c r="I4445" s="56" t="n">
        <v>18.4</v>
      </c>
      <c r="J4445" s="56" t="n">
        <v>0</v>
      </c>
      <c r="K4445" s="56" t="n">
        <v>1019.2</v>
      </c>
      <c r="L4445" s="56" t="n">
        <v>0</v>
      </c>
      <c r="M4445" s="56" t="n">
        <v>62</v>
      </c>
      <c r="N4445" s="56" t="n">
        <v>12.8</v>
      </c>
      <c r="O4445" s="56" t="n">
        <f aca="false">IF(D4445=1,"",E4444)</f>
        <v>22.2</v>
      </c>
      <c r="P4445" s="56" t="n">
        <f aca="false">IF(OR(D4445=1,K4444=""),"",K4444)</f>
        <v>1023.3</v>
      </c>
      <c r="Q4445" s="56" t="n">
        <f aca="false">IF(OR(F4445&lt;&gt;0,AND(I4445&lt;&gt;"",E4445&lt;I4445)),1,0)</f>
        <v>0</v>
      </c>
      <c r="R4445" s="56" t="n">
        <f aca="false">IF(AND(D4445&gt;1,Q4445=0,ISNUMBER(O4445),ISNUMBER(P4445)),IF(Q4444=0,1,0),0)</f>
        <v>1</v>
      </c>
      <c r="S4445" s="56" t="n">
        <f aca="false">R4445*(B4445&gt;=Train_Start)*(B4445&lt;=Train_End)</f>
        <v>0</v>
      </c>
      <c r="T4445" s="84" t="n">
        <f aca="false">IF(AND(ISNUMBER(O4445),ISNUMBER(P4445)),Coef_A+Coef_B1*O4445+Coef_B2*P4445,"")</f>
        <v>22.377118686504</v>
      </c>
      <c r="U4445" s="84" t="n">
        <f aca="false">IF(AND(R4445=1,ISNUMBER(T4445)),E4445-T4445,"")</f>
        <v>2.32288131349596</v>
      </c>
      <c r="V4445" s="84" t="n">
        <f aca="false">IF(ISNUMBER(T4445),T4445,-99)</f>
        <v>22.377118686504</v>
      </c>
      <c r="W4445" s="84" t="n">
        <f aca="false">IF(ISNUMBER(U4445),ABS(U4445),"")</f>
        <v>2.32288131349596</v>
      </c>
    </row>
    <row r="4446" customFormat="false" ht="15" hidden="false" customHeight="false" outlineLevel="0" collapsed="false">
      <c r="A4446" s="57" t="n">
        <v>39576</v>
      </c>
      <c r="B4446" s="56" t="n">
        <v>2008</v>
      </c>
      <c r="C4446" s="56" t="n">
        <v>5</v>
      </c>
      <c r="D4446" s="56" t="n">
        <v>8</v>
      </c>
      <c r="E4446" s="56" t="n">
        <v>25</v>
      </c>
      <c r="F4446" s="56" t="n">
        <v>0</v>
      </c>
      <c r="G4446" s="56" t="n">
        <v>12.7</v>
      </c>
      <c r="H4446" s="56" t="n">
        <v>0</v>
      </c>
      <c r="I4446" s="56" t="n">
        <v>18.8</v>
      </c>
      <c r="J4446" s="56" t="n">
        <v>0</v>
      </c>
      <c r="K4446" s="56" t="n">
        <v>1014</v>
      </c>
      <c r="L4446" s="56" t="n">
        <v>0</v>
      </c>
      <c r="M4446" s="56" t="n">
        <v>56</v>
      </c>
      <c r="N4446" s="56" t="n">
        <v>12.6</v>
      </c>
      <c r="O4446" s="56" t="n">
        <f aca="false">IF(D4446=1,"",E4445)</f>
        <v>24.7</v>
      </c>
      <c r="P4446" s="56" t="n">
        <f aca="false">IF(OR(D4446=1,K4445=""),"",K4445)</f>
        <v>1019.2</v>
      </c>
      <c r="Q4446" s="56" t="n">
        <f aca="false">IF(OR(F4446&lt;&gt;0,AND(I4446&lt;&gt;"",E4446&lt;I4446)),1,0)</f>
        <v>0</v>
      </c>
      <c r="R4446" s="56" t="n">
        <f aca="false">IF(AND(D4446&gt;1,Q4446=0,ISNUMBER(O4446),ISNUMBER(P4446)),IF(Q4445=0,1,0),0)</f>
        <v>1</v>
      </c>
      <c r="S4446" s="56" t="n">
        <f aca="false">R4446*(B4446&gt;=Train_Start)*(B4446&lt;=Train_End)</f>
        <v>0</v>
      </c>
      <c r="T4446" s="84" t="n">
        <f aca="false">IF(AND(ISNUMBER(O4446),ISNUMBER(P4446)),Coef_A+Coef_B1*O4446+Coef_B2*P4446,"")</f>
        <v>24.2968501011113</v>
      </c>
      <c r="U4446" s="84" t="n">
        <f aca="false">IF(AND(R4446=1,ISNUMBER(T4446)),E4446-T4446,"")</f>
        <v>0.703149898888672</v>
      </c>
      <c r="V4446" s="84" t="n">
        <f aca="false">IF(ISNUMBER(T4446),T4446,-99)</f>
        <v>24.2968501011113</v>
      </c>
      <c r="W4446" s="84" t="n">
        <f aca="false">IF(ISNUMBER(U4446),ABS(U4446),"")</f>
        <v>0.703149898888672</v>
      </c>
    </row>
    <row r="4447" customFormat="false" ht="15" hidden="false" customHeight="false" outlineLevel="0" collapsed="false">
      <c r="A4447" s="57" t="n">
        <v>39577</v>
      </c>
      <c r="B4447" s="56" t="n">
        <v>2008</v>
      </c>
      <c r="C4447" s="56" t="n">
        <v>5</v>
      </c>
      <c r="D4447" s="56" t="n">
        <v>9</v>
      </c>
      <c r="E4447" s="56" t="n">
        <v>25.1</v>
      </c>
      <c r="F4447" s="56" t="n">
        <v>0</v>
      </c>
      <c r="G4447" s="56" t="n">
        <v>13.2</v>
      </c>
      <c r="H4447" s="56" t="n">
        <v>0</v>
      </c>
      <c r="I4447" s="56" t="n">
        <v>19.2</v>
      </c>
      <c r="J4447" s="56" t="n">
        <v>0</v>
      </c>
      <c r="K4447" s="56" t="n">
        <v>1012.2</v>
      </c>
      <c r="L4447" s="56" t="n">
        <v>0</v>
      </c>
      <c r="M4447" s="56" t="n">
        <v>67</v>
      </c>
      <c r="N4447" s="56" t="n">
        <v>3.5</v>
      </c>
      <c r="O4447" s="56" t="n">
        <f aca="false">IF(D4447=1,"",E4446)</f>
        <v>25</v>
      </c>
      <c r="P4447" s="56" t="n">
        <f aca="false">IF(OR(D4447=1,K4446=""),"",K4446)</f>
        <v>1014</v>
      </c>
      <c r="Q4447" s="56" t="n">
        <f aca="false">IF(OR(F4447&lt;&gt;0,AND(I4447&lt;&gt;"",E4447&lt;I4447)),1,0)</f>
        <v>0</v>
      </c>
      <c r="R4447" s="56" t="n">
        <f aca="false">IF(AND(D4447&gt;1,Q4447=0,ISNUMBER(O4447),ISNUMBER(P4447)),IF(Q4446=0,1,0),0)</f>
        <v>1</v>
      </c>
      <c r="S4447" s="56" t="n">
        <f aca="false">R4447*(B4447&gt;=Train_Start)*(B4447&lt;=Train_End)</f>
        <v>0</v>
      </c>
      <c r="T4447" s="84" t="n">
        <f aca="false">IF(AND(ISNUMBER(O4447),ISNUMBER(P4447)),Coef_A+Coef_B1*O4447+Coef_B2*P4447,"")</f>
        <v>24.3795284069274</v>
      </c>
      <c r="U4447" s="84" t="n">
        <f aca="false">IF(AND(R4447=1,ISNUMBER(T4447)),E4447-T4447,"")</f>
        <v>0.72047159307262</v>
      </c>
      <c r="V4447" s="84" t="n">
        <f aca="false">IF(ISNUMBER(T4447),T4447,-99)</f>
        <v>24.3795284069274</v>
      </c>
      <c r="W4447" s="84" t="n">
        <f aca="false">IF(ISNUMBER(U4447),ABS(U4447),"")</f>
        <v>0.72047159307262</v>
      </c>
    </row>
    <row r="4448" customFormat="false" ht="15" hidden="false" customHeight="false" outlineLevel="0" collapsed="false">
      <c r="A4448" s="57" t="n">
        <v>39578</v>
      </c>
      <c r="B4448" s="56" t="n">
        <v>2008</v>
      </c>
      <c r="C4448" s="56" t="n">
        <v>5</v>
      </c>
      <c r="D4448" s="56" t="n">
        <v>10</v>
      </c>
      <c r="E4448" s="56" t="n">
        <v>26.2</v>
      </c>
      <c r="F4448" s="56" t="n">
        <v>0</v>
      </c>
      <c r="G4448" s="56" t="n">
        <v>13.3</v>
      </c>
      <c r="H4448" s="56" t="n">
        <v>0</v>
      </c>
      <c r="I4448" s="56" t="n">
        <v>19.8</v>
      </c>
      <c r="J4448" s="56" t="n">
        <v>0</v>
      </c>
      <c r="K4448" s="56" t="n">
        <v>1016.7</v>
      </c>
      <c r="L4448" s="56" t="n">
        <v>0</v>
      </c>
      <c r="M4448" s="56" t="n">
        <v>63</v>
      </c>
      <c r="N4448" s="56" t="n">
        <v>3.5</v>
      </c>
      <c r="O4448" s="56" t="n">
        <f aca="false">IF(D4448=1,"",E4447)</f>
        <v>25.1</v>
      </c>
      <c r="P4448" s="56" t="n">
        <f aca="false">IF(OR(D4448=1,K4447=""),"",K4447)</f>
        <v>1012.2</v>
      </c>
      <c r="Q4448" s="56" t="n">
        <f aca="false">IF(OR(F4448&lt;&gt;0,AND(I4448&lt;&gt;"",E4448&lt;I4448)),1,0)</f>
        <v>0</v>
      </c>
      <c r="R4448" s="56" t="n">
        <f aca="false">IF(AND(D4448&gt;1,Q4448=0,ISNUMBER(O4448),ISNUMBER(P4448)),IF(Q4447=0,1,0),0)</f>
        <v>1</v>
      </c>
      <c r="S4448" s="56" t="n">
        <f aca="false">R4448*(B4448&gt;=Train_Start)*(B4448&lt;=Train_End)</f>
        <v>0</v>
      </c>
      <c r="T4448" s="84" t="n">
        <f aca="false">IF(AND(ISNUMBER(O4448),ISNUMBER(P4448)),Coef_A+Coef_B1*O4448+Coef_B2*P4448,"")</f>
        <v>24.4049965158905</v>
      </c>
      <c r="U4448" s="84" t="n">
        <f aca="false">IF(AND(R4448=1,ISNUMBER(T4448)),E4448-T4448,"")</f>
        <v>1.79500348410953</v>
      </c>
      <c r="V4448" s="84" t="n">
        <f aca="false">IF(ISNUMBER(T4448),T4448,-99)</f>
        <v>24.4049965158905</v>
      </c>
      <c r="W4448" s="84" t="n">
        <f aca="false">IF(ISNUMBER(U4448),ABS(U4448),"")</f>
        <v>1.79500348410953</v>
      </c>
    </row>
    <row r="4449" customFormat="false" ht="15" hidden="false" customHeight="false" outlineLevel="0" collapsed="false">
      <c r="A4449" s="57" t="n">
        <v>39579</v>
      </c>
      <c r="B4449" s="56" t="n">
        <v>2008</v>
      </c>
      <c r="C4449" s="56" t="n">
        <v>5</v>
      </c>
      <c r="D4449" s="56" t="n">
        <v>11</v>
      </c>
      <c r="E4449" s="56" t="n">
        <v>26.7</v>
      </c>
      <c r="F4449" s="56" t="n">
        <v>0</v>
      </c>
      <c r="G4449" s="56" t="n">
        <v>13</v>
      </c>
      <c r="H4449" s="56" t="n">
        <v>0</v>
      </c>
      <c r="I4449" s="56" t="n">
        <v>19.8</v>
      </c>
      <c r="J4449" s="56" t="n">
        <v>0</v>
      </c>
      <c r="K4449" s="56" t="n">
        <v>1018.6</v>
      </c>
      <c r="L4449" s="56" t="n">
        <v>0</v>
      </c>
      <c r="M4449" s="56" t="n">
        <v>50</v>
      </c>
      <c r="N4449" s="56" t="n">
        <v>12.8</v>
      </c>
      <c r="O4449" s="56" t="n">
        <f aca="false">IF(D4449=1,"",E4448)</f>
        <v>26.2</v>
      </c>
      <c r="P4449" s="56" t="n">
        <f aca="false">IF(OR(D4449=1,K4448=""),"",K4448)</f>
        <v>1016.7</v>
      </c>
      <c r="Q4449" s="56" t="n">
        <f aca="false">IF(OR(F4449&lt;&gt;0,AND(I4449&lt;&gt;"",E4449&lt;I4449)),1,0)</f>
        <v>0</v>
      </c>
      <c r="R4449" s="56" t="n">
        <f aca="false">IF(AND(D4449&gt;1,Q4449=0,ISNUMBER(O4449),ISNUMBER(P4449)),IF(Q4448=0,1,0),0)</f>
        <v>1</v>
      </c>
      <c r="S4449" s="56" t="n">
        <f aca="false">R4449*(B4449&gt;=Train_Start)*(B4449&lt;=Train_End)</f>
        <v>0</v>
      </c>
      <c r="T4449" s="84" t="n">
        <f aca="false">IF(AND(ISNUMBER(O4449),ISNUMBER(P4449)),Coef_A+Coef_B1*O4449+Coef_B2*P4449,"")</f>
        <v>25.4474341540903</v>
      </c>
      <c r="U4449" s="84" t="n">
        <f aca="false">IF(AND(R4449=1,ISNUMBER(T4449)),E4449-T4449,"")</f>
        <v>1.25256584590966</v>
      </c>
      <c r="V4449" s="84" t="n">
        <f aca="false">IF(ISNUMBER(T4449),T4449,-99)</f>
        <v>25.4474341540903</v>
      </c>
      <c r="W4449" s="84" t="n">
        <f aca="false">IF(ISNUMBER(U4449),ABS(U4449),"")</f>
        <v>1.25256584590966</v>
      </c>
    </row>
    <row r="4450" customFormat="false" ht="15" hidden="false" customHeight="false" outlineLevel="0" collapsed="false">
      <c r="A4450" s="57" t="n">
        <v>39580</v>
      </c>
      <c r="B4450" s="56" t="n">
        <v>2008</v>
      </c>
      <c r="C4450" s="56" t="n">
        <v>5</v>
      </c>
      <c r="D4450" s="56" t="n">
        <v>12</v>
      </c>
      <c r="E4450" s="56" t="n">
        <v>25.2</v>
      </c>
      <c r="F4450" s="56" t="n">
        <v>0</v>
      </c>
      <c r="G4450" s="56" t="n">
        <v>12.3</v>
      </c>
      <c r="H4450" s="56" t="n">
        <v>0</v>
      </c>
      <c r="I4450" s="56" t="n">
        <v>18.8</v>
      </c>
      <c r="J4450" s="56" t="n">
        <v>0</v>
      </c>
      <c r="K4450" s="56" t="n">
        <v>1018.5</v>
      </c>
      <c r="L4450" s="56" t="n">
        <v>0</v>
      </c>
      <c r="M4450" s="56" t="n">
        <v>53</v>
      </c>
      <c r="N4450" s="56" t="n">
        <v>12.2</v>
      </c>
      <c r="O4450" s="56" t="n">
        <f aca="false">IF(D4450=1,"",E4449)</f>
        <v>26.7</v>
      </c>
      <c r="P4450" s="56" t="n">
        <f aca="false">IF(OR(D4450=1,K4449=""),"",K4449)</f>
        <v>1018.6</v>
      </c>
      <c r="Q4450" s="56" t="n">
        <f aca="false">IF(OR(F4450&lt;&gt;0,AND(I4450&lt;&gt;"",E4450&lt;I4450)),1,0)</f>
        <v>0</v>
      </c>
      <c r="R4450" s="56" t="n">
        <f aca="false">IF(AND(D4450&gt;1,Q4450=0,ISNUMBER(O4450),ISNUMBER(P4450)),IF(Q4449=0,1,0),0)</f>
        <v>1</v>
      </c>
      <c r="S4450" s="56" t="n">
        <f aca="false">R4450*(B4450&gt;=Train_Start)*(B4450&lt;=Train_End)</f>
        <v>0</v>
      </c>
      <c r="T4450" s="84" t="n">
        <f aca="false">IF(AND(ISNUMBER(O4450),ISNUMBER(P4450)),Coef_A+Coef_B1*O4450+Coef_B2*P4450,"")</f>
        <v>25.9167065504163</v>
      </c>
      <c r="U4450" s="84" t="n">
        <f aca="false">IF(AND(R4450=1,ISNUMBER(T4450)),E4450-T4450,"")</f>
        <v>-0.716706550416252</v>
      </c>
      <c r="V4450" s="84" t="n">
        <f aca="false">IF(ISNUMBER(T4450),T4450,-99)</f>
        <v>25.9167065504163</v>
      </c>
      <c r="W4450" s="84" t="n">
        <f aca="false">IF(ISNUMBER(U4450),ABS(U4450),"")</f>
        <v>0.716706550416252</v>
      </c>
    </row>
    <row r="4451" customFormat="false" ht="15" hidden="false" customHeight="false" outlineLevel="0" collapsed="false">
      <c r="A4451" s="57" t="n">
        <v>39581</v>
      </c>
      <c r="B4451" s="56" t="n">
        <v>2008</v>
      </c>
      <c r="C4451" s="56" t="n">
        <v>5</v>
      </c>
      <c r="D4451" s="56" t="n">
        <v>13</v>
      </c>
      <c r="E4451" s="56" t="n">
        <v>21.9</v>
      </c>
      <c r="F4451" s="56" t="n">
        <v>0</v>
      </c>
      <c r="G4451" s="56" t="n">
        <v>10.9</v>
      </c>
      <c r="H4451" s="56" t="n">
        <v>0</v>
      </c>
      <c r="I4451" s="56" t="n">
        <v>16.4</v>
      </c>
      <c r="J4451" s="56" t="n">
        <v>0</v>
      </c>
      <c r="K4451" s="56" t="n">
        <v>1018.2</v>
      </c>
      <c r="L4451" s="56" t="n">
        <v>0</v>
      </c>
      <c r="M4451" s="56" t="n">
        <v>67</v>
      </c>
      <c r="N4451" s="56" t="n">
        <v>13.2</v>
      </c>
      <c r="O4451" s="56" t="n">
        <f aca="false">IF(D4451=1,"",E4450)</f>
        <v>25.2</v>
      </c>
      <c r="P4451" s="56" t="n">
        <f aca="false">IF(OR(D4451=1,K4450=""),"",K4450)</f>
        <v>1018.5</v>
      </c>
      <c r="Q4451" s="56" t="n">
        <f aca="false">IF(OR(F4451&lt;&gt;0,AND(I4451&lt;&gt;"",E4451&lt;I4451)),1,0)</f>
        <v>0</v>
      </c>
      <c r="R4451" s="56" t="n">
        <f aca="false">IF(AND(D4451&gt;1,Q4451=0,ISNUMBER(O4451),ISNUMBER(P4451)),IF(Q4450=0,1,0),0)</f>
        <v>1</v>
      </c>
      <c r="S4451" s="56" t="n">
        <f aca="false">R4451*(B4451&gt;=Train_Start)*(B4451&lt;=Train_End)</f>
        <v>0</v>
      </c>
      <c r="T4451" s="84" t="n">
        <f aca="false">IF(AND(ISNUMBER(O4451),ISNUMBER(P4451)),Coef_A+Coef_B1*O4451+Coef_B2*P4451,"")</f>
        <v>24.6845607713889</v>
      </c>
      <c r="U4451" s="84" t="n">
        <f aca="false">IF(AND(R4451=1,ISNUMBER(T4451)),E4451-T4451,"")</f>
        <v>-2.78456077138887</v>
      </c>
      <c r="V4451" s="84" t="n">
        <f aca="false">IF(ISNUMBER(T4451),T4451,-99)</f>
        <v>24.6845607713889</v>
      </c>
      <c r="W4451" s="84" t="n">
        <f aca="false">IF(ISNUMBER(U4451),ABS(U4451),"")</f>
        <v>2.78456077138887</v>
      </c>
    </row>
    <row r="4452" customFormat="false" ht="15" hidden="false" customHeight="false" outlineLevel="0" collapsed="false">
      <c r="A4452" s="57" t="n">
        <v>39582</v>
      </c>
      <c r="B4452" s="56" t="n">
        <v>2008</v>
      </c>
      <c r="C4452" s="56" t="n">
        <v>5</v>
      </c>
      <c r="D4452" s="56" t="n">
        <v>14</v>
      </c>
      <c r="E4452" s="56" t="n">
        <v>20.1</v>
      </c>
      <c r="F4452" s="56" t="n">
        <v>0</v>
      </c>
      <c r="G4452" s="56" t="n">
        <v>10.6</v>
      </c>
      <c r="H4452" s="56" t="n">
        <v>0</v>
      </c>
      <c r="I4452" s="56" t="n">
        <v>15.4</v>
      </c>
      <c r="J4452" s="56" t="n">
        <v>0</v>
      </c>
      <c r="K4452" s="56" t="n">
        <v>1015</v>
      </c>
      <c r="L4452" s="56" t="n">
        <v>0</v>
      </c>
      <c r="M4452" s="56" t="n">
        <v>72</v>
      </c>
      <c r="N4452" s="56" t="n">
        <v>8</v>
      </c>
      <c r="O4452" s="56" t="n">
        <f aca="false">IF(D4452=1,"",E4451)</f>
        <v>21.9</v>
      </c>
      <c r="P4452" s="56" t="n">
        <f aca="false">IF(OR(D4452=1,K4451=""),"",K4451)</f>
        <v>1018.2</v>
      </c>
      <c r="Q4452" s="56" t="n">
        <f aca="false">IF(OR(F4452&lt;&gt;0,AND(I4452&lt;&gt;"",E4452&lt;I4452)),1,0)</f>
        <v>0</v>
      </c>
      <c r="R4452" s="56" t="n">
        <f aca="false">IF(AND(D4452&gt;1,Q4452=0,ISNUMBER(O4452),ISNUMBER(P4452)),IF(Q4451=0,1,0),0)</f>
        <v>1</v>
      </c>
      <c r="S4452" s="56" t="n">
        <f aca="false">R4452*(B4452&gt;=Train_Start)*(B4452&lt;=Train_End)</f>
        <v>0</v>
      </c>
      <c r="T4452" s="84" t="n">
        <f aca="false">IF(AND(ISNUMBER(O4452),ISNUMBER(P4452)),Coef_A+Coef_B1*O4452+Coef_B2*P4452,"")</f>
        <v>21.9713304659579</v>
      </c>
      <c r="U4452" s="84" t="n">
        <f aca="false">IF(AND(R4452=1,ISNUMBER(T4452)),E4452-T4452,"")</f>
        <v>-1.8713304659579</v>
      </c>
      <c r="V4452" s="84" t="n">
        <f aca="false">IF(ISNUMBER(T4452),T4452,-99)</f>
        <v>21.9713304659579</v>
      </c>
      <c r="W4452" s="84" t="n">
        <f aca="false">IF(ISNUMBER(U4452),ABS(U4452),"")</f>
        <v>1.8713304659579</v>
      </c>
    </row>
    <row r="4453" customFormat="false" ht="15" hidden="false" customHeight="false" outlineLevel="0" collapsed="false">
      <c r="A4453" s="57" t="n">
        <v>39583</v>
      </c>
      <c r="B4453" s="56" t="n">
        <v>2008</v>
      </c>
      <c r="C4453" s="56" t="n">
        <v>5</v>
      </c>
      <c r="D4453" s="56" t="n">
        <v>15</v>
      </c>
      <c r="E4453" s="56" t="n">
        <v>14.7</v>
      </c>
      <c r="F4453" s="56" t="n">
        <v>0</v>
      </c>
      <c r="G4453" s="56" t="n">
        <v>10.1</v>
      </c>
      <c r="H4453" s="56" t="n">
        <v>0</v>
      </c>
      <c r="I4453" s="56" t="n">
        <v>12.4</v>
      </c>
      <c r="J4453" s="56" t="n">
        <v>0</v>
      </c>
      <c r="K4453" s="56" t="n">
        <v>1010.5</v>
      </c>
      <c r="L4453" s="56" t="n">
        <v>0</v>
      </c>
      <c r="M4453" s="56" t="n">
        <v>84</v>
      </c>
      <c r="N4453" s="56" t="n">
        <v>0</v>
      </c>
      <c r="O4453" s="56" t="n">
        <f aca="false">IF(D4453=1,"",E4452)</f>
        <v>20.1</v>
      </c>
      <c r="P4453" s="56" t="n">
        <f aca="false">IF(OR(D4453=1,K4452=""),"",K4452)</f>
        <v>1015</v>
      </c>
      <c r="Q4453" s="56" t="n">
        <f aca="false">IF(OR(F4453&lt;&gt;0,AND(I4453&lt;&gt;"",E4453&lt;I4453)),1,0)</f>
        <v>0</v>
      </c>
      <c r="R4453" s="56" t="n">
        <f aca="false">IF(AND(D4453&gt;1,Q4453=0,ISNUMBER(O4453),ISNUMBER(P4453)),IF(Q4452=0,1,0),0)</f>
        <v>1</v>
      </c>
      <c r="S4453" s="56" t="n">
        <f aca="false">R4453*(B4453&gt;=Train_Start)*(B4453&lt;=Train_End)</f>
        <v>0</v>
      </c>
      <c r="T4453" s="84" t="n">
        <f aca="false">IF(AND(ISNUMBER(O4453),ISNUMBER(P4453)),Coef_A+Coef_B1*O4453+Coef_B2*P4453,"")</f>
        <v>20.3961362556524</v>
      </c>
      <c r="U4453" s="84" t="n">
        <f aca="false">IF(AND(R4453=1,ISNUMBER(T4453)),E4453-T4453,"")</f>
        <v>-5.69613625565235</v>
      </c>
      <c r="V4453" s="84" t="n">
        <f aca="false">IF(ISNUMBER(T4453),T4453,-99)</f>
        <v>20.3961362556524</v>
      </c>
      <c r="W4453" s="84" t="n">
        <f aca="false">IF(ISNUMBER(U4453),ABS(U4453),"")</f>
        <v>5.69613625565235</v>
      </c>
    </row>
    <row r="4454" customFormat="false" ht="15" hidden="false" customHeight="false" outlineLevel="0" collapsed="false">
      <c r="A4454" s="57" t="n">
        <v>39584</v>
      </c>
      <c r="B4454" s="56" t="n">
        <v>2008</v>
      </c>
      <c r="C4454" s="56" t="n">
        <v>5</v>
      </c>
      <c r="D4454" s="56" t="n">
        <v>16</v>
      </c>
      <c r="E4454" s="56" t="n">
        <v>13</v>
      </c>
      <c r="F4454" s="56" t="n">
        <v>0</v>
      </c>
      <c r="G4454" s="56" t="n">
        <v>9.9</v>
      </c>
      <c r="H4454" s="56" t="n">
        <v>0</v>
      </c>
      <c r="I4454" s="56" t="n">
        <v>11.4</v>
      </c>
      <c r="J4454" s="56" t="n">
        <v>0</v>
      </c>
      <c r="K4454" s="56" t="n">
        <v>1009</v>
      </c>
      <c r="L4454" s="56" t="n">
        <v>0</v>
      </c>
      <c r="M4454" s="56" t="n">
        <v>82</v>
      </c>
      <c r="N4454" s="56" t="n">
        <v>0</v>
      </c>
      <c r="O4454" s="56" t="n">
        <f aca="false">IF(D4454=1,"",E4453)</f>
        <v>14.7</v>
      </c>
      <c r="P4454" s="56" t="n">
        <f aca="false">IF(OR(D4454=1,K4453=""),"",K4453)</f>
        <v>1010.5</v>
      </c>
      <c r="Q4454" s="56" t="n">
        <f aca="false">IF(OR(F4454&lt;&gt;0,AND(I4454&lt;&gt;"",E4454&lt;I4454)),1,0)</f>
        <v>0</v>
      </c>
      <c r="R4454" s="56" t="n">
        <f aca="false">IF(AND(D4454&gt;1,Q4454=0,ISNUMBER(O4454),ISNUMBER(P4454)),IF(Q4453=0,1,0),0)</f>
        <v>1</v>
      </c>
      <c r="S4454" s="56" t="n">
        <f aca="false">R4454*(B4454&gt;=Train_Start)*(B4454&lt;=Train_End)</f>
        <v>0</v>
      </c>
      <c r="T4454" s="84" t="n">
        <f aca="false">IF(AND(ISNUMBER(O4454),ISNUMBER(P4454)),Coef_A+Coef_B1*O4454+Coef_B2*P4454,"")</f>
        <v>15.830540087369</v>
      </c>
      <c r="U4454" s="84" t="n">
        <f aca="false">IF(AND(R4454=1,ISNUMBER(T4454)),E4454-T4454,"")</f>
        <v>-2.83054008736904</v>
      </c>
      <c r="V4454" s="84" t="n">
        <f aca="false">IF(ISNUMBER(T4454),T4454,-99)</f>
        <v>15.830540087369</v>
      </c>
      <c r="W4454" s="84" t="n">
        <f aca="false">IF(ISNUMBER(U4454),ABS(U4454),"")</f>
        <v>2.83054008736904</v>
      </c>
    </row>
    <row r="4455" customFormat="false" ht="15" hidden="false" customHeight="false" outlineLevel="0" collapsed="false">
      <c r="A4455" s="57" t="n">
        <v>39585</v>
      </c>
      <c r="B4455" s="56" t="n">
        <v>2008</v>
      </c>
      <c r="C4455" s="56" t="n">
        <v>5</v>
      </c>
      <c r="D4455" s="56" t="n">
        <v>17</v>
      </c>
      <c r="E4455" s="56" t="n">
        <v>13.1</v>
      </c>
      <c r="F4455" s="56" t="n">
        <v>0</v>
      </c>
      <c r="G4455" s="56" t="n">
        <v>10.3</v>
      </c>
      <c r="H4455" s="56" t="n">
        <v>0</v>
      </c>
      <c r="I4455" s="56" t="n">
        <v>11.7</v>
      </c>
      <c r="J4455" s="56" t="n">
        <v>0</v>
      </c>
      <c r="K4455" s="56" t="n">
        <v>1008.7</v>
      </c>
      <c r="L4455" s="56" t="n">
        <v>0</v>
      </c>
      <c r="M4455" s="56" t="n">
        <v>84</v>
      </c>
      <c r="N4455" s="56" t="n">
        <v>0</v>
      </c>
      <c r="O4455" s="56" t="n">
        <f aca="false">IF(D4455=1,"",E4454)</f>
        <v>13</v>
      </c>
      <c r="P4455" s="56" t="n">
        <f aca="false">IF(OR(D4455=1,K4454=""),"",K4454)</f>
        <v>1009</v>
      </c>
      <c r="Q4455" s="56" t="n">
        <f aca="false">IF(OR(F4455&lt;&gt;0,AND(I4455&lt;&gt;"",E4455&lt;I4455)),1,0)</f>
        <v>0</v>
      </c>
      <c r="R4455" s="56" t="n">
        <f aca="false">IF(AND(D4455&gt;1,Q4455=0,ISNUMBER(O4455),ISNUMBER(P4455)),IF(Q4454=0,1,0),0)</f>
        <v>1</v>
      </c>
      <c r="S4455" s="56" t="n">
        <f aca="false">R4455*(B4455&gt;=Train_Start)*(B4455&lt;=Train_End)</f>
        <v>0</v>
      </c>
      <c r="T4455" s="84" t="n">
        <f aca="false">IF(AND(ISNUMBER(O4455),ISNUMBER(P4455)),Coef_A+Coef_B1*O4455+Coef_B2*P4455,"")</f>
        <v>14.3906086172455</v>
      </c>
      <c r="U4455" s="84" t="n">
        <f aca="false">IF(AND(R4455=1,ISNUMBER(T4455)),E4455-T4455,"")</f>
        <v>-1.29060861724555</v>
      </c>
      <c r="V4455" s="84" t="n">
        <f aca="false">IF(ISNUMBER(T4455),T4455,-99)</f>
        <v>14.3906086172455</v>
      </c>
      <c r="W4455" s="84" t="n">
        <f aca="false">IF(ISNUMBER(U4455),ABS(U4455),"")</f>
        <v>1.29060861724555</v>
      </c>
    </row>
    <row r="4456" customFormat="false" ht="15" hidden="false" customHeight="false" outlineLevel="0" collapsed="false">
      <c r="A4456" s="57" t="n">
        <v>39586</v>
      </c>
      <c r="B4456" s="56" t="n">
        <v>2008</v>
      </c>
      <c r="C4456" s="56" t="n">
        <v>5</v>
      </c>
      <c r="D4456" s="56" t="n">
        <v>18</v>
      </c>
      <c r="E4456" s="56" t="n">
        <v>15.8</v>
      </c>
      <c r="F4456" s="56" t="n">
        <v>0</v>
      </c>
      <c r="G4456" s="56" t="n">
        <v>7.6</v>
      </c>
      <c r="H4456" s="56" t="n">
        <v>0</v>
      </c>
      <c r="I4456" s="56" t="n">
        <v>11.7</v>
      </c>
      <c r="J4456" s="56" t="n">
        <v>0</v>
      </c>
      <c r="K4456" s="56" t="n">
        <v>1014.4</v>
      </c>
      <c r="L4456" s="56" t="n">
        <v>0</v>
      </c>
      <c r="M4456" s="56" t="n">
        <v>60</v>
      </c>
      <c r="N4456" s="56" t="n">
        <v>7.2</v>
      </c>
      <c r="O4456" s="56" t="n">
        <f aca="false">IF(D4456=1,"",E4455)</f>
        <v>13.1</v>
      </c>
      <c r="P4456" s="56" t="n">
        <f aca="false">IF(OR(D4456=1,K4455=""),"",K4455)</f>
        <v>1008.7</v>
      </c>
      <c r="Q4456" s="56" t="n">
        <f aca="false">IF(OR(F4456&lt;&gt;0,AND(I4456&lt;&gt;"",E4456&lt;I4456)),1,0)</f>
        <v>0</v>
      </c>
      <c r="R4456" s="56" t="n">
        <f aca="false">IF(AND(D4456&gt;1,Q4456=0,ISNUMBER(O4456),ISNUMBER(P4456)),IF(Q4455=0,1,0),0)</f>
        <v>1</v>
      </c>
      <c r="S4456" s="56" t="n">
        <f aca="false">R4456*(B4456&gt;=Train_Start)*(B4456&lt;=Train_End)</f>
        <v>0</v>
      </c>
      <c r="T4456" s="84" t="n">
        <f aca="false">IF(AND(ISNUMBER(O4456),ISNUMBER(P4456)),Coef_A+Coef_B1*O4456+Coef_B2*P4456,"")</f>
        <v>14.4631315681596</v>
      </c>
      <c r="U4456" s="84" t="n">
        <f aca="false">IF(AND(R4456=1,ISNUMBER(T4456)),E4456-T4456,"")</f>
        <v>1.33686843184039</v>
      </c>
      <c r="V4456" s="84" t="n">
        <f aca="false">IF(ISNUMBER(T4456),T4456,-99)</f>
        <v>14.4631315681596</v>
      </c>
      <c r="W4456" s="84" t="n">
        <f aca="false">IF(ISNUMBER(U4456),ABS(U4456),"")</f>
        <v>1.33686843184039</v>
      </c>
    </row>
    <row r="4457" customFormat="false" ht="15" hidden="false" customHeight="false" outlineLevel="0" collapsed="false">
      <c r="A4457" s="57" t="n">
        <v>39587</v>
      </c>
      <c r="B4457" s="56" t="n">
        <v>2008</v>
      </c>
      <c r="C4457" s="56" t="n">
        <v>5</v>
      </c>
      <c r="D4457" s="56" t="n">
        <v>19</v>
      </c>
      <c r="E4457" s="56" t="n">
        <v>14.3</v>
      </c>
      <c r="F4457" s="56" t="n">
        <v>0</v>
      </c>
      <c r="G4457" s="56" t="n">
        <v>4.8</v>
      </c>
      <c r="H4457" s="56" t="n">
        <v>0</v>
      </c>
      <c r="I4457" s="56" t="n">
        <v>9.6</v>
      </c>
      <c r="J4457" s="56" t="n">
        <v>0</v>
      </c>
      <c r="K4457" s="56" t="n">
        <v>1018.2</v>
      </c>
      <c r="L4457" s="56" t="n">
        <v>0</v>
      </c>
      <c r="M4457" s="56" t="n">
        <v>63</v>
      </c>
      <c r="N4457" s="56" t="n">
        <v>4.1</v>
      </c>
      <c r="O4457" s="56" t="n">
        <f aca="false">IF(D4457=1,"",E4456)</f>
        <v>15.8</v>
      </c>
      <c r="P4457" s="56" t="n">
        <f aca="false">IF(OR(D4457=1,K4456=""),"",K4456)</f>
        <v>1014.4</v>
      </c>
      <c r="Q4457" s="56" t="n">
        <f aca="false">IF(OR(F4457&lt;&gt;0,AND(I4457&lt;&gt;"",E4457&lt;I4457)),1,0)</f>
        <v>0</v>
      </c>
      <c r="R4457" s="56" t="n">
        <f aca="false">IF(AND(D4457&gt;1,Q4457=0,ISNUMBER(O4457),ISNUMBER(P4457)),IF(Q4456=0,1,0),0)</f>
        <v>1</v>
      </c>
      <c r="S4457" s="56" t="n">
        <f aca="false">R4457*(B4457&gt;=Train_Start)*(B4457&lt;=Train_End)</f>
        <v>0</v>
      </c>
      <c r="T4457" s="84" t="n">
        <f aca="false">IF(AND(ISNUMBER(O4457),ISNUMBER(P4457)),Coef_A+Coef_B1*O4457+Coef_B2*P4457,"")</f>
        <v>16.8541557887885</v>
      </c>
      <c r="U4457" s="84" t="n">
        <f aca="false">IF(AND(R4457=1,ISNUMBER(T4457)),E4457-T4457,"")</f>
        <v>-2.55415578878852</v>
      </c>
      <c r="V4457" s="84" t="n">
        <f aca="false">IF(ISNUMBER(T4457),T4457,-99)</f>
        <v>16.8541557887885</v>
      </c>
      <c r="W4457" s="84" t="n">
        <f aca="false">IF(ISNUMBER(U4457),ABS(U4457),"")</f>
        <v>2.55415578878852</v>
      </c>
    </row>
    <row r="4458" customFormat="false" ht="15" hidden="false" customHeight="false" outlineLevel="0" collapsed="false">
      <c r="A4458" s="57" t="n">
        <v>39588</v>
      </c>
      <c r="B4458" s="56" t="n">
        <v>2008</v>
      </c>
      <c r="C4458" s="56" t="n">
        <v>5</v>
      </c>
      <c r="D4458" s="56" t="n">
        <v>20</v>
      </c>
      <c r="E4458" s="56" t="n">
        <v>16.5</v>
      </c>
      <c r="F4458" s="56" t="n">
        <v>0</v>
      </c>
      <c r="G4458" s="56" t="n">
        <v>4.6</v>
      </c>
      <c r="H4458" s="56" t="n">
        <v>0</v>
      </c>
      <c r="I4458" s="56" t="n">
        <v>10.6</v>
      </c>
      <c r="J4458" s="56" t="n">
        <v>0</v>
      </c>
      <c r="K4458" s="56" t="n">
        <v>1019.1</v>
      </c>
      <c r="L4458" s="56" t="n">
        <v>0</v>
      </c>
      <c r="M4458" s="56" t="n">
        <v>63</v>
      </c>
      <c r="N4458" s="56" t="n">
        <v>6.4</v>
      </c>
      <c r="O4458" s="56" t="n">
        <f aca="false">IF(D4458=1,"",E4457)</f>
        <v>14.3</v>
      </c>
      <c r="P4458" s="56" t="n">
        <f aca="false">IF(OR(D4458=1,K4457=""),"",K4457)</f>
        <v>1018.2</v>
      </c>
      <c r="Q4458" s="56" t="n">
        <f aca="false">IF(OR(F4458&lt;&gt;0,AND(I4458&lt;&gt;"",E4458&lt;I4458)),1,0)</f>
        <v>0</v>
      </c>
      <c r="R4458" s="56" t="n">
        <f aca="false">IF(AND(D4458&gt;1,Q4458=0,ISNUMBER(O4458),ISNUMBER(P4458)),IF(Q4457=0,1,0),0)</f>
        <v>1</v>
      </c>
      <c r="S4458" s="56" t="n">
        <f aca="false">R4458*(B4458&gt;=Train_Start)*(B4458&lt;=Train_End)</f>
        <v>0</v>
      </c>
      <c r="T4458" s="84" t="n">
        <f aca="false">IF(AND(ISNUMBER(O4458),ISNUMBER(P4458)),Coef_A+Coef_B1*O4458+Coef_B2*P4458,"")</f>
        <v>15.7443525988337</v>
      </c>
      <c r="U4458" s="84" t="n">
        <f aca="false">IF(AND(R4458=1,ISNUMBER(T4458)),E4458-T4458,"")</f>
        <v>0.755647401166296</v>
      </c>
      <c r="V4458" s="84" t="n">
        <f aca="false">IF(ISNUMBER(T4458),T4458,-99)</f>
        <v>15.7443525988337</v>
      </c>
      <c r="W4458" s="84" t="n">
        <f aca="false">IF(ISNUMBER(U4458),ABS(U4458),"")</f>
        <v>0.755647401166296</v>
      </c>
    </row>
    <row r="4459" customFormat="false" ht="15" hidden="false" customHeight="false" outlineLevel="0" collapsed="false">
      <c r="A4459" s="57" t="n">
        <v>39589</v>
      </c>
      <c r="B4459" s="56" t="n">
        <v>2008</v>
      </c>
      <c r="C4459" s="56" t="n">
        <v>5</v>
      </c>
      <c r="D4459" s="56" t="n">
        <v>21</v>
      </c>
      <c r="E4459" s="56" t="n">
        <v>18.7</v>
      </c>
      <c r="F4459" s="56" t="n">
        <v>0</v>
      </c>
      <c r="G4459" s="56" t="n">
        <v>6.1</v>
      </c>
      <c r="H4459" s="56" t="n">
        <v>0</v>
      </c>
      <c r="I4459" s="56" t="n">
        <v>12.4</v>
      </c>
      <c r="J4459" s="56" t="n">
        <v>0</v>
      </c>
      <c r="K4459" s="56" t="n">
        <v>1016.6</v>
      </c>
      <c r="L4459" s="56" t="n">
        <v>0</v>
      </c>
      <c r="M4459" s="56" t="n">
        <v>65</v>
      </c>
      <c r="N4459" s="56" t="n">
        <v>10</v>
      </c>
      <c r="O4459" s="56" t="n">
        <f aca="false">IF(D4459=1,"",E4458)</f>
        <v>16.5</v>
      </c>
      <c r="P4459" s="56" t="n">
        <f aca="false">IF(OR(D4459=1,K4458=""),"",K4458)</f>
        <v>1019.1</v>
      </c>
      <c r="Q4459" s="56" t="n">
        <f aca="false">IF(OR(F4459&lt;&gt;0,AND(I4459&lt;&gt;"",E4459&lt;I4459)),1,0)</f>
        <v>0</v>
      </c>
      <c r="R4459" s="56" t="n">
        <f aca="false">IF(AND(D4459&gt;1,Q4459=0,ISNUMBER(O4459),ISNUMBER(P4459)),IF(Q4458=0,1,0),0)</f>
        <v>1</v>
      </c>
      <c r="S4459" s="56" t="n">
        <f aca="false">R4459*(B4459&gt;=Train_Start)*(B4459&lt;=Train_End)</f>
        <v>0</v>
      </c>
      <c r="T4459" s="84" t="n">
        <f aca="false">IF(AND(ISNUMBER(O4459),ISNUMBER(P4459)),Coef_A+Coef_B1*O4459+Coef_B2*P4459,"")</f>
        <v>17.5751317286981</v>
      </c>
      <c r="U4459" s="84" t="n">
        <f aca="false">IF(AND(R4459=1,ISNUMBER(T4459)),E4459-T4459,"")</f>
        <v>1.12486827130186</v>
      </c>
      <c r="V4459" s="84" t="n">
        <f aca="false">IF(ISNUMBER(T4459),T4459,-99)</f>
        <v>17.5751317286981</v>
      </c>
      <c r="W4459" s="84" t="n">
        <f aca="false">IF(ISNUMBER(U4459),ABS(U4459),"")</f>
        <v>1.12486827130186</v>
      </c>
    </row>
    <row r="4460" customFormat="false" ht="15" hidden="false" customHeight="false" outlineLevel="0" collapsed="false">
      <c r="A4460" s="57" t="n">
        <v>39590</v>
      </c>
      <c r="B4460" s="56" t="n">
        <v>2008</v>
      </c>
      <c r="C4460" s="56" t="n">
        <v>5</v>
      </c>
      <c r="D4460" s="56" t="n">
        <v>22</v>
      </c>
      <c r="E4460" s="56" t="n">
        <v>22.1</v>
      </c>
      <c r="F4460" s="56" t="n">
        <v>0</v>
      </c>
      <c r="G4460" s="56" t="n">
        <v>9</v>
      </c>
      <c r="H4460" s="56" t="n">
        <v>0</v>
      </c>
      <c r="I4460" s="56" t="n">
        <v>15.6</v>
      </c>
      <c r="J4460" s="56" t="n">
        <v>0</v>
      </c>
      <c r="K4460" s="56" t="n">
        <v>1014</v>
      </c>
      <c r="L4460" s="56" t="n">
        <v>0</v>
      </c>
      <c r="M4460" s="56" t="n">
        <v>59</v>
      </c>
      <c r="N4460" s="56" t="n">
        <v>6.5</v>
      </c>
      <c r="O4460" s="56" t="n">
        <f aca="false">IF(D4460=1,"",E4459)</f>
        <v>18.7</v>
      </c>
      <c r="P4460" s="56" t="n">
        <f aca="false">IF(OR(D4460=1,K4459=""),"",K4459)</f>
        <v>1016.6</v>
      </c>
      <c r="Q4460" s="56" t="n">
        <f aca="false">IF(OR(F4460&lt;&gt;0,AND(I4460&lt;&gt;"",E4460&lt;I4460)),1,0)</f>
        <v>0</v>
      </c>
      <c r="R4460" s="56" t="n">
        <f aca="false">IF(AND(D4460&gt;1,Q4460=0,ISNUMBER(O4460),ISNUMBER(P4460)),IF(Q4459=0,1,0),0)</f>
        <v>1</v>
      </c>
      <c r="S4460" s="56" t="n">
        <f aca="false">R4460*(B4460&gt;=Train_Start)*(B4460&lt;=Train_End)</f>
        <v>0</v>
      </c>
      <c r="T4460" s="84" t="n">
        <f aca="false">IF(AND(ISNUMBER(O4460),ISNUMBER(P4460)),Coef_A+Coef_B1*O4460+Coef_B2*P4460,"")</f>
        <v>19.299253216807</v>
      </c>
      <c r="U4460" s="84" t="n">
        <f aca="false">IF(AND(R4460=1,ISNUMBER(T4460)),E4460-T4460,"")</f>
        <v>2.80074678319299</v>
      </c>
      <c r="V4460" s="84" t="n">
        <f aca="false">IF(ISNUMBER(T4460),T4460,-99)</f>
        <v>19.299253216807</v>
      </c>
      <c r="W4460" s="84" t="n">
        <f aca="false">IF(ISNUMBER(U4460),ABS(U4460),"")</f>
        <v>2.80074678319299</v>
      </c>
    </row>
    <row r="4461" customFormat="false" ht="15" hidden="false" customHeight="false" outlineLevel="0" collapsed="false">
      <c r="A4461" s="57" t="n">
        <v>39591</v>
      </c>
      <c r="B4461" s="56" t="n">
        <v>2008</v>
      </c>
      <c r="C4461" s="56" t="n">
        <v>5</v>
      </c>
      <c r="D4461" s="56" t="n">
        <v>23</v>
      </c>
      <c r="E4461" s="56" t="n">
        <v>19.8</v>
      </c>
      <c r="F4461" s="56" t="n">
        <v>0</v>
      </c>
      <c r="G4461" s="56" t="n">
        <v>12.5</v>
      </c>
      <c r="H4461" s="56" t="n">
        <v>0</v>
      </c>
      <c r="I4461" s="56" t="n">
        <v>16.2</v>
      </c>
      <c r="J4461" s="56" t="n">
        <v>0</v>
      </c>
      <c r="K4461" s="56" t="n">
        <v>1012.4</v>
      </c>
      <c r="L4461" s="56" t="n">
        <v>0</v>
      </c>
      <c r="M4461" s="56" t="n">
        <v>65</v>
      </c>
      <c r="N4461" s="56" t="n">
        <v>1.3</v>
      </c>
      <c r="O4461" s="56" t="n">
        <f aca="false">IF(D4461=1,"",E4460)</f>
        <v>22.1</v>
      </c>
      <c r="P4461" s="56" t="n">
        <f aca="false">IF(OR(D4461=1,K4460=""),"",K4460)</f>
        <v>1014</v>
      </c>
      <c r="Q4461" s="56" t="n">
        <f aca="false">IF(OR(F4461&lt;&gt;0,AND(I4461&lt;&gt;"",E4461&lt;I4461)),1,0)</f>
        <v>0</v>
      </c>
      <c r="R4461" s="56" t="n">
        <f aca="false">IF(AND(D4461&gt;1,Q4461=0,ISNUMBER(O4461),ISNUMBER(P4461)),IF(Q4460=0,1,0),0)</f>
        <v>1</v>
      </c>
      <c r="S4461" s="56" t="n">
        <f aca="false">R4461*(B4461&gt;=Train_Start)*(B4461&lt;=Train_End)</f>
        <v>0</v>
      </c>
      <c r="T4461" s="84" t="n">
        <f aca="false">IF(AND(ISNUMBER(O4461),ISNUMBER(P4461)),Coef_A+Coef_B1*O4461+Coef_B2*P4461,"")</f>
        <v>22.0034447471037</v>
      </c>
      <c r="U4461" s="84" t="n">
        <f aca="false">IF(AND(R4461=1,ISNUMBER(T4461)),E4461-T4461,"")</f>
        <v>-2.20344474710367</v>
      </c>
      <c r="V4461" s="84" t="n">
        <f aca="false">IF(ISNUMBER(T4461),T4461,-99)</f>
        <v>22.0034447471037</v>
      </c>
      <c r="W4461" s="84" t="n">
        <f aca="false">IF(ISNUMBER(U4461),ABS(U4461),"")</f>
        <v>2.20344474710367</v>
      </c>
    </row>
    <row r="4462" customFormat="false" ht="15" hidden="false" customHeight="false" outlineLevel="0" collapsed="false">
      <c r="A4462" s="57" t="n">
        <v>39592</v>
      </c>
      <c r="B4462" s="56" t="n">
        <v>2008</v>
      </c>
      <c r="C4462" s="56" t="n">
        <v>5</v>
      </c>
      <c r="D4462" s="56" t="n">
        <v>24</v>
      </c>
      <c r="E4462" s="56" t="n">
        <v>21.5</v>
      </c>
      <c r="F4462" s="56" t="n">
        <v>0</v>
      </c>
      <c r="G4462" s="56" t="n">
        <v>12.3</v>
      </c>
      <c r="H4462" s="56" t="n">
        <v>0</v>
      </c>
      <c r="I4462" s="56" t="n">
        <v>16.9</v>
      </c>
      <c r="J4462" s="56" t="n">
        <v>0</v>
      </c>
      <c r="K4462" s="56" t="n">
        <v>1010</v>
      </c>
      <c r="L4462" s="56" t="n">
        <v>0</v>
      </c>
      <c r="M4462" s="56" t="n">
        <v>58</v>
      </c>
      <c r="N4462" s="56" t="n">
        <v>7.3</v>
      </c>
      <c r="O4462" s="56" t="n">
        <f aca="false">IF(D4462=1,"",E4461)</f>
        <v>19.8</v>
      </c>
      <c r="P4462" s="56" t="n">
        <f aca="false">IF(OR(D4462=1,K4461=""),"",K4461)</f>
        <v>1012.4</v>
      </c>
      <c r="Q4462" s="56" t="n">
        <f aca="false">IF(OR(F4462&lt;&gt;0,AND(I4462&lt;&gt;"",E4462&lt;I4462)),1,0)</f>
        <v>0</v>
      </c>
      <c r="R4462" s="56" t="n">
        <f aca="false">IF(AND(D4462&gt;1,Q4462=0,ISNUMBER(O4462),ISNUMBER(P4462)),IF(Q4461=0,1,0),0)</f>
        <v>1</v>
      </c>
      <c r="S4462" s="56" t="n">
        <f aca="false">R4462*(B4462&gt;=Train_Start)*(B4462&lt;=Train_End)</f>
        <v>0</v>
      </c>
      <c r="T4462" s="84" t="n">
        <f aca="false">IF(AND(ISNUMBER(O4462),ISNUMBER(P4462)),Coef_A+Coef_B1*O4462+Coef_B2*P4462,"")</f>
        <v>20.0687727716912</v>
      </c>
      <c r="U4462" s="84" t="n">
        <f aca="false">IF(AND(R4462=1,ISNUMBER(T4462)),E4462-T4462,"")</f>
        <v>1.43122722830882</v>
      </c>
      <c r="V4462" s="84" t="n">
        <f aca="false">IF(ISNUMBER(T4462),T4462,-99)</f>
        <v>20.0687727716912</v>
      </c>
      <c r="W4462" s="84" t="n">
        <f aca="false">IF(ISNUMBER(U4462),ABS(U4462),"")</f>
        <v>1.43122722830882</v>
      </c>
    </row>
    <row r="4463" customFormat="false" ht="15" hidden="false" customHeight="false" outlineLevel="0" collapsed="false">
      <c r="A4463" s="57" t="n">
        <v>39593</v>
      </c>
      <c r="B4463" s="56" t="n">
        <v>2008</v>
      </c>
      <c r="C4463" s="56" t="n">
        <v>5</v>
      </c>
      <c r="D4463" s="56" t="n">
        <v>25</v>
      </c>
      <c r="E4463" s="56" t="n">
        <v>18.9</v>
      </c>
      <c r="F4463" s="56" t="n">
        <v>0</v>
      </c>
      <c r="G4463" s="56" t="n">
        <v>11.7</v>
      </c>
      <c r="H4463" s="56" t="n">
        <v>0</v>
      </c>
      <c r="I4463" s="56" t="n">
        <v>15.3</v>
      </c>
      <c r="J4463" s="56" t="n">
        <v>0</v>
      </c>
      <c r="K4463" s="56" t="n">
        <v>1010.6</v>
      </c>
      <c r="L4463" s="56" t="n">
        <v>0</v>
      </c>
      <c r="M4463" s="56" t="n">
        <v>89</v>
      </c>
      <c r="N4463" s="56" t="n">
        <v>0.7</v>
      </c>
      <c r="O4463" s="56" t="n">
        <f aca="false">IF(D4463=1,"",E4462)</f>
        <v>21.5</v>
      </c>
      <c r="P4463" s="56" t="n">
        <f aca="false">IF(OR(D4463=1,K4462=""),"",K4462)</f>
        <v>1010</v>
      </c>
      <c r="Q4463" s="56" t="n">
        <f aca="false">IF(OR(F4463&lt;&gt;0,AND(I4463&lt;&gt;"",E4463&lt;I4463)),1,0)</f>
        <v>0</v>
      </c>
      <c r="R4463" s="56" t="n">
        <f aca="false">IF(AND(D4463&gt;1,Q4463=0,ISNUMBER(O4463),ISNUMBER(P4463)),IF(Q4462=0,1,0),0)</f>
        <v>1</v>
      </c>
      <c r="S4463" s="56" t="n">
        <f aca="false">R4463*(B4463&gt;=Train_Start)*(B4463&lt;=Train_End)</f>
        <v>0</v>
      </c>
      <c r="T4463" s="84" t="n">
        <f aca="false">IF(AND(ISNUMBER(O4463),ISNUMBER(P4463)),Coef_A+Coef_B1*O4463+Coef_B2*P4463,"")</f>
        <v>21.3863616527421</v>
      </c>
      <c r="U4463" s="84" t="n">
        <f aca="false">IF(AND(R4463=1,ISNUMBER(T4463)),E4463-T4463,"")</f>
        <v>-2.48636165274212</v>
      </c>
      <c r="V4463" s="84" t="n">
        <f aca="false">IF(ISNUMBER(T4463),T4463,-99)</f>
        <v>21.3863616527421</v>
      </c>
      <c r="W4463" s="84" t="n">
        <f aca="false">IF(ISNUMBER(U4463),ABS(U4463),"")</f>
        <v>2.48636165274212</v>
      </c>
    </row>
    <row r="4464" customFormat="false" ht="15" hidden="false" customHeight="false" outlineLevel="0" collapsed="false">
      <c r="A4464" s="57" t="n">
        <v>39594</v>
      </c>
      <c r="B4464" s="56" t="n">
        <v>2008</v>
      </c>
      <c r="C4464" s="56" t="n">
        <v>5</v>
      </c>
      <c r="D4464" s="56" t="n">
        <v>26</v>
      </c>
      <c r="E4464" s="56" t="n">
        <v>13</v>
      </c>
      <c r="F4464" s="56" t="n">
        <v>0</v>
      </c>
      <c r="G4464" s="56" t="n">
        <v>11.7</v>
      </c>
      <c r="H4464" s="56" t="n">
        <v>0</v>
      </c>
      <c r="I4464" s="56" t="n">
        <v>12.4</v>
      </c>
      <c r="J4464" s="56" t="n">
        <v>0</v>
      </c>
      <c r="K4464" s="56" t="n">
        <v>1010.1</v>
      </c>
      <c r="L4464" s="56" t="n">
        <v>0</v>
      </c>
      <c r="M4464" s="56" t="n">
        <v>96</v>
      </c>
      <c r="N4464" s="56" t="n">
        <v>0</v>
      </c>
      <c r="O4464" s="56" t="n">
        <f aca="false">IF(D4464=1,"",E4463)</f>
        <v>18.9</v>
      </c>
      <c r="P4464" s="56" t="n">
        <f aca="false">IF(OR(D4464=1,K4463=""),"",K4463)</f>
        <v>1010.6</v>
      </c>
      <c r="Q4464" s="56" t="n">
        <f aca="false">IF(OR(F4464&lt;&gt;0,AND(I4464&lt;&gt;"",E4464&lt;I4464)),1,0)</f>
        <v>0</v>
      </c>
      <c r="R4464" s="56" t="n">
        <f aca="false">IF(AND(D4464&gt;1,Q4464=0,ISNUMBER(O4464),ISNUMBER(P4464)),IF(Q4463=0,1,0),0)</f>
        <v>1</v>
      </c>
      <c r="S4464" s="56" t="n">
        <f aca="false">R4464*(B4464&gt;=Train_Start)*(B4464&lt;=Train_End)</f>
        <v>0</v>
      </c>
      <c r="T4464" s="84" t="n">
        <f aca="false">IF(AND(ISNUMBER(O4464),ISNUMBER(P4464)),Coef_A+Coef_B1*O4464+Coef_B2*P4464,"")</f>
        <v>19.2749016876116</v>
      </c>
      <c r="U4464" s="84" t="n">
        <f aca="false">IF(AND(R4464=1,ISNUMBER(T4464)),E4464-T4464,"")</f>
        <v>-6.2749016876116</v>
      </c>
      <c r="V4464" s="84" t="n">
        <f aca="false">IF(ISNUMBER(T4464),T4464,-99)</f>
        <v>19.2749016876116</v>
      </c>
      <c r="W4464" s="84" t="n">
        <f aca="false">IF(ISNUMBER(U4464),ABS(U4464),"")</f>
        <v>6.2749016876116</v>
      </c>
    </row>
    <row r="4465" customFormat="false" ht="15" hidden="false" customHeight="false" outlineLevel="0" collapsed="false">
      <c r="A4465" s="57" t="n">
        <v>39595</v>
      </c>
      <c r="B4465" s="56" t="n">
        <v>2008</v>
      </c>
      <c r="C4465" s="56" t="n">
        <v>5</v>
      </c>
      <c r="D4465" s="56" t="n">
        <v>27</v>
      </c>
      <c r="E4465" s="56" t="n">
        <v>18.9</v>
      </c>
      <c r="F4465" s="56" t="n">
        <v>0</v>
      </c>
      <c r="G4465" s="56" t="n">
        <v>9.9</v>
      </c>
      <c r="H4465" s="56" t="n">
        <v>0</v>
      </c>
      <c r="I4465" s="56"/>
      <c r="J4465" s="56" t="n">
        <v>9</v>
      </c>
      <c r="K4465" s="56" t="n">
        <v>1009.9</v>
      </c>
      <c r="L4465" s="56" t="n">
        <v>0</v>
      </c>
      <c r="M4465" s="56" t="n">
        <v>84</v>
      </c>
      <c r="N4465" s="56" t="n">
        <v>0.2</v>
      </c>
      <c r="O4465" s="56" t="n">
        <f aca="false">IF(D4465=1,"",E4464)</f>
        <v>13</v>
      </c>
      <c r="P4465" s="56" t="n">
        <f aca="false">IF(OR(D4465=1,K4464=""),"",K4464)</f>
        <v>1010.1</v>
      </c>
      <c r="Q4465" s="56" t="n">
        <f aca="false">IF(OR(F4465&lt;&gt;0,AND(I4465&lt;&gt;"",E4465&lt;I4465)),1,0)</f>
        <v>0</v>
      </c>
      <c r="R4465" s="56" t="n">
        <f aca="false">IF(AND(D4465&gt;1,Q4465=0,ISNUMBER(O4465),ISNUMBER(P4465)),IF(Q4464=0,1,0),0)</f>
        <v>1</v>
      </c>
      <c r="S4465" s="56" t="n">
        <f aca="false">R4465*(B4465&gt;=Train_Start)*(B4465&lt;=Train_End)</f>
        <v>0</v>
      </c>
      <c r="T4465" s="84" t="n">
        <f aca="false">IF(AND(ISNUMBER(O4465),ISNUMBER(P4465)),Coef_A+Coef_B1*O4465+Coef_B2*P4465,"")</f>
        <v>14.4251155013429</v>
      </c>
      <c r="U4465" s="84" t="n">
        <f aca="false">IF(AND(R4465=1,ISNUMBER(T4465)),E4465-T4465,"")</f>
        <v>4.47488449865707</v>
      </c>
      <c r="V4465" s="84" t="n">
        <f aca="false">IF(ISNUMBER(T4465),T4465,-99)</f>
        <v>14.4251155013429</v>
      </c>
      <c r="W4465" s="84" t="n">
        <f aca="false">IF(ISNUMBER(U4465),ABS(U4465),"")</f>
        <v>4.47488449865707</v>
      </c>
    </row>
    <row r="4466" customFormat="false" ht="15" hidden="false" customHeight="false" outlineLevel="0" collapsed="false">
      <c r="A4466" s="57" t="n">
        <v>39596</v>
      </c>
      <c r="B4466" s="56" t="n">
        <v>2008</v>
      </c>
      <c r="C4466" s="56" t="n">
        <v>5</v>
      </c>
      <c r="D4466" s="56" t="n">
        <v>28</v>
      </c>
      <c r="E4466" s="56" t="n">
        <v>17.1</v>
      </c>
      <c r="F4466" s="56" t="n">
        <v>0</v>
      </c>
      <c r="G4466" s="56" t="n">
        <v>12.9</v>
      </c>
      <c r="H4466" s="56" t="n">
        <v>0</v>
      </c>
      <c r="I4466" s="56" t="n">
        <v>15</v>
      </c>
      <c r="J4466" s="56" t="n">
        <v>0</v>
      </c>
      <c r="K4466" s="56" t="n">
        <v>1004.5</v>
      </c>
      <c r="L4466" s="56" t="n">
        <v>0</v>
      </c>
      <c r="M4466" s="56" t="n">
        <v>95</v>
      </c>
      <c r="N4466" s="56" t="n">
        <v>0</v>
      </c>
      <c r="O4466" s="56" t="n">
        <f aca="false">IF(D4466=1,"",E4465)</f>
        <v>18.9</v>
      </c>
      <c r="P4466" s="56" t="n">
        <f aca="false">IF(OR(D4466=1,K4465=""),"",K4465)</f>
        <v>1009.9</v>
      </c>
      <c r="Q4466" s="56" t="n">
        <f aca="false">IF(OR(F4466&lt;&gt;0,AND(I4466&lt;&gt;"",E4466&lt;I4466)),1,0)</f>
        <v>0</v>
      </c>
      <c r="R4466" s="56" t="n">
        <f aca="false">IF(AND(D4466&gt;1,Q4466=0,ISNUMBER(O4466),ISNUMBER(P4466)),IF(Q4465=0,1,0),0)</f>
        <v>1</v>
      </c>
      <c r="S4466" s="56" t="n">
        <f aca="false">R4466*(B4466&gt;=Train_Start)*(B4466&lt;=Train_End)</f>
        <v>0</v>
      </c>
      <c r="T4466" s="84" t="n">
        <f aca="false">IF(AND(ISNUMBER(O4466),ISNUMBER(P4466)),Coef_A+Coef_B1*O4466+Coef_B2*P4466,"")</f>
        <v>19.2529427613678</v>
      </c>
      <c r="U4466" s="84" t="n">
        <f aca="false">IF(AND(R4466=1,ISNUMBER(T4466)),E4466-T4466,"")</f>
        <v>-2.15294276136781</v>
      </c>
      <c r="V4466" s="84" t="n">
        <f aca="false">IF(ISNUMBER(T4466),T4466,-99)</f>
        <v>19.2529427613678</v>
      </c>
      <c r="W4466" s="84" t="n">
        <f aca="false">IF(ISNUMBER(U4466),ABS(U4466),"")</f>
        <v>2.15294276136781</v>
      </c>
    </row>
    <row r="4467" customFormat="false" ht="15" hidden="false" customHeight="false" outlineLevel="0" collapsed="false">
      <c r="A4467" s="57" t="n">
        <v>39597</v>
      </c>
      <c r="B4467" s="56" t="n">
        <v>2008</v>
      </c>
      <c r="C4467" s="56" t="n">
        <v>5</v>
      </c>
      <c r="D4467" s="56" t="n">
        <v>29</v>
      </c>
      <c r="E4467" s="56" t="n">
        <v>22</v>
      </c>
      <c r="F4467" s="56" t="n">
        <v>0</v>
      </c>
      <c r="G4467" s="56" t="n">
        <v>10.9</v>
      </c>
      <c r="H4467" s="56" t="n">
        <v>0</v>
      </c>
      <c r="I4467" s="56" t="n">
        <v>16.4</v>
      </c>
      <c r="J4467" s="56" t="n">
        <v>0</v>
      </c>
      <c r="K4467" s="56" t="n">
        <v>1013.2</v>
      </c>
      <c r="L4467" s="56" t="n">
        <v>0</v>
      </c>
      <c r="M4467" s="56" t="n">
        <v>85</v>
      </c>
      <c r="N4467" s="56" t="n">
        <v>4.6</v>
      </c>
      <c r="O4467" s="56" t="n">
        <f aca="false">IF(D4467=1,"",E4466)</f>
        <v>17.1</v>
      </c>
      <c r="P4467" s="56" t="n">
        <f aca="false">IF(OR(D4467=1,K4466=""),"",K4466)</f>
        <v>1004.5</v>
      </c>
      <c r="Q4467" s="56" t="n">
        <f aca="false">IF(OR(F4467&lt;&gt;0,AND(I4467&lt;&gt;"",E4467&lt;I4467)),1,0)</f>
        <v>0</v>
      </c>
      <c r="R4467" s="56" t="n">
        <f aca="false">IF(AND(D4467&gt;1,Q4467=0,ISNUMBER(O4467),ISNUMBER(P4467)),IF(Q4466=0,1,0),0)</f>
        <v>1</v>
      </c>
      <c r="S4467" s="56" t="n">
        <f aca="false">R4467*(B4467&gt;=Train_Start)*(B4467&lt;=Train_End)</f>
        <v>0</v>
      </c>
      <c r="T4467" s="84" t="n">
        <f aca="false">IF(AND(ISNUMBER(O4467),ISNUMBER(P4467)),Coef_A+Coef_B1*O4467+Coef_B2*P4467,"")</f>
        <v>17.6087347828675</v>
      </c>
      <c r="U4467" s="84" t="n">
        <f aca="false">IF(AND(R4467=1,ISNUMBER(T4467)),E4467-T4467,"")</f>
        <v>4.39126521713251</v>
      </c>
      <c r="V4467" s="84" t="n">
        <f aca="false">IF(ISNUMBER(T4467),T4467,-99)</f>
        <v>17.6087347828675</v>
      </c>
      <c r="W4467" s="84" t="n">
        <f aca="false">IF(ISNUMBER(U4467),ABS(U4467),"")</f>
        <v>4.39126521713251</v>
      </c>
    </row>
    <row r="4468" customFormat="false" ht="15" hidden="false" customHeight="false" outlineLevel="0" collapsed="false">
      <c r="A4468" s="57" t="n">
        <v>39598</v>
      </c>
      <c r="B4468" s="56" t="n">
        <v>2008</v>
      </c>
      <c r="C4468" s="56" t="n">
        <v>5</v>
      </c>
      <c r="D4468" s="56" t="n">
        <v>30</v>
      </c>
      <c r="E4468" s="56" t="n">
        <v>18.8</v>
      </c>
      <c r="F4468" s="56" t="n">
        <v>0</v>
      </c>
      <c r="G4468" s="56" t="n">
        <v>12.4</v>
      </c>
      <c r="H4468" s="56" t="n">
        <v>0</v>
      </c>
      <c r="I4468" s="56" t="n">
        <v>15.6</v>
      </c>
      <c r="J4468" s="56" t="n">
        <v>0</v>
      </c>
      <c r="K4468" s="56" t="n">
        <v>1013.4</v>
      </c>
      <c r="L4468" s="56" t="n">
        <v>0</v>
      </c>
      <c r="M4468" s="56" t="n">
        <v>79</v>
      </c>
      <c r="N4468" s="56" t="n">
        <v>0.2</v>
      </c>
      <c r="O4468" s="56" t="n">
        <f aca="false">IF(D4468=1,"",E4467)</f>
        <v>22</v>
      </c>
      <c r="P4468" s="56" t="n">
        <f aca="false">IF(OR(D4468=1,K4467=""),"",K4467)</f>
        <v>1013.2</v>
      </c>
      <c r="Q4468" s="56" t="n">
        <f aca="false">IF(OR(F4468&lt;&gt;0,AND(I4468&lt;&gt;"",E4468&lt;I4468)),1,0)</f>
        <v>0</v>
      </c>
      <c r="R4468" s="56" t="n">
        <f aca="false">IF(AND(D4468&gt;1,Q4468=0,ISNUMBER(O4468),ISNUMBER(P4468)),IF(Q4467=0,1,0),0)</f>
        <v>1</v>
      </c>
      <c r="S4468" s="56" t="n">
        <f aca="false">R4468*(B4468&gt;=Train_Start)*(B4468&lt;=Train_End)</f>
        <v>0</v>
      </c>
      <c r="T4468" s="84" t="n">
        <f aca="false">IF(AND(ISNUMBER(O4468),ISNUMBER(P4468)),Coef_A+Coef_B1*O4468+Coef_B2*P4468,"")</f>
        <v>21.8964149120922</v>
      </c>
      <c r="U4468" s="84" t="n">
        <f aca="false">IF(AND(R4468=1,ISNUMBER(T4468)),E4468-T4468,"")</f>
        <v>-3.09641491209222</v>
      </c>
      <c r="V4468" s="84" t="n">
        <f aca="false">IF(ISNUMBER(T4468),T4468,-99)</f>
        <v>21.8964149120922</v>
      </c>
      <c r="W4468" s="84" t="n">
        <f aca="false">IF(ISNUMBER(U4468),ABS(U4468),"")</f>
        <v>3.09641491209222</v>
      </c>
    </row>
    <row r="4469" customFormat="false" ht="15" hidden="false" customHeight="false" outlineLevel="0" collapsed="false">
      <c r="A4469" s="57" t="n">
        <v>39599</v>
      </c>
      <c r="B4469" s="56" t="n">
        <v>2008</v>
      </c>
      <c r="C4469" s="56" t="n">
        <v>5</v>
      </c>
      <c r="D4469" s="56" t="n">
        <v>31</v>
      </c>
      <c r="E4469" s="56" t="n">
        <v>21.9</v>
      </c>
      <c r="F4469" s="56" t="n">
        <v>0</v>
      </c>
      <c r="G4469" s="56" t="n">
        <v>14.8</v>
      </c>
      <c r="H4469" s="56" t="n">
        <v>0</v>
      </c>
      <c r="I4469" s="56" t="n">
        <v>18.4</v>
      </c>
      <c r="J4469" s="56" t="n">
        <v>0</v>
      </c>
      <c r="K4469" s="56" t="n">
        <v>1016.2</v>
      </c>
      <c r="L4469" s="56" t="n">
        <v>0</v>
      </c>
      <c r="M4469" s="56" t="n">
        <v>72</v>
      </c>
      <c r="N4469" s="56" t="n">
        <v>2.5</v>
      </c>
      <c r="O4469" s="56" t="n">
        <f aca="false">IF(D4469=1,"",E4468)</f>
        <v>18.8</v>
      </c>
      <c r="P4469" s="56" t="n">
        <f aca="false">IF(OR(D4469=1,K4468=""),"",K4468)</f>
        <v>1013.4</v>
      </c>
      <c r="Q4469" s="56" t="n">
        <f aca="false">IF(OR(F4469&lt;&gt;0,AND(I4469&lt;&gt;"",E4469&lt;I4469)),1,0)</f>
        <v>0</v>
      </c>
      <c r="R4469" s="56" t="n">
        <f aca="false">IF(AND(D4469&gt;1,Q4469=0,ISNUMBER(O4469),ISNUMBER(P4469)),IF(Q4468=0,1,0),0)</f>
        <v>1</v>
      </c>
      <c r="S4469" s="56" t="n">
        <f aca="false">R4469*(B4469&gt;=Train_Start)*(B4469&lt;=Train_End)</f>
        <v>0</v>
      </c>
      <c r="T4469" s="84" t="n">
        <f aca="false">IF(AND(ISNUMBER(O4469),ISNUMBER(P4469)),Coef_A+Coef_B1*O4469+Coef_B2*P4469,"")</f>
        <v>19.2808034732825</v>
      </c>
      <c r="U4469" s="84" t="n">
        <f aca="false">IF(AND(R4469=1,ISNUMBER(T4469)),E4469-T4469,"")</f>
        <v>2.61919652671749</v>
      </c>
      <c r="V4469" s="84" t="n">
        <f aca="false">IF(ISNUMBER(T4469),T4469,-99)</f>
        <v>19.2808034732825</v>
      </c>
      <c r="W4469" s="84" t="n">
        <f aca="false">IF(ISNUMBER(U4469),ABS(U4469),"")</f>
        <v>2.61919652671749</v>
      </c>
    </row>
    <row r="4470" customFormat="false" ht="15" hidden="false" customHeight="false" outlineLevel="0" collapsed="false">
      <c r="A4470" s="57" t="n">
        <v>39600</v>
      </c>
      <c r="B4470" s="56" t="n">
        <v>2008</v>
      </c>
      <c r="C4470" s="56" t="n">
        <v>6</v>
      </c>
      <c r="D4470" s="56" t="n">
        <v>32</v>
      </c>
      <c r="E4470" s="56" t="n">
        <v>18.4</v>
      </c>
      <c r="F4470" s="56" t="n">
        <v>0</v>
      </c>
      <c r="G4470" s="56" t="n">
        <v>13.7</v>
      </c>
      <c r="H4470" s="56" t="n">
        <v>0</v>
      </c>
      <c r="I4470" s="56" t="n">
        <v>16</v>
      </c>
      <c r="J4470" s="56" t="n">
        <v>0</v>
      </c>
      <c r="K4470" s="56" t="n">
        <v>1014.9</v>
      </c>
      <c r="L4470" s="56" t="n">
        <v>0</v>
      </c>
      <c r="M4470" s="56" t="n">
        <v>79</v>
      </c>
      <c r="N4470" s="56" t="n">
        <v>1.4</v>
      </c>
      <c r="O4470" s="56" t="n">
        <f aca="false">IF(D4470=1,"",E4469)</f>
        <v>21.9</v>
      </c>
      <c r="P4470" s="56" t="n">
        <f aca="false">IF(OR(D4470=1,K4469=""),"",K4469)</f>
        <v>1016.2</v>
      </c>
      <c r="Q4470" s="56" t="n">
        <f aca="false">IF(OR(F4470&lt;&gt;0,AND(I4470&lt;&gt;"",E4470&lt;I4470)),1,0)</f>
        <v>0</v>
      </c>
      <c r="R4470" s="56" t="n">
        <f aca="false">IF(AND(D4470&gt;1,Q4470=0,ISNUMBER(O4470),ISNUMBER(P4470)),IF(Q4469=0,1,0),0)</f>
        <v>1</v>
      </c>
      <c r="S4470" s="56" t="n">
        <f aca="false">R4470*(B4470&gt;=Train_Start)*(B4470&lt;=Train_End)</f>
        <v>0</v>
      </c>
      <c r="T4470" s="84" t="n">
        <f aca="false">IF(AND(ISNUMBER(O4470),ISNUMBER(P4470)),Coef_A+Coef_B1*O4470+Coef_B2*P4470,"")</f>
        <v>21.9085906766899</v>
      </c>
      <c r="U4470" s="84" t="n">
        <f aca="false">IF(AND(R4470=1,ISNUMBER(T4470)),E4470-T4470,"")</f>
        <v>-3.50859067668992</v>
      </c>
      <c r="V4470" s="84" t="n">
        <f aca="false">IF(ISNUMBER(T4470),T4470,-99)</f>
        <v>21.9085906766899</v>
      </c>
      <c r="W4470" s="84" t="n">
        <f aca="false">IF(ISNUMBER(U4470),ABS(U4470),"")</f>
        <v>3.50859067668992</v>
      </c>
    </row>
    <row r="4471" customFormat="false" ht="15" hidden="false" customHeight="false" outlineLevel="0" collapsed="false">
      <c r="A4471" s="57" t="n">
        <v>39601</v>
      </c>
      <c r="B4471" s="56" t="n">
        <v>2008</v>
      </c>
      <c r="C4471" s="56" t="n">
        <v>6</v>
      </c>
      <c r="D4471" s="56" t="n">
        <v>33</v>
      </c>
      <c r="E4471" s="56" t="n">
        <v>19.2</v>
      </c>
      <c r="F4471" s="56" t="n">
        <v>0</v>
      </c>
      <c r="G4471" s="56" t="n">
        <v>12.9</v>
      </c>
      <c r="H4471" s="56" t="n">
        <v>0</v>
      </c>
      <c r="I4471" s="56" t="n">
        <v>16</v>
      </c>
      <c r="J4471" s="56" t="n">
        <v>0</v>
      </c>
      <c r="K4471" s="56" t="n">
        <v>1012.8</v>
      </c>
      <c r="L4471" s="56" t="n">
        <v>0</v>
      </c>
      <c r="M4471" s="56" t="n">
        <v>85</v>
      </c>
      <c r="N4471" s="56" t="n">
        <v>0.2</v>
      </c>
      <c r="O4471" s="56" t="n">
        <f aca="false">IF(D4471=1,"",E4470)</f>
        <v>18.4</v>
      </c>
      <c r="P4471" s="56" t="n">
        <f aca="false">IF(OR(D4471=1,K4470=""),"",K4470)</f>
        <v>1014.9</v>
      </c>
      <c r="Q4471" s="56" t="n">
        <f aca="false">IF(OR(F4471&lt;&gt;0,AND(I4471&lt;&gt;"",E4471&lt;I4471)),1,0)</f>
        <v>0</v>
      </c>
      <c r="R4471" s="56" t="n">
        <f aca="false">IF(AND(D4471&gt;1,Q4471=0,ISNUMBER(O4471),ISNUMBER(P4471)),IF(Q4470=0,1,0),0)</f>
        <v>1</v>
      </c>
      <c r="S4471" s="56" t="n">
        <f aca="false">R4471*(B4471&gt;=Train_Start)*(B4471&lt;=Train_End)</f>
        <v>0</v>
      </c>
      <c r="T4471" s="84" t="n">
        <f aca="false">IF(AND(ISNUMBER(O4471),ISNUMBER(P4471)),Coef_A+Coef_B1*O4471+Coef_B2*P4471,"")</f>
        <v>19.0001226380164</v>
      </c>
      <c r="U4471" s="84" t="n">
        <f aca="false">IF(AND(R4471=1,ISNUMBER(T4471)),E4471-T4471,"")</f>
        <v>0.199877361983571</v>
      </c>
      <c r="V4471" s="84" t="n">
        <f aca="false">IF(ISNUMBER(T4471),T4471,-99)</f>
        <v>19.0001226380164</v>
      </c>
      <c r="W4471" s="84" t="n">
        <f aca="false">IF(ISNUMBER(U4471),ABS(U4471),"")</f>
        <v>0.199877361983571</v>
      </c>
    </row>
    <row r="4472" customFormat="false" ht="15" hidden="false" customHeight="false" outlineLevel="0" collapsed="false">
      <c r="A4472" s="57" t="n">
        <v>39602</v>
      </c>
      <c r="B4472" s="56" t="n">
        <v>2008</v>
      </c>
      <c r="C4472" s="56" t="n">
        <v>6</v>
      </c>
      <c r="D4472" s="56" t="n">
        <v>34</v>
      </c>
      <c r="E4472" s="56" t="n">
        <v>16.2</v>
      </c>
      <c r="F4472" s="56" t="n">
        <v>0</v>
      </c>
      <c r="G4472" s="56" t="n">
        <v>14.1</v>
      </c>
      <c r="H4472" s="56" t="n">
        <v>0</v>
      </c>
      <c r="I4472" s="56" t="n">
        <v>15.2</v>
      </c>
      <c r="J4472" s="56" t="n">
        <v>0</v>
      </c>
      <c r="K4472" s="56" t="n">
        <v>1012.2</v>
      </c>
      <c r="L4472" s="56" t="n">
        <v>0</v>
      </c>
      <c r="M4472" s="56" t="n">
        <v>95</v>
      </c>
      <c r="N4472" s="56" t="n">
        <v>0</v>
      </c>
      <c r="O4472" s="56" t="n">
        <f aca="false">IF(D4472=1,"",E4471)</f>
        <v>19.2</v>
      </c>
      <c r="P4472" s="56" t="n">
        <f aca="false">IF(OR(D4472=1,K4471=""),"",K4471)</f>
        <v>1012.8</v>
      </c>
      <c r="Q4472" s="56" t="n">
        <f aca="false">IF(OR(F4472&lt;&gt;0,AND(I4472&lt;&gt;"",E4472&lt;I4472)),1,0)</f>
        <v>0</v>
      </c>
      <c r="R4472" s="56" t="n">
        <f aca="false">IF(AND(D4472&gt;1,Q4472=0,ISNUMBER(O4472),ISNUMBER(P4472)),IF(Q4471=0,1,0),0)</f>
        <v>1</v>
      </c>
      <c r="S4472" s="56" t="n">
        <f aca="false">R4472*(B4472&gt;=Train_Start)*(B4472&lt;=Train_End)</f>
        <v>0</v>
      </c>
      <c r="T4472" s="84" t="n">
        <f aca="false">IF(AND(ISNUMBER(O4472),ISNUMBER(P4472)),Coef_A+Coef_B1*O4472+Coef_B2*P4472,"")</f>
        <v>19.5897172137192</v>
      </c>
      <c r="U4472" s="84" t="n">
        <f aca="false">IF(AND(R4472=1,ISNUMBER(T4472)),E4472-T4472,"")</f>
        <v>-3.38971721371918</v>
      </c>
      <c r="V4472" s="84" t="n">
        <f aca="false">IF(ISNUMBER(T4472),T4472,-99)</f>
        <v>19.5897172137192</v>
      </c>
      <c r="W4472" s="84" t="n">
        <f aca="false">IF(ISNUMBER(U4472),ABS(U4472),"")</f>
        <v>3.38971721371918</v>
      </c>
    </row>
    <row r="4473" customFormat="false" ht="15" hidden="false" customHeight="false" outlineLevel="0" collapsed="false">
      <c r="A4473" s="57" t="n">
        <v>39603</v>
      </c>
      <c r="B4473" s="56" t="n">
        <v>2008</v>
      </c>
      <c r="C4473" s="56" t="n">
        <v>6</v>
      </c>
      <c r="D4473" s="56" t="n">
        <v>35</v>
      </c>
      <c r="E4473" s="56" t="n">
        <v>20.5</v>
      </c>
      <c r="F4473" s="56" t="n">
        <v>0</v>
      </c>
      <c r="G4473" s="56" t="n">
        <v>11.7</v>
      </c>
      <c r="H4473" s="56" t="n">
        <v>0</v>
      </c>
      <c r="I4473" s="56" t="n">
        <v>16.1</v>
      </c>
      <c r="J4473" s="56" t="n">
        <v>0</v>
      </c>
      <c r="K4473" s="56" t="n">
        <v>1016.6</v>
      </c>
      <c r="L4473" s="56" t="n">
        <v>0</v>
      </c>
      <c r="M4473" s="56" t="n">
        <v>72</v>
      </c>
      <c r="N4473" s="56" t="n">
        <v>8.8</v>
      </c>
      <c r="O4473" s="56" t="n">
        <f aca="false">IF(D4473=1,"",E4472)</f>
        <v>16.2</v>
      </c>
      <c r="P4473" s="56" t="n">
        <f aca="false">IF(OR(D4473=1,K4472=""),"",K4472)</f>
        <v>1012.2</v>
      </c>
      <c r="Q4473" s="56" t="n">
        <f aca="false">IF(OR(F4473&lt;&gt;0,AND(I4473&lt;&gt;"",E4473&lt;I4473)),1,0)</f>
        <v>0</v>
      </c>
      <c r="R4473" s="56" t="n">
        <f aca="false">IF(AND(D4473&gt;1,Q4473=0,ISNUMBER(O4473),ISNUMBER(P4473)),IF(Q4472=0,1,0),0)</f>
        <v>1</v>
      </c>
      <c r="S4473" s="56" t="n">
        <f aca="false">R4473*(B4473&gt;=Train_Start)*(B4473&lt;=Train_End)</f>
        <v>0</v>
      </c>
      <c r="T4473" s="84" t="n">
        <f aca="false">IF(AND(ISNUMBER(O4473),ISNUMBER(P4473)),Coef_A+Coef_B1*O4473+Coef_B2*P4473,"")</f>
        <v>17.1128776978108</v>
      </c>
      <c r="U4473" s="84" t="n">
        <f aca="false">IF(AND(R4473=1,ISNUMBER(T4473)),E4473-T4473,"")</f>
        <v>3.38712230218918</v>
      </c>
      <c r="V4473" s="84" t="n">
        <f aca="false">IF(ISNUMBER(T4473),T4473,-99)</f>
        <v>17.1128776978108</v>
      </c>
      <c r="W4473" s="84" t="n">
        <f aca="false">IF(ISNUMBER(U4473),ABS(U4473),"")</f>
        <v>3.38712230218918</v>
      </c>
    </row>
    <row r="4474" customFormat="false" ht="15" hidden="false" customHeight="false" outlineLevel="0" collapsed="false">
      <c r="A4474" s="57" t="n">
        <v>39604</v>
      </c>
      <c r="B4474" s="56" t="n">
        <v>2008</v>
      </c>
      <c r="C4474" s="56" t="n">
        <v>6</v>
      </c>
      <c r="D4474" s="56" t="n">
        <v>36</v>
      </c>
      <c r="E4474" s="56" t="n">
        <v>20.8</v>
      </c>
      <c r="F4474" s="56" t="n">
        <v>0</v>
      </c>
      <c r="G4474" s="56" t="n">
        <v>9.3</v>
      </c>
      <c r="H4474" s="56" t="n">
        <v>0</v>
      </c>
      <c r="I4474" s="56" t="n">
        <v>15</v>
      </c>
      <c r="J4474" s="56" t="n">
        <v>0</v>
      </c>
      <c r="K4474" s="56" t="n">
        <v>1016.5</v>
      </c>
      <c r="L4474" s="56" t="n">
        <v>0</v>
      </c>
      <c r="M4474" s="56" t="n">
        <v>67</v>
      </c>
      <c r="N4474" s="56" t="n">
        <v>11.9</v>
      </c>
      <c r="O4474" s="56" t="n">
        <f aca="false">IF(D4474=1,"",E4473)</f>
        <v>20.5</v>
      </c>
      <c r="P4474" s="56" t="n">
        <f aca="false">IF(OR(D4474=1,K4473=""),"",K4473)</f>
        <v>1016.6</v>
      </c>
      <c r="Q4474" s="56" t="n">
        <f aca="false">IF(OR(F4474&lt;&gt;0,AND(I4474&lt;&gt;"",E4474&lt;I4474)),1,0)</f>
        <v>0</v>
      </c>
      <c r="R4474" s="56" t="n">
        <f aca="false">IF(AND(D4474&gt;1,Q4474=0,ISNUMBER(O4474),ISNUMBER(P4474)),IF(Q4473=0,1,0),0)</f>
        <v>1</v>
      </c>
      <c r="S4474" s="56" t="n">
        <f aca="false">R4474*(B4474&gt;=Train_Start)*(B4474&lt;=Train_End)</f>
        <v>0</v>
      </c>
      <c r="T4474" s="84" t="n">
        <f aca="false">IF(AND(ISNUMBER(O4474),ISNUMBER(P4474)),Coef_A+Coef_B1*O4474+Coef_B2*P4474,"")</f>
        <v>20.7740637642838</v>
      </c>
      <c r="U4474" s="84" t="n">
        <f aca="false">IF(AND(R4474=1,ISNUMBER(T4474)),E4474-T4474,"")</f>
        <v>0.0259362357162054</v>
      </c>
      <c r="V4474" s="84" t="n">
        <f aca="false">IF(ISNUMBER(T4474),T4474,-99)</f>
        <v>20.7740637642838</v>
      </c>
      <c r="W4474" s="84" t="n">
        <f aca="false">IF(ISNUMBER(U4474),ABS(U4474),"")</f>
        <v>0.0259362357162054</v>
      </c>
    </row>
    <row r="4475" customFormat="false" ht="15" hidden="false" customHeight="false" outlineLevel="0" collapsed="false">
      <c r="A4475" s="57" t="n">
        <v>39605</v>
      </c>
      <c r="B4475" s="56" t="n">
        <v>2008</v>
      </c>
      <c r="C4475" s="56" t="n">
        <v>6</v>
      </c>
      <c r="D4475" s="56" t="n">
        <v>37</v>
      </c>
      <c r="E4475" s="56" t="n">
        <v>19.6</v>
      </c>
      <c r="F4475" s="56" t="n">
        <v>0</v>
      </c>
      <c r="G4475" s="56" t="n">
        <v>9.4</v>
      </c>
      <c r="H4475" s="56" t="n">
        <v>0</v>
      </c>
      <c r="I4475" s="56" t="n">
        <v>14.5</v>
      </c>
      <c r="J4475" s="56" t="n">
        <v>0</v>
      </c>
      <c r="K4475" s="56" t="n">
        <v>1016.8</v>
      </c>
      <c r="L4475" s="56" t="n">
        <v>0</v>
      </c>
      <c r="M4475" s="56" t="n">
        <v>74</v>
      </c>
      <c r="N4475" s="56" t="n">
        <v>3.9</v>
      </c>
      <c r="O4475" s="56" t="n">
        <f aca="false">IF(D4475=1,"",E4474)</f>
        <v>20.8</v>
      </c>
      <c r="P4475" s="56" t="n">
        <f aca="false">IF(OR(D4475=1,K4474=""),"",K4474)</f>
        <v>1016.5</v>
      </c>
      <c r="Q4475" s="56" t="n">
        <f aca="false">IF(OR(F4475&lt;&gt;0,AND(I4475&lt;&gt;"",E4475&lt;I4475)),1,0)</f>
        <v>0</v>
      </c>
      <c r="R4475" s="56" t="n">
        <f aca="false">IF(AND(D4475&gt;1,Q4475=0,ISNUMBER(O4475),ISNUMBER(P4475)),IF(Q4474=0,1,0),0)</f>
        <v>1</v>
      </c>
      <c r="S4475" s="56" t="n">
        <f aca="false">R4475*(B4475&gt;=Train_Start)*(B4475&lt;=Train_End)</f>
        <v>0</v>
      </c>
      <c r="T4475" s="84" t="n">
        <f aca="false">IF(AND(ISNUMBER(O4475),ISNUMBER(P4475)),Coef_A+Coef_B1*O4475+Coef_B2*P4475,"")</f>
        <v>21.0167285327332</v>
      </c>
      <c r="U4475" s="84" t="n">
        <f aca="false">IF(AND(R4475=1,ISNUMBER(T4475)),E4475-T4475,"")</f>
        <v>-1.41672853273319</v>
      </c>
      <c r="V4475" s="84" t="n">
        <f aca="false">IF(ISNUMBER(T4475),T4475,-99)</f>
        <v>21.0167285327332</v>
      </c>
      <c r="W4475" s="84" t="n">
        <f aca="false">IF(ISNUMBER(U4475),ABS(U4475),"")</f>
        <v>1.41672853273319</v>
      </c>
    </row>
    <row r="4476" customFormat="false" ht="15" hidden="false" customHeight="false" outlineLevel="0" collapsed="false">
      <c r="A4476" s="57" t="n">
        <v>39606</v>
      </c>
      <c r="B4476" s="56" t="n">
        <v>2008</v>
      </c>
      <c r="C4476" s="56" t="n">
        <v>6</v>
      </c>
      <c r="D4476" s="56" t="n">
        <v>38</v>
      </c>
      <c r="E4476" s="56" t="n">
        <v>19.9</v>
      </c>
      <c r="F4476" s="56" t="n">
        <v>0</v>
      </c>
      <c r="G4476" s="56" t="n">
        <v>10.1</v>
      </c>
      <c r="H4476" s="56" t="n">
        <v>0</v>
      </c>
      <c r="I4476" s="56" t="n">
        <v>15</v>
      </c>
      <c r="J4476" s="56" t="n">
        <v>0</v>
      </c>
      <c r="K4476" s="56" t="n">
        <v>1019.2</v>
      </c>
      <c r="L4476" s="56" t="n">
        <v>0</v>
      </c>
      <c r="M4476" s="56" t="n">
        <v>70</v>
      </c>
      <c r="N4476" s="56" t="n">
        <v>9.1</v>
      </c>
      <c r="O4476" s="56" t="n">
        <f aca="false">IF(D4476=1,"",E4475)</f>
        <v>19.6</v>
      </c>
      <c r="P4476" s="56" t="n">
        <f aca="false">IF(OR(D4476=1,K4475=""),"",K4475)</f>
        <v>1016.8</v>
      </c>
      <c r="Q4476" s="56" t="n">
        <f aca="false">IF(OR(F4476&lt;&gt;0,AND(I4476&lt;&gt;"",E4476&lt;I4476)),1,0)</f>
        <v>0</v>
      </c>
      <c r="R4476" s="56" t="n">
        <f aca="false">IF(AND(D4476&gt;1,Q4476=0,ISNUMBER(O4476),ISNUMBER(P4476)),IF(Q4475=0,1,0),0)</f>
        <v>1</v>
      </c>
      <c r="S4476" s="56" t="n">
        <f aca="false">R4476*(B4476&gt;=Train_Start)*(B4476&lt;=Train_End)</f>
        <v>0</v>
      </c>
      <c r="T4476" s="84" t="n">
        <f aca="false">IF(AND(ISNUMBER(O4476),ISNUMBER(P4476)),Coef_A+Coef_B1*O4476+Coef_B2*P4476,"")</f>
        <v>20.0429324694722</v>
      </c>
      <c r="U4476" s="84" t="n">
        <f aca="false">IF(AND(R4476=1,ISNUMBER(T4476)),E4476-T4476,"")</f>
        <v>-0.142932469472203</v>
      </c>
      <c r="V4476" s="84" t="n">
        <f aca="false">IF(ISNUMBER(T4476),T4476,-99)</f>
        <v>20.0429324694722</v>
      </c>
      <c r="W4476" s="84" t="n">
        <f aca="false">IF(ISNUMBER(U4476),ABS(U4476),"")</f>
        <v>0.142932469472203</v>
      </c>
    </row>
    <row r="4477" customFormat="false" ht="15" hidden="false" customHeight="false" outlineLevel="0" collapsed="false">
      <c r="A4477" s="57" t="n">
        <v>39607</v>
      </c>
      <c r="B4477" s="56" t="n">
        <v>2008</v>
      </c>
      <c r="C4477" s="56" t="n">
        <v>6</v>
      </c>
      <c r="D4477" s="56" t="n">
        <v>39</v>
      </c>
      <c r="E4477" s="56" t="n">
        <v>25.5</v>
      </c>
      <c r="F4477" s="56" t="n">
        <v>0</v>
      </c>
      <c r="G4477" s="56" t="n">
        <v>15</v>
      </c>
      <c r="H4477" s="56" t="n">
        <v>0</v>
      </c>
      <c r="I4477" s="56"/>
      <c r="J4477" s="56" t="n">
        <v>9</v>
      </c>
      <c r="K4477" s="56" t="n">
        <v>1022.9</v>
      </c>
      <c r="L4477" s="56" t="n">
        <v>0</v>
      </c>
      <c r="M4477" s="56" t="n">
        <v>66</v>
      </c>
      <c r="N4477" s="56" t="n">
        <v>10.7</v>
      </c>
      <c r="O4477" s="56" t="n">
        <f aca="false">IF(D4477=1,"",E4476)</f>
        <v>19.9</v>
      </c>
      <c r="P4477" s="56" t="n">
        <f aca="false">IF(OR(D4477=1,K4476=""),"",K4476)</f>
        <v>1019.2</v>
      </c>
      <c r="Q4477" s="56" t="n">
        <f aca="false">IF(OR(F4477&lt;&gt;0,AND(I4477&lt;&gt;"",E4477&lt;I4477)),1,0)</f>
        <v>0</v>
      </c>
      <c r="R4477" s="56" t="n">
        <f aca="false">IF(AND(D4477&gt;1,Q4477=0,ISNUMBER(O4477),ISNUMBER(P4477)),IF(Q4476=0,1,0),0)</f>
        <v>1</v>
      </c>
      <c r="S4477" s="56" t="n">
        <f aca="false">R4477*(B4477&gt;=Train_Start)*(B4477&lt;=Train_End)</f>
        <v>0</v>
      </c>
      <c r="T4477" s="84" t="n">
        <f aca="false">IF(AND(ISNUMBER(O4477),ISNUMBER(P4477)),Coef_A+Coef_B1*O4477+Coef_B2*P4477,"")</f>
        <v>20.3640219745066</v>
      </c>
      <c r="U4477" s="84" t="n">
        <f aca="false">IF(AND(R4477=1,ISNUMBER(T4477)),E4477-T4477,"")</f>
        <v>5.13597802549343</v>
      </c>
      <c r="V4477" s="84" t="n">
        <f aca="false">IF(ISNUMBER(T4477),T4477,-99)</f>
        <v>20.3640219745066</v>
      </c>
      <c r="W4477" s="84" t="n">
        <f aca="false">IF(ISNUMBER(U4477),ABS(U4477),"")</f>
        <v>5.13597802549343</v>
      </c>
    </row>
    <row r="4478" customFormat="false" ht="15" hidden="false" customHeight="false" outlineLevel="0" collapsed="false">
      <c r="A4478" s="57" t="n">
        <v>39608</v>
      </c>
      <c r="B4478" s="56" t="n">
        <v>2008</v>
      </c>
      <c r="C4478" s="56" t="n">
        <v>6</v>
      </c>
      <c r="D4478" s="56" t="n">
        <v>40</v>
      </c>
      <c r="E4478" s="56" t="n">
        <v>26.4</v>
      </c>
      <c r="F4478" s="56" t="n">
        <v>0</v>
      </c>
      <c r="G4478" s="56" t="n">
        <v>13.8</v>
      </c>
      <c r="H4478" s="56" t="n">
        <v>0</v>
      </c>
      <c r="I4478" s="56" t="n">
        <v>20.1</v>
      </c>
      <c r="J4478" s="56" t="n">
        <v>0</v>
      </c>
      <c r="K4478" s="56" t="n">
        <v>1024.8</v>
      </c>
      <c r="L4478" s="56" t="n">
        <v>0</v>
      </c>
      <c r="M4478" s="56" t="n">
        <v>56</v>
      </c>
      <c r="N4478" s="56" t="n">
        <v>13.2</v>
      </c>
      <c r="O4478" s="56" t="n">
        <f aca="false">IF(D4478=1,"",E4477)</f>
        <v>25.5</v>
      </c>
      <c r="P4478" s="56" t="n">
        <f aca="false">IF(OR(D4478=1,K4477=""),"",K4477)</f>
        <v>1022.9</v>
      </c>
      <c r="Q4478" s="56" t="n">
        <f aca="false">IF(OR(F4478&lt;&gt;0,AND(I4478&lt;&gt;"",E4478&lt;I4478)),1,0)</f>
        <v>0</v>
      </c>
      <c r="R4478" s="56" t="n">
        <f aca="false">IF(AND(D4478&gt;1,Q4478=0,ISNUMBER(O4478),ISNUMBER(P4478)),IF(Q4477=0,1,0),0)</f>
        <v>1</v>
      </c>
      <c r="S4478" s="56" t="n">
        <f aca="false">R4478*(B4478&gt;=Train_Start)*(B4478&lt;=Train_End)</f>
        <v>0</v>
      </c>
      <c r="T4478" s="84" t="n">
        <f aca="false">IF(AND(ISNUMBER(O4478),ISNUMBER(P4478)),Coef_A+Coef_B1*O4478+Coef_B2*P4478,"")</f>
        <v>25.0683900656912</v>
      </c>
      <c r="U4478" s="84" t="n">
        <f aca="false">IF(AND(R4478=1,ISNUMBER(T4478)),E4478-T4478,"")</f>
        <v>1.33160993430878</v>
      </c>
      <c r="V4478" s="84" t="n">
        <f aca="false">IF(ISNUMBER(T4478),T4478,-99)</f>
        <v>25.0683900656912</v>
      </c>
      <c r="W4478" s="84" t="n">
        <f aca="false">IF(ISNUMBER(U4478),ABS(U4478),"")</f>
        <v>1.33160993430878</v>
      </c>
    </row>
    <row r="4479" customFormat="false" ht="15" hidden="false" customHeight="false" outlineLevel="0" collapsed="false">
      <c r="A4479" s="57" t="n">
        <v>39609</v>
      </c>
      <c r="B4479" s="56" t="n">
        <v>2008</v>
      </c>
      <c r="C4479" s="56" t="n">
        <v>6</v>
      </c>
      <c r="D4479" s="56" t="n">
        <v>41</v>
      </c>
      <c r="E4479" s="56" t="n">
        <v>23.3</v>
      </c>
      <c r="F4479" s="56" t="n">
        <v>0</v>
      </c>
      <c r="G4479" s="56" t="n">
        <v>15.5</v>
      </c>
      <c r="H4479" s="56" t="n">
        <v>0</v>
      </c>
      <c r="I4479" s="56" t="n">
        <v>19.4</v>
      </c>
      <c r="J4479" s="56" t="n">
        <v>0</v>
      </c>
      <c r="K4479" s="56" t="n">
        <v>1023.7</v>
      </c>
      <c r="L4479" s="56" t="n">
        <v>0</v>
      </c>
      <c r="M4479" s="56" t="n">
        <v>62</v>
      </c>
      <c r="N4479" s="56" t="n">
        <v>9.5</v>
      </c>
      <c r="O4479" s="56" t="n">
        <f aca="false">IF(D4479=1,"",E4478)</f>
        <v>26.4</v>
      </c>
      <c r="P4479" s="56" t="n">
        <f aca="false">IF(OR(D4479=1,K4478=""),"",K4478)</f>
        <v>1024.8</v>
      </c>
      <c r="Q4479" s="56" t="n">
        <f aca="false">IF(OR(F4479&lt;&gt;0,AND(I4479&lt;&gt;"",E4479&lt;I4479)),1,0)</f>
        <v>0</v>
      </c>
      <c r="R4479" s="56" t="n">
        <f aca="false">IF(AND(D4479&gt;1,Q4479=0,ISNUMBER(O4479),ISNUMBER(P4479)),IF(Q4478=0,1,0),0)</f>
        <v>1</v>
      </c>
      <c r="S4479" s="56" t="n">
        <f aca="false">R4479*(B4479&gt;=Train_Start)*(B4479&lt;=Train_End)</f>
        <v>0</v>
      </c>
      <c r="T4479" s="84" t="n">
        <f aca="false">IF(AND(ISNUMBER(O4479),ISNUMBER(P4479)),Coef_A+Coef_B1*O4479+Coef_B2*P4479,"")</f>
        <v>25.8653981392342</v>
      </c>
      <c r="U4479" s="84" t="n">
        <f aca="false">IF(AND(R4479=1,ISNUMBER(T4479)),E4479-T4479,"")</f>
        <v>-2.56539813923418</v>
      </c>
      <c r="V4479" s="84" t="n">
        <f aca="false">IF(ISNUMBER(T4479),T4479,-99)</f>
        <v>25.8653981392342</v>
      </c>
      <c r="W4479" s="84" t="n">
        <f aca="false">IF(ISNUMBER(U4479),ABS(U4479),"")</f>
        <v>2.56539813923418</v>
      </c>
    </row>
    <row r="4480" customFormat="false" ht="15" hidden="false" customHeight="false" outlineLevel="0" collapsed="false">
      <c r="A4480" s="57" t="n">
        <v>39610</v>
      </c>
      <c r="B4480" s="56" t="n">
        <v>2008</v>
      </c>
      <c r="C4480" s="56" t="n">
        <v>6</v>
      </c>
      <c r="D4480" s="56" t="n">
        <v>42</v>
      </c>
      <c r="E4480" s="56" t="n">
        <v>20.6</v>
      </c>
      <c r="F4480" s="56" t="n">
        <v>0</v>
      </c>
      <c r="G4480" s="56" t="n">
        <v>11.8</v>
      </c>
      <c r="H4480" s="56" t="n">
        <v>0</v>
      </c>
      <c r="I4480" s="56" t="n">
        <v>16.2</v>
      </c>
      <c r="J4480" s="56" t="n">
        <v>0</v>
      </c>
      <c r="K4480" s="56" t="n">
        <v>1022.6</v>
      </c>
      <c r="L4480" s="56" t="n">
        <v>0</v>
      </c>
      <c r="M4480" s="56" t="n">
        <v>60</v>
      </c>
      <c r="N4480" s="56" t="n">
        <v>4.7</v>
      </c>
      <c r="O4480" s="56" t="n">
        <f aca="false">IF(D4480=1,"",E4479)</f>
        <v>23.3</v>
      </c>
      <c r="P4480" s="56" t="n">
        <f aca="false">IF(OR(D4480=1,K4479=""),"",K4479)</f>
        <v>1023.7</v>
      </c>
      <c r="Q4480" s="56" t="n">
        <f aca="false">IF(OR(F4480&lt;&gt;0,AND(I4480&lt;&gt;"",E4480&lt;I4480)),1,0)</f>
        <v>0</v>
      </c>
      <c r="R4480" s="56" t="n">
        <f aca="false">IF(AND(D4480&gt;1,Q4480=0,ISNUMBER(O4480),ISNUMBER(P4480)),IF(Q4479=0,1,0),0)</f>
        <v>1</v>
      </c>
      <c r="S4480" s="56" t="n">
        <f aca="false">R4480*(B4480&gt;=Train_Start)*(B4480&lt;=Train_End)</f>
        <v>0</v>
      </c>
      <c r="T4480" s="84" t="n">
        <f aca="false">IF(AND(ISNUMBER(O4480),ISNUMBER(P4480)),Coef_A+Coef_B1*O4480+Coef_B2*P4480,"")</f>
        <v>23.2909397567046</v>
      </c>
      <c r="U4480" s="84" t="n">
        <f aca="false">IF(AND(R4480=1,ISNUMBER(T4480)),E4480-T4480,"")</f>
        <v>-2.69093975670457</v>
      </c>
      <c r="V4480" s="84" t="n">
        <f aca="false">IF(ISNUMBER(T4480),T4480,-99)</f>
        <v>23.2909397567046</v>
      </c>
      <c r="W4480" s="84" t="n">
        <f aca="false">IF(ISNUMBER(U4480),ABS(U4480),"")</f>
        <v>2.69093975670457</v>
      </c>
    </row>
    <row r="4481" customFormat="false" ht="15" hidden="false" customHeight="false" outlineLevel="0" collapsed="false">
      <c r="A4481" s="57" t="n">
        <v>39611</v>
      </c>
      <c r="B4481" s="56" t="n">
        <v>2008</v>
      </c>
      <c r="C4481" s="56" t="n">
        <v>6</v>
      </c>
      <c r="D4481" s="56" t="n">
        <v>43</v>
      </c>
      <c r="E4481" s="56" t="n">
        <v>15.5</v>
      </c>
      <c r="F4481" s="56" t="n">
        <v>0</v>
      </c>
      <c r="G4481" s="56" t="n">
        <v>10.7</v>
      </c>
      <c r="H4481" s="56" t="n">
        <v>0</v>
      </c>
      <c r="I4481" s="56" t="n">
        <v>13.1</v>
      </c>
      <c r="J4481" s="56" t="n">
        <v>0</v>
      </c>
      <c r="K4481" s="56" t="n">
        <v>1017.9</v>
      </c>
      <c r="L4481" s="56" t="n">
        <v>0</v>
      </c>
      <c r="M4481" s="56" t="n">
        <v>75</v>
      </c>
      <c r="N4481" s="56" t="n">
        <v>2.8</v>
      </c>
      <c r="O4481" s="56" t="n">
        <f aca="false">IF(D4481=1,"",E4480)</f>
        <v>20.6</v>
      </c>
      <c r="P4481" s="56" t="n">
        <f aca="false">IF(OR(D4481=1,K4480=""),"",K4480)</f>
        <v>1022.6</v>
      </c>
      <c r="Q4481" s="56" t="n">
        <f aca="false">IF(OR(F4481&lt;&gt;0,AND(I4481&lt;&gt;"",E4481&lt;I4481)),1,0)</f>
        <v>0</v>
      </c>
      <c r="R4481" s="56" t="n">
        <f aca="false">IF(AND(D4481&gt;1,Q4481=0,ISNUMBER(O4481),ISNUMBER(P4481)),IF(Q4480=0,1,0),0)</f>
        <v>1</v>
      </c>
      <c r="S4481" s="56" t="n">
        <f aca="false">R4481*(B4481&gt;=Train_Start)*(B4481&lt;=Train_End)</f>
        <v>0</v>
      </c>
      <c r="T4481" s="84" t="n">
        <f aca="false">IF(AND(ISNUMBER(O4481),ISNUMBER(P4481)),Coef_A+Coef_B1*O4481+Coef_B2*P4481,"")</f>
        <v>21.044217051392</v>
      </c>
      <c r="U4481" s="84" t="n">
        <f aca="false">IF(AND(R4481=1,ISNUMBER(T4481)),E4481-T4481,"")</f>
        <v>-5.544217051392</v>
      </c>
      <c r="V4481" s="84" t="n">
        <f aca="false">IF(ISNUMBER(T4481),T4481,-99)</f>
        <v>21.044217051392</v>
      </c>
      <c r="W4481" s="84" t="n">
        <f aca="false">IF(ISNUMBER(U4481),ABS(U4481),"")</f>
        <v>5.544217051392</v>
      </c>
    </row>
    <row r="4482" customFormat="false" ht="15" hidden="false" customHeight="false" outlineLevel="0" collapsed="false">
      <c r="A4482" s="57" t="n">
        <v>39612</v>
      </c>
      <c r="B4482" s="56" t="n">
        <v>2008</v>
      </c>
      <c r="C4482" s="56" t="n">
        <v>6</v>
      </c>
      <c r="D4482" s="56" t="n">
        <v>44</v>
      </c>
      <c r="E4482" s="56" t="n">
        <v>17.8</v>
      </c>
      <c r="F4482" s="56" t="n">
        <v>0</v>
      </c>
      <c r="G4482" s="56" t="n">
        <v>9.7</v>
      </c>
      <c r="H4482" s="56" t="n">
        <v>0</v>
      </c>
      <c r="I4482" s="56" t="n">
        <v>13.8</v>
      </c>
      <c r="J4482" s="56" t="n">
        <v>0</v>
      </c>
      <c r="K4482" s="56" t="n">
        <v>1017.6</v>
      </c>
      <c r="L4482" s="56" t="n">
        <v>0</v>
      </c>
      <c r="M4482" s="56" t="n">
        <v>64</v>
      </c>
      <c r="N4482" s="56" t="n">
        <v>5.3</v>
      </c>
      <c r="O4482" s="56" t="n">
        <f aca="false">IF(D4482=1,"",E4481)</f>
        <v>15.5</v>
      </c>
      <c r="P4482" s="56" t="n">
        <f aca="false">IF(OR(D4482=1,K4481=""),"",K4481)</f>
        <v>1017.9</v>
      </c>
      <c r="Q4482" s="56" t="n">
        <f aca="false">IF(OR(F4482&lt;&gt;0,AND(I4482&lt;&gt;"",E4482&lt;I4482)),1,0)</f>
        <v>0</v>
      </c>
      <c r="R4482" s="56" t="n">
        <f aca="false">IF(AND(D4482&gt;1,Q4482=0,ISNUMBER(O4482),ISNUMBER(P4482)),IF(Q4481=0,1,0),0)</f>
        <v>1</v>
      </c>
      <c r="S4482" s="56" t="n">
        <f aca="false">R4482*(B4482&gt;=Train_Start)*(B4482&lt;=Train_End)</f>
        <v>0</v>
      </c>
      <c r="T4482" s="84" t="n">
        <f aca="false">IF(AND(ISNUMBER(O4482),ISNUMBER(P4482)),Coef_A+Coef_B1*O4482+Coef_B2*P4482,"")</f>
        <v>16.7181486620947</v>
      </c>
      <c r="U4482" s="84" t="n">
        <f aca="false">IF(AND(R4482=1,ISNUMBER(T4482)),E4482-T4482,"")</f>
        <v>1.08185133790531</v>
      </c>
      <c r="V4482" s="84" t="n">
        <f aca="false">IF(ISNUMBER(T4482),T4482,-99)</f>
        <v>16.7181486620947</v>
      </c>
      <c r="W4482" s="84" t="n">
        <f aca="false">IF(ISNUMBER(U4482),ABS(U4482),"")</f>
        <v>1.08185133790531</v>
      </c>
    </row>
    <row r="4483" customFormat="false" ht="15" hidden="false" customHeight="false" outlineLevel="0" collapsed="false">
      <c r="A4483" s="57" t="n">
        <v>39613</v>
      </c>
      <c r="B4483" s="56" t="n">
        <v>2008</v>
      </c>
      <c r="C4483" s="56" t="n">
        <v>6</v>
      </c>
      <c r="D4483" s="56" t="n">
        <v>45</v>
      </c>
      <c r="E4483" s="56" t="n">
        <v>19.7</v>
      </c>
      <c r="F4483" s="56" t="n">
        <v>0</v>
      </c>
      <c r="G4483" s="56" t="n">
        <v>10</v>
      </c>
      <c r="H4483" s="56" t="n">
        <v>0</v>
      </c>
      <c r="I4483" s="56" t="n">
        <v>14.8</v>
      </c>
      <c r="J4483" s="56" t="n">
        <v>0</v>
      </c>
      <c r="K4483" s="56" t="n">
        <v>1015</v>
      </c>
      <c r="L4483" s="56" t="n">
        <v>0</v>
      </c>
      <c r="M4483" s="56" t="n">
        <v>60</v>
      </c>
      <c r="N4483" s="56" t="n">
        <v>5.9</v>
      </c>
      <c r="O4483" s="56" t="n">
        <f aca="false">IF(D4483=1,"",E4482)</f>
        <v>17.8</v>
      </c>
      <c r="P4483" s="56" t="n">
        <f aca="false">IF(OR(D4483=1,K4482=""),"",K4482)</f>
        <v>1017.6</v>
      </c>
      <c r="Q4483" s="56" t="n">
        <f aca="false">IF(OR(F4483&lt;&gt;0,AND(I4483&lt;&gt;"",E4483&lt;I4483)),1,0)</f>
        <v>0</v>
      </c>
      <c r="R4483" s="56" t="n">
        <f aca="false">IF(AND(D4483&gt;1,Q4483=0,ISNUMBER(O4483),ISNUMBER(P4483)),IF(Q4482=0,1,0),0)</f>
        <v>1</v>
      </c>
      <c r="S4483" s="56" t="n">
        <f aca="false">R4483*(B4483&gt;=Train_Start)*(B4483&lt;=Train_End)</f>
        <v>0</v>
      </c>
      <c r="T4483" s="84" t="n">
        <f aca="false">IF(AND(ISNUMBER(O4483),ISNUMBER(P4483)),Coef_A+Coef_B1*O4483+Coef_B2*P4483,"")</f>
        <v>18.5932178377026</v>
      </c>
      <c r="U4483" s="84" t="n">
        <f aca="false">IF(AND(R4483=1,ISNUMBER(T4483)),E4483-T4483,"")</f>
        <v>1.10678216229739</v>
      </c>
      <c r="V4483" s="84" t="n">
        <f aca="false">IF(ISNUMBER(T4483),T4483,-99)</f>
        <v>18.5932178377026</v>
      </c>
      <c r="W4483" s="84" t="n">
        <f aca="false">IF(ISNUMBER(U4483),ABS(U4483),"")</f>
        <v>1.10678216229739</v>
      </c>
    </row>
    <row r="4484" customFormat="false" ht="15" hidden="false" customHeight="false" outlineLevel="0" collapsed="false">
      <c r="A4484" s="57" t="n">
        <v>39614</v>
      </c>
      <c r="B4484" s="56" t="n">
        <v>2008</v>
      </c>
      <c r="C4484" s="56" t="n">
        <v>6</v>
      </c>
      <c r="D4484" s="56" t="n">
        <v>46</v>
      </c>
      <c r="E4484" s="56" t="n">
        <v>18.1</v>
      </c>
      <c r="F4484" s="56" t="n">
        <v>0</v>
      </c>
      <c r="G4484" s="56" t="n">
        <v>10.4</v>
      </c>
      <c r="H4484" s="56" t="n">
        <v>0</v>
      </c>
      <c r="I4484" s="56" t="n">
        <v>14.2</v>
      </c>
      <c r="J4484" s="56" t="n">
        <v>0</v>
      </c>
      <c r="K4484" s="56" t="n">
        <v>1011</v>
      </c>
      <c r="L4484" s="56" t="n">
        <v>0</v>
      </c>
      <c r="M4484" s="56" t="n">
        <v>56</v>
      </c>
      <c r="N4484" s="56" t="n">
        <v>7.9</v>
      </c>
      <c r="O4484" s="56" t="n">
        <f aca="false">IF(D4484=1,"",E4483)</f>
        <v>19.7</v>
      </c>
      <c r="P4484" s="56" t="n">
        <f aca="false">IF(OR(D4484=1,K4483=""),"",K4483)</f>
        <v>1015</v>
      </c>
      <c r="Q4484" s="56" t="n">
        <f aca="false">IF(OR(F4484&lt;&gt;0,AND(I4484&lt;&gt;"",E4484&lt;I4484)),1,0)</f>
        <v>0</v>
      </c>
      <c r="R4484" s="56" t="n">
        <f aca="false">IF(AND(D4484&gt;1,Q4484=0,ISNUMBER(O4484),ISNUMBER(P4484)),IF(Q4483=0,1,0),0)</f>
        <v>1</v>
      </c>
      <c r="S4484" s="56" t="n">
        <f aca="false">R4484*(B4484&gt;=Train_Start)*(B4484&lt;=Train_End)</f>
        <v>0</v>
      </c>
      <c r="T4484" s="84" t="n">
        <f aca="false">IF(AND(ISNUMBER(O4484),ISNUMBER(P4484)),Coef_A+Coef_B1*O4484+Coef_B2*P4484,"")</f>
        <v>20.0684005784353</v>
      </c>
      <c r="U4484" s="84" t="n">
        <f aca="false">IF(AND(R4484=1,ISNUMBER(T4484)),E4484-T4484,"")</f>
        <v>-1.96840057843528</v>
      </c>
      <c r="V4484" s="84" t="n">
        <f aca="false">IF(ISNUMBER(T4484),T4484,-99)</f>
        <v>20.0684005784353</v>
      </c>
      <c r="W4484" s="84" t="n">
        <f aca="false">IF(ISNUMBER(U4484),ABS(U4484),"")</f>
        <v>1.96840057843528</v>
      </c>
    </row>
    <row r="4485" customFormat="false" ht="15" hidden="false" customHeight="false" outlineLevel="0" collapsed="false">
      <c r="A4485" s="57" t="n">
        <v>39615</v>
      </c>
      <c r="B4485" s="56" t="n">
        <v>2008</v>
      </c>
      <c r="C4485" s="56" t="n">
        <v>6</v>
      </c>
      <c r="D4485" s="56" t="n">
        <v>47</v>
      </c>
      <c r="E4485" s="56" t="n">
        <v>20.1</v>
      </c>
      <c r="F4485" s="56" t="n">
        <v>0</v>
      </c>
      <c r="G4485" s="56" t="n">
        <v>9.3</v>
      </c>
      <c r="H4485" s="56" t="n">
        <v>0</v>
      </c>
      <c r="I4485" s="56" t="n">
        <v>14.7</v>
      </c>
      <c r="J4485" s="56" t="n">
        <v>0</v>
      </c>
      <c r="K4485" s="56" t="n">
        <v>1011.3</v>
      </c>
      <c r="L4485" s="56" t="n">
        <v>0</v>
      </c>
      <c r="M4485" s="56" t="n">
        <v>63</v>
      </c>
      <c r="N4485" s="56" t="n">
        <v>8.5</v>
      </c>
      <c r="O4485" s="56" t="n">
        <f aca="false">IF(D4485=1,"",E4484)</f>
        <v>18.1</v>
      </c>
      <c r="P4485" s="56" t="n">
        <f aca="false">IF(OR(D4485=1,K4484=""),"",K4484)</f>
        <v>1011</v>
      </c>
      <c r="Q4485" s="56" t="n">
        <f aca="false">IF(OR(F4485&lt;&gt;0,AND(I4485&lt;&gt;"",E4485&lt;I4485)),1,0)</f>
        <v>0</v>
      </c>
      <c r="R4485" s="56" t="n">
        <f aca="false">IF(AND(D4485&gt;1,Q4485=0,ISNUMBER(O4485),ISNUMBER(P4485)),IF(Q4484=0,1,0),0)</f>
        <v>1</v>
      </c>
      <c r="S4485" s="56" t="n">
        <f aca="false">R4485*(B4485&gt;=Train_Start)*(B4485&lt;=Train_End)</f>
        <v>0</v>
      </c>
      <c r="T4485" s="84" t="n">
        <f aca="false">IF(AND(ISNUMBER(O4485),ISNUMBER(P4485)),Coef_A+Coef_B1*O4485+Coef_B2*P4485,"")</f>
        <v>18.6319782910311</v>
      </c>
      <c r="U4485" s="84" t="n">
        <f aca="false">IF(AND(R4485=1,ISNUMBER(T4485)),E4485-T4485,"")</f>
        <v>1.46802170896893</v>
      </c>
      <c r="V4485" s="84" t="n">
        <f aca="false">IF(ISNUMBER(T4485),T4485,-99)</f>
        <v>18.6319782910311</v>
      </c>
      <c r="W4485" s="84" t="n">
        <f aca="false">IF(ISNUMBER(U4485),ABS(U4485),"")</f>
        <v>1.46802170896893</v>
      </c>
    </row>
    <row r="4486" customFormat="false" ht="15" hidden="false" customHeight="false" outlineLevel="0" collapsed="false">
      <c r="A4486" s="57" t="n">
        <v>39616</v>
      </c>
      <c r="B4486" s="56" t="n">
        <v>2008</v>
      </c>
      <c r="C4486" s="56" t="n">
        <v>6</v>
      </c>
      <c r="D4486" s="56" t="n">
        <v>48</v>
      </c>
      <c r="E4486" s="56" t="n">
        <v>20.8</v>
      </c>
      <c r="F4486" s="56" t="n">
        <v>0</v>
      </c>
      <c r="G4486" s="56" t="n">
        <v>10.4</v>
      </c>
      <c r="H4486" s="56" t="n">
        <v>0</v>
      </c>
      <c r="I4486" s="56" t="n">
        <v>15.6</v>
      </c>
      <c r="J4486" s="56" t="n">
        <v>0</v>
      </c>
      <c r="K4486" s="56" t="n">
        <v>1012.2</v>
      </c>
      <c r="L4486" s="56" t="n">
        <v>0</v>
      </c>
      <c r="M4486" s="56" t="n">
        <v>60</v>
      </c>
      <c r="N4486" s="56" t="n">
        <v>8.2</v>
      </c>
      <c r="O4486" s="56" t="n">
        <f aca="false">IF(D4486=1,"",E4485)</f>
        <v>20.1</v>
      </c>
      <c r="P4486" s="56" t="n">
        <f aca="false">IF(OR(D4486=1,K4485=""),"",K4485)</f>
        <v>1011.3</v>
      </c>
      <c r="Q4486" s="56" t="n">
        <f aca="false">IF(OR(F4486&lt;&gt;0,AND(I4486&lt;&gt;"",E4486&lt;I4486)),1,0)</f>
        <v>0</v>
      </c>
      <c r="R4486" s="56" t="n">
        <f aca="false">IF(AND(D4486&gt;1,Q4486=0,ISNUMBER(O4486),ISNUMBER(P4486)),IF(Q4485=0,1,0),0)</f>
        <v>1</v>
      </c>
      <c r="S4486" s="56" t="n">
        <f aca="false">R4486*(B4486&gt;=Train_Start)*(B4486&lt;=Train_End)</f>
        <v>0</v>
      </c>
      <c r="T4486" s="84" t="n">
        <f aca="false">IF(AND(ISNUMBER(O4486),ISNUMBER(P4486)),Coef_A+Coef_B1*O4486+Coef_B2*P4486,"")</f>
        <v>20.2800676455066</v>
      </c>
      <c r="U4486" s="84" t="n">
        <f aca="false">IF(AND(R4486=1,ISNUMBER(T4486)),E4486-T4486,"")</f>
        <v>0.519932354493413</v>
      </c>
      <c r="V4486" s="84" t="n">
        <f aca="false">IF(ISNUMBER(T4486),T4486,-99)</f>
        <v>20.2800676455066</v>
      </c>
      <c r="W4486" s="84" t="n">
        <f aca="false">IF(ISNUMBER(U4486),ABS(U4486),"")</f>
        <v>0.519932354493413</v>
      </c>
    </row>
    <row r="4487" customFormat="false" ht="15" hidden="false" customHeight="false" outlineLevel="0" collapsed="false">
      <c r="A4487" s="57" t="n">
        <v>39617</v>
      </c>
      <c r="B4487" s="56" t="n">
        <v>2008</v>
      </c>
      <c r="C4487" s="56" t="n">
        <v>6</v>
      </c>
      <c r="D4487" s="56" t="n">
        <v>49</v>
      </c>
      <c r="E4487" s="56" t="n">
        <v>18.8</v>
      </c>
      <c r="F4487" s="56" t="n">
        <v>0</v>
      </c>
      <c r="G4487" s="56" t="n">
        <v>11.7</v>
      </c>
      <c r="H4487" s="56" t="n">
        <v>0</v>
      </c>
      <c r="I4487" s="56" t="n">
        <v>15.2</v>
      </c>
      <c r="J4487" s="56" t="n">
        <v>0</v>
      </c>
      <c r="K4487" s="56" t="n">
        <v>1011.4</v>
      </c>
      <c r="L4487" s="56" t="n">
        <v>0</v>
      </c>
      <c r="M4487" s="56" t="n">
        <v>70</v>
      </c>
      <c r="N4487" s="56" t="n">
        <v>0.1</v>
      </c>
      <c r="O4487" s="56" t="n">
        <f aca="false">IF(D4487=1,"",E4486)</f>
        <v>20.8</v>
      </c>
      <c r="P4487" s="56" t="n">
        <f aca="false">IF(OR(D4487=1,K4486=""),"",K4486)</f>
        <v>1012.2</v>
      </c>
      <c r="Q4487" s="56" t="n">
        <f aca="false">IF(OR(F4487&lt;&gt;0,AND(I4487&lt;&gt;"",E4487&lt;I4487)),1,0)</f>
        <v>0</v>
      </c>
      <c r="R4487" s="56" t="n">
        <f aca="false">IF(AND(D4487&gt;1,Q4487=0,ISNUMBER(O4487),ISNUMBER(P4487)),IF(Q4486=0,1,0),0)</f>
        <v>1</v>
      </c>
      <c r="S4487" s="56" t="n">
        <f aca="false">R4487*(B4487&gt;=Train_Start)*(B4487&lt;=Train_End)</f>
        <v>0</v>
      </c>
      <c r="T4487" s="84" t="n">
        <f aca="false">IF(AND(ISNUMBER(O4487),ISNUMBER(P4487)),Coef_A+Coef_B1*O4487+Coef_B2*P4487,"")</f>
        <v>20.881837985807</v>
      </c>
      <c r="U4487" s="84" t="n">
        <f aca="false">IF(AND(R4487=1,ISNUMBER(T4487)),E4487-T4487,"")</f>
        <v>-2.08183798580704</v>
      </c>
      <c r="V4487" s="84" t="n">
        <f aca="false">IF(ISNUMBER(T4487),T4487,-99)</f>
        <v>20.881837985807</v>
      </c>
      <c r="W4487" s="84" t="n">
        <f aca="false">IF(ISNUMBER(U4487),ABS(U4487),"")</f>
        <v>2.08183798580704</v>
      </c>
    </row>
    <row r="4488" customFormat="false" ht="15" hidden="false" customHeight="false" outlineLevel="0" collapsed="false">
      <c r="A4488" s="57" t="n">
        <v>39618</v>
      </c>
      <c r="B4488" s="56" t="n">
        <v>2008</v>
      </c>
      <c r="C4488" s="56" t="n">
        <v>6</v>
      </c>
      <c r="D4488" s="56" t="n">
        <v>50</v>
      </c>
      <c r="E4488" s="56" t="n">
        <v>21.6</v>
      </c>
      <c r="F4488" s="56" t="n">
        <v>0</v>
      </c>
      <c r="G4488" s="56" t="n">
        <v>13.2</v>
      </c>
      <c r="H4488" s="56" t="n">
        <v>0</v>
      </c>
      <c r="I4488" s="56" t="n">
        <v>17.4</v>
      </c>
      <c r="J4488" s="56" t="n">
        <v>0</v>
      </c>
      <c r="K4488" s="56" t="n">
        <v>1009.4</v>
      </c>
      <c r="L4488" s="56" t="n">
        <v>0</v>
      </c>
      <c r="M4488" s="56" t="n">
        <v>61</v>
      </c>
      <c r="N4488" s="56" t="n">
        <v>10.6</v>
      </c>
      <c r="O4488" s="56" t="n">
        <f aca="false">IF(D4488=1,"",E4487)</f>
        <v>18.8</v>
      </c>
      <c r="P4488" s="56" t="n">
        <f aca="false">IF(OR(D4488=1,K4487=""),"",K4487)</f>
        <v>1011.4</v>
      </c>
      <c r="Q4488" s="56" t="n">
        <f aca="false">IF(OR(F4488&lt;&gt;0,AND(I4488&lt;&gt;"",E4488&lt;I4488)),1,0)</f>
        <v>0</v>
      </c>
      <c r="R4488" s="56" t="n">
        <f aca="false">IF(AND(D4488&gt;1,Q4488=0,ISNUMBER(O4488),ISNUMBER(P4488)),IF(Q4487=0,1,0),0)</f>
        <v>1</v>
      </c>
      <c r="S4488" s="56" t="n">
        <f aca="false">R4488*(B4488&gt;=Train_Start)*(B4488&lt;=Train_End)</f>
        <v>0</v>
      </c>
      <c r="T4488" s="84" t="n">
        <f aca="false">IF(AND(ISNUMBER(O4488),ISNUMBER(P4488)),Coef_A+Coef_B1*O4488+Coef_B2*P4488,"")</f>
        <v>19.2180636840145</v>
      </c>
      <c r="U4488" s="84" t="n">
        <f aca="false">IF(AND(R4488=1,ISNUMBER(T4488)),E4488-T4488,"")</f>
        <v>2.38193631598547</v>
      </c>
      <c r="V4488" s="84" t="n">
        <f aca="false">IF(ISNUMBER(T4488),T4488,-99)</f>
        <v>19.2180636840145</v>
      </c>
      <c r="W4488" s="84" t="n">
        <f aca="false">IF(ISNUMBER(U4488),ABS(U4488),"")</f>
        <v>2.38193631598547</v>
      </c>
    </row>
    <row r="4489" customFormat="false" ht="15" hidden="false" customHeight="false" outlineLevel="0" collapsed="false">
      <c r="A4489" s="57" t="n">
        <v>39619</v>
      </c>
      <c r="B4489" s="56" t="n">
        <v>2008</v>
      </c>
      <c r="C4489" s="56" t="n">
        <v>6</v>
      </c>
      <c r="D4489" s="56" t="n">
        <v>51</v>
      </c>
      <c r="E4489" s="56" t="n">
        <v>19.4</v>
      </c>
      <c r="F4489" s="56" t="n">
        <v>0</v>
      </c>
      <c r="G4489" s="56" t="n">
        <v>11.6</v>
      </c>
      <c r="H4489" s="56" t="n">
        <v>0</v>
      </c>
      <c r="I4489" s="56" t="n">
        <v>15.5</v>
      </c>
      <c r="J4489" s="56" t="n">
        <v>0</v>
      </c>
      <c r="K4489" s="56" t="n">
        <v>1017.6</v>
      </c>
      <c r="L4489" s="56" t="n">
        <v>0</v>
      </c>
      <c r="M4489" s="56" t="n">
        <v>71</v>
      </c>
      <c r="N4489" s="56" t="n">
        <v>2.6</v>
      </c>
      <c r="O4489" s="56" t="n">
        <f aca="false">IF(D4489=1,"",E4488)</f>
        <v>21.6</v>
      </c>
      <c r="P4489" s="56" t="n">
        <f aca="false">IF(OR(D4489=1,K4488=""),"",K4488)</f>
        <v>1009.4</v>
      </c>
      <c r="Q4489" s="56" t="n">
        <f aca="false">IF(OR(F4489&lt;&gt;0,AND(I4489&lt;&gt;"",E4489&lt;I4489)),1,0)</f>
        <v>0</v>
      </c>
      <c r="R4489" s="56" t="n">
        <f aca="false">IF(AND(D4489&gt;1,Q4489=0,ISNUMBER(O4489),ISNUMBER(P4489)),IF(Q4488=0,1,0),0)</f>
        <v>1</v>
      </c>
      <c r="S4489" s="56" t="n">
        <f aca="false">R4489*(B4489&gt;=Train_Start)*(B4489&lt;=Train_End)</f>
        <v>0</v>
      </c>
      <c r="T4489" s="84" t="n">
        <f aca="false">IF(AND(ISNUMBER(O4489),ISNUMBER(P4489)),Coef_A+Coef_B1*O4489+Coef_B2*P4489,"")</f>
        <v>21.449473635266</v>
      </c>
      <c r="U4489" s="84" t="n">
        <f aca="false">IF(AND(R4489=1,ISNUMBER(T4489)),E4489-T4489,"")</f>
        <v>-2.04947363526599</v>
      </c>
      <c r="V4489" s="84" t="n">
        <f aca="false">IF(ISNUMBER(T4489),T4489,-99)</f>
        <v>21.449473635266</v>
      </c>
      <c r="W4489" s="84" t="n">
        <f aca="false">IF(ISNUMBER(U4489),ABS(U4489),"")</f>
        <v>2.04947363526599</v>
      </c>
    </row>
    <row r="4490" customFormat="false" ht="15" hidden="false" customHeight="false" outlineLevel="0" collapsed="false">
      <c r="A4490" s="57" t="n">
        <v>39620</v>
      </c>
      <c r="B4490" s="56" t="n">
        <v>2008</v>
      </c>
      <c r="C4490" s="56" t="n">
        <v>6</v>
      </c>
      <c r="D4490" s="56" t="n">
        <v>52</v>
      </c>
      <c r="E4490" s="56" t="n">
        <v>19.3</v>
      </c>
      <c r="F4490" s="56" t="n">
        <v>0</v>
      </c>
      <c r="G4490" s="56" t="n">
        <v>12.3</v>
      </c>
      <c r="H4490" s="56" t="n">
        <v>0</v>
      </c>
      <c r="I4490" s="56" t="n">
        <v>15.8</v>
      </c>
      <c r="J4490" s="56" t="n">
        <v>0</v>
      </c>
      <c r="K4490" s="56" t="n">
        <v>1016.5</v>
      </c>
      <c r="L4490" s="56" t="n">
        <v>0</v>
      </c>
      <c r="M4490" s="56" t="n">
        <v>87</v>
      </c>
      <c r="N4490" s="56" t="n">
        <v>0</v>
      </c>
      <c r="O4490" s="56" t="n">
        <f aca="false">IF(D4490=1,"",E4489)</f>
        <v>19.4</v>
      </c>
      <c r="P4490" s="56" t="n">
        <f aca="false">IF(OR(D4490=1,K4489=""),"",K4489)</f>
        <v>1017.6</v>
      </c>
      <c r="Q4490" s="56" t="n">
        <f aca="false">IF(OR(F4490&lt;&gt;0,AND(I4490&lt;&gt;"",E4490&lt;I4490)),1,0)</f>
        <v>0</v>
      </c>
      <c r="R4490" s="56" t="n">
        <f aca="false">IF(AND(D4490&gt;1,Q4490=0,ISNUMBER(O4490),ISNUMBER(P4490)),IF(Q4489=0,1,0),0)</f>
        <v>1</v>
      </c>
      <c r="S4490" s="56" t="n">
        <f aca="false">R4490*(B4490&gt;=Train_Start)*(B4490&lt;=Train_End)</f>
        <v>0</v>
      </c>
      <c r="T4490" s="84" t="n">
        <f aca="false">IF(AND(ISNUMBER(O4490),ISNUMBER(P4490)),Coef_A+Coef_B1*O4490+Coef_B2*P4490,"")</f>
        <v>19.9041605465709</v>
      </c>
      <c r="U4490" s="84" t="n">
        <f aca="false">IF(AND(R4490=1,ISNUMBER(T4490)),E4490-T4490,"")</f>
        <v>-0.60416054657086</v>
      </c>
      <c r="V4490" s="84" t="n">
        <f aca="false">IF(ISNUMBER(T4490),T4490,-99)</f>
        <v>19.9041605465709</v>
      </c>
      <c r="W4490" s="84" t="n">
        <f aca="false">IF(ISNUMBER(U4490),ABS(U4490),"")</f>
        <v>0.60416054657086</v>
      </c>
    </row>
    <row r="4491" customFormat="false" ht="15" hidden="false" customHeight="false" outlineLevel="0" collapsed="false">
      <c r="A4491" s="57" t="n">
        <v>39621</v>
      </c>
      <c r="B4491" s="56" t="n">
        <v>2008</v>
      </c>
      <c r="C4491" s="56" t="n">
        <v>6</v>
      </c>
      <c r="D4491" s="56" t="n">
        <v>53</v>
      </c>
      <c r="E4491" s="56" t="n">
        <v>21.8</v>
      </c>
      <c r="F4491" s="56" t="n">
        <v>0</v>
      </c>
      <c r="G4491" s="56" t="n">
        <v>14.6</v>
      </c>
      <c r="H4491" s="56" t="n">
        <v>0</v>
      </c>
      <c r="I4491" s="56" t="n">
        <v>18.2</v>
      </c>
      <c r="J4491" s="56" t="n">
        <v>0</v>
      </c>
      <c r="K4491" s="56" t="n">
        <v>1010.8</v>
      </c>
      <c r="L4491" s="56" t="n">
        <v>0</v>
      </c>
      <c r="M4491" s="56" t="n">
        <v>66</v>
      </c>
      <c r="N4491" s="56" t="n">
        <v>10.4</v>
      </c>
      <c r="O4491" s="56" t="n">
        <f aca="false">IF(D4491=1,"",E4490)</f>
        <v>19.3</v>
      </c>
      <c r="P4491" s="56" t="n">
        <f aca="false">IF(OR(D4491=1,K4490=""),"",K4490)</f>
        <v>1016.5</v>
      </c>
      <c r="Q4491" s="56" t="n">
        <f aca="false">IF(OR(F4491&lt;&gt;0,AND(I4491&lt;&gt;"",E4491&lt;I4491)),1,0)</f>
        <v>0</v>
      </c>
      <c r="R4491" s="56" t="n">
        <f aca="false">IF(AND(D4491&gt;1,Q4491=0,ISNUMBER(O4491),ISNUMBER(P4491)),IF(Q4490=0,1,0),0)</f>
        <v>1</v>
      </c>
      <c r="S4491" s="56" t="n">
        <f aca="false">R4491*(B4491&gt;=Train_Start)*(B4491&lt;=Train_End)</f>
        <v>0</v>
      </c>
      <c r="T4491" s="84" t="n">
        <f aca="false">IF(AND(ISNUMBER(O4491),ISNUMBER(P4491)),Coef_A+Coef_B1*O4491+Coef_B2*P4491,"")</f>
        <v>19.7877197431692</v>
      </c>
      <c r="U4491" s="84" t="n">
        <f aca="false">IF(AND(R4491=1,ISNUMBER(T4491)),E4491-T4491,"")</f>
        <v>2.0122802568308</v>
      </c>
      <c r="V4491" s="84" t="n">
        <f aca="false">IF(ISNUMBER(T4491),T4491,-99)</f>
        <v>19.7877197431692</v>
      </c>
      <c r="W4491" s="84" t="n">
        <f aca="false">IF(ISNUMBER(U4491),ABS(U4491),"")</f>
        <v>2.0122802568308</v>
      </c>
    </row>
    <row r="4492" customFormat="false" ht="15" hidden="false" customHeight="false" outlineLevel="0" collapsed="false">
      <c r="A4492" s="57" t="n">
        <v>39622</v>
      </c>
      <c r="B4492" s="56" t="n">
        <v>2008</v>
      </c>
      <c r="C4492" s="56" t="n">
        <v>6</v>
      </c>
      <c r="D4492" s="56" t="n">
        <v>54</v>
      </c>
      <c r="E4492" s="56" t="n">
        <v>21.5</v>
      </c>
      <c r="F4492" s="56" t="n">
        <v>0</v>
      </c>
      <c r="G4492" s="56" t="n">
        <v>10.6</v>
      </c>
      <c r="H4492" s="56" t="n">
        <v>0</v>
      </c>
      <c r="I4492" s="56" t="n">
        <v>16</v>
      </c>
      <c r="J4492" s="56" t="n">
        <v>0</v>
      </c>
      <c r="K4492" s="56" t="n">
        <v>1018.9</v>
      </c>
      <c r="L4492" s="56" t="n">
        <v>0</v>
      </c>
      <c r="M4492" s="56" t="n">
        <v>59</v>
      </c>
      <c r="N4492" s="56" t="n">
        <v>11</v>
      </c>
      <c r="O4492" s="56" t="n">
        <f aca="false">IF(D4492=1,"",E4491)</f>
        <v>21.8</v>
      </c>
      <c r="P4492" s="56" t="n">
        <f aca="false">IF(OR(D4492=1,K4491=""),"",K4491)</f>
        <v>1010.8</v>
      </c>
      <c r="Q4492" s="56" t="n">
        <f aca="false">IF(OR(F4492&lt;&gt;0,AND(I4492&lt;&gt;"",E4492&lt;I4492)),1,0)</f>
        <v>0</v>
      </c>
      <c r="R4492" s="56" t="n">
        <f aca="false">IF(AND(D4492&gt;1,Q4492=0,ISNUMBER(O4492),ISNUMBER(P4492)),IF(Q4491=0,1,0),0)</f>
        <v>1</v>
      </c>
      <c r="S4492" s="56" t="n">
        <f aca="false">R4492*(B4492&gt;=Train_Start)*(B4492&lt;=Train_End)</f>
        <v>0</v>
      </c>
      <c r="T4492" s="84" t="n">
        <f aca="false">IF(AND(ISNUMBER(O4492),ISNUMBER(P4492)),Coef_A+Coef_B1*O4492+Coef_B2*P4492,"")</f>
        <v>21.6572593263621</v>
      </c>
      <c r="U4492" s="84" t="n">
        <f aca="false">IF(AND(R4492=1,ISNUMBER(T4492)),E4492-T4492,"")</f>
        <v>-0.157259326362109</v>
      </c>
      <c r="V4492" s="84" t="n">
        <f aca="false">IF(ISNUMBER(T4492),T4492,-99)</f>
        <v>21.6572593263621</v>
      </c>
      <c r="W4492" s="84" t="n">
        <f aca="false">IF(ISNUMBER(U4492),ABS(U4492),"")</f>
        <v>0.157259326362109</v>
      </c>
    </row>
    <row r="4493" customFormat="false" ht="15" hidden="false" customHeight="false" outlineLevel="0" collapsed="false">
      <c r="A4493" s="57" t="n">
        <v>39623</v>
      </c>
      <c r="B4493" s="56" t="n">
        <v>2008</v>
      </c>
      <c r="C4493" s="56" t="n">
        <v>6</v>
      </c>
      <c r="D4493" s="56" t="n">
        <v>55</v>
      </c>
      <c r="E4493" s="56" t="n">
        <v>23</v>
      </c>
      <c r="F4493" s="56" t="n">
        <v>0</v>
      </c>
      <c r="G4493" s="56" t="n">
        <v>10.3</v>
      </c>
      <c r="H4493" s="56" t="n">
        <v>0</v>
      </c>
      <c r="I4493" s="56" t="n">
        <v>16.6</v>
      </c>
      <c r="J4493" s="56" t="n">
        <v>0</v>
      </c>
      <c r="K4493" s="56" t="n">
        <v>1017.2</v>
      </c>
      <c r="L4493" s="56" t="n">
        <v>0</v>
      </c>
      <c r="M4493" s="56" t="n">
        <v>59</v>
      </c>
      <c r="N4493" s="56" t="n">
        <v>7.2</v>
      </c>
      <c r="O4493" s="56" t="n">
        <f aca="false">IF(D4493=1,"",E4492)</f>
        <v>21.5</v>
      </c>
      <c r="P4493" s="56" t="n">
        <f aca="false">IF(OR(D4493=1,K4492=""),"",K4492)</f>
        <v>1018.9</v>
      </c>
      <c r="Q4493" s="56" t="n">
        <f aca="false">IF(OR(F4493&lt;&gt;0,AND(I4493&lt;&gt;"",E4493&lt;I4493)),1,0)</f>
        <v>0</v>
      </c>
      <c r="R4493" s="56" t="n">
        <f aca="false">IF(AND(D4493&gt;1,Q4493=0,ISNUMBER(O4493),ISNUMBER(P4493)),IF(Q4492=0,1,0),0)</f>
        <v>1</v>
      </c>
      <c r="S4493" s="56" t="n">
        <f aca="false">R4493*(B4493&gt;=Train_Start)*(B4493&lt;=Train_End)</f>
        <v>0</v>
      </c>
      <c r="T4493" s="84" t="n">
        <f aca="false">IF(AND(ISNUMBER(O4493),ISNUMBER(P4493)),Coef_A+Coef_B1*O4493+Coef_B2*P4493,"")</f>
        <v>21.6655537149846</v>
      </c>
      <c r="U4493" s="84" t="n">
        <f aca="false">IF(AND(R4493=1,ISNUMBER(T4493)),E4493-T4493,"")</f>
        <v>1.33444628501537</v>
      </c>
      <c r="V4493" s="84" t="n">
        <f aca="false">IF(ISNUMBER(T4493),T4493,-99)</f>
        <v>21.6655537149846</v>
      </c>
      <c r="W4493" s="84" t="n">
        <f aca="false">IF(ISNUMBER(U4493),ABS(U4493),"")</f>
        <v>1.33444628501537</v>
      </c>
    </row>
    <row r="4494" customFormat="false" ht="15" hidden="false" customHeight="false" outlineLevel="0" collapsed="false">
      <c r="A4494" s="57" t="n">
        <v>39624</v>
      </c>
      <c r="B4494" s="56" t="n">
        <v>2008</v>
      </c>
      <c r="C4494" s="56" t="n">
        <v>6</v>
      </c>
      <c r="D4494" s="56" t="n">
        <v>56</v>
      </c>
      <c r="E4494" s="56" t="n">
        <v>22.9</v>
      </c>
      <c r="F4494" s="56" t="n">
        <v>0</v>
      </c>
      <c r="G4494" s="56" t="n">
        <v>13.1</v>
      </c>
      <c r="H4494" s="56" t="n">
        <v>0</v>
      </c>
      <c r="I4494" s="56" t="n">
        <v>18</v>
      </c>
      <c r="J4494" s="56" t="n">
        <v>0</v>
      </c>
      <c r="K4494" s="56" t="n">
        <v>1015.2</v>
      </c>
      <c r="L4494" s="56" t="n">
        <v>0</v>
      </c>
      <c r="M4494" s="56" t="n">
        <v>61</v>
      </c>
      <c r="N4494" s="56" t="n">
        <v>8.8</v>
      </c>
      <c r="O4494" s="56" t="n">
        <f aca="false">IF(D4494=1,"",E4493)</f>
        <v>23</v>
      </c>
      <c r="P4494" s="56" t="n">
        <f aca="false">IF(OR(D4494=1,K4493=""),"",K4493)</f>
        <v>1017.2</v>
      </c>
      <c r="Q4494" s="56" t="n">
        <f aca="false">IF(OR(F4494&lt;&gt;0,AND(I4494&lt;&gt;"",E4494&lt;I4494)),1,0)</f>
        <v>0</v>
      </c>
      <c r="R4494" s="56" t="n">
        <f aca="false">IF(AND(D4494&gt;1,Q4494=0,ISNUMBER(O4494),ISNUMBER(P4494)),IF(Q4493=0,1,0),0)</f>
        <v>1</v>
      </c>
      <c r="S4494" s="56" t="n">
        <f aca="false">R4494*(B4494&gt;=Train_Start)*(B4494&lt;=Train_End)</f>
        <v>0</v>
      </c>
      <c r="T4494" s="84" t="n">
        <f aca="false">IF(AND(ISNUMBER(O4494),ISNUMBER(P4494)),Coef_A+Coef_B1*O4494+Coef_B2*P4494,"")</f>
        <v>22.8412336836708</v>
      </c>
      <c r="U4494" s="84" t="n">
        <f aca="false">IF(AND(R4494=1,ISNUMBER(T4494)),E4494-T4494,"")</f>
        <v>0.0587663163291623</v>
      </c>
      <c r="V4494" s="84" t="n">
        <f aca="false">IF(ISNUMBER(T4494),T4494,-99)</f>
        <v>22.8412336836708</v>
      </c>
      <c r="W4494" s="84" t="n">
        <f aca="false">IF(ISNUMBER(U4494),ABS(U4494),"")</f>
        <v>0.0587663163291623</v>
      </c>
    </row>
    <row r="4495" customFormat="false" ht="15" hidden="false" customHeight="false" outlineLevel="0" collapsed="false">
      <c r="A4495" s="57" t="n">
        <v>39625</v>
      </c>
      <c r="B4495" s="56" t="n">
        <v>2008</v>
      </c>
      <c r="C4495" s="56" t="n">
        <v>6</v>
      </c>
      <c r="D4495" s="56" t="n">
        <v>57</v>
      </c>
      <c r="E4495" s="56" t="n">
        <v>22.1</v>
      </c>
      <c r="F4495" s="56" t="n">
        <v>0</v>
      </c>
      <c r="G4495" s="56" t="n">
        <v>9.9</v>
      </c>
      <c r="H4495" s="56" t="n">
        <v>0</v>
      </c>
      <c r="I4495" s="56" t="n">
        <v>16</v>
      </c>
      <c r="J4495" s="56" t="n">
        <v>0</v>
      </c>
      <c r="K4495" s="56" t="n">
        <v>1018.5</v>
      </c>
      <c r="L4495" s="56" t="n">
        <v>0</v>
      </c>
      <c r="M4495" s="56" t="n">
        <v>67</v>
      </c>
      <c r="N4495" s="56" t="n">
        <v>8.9</v>
      </c>
      <c r="O4495" s="56" t="n">
        <f aca="false">IF(D4495=1,"",E4494)</f>
        <v>22.9</v>
      </c>
      <c r="P4495" s="56" t="n">
        <f aca="false">IF(OR(D4495=1,K4494=""),"",K4494)</f>
        <v>1015.2</v>
      </c>
      <c r="Q4495" s="56" t="n">
        <f aca="false">IF(OR(F4495&lt;&gt;0,AND(I4495&lt;&gt;"",E4495&lt;I4495)),1,0)</f>
        <v>0</v>
      </c>
      <c r="R4495" s="56" t="n">
        <f aca="false">IF(AND(D4495&gt;1,Q4495=0,ISNUMBER(O4495),ISNUMBER(P4495)),IF(Q4494=0,1,0),0)</f>
        <v>1</v>
      </c>
      <c r="S4495" s="56" t="n">
        <f aca="false">R4495*(B4495&gt;=Train_Start)*(B4495&lt;=Train_End)</f>
        <v>0</v>
      </c>
      <c r="T4495" s="84" t="n">
        <f aca="false">IF(AND(ISNUMBER(O4495),ISNUMBER(P4495)),Coef_A+Coef_B1*O4495+Coef_B2*P4495,"")</f>
        <v>22.6965599750986</v>
      </c>
      <c r="U4495" s="84" t="n">
        <f aca="false">IF(AND(R4495=1,ISNUMBER(T4495)),E4495-T4495,"")</f>
        <v>-0.596559975098586</v>
      </c>
      <c r="V4495" s="84" t="n">
        <f aca="false">IF(ISNUMBER(T4495),T4495,-99)</f>
        <v>22.6965599750986</v>
      </c>
      <c r="W4495" s="84" t="n">
        <f aca="false">IF(ISNUMBER(U4495),ABS(U4495),"")</f>
        <v>0.596559975098586</v>
      </c>
    </row>
    <row r="4496" customFormat="false" ht="15" hidden="false" customHeight="false" outlineLevel="0" collapsed="false">
      <c r="A4496" s="57" t="n">
        <v>39626</v>
      </c>
      <c r="B4496" s="56" t="n">
        <v>2008</v>
      </c>
      <c r="C4496" s="56" t="n">
        <v>6</v>
      </c>
      <c r="D4496" s="56" t="n">
        <v>58</v>
      </c>
      <c r="E4496" s="56" t="n">
        <v>21.2</v>
      </c>
      <c r="F4496" s="56" t="n">
        <v>0</v>
      </c>
      <c r="G4496" s="56" t="n">
        <v>13.1</v>
      </c>
      <c r="H4496" s="56" t="n">
        <v>0</v>
      </c>
      <c r="I4496" s="56" t="n">
        <v>17.2</v>
      </c>
      <c r="J4496" s="56" t="n">
        <v>0</v>
      </c>
      <c r="K4496" s="56" t="n">
        <v>1017.1</v>
      </c>
      <c r="L4496" s="56" t="n">
        <v>0</v>
      </c>
      <c r="M4496" s="56" t="n">
        <v>79</v>
      </c>
      <c r="N4496" s="56" t="n">
        <v>3.5</v>
      </c>
      <c r="O4496" s="56" t="n">
        <f aca="false">IF(D4496=1,"",E4495)</f>
        <v>22.1</v>
      </c>
      <c r="P4496" s="56" t="n">
        <f aca="false">IF(OR(D4496=1,K4495=""),"",K4495)</f>
        <v>1018.5</v>
      </c>
      <c r="Q4496" s="56" t="n">
        <f aca="false">IF(OR(F4496&lt;&gt;0,AND(I4496&lt;&gt;"",E4496&lt;I4496)),1,0)</f>
        <v>0</v>
      </c>
      <c r="R4496" s="56" t="n">
        <f aca="false">IF(AND(D4496&gt;1,Q4496=0,ISNUMBER(O4496),ISNUMBER(P4496)),IF(Q4495=0,1,0),0)</f>
        <v>1</v>
      </c>
      <c r="S4496" s="56" t="n">
        <f aca="false">R4496*(B4496&gt;=Train_Start)*(B4496&lt;=Train_End)</f>
        <v>0</v>
      </c>
      <c r="T4496" s="84" t="n">
        <f aca="false">IF(AND(ISNUMBER(O4496),ISNUMBER(P4496)),Coef_A+Coef_B1*O4496+Coef_B2*P4496,"")</f>
        <v>22.1446092729566</v>
      </c>
      <c r="U4496" s="84" t="n">
        <f aca="false">IF(AND(R4496=1,ISNUMBER(T4496)),E4496-T4496,"")</f>
        <v>-0.94460927295663</v>
      </c>
      <c r="V4496" s="84" t="n">
        <f aca="false">IF(ISNUMBER(T4496),T4496,-99)</f>
        <v>22.1446092729566</v>
      </c>
      <c r="W4496" s="84" t="n">
        <f aca="false">IF(ISNUMBER(U4496),ABS(U4496),"")</f>
        <v>0.94460927295663</v>
      </c>
    </row>
    <row r="4497" customFormat="false" ht="15" hidden="false" customHeight="false" outlineLevel="0" collapsed="false">
      <c r="A4497" s="57" t="n">
        <v>39627</v>
      </c>
      <c r="B4497" s="56" t="n">
        <v>2008</v>
      </c>
      <c r="C4497" s="56" t="n">
        <v>6</v>
      </c>
      <c r="D4497" s="56" t="n">
        <v>59</v>
      </c>
      <c r="E4497" s="56" t="n">
        <v>23.2</v>
      </c>
      <c r="F4497" s="56" t="n">
        <v>0</v>
      </c>
      <c r="G4497" s="56" t="n">
        <v>15.7</v>
      </c>
      <c r="H4497" s="56" t="n">
        <v>0</v>
      </c>
      <c r="I4497" s="56" t="n">
        <v>19.4</v>
      </c>
      <c r="J4497" s="56" t="n">
        <v>0</v>
      </c>
      <c r="K4497" s="56" t="n">
        <v>1017.4</v>
      </c>
      <c r="L4497" s="56" t="n">
        <v>0</v>
      </c>
      <c r="M4497" s="56" t="n">
        <v>66</v>
      </c>
      <c r="N4497" s="56" t="n">
        <v>10.4</v>
      </c>
      <c r="O4497" s="56" t="n">
        <f aca="false">IF(D4497=1,"",E4496)</f>
        <v>21.2</v>
      </c>
      <c r="P4497" s="56" t="n">
        <f aca="false">IF(OR(D4497=1,K4496=""),"",K4496)</f>
        <v>1017.1</v>
      </c>
      <c r="Q4497" s="56" t="n">
        <f aca="false">IF(OR(F4497&lt;&gt;0,AND(I4497&lt;&gt;"",E4497&lt;I4497)),1,0)</f>
        <v>0</v>
      </c>
      <c r="R4497" s="56" t="n">
        <f aca="false">IF(AND(D4497&gt;1,Q4497=0,ISNUMBER(O4497),ISNUMBER(P4497)),IF(Q4496=0,1,0),0)</f>
        <v>1</v>
      </c>
      <c r="S4497" s="56" t="n">
        <f aca="false">R4497*(B4497&gt;=Train_Start)*(B4497&lt;=Train_End)</f>
        <v>0</v>
      </c>
      <c r="T4497" s="84" t="n">
        <f aca="false">IF(AND(ISNUMBER(O4497),ISNUMBER(P4497)),Coef_A+Coef_B1*O4497+Coef_B2*P4497,"")</f>
        <v>21.3632861467307</v>
      </c>
      <c r="U4497" s="84" t="n">
        <f aca="false">IF(AND(R4497=1,ISNUMBER(T4497)),E4497-T4497,"")</f>
        <v>1.83671385326935</v>
      </c>
      <c r="V4497" s="84" t="n">
        <f aca="false">IF(ISNUMBER(T4497),T4497,-99)</f>
        <v>21.3632861467307</v>
      </c>
      <c r="W4497" s="84" t="n">
        <f aca="false">IF(ISNUMBER(U4497),ABS(U4497),"")</f>
        <v>1.83671385326935</v>
      </c>
    </row>
    <row r="4498" customFormat="false" ht="15" hidden="false" customHeight="false" outlineLevel="0" collapsed="false">
      <c r="A4498" s="57" t="n">
        <v>39628</v>
      </c>
      <c r="B4498" s="56" t="n">
        <v>2008</v>
      </c>
      <c r="C4498" s="56" t="n">
        <v>6</v>
      </c>
      <c r="D4498" s="56" t="n">
        <v>60</v>
      </c>
      <c r="E4498" s="56" t="n">
        <v>22.3</v>
      </c>
      <c r="F4498" s="56" t="n">
        <v>0</v>
      </c>
      <c r="G4498" s="56" t="n">
        <v>12.2</v>
      </c>
      <c r="H4498" s="56" t="n">
        <v>0</v>
      </c>
      <c r="I4498" s="56" t="n">
        <v>17.2</v>
      </c>
      <c r="J4498" s="56" t="n">
        <v>0</v>
      </c>
      <c r="K4498" s="56" t="n">
        <v>1017.3</v>
      </c>
      <c r="L4498" s="56" t="n">
        <v>0</v>
      </c>
      <c r="M4498" s="56" t="n">
        <v>66</v>
      </c>
      <c r="N4498" s="56" t="n">
        <v>4.3</v>
      </c>
      <c r="O4498" s="56" t="n">
        <f aca="false">IF(D4498=1,"",E4497)</f>
        <v>23.2</v>
      </c>
      <c r="P4498" s="56" t="n">
        <f aca="false">IF(OR(D4498=1,K4497=""),"",K4497)</f>
        <v>1017.4</v>
      </c>
      <c r="Q4498" s="56" t="n">
        <f aca="false">IF(OR(F4498&lt;&gt;0,AND(I4498&lt;&gt;"",E4498&lt;I4498)),1,0)</f>
        <v>0</v>
      </c>
      <c r="R4498" s="56" t="n">
        <f aca="false">IF(AND(D4498&gt;1,Q4498=0,ISNUMBER(O4498),ISNUMBER(P4498)),IF(Q4497=0,1,0),0)</f>
        <v>1</v>
      </c>
      <c r="S4498" s="56" t="n">
        <f aca="false">R4498*(B4498&gt;=Train_Start)*(B4498&lt;=Train_End)</f>
        <v>0</v>
      </c>
      <c r="T4498" s="84" t="n">
        <f aca="false">IF(AND(ISNUMBER(O4498),ISNUMBER(P4498)),Coef_A+Coef_B1*O4498+Coef_B2*P4498,"")</f>
        <v>23.0113755012062</v>
      </c>
      <c r="U4498" s="84" t="n">
        <f aca="false">IF(AND(R4498=1,ISNUMBER(T4498)),E4498-T4498,"")</f>
        <v>-0.71137550120616</v>
      </c>
      <c r="V4498" s="84" t="n">
        <f aca="false">IF(ISNUMBER(T4498),T4498,-99)</f>
        <v>23.0113755012062</v>
      </c>
      <c r="W4498" s="84" t="n">
        <f aca="false">IF(ISNUMBER(U4498),ABS(U4498),"")</f>
        <v>0.71137550120616</v>
      </c>
    </row>
    <row r="4499" customFormat="false" ht="15" hidden="false" customHeight="false" outlineLevel="0" collapsed="false">
      <c r="A4499" s="57" t="n">
        <v>39629</v>
      </c>
      <c r="B4499" s="56" t="n">
        <v>2008</v>
      </c>
      <c r="C4499" s="56" t="n">
        <v>6</v>
      </c>
      <c r="D4499" s="56" t="n">
        <v>61</v>
      </c>
      <c r="E4499" s="56" t="n">
        <v>23</v>
      </c>
      <c r="F4499" s="56" t="n">
        <v>0</v>
      </c>
      <c r="G4499" s="56" t="n">
        <v>10.2</v>
      </c>
      <c r="H4499" s="56" t="n">
        <v>0</v>
      </c>
      <c r="I4499" s="56" t="n">
        <v>16.6</v>
      </c>
      <c r="J4499" s="56" t="n">
        <v>0</v>
      </c>
      <c r="K4499" s="56" t="n">
        <v>1020.2</v>
      </c>
      <c r="L4499" s="56" t="n">
        <v>0</v>
      </c>
      <c r="M4499" s="56" t="n">
        <v>66</v>
      </c>
      <c r="N4499" s="56" t="n">
        <v>12.1</v>
      </c>
      <c r="O4499" s="56" t="n">
        <f aca="false">IF(D4499=1,"",E4498)</f>
        <v>22.3</v>
      </c>
      <c r="P4499" s="56" t="n">
        <f aca="false">IF(OR(D4499=1,K4498=""),"",K4498)</f>
        <v>1017.3</v>
      </c>
      <c r="Q4499" s="56" t="n">
        <f aca="false">IF(OR(F4499&lt;&gt;0,AND(I4499&lt;&gt;"",E4499&lt;I4499)),1,0)</f>
        <v>0</v>
      </c>
      <c r="R4499" s="56" t="n">
        <f aca="false">IF(AND(D4499&gt;1,Q4499=0,ISNUMBER(O4499),ISNUMBER(P4499)),IF(Q4498=0,1,0),0)</f>
        <v>1</v>
      </c>
      <c r="S4499" s="56" t="n">
        <f aca="false">R4499*(B4499&gt;=Train_Start)*(B4499&lt;=Train_End)</f>
        <v>0</v>
      </c>
      <c r="T4499" s="84" t="n">
        <f aca="false">IF(AND(ISNUMBER(O4499),ISNUMBER(P4499)),Coef_A+Coef_B1*O4499+Coef_B2*P4499,"")</f>
        <v>22.2708332380044</v>
      </c>
      <c r="U4499" s="84" t="n">
        <f aca="false">IF(AND(R4499=1,ISNUMBER(T4499)),E4499-T4499,"")</f>
        <v>0.729166761995629</v>
      </c>
      <c r="V4499" s="84" t="n">
        <f aca="false">IF(ISNUMBER(T4499),T4499,-99)</f>
        <v>22.2708332380044</v>
      </c>
      <c r="W4499" s="84" t="n">
        <f aca="false">IF(ISNUMBER(U4499),ABS(U4499),"")</f>
        <v>0.729166761995629</v>
      </c>
    </row>
    <row r="4500" customFormat="false" ht="15" hidden="false" customHeight="false" outlineLevel="0" collapsed="false">
      <c r="A4500" s="57" t="n">
        <v>39630</v>
      </c>
      <c r="B4500" s="56" t="n">
        <v>2008</v>
      </c>
      <c r="C4500" s="56" t="n">
        <v>7</v>
      </c>
      <c r="D4500" s="56" t="n">
        <v>62</v>
      </c>
      <c r="E4500" s="56" t="n">
        <v>27.3</v>
      </c>
      <c r="F4500" s="56" t="n">
        <v>0</v>
      </c>
      <c r="G4500" s="56" t="n">
        <v>10.5</v>
      </c>
      <c r="H4500" s="56" t="n">
        <v>0</v>
      </c>
      <c r="I4500" s="56" t="n">
        <v>18.9</v>
      </c>
      <c r="J4500" s="56" t="n">
        <v>0</v>
      </c>
      <c r="K4500" s="56" t="n">
        <v>1013</v>
      </c>
      <c r="L4500" s="56" t="n">
        <v>0</v>
      </c>
      <c r="M4500" s="56" t="n">
        <v>60</v>
      </c>
      <c r="N4500" s="56" t="n">
        <v>13.2</v>
      </c>
      <c r="O4500" s="56" t="n">
        <f aca="false">IF(D4500=1,"",E4499)</f>
        <v>23</v>
      </c>
      <c r="P4500" s="56" t="n">
        <f aca="false">IF(OR(D4500=1,K4499=""),"",K4499)</f>
        <v>1020.2</v>
      </c>
      <c r="Q4500" s="56" t="n">
        <f aca="false">IF(OR(F4500&lt;&gt;0,AND(I4500&lt;&gt;"",E4500&lt;I4500)),1,0)</f>
        <v>0</v>
      </c>
      <c r="R4500" s="56" t="n">
        <f aca="false">IF(AND(D4500&gt;1,Q4500=0,ISNUMBER(O4500),ISNUMBER(P4500)),IF(Q4499=0,1,0),0)</f>
        <v>1</v>
      </c>
      <c r="S4500" s="56" t="n">
        <f aca="false">R4500*(B4500&gt;=Train_Start)*(B4500&lt;=Train_End)</f>
        <v>0</v>
      </c>
      <c r="T4500" s="84" t="n">
        <f aca="false">IF(AND(ISNUMBER(O4500),ISNUMBER(P4500)),Coef_A+Coef_B1*O4500+Coef_B2*P4500,"")</f>
        <v>22.9353433675728</v>
      </c>
      <c r="U4500" s="84" t="n">
        <f aca="false">IF(AND(R4500=1,ISNUMBER(T4500)),E4500-T4500,"")</f>
        <v>4.3646566324272</v>
      </c>
      <c r="V4500" s="84" t="n">
        <f aca="false">IF(ISNUMBER(T4500),T4500,-99)</f>
        <v>22.9353433675728</v>
      </c>
      <c r="W4500" s="84" t="n">
        <f aca="false">IF(ISNUMBER(U4500),ABS(U4500),"")</f>
        <v>4.3646566324272</v>
      </c>
    </row>
    <row r="4501" customFormat="false" ht="15" hidden="false" customHeight="false" outlineLevel="0" collapsed="false">
      <c r="A4501" s="57" t="n">
        <v>39631</v>
      </c>
      <c r="B4501" s="56" t="n">
        <v>2008</v>
      </c>
      <c r="C4501" s="56" t="n">
        <v>7</v>
      </c>
      <c r="D4501" s="56" t="n">
        <v>63</v>
      </c>
      <c r="E4501" s="56" t="n">
        <v>19.5</v>
      </c>
      <c r="F4501" s="56" t="n">
        <v>0</v>
      </c>
      <c r="G4501" s="56" t="n">
        <v>15.3</v>
      </c>
      <c r="H4501" s="56" t="n">
        <v>0</v>
      </c>
      <c r="I4501" s="56" t="n">
        <v>17.4</v>
      </c>
      <c r="J4501" s="56" t="n">
        <v>0</v>
      </c>
      <c r="K4501" s="56" t="n">
        <v>1009.1</v>
      </c>
      <c r="L4501" s="56" t="n">
        <v>0</v>
      </c>
      <c r="M4501" s="56" t="n">
        <v>69</v>
      </c>
      <c r="N4501" s="56" t="n">
        <v>2.6</v>
      </c>
      <c r="O4501" s="56" t="n">
        <f aca="false">IF(D4501=1,"",E4500)</f>
        <v>27.3</v>
      </c>
      <c r="P4501" s="56" t="n">
        <f aca="false">IF(OR(D4501=1,K4500=""),"",K4500)</f>
        <v>1013</v>
      </c>
      <c r="Q4501" s="56" t="n">
        <f aca="false">IF(OR(F4501&lt;&gt;0,AND(I4501&lt;&gt;"",E4501&lt;I4501)),1,0)</f>
        <v>0</v>
      </c>
      <c r="R4501" s="56" t="n">
        <f aca="false">IF(AND(D4501&gt;1,Q4501=0,ISNUMBER(O4501),ISNUMBER(P4501)),IF(Q4500=0,1,0),0)</f>
        <v>1</v>
      </c>
      <c r="S4501" s="56" t="n">
        <f aca="false">R4501*(B4501&gt;=Train_Start)*(B4501&lt;=Train_End)</f>
        <v>0</v>
      </c>
      <c r="T4501" s="84" t="n">
        <f aca="false">IF(AND(ISNUMBER(O4501),ISNUMBER(P4501)),Coef_A+Coef_B1*O4501+Coef_B2*P4501,"")</f>
        <v>26.2326386562915</v>
      </c>
      <c r="U4501" s="84" t="n">
        <f aca="false">IF(AND(R4501=1,ISNUMBER(T4501)),E4501-T4501,"")</f>
        <v>-6.7326386562915</v>
      </c>
      <c r="V4501" s="84" t="n">
        <f aca="false">IF(ISNUMBER(T4501),T4501,-99)</f>
        <v>26.2326386562915</v>
      </c>
      <c r="W4501" s="84" t="n">
        <f aca="false">IF(ISNUMBER(U4501),ABS(U4501),"")</f>
        <v>6.7326386562915</v>
      </c>
    </row>
    <row r="4502" customFormat="false" ht="15" hidden="false" customHeight="false" outlineLevel="0" collapsed="false">
      <c r="A4502" s="57" t="n">
        <v>39632</v>
      </c>
      <c r="B4502" s="56" t="n">
        <v>2008</v>
      </c>
      <c r="C4502" s="56" t="n">
        <v>7</v>
      </c>
      <c r="D4502" s="56" t="n">
        <v>64</v>
      </c>
      <c r="E4502" s="56" t="n">
        <v>21.3</v>
      </c>
      <c r="F4502" s="56" t="n">
        <v>0</v>
      </c>
      <c r="G4502" s="56" t="n">
        <v>11.9</v>
      </c>
      <c r="H4502" s="56" t="n">
        <v>0</v>
      </c>
      <c r="I4502" s="56" t="n">
        <v>16.6</v>
      </c>
      <c r="J4502" s="56" t="n">
        <v>0</v>
      </c>
      <c r="K4502" s="56" t="n">
        <v>1009.9</v>
      </c>
      <c r="L4502" s="56" t="n">
        <v>0</v>
      </c>
      <c r="M4502" s="56" t="n">
        <v>71</v>
      </c>
      <c r="N4502" s="56" t="n">
        <v>4.8</v>
      </c>
      <c r="O4502" s="56" t="n">
        <f aca="false">IF(D4502=1,"",E4501)</f>
        <v>19.5</v>
      </c>
      <c r="P4502" s="56" t="n">
        <f aca="false">IF(OR(D4502=1,K4501=""),"",K4501)</f>
        <v>1009.1</v>
      </c>
      <c r="Q4502" s="56" t="n">
        <f aca="false">IF(OR(F4502&lt;&gt;0,AND(I4502&lt;&gt;"",E4502&lt;I4502)),1,0)</f>
        <v>0</v>
      </c>
      <c r="R4502" s="56" t="n">
        <f aca="false">IF(AND(D4502&gt;1,Q4502=0,ISNUMBER(O4502),ISNUMBER(P4502)),IF(Q4501=0,1,0),0)</f>
        <v>1</v>
      </c>
      <c r="S4502" s="56" t="n">
        <f aca="false">R4502*(B4502&gt;=Train_Start)*(B4502&lt;=Train_End)</f>
        <v>0</v>
      </c>
      <c r="T4502" s="84" t="n">
        <f aca="false">IF(AND(ISNUMBER(O4502),ISNUMBER(P4502)),Coef_A+Coef_B1*O4502+Coef_B2*P4502,"")</f>
        <v>19.7194503614862</v>
      </c>
      <c r="U4502" s="84" t="n">
        <f aca="false">IF(AND(R4502=1,ISNUMBER(T4502)),E4502-T4502,"")</f>
        <v>1.58054963851378</v>
      </c>
      <c r="V4502" s="84" t="n">
        <f aca="false">IF(ISNUMBER(T4502),T4502,-99)</f>
        <v>19.7194503614862</v>
      </c>
      <c r="W4502" s="84" t="n">
        <f aca="false">IF(ISNUMBER(U4502),ABS(U4502),"")</f>
        <v>1.58054963851378</v>
      </c>
    </row>
    <row r="4503" customFormat="false" ht="15" hidden="false" customHeight="false" outlineLevel="0" collapsed="false">
      <c r="A4503" s="57" t="n">
        <v>39633</v>
      </c>
      <c r="B4503" s="56" t="n">
        <v>2008</v>
      </c>
      <c r="C4503" s="56" t="n">
        <v>7</v>
      </c>
      <c r="D4503" s="56" t="n">
        <v>65</v>
      </c>
      <c r="E4503" s="56" t="n">
        <v>22.4</v>
      </c>
      <c r="F4503" s="56" t="n">
        <v>0</v>
      </c>
      <c r="G4503" s="56" t="n">
        <v>9.9</v>
      </c>
      <c r="H4503" s="56" t="n">
        <v>0</v>
      </c>
      <c r="I4503" s="56" t="n">
        <v>16.2</v>
      </c>
      <c r="J4503" s="56" t="n">
        <v>0</v>
      </c>
      <c r="K4503" s="56" t="n">
        <v>1015.1</v>
      </c>
      <c r="L4503" s="56" t="n">
        <v>0</v>
      </c>
      <c r="M4503" s="56" t="n">
        <v>60</v>
      </c>
      <c r="N4503" s="56" t="n">
        <v>9.3</v>
      </c>
      <c r="O4503" s="56" t="n">
        <f aca="false">IF(D4503=1,"",E4502)</f>
        <v>21.3</v>
      </c>
      <c r="P4503" s="56" t="n">
        <f aca="false">IF(OR(D4503=1,K4502=""),"",K4502)</f>
        <v>1009.9</v>
      </c>
      <c r="Q4503" s="56" t="n">
        <f aca="false">IF(OR(F4503&lt;&gt;0,AND(I4503&lt;&gt;"",E4503&lt;I4503)),1,0)</f>
        <v>0</v>
      </c>
      <c r="R4503" s="56" t="n">
        <f aca="false">IF(AND(D4503&gt;1,Q4503=0,ISNUMBER(O4503),ISNUMBER(P4503)),IF(Q4502=0,1,0),0)</f>
        <v>1</v>
      </c>
      <c r="S4503" s="56" t="n">
        <f aca="false">R4503*(B4503&gt;=Train_Start)*(B4503&lt;=Train_End)</f>
        <v>0</v>
      </c>
      <c r="T4503" s="84" t="n">
        <f aca="false">IF(AND(ISNUMBER(O4503),ISNUMBER(P4503)),Coef_A+Coef_B1*O4503+Coef_B2*P4503,"")</f>
        <v>21.2193568246702</v>
      </c>
      <c r="U4503" s="84" t="n">
        <f aca="false">IF(AND(R4503=1,ISNUMBER(T4503)),E4503-T4503,"")</f>
        <v>1.18064317532981</v>
      </c>
      <c r="V4503" s="84" t="n">
        <f aca="false">IF(ISNUMBER(T4503),T4503,-99)</f>
        <v>21.2193568246702</v>
      </c>
      <c r="W4503" s="84" t="n">
        <f aca="false">IF(ISNUMBER(U4503),ABS(U4503),"")</f>
        <v>1.18064317532981</v>
      </c>
    </row>
    <row r="4504" customFormat="false" ht="15" hidden="false" customHeight="false" outlineLevel="0" collapsed="false">
      <c r="A4504" s="57" t="n">
        <v>39634</v>
      </c>
      <c r="B4504" s="56" t="n">
        <v>2008</v>
      </c>
      <c r="C4504" s="56" t="n">
        <v>7</v>
      </c>
      <c r="D4504" s="56" t="n">
        <v>66</v>
      </c>
      <c r="E4504" s="56" t="n">
        <v>22.4</v>
      </c>
      <c r="F4504" s="56" t="n">
        <v>0</v>
      </c>
      <c r="G4504" s="56" t="n">
        <v>15.9</v>
      </c>
      <c r="H4504" s="56" t="n">
        <v>0</v>
      </c>
      <c r="I4504" s="56" t="n">
        <v>19.2</v>
      </c>
      <c r="J4504" s="56" t="n">
        <v>0</v>
      </c>
      <c r="K4504" s="56" t="n">
        <v>1008.9</v>
      </c>
      <c r="L4504" s="56" t="n">
        <v>0</v>
      </c>
      <c r="M4504" s="56" t="n">
        <v>58</v>
      </c>
      <c r="N4504" s="56" t="n">
        <v>5.1</v>
      </c>
      <c r="O4504" s="56" t="n">
        <f aca="false">IF(D4504=1,"",E4503)</f>
        <v>22.4</v>
      </c>
      <c r="P4504" s="56" t="n">
        <f aca="false">IF(OR(D4504=1,K4503=""),"",K4503)</f>
        <v>1015.1</v>
      </c>
      <c r="Q4504" s="56" t="n">
        <f aca="false">IF(OR(F4504&lt;&gt;0,AND(I4504&lt;&gt;"",E4504&lt;I4504)),1,0)</f>
        <v>0</v>
      </c>
      <c r="R4504" s="56" t="n">
        <f aca="false">IF(AND(D4504&gt;1,Q4504=0,ISNUMBER(O4504),ISNUMBER(P4504)),IF(Q4503=0,1,0),0)</f>
        <v>1</v>
      </c>
      <c r="S4504" s="56" t="n">
        <f aca="false">R4504*(B4504&gt;=Train_Start)*(B4504&lt;=Train_End)</f>
        <v>0</v>
      </c>
      <c r="T4504" s="84" t="n">
        <f aca="false">IF(AND(ISNUMBER(O4504),ISNUMBER(P4504)),Coef_A+Coef_B1*O4504+Coef_B2*P4504,"")</f>
        <v>22.2837533891139</v>
      </c>
      <c r="U4504" s="84" t="n">
        <f aca="false">IF(AND(R4504=1,ISNUMBER(T4504)),E4504-T4504,"")</f>
        <v>0.11624661088614</v>
      </c>
      <c r="V4504" s="84" t="n">
        <f aca="false">IF(ISNUMBER(T4504),T4504,-99)</f>
        <v>22.2837533891139</v>
      </c>
      <c r="W4504" s="84" t="n">
        <f aca="false">IF(ISNUMBER(U4504),ABS(U4504),"")</f>
        <v>0.11624661088614</v>
      </c>
    </row>
    <row r="4505" customFormat="false" ht="15" hidden="false" customHeight="false" outlineLevel="0" collapsed="false">
      <c r="A4505" s="57" t="n">
        <v>39635</v>
      </c>
      <c r="B4505" s="56" t="n">
        <v>2008</v>
      </c>
      <c r="C4505" s="56" t="n">
        <v>7</v>
      </c>
      <c r="D4505" s="56" t="n">
        <v>67</v>
      </c>
      <c r="E4505" s="56" t="n">
        <v>19.7</v>
      </c>
      <c r="F4505" s="56" t="n">
        <v>0</v>
      </c>
      <c r="G4505" s="56" t="n">
        <v>14.2</v>
      </c>
      <c r="H4505" s="56" t="n">
        <v>0</v>
      </c>
      <c r="I4505" s="56" t="n">
        <v>17</v>
      </c>
      <c r="J4505" s="56" t="n">
        <v>0</v>
      </c>
      <c r="K4505" s="56" t="n">
        <v>1002.2</v>
      </c>
      <c r="L4505" s="56" t="n">
        <v>0</v>
      </c>
      <c r="M4505" s="56" t="n">
        <v>80</v>
      </c>
      <c r="N4505" s="56" t="n">
        <v>1.5</v>
      </c>
      <c r="O4505" s="56" t="n">
        <f aca="false">IF(D4505=1,"",E4504)</f>
        <v>22.4</v>
      </c>
      <c r="P4505" s="56" t="n">
        <f aca="false">IF(OR(D4505=1,K4504=""),"",K4504)</f>
        <v>1008.9</v>
      </c>
      <c r="Q4505" s="56" t="n">
        <f aca="false">IF(OR(F4505&lt;&gt;0,AND(I4505&lt;&gt;"",E4505&lt;I4505)),1,0)</f>
        <v>0</v>
      </c>
      <c r="R4505" s="56" t="n">
        <f aca="false">IF(AND(D4505&gt;1,Q4505=0,ISNUMBER(O4505),ISNUMBER(P4505)),IF(Q4504=0,1,0),0)</f>
        <v>1</v>
      </c>
      <c r="S4505" s="56" t="n">
        <f aca="false">R4505*(B4505&gt;=Train_Start)*(B4505&lt;=Train_End)</f>
        <v>0</v>
      </c>
      <c r="T4505" s="84" t="n">
        <f aca="false">IF(AND(ISNUMBER(O4505),ISNUMBER(P4505)),Coef_A+Coef_B1*O4505+Coef_B2*P4505,"")</f>
        <v>22.0892600423831</v>
      </c>
      <c r="U4505" s="84" t="n">
        <f aca="false">IF(AND(R4505=1,ISNUMBER(T4505)),E4505-T4505,"")</f>
        <v>-2.38926004238312</v>
      </c>
      <c r="V4505" s="84" t="n">
        <f aca="false">IF(ISNUMBER(T4505),T4505,-99)</f>
        <v>22.0892600423831</v>
      </c>
      <c r="W4505" s="84" t="n">
        <f aca="false">IF(ISNUMBER(U4505),ABS(U4505),"")</f>
        <v>2.38926004238312</v>
      </c>
    </row>
    <row r="4506" customFormat="false" ht="15" hidden="false" customHeight="false" outlineLevel="0" collapsed="false">
      <c r="A4506" s="57" t="n">
        <v>39636</v>
      </c>
      <c r="B4506" s="56" t="n">
        <v>2008</v>
      </c>
      <c r="C4506" s="56" t="n">
        <v>7</v>
      </c>
      <c r="D4506" s="56" t="n">
        <v>68</v>
      </c>
      <c r="E4506" s="56" t="n">
        <v>20.7</v>
      </c>
      <c r="F4506" s="56" t="n">
        <v>0</v>
      </c>
      <c r="G4506" s="56" t="n">
        <v>13</v>
      </c>
      <c r="H4506" s="56" t="n">
        <v>0</v>
      </c>
      <c r="I4506" s="56" t="n">
        <v>16.8</v>
      </c>
      <c r="J4506" s="56" t="n">
        <v>0</v>
      </c>
      <c r="K4506" s="56" t="n">
        <v>998.1</v>
      </c>
      <c r="L4506" s="56" t="n">
        <v>0</v>
      </c>
      <c r="M4506" s="56" t="n">
        <v>84</v>
      </c>
      <c r="N4506" s="56" t="n">
        <v>1.3</v>
      </c>
      <c r="O4506" s="56" t="n">
        <f aca="false">IF(D4506=1,"",E4505)</f>
        <v>19.7</v>
      </c>
      <c r="P4506" s="56" t="n">
        <f aca="false">IF(OR(D4506=1,K4505=""),"",K4505)</f>
        <v>1002.2</v>
      </c>
      <c r="Q4506" s="56" t="n">
        <f aca="false">IF(OR(F4506&lt;&gt;0,AND(I4506&lt;&gt;"",E4506&lt;I4506)),1,0)</f>
        <v>0</v>
      </c>
      <c r="R4506" s="56" t="n">
        <f aca="false">IF(AND(D4506&gt;1,Q4506=0,ISNUMBER(O4506),ISNUMBER(P4506)),IF(Q4505=0,1,0),0)</f>
        <v>1</v>
      </c>
      <c r="S4506" s="56" t="n">
        <f aca="false">R4506*(B4506&gt;=Train_Start)*(B4506&lt;=Train_End)</f>
        <v>0</v>
      </c>
      <c r="T4506" s="84" t="n">
        <f aca="false">IF(AND(ISNUMBER(O4506),ISNUMBER(P4506)),Coef_A+Coef_B1*O4506+Coef_B2*P4506,"")</f>
        <v>19.6668659271202</v>
      </c>
      <c r="U4506" s="84" t="n">
        <f aca="false">IF(AND(R4506=1,ISNUMBER(T4506)),E4506-T4506,"")</f>
        <v>1.03313407287978</v>
      </c>
      <c r="V4506" s="84" t="n">
        <f aca="false">IF(ISNUMBER(T4506),T4506,-99)</f>
        <v>19.6668659271202</v>
      </c>
      <c r="W4506" s="84" t="n">
        <f aca="false">IF(ISNUMBER(U4506),ABS(U4506),"")</f>
        <v>1.03313407287978</v>
      </c>
    </row>
    <row r="4507" customFormat="false" ht="15" hidden="false" customHeight="false" outlineLevel="0" collapsed="false">
      <c r="A4507" s="57" t="n">
        <v>39637</v>
      </c>
      <c r="B4507" s="56" t="n">
        <v>2008</v>
      </c>
      <c r="C4507" s="56" t="n">
        <v>7</v>
      </c>
      <c r="D4507" s="56" t="n">
        <v>69</v>
      </c>
      <c r="E4507" s="56" t="n">
        <v>19.9</v>
      </c>
      <c r="F4507" s="56" t="n">
        <v>0</v>
      </c>
      <c r="G4507" s="56" t="n">
        <v>12.3</v>
      </c>
      <c r="H4507" s="56" t="n">
        <v>0</v>
      </c>
      <c r="I4507" s="56" t="n">
        <v>16.1</v>
      </c>
      <c r="J4507" s="56" t="n">
        <v>0</v>
      </c>
      <c r="K4507" s="56" t="n">
        <v>1008.1</v>
      </c>
      <c r="L4507" s="56" t="n">
        <v>0</v>
      </c>
      <c r="M4507" s="56" t="n">
        <v>70</v>
      </c>
      <c r="N4507" s="56" t="n">
        <v>5.5</v>
      </c>
      <c r="O4507" s="56" t="n">
        <f aca="false">IF(D4507=1,"",E4506)</f>
        <v>20.7</v>
      </c>
      <c r="P4507" s="56" t="n">
        <f aca="false">IF(OR(D4507=1,K4506=""),"",K4506)</f>
        <v>998.1</v>
      </c>
      <c r="Q4507" s="56" t="n">
        <f aca="false">IF(OR(F4507&lt;&gt;0,AND(I4507&lt;&gt;"",E4507&lt;I4507)),1,0)</f>
        <v>0</v>
      </c>
      <c r="R4507" s="56" t="n">
        <f aca="false">IF(AND(D4507&gt;1,Q4507=0,ISNUMBER(O4507),ISNUMBER(P4507)),IF(Q4506=0,1,0),0)</f>
        <v>1</v>
      </c>
      <c r="S4507" s="56" t="n">
        <f aca="false">R4507*(B4507&gt;=Train_Start)*(B4507&lt;=Train_End)</f>
        <v>0</v>
      </c>
      <c r="T4507" s="84" t="n">
        <f aca="false">IF(AND(ISNUMBER(O4507),ISNUMBER(P4507)),Coef_A+Coef_B1*O4507+Coef_B2*P4507,"")</f>
        <v>20.3575885521635</v>
      </c>
      <c r="U4507" s="84" t="n">
        <f aca="false">IF(AND(R4507=1,ISNUMBER(T4507)),E4507-T4507,"")</f>
        <v>-0.457588552163525</v>
      </c>
      <c r="V4507" s="84" t="n">
        <f aca="false">IF(ISNUMBER(T4507),T4507,-99)</f>
        <v>20.3575885521635</v>
      </c>
      <c r="W4507" s="84" t="n">
        <f aca="false">IF(ISNUMBER(U4507),ABS(U4507),"")</f>
        <v>0.457588552163525</v>
      </c>
    </row>
    <row r="4508" customFormat="false" ht="15" hidden="false" customHeight="false" outlineLevel="0" collapsed="false">
      <c r="A4508" s="57" t="n">
        <v>39638</v>
      </c>
      <c r="B4508" s="56" t="n">
        <v>2008</v>
      </c>
      <c r="C4508" s="56" t="n">
        <v>7</v>
      </c>
      <c r="D4508" s="56" t="n">
        <v>70</v>
      </c>
      <c r="E4508" s="56" t="n">
        <v>18</v>
      </c>
      <c r="F4508" s="56" t="n">
        <v>0</v>
      </c>
      <c r="G4508" s="56" t="n">
        <v>12.1</v>
      </c>
      <c r="H4508" s="56" t="n">
        <v>0</v>
      </c>
      <c r="I4508" s="56" t="n">
        <v>15</v>
      </c>
      <c r="J4508" s="56" t="n">
        <v>0</v>
      </c>
      <c r="K4508" s="56" t="n">
        <v>1011</v>
      </c>
      <c r="L4508" s="56" t="n">
        <v>0</v>
      </c>
      <c r="M4508" s="56" t="n">
        <v>94</v>
      </c>
      <c r="N4508" s="56" t="n">
        <v>0</v>
      </c>
      <c r="O4508" s="56" t="n">
        <f aca="false">IF(D4508=1,"",E4507)</f>
        <v>19.9</v>
      </c>
      <c r="P4508" s="56" t="n">
        <f aca="false">IF(OR(D4508=1,K4507=""),"",K4507)</f>
        <v>1008.1</v>
      </c>
      <c r="Q4508" s="56" t="n">
        <f aca="false">IF(OR(F4508&lt;&gt;0,AND(I4508&lt;&gt;"",E4508&lt;I4508)),1,0)</f>
        <v>0</v>
      </c>
      <c r="R4508" s="56" t="n">
        <f aca="false">IF(AND(D4508&gt;1,Q4508=0,ISNUMBER(O4508),ISNUMBER(P4508)),IF(Q4507=0,1,0),0)</f>
        <v>1</v>
      </c>
      <c r="S4508" s="56" t="n">
        <f aca="false">R4508*(B4508&gt;=Train_Start)*(B4508&lt;=Train_End)</f>
        <v>0</v>
      </c>
      <c r="T4508" s="84" t="n">
        <f aca="false">IF(AND(ISNUMBER(O4508),ISNUMBER(P4508)),Coef_A+Coef_B1*O4508+Coef_B2*P4508,"")</f>
        <v>20.0158161440693</v>
      </c>
      <c r="U4508" s="84" t="n">
        <f aca="false">IF(AND(R4508=1,ISNUMBER(T4508)),E4508-T4508,"")</f>
        <v>-2.01581614406929</v>
      </c>
      <c r="V4508" s="84" t="n">
        <f aca="false">IF(ISNUMBER(T4508),T4508,-99)</f>
        <v>20.0158161440693</v>
      </c>
      <c r="W4508" s="84" t="n">
        <f aca="false">IF(ISNUMBER(U4508),ABS(U4508),"")</f>
        <v>2.01581614406929</v>
      </c>
    </row>
    <row r="4509" customFormat="false" ht="15" hidden="false" customHeight="false" outlineLevel="0" collapsed="false">
      <c r="A4509" s="57" t="n">
        <v>39639</v>
      </c>
      <c r="B4509" s="56" t="n">
        <v>2008</v>
      </c>
      <c r="C4509" s="56" t="n">
        <v>7</v>
      </c>
      <c r="D4509" s="56" t="n">
        <v>71</v>
      </c>
      <c r="E4509" s="56" t="n">
        <v>20.5</v>
      </c>
      <c r="F4509" s="56" t="n">
        <v>0</v>
      </c>
      <c r="G4509" s="56" t="n">
        <v>13.4</v>
      </c>
      <c r="H4509" s="56" t="n">
        <v>0</v>
      </c>
      <c r="I4509" s="56" t="n">
        <v>17</v>
      </c>
      <c r="J4509" s="56" t="n">
        <v>0</v>
      </c>
      <c r="K4509" s="56" t="n">
        <v>1006.7</v>
      </c>
      <c r="L4509" s="56" t="n">
        <v>0</v>
      </c>
      <c r="M4509" s="56" t="n">
        <v>76</v>
      </c>
      <c r="N4509" s="56" t="n">
        <v>6.6</v>
      </c>
      <c r="O4509" s="56" t="n">
        <f aca="false">IF(D4509=1,"",E4508)</f>
        <v>18</v>
      </c>
      <c r="P4509" s="56" t="n">
        <f aca="false">IF(OR(D4509=1,K4508=""),"",K4508)</f>
        <v>1011</v>
      </c>
      <c r="Q4509" s="56" t="n">
        <f aca="false">IF(OR(F4509&lt;&gt;0,AND(I4509&lt;&gt;"",E4509&lt;I4509)),1,0)</f>
        <v>0</v>
      </c>
      <c r="R4509" s="56" t="n">
        <f aca="false">IF(AND(D4509&gt;1,Q4509=0,ISNUMBER(O4509),ISNUMBER(P4509)),IF(Q4508=0,1,0),0)</f>
        <v>1</v>
      </c>
      <c r="S4509" s="56" t="n">
        <f aca="false">R4509*(B4509&gt;=Train_Start)*(B4509&lt;=Train_End)</f>
        <v>0</v>
      </c>
      <c r="T4509" s="84" t="n">
        <f aca="false">IF(AND(ISNUMBER(O4509),ISNUMBER(P4509)),Coef_A+Coef_B1*O4509+Coef_B2*P4509,"")</f>
        <v>18.5500443717268</v>
      </c>
      <c r="U4509" s="84" t="n">
        <f aca="false">IF(AND(R4509=1,ISNUMBER(T4509)),E4509-T4509,"")</f>
        <v>1.94995562827319</v>
      </c>
      <c r="V4509" s="84" t="n">
        <f aca="false">IF(ISNUMBER(T4509),T4509,-99)</f>
        <v>18.5500443717268</v>
      </c>
      <c r="W4509" s="84" t="n">
        <f aca="false">IF(ISNUMBER(U4509),ABS(U4509),"")</f>
        <v>1.94995562827319</v>
      </c>
    </row>
    <row r="4510" customFormat="false" ht="15" hidden="false" customHeight="false" outlineLevel="0" collapsed="false">
      <c r="A4510" s="57" t="n">
        <v>39640</v>
      </c>
      <c r="B4510" s="56" t="n">
        <v>2008</v>
      </c>
      <c r="C4510" s="56" t="n">
        <v>7</v>
      </c>
      <c r="D4510" s="56" t="n">
        <v>72</v>
      </c>
      <c r="E4510" s="56" t="n">
        <v>21.2</v>
      </c>
      <c r="F4510" s="56" t="n">
        <v>0</v>
      </c>
      <c r="G4510" s="56" t="n">
        <v>13.4</v>
      </c>
      <c r="H4510" s="56" t="n">
        <v>0</v>
      </c>
      <c r="I4510" s="56" t="n">
        <v>17.3</v>
      </c>
      <c r="J4510" s="56" t="n">
        <v>0</v>
      </c>
      <c r="K4510" s="56" t="n">
        <v>1005.1</v>
      </c>
      <c r="L4510" s="56" t="n">
        <v>0</v>
      </c>
      <c r="M4510" s="56" t="n">
        <v>80</v>
      </c>
      <c r="N4510" s="56" t="n">
        <v>4.3</v>
      </c>
      <c r="O4510" s="56" t="n">
        <f aca="false">IF(D4510=1,"",E4509)</f>
        <v>20.5</v>
      </c>
      <c r="P4510" s="56" t="n">
        <f aca="false">IF(OR(D4510=1,K4509=""),"",K4509)</f>
        <v>1006.7</v>
      </c>
      <c r="Q4510" s="56" t="n">
        <f aca="false">IF(OR(F4510&lt;&gt;0,AND(I4510&lt;&gt;"",E4510&lt;I4510)),1,0)</f>
        <v>0</v>
      </c>
      <c r="R4510" s="56" t="n">
        <f aca="false">IF(AND(D4510&gt;1,Q4510=0,ISNUMBER(O4510),ISNUMBER(P4510)),IF(Q4509=0,1,0),0)</f>
        <v>1</v>
      </c>
      <c r="S4510" s="56" t="n">
        <f aca="false">R4510*(B4510&gt;=Train_Start)*(B4510&lt;=Train_End)</f>
        <v>0</v>
      </c>
      <c r="T4510" s="84" t="n">
        <f aca="false">IF(AND(ISNUMBER(O4510),ISNUMBER(P4510)),Coef_A+Coef_B1*O4510+Coef_B2*P4510,"")</f>
        <v>20.4635018074073</v>
      </c>
      <c r="U4510" s="84" t="n">
        <f aca="false">IF(AND(R4510=1,ISNUMBER(T4510)),E4510-T4510,"")</f>
        <v>0.736498192592698</v>
      </c>
      <c r="V4510" s="84" t="n">
        <f aca="false">IF(ISNUMBER(T4510),T4510,-99)</f>
        <v>20.4635018074073</v>
      </c>
      <c r="W4510" s="84" t="n">
        <f aca="false">IF(ISNUMBER(U4510),ABS(U4510),"")</f>
        <v>0.736498192592698</v>
      </c>
    </row>
    <row r="4511" customFormat="false" ht="15" hidden="false" customHeight="false" outlineLevel="0" collapsed="false">
      <c r="A4511" s="57" t="n">
        <v>39641</v>
      </c>
      <c r="B4511" s="56" t="n">
        <v>2008</v>
      </c>
      <c r="C4511" s="56" t="n">
        <v>7</v>
      </c>
      <c r="D4511" s="56" t="n">
        <v>73</v>
      </c>
      <c r="E4511" s="56" t="n">
        <v>18.2</v>
      </c>
      <c r="F4511" s="56" t="n">
        <v>0</v>
      </c>
      <c r="G4511" s="56" t="n">
        <v>9.8</v>
      </c>
      <c r="H4511" s="56" t="n">
        <v>0</v>
      </c>
      <c r="I4511" s="56" t="n">
        <v>14</v>
      </c>
      <c r="J4511" s="56" t="n">
        <v>0</v>
      </c>
      <c r="K4511" s="56" t="n">
        <v>1009.5</v>
      </c>
      <c r="L4511" s="56" t="n">
        <v>0</v>
      </c>
      <c r="M4511" s="56" t="n">
        <v>73</v>
      </c>
      <c r="N4511" s="56" t="n">
        <v>3.9</v>
      </c>
      <c r="O4511" s="56" t="n">
        <f aca="false">IF(D4511=1,"",E4510)</f>
        <v>21.2</v>
      </c>
      <c r="P4511" s="56" t="n">
        <f aca="false">IF(OR(D4511=1,K4510=""),"",K4510)</f>
        <v>1005.1</v>
      </c>
      <c r="Q4511" s="56" t="n">
        <f aca="false">IF(OR(F4511&lt;&gt;0,AND(I4511&lt;&gt;"",E4511&lt;I4511)),1,0)</f>
        <v>0</v>
      </c>
      <c r="R4511" s="56" t="n">
        <f aca="false">IF(AND(D4511&gt;1,Q4511=0,ISNUMBER(O4511),ISNUMBER(P4511)),IF(Q4510=0,1,0),0)</f>
        <v>1</v>
      </c>
      <c r="S4511" s="56" t="n">
        <f aca="false">R4511*(B4511&gt;=Train_Start)*(B4511&lt;=Train_End)</f>
        <v>0</v>
      </c>
      <c r="T4511" s="84" t="n">
        <f aca="false">IF(AND(ISNUMBER(O4511),ISNUMBER(P4511)),Coef_A+Coef_B1*O4511+Coef_B2*P4511,"")</f>
        <v>20.9868474111228</v>
      </c>
      <c r="U4511" s="84" t="n">
        <f aca="false">IF(AND(R4511=1,ISNUMBER(T4511)),E4511-T4511,"")</f>
        <v>-2.78684741112278</v>
      </c>
      <c r="V4511" s="84" t="n">
        <f aca="false">IF(ISNUMBER(T4511),T4511,-99)</f>
        <v>20.9868474111228</v>
      </c>
      <c r="W4511" s="84" t="n">
        <f aca="false">IF(ISNUMBER(U4511),ABS(U4511),"")</f>
        <v>2.78684741112278</v>
      </c>
    </row>
    <row r="4512" customFormat="false" ht="15" hidden="false" customHeight="false" outlineLevel="0" collapsed="false">
      <c r="A4512" s="57" t="n">
        <v>39642</v>
      </c>
      <c r="B4512" s="56" t="n">
        <v>2008</v>
      </c>
      <c r="C4512" s="56" t="n">
        <v>7</v>
      </c>
      <c r="D4512" s="56" t="n">
        <v>74</v>
      </c>
      <c r="E4512" s="56" t="n">
        <v>20.9</v>
      </c>
      <c r="F4512" s="56" t="n">
        <v>0</v>
      </c>
      <c r="G4512" s="56" t="n">
        <v>10.4</v>
      </c>
      <c r="H4512" s="56" t="n">
        <v>0</v>
      </c>
      <c r="I4512" s="56" t="n">
        <v>15.6</v>
      </c>
      <c r="J4512" s="56" t="n">
        <v>0</v>
      </c>
      <c r="K4512" s="56" t="n">
        <v>1015.2</v>
      </c>
      <c r="L4512" s="56" t="n">
        <v>0</v>
      </c>
      <c r="M4512" s="56" t="n">
        <v>66</v>
      </c>
      <c r="N4512" s="56" t="n">
        <v>8</v>
      </c>
      <c r="O4512" s="56" t="n">
        <f aca="false">IF(D4512=1,"",E4511)</f>
        <v>18.2</v>
      </c>
      <c r="P4512" s="56" t="n">
        <f aca="false">IF(OR(D4512=1,K4511=""),"",K4511)</f>
        <v>1009.5</v>
      </c>
      <c r="Q4512" s="56" t="n">
        <f aca="false">IF(OR(F4512&lt;&gt;0,AND(I4512&lt;&gt;"",E4512&lt;I4512)),1,0)</f>
        <v>0</v>
      </c>
      <c r="R4512" s="56" t="n">
        <f aca="false">IF(AND(D4512&gt;1,Q4512=0,ISNUMBER(O4512),ISNUMBER(P4512)),IF(Q4511=0,1,0),0)</f>
        <v>1</v>
      </c>
      <c r="S4512" s="56" t="n">
        <f aca="false">R4512*(B4512&gt;=Train_Start)*(B4512&lt;=Train_End)</f>
        <v>0</v>
      </c>
      <c r="T4512" s="84" t="n">
        <f aca="false">IF(AND(ISNUMBER(O4512),ISNUMBER(P4512)),Coef_A+Coef_B1*O4512+Coef_B2*P4512,"")</f>
        <v>18.6668573683844</v>
      </c>
      <c r="U4512" s="84" t="n">
        <f aca="false">IF(AND(R4512=1,ISNUMBER(T4512)),E4512-T4512,"")</f>
        <v>2.23314263161564</v>
      </c>
      <c r="V4512" s="84" t="n">
        <f aca="false">IF(ISNUMBER(T4512),T4512,-99)</f>
        <v>18.6668573683844</v>
      </c>
      <c r="W4512" s="84" t="n">
        <f aca="false">IF(ISNUMBER(U4512),ABS(U4512),"")</f>
        <v>2.23314263161564</v>
      </c>
    </row>
    <row r="4513" customFormat="false" ht="15" hidden="false" customHeight="false" outlineLevel="0" collapsed="false">
      <c r="A4513" s="57" t="n">
        <v>39643</v>
      </c>
      <c r="B4513" s="56" t="n">
        <v>2008</v>
      </c>
      <c r="C4513" s="56" t="n">
        <v>7</v>
      </c>
      <c r="D4513" s="56" t="n">
        <v>75</v>
      </c>
      <c r="E4513" s="56" t="n">
        <v>23.3</v>
      </c>
      <c r="F4513" s="56" t="n">
        <v>0</v>
      </c>
      <c r="G4513" s="56" t="n">
        <v>12.1</v>
      </c>
      <c r="H4513" s="56" t="n">
        <v>0</v>
      </c>
      <c r="I4513" s="56" t="n">
        <v>17.7</v>
      </c>
      <c r="J4513" s="56" t="n">
        <v>0</v>
      </c>
      <c r="K4513" s="56" t="n">
        <v>1022.5</v>
      </c>
      <c r="L4513" s="56" t="n">
        <v>0</v>
      </c>
      <c r="M4513" s="56" t="n">
        <v>69</v>
      </c>
      <c r="N4513" s="56" t="n">
        <v>6</v>
      </c>
      <c r="O4513" s="56" t="n">
        <f aca="false">IF(D4513=1,"",E4512)</f>
        <v>20.9</v>
      </c>
      <c r="P4513" s="56" t="n">
        <f aca="false">IF(OR(D4513=1,K4512=""),"",K4512)</f>
        <v>1015.2</v>
      </c>
      <c r="Q4513" s="56" t="n">
        <f aca="false">IF(OR(F4513&lt;&gt;0,AND(I4513&lt;&gt;"",E4513&lt;I4513)),1,0)</f>
        <v>0</v>
      </c>
      <c r="R4513" s="56" t="n">
        <f aca="false">IF(AND(D4513&gt;1,Q4513=0,ISNUMBER(O4513),ISNUMBER(P4513)),IF(Q4512=0,1,0),0)</f>
        <v>1</v>
      </c>
      <c r="S4513" s="56" t="n">
        <f aca="false">R4513*(B4513&gt;=Train_Start)*(B4513&lt;=Train_End)</f>
        <v>0</v>
      </c>
      <c r="T4513" s="84" t="n">
        <f aca="false">IF(AND(ISNUMBER(O4513),ISNUMBER(P4513)),Coef_A+Coef_B1*O4513+Coef_B2*P4513,"")</f>
        <v>21.0578815890133</v>
      </c>
      <c r="U4513" s="84" t="n">
        <f aca="false">IF(AND(R4513=1,ISNUMBER(T4513)),E4513-T4513,"")</f>
        <v>2.24211841098673</v>
      </c>
      <c r="V4513" s="84" t="n">
        <f aca="false">IF(ISNUMBER(T4513),T4513,-99)</f>
        <v>21.0578815890133</v>
      </c>
      <c r="W4513" s="84" t="n">
        <f aca="false">IF(ISNUMBER(U4513),ABS(U4513),"")</f>
        <v>2.24211841098673</v>
      </c>
    </row>
    <row r="4514" customFormat="false" ht="15" hidden="false" customHeight="false" outlineLevel="0" collapsed="false">
      <c r="A4514" s="57" t="n">
        <v>39644</v>
      </c>
      <c r="B4514" s="56" t="n">
        <v>2008</v>
      </c>
      <c r="C4514" s="56" t="n">
        <v>7</v>
      </c>
      <c r="D4514" s="56" t="n">
        <v>76</v>
      </c>
      <c r="E4514" s="56" t="n">
        <v>25.9</v>
      </c>
      <c r="F4514" s="56" t="n">
        <v>0</v>
      </c>
      <c r="G4514" s="56" t="n">
        <v>16.9</v>
      </c>
      <c r="H4514" s="56" t="n">
        <v>0</v>
      </c>
      <c r="I4514" s="56" t="n">
        <v>21.4</v>
      </c>
      <c r="J4514" s="56" t="n">
        <v>0</v>
      </c>
      <c r="K4514" s="56" t="n">
        <v>1024.6</v>
      </c>
      <c r="L4514" s="56" t="n">
        <v>0</v>
      </c>
      <c r="M4514" s="56" t="n">
        <v>73</v>
      </c>
      <c r="N4514" s="56" t="n">
        <v>5.9</v>
      </c>
      <c r="O4514" s="56" t="n">
        <f aca="false">IF(D4514=1,"",E4513)</f>
        <v>23.3</v>
      </c>
      <c r="P4514" s="56" t="n">
        <f aca="false">IF(OR(D4514=1,K4513=""),"",K4513)</f>
        <v>1022.5</v>
      </c>
      <c r="Q4514" s="56" t="n">
        <f aca="false">IF(OR(F4514&lt;&gt;0,AND(I4514&lt;&gt;"",E4514&lt;I4514)),1,0)</f>
        <v>0</v>
      </c>
      <c r="R4514" s="56" t="n">
        <f aca="false">IF(AND(D4514&gt;1,Q4514=0,ISNUMBER(O4514),ISNUMBER(P4514)),IF(Q4513=0,1,0),0)</f>
        <v>1</v>
      </c>
      <c r="S4514" s="56" t="n">
        <f aca="false">R4514*(B4514&gt;=Train_Start)*(B4514&lt;=Train_End)</f>
        <v>0</v>
      </c>
      <c r="T4514" s="84" t="n">
        <f aca="false">IF(AND(ISNUMBER(O4514),ISNUMBER(P4514)),Coef_A+Coef_B1*O4514+Coef_B2*P4514,"")</f>
        <v>23.2532958831438</v>
      </c>
      <c r="U4514" s="84" t="n">
        <f aca="false">IF(AND(R4514=1,ISNUMBER(T4514)),E4514-T4514,"")</f>
        <v>2.64670411685622</v>
      </c>
      <c r="V4514" s="84" t="n">
        <f aca="false">IF(ISNUMBER(T4514),T4514,-99)</f>
        <v>23.2532958831438</v>
      </c>
      <c r="W4514" s="84" t="n">
        <f aca="false">IF(ISNUMBER(U4514),ABS(U4514),"")</f>
        <v>2.64670411685622</v>
      </c>
    </row>
    <row r="4515" customFormat="false" ht="15" hidden="false" customHeight="false" outlineLevel="0" collapsed="false">
      <c r="A4515" s="57" t="n">
        <v>39645</v>
      </c>
      <c r="B4515" s="56" t="n">
        <v>2008</v>
      </c>
      <c r="C4515" s="56" t="n">
        <v>7</v>
      </c>
      <c r="D4515" s="56" t="n">
        <v>77</v>
      </c>
      <c r="E4515" s="56" t="n">
        <v>20.5</v>
      </c>
      <c r="F4515" s="56" t="n">
        <v>0</v>
      </c>
      <c r="G4515" s="56" t="n">
        <v>14.3</v>
      </c>
      <c r="H4515" s="56" t="n">
        <v>0</v>
      </c>
      <c r="I4515" s="56" t="n">
        <v>17.4</v>
      </c>
      <c r="J4515" s="56" t="n">
        <v>0</v>
      </c>
      <c r="K4515" s="56" t="n">
        <v>1021.7</v>
      </c>
      <c r="L4515" s="56" t="n">
        <v>0</v>
      </c>
      <c r="M4515" s="56" t="n">
        <v>65</v>
      </c>
      <c r="N4515" s="56" t="n">
        <v>3.1</v>
      </c>
      <c r="O4515" s="56" t="n">
        <f aca="false">IF(D4515=1,"",E4514)</f>
        <v>25.9</v>
      </c>
      <c r="P4515" s="56" t="n">
        <f aca="false">IF(OR(D4515=1,K4514=""),"",K4514)</f>
        <v>1024.6</v>
      </c>
      <c r="Q4515" s="56" t="n">
        <f aca="false">IF(OR(F4515&lt;&gt;0,AND(I4515&lt;&gt;"",E4515&lt;I4515)),1,0)</f>
        <v>0</v>
      </c>
      <c r="R4515" s="56" t="n">
        <f aca="false">IF(AND(D4515&gt;1,Q4515=0,ISNUMBER(O4515),ISNUMBER(P4515)),IF(Q4514=0,1,0),0)</f>
        <v>1</v>
      </c>
      <c r="S4515" s="56" t="n">
        <f aca="false">R4515*(B4515&gt;=Train_Start)*(B4515&lt;=Train_End)</f>
        <v>0</v>
      </c>
      <c r="T4515" s="84" t="n">
        <f aca="false">IF(AND(ISNUMBER(O4515),ISNUMBER(P4515)),Coef_A+Coef_B1*O4515+Coef_B2*P4515,"")</f>
        <v>25.4494545637861</v>
      </c>
      <c r="U4515" s="84" t="n">
        <f aca="false">IF(AND(R4515=1,ISNUMBER(T4515)),E4515-T4515,"")</f>
        <v>-4.94945456378606</v>
      </c>
      <c r="V4515" s="84" t="n">
        <f aca="false">IF(ISNUMBER(T4515),T4515,-99)</f>
        <v>25.4494545637861</v>
      </c>
      <c r="W4515" s="84" t="n">
        <f aca="false">IF(ISNUMBER(U4515),ABS(U4515),"")</f>
        <v>4.94945456378606</v>
      </c>
    </row>
    <row r="4516" customFormat="false" ht="15" hidden="false" customHeight="false" outlineLevel="0" collapsed="false">
      <c r="A4516" s="57" t="n">
        <v>39646</v>
      </c>
      <c r="B4516" s="56" t="n">
        <v>2008</v>
      </c>
      <c r="C4516" s="56" t="n">
        <v>7</v>
      </c>
      <c r="D4516" s="56" t="n">
        <v>78</v>
      </c>
      <c r="E4516" s="56" t="n">
        <v>19</v>
      </c>
      <c r="F4516" s="56" t="n">
        <v>0</v>
      </c>
      <c r="G4516" s="56" t="n">
        <v>13.9</v>
      </c>
      <c r="H4516" s="56" t="n">
        <v>0</v>
      </c>
      <c r="I4516" s="56" t="n">
        <v>16.4</v>
      </c>
      <c r="J4516" s="56" t="n">
        <v>0</v>
      </c>
      <c r="K4516" s="56" t="n">
        <v>1014.6</v>
      </c>
      <c r="L4516" s="56" t="n">
        <v>0</v>
      </c>
      <c r="M4516" s="56" t="n">
        <v>72</v>
      </c>
      <c r="N4516" s="56" t="n">
        <v>0.1</v>
      </c>
      <c r="O4516" s="56" t="n">
        <f aca="false">IF(D4516=1,"",E4515)</f>
        <v>20.5</v>
      </c>
      <c r="P4516" s="56" t="n">
        <f aca="false">IF(OR(D4516=1,K4515=""),"",K4515)</f>
        <v>1021.7</v>
      </c>
      <c r="Q4516" s="56" t="n">
        <f aca="false">IF(OR(F4516&lt;&gt;0,AND(I4516&lt;&gt;"",E4516&lt;I4516)),1,0)</f>
        <v>0</v>
      </c>
      <c r="R4516" s="56" t="n">
        <f aca="false">IF(AND(D4516&gt;1,Q4516=0,ISNUMBER(O4516),ISNUMBER(P4516)),IF(Q4515=0,1,0),0)</f>
        <v>1</v>
      </c>
      <c r="S4516" s="56" t="n">
        <f aca="false">R4516*(B4516&gt;=Train_Start)*(B4516&lt;=Train_End)</f>
        <v>0</v>
      </c>
      <c r="T4516" s="84" t="n">
        <f aca="false">IF(AND(ISNUMBER(O4516),ISNUMBER(P4516)),Coef_A+Coef_B1*O4516+Coef_B2*P4516,"")</f>
        <v>20.9340502269171</v>
      </c>
      <c r="U4516" s="84" t="n">
        <f aca="false">IF(AND(R4516=1,ISNUMBER(T4516)),E4516-T4516,"")</f>
        <v>-1.93405022691714</v>
      </c>
      <c r="V4516" s="84" t="n">
        <f aca="false">IF(ISNUMBER(T4516),T4516,-99)</f>
        <v>20.9340502269171</v>
      </c>
      <c r="W4516" s="84" t="n">
        <f aca="false">IF(ISNUMBER(U4516),ABS(U4516),"")</f>
        <v>1.93405022691714</v>
      </c>
    </row>
    <row r="4517" customFormat="false" ht="15" hidden="false" customHeight="false" outlineLevel="0" collapsed="false">
      <c r="A4517" s="57" t="n">
        <v>39647</v>
      </c>
      <c r="B4517" s="56" t="n">
        <v>2008</v>
      </c>
      <c r="C4517" s="56" t="n">
        <v>7</v>
      </c>
      <c r="D4517" s="56" t="n">
        <v>79</v>
      </c>
      <c r="E4517" s="56" t="n">
        <v>19.8</v>
      </c>
      <c r="F4517" s="56" t="n">
        <v>0</v>
      </c>
      <c r="G4517" s="56" t="n">
        <v>14.2</v>
      </c>
      <c r="H4517" s="56" t="n">
        <v>0</v>
      </c>
      <c r="I4517" s="56" t="n">
        <v>17</v>
      </c>
      <c r="J4517" s="56" t="n">
        <v>0</v>
      </c>
      <c r="K4517" s="56" t="n">
        <v>1010.4</v>
      </c>
      <c r="L4517" s="56" t="n">
        <v>0</v>
      </c>
      <c r="M4517" s="56" t="n">
        <v>82</v>
      </c>
      <c r="N4517" s="56" t="n">
        <v>0</v>
      </c>
      <c r="O4517" s="56" t="n">
        <f aca="false">IF(D4517=1,"",E4516)</f>
        <v>19</v>
      </c>
      <c r="P4517" s="56" t="n">
        <f aca="false">IF(OR(D4517=1,K4516=""),"",K4516)</f>
        <v>1014.6</v>
      </c>
      <c r="Q4517" s="56" t="n">
        <f aca="false">IF(OR(F4517&lt;&gt;0,AND(I4517&lt;&gt;"",E4517&lt;I4517)),1,0)</f>
        <v>0</v>
      </c>
      <c r="R4517" s="56" t="n">
        <f aca="false">IF(AND(D4517&gt;1,Q4517=0,ISNUMBER(O4517),ISNUMBER(P4517)),IF(Q4516=0,1,0),0)</f>
        <v>1</v>
      </c>
      <c r="S4517" s="56" t="n">
        <f aca="false">R4517*(B4517&gt;=Train_Start)*(B4517&lt;=Train_End)</f>
        <v>0</v>
      </c>
      <c r="T4517" s="84" t="n">
        <f aca="false">IF(AND(ISNUMBER(O4517),ISNUMBER(P4517)),Coef_A+Coef_B1*O4517+Coef_B2*P4517,"")</f>
        <v>19.4823151854518</v>
      </c>
      <c r="U4517" s="84" t="n">
        <f aca="false">IF(AND(R4517=1,ISNUMBER(T4517)),E4517-T4517,"")</f>
        <v>0.317684814548169</v>
      </c>
      <c r="V4517" s="84" t="n">
        <f aca="false">IF(ISNUMBER(T4517),T4517,-99)</f>
        <v>19.4823151854518</v>
      </c>
      <c r="W4517" s="84" t="n">
        <f aca="false">IF(ISNUMBER(U4517),ABS(U4517),"")</f>
        <v>0.317684814548169</v>
      </c>
    </row>
    <row r="4518" customFormat="false" ht="15" hidden="false" customHeight="false" outlineLevel="0" collapsed="false">
      <c r="A4518" s="57" t="n">
        <v>39648</v>
      </c>
      <c r="B4518" s="56" t="n">
        <v>2008</v>
      </c>
      <c r="C4518" s="56" t="n">
        <v>7</v>
      </c>
      <c r="D4518" s="56" t="n">
        <v>80</v>
      </c>
      <c r="E4518" s="56" t="n">
        <v>21.4</v>
      </c>
      <c r="F4518" s="56" t="n">
        <v>0</v>
      </c>
      <c r="G4518" s="56" t="n">
        <v>15.7</v>
      </c>
      <c r="H4518" s="56" t="n">
        <v>0</v>
      </c>
      <c r="I4518" s="56" t="n">
        <v>18.6</v>
      </c>
      <c r="J4518" s="56" t="n">
        <v>0</v>
      </c>
      <c r="K4518" s="56" t="n">
        <v>1008.6</v>
      </c>
      <c r="L4518" s="56" t="n">
        <v>0</v>
      </c>
      <c r="M4518" s="56" t="n">
        <v>67</v>
      </c>
      <c r="N4518" s="56" t="n">
        <v>6.4</v>
      </c>
      <c r="O4518" s="56" t="n">
        <f aca="false">IF(D4518=1,"",E4517)</f>
        <v>19.8</v>
      </c>
      <c r="P4518" s="56" t="n">
        <f aca="false">IF(OR(D4518=1,K4517=""),"",K4517)</f>
        <v>1010.4</v>
      </c>
      <c r="Q4518" s="56" t="n">
        <f aca="false">IF(OR(F4518&lt;&gt;0,AND(I4518&lt;&gt;"",E4518&lt;I4518)),1,0)</f>
        <v>0</v>
      </c>
      <c r="R4518" s="56" t="n">
        <f aca="false">IF(AND(D4518&gt;1,Q4518=0,ISNUMBER(O4518),ISNUMBER(P4518)),IF(Q4517=0,1,0),0)</f>
        <v>1</v>
      </c>
      <c r="S4518" s="56" t="n">
        <f aca="false">R4518*(B4518&gt;=Train_Start)*(B4518&lt;=Train_End)</f>
        <v>0</v>
      </c>
      <c r="T4518" s="84" t="n">
        <f aca="false">IF(AND(ISNUMBER(O4518),ISNUMBER(P4518)),Coef_A+Coef_B1*O4518+Coef_B2*P4518,"")</f>
        <v>20.0060329824232</v>
      </c>
      <c r="U4518" s="84" t="n">
        <f aca="false">IF(AND(R4518=1,ISNUMBER(T4518)),E4518-T4518,"")</f>
        <v>1.3939670175768</v>
      </c>
      <c r="V4518" s="84" t="n">
        <f aca="false">IF(ISNUMBER(T4518),T4518,-99)</f>
        <v>20.0060329824232</v>
      </c>
      <c r="W4518" s="84" t="n">
        <f aca="false">IF(ISNUMBER(U4518),ABS(U4518),"")</f>
        <v>1.3939670175768</v>
      </c>
    </row>
    <row r="4519" customFormat="false" ht="15" hidden="false" customHeight="false" outlineLevel="0" collapsed="false">
      <c r="A4519" s="57" t="n">
        <v>39649</v>
      </c>
      <c r="B4519" s="56" t="n">
        <v>2008</v>
      </c>
      <c r="C4519" s="56" t="n">
        <v>7</v>
      </c>
      <c r="D4519" s="56" t="n">
        <v>81</v>
      </c>
      <c r="E4519" s="56" t="n">
        <v>18.6</v>
      </c>
      <c r="F4519" s="56" t="n">
        <v>0</v>
      </c>
      <c r="G4519" s="56" t="n">
        <v>11.5</v>
      </c>
      <c r="H4519" s="56" t="n">
        <v>0</v>
      </c>
      <c r="I4519" s="56" t="n">
        <v>15</v>
      </c>
      <c r="J4519" s="56" t="n">
        <v>0</v>
      </c>
      <c r="K4519" s="56" t="n">
        <v>1017.8</v>
      </c>
      <c r="L4519" s="56" t="n">
        <v>0</v>
      </c>
      <c r="M4519" s="56" t="n">
        <v>58</v>
      </c>
      <c r="N4519" s="56" t="n">
        <v>5.4</v>
      </c>
      <c r="O4519" s="56" t="n">
        <f aca="false">IF(D4519=1,"",E4518)</f>
        <v>21.4</v>
      </c>
      <c r="P4519" s="56" t="n">
        <f aca="false">IF(OR(D4519=1,K4518=""),"",K4518)</f>
        <v>1008.6</v>
      </c>
      <c r="Q4519" s="56" t="n">
        <f aca="false">IF(OR(F4519&lt;&gt;0,AND(I4519&lt;&gt;"",E4519&lt;I4519)),1,0)</f>
        <v>0</v>
      </c>
      <c r="R4519" s="56" t="n">
        <f aca="false">IF(AND(D4519&gt;1,Q4519=0,ISNUMBER(O4519),ISNUMBER(P4519)),IF(Q4518=0,1,0),0)</f>
        <v>1</v>
      </c>
      <c r="S4519" s="56" t="n">
        <f aca="false">R4519*(B4519&gt;=Train_Start)*(B4519&lt;=Train_End)</f>
        <v>0</v>
      </c>
      <c r="T4519" s="84" t="n">
        <f aca="false">IF(AND(ISNUMBER(O4519),ISNUMBER(P4519)),Coef_A+Coef_B1*O4519+Coef_B2*P4519,"")</f>
        <v>21.2605098809503</v>
      </c>
      <c r="U4519" s="84" t="n">
        <f aca="false">IF(AND(R4519=1,ISNUMBER(T4519)),E4519-T4519,"")</f>
        <v>-2.66050988095027</v>
      </c>
      <c r="V4519" s="84" t="n">
        <f aca="false">IF(ISNUMBER(T4519),T4519,-99)</f>
        <v>21.2605098809503</v>
      </c>
      <c r="W4519" s="84" t="n">
        <f aca="false">IF(ISNUMBER(U4519),ABS(U4519),"")</f>
        <v>2.66050988095027</v>
      </c>
    </row>
    <row r="4520" customFormat="false" ht="15" hidden="false" customHeight="false" outlineLevel="0" collapsed="false">
      <c r="A4520" s="57" t="n">
        <v>39650</v>
      </c>
      <c r="B4520" s="56" t="n">
        <v>2008</v>
      </c>
      <c r="C4520" s="56" t="n">
        <v>7</v>
      </c>
      <c r="D4520" s="56" t="n">
        <v>82</v>
      </c>
      <c r="E4520" s="56" t="n">
        <v>21.3</v>
      </c>
      <c r="F4520" s="56" t="n">
        <v>0</v>
      </c>
      <c r="G4520" s="56" t="n">
        <v>10.2</v>
      </c>
      <c r="H4520" s="56" t="n">
        <v>0</v>
      </c>
      <c r="I4520" s="56" t="n">
        <v>15.8</v>
      </c>
      <c r="J4520" s="56" t="n">
        <v>0</v>
      </c>
      <c r="K4520" s="56" t="n">
        <v>1023.2</v>
      </c>
      <c r="L4520" s="56" t="n">
        <v>0</v>
      </c>
      <c r="M4520" s="56" t="n">
        <v>57</v>
      </c>
      <c r="N4520" s="56" t="n">
        <v>10.6</v>
      </c>
      <c r="O4520" s="56" t="n">
        <f aca="false">IF(D4520=1,"",E4519)</f>
        <v>18.6</v>
      </c>
      <c r="P4520" s="56" t="n">
        <f aca="false">IF(OR(D4520=1,K4519=""),"",K4519)</f>
        <v>1017.8</v>
      </c>
      <c r="Q4520" s="56" t="n">
        <f aca="false">IF(OR(F4520&lt;&gt;0,AND(I4520&lt;&gt;"",E4520&lt;I4520)),1,0)</f>
        <v>0</v>
      </c>
      <c r="R4520" s="56" t="n">
        <f aca="false">IF(AND(D4520&gt;1,Q4520=0,ISNUMBER(O4520),ISNUMBER(P4520)),IF(Q4519=0,1,0),0)</f>
        <v>1</v>
      </c>
      <c r="S4520" s="56" t="n">
        <f aca="false">R4520*(B4520&gt;=Train_Start)*(B4520&lt;=Train_End)</f>
        <v>0</v>
      </c>
      <c r="T4520" s="84" t="n">
        <f aca="false">IF(AND(ISNUMBER(O4520),ISNUMBER(P4520)),Coef_A+Coef_B1*O4520+Coef_B2*P4520,"")</f>
        <v>19.2549631710635</v>
      </c>
      <c r="U4520" s="84" t="n">
        <f aca="false">IF(AND(R4520=1,ISNUMBER(T4520)),E4520-T4520,"")</f>
        <v>2.04503682893647</v>
      </c>
      <c r="V4520" s="84" t="n">
        <f aca="false">IF(ISNUMBER(T4520),T4520,-99)</f>
        <v>19.2549631710635</v>
      </c>
      <c r="W4520" s="84" t="n">
        <f aca="false">IF(ISNUMBER(U4520),ABS(U4520),"")</f>
        <v>2.04503682893647</v>
      </c>
    </row>
    <row r="4521" customFormat="false" ht="15" hidden="false" customHeight="false" outlineLevel="0" collapsed="false">
      <c r="A4521" s="57" t="n">
        <v>39651</v>
      </c>
      <c r="B4521" s="56" t="n">
        <v>2008</v>
      </c>
      <c r="C4521" s="56" t="n">
        <v>7</v>
      </c>
      <c r="D4521" s="56" t="n">
        <v>83</v>
      </c>
      <c r="E4521" s="56" t="n">
        <v>23.3</v>
      </c>
      <c r="F4521" s="56" t="n">
        <v>0</v>
      </c>
      <c r="G4521" s="56" t="n">
        <v>10.3</v>
      </c>
      <c r="H4521" s="56" t="n">
        <v>0</v>
      </c>
      <c r="I4521" s="56" t="n">
        <v>16.8</v>
      </c>
      <c r="J4521" s="56" t="n">
        <v>0</v>
      </c>
      <c r="K4521" s="56" t="n">
        <v>1025.6</v>
      </c>
      <c r="L4521" s="56" t="n">
        <v>0</v>
      </c>
      <c r="M4521" s="56" t="n">
        <v>64</v>
      </c>
      <c r="N4521" s="56" t="n">
        <v>6.5</v>
      </c>
      <c r="O4521" s="56" t="n">
        <f aca="false">IF(D4521=1,"",E4520)</f>
        <v>21.3</v>
      </c>
      <c r="P4521" s="56" t="n">
        <f aca="false">IF(OR(D4521=1,K4520=""),"",K4520)</f>
        <v>1023.2</v>
      </c>
      <c r="Q4521" s="56" t="n">
        <f aca="false">IF(OR(F4521&lt;&gt;0,AND(I4521&lt;&gt;"",E4521&lt;I4521)),1,0)</f>
        <v>0</v>
      </c>
      <c r="R4521" s="56" t="n">
        <f aca="false">IF(AND(D4521&gt;1,Q4521=0,ISNUMBER(O4521),ISNUMBER(P4521)),IF(Q4520=0,1,0),0)</f>
        <v>1</v>
      </c>
      <c r="S4521" s="56" t="n">
        <f aca="false">R4521*(B4521&gt;=Train_Start)*(B4521&lt;=Train_End)</f>
        <v>0</v>
      </c>
      <c r="T4521" s="84" t="n">
        <f aca="false">IF(AND(ISNUMBER(O4521),ISNUMBER(P4521)),Coef_A+Coef_B1*O4521+Coef_B2*P4521,"")</f>
        <v>21.6365764233023</v>
      </c>
      <c r="U4521" s="84" t="n">
        <f aca="false">IF(AND(R4521=1,ISNUMBER(T4521)),E4521-T4521,"")</f>
        <v>1.66342357669775</v>
      </c>
      <c r="V4521" s="84" t="n">
        <f aca="false">IF(ISNUMBER(T4521),T4521,-99)</f>
        <v>21.6365764233023</v>
      </c>
      <c r="W4521" s="84" t="n">
        <f aca="false">IF(ISNUMBER(U4521),ABS(U4521),"")</f>
        <v>1.66342357669775</v>
      </c>
    </row>
    <row r="4522" customFormat="false" ht="15" hidden="false" customHeight="false" outlineLevel="0" collapsed="false">
      <c r="A4522" s="57" t="n">
        <v>39652</v>
      </c>
      <c r="B4522" s="56" t="n">
        <v>2008</v>
      </c>
      <c r="C4522" s="56" t="n">
        <v>7</v>
      </c>
      <c r="D4522" s="56" t="n">
        <v>84</v>
      </c>
      <c r="E4522" s="56" t="n">
        <v>26.4</v>
      </c>
      <c r="F4522" s="56" t="n">
        <v>0</v>
      </c>
      <c r="G4522" s="56" t="n">
        <v>17.7</v>
      </c>
      <c r="H4522" s="56" t="n">
        <v>0</v>
      </c>
      <c r="I4522" s="56" t="n">
        <v>22</v>
      </c>
      <c r="J4522" s="56" t="n">
        <v>0</v>
      </c>
      <c r="K4522" s="56" t="n">
        <v>1023.5</v>
      </c>
      <c r="L4522" s="56" t="n">
        <v>0</v>
      </c>
      <c r="M4522" s="56" t="n">
        <v>67</v>
      </c>
      <c r="N4522" s="56" t="n">
        <v>3.7</v>
      </c>
      <c r="O4522" s="56" t="n">
        <f aca="false">IF(D4522=1,"",E4521)</f>
        <v>23.3</v>
      </c>
      <c r="P4522" s="56" t="n">
        <f aca="false">IF(OR(D4522=1,K4521=""),"",K4521)</f>
        <v>1025.6</v>
      </c>
      <c r="Q4522" s="56" t="n">
        <f aca="false">IF(OR(F4522&lt;&gt;0,AND(I4522&lt;&gt;"",E4522&lt;I4522)),1,0)</f>
        <v>0</v>
      </c>
      <c r="R4522" s="56" t="n">
        <f aca="false">IF(AND(D4522&gt;1,Q4522=0,ISNUMBER(O4522),ISNUMBER(P4522)),IF(Q4521=0,1,0),0)</f>
        <v>1</v>
      </c>
      <c r="S4522" s="56" t="n">
        <f aca="false">R4522*(B4522&gt;=Train_Start)*(B4522&lt;=Train_End)</f>
        <v>0</v>
      </c>
      <c r="T4522" s="84" t="n">
        <f aca="false">IF(AND(ISNUMBER(O4522),ISNUMBER(P4522)),Coef_A+Coef_B1*O4522+Coef_B2*P4522,"")</f>
        <v>23.3505425565091</v>
      </c>
      <c r="U4522" s="84" t="n">
        <f aca="false">IF(AND(R4522=1,ISNUMBER(T4522)),E4522-T4522,"")</f>
        <v>3.04945744349086</v>
      </c>
      <c r="V4522" s="84" t="n">
        <f aca="false">IF(ISNUMBER(T4522),T4522,-99)</f>
        <v>23.3505425565091</v>
      </c>
      <c r="W4522" s="84" t="n">
        <f aca="false">IF(ISNUMBER(U4522),ABS(U4522),"")</f>
        <v>3.04945744349086</v>
      </c>
    </row>
    <row r="4523" customFormat="false" ht="15" hidden="false" customHeight="false" outlineLevel="0" collapsed="false">
      <c r="A4523" s="57" t="n">
        <v>39653</v>
      </c>
      <c r="B4523" s="56" t="n">
        <v>2008</v>
      </c>
      <c r="C4523" s="56" t="n">
        <v>7</v>
      </c>
      <c r="D4523" s="56" t="n">
        <v>85</v>
      </c>
      <c r="E4523" s="56" t="n">
        <v>28.2</v>
      </c>
      <c r="F4523" s="56" t="n">
        <v>0</v>
      </c>
      <c r="G4523" s="56" t="n">
        <v>15.8</v>
      </c>
      <c r="H4523" s="56" t="n">
        <v>0</v>
      </c>
      <c r="I4523" s="56" t="n">
        <v>22</v>
      </c>
      <c r="J4523" s="56" t="n">
        <v>0</v>
      </c>
      <c r="K4523" s="56" t="n">
        <v>1016.7</v>
      </c>
      <c r="L4523" s="56" t="n">
        <v>0</v>
      </c>
      <c r="M4523" s="56" t="n">
        <v>63</v>
      </c>
      <c r="N4523" s="56" t="n">
        <v>11.2</v>
      </c>
      <c r="O4523" s="56" t="n">
        <f aca="false">IF(D4523=1,"",E4522)</f>
        <v>26.4</v>
      </c>
      <c r="P4523" s="56" t="n">
        <f aca="false">IF(OR(D4523=1,K4522=""),"",K4522)</f>
        <v>1023.5</v>
      </c>
      <c r="Q4523" s="56" t="n">
        <f aca="false">IF(OR(F4523&lt;&gt;0,AND(I4523&lt;&gt;"",E4523&lt;I4523)),1,0)</f>
        <v>0</v>
      </c>
      <c r="R4523" s="56" t="n">
        <f aca="false">IF(AND(D4523&gt;1,Q4523=0,ISNUMBER(O4523),ISNUMBER(P4523)),IF(Q4522=0,1,0),0)</f>
        <v>1</v>
      </c>
      <c r="S4523" s="56" t="n">
        <f aca="false">R4523*(B4523&gt;=Train_Start)*(B4523&lt;=Train_End)</f>
        <v>0</v>
      </c>
      <c r="T4523" s="84" t="n">
        <f aca="false">IF(AND(ISNUMBER(O4523),ISNUMBER(P4523)),Coef_A+Coef_B1*O4523+Coef_B2*P4523,"")</f>
        <v>25.82461727621</v>
      </c>
      <c r="U4523" s="84" t="n">
        <f aca="false">IF(AND(R4523=1,ISNUMBER(T4523)),E4523-T4523,"")</f>
        <v>2.37538272379</v>
      </c>
      <c r="V4523" s="84" t="n">
        <f aca="false">IF(ISNUMBER(T4523),T4523,-99)</f>
        <v>25.82461727621</v>
      </c>
      <c r="W4523" s="84" t="n">
        <f aca="false">IF(ISNUMBER(U4523),ABS(U4523),"")</f>
        <v>2.37538272379</v>
      </c>
    </row>
    <row r="4524" customFormat="false" ht="15" hidden="false" customHeight="false" outlineLevel="0" collapsed="false">
      <c r="A4524" s="57" t="n">
        <v>39654</v>
      </c>
      <c r="B4524" s="56" t="n">
        <v>2008</v>
      </c>
      <c r="C4524" s="56" t="n">
        <v>7</v>
      </c>
      <c r="D4524" s="56" t="n">
        <v>86</v>
      </c>
      <c r="E4524" s="56" t="n">
        <v>25.5</v>
      </c>
      <c r="F4524" s="56" t="n">
        <v>0</v>
      </c>
      <c r="G4524" s="56" t="n">
        <v>16.9</v>
      </c>
      <c r="H4524" s="56" t="n">
        <v>0</v>
      </c>
      <c r="I4524" s="56" t="n">
        <v>21.2</v>
      </c>
      <c r="J4524" s="56" t="n">
        <v>0</v>
      </c>
      <c r="K4524" s="56" t="n">
        <v>1010.7</v>
      </c>
      <c r="L4524" s="56" t="n">
        <v>0</v>
      </c>
      <c r="M4524" s="56" t="n">
        <v>67</v>
      </c>
      <c r="N4524" s="56" t="n">
        <v>7.7</v>
      </c>
      <c r="O4524" s="56" t="n">
        <f aca="false">IF(D4524=1,"",E4523)</f>
        <v>28.2</v>
      </c>
      <c r="P4524" s="56" t="n">
        <f aca="false">IF(OR(D4524=1,K4523=""),"",K4523)</f>
        <v>1016.7</v>
      </c>
      <c r="Q4524" s="56" t="n">
        <f aca="false">IF(OR(F4524&lt;&gt;0,AND(I4524&lt;&gt;"",E4524&lt;I4524)),1,0)</f>
        <v>0</v>
      </c>
      <c r="R4524" s="56" t="n">
        <f aca="false">IF(AND(D4524&gt;1,Q4524=0,ISNUMBER(O4524),ISNUMBER(P4524)),IF(Q4523=0,1,0),0)</f>
        <v>1</v>
      </c>
      <c r="S4524" s="56" t="n">
        <f aca="false">R4524*(B4524&gt;=Train_Start)*(B4524&lt;=Train_End)</f>
        <v>0</v>
      </c>
      <c r="T4524" s="84" t="n">
        <f aca="false">IF(AND(ISNUMBER(O4524),ISNUMBER(P4524)),Coef_A+Coef_B1*O4524+Coef_B2*P4524,"")</f>
        <v>27.0861125401757</v>
      </c>
      <c r="U4524" s="84" t="n">
        <f aca="false">IF(AND(R4524=1,ISNUMBER(T4524)),E4524-T4524,"")</f>
        <v>-1.58611254017566</v>
      </c>
      <c r="V4524" s="84" t="n">
        <f aca="false">IF(ISNUMBER(T4524),T4524,-99)</f>
        <v>27.0861125401757</v>
      </c>
      <c r="W4524" s="84" t="n">
        <f aca="false">IF(ISNUMBER(U4524),ABS(U4524),"")</f>
        <v>1.58611254017566</v>
      </c>
    </row>
    <row r="4525" customFormat="false" ht="15" hidden="false" customHeight="false" outlineLevel="0" collapsed="false">
      <c r="A4525" s="57" t="n">
        <v>39655</v>
      </c>
      <c r="B4525" s="56" t="n">
        <v>2008</v>
      </c>
      <c r="C4525" s="56" t="n">
        <v>7</v>
      </c>
      <c r="D4525" s="56" t="n">
        <v>87</v>
      </c>
      <c r="E4525" s="56" t="n">
        <v>26.9</v>
      </c>
      <c r="F4525" s="56" t="n">
        <v>0</v>
      </c>
      <c r="G4525" s="56" t="n">
        <v>16.3</v>
      </c>
      <c r="H4525" s="56" t="n">
        <v>0</v>
      </c>
      <c r="I4525" s="56" t="n">
        <v>21.6</v>
      </c>
      <c r="J4525" s="56" t="n">
        <v>0</v>
      </c>
      <c r="K4525" s="56" t="n">
        <v>1015</v>
      </c>
      <c r="L4525" s="56" t="n">
        <v>0</v>
      </c>
      <c r="M4525" s="56" t="n">
        <v>63</v>
      </c>
      <c r="N4525" s="56" t="n">
        <v>4.9</v>
      </c>
      <c r="O4525" s="56" t="n">
        <f aca="false">IF(D4525=1,"",E4524)</f>
        <v>25.5</v>
      </c>
      <c r="P4525" s="56" t="n">
        <f aca="false">IF(OR(D4525=1,K4524=""),"",K4524)</f>
        <v>1010.7</v>
      </c>
      <c r="Q4525" s="56" t="n">
        <f aca="false">IF(OR(F4525&lt;&gt;0,AND(I4525&lt;&gt;"",E4525&lt;I4525)),1,0)</f>
        <v>0</v>
      </c>
      <c r="R4525" s="56" t="n">
        <f aca="false">IF(AND(D4525&gt;1,Q4525=0,ISNUMBER(O4525),ISNUMBER(P4525)),IF(Q4524=0,1,0),0)</f>
        <v>1</v>
      </c>
      <c r="S4525" s="56" t="n">
        <f aca="false">R4525*(B4525&gt;=Train_Start)*(B4525&lt;=Train_End)</f>
        <v>0</v>
      </c>
      <c r="T4525" s="84" t="n">
        <f aca="false">IF(AND(ISNUMBER(O4525),ISNUMBER(P4525)),Coef_A+Coef_B1*O4525+Coef_B2*P4525,"")</f>
        <v>24.6856773511565</v>
      </c>
      <c r="U4525" s="84" t="n">
        <f aca="false">IF(AND(R4525=1,ISNUMBER(T4525)),E4525-T4525,"")</f>
        <v>2.21432264884345</v>
      </c>
      <c r="V4525" s="84" t="n">
        <f aca="false">IF(ISNUMBER(T4525),T4525,-99)</f>
        <v>24.6856773511565</v>
      </c>
      <c r="W4525" s="84" t="n">
        <f aca="false">IF(ISNUMBER(U4525),ABS(U4525),"")</f>
        <v>2.21432264884345</v>
      </c>
    </row>
    <row r="4526" customFormat="false" ht="15" hidden="false" customHeight="false" outlineLevel="0" collapsed="false">
      <c r="A4526" s="57" t="n">
        <v>39656</v>
      </c>
      <c r="B4526" s="56" t="n">
        <v>2008</v>
      </c>
      <c r="C4526" s="56" t="n">
        <v>7</v>
      </c>
      <c r="D4526" s="56" t="n">
        <v>88</v>
      </c>
      <c r="E4526" s="56" t="n">
        <v>29.2</v>
      </c>
      <c r="F4526" s="56" t="n">
        <v>0</v>
      </c>
      <c r="G4526" s="56" t="n">
        <v>16.2</v>
      </c>
      <c r="H4526" s="56" t="n">
        <v>0</v>
      </c>
      <c r="I4526" s="56" t="n">
        <v>22.7</v>
      </c>
      <c r="J4526" s="56" t="n">
        <v>0</v>
      </c>
      <c r="K4526" s="56" t="n">
        <v>1016.7</v>
      </c>
      <c r="L4526" s="56" t="n">
        <v>0</v>
      </c>
      <c r="M4526" s="56" t="n">
        <v>58</v>
      </c>
      <c r="N4526" s="56" t="n">
        <v>5.7</v>
      </c>
      <c r="O4526" s="56" t="n">
        <f aca="false">IF(D4526=1,"",E4525)</f>
        <v>26.9</v>
      </c>
      <c r="P4526" s="56" t="n">
        <f aca="false">IF(OR(D4526=1,K4525=""),"",K4525)</f>
        <v>1015</v>
      </c>
      <c r="Q4526" s="56" t="n">
        <f aca="false">IF(OR(F4526&lt;&gt;0,AND(I4526&lt;&gt;"",E4526&lt;I4526)),1,0)</f>
        <v>0</v>
      </c>
      <c r="R4526" s="56" t="n">
        <f aca="false">IF(AND(D4526&gt;1,Q4526=0,ISNUMBER(O4526),ISNUMBER(P4526)),IF(Q4525=0,1,0),0)</f>
        <v>1</v>
      </c>
      <c r="S4526" s="56" t="n">
        <f aca="false">R4526*(B4526&gt;=Train_Start)*(B4526&lt;=Train_End)</f>
        <v>0</v>
      </c>
      <c r="T4526" s="84" t="n">
        <f aca="false">IF(AND(ISNUMBER(O4526),ISNUMBER(P4526)),Coef_A+Coef_B1*O4526+Coef_B2*P4526,"")</f>
        <v>25.9676427683424</v>
      </c>
      <c r="U4526" s="84" t="n">
        <f aca="false">IF(AND(R4526=1,ISNUMBER(T4526)),E4526-T4526,"")</f>
        <v>3.23235723165758</v>
      </c>
      <c r="V4526" s="84" t="n">
        <f aca="false">IF(ISNUMBER(T4526),T4526,-99)</f>
        <v>25.9676427683424</v>
      </c>
      <c r="W4526" s="84" t="n">
        <f aca="false">IF(ISNUMBER(U4526),ABS(U4526),"")</f>
        <v>3.23235723165758</v>
      </c>
    </row>
    <row r="4527" customFormat="false" ht="15" hidden="false" customHeight="false" outlineLevel="0" collapsed="false">
      <c r="A4527" s="57" t="n">
        <v>39657</v>
      </c>
      <c r="B4527" s="56" t="n">
        <v>2008</v>
      </c>
      <c r="C4527" s="56" t="n">
        <v>7</v>
      </c>
      <c r="D4527" s="56" t="n">
        <v>89</v>
      </c>
      <c r="E4527" s="56" t="n">
        <v>29.5</v>
      </c>
      <c r="F4527" s="56" t="n">
        <v>0</v>
      </c>
      <c r="G4527" s="56" t="n">
        <v>16.6</v>
      </c>
      <c r="H4527" s="56" t="n">
        <v>0</v>
      </c>
      <c r="I4527" s="56" t="n">
        <v>23</v>
      </c>
      <c r="J4527" s="56" t="n">
        <v>0</v>
      </c>
      <c r="K4527" s="56" t="n">
        <v>1013.5</v>
      </c>
      <c r="L4527" s="56" t="n">
        <v>0</v>
      </c>
      <c r="M4527" s="56" t="n">
        <v>64</v>
      </c>
      <c r="N4527" s="56" t="n">
        <v>9.1</v>
      </c>
      <c r="O4527" s="56" t="n">
        <f aca="false">IF(D4527=1,"",E4526)</f>
        <v>29.2</v>
      </c>
      <c r="P4527" s="56" t="n">
        <f aca="false">IF(OR(D4527=1,K4526=""),"",K4526)</f>
        <v>1016.7</v>
      </c>
      <c r="Q4527" s="56" t="n">
        <f aca="false">IF(OR(F4527&lt;&gt;0,AND(I4527&lt;&gt;"",E4527&lt;I4527)),1,0)</f>
        <v>0</v>
      </c>
      <c r="R4527" s="56" t="n">
        <f aca="false">IF(AND(D4527&gt;1,Q4527=0,ISNUMBER(O4527),ISNUMBER(P4527)),IF(Q4526=0,1,0),0)</f>
        <v>1</v>
      </c>
      <c r="S4527" s="56" t="n">
        <f aca="false">R4527*(B4527&gt;=Train_Start)*(B4527&lt;=Train_End)</f>
        <v>0</v>
      </c>
      <c r="T4527" s="84" t="n">
        <f aca="false">IF(AND(ISNUMBER(O4527),ISNUMBER(P4527)),Coef_A+Coef_B1*O4527+Coef_B2*P4527,"")</f>
        <v>27.9054517332183</v>
      </c>
      <c r="U4527" s="84" t="n">
        <f aca="false">IF(AND(R4527=1,ISNUMBER(T4527)),E4527-T4527,"")</f>
        <v>1.59454826678168</v>
      </c>
      <c r="V4527" s="84" t="n">
        <f aca="false">IF(ISNUMBER(T4527),T4527,-99)</f>
        <v>27.9054517332183</v>
      </c>
      <c r="W4527" s="84" t="n">
        <f aca="false">IF(ISNUMBER(U4527),ABS(U4527),"")</f>
        <v>1.59454826678168</v>
      </c>
    </row>
    <row r="4528" customFormat="false" ht="15" hidden="false" customHeight="false" outlineLevel="0" collapsed="false">
      <c r="A4528" s="57" t="n">
        <v>39658</v>
      </c>
      <c r="B4528" s="56" t="n">
        <v>2008</v>
      </c>
      <c r="C4528" s="56" t="n">
        <v>7</v>
      </c>
      <c r="D4528" s="56" t="n">
        <v>90</v>
      </c>
      <c r="E4528" s="56" t="n">
        <v>23.1</v>
      </c>
      <c r="F4528" s="56" t="n">
        <v>0</v>
      </c>
      <c r="G4528" s="56" t="n">
        <v>15.6</v>
      </c>
      <c r="H4528" s="56" t="n">
        <v>0</v>
      </c>
      <c r="I4528" s="56" t="n">
        <v>19.4</v>
      </c>
      <c r="J4528" s="56" t="n">
        <v>0</v>
      </c>
      <c r="K4528" s="56" t="n">
        <v>1013.4</v>
      </c>
      <c r="L4528" s="56" t="n">
        <v>0</v>
      </c>
      <c r="M4528" s="56" t="n">
        <v>74</v>
      </c>
      <c r="N4528" s="56" t="n">
        <v>6.7</v>
      </c>
      <c r="O4528" s="56" t="n">
        <f aca="false">IF(D4528=1,"",E4527)</f>
        <v>29.5</v>
      </c>
      <c r="P4528" s="56" t="n">
        <f aca="false">IF(OR(D4528=1,K4527=""),"",K4527)</f>
        <v>1013.5</v>
      </c>
      <c r="Q4528" s="56" t="n">
        <f aca="false">IF(OR(F4528&lt;&gt;0,AND(I4528&lt;&gt;"",E4528&lt;I4528)),1,0)</f>
        <v>0</v>
      </c>
      <c r="R4528" s="56" t="n">
        <f aca="false">IF(AND(D4528&gt;1,Q4528=0,ISNUMBER(O4528),ISNUMBER(P4528)),IF(Q4527=0,1,0),0)</f>
        <v>1</v>
      </c>
      <c r="S4528" s="56" t="n">
        <f aca="false">R4528*(B4528&gt;=Train_Start)*(B4528&lt;=Train_End)</f>
        <v>0</v>
      </c>
      <c r="T4528" s="84" t="n">
        <f aca="false">IF(AND(ISNUMBER(O4528),ISNUMBER(P4528)),Coef_A+Coef_B1*O4528+Coef_B2*P4528,"")</f>
        <v>28.0508698283023</v>
      </c>
      <c r="U4528" s="84" t="n">
        <f aca="false">IF(AND(R4528=1,ISNUMBER(T4528)),E4528-T4528,"")</f>
        <v>-4.95086982830235</v>
      </c>
      <c r="V4528" s="84" t="n">
        <f aca="false">IF(ISNUMBER(T4528),T4528,-99)</f>
        <v>28.0508698283023</v>
      </c>
      <c r="W4528" s="84" t="n">
        <f aca="false">IF(ISNUMBER(U4528),ABS(U4528),"")</f>
        <v>4.95086982830235</v>
      </c>
    </row>
    <row r="4529" customFormat="false" ht="15" hidden="false" customHeight="false" outlineLevel="0" collapsed="false">
      <c r="A4529" s="57" t="n">
        <v>39659</v>
      </c>
      <c r="B4529" s="56" t="n">
        <v>2008</v>
      </c>
      <c r="C4529" s="56" t="n">
        <v>7</v>
      </c>
      <c r="D4529" s="56" t="n">
        <v>91</v>
      </c>
      <c r="E4529" s="56" t="n">
        <v>26.2</v>
      </c>
      <c r="F4529" s="56" t="n">
        <v>0</v>
      </c>
      <c r="G4529" s="56" t="n">
        <v>13.1</v>
      </c>
      <c r="H4529" s="56" t="n">
        <v>0</v>
      </c>
      <c r="I4529" s="56" t="n">
        <v>19.6</v>
      </c>
      <c r="J4529" s="56" t="n">
        <v>0</v>
      </c>
      <c r="K4529" s="56" t="n">
        <v>1017</v>
      </c>
      <c r="L4529" s="56" t="n">
        <v>0</v>
      </c>
      <c r="M4529" s="56" t="n">
        <v>60</v>
      </c>
      <c r="N4529" s="56" t="n">
        <v>13.4</v>
      </c>
      <c r="O4529" s="56" t="n">
        <f aca="false">IF(D4529=1,"",E4528)</f>
        <v>23.1</v>
      </c>
      <c r="P4529" s="56" t="n">
        <f aca="false">IF(OR(D4529=1,K4528=""),"",K4528)</f>
        <v>1013.4</v>
      </c>
      <c r="Q4529" s="56" t="n">
        <f aca="false">IF(OR(F4529&lt;&gt;0,AND(I4529&lt;&gt;"",E4529&lt;I4529)),1,0)</f>
        <v>0</v>
      </c>
      <c r="R4529" s="56" t="n">
        <f aca="false">IF(AND(D4529&gt;1,Q4529=0,ISNUMBER(O4529),ISNUMBER(P4529)),IF(Q4528=0,1,0),0)</f>
        <v>1</v>
      </c>
      <c r="S4529" s="56" t="n">
        <f aca="false">R4529*(B4529&gt;=Train_Start)*(B4529&lt;=Train_End)</f>
        <v>0</v>
      </c>
      <c r="T4529" s="84" t="n">
        <f aca="false">IF(AND(ISNUMBER(O4529),ISNUMBER(P4529)),Coef_A+Coef_B1*O4529+Coef_B2*P4529,"")</f>
        <v>22.8039620033659</v>
      </c>
      <c r="U4529" s="84" t="n">
        <f aca="false">IF(AND(R4529=1,ISNUMBER(T4529)),E4529-T4529,"")</f>
        <v>3.39603799663406</v>
      </c>
      <c r="V4529" s="84" t="n">
        <f aca="false">IF(ISNUMBER(T4529),T4529,-99)</f>
        <v>22.8039620033659</v>
      </c>
      <c r="W4529" s="84" t="n">
        <f aca="false">IF(ISNUMBER(U4529),ABS(U4529),"")</f>
        <v>3.39603799663406</v>
      </c>
    </row>
    <row r="4530" customFormat="false" ht="15" hidden="false" customHeight="false" outlineLevel="0" collapsed="false">
      <c r="A4530" s="57" t="n">
        <v>39660</v>
      </c>
      <c r="B4530" s="56" t="n">
        <v>2008</v>
      </c>
      <c r="C4530" s="56" t="n">
        <v>7</v>
      </c>
      <c r="D4530" s="56" t="n">
        <v>92</v>
      </c>
      <c r="E4530" s="56" t="n">
        <v>25.4</v>
      </c>
      <c r="F4530" s="56" t="n">
        <v>0</v>
      </c>
      <c r="G4530" s="56" t="n">
        <v>16.4</v>
      </c>
      <c r="H4530" s="56" t="n">
        <v>0</v>
      </c>
      <c r="I4530" s="56" t="n">
        <v>20.9</v>
      </c>
      <c r="J4530" s="56" t="n">
        <v>0</v>
      </c>
      <c r="K4530" s="56" t="n">
        <v>1011.5</v>
      </c>
      <c r="L4530" s="56" t="n">
        <v>0</v>
      </c>
      <c r="M4530" s="56" t="n">
        <v>72</v>
      </c>
      <c r="N4530" s="56" t="n">
        <v>0</v>
      </c>
      <c r="O4530" s="56" t="n">
        <f aca="false">IF(D4530=1,"",E4529)</f>
        <v>26.2</v>
      </c>
      <c r="P4530" s="56" t="n">
        <f aca="false">IF(OR(D4530=1,K4529=""),"",K4529)</f>
        <v>1017</v>
      </c>
      <c r="Q4530" s="56" t="n">
        <f aca="false">IF(OR(F4530&lt;&gt;0,AND(I4530&lt;&gt;"",E4530&lt;I4530)),1,0)</f>
        <v>0</v>
      </c>
      <c r="R4530" s="56" t="n">
        <f aca="false">IF(AND(D4530&gt;1,Q4530=0,ISNUMBER(O4530),ISNUMBER(P4530)),IF(Q4529=0,1,0),0)</f>
        <v>1</v>
      </c>
      <c r="S4530" s="56" t="n">
        <f aca="false">R4530*(B4530&gt;=Train_Start)*(B4530&lt;=Train_End)</f>
        <v>0</v>
      </c>
      <c r="T4530" s="84" t="n">
        <f aca="false">IF(AND(ISNUMBER(O4530),ISNUMBER(P4530)),Coef_A+Coef_B1*O4530+Coef_B2*P4530,"")</f>
        <v>25.4568451224805</v>
      </c>
      <c r="U4530" s="84" t="n">
        <f aca="false">IF(AND(R4530=1,ISNUMBER(T4530)),E4530-T4530,"")</f>
        <v>-0.0568451224805386</v>
      </c>
      <c r="V4530" s="84" t="n">
        <f aca="false">IF(ISNUMBER(T4530),T4530,-99)</f>
        <v>25.4568451224805</v>
      </c>
      <c r="W4530" s="84" t="n">
        <f aca="false">IF(ISNUMBER(U4530),ABS(U4530),"")</f>
        <v>0.0568451224805386</v>
      </c>
    </row>
    <row r="4531" customFormat="false" ht="15" hidden="false" customHeight="false" outlineLevel="0" collapsed="false">
      <c r="A4531" s="57" t="n">
        <v>39661</v>
      </c>
      <c r="B4531" s="56" t="n">
        <v>2008</v>
      </c>
      <c r="C4531" s="56" t="n">
        <v>8</v>
      </c>
      <c r="D4531" s="56" t="n">
        <v>93</v>
      </c>
      <c r="E4531" s="56" t="n">
        <v>22.9</v>
      </c>
      <c r="F4531" s="56" t="n">
        <v>0</v>
      </c>
      <c r="G4531" s="56" t="n">
        <v>15.3</v>
      </c>
      <c r="H4531" s="56" t="n">
        <v>0</v>
      </c>
      <c r="I4531" s="56" t="n">
        <v>19.1</v>
      </c>
      <c r="J4531" s="56" t="n">
        <v>0</v>
      </c>
      <c r="K4531" s="56" t="n">
        <v>1011.2</v>
      </c>
      <c r="L4531" s="56" t="n">
        <v>0</v>
      </c>
      <c r="M4531" s="56" t="n">
        <v>72</v>
      </c>
      <c r="N4531" s="56" t="n">
        <v>5.9</v>
      </c>
      <c r="O4531" s="56" t="n">
        <f aca="false">IF(D4531=1,"",E4530)</f>
        <v>25.4</v>
      </c>
      <c r="P4531" s="56" t="n">
        <f aca="false">IF(OR(D4531=1,K4530=""),"",K4530)</f>
        <v>1011.5</v>
      </c>
      <c r="Q4531" s="56" t="n">
        <f aca="false">IF(OR(F4531&lt;&gt;0,AND(I4531&lt;&gt;"",E4531&lt;I4531)),1,0)</f>
        <v>0</v>
      </c>
      <c r="R4531" s="56" t="n">
        <f aca="false">IF(AND(D4531&gt;1,Q4531=0,ISNUMBER(O4531),ISNUMBER(P4531)),IF(Q4530=0,1,0),0)</f>
        <v>1</v>
      </c>
      <c r="S4531" s="56" t="n">
        <f aca="false">R4531*(B4531&gt;=Train_Start)*(B4531&lt;=Train_End)</f>
        <v>0</v>
      </c>
      <c r="T4531" s="84" t="n">
        <f aca="false">IF(AND(ISNUMBER(O4531),ISNUMBER(P4531)),Coef_A+Coef_B1*O4531+Coef_B2*P4531,"")</f>
        <v>24.6288393475595</v>
      </c>
      <c r="U4531" s="84" t="n">
        <f aca="false">IF(AND(R4531=1,ISNUMBER(T4531)),E4531-T4531,"")</f>
        <v>-1.72883934755947</v>
      </c>
      <c r="V4531" s="84" t="n">
        <f aca="false">IF(ISNUMBER(T4531),T4531,-99)</f>
        <v>24.6288393475595</v>
      </c>
      <c r="W4531" s="84" t="n">
        <f aca="false">IF(ISNUMBER(U4531),ABS(U4531),"")</f>
        <v>1.72883934755947</v>
      </c>
    </row>
    <row r="4532" customFormat="false" ht="15" hidden="false" customHeight="false" outlineLevel="0" collapsed="false">
      <c r="A4532" s="57" t="n">
        <v>39662</v>
      </c>
      <c r="B4532" s="56" t="n">
        <v>2008</v>
      </c>
      <c r="C4532" s="56" t="n">
        <v>8</v>
      </c>
      <c r="D4532" s="56" t="n">
        <v>94</v>
      </c>
      <c r="E4532" s="56" t="n">
        <v>23.5</v>
      </c>
      <c r="F4532" s="56" t="n">
        <v>0</v>
      </c>
      <c r="G4532" s="56" t="n">
        <v>16.4</v>
      </c>
      <c r="H4532" s="56" t="n">
        <v>0</v>
      </c>
      <c r="I4532" s="56" t="n">
        <v>20</v>
      </c>
      <c r="J4532" s="56" t="n">
        <v>0</v>
      </c>
      <c r="K4532" s="56" t="n">
        <v>1012.3</v>
      </c>
      <c r="L4532" s="56" t="n">
        <v>0</v>
      </c>
      <c r="M4532" s="56" t="n">
        <v>75</v>
      </c>
      <c r="N4532" s="56" t="n">
        <v>5</v>
      </c>
      <c r="O4532" s="56" t="n">
        <f aca="false">IF(D4532=1,"",E4531)</f>
        <v>22.9</v>
      </c>
      <c r="P4532" s="56" t="n">
        <f aca="false">IF(OR(D4532=1,K4531=""),"",K4531)</f>
        <v>1011.2</v>
      </c>
      <c r="Q4532" s="56" t="n">
        <f aca="false">IF(OR(F4532&lt;&gt;0,AND(I4532&lt;&gt;"",E4532&lt;I4532)),1,0)</f>
        <v>0</v>
      </c>
      <c r="R4532" s="56" t="n">
        <f aca="false">IF(AND(D4532&gt;1,Q4532=0,ISNUMBER(O4532),ISNUMBER(P4532)),IF(Q4531=0,1,0),0)</f>
        <v>1</v>
      </c>
      <c r="S4532" s="56" t="n">
        <f aca="false">R4532*(B4532&gt;=Train_Start)*(B4532&lt;=Train_End)</f>
        <v>0</v>
      </c>
      <c r="T4532" s="84" t="n">
        <f aca="false">IF(AND(ISNUMBER(O4532),ISNUMBER(P4532)),Coef_A+Coef_B1*O4532+Coef_B2*P4532,"")</f>
        <v>22.5710803965626</v>
      </c>
      <c r="U4532" s="84" t="n">
        <f aca="false">IF(AND(R4532=1,ISNUMBER(T4532)),E4532-T4532,"")</f>
        <v>0.928919603437372</v>
      </c>
      <c r="V4532" s="84" t="n">
        <f aca="false">IF(ISNUMBER(T4532),T4532,-99)</f>
        <v>22.5710803965626</v>
      </c>
      <c r="W4532" s="84" t="n">
        <f aca="false">IF(ISNUMBER(U4532),ABS(U4532),"")</f>
        <v>0.928919603437372</v>
      </c>
    </row>
    <row r="4533" customFormat="false" ht="15" hidden="false" customHeight="false" outlineLevel="0" collapsed="false">
      <c r="A4533" s="57" t="n">
        <v>39663</v>
      </c>
      <c r="B4533" s="56" t="n">
        <v>2008</v>
      </c>
      <c r="C4533" s="56" t="n">
        <v>8</v>
      </c>
      <c r="D4533" s="56" t="n">
        <v>95</v>
      </c>
      <c r="E4533" s="56" t="n">
        <v>21.4</v>
      </c>
      <c r="F4533" s="56" t="n">
        <v>0</v>
      </c>
      <c r="G4533" s="56" t="n">
        <v>16.2</v>
      </c>
      <c r="H4533" s="56" t="n">
        <v>0</v>
      </c>
      <c r="I4533" s="56" t="n">
        <v>18.8</v>
      </c>
      <c r="J4533" s="56" t="n">
        <v>0</v>
      </c>
      <c r="K4533" s="56" t="n">
        <v>1009.9</v>
      </c>
      <c r="L4533" s="56" t="n">
        <v>0</v>
      </c>
      <c r="M4533" s="56" t="n">
        <v>88</v>
      </c>
      <c r="N4533" s="56" t="n">
        <v>0.6</v>
      </c>
      <c r="O4533" s="56" t="n">
        <f aca="false">IF(D4533=1,"",E4532)</f>
        <v>23.5</v>
      </c>
      <c r="P4533" s="56" t="n">
        <f aca="false">IF(OR(D4533=1,K4532=""),"",K4532)</f>
        <v>1012.3</v>
      </c>
      <c r="Q4533" s="56" t="n">
        <f aca="false">IF(OR(F4533&lt;&gt;0,AND(I4533&lt;&gt;"",E4533&lt;I4533)),1,0)</f>
        <v>0</v>
      </c>
      <c r="R4533" s="56" t="n">
        <f aca="false">IF(AND(D4533&gt;1,Q4533=0,ISNUMBER(O4533),ISNUMBER(P4533)),IF(Q4532=0,1,0),0)</f>
        <v>1</v>
      </c>
      <c r="S4533" s="56" t="n">
        <f aca="false">R4533*(B4533&gt;=Train_Start)*(B4533&lt;=Train_End)</f>
        <v>0</v>
      </c>
      <c r="T4533" s="84" t="n">
        <f aca="false">IF(AND(ISNUMBER(O4533),ISNUMBER(P4533)),Coef_A+Coef_B1*O4533+Coef_B2*P4533,"")</f>
        <v>23.0971907964856</v>
      </c>
      <c r="U4533" s="84" t="n">
        <f aca="false">IF(AND(R4533=1,ISNUMBER(T4533)),E4533-T4533,"")</f>
        <v>-1.69719079648561</v>
      </c>
      <c r="V4533" s="84" t="n">
        <f aca="false">IF(ISNUMBER(T4533),T4533,-99)</f>
        <v>23.0971907964856</v>
      </c>
      <c r="W4533" s="84" t="n">
        <f aca="false">IF(ISNUMBER(U4533),ABS(U4533),"")</f>
        <v>1.69719079648561</v>
      </c>
    </row>
    <row r="4534" customFormat="false" ht="15" hidden="false" customHeight="false" outlineLevel="0" collapsed="false">
      <c r="A4534" s="57" t="n">
        <v>39664</v>
      </c>
      <c r="B4534" s="56" t="n">
        <v>2008</v>
      </c>
      <c r="C4534" s="56" t="n">
        <v>8</v>
      </c>
      <c r="D4534" s="56" t="n">
        <v>96</v>
      </c>
      <c r="E4534" s="56" t="n">
        <v>21.6</v>
      </c>
      <c r="F4534" s="56" t="n">
        <v>0</v>
      </c>
      <c r="G4534" s="56" t="n">
        <v>11.7</v>
      </c>
      <c r="H4534" s="56" t="n">
        <v>0</v>
      </c>
      <c r="I4534" s="56" t="n">
        <v>16.6</v>
      </c>
      <c r="J4534" s="56" t="n">
        <v>0</v>
      </c>
      <c r="K4534" s="56" t="n">
        <v>1010.9</v>
      </c>
      <c r="L4534" s="56" t="n">
        <v>0</v>
      </c>
      <c r="M4534" s="56" t="n">
        <v>77</v>
      </c>
      <c r="N4534" s="56" t="n">
        <v>5.2</v>
      </c>
      <c r="O4534" s="56" t="n">
        <f aca="false">IF(D4534=1,"",E4533)</f>
        <v>21.4</v>
      </c>
      <c r="P4534" s="56" t="n">
        <f aca="false">IF(OR(D4534=1,K4533=""),"",K4533)</f>
        <v>1009.9</v>
      </c>
      <c r="Q4534" s="56" t="n">
        <f aca="false">IF(OR(F4534&lt;&gt;0,AND(I4534&lt;&gt;"",E4534&lt;I4534)),1,0)</f>
        <v>0</v>
      </c>
      <c r="R4534" s="56" t="n">
        <f aca="false">IF(AND(D4534&gt;1,Q4534=0,ISNUMBER(O4534),ISNUMBER(P4534)),IF(Q4533=0,1,0),0)</f>
        <v>1</v>
      </c>
      <c r="S4534" s="56" t="n">
        <f aca="false">R4534*(B4534&gt;=Train_Start)*(B4534&lt;=Train_End)</f>
        <v>0</v>
      </c>
      <c r="T4534" s="84" t="n">
        <f aca="false">IF(AND(ISNUMBER(O4534),ISNUMBER(P4534)),Coef_A+Coef_B1*O4534+Coef_B2*P4534,"")</f>
        <v>21.3012907439745</v>
      </c>
      <c r="U4534" s="84" t="n">
        <f aca="false">IF(AND(R4534=1,ISNUMBER(T4534)),E4534-T4534,"")</f>
        <v>0.298709256025546</v>
      </c>
      <c r="V4534" s="84" t="n">
        <f aca="false">IF(ISNUMBER(T4534),T4534,-99)</f>
        <v>21.3012907439745</v>
      </c>
      <c r="W4534" s="84" t="n">
        <f aca="false">IF(ISNUMBER(U4534),ABS(U4534),"")</f>
        <v>0.298709256025546</v>
      </c>
    </row>
    <row r="4535" customFormat="false" ht="15" hidden="false" customHeight="false" outlineLevel="0" collapsed="false">
      <c r="A4535" s="57" t="n">
        <v>39665</v>
      </c>
      <c r="B4535" s="56" t="n">
        <v>2008</v>
      </c>
      <c r="C4535" s="56" t="n">
        <v>8</v>
      </c>
      <c r="D4535" s="56" t="n">
        <v>97</v>
      </c>
      <c r="E4535" s="56" t="n">
        <v>19.9</v>
      </c>
      <c r="F4535" s="56" t="n">
        <v>0</v>
      </c>
      <c r="G4535" s="56" t="n">
        <v>13.5</v>
      </c>
      <c r="H4535" s="56" t="n">
        <v>0</v>
      </c>
      <c r="I4535" s="56" t="n">
        <v>16.7</v>
      </c>
      <c r="J4535" s="56" t="n">
        <v>0</v>
      </c>
      <c r="K4535" s="56" t="n">
        <v>1013.8</v>
      </c>
      <c r="L4535" s="56" t="n">
        <v>0</v>
      </c>
      <c r="M4535" s="56" t="n">
        <v>88</v>
      </c>
      <c r="N4535" s="56" t="n">
        <v>0</v>
      </c>
      <c r="O4535" s="56" t="n">
        <f aca="false">IF(D4535=1,"",E4534)</f>
        <v>21.6</v>
      </c>
      <c r="P4535" s="56" t="n">
        <f aca="false">IF(OR(D4535=1,K4534=""),"",K4534)</f>
        <v>1010.9</v>
      </c>
      <c r="Q4535" s="56" t="n">
        <f aca="false">IF(OR(F4535&lt;&gt;0,AND(I4535&lt;&gt;"",E4535&lt;I4535)),1,0)</f>
        <v>0</v>
      </c>
      <c r="R4535" s="56" t="n">
        <f aca="false">IF(AND(D4535&gt;1,Q4535=0,ISNUMBER(O4535),ISNUMBER(P4535)),IF(Q4534=0,1,0),0)</f>
        <v>1</v>
      </c>
      <c r="S4535" s="56" t="n">
        <f aca="false">R4535*(B4535&gt;=Train_Start)*(B4535&lt;=Train_End)</f>
        <v>0</v>
      </c>
      <c r="T4535" s="84" t="n">
        <f aca="false">IF(AND(ISNUMBER(O4535),ISNUMBER(P4535)),Coef_A+Coef_B1*O4535+Coef_B2*P4535,"")</f>
        <v>21.496528477217</v>
      </c>
      <c r="U4535" s="84" t="n">
        <f aca="false">IF(AND(R4535=1,ISNUMBER(T4535)),E4535-T4535,"")</f>
        <v>-1.59652847721698</v>
      </c>
      <c r="V4535" s="84" t="n">
        <f aca="false">IF(ISNUMBER(T4535),T4535,-99)</f>
        <v>21.496528477217</v>
      </c>
      <c r="W4535" s="84" t="n">
        <f aca="false">IF(ISNUMBER(U4535),ABS(U4535),"")</f>
        <v>1.59652847721698</v>
      </c>
    </row>
    <row r="4536" customFormat="false" ht="15" hidden="false" customHeight="false" outlineLevel="0" collapsed="false">
      <c r="A4536" s="57" t="n">
        <v>39666</v>
      </c>
      <c r="B4536" s="56" t="n">
        <v>2008</v>
      </c>
      <c r="C4536" s="56" t="n">
        <v>8</v>
      </c>
      <c r="D4536" s="56" t="n">
        <v>98</v>
      </c>
      <c r="E4536" s="56" t="n">
        <v>25.3</v>
      </c>
      <c r="F4536" s="56" t="n">
        <v>0</v>
      </c>
      <c r="G4536" s="56" t="n">
        <v>15.7</v>
      </c>
      <c r="H4536" s="56" t="n">
        <v>0</v>
      </c>
      <c r="I4536" s="56"/>
      <c r="J4536" s="56" t="n">
        <v>9</v>
      </c>
      <c r="K4536" s="56" t="n">
        <v>1011</v>
      </c>
      <c r="L4536" s="56" t="n">
        <v>0</v>
      </c>
      <c r="M4536" s="56" t="n">
        <v>78</v>
      </c>
      <c r="N4536" s="56" t="n">
        <v>2.9</v>
      </c>
      <c r="O4536" s="56" t="n">
        <f aca="false">IF(D4536=1,"",E4535)</f>
        <v>19.9</v>
      </c>
      <c r="P4536" s="56" t="n">
        <f aca="false">IF(OR(D4536=1,K4535=""),"",K4535)</f>
        <v>1013.8</v>
      </c>
      <c r="Q4536" s="56" t="n">
        <f aca="false">IF(OR(F4536&lt;&gt;0,AND(I4536&lt;&gt;"",E4536&lt;I4536)),1,0)</f>
        <v>0</v>
      </c>
      <c r="R4536" s="56" t="n">
        <f aca="false">IF(AND(D4536&gt;1,Q4536=0,ISNUMBER(O4536),ISNUMBER(P4536)),IF(Q4535=0,1,0),0)</f>
        <v>1</v>
      </c>
      <c r="S4536" s="56" t="n">
        <f aca="false">R4536*(B4536&gt;=Train_Start)*(B4536&lt;=Train_End)</f>
        <v>0</v>
      </c>
      <c r="T4536" s="84" t="n">
        <f aca="false">IF(AND(ISNUMBER(O4536),ISNUMBER(P4536)),Coef_A+Coef_B1*O4536+Coef_B2*P4536,"")</f>
        <v>20.194624543483</v>
      </c>
      <c r="U4536" s="84" t="n">
        <f aca="false">IF(AND(R4536=1,ISNUMBER(T4536)),E4536-T4536,"")</f>
        <v>5.10537545651697</v>
      </c>
      <c r="V4536" s="84" t="n">
        <f aca="false">IF(ISNUMBER(T4536),T4536,-99)</f>
        <v>20.194624543483</v>
      </c>
      <c r="W4536" s="84" t="n">
        <f aca="false">IF(ISNUMBER(U4536),ABS(U4536),"")</f>
        <v>5.10537545651697</v>
      </c>
    </row>
    <row r="4537" customFormat="false" ht="15" hidden="false" customHeight="false" outlineLevel="0" collapsed="false">
      <c r="A4537" s="57" t="n">
        <v>39667</v>
      </c>
      <c r="B4537" s="56" t="n">
        <v>2008</v>
      </c>
      <c r="C4537" s="56" t="n">
        <v>8</v>
      </c>
      <c r="D4537" s="56" t="n">
        <v>99</v>
      </c>
      <c r="E4537" s="56" t="n">
        <v>24.1</v>
      </c>
      <c r="F4537" s="56" t="n">
        <v>0</v>
      </c>
      <c r="G4537" s="56" t="n">
        <v>16.5</v>
      </c>
      <c r="H4537" s="56" t="n">
        <v>0</v>
      </c>
      <c r="I4537" s="56" t="n">
        <v>20.3</v>
      </c>
      <c r="J4537" s="56" t="n">
        <v>0</v>
      </c>
      <c r="K4537" s="56" t="n">
        <v>1005.1</v>
      </c>
      <c r="L4537" s="56" t="n">
        <v>0</v>
      </c>
      <c r="M4537" s="56" t="n">
        <v>76</v>
      </c>
      <c r="N4537" s="56" t="n">
        <v>3.2</v>
      </c>
      <c r="O4537" s="56" t="n">
        <f aca="false">IF(D4537=1,"",E4536)</f>
        <v>25.3</v>
      </c>
      <c r="P4537" s="56" t="n">
        <f aca="false">IF(OR(D4537=1,K4536=""),"",K4536)</f>
        <v>1011</v>
      </c>
      <c r="Q4537" s="56" t="n">
        <f aca="false">IF(OR(F4537&lt;&gt;0,AND(I4537&lt;&gt;"",E4537&lt;I4537)),1,0)</f>
        <v>0</v>
      </c>
      <c r="R4537" s="56" t="n">
        <f aca="false">IF(AND(D4537&gt;1,Q4537=0,ISNUMBER(O4537),ISNUMBER(P4537)),IF(Q4536=0,1,0),0)</f>
        <v>1</v>
      </c>
      <c r="S4537" s="56" t="n">
        <f aca="false">R4537*(B4537&gt;=Train_Start)*(B4537&lt;=Train_End)</f>
        <v>0</v>
      </c>
      <c r="T4537" s="84" t="n">
        <f aca="false">IF(AND(ISNUMBER(O4537),ISNUMBER(P4537)),Coef_A+Coef_B1*O4537+Coef_B2*P4537,"")</f>
        <v>24.5312204809382</v>
      </c>
      <c r="U4537" s="84" t="n">
        <f aca="false">IF(AND(R4537=1,ISNUMBER(T4537)),E4537-T4537,"")</f>
        <v>-0.431220480938208</v>
      </c>
      <c r="V4537" s="84" t="n">
        <f aca="false">IF(ISNUMBER(T4537),T4537,-99)</f>
        <v>24.5312204809382</v>
      </c>
      <c r="W4537" s="84" t="n">
        <f aca="false">IF(ISNUMBER(U4537),ABS(U4537),"")</f>
        <v>0.431220480938208</v>
      </c>
    </row>
    <row r="4538" customFormat="false" ht="15" hidden="false" customHeight="false" outlineLevel="0" collapsed="false">
      <c r="A4538" s="57" t="n">
        <v>39668</v>
      </c>
      <c r="B4538" s="56" t="n">
        <v>2008</v>
      </c>
      <c r="C4538" s="56" t="n">
        <v>8</v>
      </c>
      <c r="D4538" s="56" t="n">
        <v>100</v>
      </c>
      <c r="E4538" s="56" t="n">
        <v>18.4</v>
      </c>
      <c r="F4538" s="56" t="n">
        <v>0</v>
      </c>
      <c r="G4538" s="56" t="n">
        <v>15.5</v>
      </c>
      <c r="H4538" s="56" t="n">
        <v>0</v>
      </c>
      <c r="I4538" s="56" t="n">
        <v>17</v>
      </c>
      <c r="J4538" s="56" t="n">
        <v>0</v>
      </c>
      <c r="K4538" s="56" t="n">
        <v>1011.3</v>
      </c>
      <c r="L4538" s="56" t="n">
        <v>0</v>
      </c>
      <c r="M4538" s="56" t="n">
        <v>82</v>
      </c>
      <c r="N4538" s="56" t="n">
        <v>0.1</v>
      </c>
      <c r="O4538" s="56" t="n">
        <f aca="false">IF(D4538=1,"",E4537)</f>
        <v>24.1</v>
      </c>
      <c r="P4538" s="56" t="n">
        <f aca="false">IF(OR(D4538=1,K4537=""),"",K4537)</f>
        <v>1005.1</v>
      </c>
      <c r="Q4538" s="56" t="n">
        <f aca="false">IF(OR(F4538&lt;&gt;0,AND(I4538&lt;&gt;"",E4538&lt;I4538)),1,0)</f>
        <v>0</v>
      </c>
      <c r="R4538" s="56" t="n">
        <f aca="false">IF(AND(D4538&gt;1,Q4538=0,ISNUMBER(O4538),ISNUMBER(P4538)),IF(Q4537=0,1,0),0)</f>
        <v>1</v>
      </c>
      <c r="S4538" s="56" t="n">
        <f aca="false">R4538*(B4538&gt;=Train_Start)*(B4538&lt;=Train_End)</f>
        <v>0</v>
      </c>
      <c r="T4538" s="84" t="n">
        <f aca="false">IF(AND(ISNUMBER(O4538),ISNUMBER(P4538)),Coef_A+Coef_B1*O4538+Coef_B2*P4538,"")</f>
        <v>23.3629310709465</v>
      </c>
      <c r="U4538" s="84" t="n">
        <f aca="false">IF(AND(R4538=1,ISNUMBER(T4538)),E4538-T4538,"")</f>
        <v>-4.96293107094649</v>
      </c>
      <c r="V4538" s="84" t="n">
        <f aca="false">IF(ISNUMBER(T4538),T4538,-99)</f>
        <v>23.3629310709465</v>
      </c>
      <c r="W4538" s="84" t="n">
        <f aca="false">IF(ISNUMBER(U4538),ABS(U4538),"")</f>
        <v>4.96293107094649</v>
      </c>
    </row>
    <row r="4539" customFormat="false" ht="15" hidden="false" customHeight="false" outlineLevel="0" collapsed="false">
      <c r="A4539" s="57" t="n">
        <v>39669</v>
      </c>
      <c r="B4539" s="56" t="n">
        <v>2008</v>
      </c>
      <c r="C4539" s="56" t="n">
        <v>8</v>
      </c>
      <c r="D4539" s="56" t="n">
        <v>101</v>
      </c>
      <c r="E4539" s="56" t="n">
        <v>18.5</v>
      </c>
      <c r="F4539" s="56" t="n">
        <v>0</v>
      </c>
      <c r="G4539" s="56" t="n">
        <v>12.7</v>
      </c>
      <c r="H4539" s="56" t="n">
        <v>0</v>
      </c>
      <c r="I4539" s="56" t="n">
        <v>15.6</v>
      </c>
      <c r="J4539" s="56" t="n">
        <v>0</v>
      </c>
      <c r="K4539" s="56" t="n">
        <v>1011.4</v>
      </c>
      <c r="L4539" s="56" t="n">
        <v>0</v>
      </c>
      <c r="M4539" s="56" t="n">
        <v>88</v>
      </c>
      <c r="N4539" s="56" t="n">
        <v>2.8</v>
      </c>
      <c r="O4539" s="56" t="n">
        <f aca="false">IF(D4539=1,"",E4538)</f>
        <v>18.4</v>
      </c>
      <c r="P4539" s="56" t="n">
        <f aca="false">IF(OR(D4539=1,K4538=""),"",K4538)</f>
        <v>1011.3</v>
      </c>
      <c r="Q4539" s="56" t="n">
        <f aca="false">IF(OR(F4539&lt;&gt;0,AND(I4539&lt;&gt;"",E4539&lt;I4539)),1,0)</f>
        <v>0</v>
      </c>
      <c r="R4539" s="56" t="n">
        <f aca="false">IF(AND(D4539&gt;1,Q4539=0,ISNUMBER(O4539),ISNUMBER(P4539)),IF(Q4538=0,1,0),0)</f>
        <v>1</v>
      </c>
      <c r="S4539" s="56" t="n">
        <f aca="false">R4539*(B4539&gt;=Train_Start)*(B4539&lt;=Train_End)</f>
        <v>0</v>
      </c>
      <c r="T4539" s="84" t="n">
        <f aca="false">IF(AND(ISNUMBER(O4539),ISNUMBER(P4539)),Coef_A+Coef_B1*O4539+Coef_B2*P4539,"")</f>
        <v>18.8871910173341</v>
      </c>
      <c r="U4539" s="84" t="n">
        <f aca="false">IF(AND(R4539=1,ISNUMBER(T4539)),E4539-T4539,"")</f>
        <v>-0.387191017334068</v>
      </c>
      <c r="V4539" s="84" t="n">
        <f aca="false">IF(ISNUMBER(T4539),T4539,-99)</f>
        <v>18.8871910173341</v>
      </c>
      <c r="W4539" s="84" t="n">
        <f aca="false">IF(ISNUMBER(U4539),ABS(U4539),"")</f>
        <v>0.387191017334068</v>
      </c>
    </row>
    <row r="4540" customFormat="false" ht="15" hidden="false" customHeight="false" outlineLevel="0" collapsed="false">
      <c r="A4540" s="57" t="n">
        <v>39670</v>
      </c>
      <c r="B4540" s="56" t="n">
        <v>2008</v>
      </c>
      <c r="C4540" s="56" t="n">
        <v>8</v>
      </c>
      <c r="D4540" s="56" t="n">
        <v>102</v>
      </c>
      <c r="E4540" s="56" t="n">
        <v>22.1</v>
      </c>
      <c r="F4540" s="56" t="n">
        <v>0</v>
      </c>
      <c r="G4540" s="56" t="n">
        <v>15.2</v>
      </c>
      <c r="H4540" s="56" t="n">
        <v>0</v>
      </c>
      <c r="I4540" s="56"/>
      <c r="J4540" s="56" t="n">
        <v>9</v>
      </c>
      <c r="K4540" s="56" t="n">
        <v>1003.7</v>
      </c>
      <c r="L4540" s="56" t="n">
        <v>0</v>
      </c>
      <c r="M4540" s="56" t="n">
        <v>79</v>
      </c>
      <c r="N4540" s="56" t="n">
        <v>5.9</v>
      </c>
      <c r="O4540" s="56" t="n">
        <f aca="false">IF(D4540=1,"",E4539)</f>
        <v>18.5</v>
      </c>
      <c r="P4540" s="56" t="n">
        <f aca="false">IF(OR(D4540=1,K4539=""),"",K4539)</f>
        <v>1011.4</v>
      </c>
      <c r="Q4540" s="56" t="n">
        <f aca="false">IF(OR(F4540&lt;&gt;0,AND(I4540&lt;&gt;"",E4540&lt;I4540)),1,0)</f>
        <v>0</v>
      </c>
      <c r="R4540" s="56" t="n">
        <f aca="false">IF(AND(D4540&gt;1,Q4540=0,ISNUMBER(O4540),ISNUMBER(P4540)),IF(Q4539=0,1,0),0)</f>
        <v>1</v>
      </c>
      <c r="S4540" s="56" t="n">
        <f aca="false">R4540*(B4540&gt;=Train_Start)*(B4540&lt;=Train_End)</f>
        <v>0</v>
      </c>
      <c r="T4540" s="84" t="n">
        <f aca="false">IF(AND(ISNUMBER(O4540),ISNUMBER(P4540)),Coef_A+Coef_B1*O4540+Coef_B2*P4540,"")</f>
        <v>18.9722619261017</v>
      </c>
      <c r="U4540" s="84" t="n">
        <f aca="false">IF(AND(R4540=1,ISNUMBER(T4540)),E4540-T4540,"")</f>
        <v>3.12773807389827</v>
      </c>
      <c r="V4540" s="84" t="n">
        <f aca="false">IF(ISNUMBER(T4540),T4540,-99)</f>
        <v>18.9722619261017</v>
      </c>
      <c r="W4540" s="84" t="n">
        <f aca="false">IF(ISNUMBER(U4540),ABS(U4540),"")</f>
        <v>3.12773807389827</v>
      </c>
    </row>
    <row r="4541" customFormat="false" ht="15" hidden="false" customHeight="false" outlineLevel="0" collapsed="false">
      <c r="A4541" s="57" t="n">
        <v>39671</v>
      </c>
      <c r="B4541" s="56" t="n">
        <v>2008</v>
      </c>
      <c r="C4541" s="56" t="n">
        <v>8</v>
      </c>
      <c r="D4541" s="56" t="n">
        <v>103</v>
      </c>
      <c r="E4541" s="56" t="n">
        <v>19.9</v>
      </c>
      <c r="F4541" s="56" t="n">
        <v>0</v>
      </c>
      <c r="G4541" s="56" t="n">
        <v>14.6</v>
      </c>
      <c r="H4541" s="56" t="n">
        <v>0</v>
      </c>
      <c r="I4541" s="56" t="n">
        <v>17.2</v>
      </c>
      <c r="J4541" s="56" t="n">
        <v>0</v>
      </c>
      <c r="K4541" s="56" t="n">
        <v>1002.2</v>
      </c>
      <c r="L4541" s="56" t="n">
        <v>0</v>
      </c>
      <c r="M4541" s="56" t="n">
        <v>74</v>
      </c>
      <c r="N4541" s="56" t="n">
        <v>1.8</v>
      </c>
      <c r="O4541" s="56" t="n">
        <f aca="false">IF(D4541=1,"",E4540)</f>
        <v>22.1</v>
      </c>
      <c r="P4541" s="56" t="n">
        <f aca="false">IF(OR(D4541=1,K4540=""),"",K4540)</f>
        <v>1003.7</v>
      </c>
      <c r="Q4541" s="56" t="n">
        <f aca="false">IF(OR(F4541&lt;&gt;0,AND(I4541&lt;&gt;"",E4541&lt;I4541)),1,0)</f>
        <v>0</v>
      </c>
      <c r="R4541" s="56" t="n">
        <f aca="false">IF(AND(D4541&gt;1,Q4541=0,ISNUMBER(O4541),ISNUMBER(P4541)),IF(Q4540=0,1,0),0)</f>
        <v>1</v>
      </c>
      <c r="S4541" s="56" t="n">
        <f aca="false">R4541*(B4541&gt;=Train_Start)*(B4541&lt;=Train_End)</f>
        <v>0</v>
      </c>
      <c r="T4541" s="84" t="n">
        <f aca="false">IF(AND(ISNUMBER(O4541),ISNUMBER(P4541)),Coef_A+Coef_B1*O4541+Coef_B2*P4541,"")</f>
        <v>21.6803348323736</v>
      </c>
      <c r="U4541" s="84" t="n">
        <f aca="false">IF(AND(R4541=1,ISNUMBER(T4541)),E4541-T4541,"")</f>
        <v>-1.78033483237359</v>
      </c>
      <c r="V4541" s="84" t="n">
        <f aca="false">IF(ISNUMBER(T4541),T4541,-99)</f>
        <v>21.6803348323736</v>
      </c>
      <c r="W4541" s="84" t="n">
        <f aca="false">IF(ISNUMBER(U4541),ABS(U4541),"")</f>
        <v>1.78033483237359</v>
      </c>
    </row>
    <row r="4542" customFormat="false" ht="15" hidden="false" customHeight="false" outlineLevel="0" collapsed="false">
      <c r="A4542" s="57" t="n">
        <v>39672</v>
      </c>
      <c r="B4542" s="56" t="n">
        <v>2008</v>
      </c>
      <c r="C4542" s="56" t="n">
        <v>8</v>
      </c>
      <c r="D4542" s="56" t="n">
        <v>104</v>
      </c>
      <c r="E4542" s="56" t="n">
        <v>20.7</v>
      </c>
      <c r="F4542" s="56" t="n">
        <v>0</v>
      </c>
      <c r="G4542" s="56" t="n">
        <v>14</v>
      </c>
      <c r="H4542" s="56" t="n">
        <v>0</v>
      </c>
      <c r="I4542" s="56" t="n">
        <v>17.4</v>
      </c>
      <c r="J4542" s="56" t="n">
        <v>0</v>
      </c>
      <c r="K4542" s="56" t="n">
        <v>991.3</v>
      </c>
      <c r="L4542" s="56" t="n">
        <v>0</v>
      </c>
      <c r="M4542" s="56" t="n">
        <v>76</v>
      </c>
      <c r="N4542" s="56" t="n">
        <v>5.8</v>
      </c>
      <c r="O4542" s="56" t="n">
        <f aca="false">IF(D4542=1,"",E4541)</f>
        <v>19.9</v>
      </c>
      <c r="P4542" s="56" t="n">
        <f aca="false">IF(OR(D4542=1,K4541=""),"",K4541)</f>
        <v>1002.2</v>
      </c>
      <c r="Q4542" s="56" t="n">
        <f aca="false">IF(OR(F4542&lt;&gt;0,AND(I4542&lt;&gt;"",E4542&lt;I4542)),1,0)</f>
        <v>0</v>
      </c>
      <c r="R4542" s="56" t="n">
        <f aca="false">IF(AND(D4542&gt;1,Q4542=0,ISNUMBER(O4542),ISNUMBER(P4542)),IF(Q4541=0,1,0),0)</f>
        <v>1</v>
      </c>
      <c r="S4542" s="56" t="n">
        <f aca="false">R4542*(B4542&gt;=Train_Start)*(B4542&lt;=Train_End)</f>
        <v>0</v>
      </c>
      <c r="T4542" s="84" t="n">
        <f aca="false">IF(AND(ISNUMBER(O4542),ISNUMBER(P4542)),Coef_A+Coef_B1*O4542+Coef_B2*P4542,"")</f>
        <v>19.8307337657288</v>
      </c>
      <c r="U4542" s="84" t="n">
        <f aca="false">IF(AND(R4542=1,ISNUMBER(T4542)),E4542-T4542,"")</f>
        <v>0.869266234271247</v>
      </c>
      <c r="V4542" s="84" t="n">
        <f aca="false">IF(ISNUMBER(T4542),T4542,-99)</f>
        <v>19.8307337657288</v>
      </c>
      <c r="W4542" s="84" t="n">
        <f aca="false">IF(ISNUMBER(U4542),ABS(U4542),"")</f>
        <v>0.869266234271247</v>
      </c>
    </row>
    <row r="4543" customFormat="false" ht="15" hidden="false" customHeight="false" outlineLevel="0" collapsed="false">
      <c r="A4543" s="57" t="n">
        <v>39673</v>
      </c>
      <c r="B4543" s="56" t="n">
        <v>2008</v>
      </c>
      <c r="C4543" s="56" t="n">
        <v>8</v>
      </c>
      <c r="D4543" s="56" t="n">
        <v>105</v>
      </c>
      <c r="E4543" s="56" t="n">
        <v>18.2</v>
      </c>
      <c r="F4543" s="56" t="n">
        <v>0</v>
      </c>
      <c r="G4543" s="56" t="n">
        <v>12.4</v>
      </c>
      <c r="H4543" s="56" t="n">
        <v>0</v>
      </c>
      <c r="I4543" s="56" t="n">
        <v>15.3</v>
      </c>
      <c r="J4543" s="56" t="n">
        <v>0</v>
      </c>
      <c r="K4543" s="56" t="n">
        <v>1000.5</v>
      </c>
      <c r="L4543" s="56" t="n">
        <v>0</v>
      </c>
      <c r="M4543" s="56" t="n">
        <v>78</v>
      </c>
      <c r="N4543" s="56" t="n">
        <v>3.5</v>
      </c>
      <c r="O4543" s="56" t="n">
        <f aca="false">IF(D4543=1,"",E4542)</f>
        <v>20.7</v>
      </c>
      <c r="P4543" s="56" t="n">
        <f aca="false">IF(OR(D4543=1,K4542=""),"",K4542)</f>
        <v>991.3</v>
      </c>
      <c r="Q4543" s="56" t="n">
        <f aca="false">IF(OR(F4543&lt;&gt;0,AND(I4543&lt;&gt;"",E4543&lt;I4543)),1,0)</f>
        <v>0</v>
      </c>
      <c r="R4543" s="56" t="n">
        <f aca="false">IF(AND(D4543&gt;1,Q4543=0,ISNUMBER(O4543),ISNUMBER(P4543)),IF(Q4542=0,1,0),0)</f>
        <v>1</v>
      </c>
      <c r="S4543" s="56" t="n">
        <f aca="false">R4543*(B4543&gt;=Train_Start)*(B4543&lt;=Train_End)</f>
        <v>0</v>
      </c>
      <c r="T4543" s="84" t="n">
        <f aca="false">IF(AND(ISNUMBER(O4543),ISNUMBER(P4543)),Coef_A+Coef_B1*O4543+Coef_B2*P4543,"")</f>
        <v>20.1442732686524</v>
      </c>
      <c r="U4543" s="84" t="n">
        <f aca="false">IF(AND(R4543=1,ISNUMBER(T4543)),E4543-T4543,"")</f>
        <v>-1.94427326865239</v>
      </c>
      <c r="V4543" s="84" t="n">
        <f aca="false">IF(ISNUMBER(T4543),T4543,-99)</f>
        <v>20.1442732686524</v>
      </c>
      <c r="W4543" s="84" t="n">
        <f aca="false">IF(ISNUMBER(U4543),ABS(U4543),"")</f>
        <v>1.94427326865239</v>
      </c>
    </row>
    <row r="4544" customFormat="false" ht="15" hidden="false" customHeight="false" outlineLevel="0" collapsed="false">
      <c r="A4544" s="57" t="n">
        <v>39674</v>
      </c>
      <c r="B4544" s="56" t="n">
        <v>2008</v>
      </c>
      <c r="C4544" s="56" t="n">
        <v>8</v>
      </c>
      <c r="D4544" s="56" t="n">
        <v>106</v>
      </c>
      <c r="E4544" s="56" t="n">
        <v>20.5</v>
      </c>
      <c r="F4544" s="56" t="n">
        <v>0</v>
      </c>
      <c r="G4544" s="56" t="n">
        <v>11</v>
      </c>
      <c r="H4544" s="56" t="n">
        <v>0</v>
      </c>
      <c r="I4544" s="56" t="n">
        <v>15.8</v>
      </c>
      <c r="J4544" s="56" t="n">
        <v>0</v>
      </c>
      <c r="K4544" s="56" t="n">
        <v>1012.4</v>
      </c>
      <c r="L4544" s="56" t="n">
        <v>0</v>
      </c>
      <c r="M4544" s="56" t="n">
        <v>70</v>
      </c>
      <c r="N4544" s="56" t="n">
        <v>9</v>
      </c>
      <c r="O4544" s="56" t="n">
        <f aca="false">IF(D4544=1,"",E4543)</f>
        <v>18.2</v>
      </c>
      <c r="P4544" s="56" t="n">
        <f aca="false">IF(OR(D4544=1,K4543=""),"",K4543)</f>
        <v>1000.5</v>
      </c>
      <c r="Q4544" s="56" t="n">
        <f aca="false">IF(OR(F4544&lt;&gt;0,AND(I4544&lt;&gt;"",E4544&lt;I4544)),1,0)</f>
        <v>0</v>
      </c>
      <c r="R4544" s="56" t="n">
        <f aca="false">IF(AND(D4544&gt;1,Q4544=0,ISNUMBER(O4544),ISNUMBER(P4544)),IF(Q4543=0,1,0),0)</f>
        <v>1</v>
      </c>
      <c r="S4544" s="56" t="n">
        <f aca="false">R4544*(B4544&gt;=Train_Start)*(B4544&lt;=Train_End)</f>
        <v>0</v>
      </c>
      <c r="T4544" s="84" t="n">
        <f aca="false">IF(AND(ISNUMBER(O4544),ISNUMBER(P4544)),Coef_A+Coef_B1*O4544+Coef_B2*P4544,"")</f>
        <v>18.3845283166785</v>
      </c>
      <c r="U4544" s="84" t="n">
        <f aca="false">IF(AND(R4544=1,ISNUMBER(T4544)),E4544-T4544,"")</f>
        <v>2.11547168332155</v>
      </c>
      <c r="V4544" s="84" t="n">
        <f aca="false">IF(ISNUMBER(T4544),T4544,-99)</f>
        <v>18.3845283166785</v>
      </c>
      <c r="W4544" s="84" t="n">
        <f aca="false">IF(ISNUMBER(U4544),ABS(U4544),"")</f>
        <v>2.11547168332155</v>
      </c>
    </row>
    <row r="4545" customFormat="false" ht="15" hidden="false" customHeight="false" outlineLevel="0" collapsed="false">
      <c r="A4545" s="57" t="n">
        <v>39675</v>
      </c>
      <c r="B4545" s="56" t="n">
        <v>2008</v>
      </c>
      <c r="C4545" s="56" t="n">
        <v>8</v>
      </c>
      <c r="D4545" s="56" t="n">
        <v>107</v>
      </c>
      <c r="E4545" s="56" t="n">
        <v>21.5</v>
      </c>
      <c r="F4545" s="56" t="n">
        <v>0</v>
      </c>
      <c r="G4545" s="56" t="n">
        <v>9.8</v>
      </c>
      <c r="H4545" s="56" t="n">
        <v>0</v>
      </c>
      <c r="I4545" s="56" t="n">
        <v>15.6</v>
      </c>
      <c r="J4545" s="56" t="n">
        <v>0</v>
      </c>
      <c r="K4545" s="56" t="n">
        <v>1015.2</v>
      </c>
      <c r="L4545" s="56" t="n">
        <v>0</v>
      </c>
      <c r="M4545" s="56" t="n">
        <v>69</v>
      </c>
      <c r="N4545" s="56" t="n">
        <v>10.5</v>
      </c>
      <c r="O4545" s="56" t="n">
        <f aca="false">IF(D4545=1,"",E4544)</f>
        <v>20.5</v>
      </c>
      <c r="P4545" s="56" t="n">
        <f aca="false">IF(OR(D4545=1,K4544=""),"",K4544)</f>
        <v>1012.4</v>
      </c>
      <c r="Q4545" s="56" t="n">
        <f aca="false">IF(OR(F4545&lt;&gt;0,AND(I4545&lt;&gt;"",E4545&lt;I4545)),1,0)</f>
        <v>0</v>
      </c>
      <c r="R4545" s="56" t="n">
        <f aca="false">IF(AND(D4545&gt;1,Q4545=0,ISNUMBER(O4545),ISNUMBER(P4545)),IF(Q4544=0,1,0),0)</f>
        <v>1</v>
      </c>
      <c r="S4545" s="56" t="n">
        <f aca="false">R4545*(B4545&gt;=Train_Start)*(B4545&lt;=Train_End)</f>
        <v>0</v>
      </c>
      <c r="T4545" s="84" t="n">
        <f aca="false">IF(AND(ISNUMBER(O4545),ISNUMBER(P4545)),Coef_A+Coef_B1*O4545+Coef_B2*P4545,"")</f>
        <v>20.642310206821</v>
      </c>
      <c r="U4545" s="84" t="n">
        <f aca="false">IF(AND(R4545=1,ISNUMBER(T4545)),E4545-T4545,"")</f>
        <v>0.857689793178963</v>
      </c>
      <c r="V4545" s="84" t="n">
        <f aca="false">IF(ISNUMBER(T4545),T4545,-99)</f>
        <v>20.642310206821</v>
      </c>
      <c r="W4545" s="84" t="n">
        <f aca="false">IF(ISNUMBER(U4545),ABS(U4545),"")</f>
        <v>0.857689793178963</v>
      </c>
    </row>
    <row r="4546" customFormat="false" ht="15" hidden="false" customHeight="false" outlineLevel="0" collapsed="false">
      <c r="A4546" s="57" t="n">
        <v>39676</v>
      </c>
      <c r="B4546" s="56" t="n">
        <v>2008</v>
      </c>
      <c r="C4546" s="56" t="n">
        <v>8</v>
      </c>
      <c r="D4546" s="56" t="n">
        <v>108</v>
      </c>
      <c r="E4546" s="56" t="n">
        <v>22.3</v>
      </c>
      <c r="F4546" s="56" t="n">
        <v>0</v>
      </c>
      <c r="G4546" s="56" t="n">
        <v>12.1</v>
      </c>
      <c r="H4546" s="56" t="n">
        <v>0</v>
      </c>
      <c r="I4546" s="56" t="n">
        <v>17.2</v>
      </c>
      <c r="J4546" s="56" t="n">
        <v>0</v>
      </c>
      <c r="K4546" s="56" t="n">
        <v>1008.5</v>
      </c>
      <c r="L4546" s="56" t="n">
        <v>0</v>
      </c>
      <c r="M4546" s="56" t="n">
        <v>69</v>
      </c>
      <c r="N4546" s="56" t="n">
        <v>2.6</v>
      </c>
      <c r="O4546" s="56" t="n">
        <f aca="false">IF(D4546=1,"",E4545)</f>
        <v>21.5</v>
      </c>
      <c r="P4546" s="56" t="n">
        <f aca="false">IF(OR(D4546=1,K4545=""),"",K4545)</f>
        <v>1015.2</v>
      </c>
      <c r="Q4546" s="56" t="n">
        <f aca="false">IF(OR(F4546&lt;&gt;0,AND(I4546&lt;&gt;"",E4546&lt;I4546)),1,0)</f>
        <v>0</v>
      </c>
      <c r="R4546" s="56" t="n">
        <f aca="false">IF(AND(D4546&gt;1,Q4546=0,ISNUMBER(O4546),ISNUMBER(P4546)),IF(Q4545=0,1,0),0)</f>
        <v>1</v>
      </c>
      <c r="S4546" s="56" t="n">
        <f aca="false">R4546*(B4546&gt;=Train_Start)*(B4546&lt;=Train_End)</f>
        <v>0</v>
      </c>
      <c r="T4546" s="84" t="n">
        <f aca="false">IF(AND(ISNUMBER(O4546),ISNUMBER(P4546)),Coef_A+Coef_B1*O4546+Coef_B2*P4546,"")</f>
        <v>21.5494851048389</v>
      </c>
      <c r="U4546" s="84" t="n">
        <f aca="false">IF(AND(R4546=1,ISNUMBER(T4546)),E4546-T4546,"")</f>
        <v>0.750514895161132</v>
      </c>
      <c r="V4546" s="84" t="n">
        <f aca="false">IF(ISNUMBER(T4546),T4546,-99)</f>
        <v>21.5494851048389</v>
      </c>
      <c r="W4546" s="84" t="n">
        <f aca="false">IF(ISNUMBER(U4546),ABS(U4546),"")</f>
        <v>0.750514895161132</v>
      </c>
    </row>
    <row r="4547" customFormat="false" ht="15" hidden="false" customHeight="false" outlineLevel="0" collapsed="false">
      <c r="A4547" s="57" t="n">
        <v>39677</v>
      </c>
      <c r="B4547" s="56" t="n">
        <v>2008</v>
      </c>
      <c r="C4547" s="56" t="n">
        <v>8</v>
      </c>
      <c r="D4547" s="56" t="n">
        <v>109</v>
      </c>
      <c r="E4547" s="56" t="n">
        <v>21.7</v>
      </c>
      <c r="F4547" s="56" t="n">
        <v>0</v>
      </c>
      <c r="G4547" s="56" t="n">
        <v>15.2</v>
      </c>
      <c r="H4547" s="56" t="n">
        <v>0</v>
      </c>
      <c r="I4547" s="56" t="n">
        <v>18.4</v>
      </c>
      <c r="J4547" s="56" t="n">
        <v>0</v>
      </c>
      <c r="K4547" s="56" t="n">
        <v>1005.6</v>
      </c>
      <c r="L4547" s="56" t="n">
        <v>0</v>
      </c>
      <c r="M4547" s="56" t="n">
        <v>71</v>
      </c>
      <c r="N4547" s="56" t="n">
        <v>4.1</v>
      </c>
      <c r="O4547" s="56" t="n">
        <f aca="false">IF(D4547=1,"",E4546)</f>
        <v>22.3</v>
      </c>
      <c r="P4547" s="56" t="n">
        <f aca="false">IF(OR(D4547=1,K4546=""),"",K4546)</f>
        <v>1008.5</v>
      </c>
      <c r="Q4547" s="56" t="n">
        <f aca="false">IF(OR(F4547&lt;&gt;0,AND(I4547&lt;&gt;"",E4547&lt;I4547)),1,0)</f>
        <v>0</v>
      </c>
      <c r="R4547" s="56" t="n">
        <f aca="false">IF(AND(D4547&gt;1,Q4547=0,ISNUMBER(O4547),ISNUMBER(P4547)),IF(Q4546=0,1,0),0)</f>
        <v>1</v>
      </c>
      <c r="S4547" s="56" t="n">
        <f aca="false">R4547*(B4547&gt;=Train_Start)*(B4547&lt;=Train_End)</f>
        <v>0</v>
      </c>
      <c r="T4547" s="84" t="n">
        <f aca="false">IF(AND(ISNUMBER(O4547),ISNUMBER(P4547)),Coef_A+Coef_B1*O4547+Coef_B2*P4547,"")</f>
        <v>21.9947781652253</v>
      </c>
      <c r="U4547" s="84" t="n">
        <f aca="false">IF(AND(R4547=1,ISNUMBER(T4547)),E4547-T4547,"")</f>
        <v>-0.294778165225267</v>
      </c>
      <c r="V4547" s="84" t="n">
        <f aca="false">IF(ISNUMBER(T4547),T4547,-99)</f>
        <v>21.9947781652253</v>
      </c>
      <c r="W4547" s="84" t="n">
        <f aca="false">IF(ISNUMBER(U4547),ABS(U4547),"")</f>
        <v>0.294778165225267</v>
      </c>
    </row>
    <row r="4548" customFormat="false" ht="15" hidden="false" customHeight="false" outlineLevel="0" collapsed="false">
      <c r="A4548" s="57" t="n">
        <v>39678</v>
      </c>
      <c r="B4548" s="56" t="n">
        <v>2008</v>
      </c>
      <c r="C4548" s="56" t="n">
        <v>8</v>
      </c>
      <c r="D4548" s="56" t="n">
        <v>110</v>
      </c>
      <c r="E4548" s="56" t="n">
        <v>20.7</v>
      </c>
      <c r="F4548" s="56" t="n">
        <v>0</v>
      </c>
      <c r="G4548" s="56" t="n">
        <v>14.1</v>
      </c>
      <c r="H4548" s="56" t="n">
        <v>0</v>
      </c>
      <c r="I4548" s="56" t="n">
        <v>17.4</v>
      </c>
      <c r="J4548" s="56" t="n">
        <v>0</v>
      </c>
      <c r="K4548" s="56" t="n">
        <v>1002.8</v>
      </c>
      <c r="L4548" s="56" t="n">
        <v>0</v>
      </c>
      <c r="M4548" s="56" t="n">
        <v>85</v>
      </c>
      <c r="N4548" s="56" t="n">
        <v>1.5</v>
      </c>
      <c r="O4548" s="56" t="n">
        <f aca="false">IF(D4548=1,"",E4547)</f>
        <v>21.7</v>
      </c>
      <c r="P4548" s="56" t="n">
        <f aca="false">IF(OR(D4548=1,K4547=""),"",K4547)</f>
        <v>1005.6</v>
      </c>
      <c r="Q4548" s="56" t="n">
        <f aca="false">IF(OR(F4548&lt;&gt;0,AND(I4548&lt;&gt;"",E4548&lt;I4548)),1,0)</f>
        <v>0</v>
      </c>
      <c r="R4548" s="56" t="n">
        <f aca="false">IF(AND(D4548&gt;1,Q4548=0,ISNUMBER(O4548),ISNUMBER(P4548)),IF(Q4547=0,1,0),0)</f>
        <v>1</v>
      </c>
      <c r="S4548" s="56" t="n">
        <f aca="false">R4548*(B4548&gt;=Train_Start)*(B4548&lt;=Train_End)</f>
        <v>0</v>
      </c>
      <c r="T4548" s="84" t="n">
        <f aca="false">IF(AND(ISNUMBER(O4548),ISNUMBER(P4548)),Coef_A+Coef_B1*O4548+Coef_B2*P4548,"")</f>
        <v>21.4122019549611</v>
      </c>
      <c r="U4548" s="84" t="n">
        <f aca="false">IF(AND(R4548=1,ISNUMBER(T4548)),E4548-T4548,"")</f>
        <v>-0.712201954961103</v>
      </c>
      <c r="V4548" s="84" t="n">
        <f aca="false">IF(ISNUMBER(T4548),T4548,-99)</f>
        <v>21.4122019549611</v>
      </c>
      <c r="W4548" s="84" t="n">
        <f aca="false">IF(ISNUMBER(U4548),ABS(U4548),"")</f>
        <v>0.712201954961103</v>
      </c>
    </row>
    <row r="4549" customFormat="false" ht="15" hidden="false" customHeight="false" outlineLevel="0" collapsed="false">
      <c r="A4549" s="57" t="n">
        <v>39679</v>
      </c>
      <c r="B4549" s="56" t="n">
        <v>2008</v>
      </c>
      <c r="C4549" s="56" t="n">
        <v>8</v>
      </c>
      <c r="D4549" s="56" t="n">
        <v>111</v>
      </c>
      <c r="E4549" s="56" t="n">
        <v>21.7</v>
      </c>
      <c r="F4549" s="56" t="n">
        <v>0</v>
      </c>
      <c r="G4549" s="56" t="n">
        <v>14.9</v>
      </c>
      <c r="H4549" s="56" t="n">
        <v>0</v>
      </c>
      <c r="I4549" s="56" t="n">
        <v>18.3</v>
      </c>
      <c r="J4549" s="56" t="n">
        <v>0</v>
      </c>
      <c r="K4549" s="56" t="n">
        <v>1003.2</v>
      </c>
      <c r="L4549" s="56" t="n">
        <v>0</v>
      </c>
      <c r="M4549" s="56" t="n">
        <v>77</v>
      </c>
      <c r="N4549" s="56" t="n">
        <v>1.2</v>
      </c>
      <c r="O4549" s="56" t="n">
        <f aca="false">IF(D4549=1,"",E4548)</f>
        <v>20.7</v>
      </c>
      <c r="P4549" s="56" t="n">
        <f aca="false">IF(OR(D4549=1,K4548=""),"",K4548)</f>
        <v>1002.8</v>
      </c>
      <c r="Q4549" s="56" t="n">
        <f aca="false">IF(OR(F4549&lt;&gt;0,AND(I4549&lt;&gt;"",E4549&lt;I4549)),1,0)</f>
        <v>0</v>
      </c>
      <c r="R4549" s="56" t="n">
        <f aca="false">IF(AND(D4549&gt;1,Q4549=0,ISNUMBER(O4549),ISNUMBER(P4549)),IF(Q4548=0,1,0),0)</f>
        <v>1</v>
      </c>
      <c r="S4549" s="56" t="n">
        <f aca="false">R4549*(B4549&gt;=Train_Start)*(B4549&lt;=Train_End)</f>
        <v>0</v>
      </c>
      <c r="T4549" s="84" t="n">
        <f aca="false">IF(AND(ISNUMBER(O4549),ISNUMBER(P4549)),Coef_A+Coef_B1*O4549+Coef_B2*P4549,"")</f>
        <v>20.5050270569433</v>
      </c>
      <c r="U4549" s="84" t="n">
        <f aca="false">IF(AND(R4549=1,ISNUMBER(T4549)),E4549-T4549,"")</f>
        <v>1.19497294305673</v>
      </c>
      <c r="V4549" s="84" t="n">
        <f aca="false">IF(ISNUMBER(T4549),T4549,-99)</f>
        <v>20.5050270569433</v>
      </c>
      <c r="W4549" s="84" t="n">
        <f aca="false">IF(ISNUMBER(U4549),ABS(U4549),"")</f>
        <v>1.19497294305673</v>
      </c>
    </row>
    <row r="4550" customFormat="false" ht="15" hidden="false" customHeight="false" outlineLevel="0" collapsed="false">
      <c r="A4550" s="57" t="n">
        <v>39680</v>
      </c>
      <c r="B4550" s="56" t="n">
        <v>2008</v>
      </c>
      <c r="C4550" s="56" t="n">
        <v>8</v>
      </c>
      <c r="D4550" s="56" t="n">
        <v>112</v>
      </c>
      <c r="E4550" s="56" t="n">
        <v>22.1</v>
      </c>
      <c r="F4550" s="56" t="n">
        <v>0</v>
      </c>
      <c r="G4550" s="56" t="n">
        <v>14.5</v>
      </c>
      <c r="H4550" s="56" t="n">
        <v>0</v>
      </c>
      <c r="I4550" s="56" t="n">
        <v>18.3</v>
      </c>
      <c r="J4550" s="56" t="n">
        <v>0</v>
      </c>
      <c r="K4550" s="56" t="n">
        <v>1010.8</v>
      </c>
      <c r="L4550" s="56" t="n">
        <v>0</v>
      </c>
      <c r="M4550" s="56" t="n">
        <v>78</v>
      </c>
      <c r="N4550" s="56" t="n">
        <v>1.3</v>
      </c>
      <c r="O4550" s="56" t="n">
        <f aca="false">IF(D4550=1,"",E4549)</f>
        <v>21.7</v>
      </c>
      <c r="P4550" s="56" t="n">
        <f aca="false">IF(OR(D4550=1,K4549=""),"",K4549)</f>
        <v>1003.2</v>
      </c>
      <c r="Q4550" s="56" t="n">
        <f aca="false">IF(OR(F4550&lt;&gt;0,AND(I4550&lt;&gt;"",E4550&lt;I4550)),1,0)</f>
        <v>0</v>
      </c>
      <c r="R4550" s="56" t="n">
        <f aca="false">IF(AND(D4550&gt;1,Q4550=0,ISNUMBER(O4550),ISNUMBER(P4550)),IF(Q4549=0,1,0),0)</f>
        <v>1</v>
      </c>
      <c r="S4550" s="56" t="n">
        <f aca="false">R4550*(B4550&gt;=Train_Start)*(B4550&lt;=Train_End)</f>
        <v>0</v>
      </c>
      <c r="T4550" s="84" t="n">
        <f aca="false">IF(AND(ISNUMBER(O4550),ISNUMBER(P4550)),Coef_A+Coef_B1*O4550+Coef_B2*P4550,"")</f>
        <v>21.3369142078395</v>
      </c>
      <c r="U4550" s="84" t="n">
        <f aca="false">IF(AND(R4550=1,ISNUMBER(T4550)),E4550-T4550,"")</f>
        <v>0.763085792160474</v>
      </c>
      <c r="V4550" s="84" t="n">
        <f aca="false">IF(ISNUMBER(T4550),T4550,-99)</f>
        <v>21.3369142078395</v>
      </c>
      <c r="W4550" s="84" t="n">
        <f aca="false">IF(ISNUMBER(U4550),ABS(U4550),"")</f>
        <v>0.763085792160474</v>
      </c>
    </row>
    <row r="4551" customFormat="false" ht="15" hidden="false" customHeight="false" outlineLevel="0" collapsed="false">
      <c r="A4551" s="57" t="n">
        <v>39681</v>
      </c>
      <c r="B4551" s="56" t="n">
        <v>2008</v>
      </c>
      <c r="C4551" s="56" t="n">
        <v>8</v>
      </c>
      <c r="D4551" s="56" t="n">
        <v>113</v>
      </c>
      <c r="E4551" s="56" t="n">
        <v>22.3</v>
      </c>
      <c r="F4551" s="56" t="n">
        <v>0</v>
      </c>
      <c r="G4551" s="56" t="n">
        <v>14.4</v>
      </c>
      <c r="H4551" s="56" t="n">
        <v>0</v>
      </c>
      <c r="I4551" s="56" t="n">
        <v>18.4</v>
      </c>
      <c r="J4551" s="56" t="n">
        <v>0</v>
      </c>
      <c r="K4551" s="56" t="n">
        <v>1013.6</v>
      </c>
      <c r="L4551" s="56" t="n">
        <v>0</v>
      </c>
      <c r="M4551" s="56" t="n">
        <v>76</v>
      </c>
      <c r="N4551" s="56" t="n">
        <v>3.5</v>
      </c>
      <c r="O4551" s="56" t="n">
        <f aca="false">IF(D4551=1,"",E4550)</f>
        <v>22.1</v>
      </c>
      <c r="P4551" s="56" t="n">
        <f aca="false">IF(OR(D4551=1,K4550=""),"",K4550)</f>
        <v>1010.8</v>
      </c>
      <c r="Q4551" s="56" t="n">
        <f aca="false">IF(OR(F4551&lt;&gt;0,AND(I4551&lt;&gt;"",E4551&lt;I4551)),1,0)</f>
        <v>0</v>
      </c>
      <c r="R4551" s="56" t="n">
        <f aca="false">IF(AND(D4551&gt;1,Q4551=0,ISNUMBER(O4551),ISNUMBER(P4551)),IF(Q4550=0,1,0),0)</f>
        <v>1</v>
      </c>
      <c r="S4551" s="56" t="n">
        <f aca="false">R4551*(B4551&gt;=Train_Start)*(B4551&lt;=Train_End)</f>
        <v>0</v>
      </c>
      <c r="T4551" s="84" t="n">
        <f aca="false">IF(AND(ISNUMBER(O4551),ISNUMBER(P4551)),Coef_A+Coef_B1*O4551+Coef_B2*P4551,"")</f>
        <v>21.9030610842749</v>
      </c>
      <c r="U4551" s="84" t="n">
        <f aca="false">IF(AND(R4551=1,ISNUMBER(T4551)),E4551-T4551,"")</f>
        <v>0.396938915725094</v>
      </c>
      <c r="V4551" s="84" t="n">
        <f aca="false">IF(ISNUMBER(T4551),T4551,-99)</f>
        <v>21.9030610842749</v>
      </c>
      <c r="W4551" s="84" t="n">
        <f aca="false">IF(ISNUMBER(U4551),ABS(U4551),"")</f>
        <v>0.396938915725094</v>
      </c>
    </row>
    <row r="4552" customFormat="false" ht="15" hidden="false" customHeight="false" outlineLevel="0" collapsed="false">
      <c r="A4552" s="57" t="n">
        <v>39682</v>
      </c>
      <c r="B4552" s="56" t="n">
        <v>2008</v>
      </c>
      <c r="C4552" s="56" t="n">
        <v>8</v>
      </c>
      <c r="D4552" s="56" t="n">
        <v>114</v>
      </c>
      <c r="E4552" s="56" t="n">
        <v>20.7</v>
      </c>
      <c r="F4552" s="56" t="n">
        <v>0</v>
      </c>
      <c r="G4552" s="56" t="n">
        <v>14.1</v>
      </c>
      <c r="H4552" s="56" t="n">
        <v>0</v>
      </c>
      <c r="I4552" s="56" t="n">
        <v>17.4</v>
      </c>
      <c r="J4552" s="56" t="n">
        <v>0</v>
      </c>
      <c r="K4552" s="56" t="n">
        <v>1014.6</v>
      </c>
      <c r="L4552" s="56" t="n">
        <v>0</v>
      </c>
      <c r="M4552" s="56" t="n">
        <v>70</v>
      </c>
      <c r="N4552" s="56" t="n">
        <v>5.8</v>
      </c>
      <c r="O4552" s="56" t="n">
        <f aca="false">IF(D4552=1,"",E4551)</f>
        <v>22.3</v>
      </c>
      <c r="P4552" s="56" t="n">
        <f aca="false">IF(OR(D4552=1,K4551=""),"",K4551)</f>
        <v>1013.6</v>
      </c>
      <c r="Q4552" s="56" t="n">
        <f aca="false">IF(OR(F4552&lt;&gt;0,AND(I4552&lt;&gt;"",E4552&lt;I4552)),1,0)</f>
        <v>0</v>
      </c>
      <c r="R4552" s="56" t="n">
        <f aca="false">IF(AND(D4552&gt;1,Q4552=0,ISNUMBER(O4552),ISNUMBER(P4552)),IF(Q4551=0,1,0),0)</f>
        <v>1</v>
      </c>
      <c r="S4552" s="56" t="n">
        <f aca="false">R4552*(B4552&gt;=Train_Start)*(B4552&lt;=Train_End)</f>
        <v>0</v>
      </c>
      <c r="T4552" s="84" t="n">
        <f aca="false">IF(AND(ISNUMBER(O4552),ISNUMBER(P4552)),Coef_A+Coef_B1*O4552+Coef_B2*P4552,"")</f>
        <v>22.1547646278586</v>
      </c>
      <c r="U4552" s="84" t="n">
        <f aca="false">IF(AND(R4552=1,ISNUMBER(T4552)),E4552-T4552,"")</f>
        <v>-1.45476462785861</v>
      </c>
      <c r="V4552" s="84" t="n">
        <f aca="false">IF(ISNUMBER(T4552),T4552,-99)</f>
        <v>22.1547646278586</v>
      </c>
      <c r="W4552" s="84" t="n">
        <f aca="false">IF(ISNUMBER(U4552),ABS(U4552),"")</f>
        <v>1.45476462785861</v>
      </c>
    </row>
    <row r="4553" customFormat="false" ht="15" hidden="false" customHeight="false" outlineLevel="0" collapsed="false">
      <c r="A4553" s="57" t="n">
        <v>39683</v>
      </c>
      <c r="B4553" s="56" t="n">
        <v>2008</v>
      </c>
      <c r="C4553" s="56" t="n">
        <v>8</v>
      </c>
      <c r="D4553" s="56" t="n">
        <v>115</v>
      </c>
      <c r="E4553" s="56" t="n">
        <v>21.3</v>
      </c>
      <c r="F4553" s="56" t="n">
        <v>0</v>
      </c>
      <c r="G4553" s="56" t="n">
        <v>9.1</v>
      </c>
      <c r="H4553" s="56" t="n">
        <v>0</v>
      </c>
      <c r="I4553" s="56" t="n">
        <v>15.2</v>
      </c>
      <c r="J4553" s="56" t="n">
        <v>0</v>
      </c>
      <c r="K4553" s="56" t="n">
        <v>1014.8</v>
      </c>
      <c r="L4553" s="56" t="n">
        <v>0</v>
      </c>
      <c r="M4553" s="56" t="n">
        <v>65</v>
      </c>
      <c r="N4553" s="56" t="n">
        <v>6.9</v>
      </c>
      <c r="O4553" s="56" t="n">
        <f aca="false">IF(D4553=1,"",E4552)</f>
        <v>20.7</v>
      </c>
      <c r="P4553" s="56" t="n">
        <f aca="false">IF(OR(D4553=1,K4552=""),"",K4552)</f>
        <v>1014.6</v>
      </c>
      <c r="Q4553" s="56" t="n">
        <f aca="false">IF(OR(F4553&lt;&gt;0,AND(I4553&lt;&gt;"",E4553&lt;I4553)),1,0)</f>
        <v>0</v>
      </c>
      <c r="R4553" s="56" t="n">
        <f aca="false">IF(AND(D4553&gt;1,Q4553=0,ISNUMBER(O4553),ISNUMBER(P4553)),IF(Q4552=0,1,0),0)</f>
        <v>1</v>
      </c>
      <c r="S4553" s="56" t="n">
        <f aca="false">R4553*(B4553&gt;=Train_Start)*(B4553&lt;=Train_End)</f>
        <v>0</v>
      </c>
      <c r="T4553" s="84" t="n">
        <f aca="false">IF(AND(ISNUMBER(O4553),ISNUMBER(P4553)),Coef_A+Coef_B1*O4553+Coef_B2*P4553,"")</f>
        <v>20.8751918136243</v>
      </c>
      <c r="U4553" s="84" t="n">
        <f aca="false">IF(AND(R4553=1,ISNUMBER(T4553)),E4553-T4553,"")</f>
        <v>0.424808186375653</v>
      </c>
      <c r="V4553" s="84" t="n">
        <f aca="false">IF(ISNUMBER(T4553),T4553,-99)</f>
        <v>20.8751918136243</v>
      </c>
      <c r="W4553" s="84" t="n">
        <f aca="false">IF(ISNUMBER(U4553),ABS(U4553),"")</f>
        <v>0.424808186375653</v>
      </c>
    </row>
    <row r="4554" customFormat="false" ht="15" hidden="false" customHeight="false" outlineLevel="0" collapsed="false">
      <c r="A4554" s="57" t="n">
        <v>39684</v>
      </c>
      <c r="B4554" s="56" t="n">
        <v>2008</v>
      </c>
      <c r="C4554" s="56" t="n">
        <v>8</v>
      </c>
      <c r="D4554" s="56" t="n">
        <v>116</v>
      </c>
      <c r="E4554" s="56" t="n">
        <v>22</v>
      </c>
      <c r="F4554" s="56" t="n">
        <v>0</v>
      </c>
      <c r="G4554" s="56" t="n">
        <v>14.2</v>
      </c>
      <c r="H4554" s="56" t="n">
        <v>0</v>
      </c>
      <c r="I4554" s="56" t="n">
        <v>18.1</v>
      </c>
      <c r="J4554" s="56" t="n">
        <v>0</v>
      </c>
      <c r="K4554" s="56" t="n">
        <v>1009.6</v>
      </c>
      <c r="L4554" s="56" t="n">
        <v>0</v>
      </c>
      <c r="M4554" s="56" t="n">
        <v>77</v>
      </c>
      <c r="N4554" s="56" t="n">
        <v>2.8</v>
      </c>
      <c r="O4554" s="56" t="n">
        <f aca="false">IF(D4554=1,"",E4553)</f>
        <v>21.3</v>
      </c>
      <c r="P4554" s="56" t="n">
        <f aca="false">IF(OR(D4554=1,K4553=""),"",K4553)</f>
        <v>1014.8</v>
      </c>
      <c r="Q4554" s="56" t="n">
        <f aca="false">IF(OR(F4554&lt;&gt;0,AND(I4554&lt;&gt;"",E4554&lt;I4554)),1,0)</f>
        <v>0</v>
      </c>
      <c r="R4554" s="56" t="n">
        <f aca="false">IF(AND(D4554&gt;1,Q4554=0,ISNUMBER(O4554),ISNUMBER(P4554)),IF(Q4553=0,1,0),0)</f>
        <v>1</v>
      </c>
      <c r="S4554" s="56" t="n">
        <f aca="false">R4554*(B4554&gt;=Train_Start)*(B4554&lt;=Train_End)</f>
        <v>0</v>
      </c>
      <c r="T4554" s="84" t="n">
        <f aca="false">IF(AND(ISNUMBER(O4554),ISNUMBER(P4554)),Coef_A+Coef_B1*O4554+Coef_B2*P4554,"")</f>
        <v>21.3730693083767</v>
      </c>
      <c r="U4554" s="84" t="n">
        <f aca="false">IF(AND(R4554=1,ISNUMBER(T4554)),E4554-T4554,"")</f>
        <v>0.626930691623262</v>
      </c>
      <c r="V4554" s="84" t="n">
        <f aca="false">IF(ISNUMBER(T4554),T4554,-99)</f>
        <v>21.3730693083767</v>
      </c>
      <c r="W4554" s="84" t="n">
        <f aca="false">IF(ISNUMBER(U4554),ABS(U4554),"")</f>
        <v>0.626930691623262</v>
      </c>
    </row>
    <row r="4555" customFormat="false" ht="15" hidden="false" customHeight="false" outlineLevel="0" collapsed="false">
      <c r="A4555" s="57" t="n">
        <v>39685</v>
      </c>
      <c r="B4555" s="56" t="n">
        <v>2008</v>
      </c>
      <c r="C4555" s="56" t="n">
        <v>8</v>
      </c>
      <c r="D4555" s="56" t="n">
        <v>117</v>
      </c>
      <c r="E4555" s="56" t="n">
        <v>20.6</v>
      </c>
      <c r="F4555" s="56" t="n">
        <v>0</v>
      </c>
      <c r="G4555" s="56" t="n">
        <v>13.3</v>
      </c>
      <c r="H4555" s="56" t="n">
        <v>0</v>
      </c>
      <c r="I4555" s="56" t="n">
        <v>17</v>
      </c>
      <c r="J4555" s="56" t="n">
        <v>0</v>
      </c>
      <c r="K4555" s="56" t="n">
        <v>1013.6</v>
      </c>
      <c r="L4555" s="56" t="n">
        <v>0</v>
      </c>
      <c r="M4555" s="56" t="n">
        <v>81</v>
      </c>
      <c r="N4555" s="56" t="n">
        <v>1.4</v>
      </c>
      <c r="O4555" s="56" t="n">
        <f aca="false">IF(D4555=1,"",E4554)</f>
        <v>22</v>
      </c>
      <c r="P4555" s="56" t="n">
        <f aca="false">IF(OR(D4555=1,K4554=""),"",K4554)</f>
        <v>1009.6</v>
      </c>
      <c r="Q4555" s="56" t="n">
        <f aca="false">IF(OR(F4555&lt;&gt;0,AND(I4555&lt;&gt;"",E4555&lt;I4555)),1,0)</f>
        <v>0</v>
      </c>
      <c r="R4555" s="56" t="n">
        <f aca="false">IF(AND(D4555&gt;1,Q4555=0,ISNUMBER(O4555),ISNUMBER(P4555)),IF(Q4554=0,1,0),0)</f>
        <v>1</v>
      </c>
      <c r="S4555" s="56" t="n">
        <f aca="false">R4555*(B4555&gt;=Train_Start)*(B4555&lt;=Train_End)</f>
        <v>0</v>
      </c>
      <c r="T4555" s="84" t="n">
        <f aca="false">IF(AND(ISNUMBER(O4555),ISNUMBER(P4555)),Coef_A+Coef_B1*O4555+Coef_B2*P4555,"")</f>
        <v>21.7834832914099</v>
      </c>
      <c r="U4555" s="84" t="n">
        <f aca="false">IF(AND(R4555=1,ISNUMBER(T4555)),E4555-T4555,"")</f>
        <v>-1.18348329140985</v>
      </c>
      <c r="V4555" s="84" t="n">
        <f aca="false">IF(ISNUMBER(T4555),T4555,-99)</f>
        <v>21.7834832914099</v>
      </c>
      <c r="W4555" s="84" t="n">
        <f aca="false">IF(ISNUMBER(U4555),ABS(U4555),"")</f>
        <v>1.18348329140985</v>
      </c>
    </row>
    <row r="4556" customFormat="false" ht="15" hidden="false" customHeight="false" outlineLevel="0" collapsed="false">
      <c r="A4556" s="57" t="n">
        <v>39686</v>
      </c>
      <c r="B4556" s="56" t="n">
        <v>2008</v>
      </c>
      <c r="C4556" s="56" t="n">
        <v>8</v>
      </c>
      <c r="D4556" s="56" t="n">
        <v>118</v>
      </c>
      <c r="E4556" s="56" t="n">
        <v>19.7</v>
      </c>
      <c r="F4556" s="56" t="n">
        <v>0</v>
      </c>
      <c r="G4556" s="56" t="n">
        <v>15.3</v>
      </c>
      <c r="H4556" s="56" t="n">
        <v>0</v>
      </c>
      <c r="I4556" s="56" t="n">
        <v>17.5</v>
      </c>
      <c r="J4556" s="56" t="n">
        <v>0</v>
      </c>
      <c r="K4556" s="56" t="n">
        <v>1020.4</v>
      </c>
      <c r="L4556" s="56" t="n">
        <v>0</v>
      </c>
      <c r="M4556" s="56" t="n">
        <v>79</v>
      </c>
      <c r="N4556" s="56" t="n">
        <v>0</v>
      </c>
      <c r="O4556" s="56" t="n">
        <f aca="false">IF(D4556=1,"",E4555)</f>
        <v>20.6</v>
      </c>
      <c r="P4556" s="56" t="n">
        <f aca="false">IF(OR(D4556=1,K4555=""),"",K4555)</f>
        <v>1013.6</v>
      </c>
      <c r="Q4556" s="56" t="n">
        <f aca="false">IF(OR(F4556&lt;&gt;0,AND(I4556&lt;&gt;"",E4556&lt;I4556)),1,0)</f>
        <v>0</v>
      </c>
      <c r="R4556" s="56" t="n">
        <f aca="false">IF(AND(D4556&gt;1,Q4556=0,ISNUMBER(O4556),ISNUMBER(P4556)),IF(Q4555=0,1,0),0)</f>
        <v>1</v>
      </c>
      <c r="S4556" s="56" t="n">
        <f aca="false">R4556*(B4556&gt;=Train_Start)*(B4556&lt;=Train_End)</f>
        <v>0</v>
      </c>
      <c r="T4556" s="84" t="n">
        <f aca="false">IF(AND(ISNUMBER(O4556),ISNUMBER(P4556)),Coef_A+Coef_B1*O4556+Coef_B2*P4556,"")</f>
        <v>20.7618879996861</v>
      </c>
      <c r="U4556" s="84" t="n">
        <f aca="false">IF(AND(R4556=1,ISNUMBER(T4556)),E4556-T4556,"")</f>
        <v>-1.0618879996861</v>
      </c>
      <c r="V4556" s="84" t="n">
        <f aca="false">IF(ISNUMBER(T4556),T4556,-99)</f>
        <v>20.7618879996861</v>
      </c>
      <c r="W4556" s="84" t="n">
        <f aca="false">IF(ISNUMBER(U4556),ABS(U4556),"")</f>
        <v>1.0618879996861</v>
      </c>
    </row>
    <row r="4557" customFormat="false" ht="15" hidden="false" customHeight="false" outlineLevel="0" collapsed="false">
      <c r="A4557" s="57" t="n">
        <v>39687</v>
      </c>
      <c r="B4557" s="56" t="n">
        <v>2008</v>
      </c>
      <c r="C4557" s="56" t="n">
        <v>8</v>
      </c>
      <c r="D4557" s="56" t="n">
        <v>119</v>
      </c>
      <c r="E4557" s="56" t="n">
        <v>19.8</v>
      </c>
      <c r="F4557" s="56" t="n">
        <v>0</v>
      </c>
      <c r="G4557" s="56" t="n">
        <v>16.2</v>
      </c>
      <c r="H4557" s="56" t="n">
        <v>0</v>
      </c>
      <c r="I4557" s="56" t="n">
        <v>18</v>
      </c>
      <c r="J4557" s="56" t="n">
        <v>0</v>
      </c>
      <c r="K4557" s="56" t="n">
        <v>1021.6</v>
      </c>
      <c r="L4557" s="56" t="n">
        <v>0</v>
      </c>
      <c r="M4557" s="56" t="n">
        <v>79</v>
      </c>
      <c r="N4557" s="56" t="n">
        <v>0</v>
      </c>
      <c r="O4557" s="56" t="n">
        <f aca="false">IF(D4557=1,"",E4556)</f>
        <v>19.7</v>
      </c>
      <c r="P4557" s="56" t="n">
        <f aca="false">IF(OR(D4557=1,K4556=""),"",K4556)</f>
        <v>1020.4</v>
      </c>
      <c r="Q4557" s="56" t="n">
        <f aca="false">IF(OR(F4557&lt;&gt;0,AND(I4557&lt;&gt;"",E4557&lt;I4557)),1,0)</f>
        <v>0</v>
      </c>
      <c r="R4557" s="56" t="n">
        <f aca="false">IF(AND(D4557&gt;1,Q4557=0,ISNUMBER(O4557),ISNUMBER(P4557)),IF(Q4556=0,1,0),0)</f>
        <v>1</v>
      </c>
      <c r="S4557" s="56" t="n">
        <f aca="false">R4557*(B4557&gt;=Train_Start)*(B4557&lt;=Train_End)</f>
        <v>0</v>
      </c>
      <c r="T4557" s="84" t="n">
        <f aca="false">IF(AND(ISNUMBER(O4557),ISNUMBER(P4557)),Coef_A+Coef_B1*O4557+Coef_B2*P4557,"")</f>
        <v>20.2377980094588</v>
      </c>
      <c r="U4557" s="84" t="n">
        <f aca="false">IF(AND(R4557=1,ISNUMBER(T4557)),E4557-T4557,"")</f>
        <v>-0.437798009458827</v>
      </c>
      <c r="V4557" s="84" t="n">
        <f aca="false">IF(ISNUMBER(T4557),T4557,-99)</f>
        <v>20.2377980094588</v>
      </c>
      <c r="W4557" s="84" t="n">
        <f aca="false">IF(ISNUMBER(U4557),ABS(U4557),"")</f>
        <v>0.437798009458827</v>
      </c>
    </row>
    <row r="4558" customFormat="false" ht="15" hidden="false" customHeight="false" outlineLevel="0" collapsed="false">
      <c r="A4558" s="57" t="n">
        <v>39688</v>
      </c>
      <c r="B4558" s="56" t="n">
        <v>2008</v>
      </c>
      <c r="C4558" s="56" t="n">
        <v>8</v>
      </c>
      <c r="D4558" s="56" t="n">
        <v>120</v>
      </c>
      <c r="E4558" s="56" t="n">
        <v>20.9</v>
      </c>
      <c r="F4558" s="56" t="n">
        <v>0</v>
      </c>
      <c r="G4558" s="56" t="n">
        <v>15.6</v>
      </c>
      <c r="H4558" s="56" t="n">
        <v>0</v>
      </c>
      <c r="I4558" s="56" t="n">
        <v>18.2</v>
      </c>
      <c r="J4558" s="56" t="n">
        <v>0</v>
      </c>
      <c r="K4558" s="56" t="n">
        <v>1020.9</v>
      </c>
      <c r="L4558" s="56" t="n">
        <v>0</v>
      </c>
      <c r="M4558" s="56" t="n">
        <v>83</v>
      </c>
      <c r="N4558" s="56" t="n">
        <v>0.8</v>
      </c>
      <c r="O4558" s="56" t="n">
        <f aca="false">IF(D4558=1,"",E4557)</f>
        <v>19.8</v>
      </c>
      <c r="P4558" s="56" t="n">
        <f aca="false">IF(OR(D4558=1,K4557=""),"",K4557)</f>
        <v>1021.6</v>
      </c>
      <c r="Q4558" s="56" t="n">
        <f aca="false">IF(OR(F4558&lt;&gt;0,AND(I4558&lt;&gt;"",E4558&lt;I4558)),1,0)</f>
        <v>0</v>
      </c>
      <c r="R4558" s="56" t="n">
        <f aca="false">IF(AND(D4558&gt;1,Q4558=0,ISNUMBER(O4558),ISNUMBER(P4558)),IF(Q4557=0,1,0),0)</f>
        <v>1</v>
      </c>
      <c r="S4558" s="56" t="n">
        <f aca="false">R4558*(B4558&gt;=Train_Start)*(B4558&lt;=Train_End)</f>
        <v>0</v>
      </c>
      <c r="T4558" s="84" t="n">
        <f aca="false">IF(AND(ISNUMBER(O4558),ISNUMBER(P4558)),Coef_A+Coef_B1*O4558+Coef_B2*P4558,"")</f>
        <v>20.3573758023239</v>
      </c>
      <c r="U4558" s="84" t="n">
        <f aca="false">IF(AND(R4558=1,ISNUMBER(T4558)),E4558-T4558,"")</f>
        <v>0.542624197676112</v>
      </c>
      <c r="V4558" s="84" t="n">
        <f aca="false">IF(ISNUMBER(T4558),T4558,-99)</f>
        <v>20.3573758023239</v>
      </c>
      <c r="W4558" s="84" t="n">
        <f aca="false">IF(ISNUMBER(U4558),ABS(U4558),"")</f>
        <v>0.542624197676112</v>
      </c>
    </row>
    <row r="4559" customFormat="false" ht="15" hidden="false" customHeight="false" outlineLevel="0" collapsed="false">
      <c r="A4559" s="57" t="n">
        <v>39689</v>
      </c>
      <c r="B4559" s="56" t="n">
        <v>2008</v>
      </c>
      <c r="C4559" s="56" t="n">
        <v>8</v>
      </c>
      <c r="D4559" s="56" t="n">
        <v>121</v>
      </c>
      <c r="E4559" s="56" t="n">
        <v>22.6</v>
      </c>
      <c r="F4559" s="56" t="n">
        <v>0</v>
      </c>
      <c r="G4559" s="56" t="n">
        <v>16.8</v>
      </c>
      <c r="H4559" s="56" t="n">
        <v>0</v>
      </c>
      <c r="I4559" s="56" t="n">
        <v>19.7</v>
      </c>
      <c r="J4559" s="56" t="n">
        <v>0</v>
      </c>
      <c r="K4559" s="56" t="n">
        <v>1020.1</v>
      </c>
      <c r="L4559" s="56" t="n">
        <v>0</v>
      </c>
      <c r="M4559" s="56" t="n">
        <v>79</v>
      </c>
      <c r="N4559" s="56" t="n">
        <v>0</v>
      </c>
      <c r="O4559" s="56" t="n">
        <f aca="false">IF(D4559=1,"",E4558)</f>
        <v>20.9</v>
      </c>
      <c r="P4559" s="56" t="n">
        <f aca="false">IF(OR(D4559=1,K4558=""),"",K4558)</f>
        <v>1020.9</v>
      </c>
      <c r="Q4559" s="56" t="n">
        <f aca="false">IF(OR(F4559&lt;&gt;0,AND(I4559&lt;&gt;"",E4559&lt;I4559)),1,0)</f>
        <v>0</v>
      </c>
      <c r="R4559" s="56" t="n">
        <f aca="false">IF(AND(D4559&gt;1,Q4559=0,ISNUMBER(O4559),ISNUMBER(P4559)),IF(Q4558=0,1,0),0)</f>
        <v>1</v>
      </c>
      <c r="S4559" s="56" t="n">
        <f aca="false">R4559*(B4559&gt;=Train_Start)*(B4559&lt;=Train_End)</f>
        <v>0</v>
      </c>
      <c r="T4559" s="84" t="n">
        <f aca="false">IF(AND(ISNUMBER(O4559),ISNUMBER(P4559)),Coef_A+Coef_B1*O4559+Coef_B2*P4559,"")</f>
        <v>21.236689988427</v>
      </c>
      <c r="U4559" s="84" t="n">
        <f aca="false">IF(AND(R4559=1,ISNUMBER(T4559)),E4559-T4559,"")</f>
        <v>1.36331001157299</v>
      </c>
      <c r="V4559" s="84" t="n">
        <f aca="false">IF(ISNUMBER(T4559),T4559,-99)</f>
        <v>21.236689988427</v>
      </c>
      <c r="W4559" s="84" t="n">
        <f aca="false">IF(ISNUMBER(U4559),ABS(U4559),"")</f>
        <v>1.36331001157299</v>
      </c>
    </row>
    <row r="4560" customFormat="false" ht="15" hidden="false" customHeight="false" outlineLevel="0" collapsed="false">
      <c r="A4560" s="57" t="n">
        <v>39690</v>
      </c>
      <c r="B4560" s="56" t="n">
        <v>2008</v>
      </c>
      <c r="C4560" s="56" t="n">
        <v>8</v>
      </c>
      <c r="D4560" s="56" t="n">
        <v>122</v>
      </c>
      <c r="E4560" s="56" t="n">
        <v>26.7</v>
      </c>
      <c r="F4560" s="56" t="n">
        <v>0</v>
      </c>
      <c r="G4560" s="56" t="n">
        <v>17.9</v>
      </c>
      <c r="H4560" s="56" t="n">
        <v>0</v>
      </c>
      <c r="I4560" s="56" t="n">
        <v>22.3</v>
      </c>
      <c r="J4560" s="56" t="n">
        <v>0</v>
      </c>
      <c r="K4560" s="56" t="n">
        <v>1015.6</v>
      </c>
      <c r="L4560" s="56" t="n">
        <v>0</v>
      </c>
      <c r="M4560" s="56" t="n">
        <v>70</v>
      </c>
      <c r="N4560" s="56" t="n">
        <v>9.4</v>
      </c>
      <c r="O4560" s="56" t="n">
        <f aca="false">IF(D4560=1,"",E4559)</f>
        <v>22.6</v>
      </c>
      <c r="P4560" s="56" t="n">
        <f aca="false">IF(OR(D4560=1,K4559=""),"",K4559)</f>
        <v>1020.1</v>
      </c>
      <c r="Q4560" s="56" t="n">
        <f aca="false">IF(OR(F4560&lt;&gt;0,AND(I4560&lt;&gt;"",E4560&lt;I4560)),1,0)</f>
        <v>0</v>
      </c>
      <c r="R4560" s="56" t="n">
        <f aca="false">IF(AND(D4560&gt;1,Q4560=0,ISNUMBER(O4560),ISNUMBER(P4560)),IF(Q4559=0,1,0),0)</f>
        <v>1</v>
      </c>
      <c r="S4560" s="56" t="n">
        <f aca="false">R4560*(B4560&gt;=Train_Start)*(B4560&lt;=Train_End)</f>
        <v>0</v>
      </c>
      <c r="T4560" s="84" t="n">
        <f aca="false">IF(AND(ISNUMBER(O4560),ISNUMBER(P4560)),Coef_A+Coef_B1*O4560+Coef_B2*P4560,"")</f>
        <v>22.6044707008923</v>
      </c>
      <c r="U4560" s="84" t="n">
        <f aca="false">IF(AND(R4560=1,ISNUMBER(T4560)),E4560-T4560,"")</f>
        <v>4.09552929910766</v>
      </c>
      <c r="V4560" s="84" t="n">
        <f aca="false">IF(ISNUMBER(T4560),T4560,-99)</f>
        <v>22.6044707008923</v>
      </c>
      <c r="W4560" s="84" t="n">
        <f aca="false">IF(ISNUMBER(U4560),ABS(U4560),"")</f>
        <v>4.09552929910766</v>
      </c>
    </row>
    <row r="4561" customFormat="false" ht="15" hidden="false" customHeight="false" outlineLevel="0" collapsed="false">
      <c r="A4561" s="57" t="n">
        <v>39691</v>
      </c>
      <c r="B4561" s="56" t="n">
        <v>2008</v>
      </c>
      <c r="C4561" s="56" t="n">
        <v>8</v>
      </c>
      <c r="D4561" s="56" t="n">
        <v>123</v>
      </c>
      <c r="E4561" s="56" t="n">
        <v>22.4</v>
      </c>
      <c r="F4561" s="56" t="n">
        <v>0</v>
      </c>
      <c r="G4561" s="56" t="n">
        <v>13.3</v>
      </c>
      <c r="H4561" s="56" t="n">
        <v>0</v>
      </c>
      <c r="I4561" s="56" t="n">
        <v>17.8</v>
      </c>
      <c r="J4561" s="56" t="n">
        <v>0</v>
      </c>
      <c r="K4561" s="56" t="n">
        <v>1010.4</v>
      </c>
      <c r="L4561" s="56" t="n">
        <v>0</v>
      </c>
      <c r="M4561" s="56" t="n">
        <v>94</v>
      </c>
      <c r="N4561" s="56" t="n">
        <v>0.8</v>
      </c>
      <c r="O4561" s="56" t="n">
        <f aca="false">IF(D4561=1,"",E4560)</f>
        <v>26.7</v>
      </c>
      <c r="P4561" s="56" t="n">
        <f aca="false">IF(OR(D4561=1,K4560=""),"",K4560)</f>
        <v>1015.6</v>
      </c>
      <c r="Q4561" s="56" t="n">
        <f aca="false">IF(OR(F4561&lt;&gt;0,AND(I4561&lt;&gt;"",E4561&lt;I4561)),1,0)</f>
        <v>0</v>
      </c>
      <c r="R4561" s="56" t="n">
        <f aca="false">IF(AND(D4561&gt;1,Q4561=0,ISNUMBER(O4561),ISNUMBER(P4561)),IF(Q4560=0,1,0),0)</f>
        <v>1</v>
      </c>
      <c r="S4561" s="56" t="n">
        <f aca="false">R4561*(B4561&gt;=Train_Start)*(B4561&lt;=Train_End)</f>
        <v>0</v>
      </c>
      <c r="T4561" s="84" t="n">
        <f aca="false">IF(AND(ISNUMBER(O4561),ISNUMBER(P4561)),Coef_A+Coef_B1*O4561+Coef_B2*P4561,"")</f>
        <v>25.8225968665143</v>
      </c>
      <c r="U4561" s="84" t="n">
        <f aca="false">IF(AND(R4561=1,ISNUMBER(T4561)),E4561-T4561,"")</f>
        <v>-3.42259686651428</v>
      </c>
      <c r="V4561" s="84" t="n">
        <f aca="false">IF(ISNUMBER(T4561),T4561,-99)</f>
        <v>25.8225968665143</v>
      </c>
      <c r="W4561" s="84" t="n">
        <f aca="false">IF(ISNUMBER(U4561),ABS(U4561),"")</f>
        <v>3.42259686651428</v>
      </c>
    </row>
    <row r="4562" customFormat="false" ht="15" hidden="false" customHeight="false" outlineLevel="0" collapsed="false">
      <c r="A4562" s="57" t="n">
        <v>39692</v>
      </c>
      <c r="B4562" s="56" t="n">
        <v>2008</v>
      </c>
      <c r="C4562" s="56" t="n">
        <v>9</v>
      </c>
      <c r="D4562" s="56" t="n">
        <v>124</v>
      </c>
      <c r="E4562" s="56" t="n">
        <v>20.6</v>
      </c>
      <c r="F4562" s="56" t="n">
        <v>0</v>
      </c>
      <c r="G4562" s="56" t="n">
        <v>11.3</v>
      </c>
      <c r="H4562" s="56" t="n">
        <v>0</v>
      </c>
      <c r="I4562" s="56" t="n">
        <v>16</v>
      </c>
      <c r="J4562" s="56" t="n">
        <v>0</v>
      </c>
      <c r="K4562" s="56" t="n">
        <v>1012.1</v>
      </c>
      <c r="L4562" s="56" t="n">
        <v>0</v>
      </c>
      <c r="M4562" s="56" t="n">
        <v>76</v>
      </c>
      <c r="N4562" s="56" t="n">
        <v>5.1</v>
      </c>
      <c r="O4562" s="56" t="n">
        <f aca="false">IF(D4562=1,"",E4561)</f>
        <v>22.4</v>
      </c>
      <c r="P4562" s="56" t="n">
        <f aca="false">IF(OR(D4562=1,K4561=""),"",K4561)</f>
        <v>1010.4</v>
      </c>
      <c r="Q4562" s="56" t="n">
        <f aca="false">IF(OR(F4562&lt;&gt;0,AND(I4562&lt;&gt;"",E4562&lt;I4562)),1,0)</f>
        <v>0</v>
      </c>
      <c r="R4562" s="56" t="n">
        <f aca="false">IF(AND(D4562&gt;1,Q4562=0,ISNUMBER(O4562),ISNUMBER(P4562)),IF(Q4561=0,1,0),0)</f>
        <v>1</v>
      </c>
      <c r="S4562" s="56" t="n">
        <f aca="false">R4562*(B4562&gt;=Train_Start)*(B4562&lt;=Train_End)</f>
        <v>0</v>
      </c>
      <c r="T4562" s="84" t="n">
        <f aca="false">IF(AND(ISNUMBER(O4562),ISNUMBER(P4562)),Coef_A+Coef_B1*O4562+Coef_B2*P4562,"")</f>
        <v>22.1363148843341</v>
      </c>
      <c r="U4562" s="84" t="n">
        <f aca="false">IF(AND(R4562=1,ISNUMBER(T4562)),E4562-T4562,"")</f>
        <v>-1.5363148843341</v>
      </c>
      <c r="V4562" s="84" t="n">
        <f aca="false">IF(ISNUMBER(T4562),T4562,-99)</f>
        <v>22.1363148843341</v>
      </c>
      <c r="W4562" s="84" t="n">
        <f aca="false">IF(ISNUMBER(U4562),ABS(U4562),"")</f>
        <v>1.5363148843341</v>
      </c>
    </row>
    <row r="4563" customFormat="false" ht="15" hidden="false" customHeight="false" outlineLevel="0" collapsed="false">
      <c r="A4563" s="57" t="n">
        <v>39693</v>
      </c>
      <c r="B4563" s="56" t="n">
        <v>2008</v>
      </c>
      <c r="C4563" s="56" t="n">
        <v>9</v>
      </c>
      <c r="D4563" s="56" t="n">
        <v>125</v>
      </c>
      <c r="E4563" s="56" t="n">
        <v>18.7</v>
      </c>
      <c r="F4563" s="56" t="n">
        <v>0</v>
      </c>
      <c r="G4563" s="56" t="n">
        <v>12.5</v>
      </c>
      <c r="H4563" s="56" t="n">
        <v>0</v>
      </c>
      <c r="I4563" s="56" t="n">
        <v>15.6</v>
      </c>
      <c r="J4563" s="56" t="n">
        <v>0</v>
      </c>
      <c r="K4563" s="56" t="n">
        <v>1002.6</v>
      </c>
      <c r="L4563" s="56" t="n">
        <v>0</v>
      </c>
      <c r="M4563" s="56" t="n">
        <v>82</v>
      </c>
      <c r="N4563" s="56" t="n">
        <v>2.1</v>
      </c>
      <c r="O4563" s="56" t="n">
        <f aca="false">IF(D4563=1,"",E4562)</f>
        <v>20.6</v>
      </c>
      <c r="P4563" s="56" t="n">
        <f aca="false">IF(OR(D4563=1,K4562=""),"",K4562)</f>
        <v>1012.1</v>
      </c>
      <c r="Q4563" s="56" t="n">
        <f aca="false">IF(OR(F4563&lt;&gt;0,AND(I4563&lt;&gt;"",E4563&lt;I4563)),1,0)</f>
        <v>0</v>
      </c>
      <c r="R4563" s="56" t="n">
        <f aca="false">IF(AND(D4563&gt;1,Q4563=0,ISNUMBER(O4563),ISNUMBER(P4563)),IF(Q4562=0,1,0),0)</f>
        <v>1</v>
      </c>
      <c r="S4563" s="56" t="n">
        <f aca="false">R4563*(B4563&gt;=Train_Start)*(B4563&lt;=Train_End)</f>
        <v>0</v>
      </c>
      <c r="T4563" s="84" t="n">
        <f aca="false">IF(AND(ISNUMBER(O4563),ISNUMBER(P4563)),Coef_A+Coef_B1*O4563+Coef_B2*P4563,"")</f>
        <v>20.7148331577351</v>
      </c>
      <c r="U4563" s="84" t="n">
        <f aca="false">IF(AND(R4563=1,ISNUMBER(T4563)),E4563-T4563,"")</f>
        <v>-2.01483315773511</v>
      </c>
      <c r="V4563" s="84" t="n">
        <f aca="false">IF(ISNUMBER(T4563),T4563,-99)</f>
        <v>20.7148331577351</v>
      </c>
      <c r="W4563" s="84" t="n">
        <f aca="false">IF(ISNUMBER(U4563),ABS(U4563),"")</f>
        <v>2.01483315773511</v>
      </c>
    </row>
    <row r="4564" customFormat="false" ht="15" hidden="false" customHeight="false" outlineLevel="0" collapsed="false">
      <c r="A4564" s="57" t="n">
        <v>39694</v>
      </c>
      <c r="B4564" s="56" t="n">
        <v>2008</v>
      </c>
      <c r="C4564" s="56" t="n">
        <v>9</v>
      </c>
      <c r="D4564" s="56" t="n">
        <v>126</v>
      </c>
      <c r="E4564" s="56" t="n">
        <v>20</v>
      </c>
      <c r="F4564" s="56" t="n">
        <v>0</v>
      </c>
      <c r="G4564" s="56" t="n">
        <v>11.6</v>
      </c>
      <c r="H4564" s="56" t="n">
        <v>0</v>
      </c>
      <c r="I4564" s="56" t="n">
        <v>15.8</v>
      </c>
      <c r="J4564" s="56" t="n">
        <v>0</v>
      </c>
      <c r="K4564" s="56" t="n">
        <v>1001.3</v>
      </c>
      <c r="L4564" s="56" t="n">
        <v>0</v>
      </c>
      <c r="M4564" s="56" t="n">
        <v>68</v>
      </c>
      <c r="N4564" s="56" t="n">
        <v>6.4</v>
      </c>
      <c r="O4564" s="56" t="n">
        <f aca="false">IF(D4564=1,"",E4563)</f>
        <v>18.7</v>
      </c>
      <c r="P4564" s="56" t="n">
        <f aca="false">IF(OR(D4564=1,K4563=""),"",K4563)</f>
        <v>1002.6</v>
      </c>
      <c r="Q4564" s="56" t="n">
        <f aca="false">IF(OR(F4564&lt;&gt;0,AND(I4564&lt;&gt;"",E4564&lt;I4564)),1,0)</f>
        <v>0</v>
      </c>
      <c r="R4564" s="56" t="n">
        <f aca="false">IF(AND(D4564&gt;1,Q4564=0,ISNUMBER(O4564),ISNUMBER(P4564)),IF(Q4563=0,1,0),0)</f>
        <v>1</v>
      </c>
      <c r="S4564" s="56" t="n">
        <f aca="false">R4564*(B4564&gt;=Train_Start)*(B4564&lt;=Train_End)</f>
        <v>0</v>
      </c>
      <c r="T4564" s="84" t="n">
        <f aca="false">IF(AND(ISNUMBER(O4564),ISNUMBER(P4564)),Coef_A+Coef_B1*O4564+Coef_B2*P4564,"")</f>
        <v>18.8600746919312</v>
      </c>
      <c r="U4564" s="84" t="n">
        <f aca="false">IF(AND(R4564=1,ISNUMBER(T4564)),E4564-T4564,"")</f>
        <v>1.13992530806884</v>
      </c>
      <c r="V4564" s="84" t="n">
        <f aca="false">IF(ISNUMBER(T4564),T4564,-99)</f>
        <v>18.8600746919312</v>
      </c>
      <c r="W4564" s="84" t="n">
        <f aca="false">IF(ISNUMBER(U4564),ABS(U4564),"")</f>
        <v>1.13992530806884</v>
      </c>
    </row>
    <row r="4565" customFormat="false" ht="15" hidden="false" customHeight="false" outlineLevel="0" collapsed="false">
      <c r="A4565" s="57" t="n">
        <v>39695</v>
      </c>
      <c r="B4565" s="56" t="n">
        <v>2008</v>
      </c>
      <c r="C4565" s="56" t="n">
        <v>9</v>
      </c>
      <c r="D4565" s="56" t="n">
        <v>127</v>
      </c>
      <c r="E4565" s="56" t="n">
        <v>18.4</v>
      </c>
      <c r="F4565" s="56" t="n">
        <v>0</v>
      </c>
      <c r="G4565" s="56" t="n">
        <v>13.9</v>
      </c>
      <c r="H4565" s="56" t="n">
        <v>0</v>
      </c>
      <c r="I4565" s="56" t="n">
        <v>16.2</v>
      </c>
      <c r="J4565" s="56" t="n">
        <v>0</v>
      </c>
      <c r="K4565" s="56" t="n">
        <v>999.5</v>
      </c>
      <c r="L4565" s="56" t="n">
        <v>0</v>
      </c>
      <c r="M4565" s="56" t="n">
        <v>74</v>
      </c>
      <c r="N4565" s="56" t="n">
        <v>1</v>
      </c>
      <c r="O4565" s="56" t="n">
        <f aca="false">IF(D4565=1,"",E4564)</f>
        <v>20</v>
      </c>
      <c r="P4565" s="56" t="n">
        <f aca="false">IF(OR(D4565=1,K4564=""),"",K4564)</f>
        <v>1001.3</v>
      </c>
      <c r="Q4565" s="56" t="n">
        <f aca="false">IF(OR(F4565&lt;&gt;0,AND(I4565&lt;&gt;"",E4565&lt;I4565)),1,0)</f>
        <v>0</v>
      </c>
      <c r="R4565" s="56" t="n">
        <f aca="false">IF(AND(D4565&gt;1,Q4565=0,ISNUMBER(O4565),ISNUMBER(P4565)),IF(Q4564=0,1,0),0)</f>
        <v>1</v>
      </c>
      <c r="S4565" s="56" t="n">
        <f aca="false">R4565*(B4565&gt;=Train_Start)*(B4565&lt;=Train_End)</f>
        <v>0</v>
      </c>
      <c r="T4565" s="84" t="n">
        <f aca="false">IF(AND(ISNUMBER(O4565),ISNUMBER(P4565)),Coef_A+Coef_B1*O4565+Coef_B2*P4565,"")</f>
        <v>19.8844347798624</v>
      </c>
      <c r="U4565" s="84" t="n">
        <f aca="false">IF(AND(R4565=1,ISNUMBER(T4565)),E4565-T4565,"")</f>
        <v>-1.48443477986243</v>
      </c>
      <c r="V4565" s="84" t="n">
        <f aca="false">IF(ISNUMBER(T4565),T4565,-99)</f>
        <v>19.8844347798624</v>
      </c>
      <c r="W4565" s="84" t="n">
        <f aca="false">IF(ISNUMBER(U4565),ABS(U4565),"")</f>
        <v>1.48443477986243</v>
      </c>
    </row>
    <row r="4566" customFormat="false" ht="15" hidden="false" customHeight="false" outlineLevel="0" collapsed="false">
      <c r="A4566" s="57" t="n">
        <v>39696</v>
      </c>
      <c r="B4566" s="56" t="n">
        <v>2008</v>
      </c>
      <c r="C4566" s="56" t="n">
        <v>9</v>
      </c>
      <c r="D4566" s="56" t="n">
        <v>128</v>
      </c>
      <c r="E4566" s="56" t="n">
        <v>17.9</v>
      </c>
      <c r="F4566" s="56" t="n">
        <v>0</v>
      </c>
      <c r="G4566" s="56" t="n">
        <v>13.4</v>
      </c>
      <c r="H4566" s="56" t="n">
        <v>0</v>
      </c>
      <c r="I4566" s="56" t="n">
        <v>15.6</v>
      </c>
      <c r="J4566" s="56" t="n">
        <v>0</v>
      </c>
      <c r="K4566" s="56" t="n">
        <v>992.9</v>
      </c>
      <c r="L4566" s="56" t="n">
        <v>0</v>
      </c>
      <c r="M4566" s="56" t="n">
        <v>92</v>
      </c>
      <c r="N4566" s="56" t="n">
        <v>0.5</v>
      </c>
      <c r="O4566" s="56" t="n">
        <f aca="false">IF(D4566=1,"",E4565)</f>
        <v>18.4</v>
      </c>
      <c r="P4566" s="56" t="n">
        <f aca="false">IF(OR(D4566=1,K4565=""),"",K4565)</f>
        <v>999.5</v>
      </c>
      <c r="Q4566" s="56" t="n">
        <f aca="false">IF(OR(F4566&lt;&gt;0,AND(I4566&lt;&gt;"",E4566&lt;I4566)),1,0)</f>
        <v>0</v>
      </c>
      <c r="R4566" s="56" t="n">
        <f aca="false">IF(AND(D4566&gt;1,Q4566=0,ISNUMBER(O4566),ISNUMBER(P4566)),IF(Q4565=0,1,0),0)</f>
        <v>1</v>
      </c>
      <c r="S4566" s="56" t="n">
        <f aca="false">R4566*(B4566&gt;=Train_Start)*(B4566&lt;=Train_End)</f>
        <v>0</v>
      </c>
      <c r="T4566" s="84" t="n">
        <f aca="false">IF(AND(ISNUMBER(O4566),ISNUMBER(P4566)),Coef_A+Coef_B1*O4566+Coef_B2*P4566,"")</f>
        <v>18.517026260653</v>
      </c>
      <c r="U4566" s="84" t="n">
        <f aca="false">IF(AND(R4566=1,ISNUMBER(T4566)),E4566-T4566,"")</f>
        <v>-0.617026260652992</v>
      </c>
      <c r="V4566" s="84" t="n">
        <f aca="false">IF(ISNUMBER(T4566),T4566,-99)</f>
        <v>18.517026260653</v>
      </c>
      <c r="W4566" s="84" t="n">
        <f aca="false">IF(ISNUMBER(U4566),ABS(U4566),"")</f>
        <v>0.617026260652992</v>
      </c>
    </row>
    <row r="4567" customFormat="false" ht="15" hidden="false" customHeight="false" outlineLevel="0" collapsed="false">
      <c r="A4567" s="57" t="n">
        <v>39697</v>
      </c>
      <c r="B4567" s="56" t="n">
        <v>2008</v>
      </c>
      <c r="C4567" s="56" t="n">
        <v>9</v>
      </c>
      <c r="D4567" s="56" t="n">
        <v>129</v>
      </c>
      <c r="E4567" s="56" t="n">
        <v>17.3</v>
      </c>
      <c r="F4567" s="56" t="n">
        <v>0</v>
      </c>
      <c r="G4567" s="56" t="n">
        <v>13.2</v>
      </c>
      <c r="H4567" s="56" t="n">
        <v>0</v>
      </c>
      <c r="I4567" s="56" t="n">
        <v>15.2</v>
      </c>
      <c r="J4567" s="56" t="n">
        <v>0</v>
      </c>
      <c r="K4567" s="56" t="n">
        <v>993.8</v>
      </c>
      <c r="L4567" s="56" t="n">
        <v>0</v>
      </c>
      <c r="M4567" s="56" t="n">
        <v>88</v>
      </c>
      <c r="N4567" s="56" t="n">
        <v>0.9</v>
      </c>
      <c r="O4567" s="56" t="n">
        <f aca="false">IF(D4567=1,"",E4566)</f>
        <v>17.9</v>
      </c>
      <c r="P4567" s="56" t="n">
        <f aca="false">IF(OR(D4567=1,K4566=""),"",K4566)</f>
        <v>992.9</v>
      </c>
      <c r="Q4567" s="56" t="n">
        <f aca="false">IF(OR(F4567&lt;&gt;0,AND(I4567&lt;&gt;"",E4567&lt;I4567)),1,0)</f>
        <v>0</v>
      </c>
      <c r="R4567" s="56" t="n">
        <f aca="false">IF(AND(D4567&gt;1,Q4567=0,ISNUMBER(O4567),ISNUMBER(P4567)),IF(Q4566=0,1,0),0)</f>
        <v>1</v>
      </c>
      <c r="S4567" s="56" t="n">
        <f aca="false">R4567*(B4567&gt;=Train_Start)*(B4567&lt;=Train_End)</f>
        <v>0</v>
      </c>
      <c r="T4567" s="84" t="n">
        <f aca="false">IF(AND(ISNUMBER(O4567),ISNUMBER(P4567)),Coef_A+Coef_B1*O4567+Coef_B2*P4567,"")</f>
        <v>17.9003153595473</v>
      </c>
      <c r="U4567" s="84" t="n">
        <f aca="false">IF(AND(R4567=1,ISNUMBER(T4567)),E4567-T4567,"")</f>
        <v>-0.600315359547334</v>
      </c>
      <c r="V4567" s="84" t="n">
        <f aca="false">IF(ISNUMBER(T4567),T4567,-99)</f>
        <v>17.9003153595473</v>
      </c>
      <c r="W4567" s="84" t="n">
        <f aca="false">IF(ISNUMBER(U4567),ABS(U4567),"")</f>
        <v>0.600315359547334</v>
      </c>
    </row>
    <row r="4568" customFormat="false" ht="15" hidden="false" customHeight="false" outlineLevel="0" collapsed="false">
      <c r="A4568" s="57" t="n">
        <v>39698</v>
      </c>
      <c r="B4568" s="56" t="n">
        <v>2008</v>
      </c>
      <c r="C4568" s="56" t="n">
        <v>9</v>
      </c>
      <c r="D4568" s="56" t="n">
        <v>130</v>
      </c>
      <c r="E4568" s="56" t="n">
        <v>16.6</v>
      </c>
      <c r="F4568" s="56" t="n">
        <v>0</v>
      </c>
      <c r="G4568" s="56" t="n">
        <v>13.5</v>
      </c>
      <c r="H4568" s="56" t="n">
        <v>0</v>
      </c>
      <c r="I4568" s="56" t="n">
        <v>15</v>
      </c>
      <c r="J4568" s="56" t="n">
        <v>0</v>
      </c>
      <c r="K4568" s="56" t="n">
        <v>1004.3</v>
      </c>
      <c r="L4568" s="56" t="n">
        <v>0</v>
      </c>
      <c r="M4568" s="56" t="n">
        <v>86</v>
      </c>
      <c r="N4568" s="56" t="n">
        <v>0.1</v>
      </c>
      <c r="O4568" s="56" t="n">
        <f aca="false">IF(D4568=1,"",E4567)</f>
        <v>17.3</v>
      </c>
      <c r="P4568" s="56" t="n">
        <f aca="false">IF(OR(D4568=1,K4567=""),"",K4567)</f>
        <v>993.8</v>
      </c>
      <c r="Q4568" s="56" t="n">
        <f aca="false">IF(OR(F4568&lt;&gt;0,AND(I4568&lt;&gt;"",E4568&lt;I4568)),1,0)</f>
        <v>0</v>
      </c>
      <c r="R4568" s="56" t="n">
        <f aca="false">IF(AND(D4568&gt;1,Q4568=0,ISNUMBER(O4568),ISNUMBER(P4568)),IF(Q4567=0,1,0),0)</f>
        <v>1</v>
      </c>
      <c r="S4568" s="56" t="n">
        <f aca="false">R4568*(B4568&gt;=Train_Start)*(B4568&lt;=Train_End)</f>
        <v>0</v>
      </c>
      <c r="T4568" s="84" t="n">
        <f aca="false">IF(AND(ISNUMBER(O4568),ISNUMBER(P4568)),Coef_A+Coef_B1*O4568+Coef_B2*P4568,"")</f>
        <v>17.4369447488923</v>
      </c>
      <c r="U4568" s="84" t="n">
        <f aca="false">IF(AND(R4568=1,ISNUMBER(T4568)),E4568-T4568,"")</f>
        <v>-0.836944748892329</v>
      </c>
      <c r="V4568" s="84" t="n">
        <f aca="false">IF(ISNUMBER(T4568),T4568,-99)</f>
        <v>17.4369447488923</v>
      </c>
      <c r="W4568" s="84" t="n">
        <f aca="false">IF(ISNUMBER(U4568),ABS(U4568),"")</f>
        <v>0.836944748892329</v>
      </c>
    </row>
    <row r="4569" customFormat="false" ht="15" hidden="false" customHeight="false" outlineLevel="0" collapsed="false">
      <c r="A4569" s="57" t="n">
        <v>39699</v>
      </c>
      <c r="B4569" s="56" t="n">
        <v>2008</v>
      </c>
      <c r="C4569" s="56" t="n">
        <v>9</v>
      </c>
      <c r="D4569" s="56" t="n">
        <v>131</v>
      </c>
      <c r="E4569" s="56" t="n">
        <v>17.7</v>
      </c>
      <c r="F4569" s="56" t="n">
        <v>0</v>
      </c>
      <c r="G4569" s="56" t="n">
        <v>13.6</v>
      </c>
      <c r="H4569" s="56" t="n">
        <v>0</v>
      </c>
      <c r="I4569" s="56" t="n">
        <v>15.6</v>
      </c>
      <c r="J4569" s="56" t="n">
        <v>0</v>
      </c>
      <c r="K4569" s="56" t="n">
        <v>1013.5</v>
      </c>
      <c r="L4569" s="56" t="n">
        <v>0</v>
      </c>
      <c r="M4569" s="56" t="n">
        <v>75</v>
      </c>
      <c r="N4569" s="56" t="n">
        <v>0.3</v>
      </c>
      <c r="O4569" s="56" t="n">
        <f aca="false">IF(D4569=1,"",E4568)</f>
        <v>16.6</v>
      </c>
      <c r="P4569" s="56" t="n">
        <f aca="false">IF(OR(D4569=1,K4568=""),"",K4568)</f>
        <v>1004.3</v>
      </c>
      <c r="Q4569" s="56" t="n">
        <f aca="false">IF(OR(F4569&lt;&gt;0,AND(I4569&lt;&gt;"",E4569&lt;I4569)),1,0)</f>
        <v>0</v>
      </c>
      <c r="R4569" s="56" t="n">
        <f aca="false">IF(AND(D4569&gt;1,Q4569=0,ISNUMBER(O4569),ISNUMBER(P4569)),IF(Q4568=0,1,0),0)</f>
        <v>1</v>
      </c>
      <c r="S4569" s="56" t="n">
        <f aca="false">R4569*(B4569&gt;=Train_Start)*(B4569&lt;=Train_End)</f>
        <v>0</v>
      </c>
      <c r="T4569" s="84" t="n">
        <f aca="false">IF(AND(ISNUMBER(O4569),ISNUMBER(P4569)),Coef_A+Coef_B1*O4569+Coef_B2*P4569,"")</f>
        <v>17.1927912074194</v>
      </c>
      <c r="U4569" s="84" t="n">
        <f aca="false">IF(AND(R4569=1,ISNUMBER(T4569)),E4569-T4569,"")</f>
        <v>0.507208792580638</v>
      </c>
      <c r="V4569" s="84" t="n">
        <f aca="false">IF(ISNUMBER(T4569),T4569,-99)</f>
        <v>17.1927912074194</v>
      </c>
      <c r="W4569" s="84" t="n">
        <f aca="false">IF(ISNUMBER(U4569),ABS(U4569),"")</f>
        <v>0.507208792580638</v>
      </c>
    </row>
    <row r="4570" customFormat="false" ht="15" hidden="false" customHeight="false" outlineLevel="0" collapsed="false">
      <c r="A4570" s="57" t="n">
        <v>39700</v>
      </c>
      <c r="B4570" s="56" t="n">
        <v>2008</v>
      </c>
      <c r="C4570" s="56" t="n">
        <v>9</v>
      </c>
      <c r="D4570" s="56" t="n">
        <v>132</v>
      </c>
      <c r="E4570" s="56" t="n">
        <v>18.8</v>
      </c>
      <c r="F4570" s="56" t="n">
        <v>0</v>
      </c>
      <c r="G4570" s="56" t="n">
        <v>12.4</v>
      </c>
      <c r="H4570" s="56" t="n">
        <v>0</v>
      </c>
      <c r="I4570" s="56" t="n">
        <v>15.6</v>
      </c>
      <c r="J4570" s="56" t="n">
        <v>0</v>
      </c>
      <c r="K4570" s="56" t="n">
        <v>1010.1</v>
      </c>
      <c r="L4570" s="56" t="n">
        <v>0</v>
      </c>
      <c r="M4570" s="56" t="n">
        <v>88</v>
      </c>
      <c r="N4570" s="56" t="n">
        <v>0.1</v>
      </c>
      <c r="O4570" s="56" t="n">
        <f aca="false">IF(D4570=1,"",E4569)</f>
        <v>17.7</v>
      </c>
      <c r="P4570" s="56" t="n">
        <f aca="false">IF(OR(D4570=1,K4569=""),"",K4569)</f>
        <v>1013.5</v>
      </c>
      <c r="Q4570" s="56" t="n">
        <f aca="false">IF(OR(F4570&lt;&gt;0,AND(I4570&lt;&gt;"",E4570&lt;I4570)),1,0)</f>
        <v>0</v>
      </c>
      <c r="R4570" s="56" t="n">
        <f aca="false">IF(AND(D4570&gt;1,Q4570=0,ISNUMBER(O4570),ISNUMBER(P4570)),IF(Q4569=0,1,0),0)</f>
        <v>1</v>
      </c>
      <c r="S4570" s="56" t="n">
        <f aca="false">R4570*(B4570&gt;=Train_Start)*(B4570&lt;=Train_End)</f>
        <v>0</v>
      </c>
      <c r="T4570" s="84" t="n">
        <f aca="false">IF(AND(ISNUMBER(O4570),ISNUMBER(P4570)),Coef_A+Coef_B1*O4570+Coef_B2*P4570,"")</f>
        <v>18.382667350399</v>
      </c>
      <c r="U4570" s="84" t="n">
        <f aca="false">IF(AND(R4570=1,ISNUMBER(T4570)),E4570-T4570,"")</f>
        <v>0.417332649601015</v>
      </c>
      <c r="V4570" s="84" t="n">
        <f aca="false">IF(ISNUMBER(T4570),T4570,-99)</f>
        <v>18.382667350399</v>
      </c>
      <c r="W4570" s="84" t="n">
        <f aca="false">IF(ISNUMBER(U4570),ABS(U4570),"")</f>
        <v>0.417332649601015</v>
      </c>
    </row>
    <row r="4571" customFormat="false" ht="15" hidden="false" customHeight="false" outlineLevel="0" collapsed="false">
      <c r="A4571" s="57" t="n">
        <v>39701</v>
      </c>
      <c r="B4571" s="56" t="n">
        <v>2008</v>
      </c>
      <c r="C4571" s="56" t="n">
        <v>9</v>
      </c>
      <c r="D4571" s="56" t="n">
        <v>133</v>
      </c>
      <c r="E4571" s="56" t="n">
        <v>20.2</v>
      </c>
      <c r="F4571" s="56" t="n">
        <v>0</v>
      </c>
      <c r="G4571" s="56" t="n">
        <v>12.4</v>
      </c>
      <c r="H4571" s="56" t="n">
        <v>0</v>
      </c>
      <c r="I4571" s="56" t="n">
        <v>16.3</v>
      </c>
      <c r="J4571" s="56" t="n">
        <v>0</v>
      </c>
      <c r="K4571" s="56" t="n">
        <v>1011</v>
      </c>
      <c r="L4571" s="56" t="n">
        <v>0</v>
      </c>
      <c r="M4571" s="56" t="n">
        <v>84</v>
      </c>
      <c r="N4571" s="56" t="n">
        <v>2</v>
      </c>
      <c r="O4571" s="56" t="n">
        <f aca="false">IF(D4571=1,"",E4570)</f>
        <v>18.8</v>
      </c>
      <c r="P4571" s="56" t="n">
        <f aca="false">IF(OR(D4571=1,K4570=""),"",K4570)</f>
        <v>1010.1</v>
      </c>
      <c r="Q4571" s="56" t="n">
        <f aca="false">IF(OR(F4571&lt;&gt;0,AND(I4571&lt;&gt;"",E4571&lt;I4571)),1,0)</f>
        <v>0</v>
      </c>
      <c r="R4571" s="56" t="n">
        <f aca="false">IF(AND(D4571&gt;1,Q4571=0,ISNUMBER(O4571),ISNUMBER(P4571)),IF(Q4570=0,1,0),0)</f>
        <v>1</v>
      </c>
      <c r="S4571" s="56" t="n">
        <f aca="false">R4571*(B4571&gt;=Train_Start)*(B4571&lt;=Train_End)</f>
        <v>0</v>
      </c>
      <c r="T4571" s="84" t="n">
        <f aca="false">IF(AND(ISNUMBER(O4571),ISNUMBER(P4571)),Coef_A+Coef_B1*O4571+Coef_B2*P4571,"")</f>
        <v>19.1772828209903</v>
      </c>
      <c r="U4571" s="84" t="n">
        <f aca="false">IF(AND(R4571=1,ISNUMBER(T4571)),E4571-T4571,"")</f>
        <v>1.02271717900965</v>
      </c>
      <c r="V4571" s="84" t="n">
        <f aca="false">IF(ISNUMBER(T4571),T4571,-99)</f>
        <v>19.1772828209903</v>
      </c>
      <c r="W4571" s="84" t="n">
        <f aca="false">IF(ISNUMBER(U4571),ABS(U4571),"")</f>
        <v>1.02271717900965</v>
      </c>
    </row>
    <row r="4572" customFormat="false" ht="15" hidden="false" customHeight="false" outlineLevel="0" collapsed="false">
      <c r="A4572" s="57" t="n">
        <v>39702</v>
      </c>
      <c r="B4572" s="56" t="n">
        <v>2008</v>
      </c>
      <c r="C4572" s="56" t="n">
        <v>9</v>
      </c>
      <c r="D4572" s="56" t="n">
        <v>134</v>
      </c>
      <c r="E4572" s="56" t="n">
        <v>19.5</v>
      </c>
      <c r="F4572" s="56" t="n">
        <v>0</v>
      </c>
      <c r="G4572" s="56" t="n">
        <v>14.5</v>
      </c>
      <c r="H4572" s="56" t="n">
        <v>0</v>
      </c>
      <c r="I4572" s="56" t="n">
        <v>17</v>
      </c>
      <c r="J4572" s="56" t="n">
        <v>0</v>
      </c>
      <c r="K4572" s="56" t="n">
        <v>1007</v>
      </c>
      <c r="L4572" s="56" t="n">
        <v>0</v>
      </c>
      <c r="M4572" s="56" t="n">
        <v>79</v>
      </c>
      <c r="N4572" s="56" t="n">
        <v>0.4</v>
      </c>
      <c r="O4572" s="56" t="n">
        <f aca="false">IF(D4572=1,"",E4571)</f>
        <v>20.2</v>
      </c>
      <c r="P4572" s="56" t="n">
        <f aca="false">IF(OR(D4572=1,K4571=""),"",K4571)</f>
        <v>1011</v>
      </c>
      <c r="Q4572" s="56" t="n">
        <f aca="false">IF(OR(F4572&lt;&gt;0,AND(I4572&lt;&gt;"",E4572&lt;I4572)),1,0)</f>
        <v>0</v>
      </c>
      <c r="R4572" s="56" t="n">
        <f aca="false">IF(AND(D4572&gt;1,Q4572=0,ISNUMBER(O4572),ISNUMBER(P4572)),IF(Q4571=0,1,0),0)</f>
        <v>1</v>
      </c>
      <c r="S4572" s="56" t="n">
        <f aca="false">R4572*(B4572&gt;=Train_Start)*(B4572&lt;=Train_End)</f>
        <v>0</v>
      </c>
      <c r="T4572" s="84" t="n">
        <f aca="false">IF(AND(ISNUMBER(O4572),ISNUMBER(P4572)),Coef_A+Coef_B1*O4572+Coef_B2*P4572,"")</f>
        <v>20.3525905964207</v>
      </c>
      <c r="U4572" s="84" t="n">
        <f aca="false">IF(AND(R4572=1,ISNUMBER(T4572)),E4572-T4572,"")</f>
        <v>-0.852590596420654</v>
      </c>
      <c r="V4572" s="84" t="n">
        <f aca="false">IF(ISNUMBER(T4572),T4572,-99)</f>
        <v>20.3525905964207</v>
      </c>
      <c r="W4572" s="84" t="n">
        <f aca="false">IF(ISNUMBER(U4572),ABS(U4572),"")</f>
        <v>0.852590596420654</v>
      </c>
    </row>
    <row r="4573" customFormat="false" ht="15" hidden="false" customHeight="false" outlineLevel="0" collapsed="false">
      <c r="A4573" s="57" t="n">
        <v>39703</v>
      </c>
      <c r="B4573" s="56" t="n">
        <v>2008</v>
      </c>
      <c r="C4573" s="56" t="n">
        <v>9</v>
      </c>
      <c r="D4573" s="56" t="n">
        <v>135</v>
      </c>
      <c r="E4573" s="56" t="n">
        <v>18.7</v>
      </c>
      <c r="F4573" s="56" t="n">
        <v>0</v>
      </c>
      <c r="G4573" s="56" t="n">
        <v>11.5</v>
      </c>
      <c r="H4573" s="56" t="n">
        <v>0</v>
      </c>
      <c r="I4573" s="56" t="n">
        <v>15.1</v>
      </c>
      <c r="J4573" s="56" t="n">
        <v>0</v>
      </c>
      <c r="K4573" s="56" t="n">
        <v>1012.8</v>
      </c>
      <c r="L4573" s="56" t="n">
        <v>0</v>
      </c>
      <c r="M4573" s="56" t="n">
        <v>86</v>
      </c>
      <c r="N4573" s="56" t="n">
        <v>2.1</v>
      </c>
      <c r="O4573" s="56" t="n">
        <f aca="false">IF(D4573=1,"",E4572)</f>
        <v>19.5</v>
      </c>
      <c r="P4573" s="56" t="n">
        <f aca="false">IF(OR(D4573=1,K4572=""),"",K4572)</f>
        <v>1007</v>
      </c>
      <c r="Q4573" s="56" t="n">
        <f aca="false">IF(OR(F4573&lt;&gt;0,AND(I4573&lt;&gt;"",E4573&lt;I4573)),1,0)</f>
        <v>0</v>
      </c>
      <c r="R4573" s="56" t="n">
        <f aca="false">IF(AND(D4573&gt;1,Q4573=0,ISNUMBER(O4573),ISNUMBER(P4573)),IF(Q4572=0,1,0),0)</f>
        <v>1</v>
      </c>
      <c r="S4573" s="56" t="n">
        <f aca="false">R4573*(B4573&gt;=Train_Start)*(B4573&lt;=Train_End)</f>
        <v>0</v>
      </c>
      <c r="T4573" s="84" t="n">
        <f aca="false">IF(AND(ISNUMBER(O4573),ISNUMBER(P4573)),Coef_A+Coef_B1*O4573+Coef_B2*P4573,"")</f>
        <v>19.6535735827548</v>
      </c>
      <c r="U4573" s="84" t="n">
        <f aca="false">IF(AND(R4573=1,ISNUMBER(T4573)),E4573-T4573,"")</f>
        <v>-0.953573582754839</v>
      </c>
      <c r="V4573" s="84" t="n">
        <f aca="false">IF(ISNUMBER(T4573),T4573,-99)</f>
        <v>19.6535735827548</v>
      </c>
      <c r="W4573" s="84" t="n">
        <f aca="false">IF(ISNUMBER(U4573),ABS(U4573),"")</f>
        <v>0.953573582754839</v>
      </c>
    </row>
    <row r="4574" customFormat="false" ht="15" hidden="false" customHeight="false" outlineLevel="0" collapsed="false">
      <c r="A4574" s="57" t="n">
        <v>39704</v>
      </c>
      <c r="B4574" s="56" t="n">
        <v>2008</v>
      </c>
      <c r="C4574" s="56" t="n">
        <v>9</v>
      </c>
      <c r="D4574" s="56" t="n">
        <v>136</v>
      </c>
      <c r="E4574" s="56" t="n">
        <v>19.3</v>
      </c>
      <c r="F4574" s="56" t="n">
        <v>0</v>
      </c>
      <c r="G4574" s="56" t="n">
        <v>9.8</v>
      </c>
      <c r="H4574" s="56" t="n">
        <v>0</v>
      </c>
      <c r="I4574" s="56" t="n">
        <v>14.6</v>
      </c>
      <c r="J4574" s="56" t="n">
        <v>0</v>
      </c>
      <c r="K4574" s="56" t="n">
        <v>1019.1</v>
      </c>
      <c r="L4574" s="56" t="n">
        <v>0</v>
      </c>
      <c r="M4574" s="56" t="n">
        <v>80</v>
      </c>
      <c r="N4574" s="56" t="n">
        <v>4.6</v>
      </c>
      <c r="O4574" s="56" t="n">
        <f aca="false">IF(D4574=1,"",E4573)</f>
        <v>18.7</v>
      </c>
      <c r="P4574" s="56" t="n">
        <f aca="false">IF(OR(D4574=1,K4573=""),"",K4573)</f>
        <v>1012.8</v>
      </c>
      <c r="Q4574" s="56" t="n">
        <f aca="false">IF(OR(F4574&lt;&gt;0,AND(I4574&lt;&gt;"",E4574&lt;I4574)),1,0)</f>
        <v>0</v>
      </c>
      <c r="R4574" s="56" t="n">
        <f aca="false">IF(AND(D4574&gt;1,Q4574=0,ISNUMBER(O4574),ISNUMBER(P4574)),IF(Q4573=0,1,0),0)</f>
        <v>1</v>
      </c>
      <c r="S4574" s="56" t="n">
        <f aca="false">R4574*(B4574&gt;=Train_Start)*(B4574&lt;=Train_End)</f>
        <v>0</v>
      </c>
      <c r="T4574" s="84" t="n">
        <f aca="false">IF(AND(ISNUMBER(O4574),ISNUMBER(P4574)),Coef_A+Coef_B1*O4574+Coef_B2*P4574,"")</f>
        <v>19.1800476171979</v>
      </c>
      <c r="U4574" s="84" t="n">
        <f aca="false">IF(AND(R4574=1,ISNUMBER(T4574)),E4574-T4574,"")</f>
        <v>0.11995238280215</v>
      </c>
      <c r="V4574" s="84" t="n">
        <f aca="false">IF(ISNUMBER(T4574),T4574,-99)</f>
        <v>19.1800476171979</v>
      </c>
      <c r="W4574" s="84" t="n">
        <f aca="false">IF(ISNUMBER(U4574),ABS(U4574),"")</f>
        <v>0.11995238280215</v>
      </c>
    </row>
    <row r="4575" customFormat="false" ht="15" hidden="false" customHeight="false" outlineLevel="0" collapsed="false">
      <c r="A4575" s="57" t="n">
        <v>39705</v>
      </c>
      <c r="B4575" s="56" t="n">
        <v>2008</v>
      </c>
      <c r="C4575" s="56" t="n">
        <v>9</v>
      </c>
      <c r="D4575" s="56" t="n">
        <v>137</v>
      </c>
      <c r="E4575" s="56" t="n">
        <v>19.4</v>
      </c>
      <c r="F4575" s="56" t="n">
        <v>0</v>
      </c>
      <c r="G4575" s="56" t="n">
        <v>11.1</v>
      </c>
      <c r="H4575" s="56" t="n">
        <v>0</v>
      </c>
      <c r="I4575" s="56" t="n">
        <v>15.2</v>
      </c>
      <c r="J4575" s="56" t="n">
        <v>0</v>
      </c>
      <c r="K4575" s="56" t="n">
        <v>1024.2</v>
      </c>
      <c r="L4575" s="56" t="n">
        <v>0</v>
      </c>
      <c r="M4575" s="56" t="n">
        <v>69</v>
      </c>
      <c r="N4575" s="56" t="n">
        <v>9.1</v>
      </c>
      <c r="O4575" s="56" t="n">
        <f aca="false">IF(D4575=1,"",E4574)</f>
        <v>19.3</v>
      </c>
      <c r="P4575" s="56" t="n">
        <f aca="false">IF(OR(D4575=1,K4574=""),"",K4574)</f>
        <v>1019.1</v>
      </c>
      <c r="Q4575" s="56" t="n">
        <f aca="false">IF(OR(F4575&lt;&gt;0,AND(I4575&lt;&gt;"",E4575&lt;I4575)),1,0)</f>
        <v>0</v>
      </c>
      <c r="R4575" s="56" t="n">
        <f aca="false">IF(AND(D4575&gt;1,Q4575=0,ISNUMBER(O4575),ISNUMBER(P4575)),IF(Q4574=0,1,0),0)</f>
        <v>1</v>
      </c>
      <c r="S4575" s="56" t="n">
        <f aca="false">R4575*(B4575&gt;=Train_Start)*(B4575&lt;=Train_End)</f>
        <v>0</v>
      </c>
      <c r="T4575" s="84" t="n">
        <f aca="false">IF(AND(ISNUMBER(O4575),ISNUMBER(P4575)),Coef_A+Coef_B1*O4575+Coef_B2*P4575,"")</f>
        <v>19.8692814692176</v>
      </c>
      <c r="U4575" s="84" t="n">
        <f aca="false">IF(AND(R4575=1,ISNUMBER(T4575)),E4575-T4575,"")</f>
        <v>-0.469281469217577</v>
      </c>
      <c r="V4575" s="84" t="n">
        <f aca="false">IF(ISNUMBER(T4575),T4575,-99)</f>
        <v>19.8692814692176</v>
      </c>
      <c r="W4575" s="84" t="n">
        <f aca="false">IF(ISNUMBER(U4575),ABS(U4575),"")</f>
        <v>0.469281469217577</v>
      </c>
    </row>
    <row r="4576" customFormat="false" ht="15" hidden="false" customHeight="false" outlineLevel="0" collapsed="false">
      <c r="A4576" s="57" t="n">
        <v>39706</v>
      </c>
      <c r="B4576" s="56" t="n">
        <v>2008</v>
      </c>
      <c r="C4576" s="56" t="n">
        <v>9</v>
      </c>
      <c r="D4576" s="56" t="n">
        <v>138</v>
      </c>
      <c r="E4576" s="56" t="n">
        <v>18.5</v>
      </c>
      <c r="F4576" s="56" t="n">
        <v>0</v>
      </c>
      <c r="G4576" s="56" t="n">
        <v>10.5</v>
      </c>
      <c r="H4576" s="56" t="n">
        <v>0</v>
      </c>
      <c r="I4576" s="56" t="n">
        <v>14.5</v>
      </c>
      <c r="J4576" s="56" t="n">
        <v>0</v>
      </c>
      <c r="K4576" s="56" t="n">
        <v>1024.8</v>
      </c>
      <c r="L4576" s="56" t="n">
        <v>0</v>
      </c>
      <c r="M4576" s="56" t="n">
        <v>68</v>
      </c>
      <c r="N4576" s="56" t="n">
        <v>2.7</v>
      </c>
      <c r="O4576" s="56" t="n">
        <f aca="false">IF(D4576=1,"",E4575)</f>
        <v>19.4</v>
      </c>
      <c r="P4576" s="56" t="n">
        <f aca="false">IF(OR(D4576=1,K4575=""),"",K4575)</f>
        <v>1024.2</v>
      </c>
      <c r="Q4576" s="56" t="n">
        <f aca="false">IF(OR(F4576&lt;&gt;0,AND(I4576&lt;&gt;"",E4576&lt;I4576)),1,0)</f>
        <v>0</v>
      </c>
      <c r="R4576" s="56" t="n">
        <f aca="false">IF(AND(D4576&gt;1,Q4576=0,ISNUMBER(O4576),ISNUMBER(P4576)),IF(Q4575=0,1,0),0)</f>
        <v>1</v>
      </c>
      <c r="S4576" s="56" t="n">
        <f aca="false">R4576*(B4576&gt;=Train_Start)*(B4576&lt;=Train_End)</f>
        <v>0</v>
      </c>
      <c r="T4576" s="84" t="n">
        <f aca="false">IF(AND(ISNUMBER(O4576),ISNUMBER(P4576)),Coef_A+Coef_B1*O4576+Coef_B2*P4576,"")</f>
        <v>20.1112018511552</v>
      </c>
      <c r="U4576" s="84" t="n">
        <f aca="false">IF(AND(R4576=1,ISNUMBER(T4576)),E4576-T4576,"")</f>
        <v>-1.61120185115519</v>
      </c>
      <c r="V4576" s="84" t="n">
        <f aca="false">IF(ISNUMBER(T4576),T4576,-99)</f>
        <v>20.1112018511552</v>
      </c>
      <c r="W4576" s="84" t="n">
        <f aca="false">IF(ISNUMBER(U4576),ABS(U4576),"")</f>
        <v>1.61120185115519</v>
      </c>
    </row>
    <row r="4577" customFormat="false" ht="15" hidden="false" customHeight="false" outlineLevel="0" collapsed="false">
      <c r="A4577" s="57" t="n">
        <v>39707</v>
      </c>
      <c r="B4577" s="56" t="n">
        <v>2008</v>
      </c>
      <c r="C4577" s="56" t="n">
        <v>9</v>
      </c>
      <c r="D4577" s="56" t="n">
        <v>139</v>
      </c>
      <c r="E4577" s="56" t="n">
        <v>16.3</v>
      </c>
      <c r="F4577" s="56" t="n">
        <v>0</v>
      </c>
      <c r="G4577" s="56" t="n">
        <v>9.4</v>
      </c>
      <c r="H4577" s="56" t="n">
        <v>0</v>
      </c>
      <c r="I4577" s="56" t="n">
        <v>12.8</v>
      </c>
      <c r="J4577" s="56" t="n">
        <v>0</v>
      </c>
      <c r="K4577" s="56" t="n">
        <v>1023.7</v>
      </c>
      <c r="L4577" s="56" t="n">
        <v>0</v>
      </c>
      <c r="M4577" s="56" t="n">
        <v>68</v>
      </c>
      <c r="N4577" s="56" t="n">
        <v>0</v>
      </c>
      <c r="O4577" s="56" t="n">
        <f aca="false">IF(D4577=1,"",E4576)</f>
        <v>18.5</v>
      </c>
      <c r="P4577" s="56" t="n">
        <f aca="false">IF(OR(D4577=1,K4576=""),"",K4576)</f>
        <v>1024.8</v>
      </c>
      <c r="Q4577" s="56" t="n">
        <f aca="false">IF(OR(F4577&lt;&gt;0,AND(I4577&lt;&gt;"",E4577&lt;I4577)),1,0)</f>
        <v>0</v>
      </c>
      <c r="R4577" s="56" t="n">
        <f aca="false">IF(AND(D4577&gt;1,Q4577=0,ISNUMBER(O4577),ISNUMBER(P4577)),IF(Q4576=0,1,0),0)</f>
        <v>1</v>
      </c>
      <c r="S4577" s="56" t="n">
        <f aca="false">R4577*(B4577&gt;=Train_Start)*(B4577&lt;=Train_End)</f>
        <v>0</v>
      </c>
      <c r="T4577" s="84" t="n">
        <f aca="false">IF(AND(ISNUMBER(O4577),ISNUMBER(P4577)),Coef_A+Coef_B1*O4577+Coef_B2*P4577,"")</f>
        <v>19.3926185141972</v>
      </c>
      <c r="U4577" s="84" t="n">
        <f aca="false">IF(AND(R4577=1,ISNUMBER(T4577)),E4577-T4577,"")</f>
        <v>-3.09261851419719</v>
      </c>
      <c r="V4577" s="84" t="n">
        <f aca="false">IF(ISNUMBER(T4577),T4577,-99)</f>
        <v>19.3926185141972</v>
      </c>
      <c r="W4577" s="84" t="n">
        <f aca="false">IF(ISNUMBER(U4577),ABS(U4577),"")</f>
        <v>3.09261851419719</v>
      </c>
    </row>
    <row r="4578" customFormat="false" ht="15" hidden="false" customHeight="false" outlineLevel="0" collapsed="false">
      <c r="A4578" s="57" t="n">
        <v>39708</v>
      </c>
      <c r="B4578" s="56" t="n">
        <v>2008</v>
      </c>
      <c r="C4578" s="56" t="n">
        <v>9</v>
      </c>
      <c r="D4578" s="56" t="n">
        <v>140</v>
      </c>
      <c r="E4578" s="56" t="n">
        <v>16.9</v>
      </c>
      <c r="F4578" s="56" t="n">
        <v>0</v>
      </c>
      <c r="G4578" s="56" t="n">
        <v>11.6</v>
      </c>
      <c r="H4578" s="56" t="n">
        <v>0</v>
      </c>
      <c r="I4578" s="56" t="n">
        <v>14.2</v>
      </c>
      <c r="J4578" s="56" t="n">
        <v>0</v>
      </c>
      <c r="K4578" s="56" t="n">
        <v>1022.7</v>
      </c>
      <c r="L4578" s="56" t="n">
        <v>0</v>
      </c>
      <c r="M4578" s="56" t="n">
        <v>69</v>
      </c>
      <c r="N4578" s="56" t="n">
        <v>0</v>
      </c>
      <c r="O4578" s="56" t="n">
        <f aca="false">IF(D4578=1,"",E4577)</f>
        <v>16.3</v>
      </c>
      <c r="P4578" s="56" t="n">
        <f aca="false">IF(OR(D4578=1,K4577=""),"",K4577)</f>
        <v>1023.7</v>
      </c>
      <c r="Q4578" s="56" t="n">
        <f aca="false">IF(OR(F4578&lt;&gt;0,AND(I4578&lt;&gt;"",E4578&lt;I4578)),1,0)</f>
        <v>0</v>
      </c>
      <c r="R4578" s="56" t="n">
        <f aca="false">IF(AND(D4578&gt;1,Q4578=0,ISNUMBER(O4578),ISNUMBER(P4578)),IF(Q4577=0,1,0),0)</f>
        <v>1</v>
      </c>
      <c r="S4578" s="56" t="n">
        <f aca="false">R4578*(B4578&gt;=Train_Start)*(B4578&lt;=Train_End)</f>
        <v>0</v>
      </c>
      <c r="T4578" s="84" t="n">
        <f aca="false">IF(AND(ISNUMBER(O4578),ISNUMBER(P4578)),Coef_A+Coef_B1*O4578+Coef_B2*P4578,"")</f>
        <v>17.555565405406</v>
      </c>
      <c r="U4578" s="84" t="n">
        <f aca="false">IF(AND(R4578=1,ISNUMBER(T4578)),E4578-T4578,"")</f>
        <v>-0.655565405405966</v>
      </c>
      <c r="V4578" s="84" t="n">
        <f aca="false">IF(ISNUMBER(T4578),T4578,-99)</f>
        <v>17.555565405406</v>
      </c>
      <c r="W4578" s="84" t="n">
        <f aca="false">IF(ISNUMBER(U4578),ABS(U4578),"")</f>
        <v>0.655565405405966</v>
      </c>
    </row>
    <row r="4579" customFormat="false" ht="15" hidden="false" customHeight="false" outlineLevel="0" collapsed="false">
      <c r="A4579" s="57" t="n">
        <v>39709</v>
      </c>
      <c r="B4579" s="56" t="n">
        <v>2008</v>
      </c>
      <c r="C4579" s="56" t="n">
        <v>9</v>
      </c>
      <c r="D4579" s="56" t="n">
        <v>141</v>
      </c>
      <c r="E4579" s="56" t="n">
        <v>18.5</v>
      </c>
      <c r="F4579" s="56" t="n">
        <v>0</v>
      </c>
      <c r="G4579" s="56" t="n">
        <v>10.6</v>
      </c>
      <c r="H4579" s="56" t="n">
        <v>0</v>
      </c>
      <c r="I4579" s="56" t="n">
        <v>14.6</v>
      </c>
      <c r="J4579" s="56" t="n">
        <v>0</v>
      </c>
      <c r="K4579" s="56" t="n">
        <v>1023.4</v>
      </c>
      <c r="L4579" s="56" t="n">
        <v>0</v>
      </c>
      <c r="M4579" s="56" t="n">
        <v>68</v>
      </c>
      <c r="N4579" s="56" t="n">
        <v>6.5</v>
      </c>
      <c r="O4579" s="56" t="n">
        <f aca="false">IF(D4579=1,"",E4578)</f>
        <v>16.9</v>
      </c>
      <c r="P4579" s="56" t="n">
        <f aca="false">IF(OR(D4579=1,K4578=""),"",K4578)</f>
        <v>1022.7</v>
      </c>
      <c r="Q4579" s="56" t="n">
        <f aca="false">IF(OR(F4579&lt;&gt;0,AND(I4579&lt;&gt;"",E4579&lt;I4579)),1,0)</f>
        <v>0</v>
      </c>
      <c r="R4579" s="56" t="n">
        <f aca="false">IF(AND(D4579&gt;1,Q4579=0,ISNUMBER(O4579),ISNUMBER(P4579)),IF(Q4578=0,1,0),0)</f>
        <v>1</v>
      </c>
      <c r="S4579" s="56" t="n">
        <f aca="false">R4579*(B4579&gt;=Train_Start)*(B4579&lt;=Train_End)</f>
        <v>0</v>
      </c>
      <c r="T4579" s="84" t="n">
        <f aca="false">IF(AND(ISNUMBER(O4579),ISNUMBER(P4579)),Coef_A+Coef_B1*O4579+Coef_B2*P4579,"")</f>
        <v>18.0157990265976</v>
      </c>
      <c r="U4579" s="84" t="n">
        <f aca="false">IF(AND(R4579=1,ISNUMBER(T4579)),E4579-T4579,"")</f>
        <v>0.484200973402434</v>
      </c>
      <c r="V4579" s="84" t="n">
        <f aca="false">IF(ISNUMBER(T4579),T4579,-99)</f>
        <v>18.0157990265976</v>
      </c>
      <c r="W4579" s="84" t="n">
        <f aca="false">IF(ISNUMBER(U4579),ABS(U4579),"")</f>
        <v>0.484200973402434</v>
      </c>
    </row>
    <row r="4580" customFormat="false" ht="15" hidden="false" customHeight="false" outlineLevel="0" collapsed="false">
      <c r="A4580" s="57" t="n">
        <v>39710</v>
      </c>
      <c r="B4580" s="56" t="n">
        <v>2008</v>
      </c>
      <c r="C4580" s="56" t="n">
        <v>9</v>
      </c>
      <c r="D4580" s="56" t="n">
        <v>142</v>
      </c>
      <c r="E4580" s="56" t="n">
        <v>20.5</v>
      </c>
      <c r="F4580" s="56" t="n">
        <v>0</v>
      </c>
      <c r="G4580" s="56" t="n">
        <v>7.5</v>
      </c>
      <c r="H4580" s="56" t="n">
        <v>0</v>
      </c>
      <c r="I4580" s="56" t="n">
        <v>14</v>
      </c>
      <c r="J4580" s="56" t="n">
        <v>0</v>
      </c>
      <c r="K4580" s="56" t="n">
        <v>1027.5</v>
      </c>
      <c r="L4580" s="56" t="n">
        <v>0</v>
      </c>
      <c r="M4580" s="56" t="n">
        <v>66</v>
      </c>
      <c r="N4580" s="56" t="n">
        <v>8.8</v>
      </c>
      <c r="O4580" s="56" t="n">
        <f aca="false">IF(D4580=1,"",E4579)</f>
        <v>18.5</v>
      </c>
      <c r="P4580" s="56" t="n">
        <f aca="false">IF(OR(D4580=1,K4579=""),"",K4579)</f>
        <v>1023.4</v>
      </c>
      <c r="Q4580" s="56" t="n">
        <f aca="false">IF(OR(F4580&lt;&gt;0,AND(I4580&lt;&gt;"",E4580&lt;I4580)),1,0)</f>
        <v>0</v>
      </c>
      <c r="R4580" s="56" t="n">
        <f aca="false">IF(AND(D4580&gt;1,Q4580=0,ISNUMBER(O4580),ISNUMBER(P4580)),IF(Q4579=0,1,0),0)</f>
        <v>1</v>
      </c>
      <c r="S4580" s="56" t="n">
        <f aca="false">R4580*(B4580&gt;=Train_Start)*(B4580&lt;=Train_End)</f>
        <v>0</v>
      </c>
      <c r="T4580" s="84" t="n">
        <f aca="false">IF(AND(ISNUMBER(O4580),ISNUMBER(P4580)),Coef_A+Coef_B1*O4580+Coef_B2*P4580,"")</f>
        <v>19.3487006617096</v>
      </c>
      <c r="U4580" s="84" t="n">
        <f aca="false">IF(AND(R4580=1,ISNUMBER(T4580)),E4580-T4580,"")</f>
        <v>1.15129933829039</v>
      </c>
      <c r="V4580" s="84" t="n">
        <f aca="false">IF(ISNUMBER(T4580),T4580,-99)</f>
        <v>19.3487006617096</v>
      </c>
      <c r="W4580" s="84" t="n">
        <f aca="false">IF(ISNUMBER(U4580),ABS(U4580),"")</f>
        <v>1.15129933829039</v>
      </c>
    </row>
    <row r="4581" customFormat="false" ht="15" hidden="false" customHeight="false" outlineLevel="0" collapsed="false">
      <c r="A4581" s="57" t="n">
        <v>39711</v>
      </c>
      <c r="B4581" s="56" t="n">
        <v>2008</v>
      </c>
      <c r="C4581" s="56" t="n">
        <v>9</v>
      </c>
      <c r="D4581" s="56" t="n">
        <v>143</v>
      </c>
      <c r="E4581" s="56" t="n">
        <v>20.2</v>
      </c>
      <c r="F4581" s="56" t="n">
        <v>0</v>
      </c>
      <c r="G4581" s="56" t="n">
        <v>8</v>
      </c>
      <c r="H4581" s="56" t="n">
        <v>0</v>
      </c>
      <c r="I4581" s="56" t="n">
        <v>14.1</v>
      </c>
      <c r="J4581" s="56" t="n">
        <v>0</v>
      </c>
      <c r="K4581" s="56" t="n">
        <v>1030.7</v>
      </c>
      <c r="L4581" s="56" t="n">
        <v>0</v>
      </c>
      <c r="M4581" s="56" t="n">
        <v>69</v>
      </c>
      <c r="N4581" s="56" t="n">
        <v>9.8</v>
      </c>
      <c r="O4581" s="56" t="n">
        <f aca="false">IF(D4581=1,"",E4580)</f>
        <v>20.5</v>
      </c>
      <c r="P4581" s="56" t="n">
        <f aca="false">IF(OR(D4581=1,K4580=""),"",K4580)</f>
        <v>1027.5</v>
      </c>
      <c r="Q4581" s="56" t="n">
        <f aca="false">IF(OR(F4581&lt;&gt;0,AND(I4581&lt;&gt;"",E4581&lt;I4581)),1,0)</f>
        <v>0</v>
      </c>
      <c r="R4581" s="56" t="n">
        <f aca="false">IF(AND(D4581&gt;1,Q4581=0,ISNUMBER(O4581),ISNUMBER(P4581)),IF(Q4580=0,1,0),0)</f>
        <v>1</v>
      </c>
      <c r="S4581" s="56" t="n">
        <f aca="false">R4581*(B4581&gt;=Train_Start)*(B4581&lt;=Train_End)</f>
        <v>0</v>
      </c>
      <c r="T4581" s="84" t="n">
        <f aca="false">IF(AND(ISNUMBER(O4581),ISNUMBER(P4581)),Coef_A+Coef_B1*O4581+Coef_B2*P4581,"")</f>
        <v>21.1159956157943</v>
      </c>
      <c r="U4581" s="84" t="n">
        <f aca="false">IF(AND(R4581=1,ISNUMBER(T4581)),E4581-T4581,"")</f>
        <v>-0.915995615794277</v>
      </c>
      <c r="V4581" s="84" t="n">
        <f aca="false">IF(ISNUMBER(T4581),T4581,-99)</f>
        <v>21.1159956157943</v>
      </c>
      <c r="W4581" s="84" t="n">
        <f aca="false">IF(ISNUMBER(U4581),ABS(U4581),"")</f>
        <v>0.915995615794277</v>
      </c>
    </row>
    <row r="4582" customFormat="false" ht="15" hidden="false" customHeight="false" outlineLevel="0" collapsed="false">
      <c r="A4582" s="57" t="n">
        <v>39712</v>
      </c>
      <c r="B4582" s="56" t="n">
        <v>2008</v>
      </c>
      <c r="C4582" s="56" t="n">
        <v>9</v>
      </c>
      <c r="D4582" s="56" t="n">
        <v>144</v>
      </c>
      <c r="E4582" s="56" t="n">
        <v>19.5</v>
      </c>
      <c r="F4582" s="56" t="n">
        <v>0</v>
      </c>
      <c r="G4582" s="56" t="n">
        <v>7.5</v>
      </c>
      <c r="H4582" s="56" t="n">
        <v>0</v>
      </c>
      <c r="I4582" s="56" t="n">
        <v>13.5</v>
      </c>
      <c r="J4582" s="56" t="n">
        <v>0</v>
      </c>
      <c r="K4582" s="56" t="n">
        <v>1026.6</v>
      </c>
      <c r="L4582" s="56" t="n">
        <v>0</v>
      </c>
      <c r="M4582" s="56" t="n">
        <v>70</v>
      </c>
      <c r="N4582" s="56" t="n">
        <v>8.3</v>
      </c>
      <c r="O4582" s="56" t="n">
        <f aca="false">IF(D4582=1,"",E4581)</f>
        <v>20.2</v>
      </c>
      <c r="P4582" s="56" t="n">
        <f aca="false">IF(OR(D4582=1,K4581=""),"",K4581)</f>
        <v>1030.7</v>
      </c>
      <c r="Q4582" s="56" t="n">
        <f aca="false">IF(OR(F4582&lt;&gt;0,AND(I4582&lt;&gt;"",E4582&lt;I4582)),1,0)</f>
        <v>0</v>
      </c>
      <c r="R4582" s="56" t="n">
        <f aca="false">IF(AND(D4582&gt;1,Q4582=0,ISNUMBER(O4582),ISNUMBER(P4582)),IF(Q4581=0,1,0),0)</f>
        <v>1</v>
      </c>
      <c r="S4582" s="56" t="n">
        <f aca="false">R4582*(B4582&gt;=Train_Start)*(B4582&lt;=Train_End)</f>
        <v>0</v>
      </c>
      <c r="T4582" s="84" t="n">
        <f aca="false">IF(AND(ISNUMBER(O4582),ISNUMBER(P4582)),Coef_A+Coef_B1*O4582+Coef_B2*P4582,"")</f>
        <v>20.9705775207102</v>
      </c>
      <c r="U4582" s="84" t="n">
        <f aca="false">IF(AND(R4582=1,ISNUMBER(T4582)),E4582-T4582,"")</f>
        <v>-1.47057752071025</v>
      </c>
      <c r="V4582" s="84" t="n">
        <f aca="false">IF(ISNUMBER(T4582),T4582,-99)</f>
        <v>20.9705775207102</v>
      </c>
      <c r="W4582" s="84" t="n">
        <f aca="false">IF(ISNUMBER(U4582),ABS(U4582),"")</f>
        <v>1.47057752071025</v>
      </c>
    </row>
    <row r="4583" customFormat="false" ht="15" hidden="false" customHeight="false" outlineLevel="0" collapsed="false">
      <c r="A4583" s="57" t="n">
        <v>39713</v>
      </c>
      <c r="B4583" s="56" t="n">
        <v>2008</v>
      </c>
      <c r="C4583" s="56" t="n">
        <v>9</v>
      </c>
      <c r="D4583" s="56" t="n">
        <v>145</v>
      </c>
      <c r="E4583" s="56" t="n">
        <v>19.6</v>
      </c>
      <c r="F4583" s="56" t="n">
        <v>0</v>
      </c>
      <c r="G4583" s="56" t="n">
        <v>11.3</v>
      </c>
      <c r="H4583" s="56" t="n">
        <v>0</v>
      </c>
      <c r="I4583" s="56" t="n">
        <v>15.4</v>
      </c>
      <c r="J4583" s="56" t="n">
        <v>0</v>
      </c>
      <c r="K4583" s="56" t="n">
        <v>1024.7</v>
      </c>
      <c r="L4583" s="56" t="n">
        <v>0</v>
      </c>
      <c r="M4583" s="56" t="n">
        <v>76</v>
      </c>
      <c r="N4583" s="56" t="n">
        <v>1.9</v>
      </c>
      <c r="O4583" s="56" t="n">
        <f aca="false">IF(D4583=1,"",E4582)</f>
        <v>19.5</v>
      </c>
      <c r="P4583" s="56" t="n">
        <f aca="false">IF(OR(D4583=1,K4582=""),"",K4582)</f>
        <v>1026.6</v>
      </c>
      <c r="Q4583" s="56" t="n">
        <f aca="false">IF(OR(F4583&lt;&gt;0,AND(I4583&lt;&gt;"",E4583&lt;I4583)),1,0)</f>
        <v>0</v>
      </c>
      <c r="R4583" s="56" t="n">
        <f aca="false">IF(AND(D4583&gt;1,Q4583=0,ISNUMBER(O4583),ISNUMBER(P4583)),IF(Q4582=0,1,0),0)</f>
        <v>1</v>
      </c>
      <c r="S4583" s="56" t="n">
        <f aca="false">R4583*(B4583&gt;=Train_Start)*(B4583&lt;=Train_End)</f>
        <v>0</v>
      </c>
      <c r="T4583" s="84" t="n">
        <f aca="false">IF(AND(ISNUMBER(O4583),ISNUMBER(P4583)),Coef_A+Coef_B1*O4583+Coef_B2*P4583,"")</f>
        <v>20.268423517581</v>
      </c>
      <c r="U4583" s="84" t="n">
        <f aca="false">IF(AND(R4583=1,ISNUMBER(T4583)),E4583-T4583,"")</f>
        <v>-0.668423517581026</v>
      </c>
      <c r="V4583" s="84" t="n">
        <f aca="false">IF(ISNUMBER(T4583),T4583,-99)</f>
        <v>20.268423517581</v>
      </c>
      <c r="W4583" s="84" t="n">
        <f aca="false">IF(ISNUMBER(U4583),ABS(U4583),"")</f>
        <v>0.668423517581026</v>
      </c>
    </row>
    <row r="4584" customFormat="false" ht="15" hidden="false" customHeight="false" outlineLevel="0" collapsed="false">
      <c r="A4584" s="57" t="n">
        <v>39714</v>
      </c>
      <c r="B4584" s="56" t="n">
        <v>2008</v>
      </c>
      <c r="C4584" s="56" t="n">
        <v>9</v>
      </c>
      <c r="D4584" s="56" t="n">
        <v>146</v>
      </c>
      <c r="E4584" s="56" t="n">
        <v>17.1</v>
      </c>
      <c r="F4584" s="56" t="n">
        <v>0</v>
      </c>
      <c r="G4584" s="56" t="n">
        <v>12.2</v>
      </c>
      <c r="H4584" s="56" t="n">
        <v>0</v>
      </c>
      <c r="I4584" s="56" t="n">
        <v>14.6</v>
      </c>
      <c r="J4584" s="56" t="n">
        <v>0</v>
      </c>
      <c r="K4584" s="56" t="n">
        <v>1024.5</v>
      </c>
      <c r="L4584" s="56" t="n">
        <v>0</v>
      </c>
      <c r="M4584" s="56" t="n">
        <v>78</v>
      </c>
      <c r="N4584" s="56" t="n">
        <v>0.1</v>
      </c>
      <c r="O4584" s="56" t="n">
        <f aca="false">IF(D4584=1,"",E4583)</f>
        <v>19.6</v>
      </c>
      <c r="P4584" s="56" t="n">
        <f aca="false">IF(OR(D4584=1,K4583=""),"",K4583)</f>
        <v>1024.7</v>
      </c>
      <c r="Q4584" s="56" t="n">
        <f aca="false">IF(OR(F4584&lt;&gt;0,AND(I4584&lt;&gt;"",E4584&lt;I4584)),1,0)</f>
        <v>0</v>
      </c>
      <c r="R4584" s="56" t="n">
        <f aca="false">IF(AND(D4584&gt;1,Q4584=0,ISNUMBER(O4584),ISNUMBER(P4584)),IF(Q4583=0,1,0),0)</f>
        <v>1</v>
      </c>
      <c r="S4584" s="56" t="n">
        <f aca="false">R4584*(B4584&gt;=Train_Start)*(B4584&lt;=Train_End)</f>
        <v>0</v>
      </c>
      <c r="T4584" s="84" t="n">
        <f aca="false">IF(AND(ISNUMBER(O4584),ISNUMBER(P4584)),Coef_A+Coef_B1*O4584+Coef_B2*P4584,"")</f>
        <v>20.2907546370807</v>
      </c>
      <c r="U4584" s="84" t="n">
        <f aca="false">IF(AND(R4584=1,ISNUMBER(T4584)),E4584-T4584,"")</f>
        <v>-3.19075463708072</v>
      </c>
      <c r="V4584" s="84" t="n">
        <f aca="false">IF(ISNUMBER(T4584),T4584,-99)</f>
        <v>20.2907546370807</v>
      </c>
      <c r="W4584" s="84" t="n">
        <f aca="false">IF(ISNUMBER(U4584),ABS(U4584),"")</f>
        <v>3.19075463708072</v>
      </c>
    </row>
    <row r="4585" customFormat="false" ht="15" hidden="false" customHeight="false" outlineLevel="0" collapsed="false">
      <c r="A4585" s="57" t="n">
        <v>39715</v>
      </c>
      <c r="B4585" s="56" t="n">
        <v>2008</v>
      </c>
      <c r="C4585" s="56" t="n">
        <v>9</v>
      </c>
      <c r="D4585" s="56" t="n">
        <v>147</v>
      </c>
      <c r="E4585" s="56" t="n">
        <v>16.2</v>
      </c>
      <c r="F4585" s="56" t="n">
        <v>0</v>
      </c>
      <c r="G4585" s="56" t="n">
        <v>12.8</v>
      </c>
      <c r="H4585" s="56" t="n">
        <v>0</v>
      </c>
      <c r="I4585" s="56" t="n">
        <v>14.5</v>
      </c>
      <c r="J4585" s="56" t="n">
        <v>0</v>
      </c>
      <c r="K4585" s="56" t="n">
        <v>1024.9</v>
      </c>
      <c r="L4585" s="56" t="n">
        <v>0</v>
      </c>
      <c r="M4585" s="56" t="n">
        <v>86</v>
      </c>
      <c r="N4585" s="56" t="n">
        <v>0</v>
      </c>
      <c r="O4585" s="56" t="n">
        <f aca="false">IF(D4585=1,"",E4584)</f>
        <v>17.1</v>
      </c>
      <c r="P4585" s="56" t="n">
        <f aca="false">IF(OR(D4585=1,K4584=""),"",K4584)</f>
        <v>1024.5</v>
      </c>
      <c r="Q4585" s="56" t="n">
        <f aca="false">IF(OR(F4585&lt;&gt;0,AND(I4585&lt;&gt;"",E4585&lt;I4585)),1,0)</f>
        <v>0</v>
      </c>
      <c r="R4585" s="56" t="n">
        <f aca="false">IF(AND(D4585&gt;1,Q4585=0,ISNUMBER(O4585),ISNUMBER(P4585)),IF(Q4584=0,1,0),0)</f>
        <v>1</v>
      </c>
      <c r="S4585" s="56" t="n">
        <f aca="false">R4585*(B4585&gt;=Train_Start)*(B4585&lt;=Train_End)</f>
        <v>0</v>
      </c>
      <c r="T4585" s="84" t="n">
        <f aca="false">IF(AND(ISNUMBER(O4585),ISNUMBER(P4585)),Coef_A+Coef_B1*O4585+Coef_B2*P4585,"")</f>
        <v>18.2361326755473</v>
      </c>
      <c r="U4585" s="84" t="n">
        <f aca="false">IF(AND(R4585=1,ISNUMBER(T4585)),E4585-T4585,"")</f>
        <v>-2.03613267554728</v>
      </c>
      <c r="V4585" s="84" t="n">
        <f aca="false">IF(ISNUMBER(T4585),T4585,-99)</f>
        <v>18.2361326755473</v>
      </c>
      <c r="W4585" s="84" t="n">
        <f aca="false">IF(ISNUMBER(U4585),ABS(U4585),"")</f>
        <v>2.03613267554728</v>
      </c>
    </row>
    <row r="4586" customFormat="false" ht="15" hidden="false" customHeight="false" outlineLevel="0" collapsed="false">
      <c r="A4586" s="57" t="n">
        <v>39716</v>
      </c>
      <c r="B4586" s="56" t="n">
        <v>2008</v>
      </c>
      <c r="C4586" s="56" t="n">
        <v>9</v>
      </c>
      <c r="D4586" s="56" t="n">
        <v>148</v>
      </c>
      <c r="E4586" s="56" t="n">
        <v>18.3</v>
      </c>
      <c r="F4586" s="56" t="n">
        <v>0</v>
      </c>
      <c r="G4586" s="56" t="n">
        <v>13.1</v>
      </c>
      <c r="H4586" s="56" t="n">
        <v>0</v>
      </c>
      <c r="I4586" s="56" t="n">
        <v>15.7</v>
      </c>
      <c r="J4586" s="56" t="n">
        <v>0</v>
      </c>
      <c r="K4586" s="56" t="n">
        <v>1031.9</v>
      </c>
      <c r="L4586" s="56" t="n">
        <v>0</v>
      </c>
      <c r="M4586" s="56" t="n">
        <v>75</v>
      </c>
      <c r="N4586" s="56" t="n">
        <v>3.6</v>
      </c>
      <c r="O4586" s="56" t="n">
        <f aca="false">IF(D4586=1,"",E4585)</f>
        <v>16.2</v>
      </c>
      <c r="P4586" s="56" t="n">
        <f aca="false">IF(OR(D4586=1,K4585=""),"",K4585)</f>
        <v>1024.9</v>
      </c>
      <c r="Q4586" s="56" t="n">
        <f aca="false">IF(OR(F4586&lt;&gt;0,AND(I4586&lt;&gt;"",E4586&lt;I4586)),1,0)</f>
        <v>0</v>
      </c>
      <c r="R4586" s="56" t="n">
        <f aca="false">IF(AND(D4586&gt;1,Q4586=0,ISNUMBER(O4586),ISNUMBER(P4586)),IF(Q4585=0,1,0),0)</f>
        <v>1</v>
      </c>
      <c r="S4586" s="56" t="n">
        <f aca="false">R4586*(B4586&gt;=Train_Start)*(B4586&lt;=Train_End)</f>
        <v>0</v>
      </c>
      <c r="T4586" s="84" t="n">
        <f aca="false">IF(AND(ISNUMBER(O4586),ISNUMBER(P4586)),Coef_A+Coef_B1*O4586+Coef_B2*P4586,"")</f>
        <v>17.5112753596625</v>
      </c>
      <c r="U4586" s="84" t="n">
        <f aca="false">IF(AND(R4586=1,ISNUMBER(T4586)),E4586-T4586,"")</f>
        <v>0.788724640337524</v>
      </c>
      <c r="V4586" s="84" t="n">
        <f aca="false">IF(ISNUMBER(T4586),T4586,-99)</f>
        <v>17.5112753596625</v>
      </c>
      <c r="W4586" s="84" t="n">
        <f aca="false">IF(ISNUMBER(U4586),ABS(U4586),"")</f>
        <v>0.788724640337524</v>
      </c>
    </row>
    <row r="4587" customFormat="false" ht="15" hidden="false" customHeight="false" outlineLevel="0" collapsed="false">
      <c r="A4587" s="57" t="n">
        <v>39717</v>
      </c>
      <c r="B4587" s="56" t="n">
        <v>2008</v>
      </c>
      <c r="C4587" s="56" t="n">
        <v>9</v>
      </c>
      <c r="D4587" s="56" t="n">
        <v>149</v>
      </c>
      <c r="E4587" s="56" t="n">
        <v>19.3</v>
      </c>
      <c r="F4587" s="56" t="n">
        <v>0</v>
      </c>
      <c r="G4587" s="56" t="n">
        <v>9.2</v>
      </c>
      <c r="H4587" s="56" t="n">
        <v>0</v>
      </c>
      <c r="I4587" s="56" t="n">
        <v>14.2</v>
      </c>
      <c r="J4587" s="56" t="n">
        <v>0</v>
      </c>
      <c r="K4587" s="56" t="n">
        <v>1035.1</v>
      </c>
      <c r="L4587" s="56" t="n">
        <v>0</v>
      </c>
      <c r="M4587" s="56" t="n">
        <v>73</v>
      </c>
      <c r="N4587" s="56" t="n">
        <v>10.8</v>
      </c>
      <c r="O4587" s="56" t="n">
        <f aca="false">IF(D4587=1,"",E4586)</f>
        <v>18.3</v>
      </c>
      <c r="P4587" s="56" t="n">
        <f aca="false">IF(OR(D4587=1,K4586=""),"",K4586)</f>
        <v>1031.9</v>
      </c>
      <c r="Q4587" s="56" t="n">
        <f aca="false">IF(OR(F4587&lt;&gt;0,AND(I4587&lt;&gt;"",E4587&lt;I4587)),1,0)</f>
        <v>0</v>
      </c>
      <c r="R4587" s="56" t="n">
        <f aca="false">IF(AND(D4587&gt;1,Q4587=0,ISNUMBER(O4587),ISNUMBER(P4587)),IF(Q4586=0,1,0),0)</f>
        <v>1</v>
      </c>
      <c r="S4587" s="56" t="n">
        <f aca="false">R4587*(B4587&gt;=Train_Start)*(B4587&lt;=Train_End)</f>
        <v>0</v>
      </c>
      <c r="T4587" s="84" t="n">
        <f aca="false">IF(AND(ISNUMBER(O4587),ISNUMBER(P4587)),Coef_A+Coef_B1*O4587+Coef_B2*P4587,"")</f>
        <v>19.45147692749</v>
      </c>
      <c r="U4587" s="84" t="n">
        <f aca="false">IF(AND(R4587=1,ISNUMBER(T4587)),E4587-T4587,"")</f>
        <v>-0.151476927489988</v>
      </c>
      <c r="V4587" s="84" t="n">
        <f aca="false">IF(ISNUMBER(T4587),T4587,-99)</f>
        <v>19.45147692749</v>
      </c>
      <c r="W4587" s="84" t="n">
        <f aca="false">IF(ISNUMBER(U4587),ABS(U4587),"")</f>
        <v>0.151476927489988</v>
      </c>
    </row>
    <row r="4588" customFormat="false" ht="15" hidden="false" customHeight="false" outlineLevel="0" collapsed="false">
      <c r="A4588" s="57" t="n">
        <v>39718</v>
      </c>
      <c r="B4588" s="56" t="n">
        <v>2008</v>
      </c>
      <c r="C4588" s="56" t="n">
        <v>9</v>
      </c>
      <c r="D4588" s="56" t="n">
        <v>150</v>
      </c>
      <c r="E4588" s="56" t="n">
        <v>19.9</v>
      </c>
      <c r="F4588" s="56" t="n">
        <v>0</v>
      </c>
      <c r="G4588" s="56" t="n">
        <v>8.9</v>
      </c>
      <c r="H4588" s="56" t="n">
        <v>0</v>
      </c>
      <c r="I4588" s="56" t="n">
        <v>14.4</v>
      </c>
      <c r="J4588" s="56" t="n">
        <v>0</v>
      </c>
      <c r="K4588" s="56" t="n">
        <v>1031.1</v>
      </c>
      <c r="L4588" s="56" t="n">
        <v>0</v>
      </c>
      <c r="M4588" s="56" t="n">
        <v>78</v>
      </c>
      <c r="N4588" s="56" t="n">
        <v>7.3</v>
      </c>
      <c r="O4588" s="56" t="n">
        <f aca="false">IF(D4588=1,"",E4587)</f>
        <v>19.3</v>
      </c>
      <c r="P4588" s="56" t="n">
        <f aca="false">IF(OR(D4588=1,K4587=""),"",K4587)</f>
        <v>1035.1</v>
      </c>
      <c r="Q4588" s="56" t="n">
        <f aca="false">IF(OR(F4588&lt;&gt;0,AND(I4588&lt;&gt;"",E4588&lt;I4588)),1,0)</f>
        <v>0</v>
      </c>
      <c r="R4588" s="56" t="n">
        <f aca="false">IF(AND(D4588&gt;1,Q4588=0,ISNUMBER(O4588),ISNUMBER(P4588)),IF(Q4587=0,1,0),0)</f>
        <v>1</v>
      </c>
      <c r="S4588" s="56" t="n">
        <f aca="false">R4588*(B4588&gt;=Train_Start)*(B4588&lt;=Train_End)</f>
        <v>0</v>
      </c>
      <c r="T4588" s="84" t="n">
        <f aca="false">IF(AND(ISNUMBER(O4588),ISNUMBER(P4588)),Coef_A+Coef_B1*O4588+Coef_B2*P4588,"")</f>
        <v>20.3711997833614</v>
      </c>
      <c r="U4588" s="84" t="n">
        <f aca="false">IF(AND(R4588=1,ISNUMBER(T4588)),E4588-T4588,"")</f>
        <v>-0.471199783361406</v>
      </c>
      <c r="V4588" s="84" t="n">
        <f aca="false">IF(ISNUMBER(T4588),T4588,-99)</f>
        <v>20.3711997833614</v>
      </c>
      <c r="W4588" s="84" t="n">
        <f aca="false">IF(ISNUMBER(U4588),ABS(U4588),"")</f>
        <v>0.471199783361406</v>
      </c>
    </row>
    <row r="4589" customFormat="false" ht="15" hidden="false" customHeight="false" outlineLevel="0" collapsed="false">
      <c r="A4589" s="57" t="n">
        <v>39719</v>
      </c>
      <c r="B4589" s="56" t="n">
        <v>2008</v>
      </c>
      <c r="C4589" s="56" t="n">
        <v>9</v>
      </c>
      <c r="D4589" s="56" t="n">
        <v>151</v>
      </c>
      <c r="E4589" s="56" t="n">
        <v>19.2</v>
      </c>
      <c r="F4589" s="56" t="n">
        <v>0</v>
      </c>
      <c r="G4589" s="56" t="n">
        <v>6.5</v>
      </c>
      <c r="H4589" s="56" t="n">
        <v>0</v>
      </c>
      <c r="I4589" s="56" t="n">
        <v>12.8</v>
      </c>
      <c r="J4589" s="56" t="n">
        <v>0</v>
      </c>
      <c r="K4589" s="56" t="n">
        <v>1025.9</v>
      </c>
      <c r="L4589" s="56" t="n">
        <v>0</v>
      </c>
      <c r="M4589" s="56" t="n">
        <v>77</v>
      </c>
      <c r="N4589" s="56" t="n">
        <v>9.8</v>
      </c>
      <c r="O4589" s="56" t="n">
        <f aca="false">IF(D4589=1,"",E4588)</f>
        <v>19.9</v>
      </c>
      <c r="P4589" s="56" t="n">
        <f aca="false">IF(OR(D4589=1,K4588=""),"",K4588)</f>
        <v>1031.1</v>
      </c>
      <c r="Q4589" s="56" t="n">
        <f aca="false">IF(OR(F4589&lt;&gt;0,AND(I4589&lt;&gt;"",E4589&lt;I4589)),1,0)</f>
        <v>0</v>
      </c>
      <c r="R4589" s="56" t="n">
        <f aca="false">IF(AND(D4589&gt;1,Q4589=0,ISNUMBER(O4589),ISNUMBER(P4589)),IF(Q4588=0,1,0),0)</f>
        <v>1</v>
      </c>
      <c r="S4589" s="56" t="n">
        <f aca="false">R4589*(B4589&gt;=Train_Start)*(B4589&lt;=Train_End)</f>
        <v>0</v>
      </c>
      <c r="T4589" s="84" t="n">
        <f aca="false">IF(AND(ISNUMBER(O4589),ISNUMBER(P4589)),Coef_A+Coef_B1*O4589+Coef_B2*P4589,"")</f>
        <v>20.737323720651</v>
      </c>
      <c r="U4589" s="84" t="n">
        <f aca="false">IF(AND(R4589=1,ISNUMBER(T4589)),E4589-T4589,"")</f>
        <v>-1.53732372065104</v>
      </c>
      <c r="V4589" s="84" t="n">
        <f aca="false">IF(ISNUMBER(T4589),T4589,-99)</f>
        <v>20.737323720651</v>
      </c>
      <c r="W4589" s="84" t="n">
        <f aca="false">IF(ISNUMBER(U4589),ABS(U4589),"")</f>
        <v>1.53732372065104</v>
      </c>
    </row>
    <row r="4590" customFormat="false" ht="15" hidden="false" customHeight="false" outlineLevel="0" collapsed="false">
      <c r="A4590" s="57" t="n">
        <v>39720</v>
      </c>
      <c r="B4590" s="56" t="n">
        <v>2008</v>
      </c>
      <c r="C4590" s="56" t="n">
        <v>9</v>
      </c>
      <c r="D4590" s="56" t="n">
        <v>152</v>
      </c>
      <c r="E4590" s="56" t="n">
        <v>17</v>
      </c>
      <c r="F4590" s="56" t="n">
        <v>0</v>
      </c>
      <c r="G4590" s="56" t="n">
        <v>9.5</v>
      </c>
      <c r="H4590" s="56" t="n">
        <v>0</v>
      </c>
      <c r="I4590" s="56" t="n">
        <v>13.2</v>
      </c>
      <c r="J4590" s="56" t="n">
        <v>0</v>
      </c>
      <c r="K4590" s="56" t="n">
        <v>1019.1</v>
      </c>
      <c r="L4590" s="56" t="n">
        <v>0</v>
      </c>
      <c r="M4590" s="56" t="n">
        <v>68</v>
      </c>
      <c r="N4590" s="56" t="n">
        <v>6.4</v>
      </c>
      <c r="O4590" s="56" t="n">
        <f aca="false">IF(D4590=1,"",E4589)</f>
        <v>19.2</v>
      </c>
      <c r="P4590" s="56" t="n">
        <f aca="false">IF(OR(D4590=1,K4589=""),"",K4589)</f>
        <v>1025.9</v>
      </c>
      <c r="Q4590" s="56" t="n">
        <f aca="false">IF(OR(F4590&lt;&gt;0,AND(I4590&lt;&gt;"",E4590&lt;I4590)),1,0)</f>
        <v>0</v>
      </c>
      <c r="R4590" s="56" t="n">
        <f aca="false">IF(AND(D4590&gt;1,Q4590=0,ISNUMBER(O4590),ISNUMBER(P4590)),IF(Q4589=0,1,0),0)</f>
        <v>1</v>
      </c>
      <c r="S4590" s="56" t="n">
        <f aca="false">R4590*(B4590&gt;=Train_Start)*(B4590&lt;=Train_End)</f>
        <v>0</v>
      </c>
      <c r="T4590" s="84" t="n">
        <f aca="false">IF(AND(ISNUMBER(O4590),ISNUMBER(P4590)),Coef_A+Coef_B1*O4590+Coef_B2*P4590,"")</f>
        <v>20.0006628334244</v>
      </c>
      <c r="U4590" s="84" t="n">
        <f aca="false">IF(AND(R4590=1,ISNUMBER(T4590)),E4590-T4590,"")</f>
        <v>-3.00066283342444</v>
      </c>
      <c r="V4590" s="84" t="n">
        <f aca="false">IF(ISNUMBER(T4590),T4590,-99)</f>
        <v>20.0006628334244</v>
      </c>
      <c r="W4590" s="84" t="n">
        <f aca="false">IF(ISNUMBER(U4590),ABS(U4590),"")</f>
        <v>3.00066283342444</v>
      </c>
    </row>
    <row r="4591" customFormat="false" ht="15" hidden="false" customHeight="false" outlineLevel="0" collapsed="false">
      <c r="A4591" s="57" t="n">
        <v>39721</v>
      </c>
      <c r="B4591" s="56" t="n">
        <v>2008</v>
      </c>
      <c r="C4591" s="56" t="n">
        <v>9</v>
      </c>
      <c r="D4591" s="56" t="n">
        <v>153</v>
      </c>
      <c r="E4591" s="56" t="n">
        <v>15.3</v>
      </c>
      <c r="F4591" s="56" t="n">
        <v>0</v>
      </c>
      <c r="G4591" s="56" t="n">
        <v>11.8</v>
      </c>
      <c r="H4591" s="56" t="n">
        <v>0</v>
      </c>
      <c r="I4591" s="56" t="n">
        <v>13.6</v>
      </c>
      <c r="J4591" s="56" t="n">
        <v>0</v>
      </c>
      <c r="K4591" s="56" t="n">
        <v>1006.4</v>
      </c>
      <c r="L4591" s="56" t="n">
        <v>0</v>
      </c>
      <c r="M4591" s="56" t="n">
        <v>88</v>
      </c>
      <c r="N4591" s="56" t="n">
        <v>0</v>
      </c>
      <c r="O4591" s="56" t="n">
        <f aca="false">IF(D4591=1,"",E4590)</f>
        <v>17</v>
      </c>
      <c r="P4591" s="56" t="n">
        <f aca="false">IF(OR(D4591=1,K4590=""),"",K4590)</f>
        <v>1019.1</v>
      </c>
      <c r="Q4591" s="56" t="n">
        <f aca="false">IF(OR(F4591&lt;&gt;0,AND(I4591&lt;&gt;"",E4591&lt;I4591)),1,0)</f>
        <v>0</v>
      </c>
      <c r="R4591" s="56" t="n">
        <f aca="false">IF(AND(D4591&gt;1,Q4591=0,ISNUMBER(O4591),ISNUMBER(P4591)),IF(Q4590=0,1,0),0)</f>
        <v>1</v>
      </c>
      <c r="S4591" s="56" t="n">
        <f aca="false">R4591*(B4591&gt;=Train_Start)*(B4591&lt;=Train_End)</f>
        <v>0</v>
      </c>
      <c r="T4591" s="84" t="n">
        <f aca="false">IF(AND(ISNUMBER(O4591),ISNUMBER(P4591)),Coef_A+Coef_B1*O4591+Coef_B2*P4591,"")</f>
        <v>17.9848013252195</v>
      </c>
      <c r="U4591" s="84" t="n">
        <f aca="false">IF(AND(R4591=1,ISNUMBER(T4591)),E4591-T4591,"")</f>
        <v>-2.68480132521946</v>
      </c>
      <c r="V4591" s="84" t="n">
        <f aca="false">IF(ISNUMBER(T4591),T4591,-99)</f>
        <v>17.9848013252195</v>
      </c>
      <c r="W4591" s="84" t="n">
        <f aca="false">IF(ISNUMBER(U4591),ABS(U4591),"")</f>
        <v>2.68480132521946</v>
      </c>
    </row>
    <row r="4592" customFormat="false" ht="15" hidden="false" customHeight="false" outlineLevel="0" collapsed="false">
      <c r="A4592" s="57" t="n">
        <v>39934</v>
      </c>
      <c r="B4592" s="56" t="n">
        <v>2009</v>
      </c>
      <c r="C4592" s="56" t="n">
        <v>5</v>
      </c>
      <c r="D4592" s="56" t="n">
        <v>1</v>
      </c>
      <c r="E4592" s="56" t="n">
        <v>20.3</v>
      </c>
      <c r="F4592" s="56" t="n">
        <v>0</v>
      </c>
      <c r="G4592" s="56" t="n">
        <v>9.8</v>
      </c>
      <c r="H4592" s="56" t="n">
        <v>0</v>
      </c>
      <c r="I4592" s="56" t="n">
        <v>15</v>
      </c>
      <c r="J4592" s="56" t="n">
        <v>0</v>
      </c>
      <c r="K4592" s="56" t="n">
        <v>1023.2</v>
      </c>
      <c r="L4592" s="56" t="n">
        <v>0</v>
      </c>
      <c r="M4592" s="56" t="n">
        <v>69</v>
      </c>
      <c r="N4592" s="56" t="n">
        <v>10.2</v>
      </c>
      <c r="O4592" s="56" t="str">
        <f aca="false">IF(D4592=1,"",E4591)</f>
        <v/>
      </c>
      <c r="P4592" s="56" t="str">
        <f aca="false">IF(OR(D4592=1,K4591=""),"",K4591)</f>
        <v/>
      </c>
      <c r="Q4592" s="56" t="n">
        <f aca="false">IF(OR(F4592&lt;&gt;0,AND(I4592&lt;&gt;"",E4592&lt;I4592)),1,0)</f>
        <v>0</v>
      </c>
      <c r="R4592" s="56" t="n">
        <f aca="false">IF(AND(D4592&gt;1,Q4592=0,ISNUMBER(O4592),ISNUMBER(P4592)),IF(Q4591=0,1,0),0)</f>
        <v>0</v>
      </c>
      <c r="S4592" s="56" t="n">
        <f aca="false">R4592*(B4592&gt;=Train_Start)*(B4592&lt;=Train_End)</f>
        <v>0</v>
      </c>
      <c r="T4592" s="84" t="str">
        <f aca="false">IF(AND(ISNUMBER(O4592),ISNUMBER(P4592)),Coef_A+Coef_B1*O4592+Coef_B2*P4592,"")</f>
        <v/>
      </c>
      <c r="U4592" s="84" t="str">
        <f aca="false">IF(AND(R4592=1,ISNUMBER(T4592)),E4592-T4592,"")</f>
        <v/>
      </c>
      <c r="V4592" s="84" t="n">
        <f aca="false">IF(ISNUMBER(T4592),T4592,-99)</f>
        <v>-99</v>
      </c>
      <c r="W4592" s="84" t="str">
        <f aca="false">IF(ISNUMBER(U4592),ABS(U4592),"")</f>
        <v/>
      </c>
    </row>
    <row r="4593" customFormat="false" ht="15" hidden="false" customHeight="false" outlineLevel="0" collapsed="false">
      <c r="A4593" s="57" t="n">
        <v>39935</v>
      </c>
      <c r="B4593" s="56" t="n">
        <v>2009</v>
      </c>
      <c r="C4593" s="56" t="n">
        <v>5</v>
      </c>
      <c r="D4593" s="56" t="n">
        <v>2</v>
      </c>
      <c r="E4593" s="56" t="n">
        <v>18.6</v>
      </c>
      <c r="F4593" s="56" t="n">
        <v>0</v>
      </c>
      <c r="G4593" s="56" t="n">
        <v>7</v>
      </c>
      <c r="H4593" s="56" t="n">
        <v>0</v>
      </c>
      <c r="I4593" s="56" t="n">
        <v>12.8</v>
      </c>
      <c r="J4593" s="56" t="n">
        <v>0</v>
      </c>
      <c r="K4593" s="56" t="n">
        <v>1027.9</v>
      </c>
      <c r="L4593" s="56" t="n">
        <v>0</v>
      </c>
      <c r="M4593" s="56" t="n">
        <v>66</v>
      </c>
      <c r="N4593" s="56" t="n">
        <v>10.5</v>
      </c>
      <c r="O4593" s="56" t="n">
        <f aca="false">IF(D4593=1,"",E4592)</f>
        <v>20.3</v>
      </c>
      <c r="P4593" s="56" t="n">
        <f aca="false">IF(OR(D4593=1,K4592=""),"",K4592)</f>
        <v>1023.2</v>
      </c>
      <c r="Q4593" s="56" t="n">
        <f aca="false">IF(OR(F4593&lt;&gt;0,AND(I4593&lt;&gt;"",E4593&lt;I4593)),1,0)</f>
        <v>0</v>
      </c>
      <c r="R4593" s="56" t="n">
        <f aca="false">IF(AND(D4593&gt;1,Q4593=0,ISNUMBER(O4593),ISNUMBER(P4593)),IF(Q4592=0,1,0),0)</f>
        <v>1</v>
      </c>
      <c r="S4593" s="56" t="n">
        <f aca="false">R4593*(B4593&gt;=Train_Start)*(B4593&lt;=Train_End)</f>
        <v>0</v>
      </c>
      <c r="T4593" s="84" t="n">
        <f aca="false">IF(AND(ISNUMBER(O4593),ISNUMBER(P4593)),Coef_A+Coef_B1*O4593+Coef_B2*P4593,"")</f>
        <v>20.8172372302596</v>
      </c>
      <c r="U4593" s="84" t="n">
        <f aca="false">IF(AND(R4593=1,ISNUMBER(T4593)),E4593-T4593,"")</f>
        <v>-2.21723723025959</v>
      </c>
      <c r="V4593" s="84" t="n">
        <f aca="false">IF(ISNUMBER(T4593),T4593,-99)</f>
        <v>20.8172372302596</v>
      </c>
      <c r="W4593" s="84" t="n">
        <f aca="false">IF(ISNUMBER(U4593),ABS(U4593),"")</f>
        <v>2.21723723025959</v>
      </c>
    </row>
    <row r="4594" customFormat="false" ht="15" hidden="false" customHeight="false" outlineLevel="0" collapsed="false">
      <c r="A4594" s="57" t="n">
        <v>39936</v>
      </c>
      <c r="B4594" s="56" t="n">
        <v>2009</v>
      </c>
      <c r="C4594" s="56" t="n">
        <v>5</v>
      </c>
      <c r="D4594" s="56" t="n">
        <v>3</v>
      </c>
      <c r="E4594" s="56" t="n">
        <v>15.8</v>
      </c>
      <c r="F4594" s="56" t="n">
        <v>0</v>
      </c>
      <c r="G4594" s="56" t="n">
        <v>9.7</v>
      </c>
      <c r="H4594" s="56" t="n">
        <v>0</v>
      </c>
      <c r="I4594" s="56" t="n">
        <v>12.8</v>
      </c>
      <c r="J4594" s="56" t="n">
        <v>0</v>
      </c>
      <c r="K4594" s="56" t="n">
        <v>1027.3</v>
      </c>
      <c r="L4594" s="56" t="n">
        <v>0</v>
      </c>
      <c r="M4594" s="56" t="n">
        <v>54</v>
      </c>
      <c r="N4594" s="56" t="n">
        <v>7.5</v>
      </c>
      <c r="O4594" s="56" t="n">
        <f aca="false">IF(D4594=1,"",E4593)</f>
        <v>18.6</v>
      </c>
      <c r="P4594" s="56" t="n">
        <f aca="false">IF(OR(D4594=1,K4593=""),"",K4593)</f>
        <v>1027.9</v>
      </c>
      <c r="Q4594" s="56" t="n">
        <f aca="false">IF(OR(F4594&lt;&gt;0,AND(I4594&lt;&gt;"",E4594&lt;I4594)),1,0)</f>
        <v>0</v>
      </c>
      <c r="R4594" s="56" t="n">
        <f aca="false">IF(AND(D4594&gt;1,Q4594=0,ISNUMBER(O4594),ISNUMBER(P4594)),IF(Q4593=0,1,0),0)</f>
        <v>1</v>
      </c>
      <c r="S4594" s="56" t="n">
        <f aca="false">R4594*(B4594&gt;=Train_Start)*(B4594&lt;=Train_End)</f>
        <v>0</v>
      </c>
      <c r="T4594" s="84" t="n">
        <f aca="false">IF(AND(ISNUMBER(O4594),ISNUMBER(P4594)),Coef_A+Coef_B1*O4594+Coef_B2*P4594,"")</f>
        <v>19.5717991068668</v>
      </c>
      <c r="U4594" s="84" t="n">
        <f aca="false">IF(AND(R4594=1,ISNUMBER(T4594)),E4594-T4594,"")</f>
        <v>-3.77179910686683</v>
      </c>
      <c r="V4594" s="84" t="n">
        <f aca="false">IF(ISNUMBER(T4594),T4594,-99)</f>
        <v>19.5717991068668</v>
      </c>
      <c r="W4594" s="84" t="n">
        <f aca="false">IF(ISNUMBER(U4594),ABS(U4594),"")</f>
        <v>3.77179910686683</v>
      </c>
    </row>
    <row r="4595" customFormat="false" ht="15" hidden="false" customHeight="false" outlineLevel="0" collapsed="false">
      <c r="A4595" s="57" t="n">
        <v>39937</v>
      </c>
      <c r="B4595" s="56" t="n">
        <v>2009</v>
      </c>
      <c r="C4595" s="56" t="n">
        <v>5</v>
      </c>
      <c r="D4595" s="56" t="n">
        <v>4</v>
      </c>
      <c r="E4595" s="56" t="n">
        <v>14.6</v>
      </c>
      <c r="F4595" s="56" t="n">
        <v>0</v>
      </c>
      <c r="G4595" s="56" t="n">
        <v>3.9</v>
      </c>
      <c r="H4595" s="56" t="n">
        <v>0</v>
      </c>
      <c r="I4595" s="56" t="n">
        <v>9.2</v>
      </c>
      <c r="J4595" s="56" t="n">
        <v>0</v>
      </c>
      <c r="K4595" s="56" t="n">
        <v>1026.8</v>
      </c>
      <c r="L4595" s="56" t="n">
        <v>0</v>
      </c>
      <c r="M4595" s="56" t="n">
        <v>68</v>
      </c>
      <c r="N4595" s="56" t="n">
        <v>0.5</v>
      </c>
      <c r="O4595" s="56" t="n">
        <f aca="false">IF(D4595=1,"",E4594)</f>
        <v>15.8</v>
      </c>
      <c r="P4595" s="56" t="n">
        <f aca="false">IF(OR(D4595=1,K4594=""),"",K4594)</f>
        <v>1027.3</v>
      </c>
      <c r="Q4595" s="56" t="n">
        <f aca="false">IF(OR(F4595&lt;&gt;0,AND(I4595&lt;&gt;"",E4595&lt;I4595)),1,0)</f>
        <v>0</v>
      </c>
      <c r="R4595" s="56" t="n">
        <f aca="false">IF(AND(D4595&gt;1,Q4595=0,ISNUMBER(O4595),ISNUMBER(P4595)),IF(Q4594=0,1,0),0)</f>
        <v>1</v>
      </c>
      <c r="S4595" s="56" t="n">
        <f aca="false">R4595*(B4595&gt;=Train_Start)*(B4595&lt;=Train_End)</f>
        <v>0</v>
      </c>
      <c r="T4595" s="84" t="n">
        <f aca="false">IF(AND(ISNUMBER(O4595),ISNUMBER(P4595)),Coef_A+Coef_B1*O4595+Coef_B2*P4595,"")</f>
        <v>17.258827429567</v>
      </c>
      <c r="U4595" s="84" t="n">
        <f aca="false">IF(AND(R4595=1,ISNUMBER(T4595)),E4595-T4595,"")</f>
        <v>-2.65882742956699</v>
      </c>
      <c r="V4595" s="84" t="n">
        <f aca="false">IF(ISNUMBER(T4595),T4595,-99)</f>
        <v>17.258827429567</v>
      </c>
      <c r="W4595" s="84" t="n">
        <f aca="false">IF(ISNUMBER(U4595),ABS(U4595),"")</f>
        <v>2.65882742956699</v>
      </c>
    </row>
    <row r="4596" customFormat="false" ht="15" hidden="false" customHeight="false" outlineLevel="0" collapsed="false">
      <c r="A4596" s="57" t="n">
        <v>39938</v>
      </c>
      <c r="B4596" s="56" t="n">
        <v>2009</v>
      </c>
      <c r="C4596" s="56" t="n">
        <v>5</v>
      </c>
      <c r="D4596" s="56" t="n">
        <v>5</v>
      </c>
      <c r="E4596" s="56" t="n">
        <v>20.2</v>
      </c>
      <c r="F4596" s="56" t="n">
        <v>0</v>
      </c>
      <c r="G4596" s="56" t="n">
        <v>10.8</v>
      </c>
      <c r="H4596" s="56" t="n">
        <v>0</v>
      </c>
      <c r="I4596" s="56"/>
      <c r="J4596" s="56" t="n">
        <v>9</v>
      </c>
      <c r="K4596" s="56" t="n">
        <v>1021.2</v>
      </c>
      <c r="L4596" s="56" t="n">
        <v>0</v>
      </c>
      <c r="M4596" s="56" t="n">
        <v>72</v>
      </c>
      <c r="N4596" s="56" t="n">
        <v>2.4</v>
      </c>
      <c r="O4596" s="56" t="n">
        <f aca="false">IF(D4596=1,"",E4595)</f>
        <v>14.6</v>
      </c>
      <c r="P4596" s="56" t="n">
        <f aca="false">IF(OR(D4596=1,K4595=""),"",K4595)</f>
        <v>1026.8</v>
      </c>
      <c r="Q4596" s="56" t="n">
        <f aca="false">IF(OR(F4596&lt;&gt;0,AND(I4596&lt;&gt;"",E4596&lt;I4596)),1,0)</f>
        <v>0</v>
      </c>
      <c r="R4596" s="56" t="n">
        <f aca="false">IF(AND(D4596&gt;1,Q4596=0,ISNUMBER(O4596),ISNUMBER(P4596)),IF(Q4595=0,1,0),0)</f>
        <v>1</v>
      </c>
      <c r="S4596" s="56" t="n">
        <f aca="false">R4596*(B4596&gt;=Train_Start)*(B4596&lt;=Train_End)</f>
        <v>0</v>
      </c>
      <c r="T4596" s="84" t="n">
        <f aca="false">IF(AND(ISNUMBER(O4596),ISNUMBER(P4596)),Coef_A+Coef_B1*O4596+Coef_B2*P4596,"")</f>
        <v>16.2599354505988</v>
      </c>
      <c r="U4596" s="84" t="n">
        <f aca="false">IF(AND(R4596=1,ISNUMBER(T4596)),E4596-T4596,"")</f>
        <v>3.94006454940119</v>
      </c>
      <c r="V4596" s="84" t="n">
        <f aca="false">IF(ISNUMBER(T4596),T4596,-99)</f>
        <v>16.2599354505988</v>
      </c>
      <c r="W4596" s="84" t="n">
        <f aca="false">IF(ISNUMBER(U4596),ABS(U4596),"")</f>
        <v>3.94006454940119</v>
      </c>
    </row>
    <row r="4597" customFormat="false" ht="15" hidden="false" customHeight="false" outlineLevel="0" collapsed="false">
      <c r="A4597" s="57" t="n">
        <v>39939</v>
      </c>
      <c r="B4597" s="56" t="n">
        <v>2009</v>
      </c>
      <c r="C4597" s="56" t="n">
        <v>5</v>
      </c>
      <c r="D4597" s="56" t="n">
        <v>6</v>
      </c>
      <c r="E4597" s="56" t="n">
        <v>21.2</v>
      </c>
      <c r="F4597" s="56" t="n">
        <v>0</v>
      </c>
      <c r="G4597" s="56" t="n">
        <v>11.1</v>
      </c>
      <c r="H4597" s="56" t="n">
        <v>0</v>
      </c>
      <c r="I4597" s="56" t="n">
        <v>16.2</v>
      </c>
      <c r="J4597" s="56" t="n">
        <v>0</v>
      </c>
      <c r="K4597" s="56" t="n">
        <v>1017.4</v>
      </c>
      <c r="L4597" s="56" t="n">
        <v>0</v>
      </c>
      <c r="M4597" s="56" t="n">
        <v>69</v>
      </c>
      <c r="N4597" s="56" t="n">
        <v>5.9</v>
      </c>
      <c r="O4597" s="56" t="n">
        <f aca="false">IF(D4597=1,"",E4596)</f>
        <v>20.2</v>
      </c>
      <c r="P4597" s="56" t="n">
        <f aca="false">IF(OR(D4597=1,K4596=""),"",K4596)</f>
        <v>1021.2</v>
      </c>
      <c r="Q4597" s="56" t="n">
        <f aca="false">IF(OR(F4597&lt;&gt;0,AND(I4597&lt;&gt;"",E4597&lt;I4597)),1,0)</f>
        <v>0</v>
      </c>
      <c r="R4597" s="56" t="n">
        <f aca="false">IF(AND(D4597&gt;1,Q4597=0,ISNUMBER(O4597),ISNUMBER(P4597)),IF(Q4596=0,1,0),0)</f>
        <v>1</v>
      </c>
      <c r="S4597" s="56" t="n">
        <f aca="false">R4597*(B4597&gt;=Train_Start)*(B4597&lt;=Train_End)</f>
        <v>0</v>
      </c>
      <c r="T4597" s="84" t="n">
        <f aca="false">IF(AND(ISNUMBER(O4597),ISNUMBER(P4597)),Coef_A+Coef_B1*O4597+Coef_B2*P4597,"")</f>
        <v>20.6725635216873</v>
      </c>
      <c r="U4597" s="84" t="n">
        <f aca="false">IF(AND(R4597=1,ISNUMBER(T4597)),E4597-T4597,"")</f>
        <v>0.527436478312652</v>
      </c>
      <c r="V4597" s="84" t="n">
        <f aca="false">IF(ISNUMBER(T4597),T4597,-99)</f>
        <v>20.6725635216873</v>
      </c>
      <c r="W4597" s="84" t="n">
        <f aca="false">IF(ISNUMBER(U4597),ABS(U4597),"")</f>
        <v>0.527436478312652</v>
      </c>
    </row>
    <row r="4598" customFormat="false" ht="15" hidden="false" customHeight="false" outlineLevel="0" collapsed="false">
      <c r="A4598" s="57" t="n">
        <v>39940</v>
      </c>
      <c r="B4598" s="56" t="n">
        <v>2009</v>
      </c>
      <c r="C4598" s="56" t="n">
        <v>5</v>
      </c>
      <c r="D4598" s="56" t="n">
        <v>7</v>
      </c>
      <c r="E4598" s="56" t="n">
        <v>16</v>
      </c>
      <c r="F4598" s="56" t="n">
        <v>0</v>
      </c>
      <c r="G4598" s="56" t="n">
        <v>9.5</v>
      </c>
      <c r="H4598" s="56" t="n">
        <v>0</v>
      </c>
      <c r="I4598" s="56" t="n">
        <v>12.8</v>
      </c>
      <c r="J4598" s="56" t="n">
        <v>0</v>
      </c>
      <c r="K4598" s="56" t="n">
        <v>1013.2</v>
      </c>
      <c r="L4598" s="56" t="n">
        <v>0</v>
      </c>
      <c r="M4598" s="56" t="n">
        <v>79</v>
      </c>
      <c r="N4598" s="56" t="n">
        <v>0.4</v>
      </c>
      <c r="O4598" s="56" t="n">
        <f aca="false">IF(D4598=1,"",E4597)</f>
        <v>21.2</v>
      </c>
      <c r="P4598" s="56" t="n">
        <f aca="false">IF(OR(D4598=1,K4597=""),"",K4597)</f>
        <v>1017.4</v>
      </c>
      <c r="Q4598" s="56" t="n">
        <f aca="false">IF(OR(F4598&lt;&gt;0,AND(I4598&lt;&gt;"",E4598&lt;I4598)),1,0)</f>
        <v>0</v>
      </c>
      <c r="R4598" s="56" t="n">
        <f aca="false">IF(AND(D4598&gt;1,Q4598=0,ISNUMBER(O4598),ISNUMBER(P4598)),IF(Q4597=0,1,0),0)</f>
        <v>1</v>
      </c>
      <c r="S4598" s="56" t="n">
        <f aca="false">R4598*(B4598&gt;=Train_Start)*(B4598&lt;=Train_End)</f>
        <v>0</v>
      </c>
      <c r="T4598" s="84" t="n">
        <f aca="false">IF(AND(ISNUMBER(O4598),ISNUMBER(P4598)),Coef_A+Coef_B1*O4598+Coef_B2*P4598,"")</f>
        <v>21.3726971151208</v>
      </c>
      <c r="U4598" s="84" t="n">
        <f aca="false">IF(AND(R4598=1,ISNUMBER(T4598)),E4598-T4598,"")</f>
        <v>-5.37269711512085</v>
      </c>
      <c r="V4598" s="84" t="n">
        <f aca="false">IF(ISNUMBER(T4598),T4598,-99)</f>
        <v>21.3726971151208</v>
      </c>
      <c r="W4598" s="84" t="n">
        <f aca="false">IF(ISNUMBER(U4598),ABS(U4598),"")</f>
        <v>5.37269711512085</v>
      </c>
    </row>
    <row r="4599" customFormat="false" ht="15" hidden="false" customHeight="false" outlineLevel="0" collapsed="false">
      <c r="A4599" s="57" t="n">
        <v>39941</v>
      </c>
      <c r="B4599" s="56" t="n">
        <v>2009</v>
      </c>
      <c r="C4599" s="56" t="n">
        <v>5</v>
      </c>
      <c r="D4599" s="56" t="n">
        <v>8</v>
      </c>
      <c r="E4599" s="56" t="n">
        <v>16.4</v>
      </c>
      <c r="F4599" s="56" t="n">
        <v>0</v>
      </c>
      <c r="G4599" s="56" t="n">
        <v>9</v>
      </c>
      <c r="H4599" s="56" t="n">
        <v>0</v>
      </c>
      <c r="I4599" s="56" t="n">
        <v>12.7</v>
      </c>
      <c r="J4599" s="56" t="n">
        <v>0</v>
      </c>
      <c r="K4599" s="56" t="n">
        <v>1011.6</v>
      </c>
      <c r="L4599" s="56" t="n">
        <v>0</v>
      </c>
      <c r="M4599" s="56" t="n">
        <v>66</v>
      </c>
      <c r="N4599" s="56" t="n">
        <v>5.8</v>
      </c>
      <c r="O4599" s="56" t="n">
        <f aca="false">IF(D4599=1,"",E4598)</f>
        <v>16</v>
      </c>
      <c r="P4599" s="56" t="n">
        <f aca="false">IF(OR(D4599=1,K4598=""),"",K4598)</f>
        <v>1013.2</v>
      </c>
      <c r="Q4599" s="56" t="n">
        <f aca="false">IF(OR(F4599&lt;&gt;0,AND(I4599&lt;&gt;"",E4599&lt;I4599)),1,0)</f>
        <v>0</v>
      </c>
      <c r="R4599" s="56" t="n">
        <f aca="false">IF(AND(D4599&gt;1,Q4599=0,ISNUMBER(O4599),ISNUMBER(P4599)),IF(Q4598=0,1,0),0)</f>
        <v>1</v>
      </c>
      <c r="S4599" s="56" t="n">
        <f aca="false">R4599*(B4599&gt;=Train_Start)*(B4599&lt;=Train_End)</f>
        <v>0</v>
      </c>
      <c r="T4599" s="84" t="n">
        <f aca="false">IF(AND(ISNUMBER(O4599),ISNUMBER(P4599)),Coef_A+Coef_B1*O4599+Coef_B2*P4599,"")</f>
        <v>16.9803797538363</v>
      </c>
      <c r="U4599" s="84" t="n">
        <f aca="false">IF(AND(R4599=1,ISNUMBER(T4599)),E4599-T4599,"")</f>
        <v>-0.580379753836276</v>
      </c>
      <c r="V4599" s="84" t="n">
        <f aca="false">IF(ISNUMBER(T4599),T4599,-99)</f>
        <v>16.9803797538363</v>
      </c>
      <c r="W4599" s="84" t="n">
        <f aca="false">IF(ISNUMBER(U4599),ABS(U4599),"")</f>
        <v>0.580379753836276</v>
      </c>
    </row>
    <row r="4600" customFormat="false" ht="15" hidden="false" customHeight="false" outlineLevel="0" collapsed="false">
      <c r="A4600" s="57" t="n">
        <v>39942</v>
      </c>
      <c r="B4600" s="56" t="n">
        <v>2009</v>
      </c>
      <c r="C4600" s="56" t="n">
        <v>5</v>
      </c>
      <c r="D4600" s="56" t="n">
        <v>9</v>
      </c>
      <c r="E4600" s="56" t="n">
        <v>17.2</v>
      </c>
      <c r="F4600" s="56" t="n">
        <v>0</v>
      </c>
      <c r="G4600" s="56" t="n">
        <v>7.5</v>
      </c>
      <c r="H4600" s="56" t="n">
        <v>0</v>
      </c>
      <c r="I4600" s="56" t="n">
        <v>12.4</v>
      </c>
      <c r="J4600" s="56" t="n">
        <v>0</v>
      </c>
      <c r="K4600" s="56" t="n">
        <v>1016.5</v>
      </c>
      <c r="L4600" s="56" t="n">
        <v>0</v>
      </c>
      <c r="M4600" s="56" t="n">
        <v>65</v>
      </c>
      <c r="N4600" s="56" t="n">
        <v>2.3</v>
      </c>
      <c r="O4600" s="56" t="n">
        <f aca="false">IF(D4600=1,"",E4599)</f>
        <v>16.4</v>
      </c>
      <c r="P4600" s="56" t="n">
        <f aca="false">IF(OR(D4600=1,K4599=""),"",K4599)</f>
        <v>1011.6</v>
      </c>
      <c r="Q4600" s="56" t="n">
        <f aca="false">IF(OR(F4600&lt;&gt;0,AND(I4600&lt;&gt;"",E4600&lt;I4600)),1,0)</f>
        <v>0</v>
      </c>
      <c r="R4600" s="56" t="n">
        <f aca="false">IF(AND(D4600&gt;1,Q4600=0,ISNUMBER(O4600),ISNUMBER(P4600)),IF(Q4599=0,1,0),0)</f>
        <v>1</v>
      </c>
      <c r="S4600" s="56" t="n">
        <f aca="false">R4600*(B4600&gt;=Train_Start)*(B4600&lt;=Train_End)</f>
        <v>0</v>
      </c>
      <c r="T4600" s="84" t="n">
        <f aca="false">IF(AND(ISNUMBER(O4600),ISNUMBER(P4600)),Coef_A+Coef_B1*O4600+Coef_B2*P4600,"")</f>
        <v>17.257923599639</v>
      </c>
      <c r="U4600" s="84" t="n">
        <f aca="false">IF(AND(R4600=1,ISNUMBER(T4600)),E4600-T4600,"")</f>
        <v>-0.0579235996389507</v>
      </c>
      <c r="V4600" s="84" t="n">
        <f aca="false">IF(ISNUMBER(T4600),T4600,-99)</f>
        <v>17.257923599639</v>
      </c>
      <c r="W4600" s="84" t="n">
        <f aca="false">IF(ISNUMBER(U4600),ABS(U4600),"")</f>
        <v>0.0579235996389507</v>
      </c>
    </row>
    <row r="4601" customFormat="false" ht="15" hidden="false" customHeight="false" outlineLevel="0" collapsed="false">
      <c r="A4601" s="57" t="n">
        <v>39943</v>
      </c>
      <c r="B4601" s="56" t="n">
        <v>2009</v>
      </c>
      <c r="C4601" s="56" t="n">
        <v>5</v>
      </c>
      <c r="D4601" s="56" t="n">
        <v>10</v>
      </c>
      <c r="E4601" s="56" t="n">
        <v>19.7</v>
      </c>
      <c r="F4601" s="56" t="n">
        <v>0</v>
      </c>
      <c r="G4601" s="56" t="n">
        <v>5.5</v>
      </c>
      <c r="H4601" s="56" t="n">
        <v>0</v>
      </c>
      <c r="I4601" s="56" t="n">
        <v>12.6</v>
      </c>
      <c r="J4601" s="56" t="n">
        <v>0</v>
      </c>
      <c r="K4601" s="56" t="n">
        <v>1018.8</v>
      </c>
      <c r="L4601" s="56" t="n">
        <v>0</v>
      </c>
      <c r="M4601" s="56" t="n">
        <v>62</v>
      </c>
      <c r="N4601" s="56" t="n">
        <v>10.1</v>
      </c>
      <c r="O4601" s="56" t="n">
        <f aca="false">IF(D4601=1,"",E4600)</f>
        <v>17.2</v>
      </c>
      <c r="P4601" s="56" t="n">
        <f aca="false">IF(OR(D4601=1,K4600=""),"",K4600)</f>
        <v>1016.5</v>
      </c>
      <c r="Q4601" s="56" t="n">
        <f aca="false">IF(OR(F4601&lt;&gt;0,AND(I4601&lt;&gt;"",E4601&lt;I4601)),1,0)</f>
        <v>0</v>
      </c>
      <c r="R4601" s="56" t="n">
        <f aca="false">IF(AND(D4601&gt;1,Q4601=0,ISNUMBER(O4601),ISNUMBER(P4601)),IF(Q4600=0,1,0),0)</f>
        <v>1</v>
      </c>
      <c r="S4601" s="56" t="n">
        <f aca="false">R4601*(B4601&gt;=Train_Start)*(B4601&lt;=Train_End)</f>
        <v>0</v>
      </c>
      <c r="T4601" s="84" t="n">
        <f aca="false">IF(AND(ISNUMBER(O4601),ISNUMBER(P4601)),Coef_A+Coef_B1*O4601+Coef_B2*P4601,"")</f>
        <v>18.0671074377796</v>
      </c>
      <c r="U4601" s="84" t="n">
        <f aca="false">IF(AND(R4601=1,ISNUMBER(T4601)),E4601-T4601,"")</f>
        <v>1.63289256222037</v>
      </c>
      <c r="V4601" s="84" t="n">
        <f aca="false">IF(ISNUMBER(T4601),T4601,-99)</f>
        <v>18.0671074377796</v>
      </c>
      <c r="W4601" s="84" t="n">
        <f aca="false">IF(ISNUMBER(U4601),ABS(U4601),"")</f>
        <v>1.63289256222037</v>
      </c>
    </row>
    <row r="4602" customFormat="false" ht="15" hidden="false" customHeight="false" outlineLevel="0" collapsed="false">
      <c r="A4602" s="57" t="n">
        <v>39944</v>
      </c>
      <c r="B4602" s="56" t="n">
        <v>2009</v>
      </c>
      <c r="C4602" s="56" t="n">
        <v>5</v>
      </c>
      <c r="D4602" s="56" t="n">
        <v>11</v>
      </c>
      <c r="E4602" s="56" t="n">
        <v>17.1</v>
      </c>
      <c r="F4602" s="56" t="n">
        <v>0</v>
      </c>
      <c r="G4602" s="56" t="n">
        <v>8.1</v>
      </c>
      <c r="H4602" s="56" t="n">
        <v>0</v>
      </c>
      <c r="I4602" s="56" t="n">
        <v>12.6</v>
      </c>
      <c r="J4602" s="56" t="n">
        <v>0</v>
      </c>
      <c r="K4602" s="56" t="n">
        <v>1021.7</v>
      </c>
      <c r="L4602" s="56" t="n">
        <v>0</v>
      </c>
      <c r="M4602" s="56" t="n">
        <v>58</v>
      </c>
      <c r="N4602" s="56" t="n">
        <v>13.4</v>
      </c>
      <c r="O4602" s="56" t="n">
        <f aca="false">IF(D4602=1,"",E4601)</f>
        <v>19.7</v>
      </c>
      <c r="P4602" s="56" t="n">
        <f aca="false">IF(OR(D4602=1,K4601=""),"",K4601)</f>
        <v>1018.8</v>
      </c>
      <c r="Q4602" s="56" t="n">
        <f aca="false">IF(OR(F4602&lt;&gt;0,AND(I4602&lt;&gt;"",E4602&lt;I4602)),1,0)</f>
        <v>0</v>
      </c>
      <c r="R4602" s="56" t="n">
        <f aca="false">IF(AND(D4602&gt;1,Q4602=0,ISNUMBER(O4602),ISNUMBER(P4602)),IF(Q4601=0,1,0),0)</f>
        <v>1</v>
      </c>
      <c r="S4602" s="56" t="n">
        <f aca="false">R4602*(B4602&gt;=Train_Start)*(B4602&lt;=Train_End)</f>
        <v>0</v>
      </c>
      <c r="T4602" s="84" t="n">
        <f aca="false">IF(AND(ISNUMBER(O4602),ISNUMBER(P4602)),Coef_A+Coef_B1*O4602+Coef_B2*P4602,"")</f>
        <v>20.1876061780444</v>
      </c>
      <c r="U4602" s="84" t="n">
        <f aca="false">IF(AND(R4602=1,ISNUMBER(T4602)),E4602-T4602,"")</f>
        <v>-3.08760617804444</v>
      </c>
      <c r="V4602" s="84" t="n">
        <f aca="false">IF(ISNUMBER(T4602),T4602,-99)</f>
        <v>20.1876061780444</v>
      </c>
      <c r="W4602" s="84" t="n">
        <f aca="false">IF(ISNUMBER(U4602),ABS(U4602),"")</f>
        <v>3.08760617804444</v>
      </c>
    </row>
    <row r="4603" customFormat="false" ht="15" hidden="false" customHeight="false" outlineLevel="0" collapsed="false">
      <c r="A4603" s="57" t="n">
        <v>39945</v>
      </c>
      <c r="B4603" s="56" t="n">
        <v>2009</v>
      </c>
      <c r="C4603" s="56" t="n">
        <v>5</v>
      </c>
      <c r="D4603" s="56" t="n">
        <v>12</v>
      </c>
      <c r="E4603" s="56" t="n">
        <v>17.5</v>
      </c>
      <c r="F4603" s="56" t="n">
        <v>0</v>
      </c>
      <c r="G4603" s="56" t="n">
        <v>7.2</v>
      </c>
      <c r="H4603" s="56" t="n">
        <v>0</v>
      </c>
      <c r="I4603" s="56" t="n">
        <v>12.4</v>
      </c>
      <c r="J4603" s="56" t="n">
        <v>0</v>
      </c>
      <c r="K4603" s="56" t="n">
        <v>1020.3</v>
      </c>
      <c r="L4603" s="56" t="n">
        <v>0</v>
      </c>
      <c r="M4603" s="56" t="n">
        <v>59</v>
      </c>
      <c r="N4603" s="56" t="n">
        <v>5.6</v>
      </c>
      <c r="O4603" s="56" t="n">
        <f aca="false">IF(D4603=1,"",E4602)</f>
        <v>17.1</v>
      </c>
      <c r="P4603" s="56" t="n">
        <f aca="false">IF(OR(D4603=1,K4602=""),"",K4602)</f>
        <v>1021.7</v>
      </c>
      <c r="Q4603" s="56" t="n">
        <f aca="false">IF(OR(F4603&lt;&gt;0,AND(I4603&lt;&gt;"",E4603&lt;I4603)),1,0)</f>
        <v>0</v>
      </c>
      <c r="R4603" s="56" t="n">
        <f aca="false">IF(AND(D4603&gt;1,Q4603=0,ISNUMBER(O4603),ISNUMBER(P4603)),IF(Q4602=0,1,0),0)</f>
        <v>1</v>
      </c>
      <c r="S4603" s="56" t="n">
        <f aca="false">R4603*(B4603&gt;=Train_Start)*(B4603&lt;=Train_End)</f>
        <v>0</v>
      </c>
      <c r="T4603" s="84" t="n">
        <f aca="false">IF(AND(ISNUMBER(O4603),ISNUMBER(P4603)),Coef_A+Coef_B1*O4603+Coef_B2*P4603,"")</f>
        <v>18.1482969705721</v>
      </c>
      <c r="U4603" s="84" t="n">
        <f aca="false">IF(AND(R4603=1,ISNUMBER(T4603)),E4603-T4603,"")</f>
        <v>-0.648296970572112</v>
      </c>
      <c r="V4603" s="84" t="n">
        <f aca="false">IF(ISNUMBER(T4603),T4603,-99)</f>
        <v>18.1482969705721</v>
      </c>
      <c r="W4603" s="84" t="n">
        <f aca="false">IF(ISNUMBER(U4603),ABS(U4603),"")</f>
        <v>0.648296970572112</v>
      </c>
    </row>
    <row r="4604" customFormat="false" ht="15" hidden="false" customHeight="false" outlineLevel="0" collapsed="false">
      <c r="A4604" s="57" t="n">
        <v>39946</v>
      </c>
      <c r="B4604" s="56" t="n">
        <v>2009</v>
      </c>
      <c r="C4604" s="56" t="n">
        <v>5</v>
      </c>
      <c r="D4604" s="56" t="n">
        <v>13</v>
      </c>
      <c r="E4604" s="56" t="n">
        <v>16.1</v>
      </c>
      <c r="F4604" s="56" t="n">
        <v>0</v>
      </c>
      <c r="G4604" s="56" t="n">
        <v>10.9</v>
      </c>
      <c r="H4604" s="56" t="n">
        <v>0</v>
      </c>
      <c r="I4604" s="56" t="n">
        <v>13.5</v>
      </c>
      <c r="J4604" s="56" t="n">
        <v>0</v>
      </c>
      <c r="K4604" s="56" t="n">
        <v>1014</v>
      </c>
      <c r="L4604" s="56" t="n">
        <v>0</v>
      </c>
      <c r="M4604" s="56" t="n">
        <v>87</v>
      </c>
      <c r="N4604" s="56" t="n">
        <v>0</v>
      </c>
      <c r="O4604" s="56" t="n">
        <f aca="false">IF(D4604=1,"",E4603)</f>
        <v>17.5</v>
      </c>
      <c r="P4604" s="56" t="n">
        <f aca="false">IF(OR(D4604=1,K4603=""),"",K4603)</f>
        <v>1020.3</v>
      </c>
      <c r="Q4604" s="56" t="n">
        <f aca="false">IF(OR(F4604&lt;&gt;0,AND(I4604&lt;&gt;"",E4604&lt;I4604)),1,0)</f>
        <v>0</v>
      </c>
      <c r="R4604" s="56" t="n">
        <f aca="false">IF(AND(D4604&gt;1,Q4604=0,ISNUMBER(O4604),ISNUMBER(P4604)),IF(Q4603=0,1,0),0)</f>
        <v>1</v>
      </c>
      <c r="S4604" s="56" t="n">
        <f aca="false">R4604*(B4604&gt;=Train_Start)*(B4604&lt;=Train_End)</f>
        <v>0</v>
      </c>
      <c r="T4604" s="84" t="n">
        <f aca="false">IF(AND(ISNUMBER(O4604),ISNUMBER(P4604)),Coef_A+Coef_B1*O4604+Coef_B2*P4604,"")</f>
        <v>18.4321147953016</v>
      </c>
      <c r="U4604" s="84" t="n">
        <f aca="false">IF(AND(R4604=1,ISNUMBER(T4604)),E4604-T4604,"")</f>
        <v>-2.33211479530158</v>
      </c>
      <c r="V4604" s="84" t="n">
        <f aca="false">IF(ISNUMBER(T4604),T4604,-99)</f>
        <v>18.4321147953016</v>
      </c>
      <c r="W4604" s="84" t="n">
        <f aca="false">IF(ISNUMBER(U4604),ABS(U4604),"")</f>
        <v>2.33211479530158</v>
      </c>
    </row>
    <row r="4605" customFormat="false" ht="15" hidden="false" customHeight="false" outlineLevel="0" collapsed="false">
      <c r="A4605" s="57" t="n">
        <v>39947</v>
      </c>
      <c r="B4605" s="56" t="n">
        <v>2009</v>
      </c>
      <c r="C4605" s="56" t="n">
        <v>5</v>
      </c>
      <c r="D4605" s="56" t="n">
        <v>14</v>
      </c>
      <c r="E4605" s="56" t="n">
        <v>18.4</v>
      </c>
      <c r="F4605" s="56" t="n">
        <v>0</v>
      </c>
      <c r="G4605" s="56" t="n">
        <v>11.5</v>
      </c>
      <c r="H4605" s="56" t="n">
        <v>0</v>
      </c>
      <c r="I4605" s="56" t="n">
        <v>15</v>
      </c>
      <c r="J4605" s="56" t="n">
        <v>0</v>
      </c>
      <c r="K4605" s="56" t="n">
        <v>1007.7</v>
      </c>
      <c r="L4605" s="56" t="n">
        <v>0</v>
      </c>
      <c r="M4605" s="56" t="n">
        <v>80</v>
      </c>
      <c r="N4605" s="56" t="n">
        <v>0.2</v>
      </c>
      <c r="O4605" s="56" t="n">
        <f aca="false">IF(D4605=1,"",E4604)</f>
        <v>16.1</v>
      </c>
      <c r="P4605" s="56" t="n">
        <f aca="false">IF(OR(D4605=1,K4604=""),"",K4604)</f>
        <v>1014</v>
      </c>
      <c r="Q4605" s="56" t="n">
        <f aca="false">IF(OR(F4605&lt;&gt;0,AND(I4605&lt;&gt;"",E4605&lt;I4605)),1,0)</f>
        <v>0</v>
      </c>
      <c r="R4605" s="56" t="n">
        <f aca="false">IF(AND(D4605&gt;1,Q4605=0,ISNUMBER(O4605),ISNUMBER(P4605)),IF(Q4604=0,1,0),0)</f>
        <v>1</v>
      </c>
      <c r="S4605" s="56" t="n">
        <f aca="false">R4605*(B4605&gt;=Train_Start)*(B4605&lt;=Train_End)</f>
        <v>0</v>
      </c>
      <c r="T4605" s="84" t="n">
        <f aca="false">IF(AND(ISNUMBER(O4605),ISNUMBER(P4605)),Coef_A+Coef_B1*O4605+Coef_B2*P4605,"")</f>
        <v>17.0874095888477</v>
      </c>
      <c r="U4605" s="84" t="n">
        <f aca="false">IF(AND(R4605=1,ISNUMBER(T4605)),E4605-T4605,"")</f>
        <v>1.31259041115227</v>
      </c>
      <c r="V4605" s="84" t="n">
        <f aca="false">IF(ISNUMBER(T4605),T4605,-99)</f>
        <v>17.0874095888477</v>
      </c>
      <c r="W4605" s="84" t="n">
        <f aca="false">IF(ISNUMBER(U4605),ABS(U4605),"")</f>
        <v>1.31259041115227</v>
      </c>
    </row>
    <row r="4606" customFormat="false" ht="15" hidden="false" customHeight="false" outlineLevel="0" collapsed="false">
      <c r="A4606" s="57" t="n">
        <v>39948</v>
      </c>
      <c r="B4606" s="56" t="n">
        <v>2009</v>
      </c>
      <c r="C4606" s="56" t="n">
        <v>5</v>
      </c>
      <c r="D4606" s="56" t="n">
        <v>15</v>
      </c>
      <c r="E4606" s="56" t="n">
        <v>16</v>
      </c>
      <c r="F4606" s="56" t="n">
        <v>0</v>
      </c>
      <c r="G4606" s="56" t="n">
        <v>12.3</v>
      </c>
      <c r="H4606" s="56" t="n">
        <v>0</v>
      </c>
      <c r="I4606" s="56" t="n">
        <v>14.2</v>
      </c>
      <c r="J4606" s="56" t="n">
        <v>0</v>
      </c>
      <c r="K4606" s="56" t="n">
        <v>1002.2</v>
      </c>
      <c r="L4606" s="56" t="n">
        <v>0</v>
      </c>
      <c r="M4606" s="56" t="n">
        <v>85</v>
      </c>
      <c r="N4606" s="56" t="n">
        <v>1.1</v>
      </c>
      <c r="O4606" s="56" t="n">
        <f aca="false">IF(D4606=1,"",E4605)</f>
        <v>18.4</v>
      </c>
      <c r="P4606" s="56" t="n">
        <f aca="false">IF(OR(D4606=1,K4605=""),"",K4605)</f>
        <v>1007.7</v>
      </c>
      <c r="Q4606" s="56" t="n">
        <f aca="false">IF(OR(F4606&lt;&gt;0,AND(I4606&lt;&gt;"",E4606&lt;I4606)),1,0)</f>
        <v>0</v>
      </c>
      <c r="R4606" s="56" t="n">
        <f aca="false">IF(AND(D4606&gt;1,Q4606=0,ISNUMBER(O4606),ISNUMBER(P4606)),IF(Q4605=0,1,0),0)</f>
        <v>1</v>
      </c>
      <c r="S4606" s="56" t="n">
        <f aca="false">R4606*(B4606&gt;=Train_Start)*(B4606&lt;=Train_End)</f>
        <v>0</v>
      </c>
      <c r="T4606" s="84" t="n">
        <f aca="false">IF(AND(ISNUMBER(O4606),ISNUMBER(P4606)),Coef_A+Coef_B1*O4606+Coef_B2*P4606,"")</f>
        <v>18.7742593966517</v>
      </c>
      <c r="U4606" s="84" t="n">
        <f aca="false">IF(AND(R4606=1,ISNUMBER(T4606)),E4606-T4606,"")</f>
        <v>-2.77425939665171</v>
      </c>
      <c r="V4606" s="84" t="n">
        <f aca="false">IF(ISNUMBER(T4606),T4606,-99)</f>
        <v>18.7742593966517</v>
      </c>
      <c r="W4606" s="84" t="n">
        <f aca="false">IF(ISNUMBER(U4606),ABS(U4606),"")</f>
        <v>2.77425939665171</v>
      </c>
    </row>
    <row r="4607" customFormat="false" ht="15" hidden="false" customHeight="false" outlineLevel="0" collapsed="false">
      <c r="A4607" s="57" t="n">
        <v>39949</v>
      </c>
      <c r="B4607" s="56" t="n">
        <v>2009</v>
      </c>
      <c r="C4607" s="56" t="n">
        <v>5</v>
      </c>
      <c r="D4607" s="56" t="n">
        <v>16</v>
      </c>
      <c r="E4607" s="56" t="n">
        <v>17.1</v>
      </c>
      <c r="F4607" s="56" t="n">
        <v>0</v>
      </c>
      <c r="G4607" s="56" t="n">
        <v>7.7</v>
      </c>
      <c r="H4607" s="56" t="n">
        <v>0</v>
      </c>
      <c r="I4607" s="56" t="n">
        <v>12.4</v>
      </c>
      <c r="J4607" s="56" t="n">
        <v>0</v>
      </c>
      <c r="K4607" s="56" t="n">
        <v>1005.9</v>
      </c>
      <c r="L4607" s="56" t="n">
        <v>0</v>
      </c>
      <c r="M4607" s="56" t="n">
        <v>70</v>
      </c>
      <c r="N4607" s="56" t="n">
        <v>5.6</v>
      </c>
      <c r="O4607" s="56" t="n">
        <f aca="false">IF(D4607=1,"",E4606)</f>
        <v>16</v>
      </c>
      <c r="P4607" s="56" t="n">
        <f aca="false">IF(OR(D4607=1,K4606=""),"",K4606)</f>
        <v>1002.2</v>
      </c>
      <c r="Q4607" s="56" t="n">
        <f aca="false">IF(OR(F4607&lt;&gt;0,AND(I4607&lt;&gt;"",E4607&lt;I4607)),1,0)</f>
        <v>0</v>
      </c>
      <c r="R4607" s="56" t="n">
        <f aca="false">IF(AND(D4607&gt;1,Q4607=0,ISNUMBER(O4607),ISNUMBER(P4607)),IF(Q4606=0,1,0),0)</f>
        <v>1</v>
      </c>
      <c r="S4607" s="56" t="n">
        <f aca="false">R4607*(B4607&gt;=Train_Start)*(B4607&lt;=Train_End)</f>
        <v>0</v>
      </c>
      <c r="T4607" s="84" t="n">
        <f aca="false">IF(AND(ISNUMBER(O4607),ISNUMBER(P4607)),Coef_A+Coef_B1*O4607+Coef_B2*P4607,"")</f>
        <v>16.6353109128624</v>
      </c>
      <c r="U4607" s="84" t="n">
        <f aca="false">IF(AND(R4607=1,ISNUMBER(T4607)),E4607-T4607,"")</f>
        <v>0.464689087137614</v>
      </c>
      <c r="V4607" s="84" t="n">
        <f aca="false">IF(ISNUMBER(T4607),T4607,-99)</f>
        <v>16.6353109128624</v>
      </c>
      <c r="W4607" s="84" t="n">
        <f aca="false">IF(ISNUMBER(U4607),ABS(U4607),"")</f>
        <v>0.464689087137614</v>
      </c>
    </row>
    <row r="4608" customFormat="false" ht="15" hidden="false" customHeight="false" outlineLevel="0" collapsed="false">
      <c r="A4608" s="57" t="n">
        <v>39950</v>
      </c>
      <c r="B4608" s="56" t="n">
        <v>2009</v>
      </c>
      <c r="C4608" s="56" t="n">
        <v>5</v>
      </c>
      <c r="D4608" s="56" t="n">
        <v>17</v>
      </c>
      <c r="E4608" s="56" t="n">
        <v>14.5</v>
      </c>
      <c r="F4608" s="56" t="n">
        <v>0</v>
      </c>
      <c r="G4608" s="56" t="n">
        <v>8.3</v>
      </c>
      <c r="H4608" s="56" t="n">
        <v>0</v>
      </c>
      <c r="I4608" s="56" t="n">
        <v>11.4</v>
      </c>
      <c r="J4608" s="56" t="n">
        <v>0</v>
      </c>
      <c r="K4608" s="56" t="n">
        <v>1007</v>
      </c>
      <c r="L4608" s="56" t="n">
        <v>0</v>
      </c>
      <c r="M4608" s="56" t="n">
        <v>80</v>
      </c>
      <c r="N4608" s="56" t="n">
        <v>3.1</v>
      </c>
      <c r="O4608" s="56" t="n">
        <f aca="false">IF(D4608=1,"",E4607)</f>
        <v>17.1</v>
      </c>
      <c r="P4608" s="56" t="n">
        <f aca="false">IF(OR(D4608=1,K4607=""),"",K4607)</f>
        <v>1005.9</v>
      </c>
      <c r="Q4608" s="56" t="n">
        <f aca="false">IF(OR(F4608&lt;&gt;0,AND(I4608&lt;&gt;"",E4608&lt;I4608)),1,0)</f>
        <v>0</v>
      </c>
      <c r="R4608" s="56" t="n">
        <f aca="false">IF(AND(D4608&gt;1,Q4608=0,ISNUMBER(O4608),ISNUMBER(P4608)),IF(Q4607=0,1,0),0)</f>
        <v>1</v>
      </c>
      <c r="S4608" s="56" t="n">
        <f aca="false">R4608*(B4608&gt;=Train_Start)*(B4608&lt;=Train_End)</f>
        <v>0</v>
      </c>
      <c r="T4608" s="84" t="n">
        <f aca="false">IF(AND(ISNUMBER(O4608),ISNUMBER(P4608)),Coef_A+Coef_B1*O4608+Coef_B2*P4608,"")</f>
        <v>17.6526526353551</v>
      </c>
      <c r="U4608" s="84" t="n">
        <f aca="false">IF(AND(R4608=1,ISNUMBER(T4608)),E4608-T4608,"")</f>
        <v>-3.15265263535508</v>
      </c>
      <c r="V4608" s="84" t="n">
        <f aca="false">IF(ISNUMBER(T4608),T4608,-99)</f>
        <v>17.6526526353551</v>
      </c>
      <c r="W4608" s="84" t="n">
        <f aca="false">IF(ISNUMBER(U4608),ABS(U4608),"")</f>
        <v>3.15265263535508</v>
      </c>
    </row>
    <row r="4609" customFormat="false" ht="15" hidden="false" customHeight="false" outlineLevel="0" collapsed="false">
      <c r="A4609" s="57" t="n">
        <v>39951</v>
      </c>
      <c r="B4609" s="56" t="n">
        <v>2009</v>
      </c>
      <c r="C4609" s="56" t="n">
        <v>5</v>
      </c>
      <c r="D4609" s="56" t="n">
        <v>18</v>
      </c>
      <c r="E4609" s="56" t="n">
        <v>17</v>
      </c>
      <c r="F4609" s="56" t="n">
        <v>0</v>
      </c>
      <c r="G4609" s="56" t="n">
        <v>9.6</v>
      </c>
      <c r="H4609" s="56" t="n">
        <v>0</v>
      </c>
      <c r="I4609" s="56" t="n">
        <v>13.3</v>
      </c>
      <c r="J4609" s="56" t="n">
        <v>0</v>
      </c>
      <c r="K4609" s="56" t="n">
        <v>1012.5</v>
      </c>
      <c r="L4609" s="56" t="n">
        <v>0</v>
      </c>
      <c r="M4609" s="56" t="n">
        <v>72</v>
      </c>
      <c r="N4609" s="56" t="n">
        <v>7.1</v>
      </c>
      <c r="O4609" s="56" t="n">
        <f aca="false">IF(D4609=1,"",E4608)</f>
        <v>14.5</v>
      </c>
      <c r="P4609" s="56" t="n">
        <f aca="false">IF(OR(D4609=1,K4608=""),"",K4608)</f>
        <v>1007</v>
      </c>
      <c r="Q4609" s="56" t="n">
        <f aca="false">IF(OR(F4609&lt;&gt;0,AND(I4609&lt;&gt;"",E4609&lt;I4609)),1,0)</f>
        <v>0</v>
      </c>
      <c r="R4609" s="56" t="n">
        <f aca="false">IF(AND(D4609&gt;1,Q4609=0,ISNUMBER(O4609),ISNUMBER(P4609)),IF(Q4608=0,1,0),0)</f>
        <v>1</v>
      </c>
      <c r="S4609" s="56" t="n">
        <f aca="false">R4609*(B4609&gt;=Train_Start)*(B4609&lt;=Train_End)</f>
        <v>0</v>
      </c>
      <c r="T4609" s="84" t="n">
        <f aca="false">IF(AND(ISNUMBER(O4609),ISNUMBER(P4609)),Coef_A+Coef_B1*O4609+Coef_B2*P4609,"")</f>
        <v>15.5568776175416</v>
      </c>
      <c r="U4609" s="84" t="n">
        <f aca="false">IF(AND(R4609=1,ISNUMBER(T4609)),E4609-T4609,"")</f>
        <v>1.44312238245845</v>
      </c>
      <c r="V4609" s="84" t="n">
        <f aca="false">IF(ISNUMBER(T4609),T4609,-99)</f>
        <v>15.5568776175416</v>
      </c>
      <c r="W4609" s="84" t="n">
        <f aca="false">IF(ISNUMBER(U4609),ABS(U4609),"")</f>
        <v>1.44312238245845</v>
      </c>
    </row>
    <row r="4610" customFormat="false" ht="15" hidden="false" customHeight="false" outlineLevel="0" collapsed="false">
      <c r="A4610" s="57" t="n">
        <v>39952</v>
      </c>
      <c r="B4610" s="56" t="n">
        <v>2009</v>
      </c>
      <c r="C4610" s="56" t="n">
        <v>5</v>
      </c>
      <c r="D4610" s="56" t="n">
        <v>19</v>
      </c>
      <c r="E4610" s="56" t="n">
        <v>17.6</v>
      </c>
      <c r="F4610" s="56" t="n">
        <v>0</v>
      </c>
      <c r="G4610" s="56" t="n">
        <v>9.8</v>
      </c>
      <c r="H4610" s="56" t="n">
        <v>0</v>
      </c>
      <c r="I4610" s="56" t="n">
        <v>13.7</v>
      </c>
      <c r="J4610" s="56" t="n">
        <v>0</v>
      </c>
      <c r="K4610" s="56" t="n">
        <v>1017.3</v>
      </c>
      <c r="L4610" s="56" t="n">
        <v>0</v>
      </c>
      <c r="M4610" s="56" t="n">
        <v>73</v>
      </c>
      <c r="N4610" s="56" t="n">
        <v>5.3</v>
      </c>
      <c r="O4610" s="56" t="n">
        <f aca="false">IF(D4610=1,"",E4609)</f>
        <v>17</v>
      </c>
      <c r="P4610" s="56" t="n">
        <f aca="false">IF(OR(D4610=1,K4609=""),"",K4609)</f>
        <v>1012.5</v>
      </c>
      <c r="Q4610" s="56" t="n">
        <f aca="false">IF(OR(F4610&lt;&gt;0,AND(I4610&lt;&gt;"",E4610&lt;I4610)),1,0)</f>
        <v>0</v>
      </c>
      <c r="R4610" s="56" t="n">
        <f aca="false">IF(AND(D4610&gt;1,Q4610=0,ISNUMBER(O4610),ISNUMBER(P4610)),IF(Q4609=0,1,0),0)</f>
        <v>1</v>
      </c>
      <c r="S4610" s="56" t="n">
        <f aca="false">R4610*(B4610&gt;=Train_Start)*(B4610&lt;=Train_End)</f>
        <v>0</v>
      </c>
      <c r="T4610" s="84" t="n">
        <f aca="false">IF(AND(ISNUMBER(O4610),ISNUMBER(P4610)),Coef_A+Coef_B1*O4610+Coef_B2*P4610,"")</f>
        <v>17.7777600206351</v>
      </c>
      <c r="U4610" s="84" t="n">
        <f aca="false">IF(AND(R4610=1,ISNUMBER(T4610)),E4610-T4610,"")</f>
        <v>-0.177760020635134</v>
      </c>
      <c r="V4610" s="84" t="n">
        <f aca="false">IF(ISNUMBER(T4610),T4610,-99)</f>
        <v>17.7777600206351</v>
      </c>
      <c r="W4610" s="84" t="n">
        <f aca="false">IF(ISNUMBER(U4610),ABS(U4610),"")</f>
        <v>0.177760020635134</v>
      </c>
    </row>
    <row r="4611" customFormat="false" ht="15" hidden="false" customHeight="false" outlineLevel="0" collapsed="false">
      <c r="A4611" s="57" t="n">
        <v>39953</v>
      </c>
      <c r="B4611" s="56" t="n">
        <v>2009</v>
      </c>
      <c r="C4611" s="56" t="n">
        <v>5</v>
      </c>
      <c r="D4611" s="56" t="n">
        <v>20</v>
      </c>
      <c r="E4611" s="56" t="n">
        <v>19</v>
      </c>
      <c r="F4611" s="56" t="n">
        <v>0</v>
      </c>
      <c r="G4611" s="56" t="n">
        <v>8.4</v>
      </c>
      <c r="H4611" s="56" t="n">
        <v>0</v>
      </c>
      <c r="I4611" s="56" t="n">
        <v>13.7</v>
      </c>
      <c r="J4611" s="56" t="n">
        <v>0</v>
      </c>
      <c r="K4611" s="56" t="n">
        <v>1019</v>
      </c>
      <c r="L4611" s="56" t="n">
        <v>0</v>
      </c>
      <c r="M4611" s="56" t="n">
        <v>70</v>
      </c>
      <c r="N4611" s="56" t="n">
        <v>5.7</v>
      </c>
      <c r="O4611" s="56" t="n">
        <f aca="false">IF(D4611=1,"",E4610)</f>
        <v>17.6</v>
      </c>
      <c r="P4611" s="56" t="n">
        <f aca="false">IF(OR(D4611=1,K4610=""),"",K4610)</f>
        <v>1017.3</v>
      </c>
      <c r="Q4611" s="56" t="n">
        <f aca="false">IF(OR(F4611&lt;&gt;0,AND(I4611&lt;&gt;"",E4611&lt;I4611)),1,0)</f>
        <v>0</v>
      </c>
      <c r="R4611" s="56" t="n">
        <f aca="false">IF(AND(D4611&gt;1,Q4611=0,ISNUMBER(O4611),ISNUMBER(P4611)),IF(Q4610=0,1,0),0)</f>
        <v>1</v>
      </c>
      <c r="S4611" s="56" t="n">
        <f aca="false">R4611*(B4611&gt;=Train_Start)*(B4611&lt;=Train_End)</f>
        <v>0</v>
      </c>
      <c r="T4611" s="84" t="n">
        <f aca="false">IF(AND(ISNUMBER(O4611),ISNUMBER(P4611)),Coef_A+Coef_B1*O4611+Coef_B2*P4611,"")</f>
        <v>18.4199390307039</v>
      </c>
      <c r="U4611" s="84" t="n">
        <f aca="false">IF(AND(R4611=1,ISNUMBER(T4611)),E4611-T4611,"")</f>
        <v>0.58006096929612</v>
      </c>
      <c r="V4611" s="84" t="n">
        <f aca="false">IF(ISNUMBER(T4611),T4611,-99)</f>
        <v>18.4199390307039</v>
      </c>
      <c r="W4611" s="84" t="n">
        <f aca="false">IF(ISNUMBER(U4611),ABS(U4611),"")</f>
        <v>0.58006096929612</v>
      </c>
    </row>
    <row r="4612" customFormat="false" ht="15" hidden="false" customHeight="false" outlineLevel="0" collapsed="false">
      <c r="A4612" s="57" t="n">
        <v>39954</v>
      </c>
      <c r="B4612" s="56" t="n">
        <v>2009</v>
      </c>
      <c r="C4612" s="56" t="n">
        <v>5</v>
      </c>
      <c r="D4612" s="56" t="n">
        <v>21</v>
      </c>
      <c r="E4612" s="56" t="n">
        <v>19.8</v>
      </c>
      <c r="F4612" s="56" t="n">
        <v>0</v>
      </c>
      <c r="G4612" s="56" t="n">
        <v>8</v>
      </c>
      <c r="H4612" s="56" t="n">
        <v>0</v>
      </c>
      <c r="I4612" s="56" t="n">
        <v>13.9</v>
      </c>
      <c r="J4612" s="56" t="n">
        <v>0</v>
      </c>
      <c r="K4612" s="56" t="n">
        <v>1014.8</v>
      </c>
      <c r="L4612" s="56" t="n">
        <v>0</v>
      </c>
      <c r="M4612" s="56" t="n">
        <v>65</v>
      </c>
      <c r="N4612" s="56" t="n">
        <v>9.6</v>
      </c>
      <c r="O4612" s="56" t="n">
        <f aca="false">IF(D4612=1,"",E4611)</f>
        <v>19</v>
      </c>
      <c r="P4612" s="56" t="n">
        <f aca="false">IF(OR(D4612=1,K4611=""),"",K4611)</f>
        <v>1019</v>
      </c>
      <c r="Q4612" s="56" t="n">
        <f aca="false">IF(OR(F4612&lt;&gt;0,AND(I4612&lt;&gt;"",E4612&lt;I4612)),1,0)</f>
        <v>0</v>
      </c>
      <c r="R4612" s="56" t="n">
        <f aca="false">IF(AND(D4612&gt;1,Q4612=0,ISNUMBER(O4612),ISNUMBER(P4612)),IF(Q4611=0,1,0),0)</f>
        <v>1</v>
      </c>
      <c r="S4612" s="56" t="n">
        <f aca="false">R4612*(B4612&gt;=Train_Start)*(B4612&lt;=Train_End)</f>
        <v>0</v>
      </c>
      <c r="T4612" s="84" t="n">
        <f aca="false">IF(AND(ISNUMBER(O4612),ISNUMBER(P4612)),Coef_A+Coef_B1*O4612+Coef_B2*P4612,"")</f>
        <v>19.6203427218414</v>
      </c>
      <c r="U4612" s="84" t="n">
        <f aca="false">IF(AND(R4612=1,ISNUMBER(T4612)),E4612-T4612,"")</f>
        <v>0.179657278158619</v>
      </c>
      <c r="V4612" s="84" t="n">
        <f aca="false">IF(ISNUMBER(T4612),T4612,-99)</f>
        <v>19.6203427218414</v>
      </c>
      <c r="W4612" s="84" t="n">
        <f aca="false">IF(ISNUMBER(U4612),ABS(U4612),"")</f>
        <v>0.179657278158619</v>
      </c>
    </row>
    <row r="4613" customFormat="false" ht="15" hidden="false" customHeight="false" outlineLevel="0" collapsed="false">
      <c r="A4613" s="57" t="n">
        <v>39955</v>
      </c>
      <c r="B4613" s="56" t="n">
        <v>2009</v>
      </c>
      <c r="C4613" s="56" t="n">
        <v>5</v>
      </c>
      <c r="D4613" s="56" t="n">
        <v>22</v>
      </c>
      <c r="E4613" s="56" t="n">
        <v>20</v>
      </c>
      <c r="F4613" s="56" t="n">
        <v>0</v>
      </c>
      <c r="G4613" s="56" t="n">
        <v>7.8</v>
      </c>
      <c r="H4613" s="56" t="n">
        <v>0</v>
      </c>
      <c r="I4613" s="56" t="n">
        <v>13.9</v>
      </c>
      <c r="J4613" s="56" t="n">
        <v>0</v>
      </c>
      <c r="K4613" s="56" t="n">
        <v>1017.1</v>
      </c>
      <c r="L4613" s="56" t="n">
        <v>0</v>
      </c>
      <c r="M4613" s="56" t="n">
        <v>66</v>
      </c>
      <c r="N4613" s="56" t="n">
        <v>7.9</v>
      </c>
      <c r="O4613" s="56" t="n">
        <f aca="false">IF(D4613=1,"",E4612)</f>
        <v>19.8</v>
      </c>
      <c r="P4613" s="56" t="n">
        <f aca="false">IF(OR(D4613=1,K4612=""),"",K4612)</f>
        <v>1014.8</v>
      </c>
      <c r="Q4613" s="56" t="n">
        <f aca="false">IF(OR(F4613&lt;&gt;0,AND(I4613&lt;&gt;"",E4613&lt;I4613)),1,0)</f>
        <v>0</v>
      </c>
      <c r="R4613" s="56" t="n">
        <f aca="false">IF(AND(D4613&gt;1,Q4613=0,ISNUMBER(O4613),ISNUMBER(P4613)),IF(Q4612=0,1,0),0)</f>
        <v>1</v>
      </c>
      <c r="S4613" s="56" t="n">
        <f aca="false">R4613*(B4613&gt;=Train_Start)*(B4613&lt;=Train_End)</f>
        <v>0</v>
      </c>
      <c r="T4613" s="84" t="n">
        <f aca="false">IF(AND(ISNUMBER(O4613),ISNUMBER(P4613)),Coef_A+Coef_B1*O4613+Coef_B2*P4613,"")</f>
        <v>20.1440605188128</v>
      </c>
      <c r="U4613" s="84" t="n">
        <f aca="false">IF(AND(R4613=1,ISNUMBER(T4613)),E4613-T4613,"")</f>
        <v>-0.144060518812754</v>
      </c>
      <c r="V4613" s="84" t="n">
        <f aca="false">IF(ISNUMBER(T4613),T4613,-99)</f>
        <v>20.1440605188128</v>
      </c>
      <c r="W4613" s="84" t="n">
        <f aca="false">IF(ISNUMBER(U4613),ABS(U4613),"")</f>
        <v>0.144060518812754</v>
      </c>
    </row>
    <row r="4614" customFormat="false" ht="15" hidden="false" customHeight="false" outlineLevel="0" collapsed="false">
      <c r="A4614" s="57" t="n">
        <v>39956</v>
      </c>
      <c r="B4614" s="56" t="n">
        <v>2009</v>
      </c>
      <c r="C4614" s="56" t="n">
        <v>5</v>
      </c>
      <c r="D4614" s="56" t="n">
        <v>23</v>
      </c>
      <c r="E4614" s="56" t="n">
        <v>20.8</v>
      </c>
      <c r="F4614" s="56" t="n">
        <v>0</v>
      </c>
      <c r="G4614" s="56" t="n">
        <v>8.1</v>
      </c>
      <c r="H4614" s="56" t="n">
        <v>0</v>
      </c>
      <c r="I4614" s="56" t="n">
        <v>14.4</v>
      </c>
      <c r="J4614" s="56" t="n">
        <v>0</v>
      </c>
      <c r="K4614" s="56" t="n">
        <v>1017.6</v>
      </c>
      <c r="L4614" s="56" t="n">
        <v>0</v>
      </c>
      <c r="M4614" s="56" t="n">
        <v>56</v>
      </c>
      <c r="N4614" s="56" t="n">
        <v>9.2</v>
      </c>
      <c r="O4614" s="56" t="n">
        <f aca="false">IF(D4614=1,"",E4613)</f>
        <v>20</v>
      </c>
      <c r="P4614" s="56" t="n">
        <f aca="false">IF(OR(D4614=1,K4613=""),"",K4613)</f>
        <v>1017.1</v>
      </c>
      <c r="Q4614" s="56" t="n">
        <f aca="false">IF(OR(F4614&lt;&gt;0,AND(I4614&lt;&gt;"",E4614&lt;I4614)),1,0)</f>
        <v>0</v>
      </c>
      <c r="R4614" s="56" t="n">
        <f aca="false">IF(AND(D4614&gt;1,Q4614=0,ISNUMBER(O4614),ISNUMBER(P4614)),IF(Q4613=0,1,0),0)</f>
        <v>1</v>
      </c>
      <c r="S4614" s="56" t="n">
        <f aca="false">R4614*(B4614&gt;=Train_Start)*(B4614&lt;=Train_End)</f>
        <v>0</v>
      </c>
      <c r="T4614" s="84" t="n">
        <f aca="false">IF(AND(ISNUMBER(O4614),ISNUMBER(P4614)),Coef_A+Coef_B1*O4614+Coef_B2*P4614,"")</f>
        <v>20.3800791150795</v>
      </c>
      <c r="U4614" s="84" t="n">
        <f aca="false">IF(AND(R4614=1,ISNUMBER(T4614)),E4614-T4614,"")</f>
        <v>0.41992088492054</v>
      </c>
      <c r="V4614" s="84" t="n">
        <f aca="false">IF(ISNUMBER(T4614),T4614,-99)</f>
        <v>20.3800791150795</v>
      </c>
      <c r="W4614" s="84" t="n">
        <f aca="false">IF(ISNUMBER(U4614),ABS(U4614),"")</f>
        <v>0.41992088492054</v>
      </c>
    </row>
    <row r="4615" customFormat="false" ht="15" hidden="false" customHeight="false" outlineLevel="0" collapsed="false">
      <c r="A4615" s="57" t="n">
        <v>39957</v>
      </c>
      <c r="B4615" s="56" t="n">
        <v>2009</v>
      </c>
      <c r="C4615" s="56" t="n">
        <v>5</v>
      </c>
      <c r="D4615" s="56" t="n">
        <v>24</v>
      </c>
      <c r="E4615" s="56" t="n">
        <v>25.2</v>
      </c>
      <c r="F4615" s="56" t="n">
        <v>0</v>
      </c>
      <c r="G4615" s="56" t="n">
        <v>9.5</v>
      </c>
      <c r="H4615" s="56" t="n">
        <v>0</v>
      </c>
      <c r="I4615" s="56" t="n">
        <v>17.4</v>
      </c>
      <c r="J4615" s="56" t="n">
        <v>0</v>
      </c>
      <c r="K4615" s="56" t="n">
        <v>1019.3</v>
      </c>
      <c r="L4615" s="56" t="n">
        <v>0</v>
      </c>
      <c r="M4615" s="56" t="n">
        <v>56</v>
      </c>
      <c r="N4615" s="56" t="n">
        <v>14.1</v>
      </c>
      <c r="O4615" s="56" t="n">
        <f aca="false">IF(D4615=1,"",E4614)</f>
        <v>20.8</v>
      </c>
      <c r="P4615" s="56" t="n">
        <f aca="false">IF(OR(D4615=1,K4614=""),"",K4614)</f>
        <v>1017.6</v>
      </c>
      <c r="Q4615" s="56" t="n">
        <f aca="false">IF(OR(F4615&lt;&gt;0,AND(I4615&lt;&gt;"",E4615&lt;I4615)),1,0)</f>
        <v>0</v>
      </c>
      <c r="R4615" s="56" t="n">
        <f aca="false">IF(AND(D4615&gt;1,Q4615=0,ISNUMBER(O4615),ISNUMBER(P4615)),IF(Q4614=0,1,0),0)</f>
        <v>1</v>
      </c>
      <c r="S4615" s="56" t="n">
        <f aca="false">R4615*(B4615&gt;=Train_Start)*(B4615&lt;=Train_End)</f>
        <v>0</v>
      </c>
      <c r="T4615" s="84" t="n">
        <f aca="false">IF(AND(ISNUMBER(O4615),ISNUMBER(P4615)),Coef_A+Coef_B1*O4615+Coef_B2*P4615,"")</f>
        <v>21.0512354168306</v>
      </c>
      <c r="U4615" s="84" t="n">
        <f aca="false">IF(AND(R4615=1,ISNUMBER(T4615)),E4615-T4615,"")</f>
        <v>4.14876458316942</v>
      </c>
      <c r="V4615" s="84" t="n">
        <f aca="false">IF(ISNUMBER(T4615),T4615,-99)</f>
        <v>21.0512354168306</v>
      </c>
      <c r="W4615" s="84" t="n">
        <f aca="false">IF(ISNUMBER(U4615),ABS(U4615),"")</f>
        <v>4.14876458316942</v>
      </c>
    </row>
    <row r="4616" customFormat="false" ht="15" hidden="false" customHeight="false" outlineLevel="0" collapsed="false">
      <c r="A4616" s="57" t="n">
        <v>39958</v>
      </c>
      <c r="B4616" s="56" t="n">
        <v>2009</v>
      </c>
      <c r="C4616" s="56" t="n">
        <v>5</v>
      </c>
      <c r="D4616" s="56" t="n">
        <v>25</v>
      </c>
      <c r="E4616" s="56" t="n">
        <v>23.7</v>
      </c>
      <c r="F4616" s="56" t="n">
        <v>0</v>
      </c>
      <c r="G4616" s="56" t="n">
        <v>12.6</v>
      </c>
      <c r="H4616" s="56" t="n">
        <v>0</v>
      </c>
      <c r="I4616" s="56" t="n">
        <v>18.2</v>
      </c>
      <c r="J4616" s="56" t="n">
        <v>0</v>
      </c>
      <c r="K4616" s="56" t="n">
        <v>1014.7</v>
      </c>
      <c r="L4616" s="56" t="n">
        <v>0</v>
      </c>
      <c r="M4616" s="56" t="n">
        <v>68</v>
      </c>
      <c r="N4616" s="56" t="n">
        <v>2.4</v>
      </c>
      <c r="O4616" s="56" t="n">
        <f aca="false">IF(D4616=1,"",E4615)</f>
        <v>25.2</v>
      </c>
      <c r="P4616" s="56" t="n">
        <f aca="false">IF(OR(D4616=1,K4615=""),"",K4615)</f>
        <v>1019.3</v>
      </c>
      <c r="Q4616" s="56" t="n">
        <f aca="false">IF(OR(F4616&lt;&gt;0,AND(I4616&lt;&gt;"",E4616&lt;I4616)),1,0)</f>
        <v>0</v>
      </c>
      <c r="R4616" s="56" t="n">
        <f aca="false">IF(AND(D4616&gt;1,Q4616=0,ISNUMBER(O4616),ISNUMBER(P4616)),IF(Q4615=0,1,0),0)</f>
        <v>1</v>
      </c>
      <c r="S4616" s="56" t="n">
        <f aca="false">R4616*(B4616&gt;=Train_Start)*(B4616&lt;=Train_End)</f>
        <v>0</v>
      </c>
      <c r="T4616" s="84" t="n">
        <f aca="false">IF(AND(ISNUMBER(O4616),ISNUMBER(P4616)),Coef_A+Coef_B1*O4616+Coef_B2*P4616,"")</f>
        <v>24.7096566870961</v>
      </c>
      <c r="U4616" s="84" t="n">
        <f aca="false">IF(AND(R4616=1,ISNUMBER(T4616)),E4616-T4616,"")</f>
        <v>-1.00965668709605</v>
      </c>
      <c r="V4616" s="84" t="n">
        <f aca="false">IF(ISNUMBER(T4616),T4616,-99)</f>
        <v>24.7096566870961</v>
      </c>
      <c r="W4616" s="84" t="n">
        <f aca="false">IF(ISNUMBER(U4616),ABS(U4616),"")</f>
        <v>1.00965668709605</v>
      </c>
    </row>
    <row r="4617" customFormat="false" ht="15" hidden="false" customHeight="false" outlineLevel="0" collapsed="false">
      <c r="A4617" s="57" t="n">
        <v>39959</v>
      </c>
      <c r="B4617" s="56" t="n">
        <v>2009</v>
      </c>
      <c r="C4617" s="56" t="n">
        <v>5</v>
      </c>
      <c r="D4617" s="56" t="n">
        <v>26</v>
      </c>
      <c r="E4617" s="56" t="n">
        <v>17.8</v>
      </c>
      <c r="F4617" s="56" t="n">
        <v>0</v>
      </c>
      <c r="G4617" s="56" t="n">
        <v>11.4</v>
      </c>
      <c r="H4617" s="56" t="n">
        <v>0</v>
      </c>
      <c r="I4617" s="56" t="n">
        <v>14.6</v>
      </c>
      <c r="J4617" s="56" t="n">
        <v>0</v>
      </c>
      <c r="K4617" s="56" t="n">
        <v>1014.7</v>
      </c>
      <c r="L4617" s="56" t="n">
        <v>0</v>
      </c>
      <c r="M4617" s="56" t="n">
        <v>70</v>
      </c>
      <c r="N4617" s="56" t="n">
        <v>5.4</v>
      </c>
      <c r="O4617" s="56" t="n">
        <f aca="false">IF(D4617=1,"",E4616)</f>
        <v>23.7</v>
      </c>
      <c r="P4617" s="56" t="n">
        <f aca="false">IF(OR(D4617=1,K4616=""),"",K4616)</f>
        <v>1014.7</v>
      </c>
      <c r="Q4617" s="56" t="n">
        <f aca="false">IF(OR(F4617&lt;&gt;0,AND(I4617&lt;&gt;"",E4617&lt;I4617)),1,0)</f>
        <v>0</v>
      </c>
      <c r="R4617" s="56" t="n">
        <f aca="false">IF(AND(D4617&gt;1,Q4617=0,ISNUMBER(O4617),ISNUMBER(P4617)),IF(Q4616=0,1,0),0)</f>
        <v>1</v>
      </c>
      <c r="S4617" s="56" t="n">
        <f aca="false">R4617*(B4617&gt;=Train_Start)*(B4617&lt;=Train_End)</f>
        <v>0</v>
      </c>
      <c r="T4617" s="84" t="n">
        <f aca="false">IF(AND(ISNUMBER(O4617),ISNUMBER(P4617)),Coef_A+Coef_B1*O4617+Coef_B2*P4617,"")</f>
        <v>23.3363463822157</v>
      </c>
      <c r="U4617" s="84" t="n">
        <f aca="false">IF(AND(R4617=1,ISNUMBER(T4617)),E4617-T4617,"")</f>
        <v>-5.53634638221572</v>
      </c>
      <c r="V4617" s="84" t="n">
        <f aca="false">IF(ISNUMBER(T4617),T4617,-99)</f>
        <v>23.3363463822157</v>
      </c>
      <c r="W4617" s="84" t="n">
        <f aca="false">IF(ISNUMBER(U4617),ABS(U4617),"")</f>
        <v>5.53634638221572</v>
      </c>
    </row>
    <row r="4618" customFormat="false" ht="15" hidden="false" customHeight="false" outlineLevel="0" collapsed="false">
      <c r="A4618" s="57" t="n">
        <v>39960</v>
      </c>
      <c r="B4618" s="56" t="n">
        <v>2009</v>
      </c>
      <c r="C4618" s="56" t="n">
        <v>5</v>
      </c>
      <c r="D4618" s="56" t="n">
        <v>27</v>
      </c>
      <c r="E4618" s="56" t="n">
        <v>18.3</v>
      </c>
      <c r="F4618" s="56" t="n">
        <v>0</v>
      </c>
      <c r="G4618" s="56" t="n">
        <v>8.5</v>
      </c>
      <c r="H4618" s="56" t="n">
        <v>0</v>
      </c>
      <c r="I4618" s="56" t="n">
        <v>13.4</v>
      </c>
      <c r="J4618" s="56" t="n">
        <v>0</v>
      </c>
      <c r="K4618" s="56" t="n">
        <v>1022.2</v>
      </c>
      <c r="L4618" s="56" t="n">
        <v>0</v>
      </c>
      <c r="M4618" s="56" t="n">
        <v>85</v>
      </c>
      <c r="N4618" s="56" t="n">
        <v>0</v>
      </c>
      <c r="O4618" s="56" t="n">
        <f aca="false">IF(D4618=1,"",E4617)</f>
        <v>17.8</v>
      </c>
      <c r="P4618" s="56" t="n">
        <f aca="false">IF(OR(D4618=1,K4617=""),"",K4617)</f>
        <v>1014.7</v>
      </c>
      <c r="Q4618" s="56" t="n">
        <f aca="false">IF(OR(F4618&lt;&gt;0,AND(I4618&lt;&gt;"",E4618&lt;I4618)),1,0)</f>
        <v>0</v>
      </c>
      <c r="R4618" s="56" t="n">
        <f aca="false">IF(AND(D4618&gt;1,Q4618=0,ISNUMBER(O4618),ISNUMBER(P4618)),IF(Q4617=0,1,0),0)</f>
        <v>1</v>
      </c>
      <c r="S4618" s="56" t="n">
        <f aca="false">R4618*(B4618&gt;=Train_Start)*(B4618&lt;=Train_End)</f>
        <v>0</v>
      </c>
      <c r="T4618" s="84" t="n">
        <f aca="false">IF(AND(ISNUMBER(O4618),ISNUMBER(P4618)),Coef_A+Coef_B1*O4618+Coef_B2*P4618,"")</f>
        <v>18.502245143264</v>
      </c>
      <c r="U4618" s="84" t="n">
        <f aca="false">IF(AND(R4618=1,ISNUMBER(T4618)),E4618-T4618,"")</f>
        <v>-0.20224514326404</v>
      </c>
      <c r="V4618" s="84" t="n">
        <f aca="false">IF(ISNUMBER(T4618),T4618,-99)</f>
        <v>18.502245143264</v>
      </c>
      <c r="W4618" s="84" t="n">
        <f aca="false">IF(ISNUMBER(U4618),ABS(U4618),"")</f>
        <v>0.20224514326404</v>
      </c>
    </row>
    <row r="4619" customFormat="false" ht="15" hidden="false" customHeight="false" outlineLevel="0" collapsed="false">
      <c r="A4619" s="57" t="n">
        <v>39961</v>
      </c>
      <c r="B4619" s="56" t="n">
        <v>2009</v>
      </c>
      <c r="C4619" s="56" t="n">
        <v>5</v>
      </c>
      <c r="D4619" s="56" t="n">
        <v>28</v>
      </c>
      <c r="E4619" s="56" t="n">
        <v>22.5</v>
      </c>
      <c r="F4619" s="56" t="n">
        <v>0</v>
      </c>
      <c r="G4619" s="56" t="n">
        <v>11.1</v>
      </c>
      <c r="H4619" s="56" t="n">
        <v>0</v>
      </c>
      <c r="I4619" s="56" t="n">
        <v>16.8</v>
      </c>
      <c r="J4619" s="56" t="n">
        <v>0</v>
      </c>
      <c r="K4619" s="56" t="n">
        <v>1029.2</v>
      </c>
      <c r="L4619" s="56" t="n">
        <v>0</v>
      </c>
      <c r="M4619" s="56" t="n">
        <v>75</v>
      </c>
      <c r="N4619" s="56" t="n">
        <v>0.6</v>
      </c>
      <c r="O4619" s="56" t="n">
        <f aca="false">IF(D4619=1,"",E4618)</f>
        <v>18.3</v>
      </c>
      <c r="P4619" s="56" t="n">
        <f aca="false">IF(OR(D4619=1,K4618=""),"",K4618)</f>
        <v>1022.2</v>
      </c>
      <c r="Q4619" s="56" t="n">
        <f aca="false">IF(OR(F4619&lt;&gt;0,AND(I4619&lt;&gt;"",E4619&lt;I4619)),1,0)</f>
        <v>0</v>
      </c>
      <c r="R4619" s="56" t="n">
        <f aca="false">IF(AND(D4619&gt;1,Q4619=0,ISNUMBER(O4619),ISNUMBER(P4619)),IF(Q4618=0,1,0),0)</f>
        <v>1</v>
      </c>
      <c r="S4619" s="56" t="n">
        <f aca="false">R4619*(B4619&gt;=Train_Start)*(B4619&lt;=Train_End)</f>
        <v>0</v>
      </c>
      <c r="T4619" s="84" t="n">
        <f aca="false">IF(AND(ISNUMBER(O4619),ISNUMBER(P4619)),Coef_A+Coef_B1*O4619+Coef_B2*P4619,"")</f>
        <v>19.1471889495403</v>
      </c>
      <c r="U4619" s="84" t="n">
        <f aca="false">IF(AND(R4619=1,ISNUMBER(T4619)),E4619-T4619,"")</f>
        <v>3.35281105045971</v>
      </c>
      <c r="V4619" s="84" t="n">
        <f aca="false">IF(ISNUMBER(T4619),T4619,-99)</f>
        <v>19.1471889495403</v>
      </c>
      <c r="W4619" s="84" t="n">
        <f aca="false">IF(ISNUMBER(U4619),ABS(U4619),"")</f>
        <v>3.35281105045971</v>
      </c>
    </row>
    <row r="4620" customFormat="false" ht="15" hidden="false" customHeight="false" outlineLevel="0" collapsed="false">
      <c r="A4620" s="57" t="n">
        <v>39962</v>
      </c>
      <c r="B4620" s="56" t="n">
        <v>2009</v>
      </c>
      <c r="C4620" s="56" t="n">
        <v>5</v>
      </c>
      <c r="D4620" s="56" t="n">
        <v>29</v>
      </c>
      <c r="E4620" s="56" t="n">
        <v>24.9</v>
      </c>
      <c r="F4620" s="56" t="n">
        <v>0</v>
      </c>
      <c r="G4620" s="56" t="n">
        <v>12.6</v>
      </c>
      <c r="H4620" s="56" t="n">
        <v>0</v>
      </c>
      <c r="I4620" s="56" t="n">
        <v>18.8</v>
      </c>
      <c r="J4620" s="56" t="n">
        <v>0</v>
      </c>
      <c r="K4620" s="56" t="n">
        <v>1030.5</v>
      </c>
      <c r="L4620" s="56" t="n">
        <v>0</v>
      </c>
      <c r="M4620" s="56" t="n">
        <v>65</v>
      </c>
      <c r="N4620" s="56" t="n">
        <v>14.1</v>
      </c>
      <c r="O4620" s="56" t="n">
        <f aca="false">IF(D4620=1,"",E4619)</f>
        <v>22.5</v>
      </c>
      <c r="P4620" s="56" t="n">
        <f aca="false">IF(OR(D4620=1,K4619=""),"",K4619)</f>
        <v>1029.2</v>
      </c>
      <c r="Q4620" s="56" t="n">
        <f aca="false">IF(OR(F4620&lt;&gt;0,AND(I4620&lt;&gt;"",E4620&lt;I4620)),1,0)</f>
        <v>0</v>
      </c>
      <c r="R4620" s="56" t="n">
        <f aca="false">IF(AND(D4620&gt;1,Q4620=0,ISNUMBER(O4620),ISNUMBER(P4620)),IF(Q4619=0,1,0),0)</f>
        <v>1</v>
      </c>
      <c r="S4620" s="56" t="n">
        <f aca="false">R4620*(B4620&gt;=Train_Start)*(B4620&lt;=Train_End)</f>
        <v>0</v>
      </c>
      <c r="T4620" s="84" t="n">
        <f aca="false">IF(AND(ISNUMBER(O4620),ISNUMBER(P4620)),Coef_A+Coef_B1*O4620+Coef_B2*P4620,"")</f>
        <v>22.8080028227574</v>
      </c>
      <c r="U4620" s="84" t="n">
        <f aca="false">IF(AND(R4620=1,ISNUMBER(T4620)),E4620-T4620,"")</f>
        <v>2.09199717724262</v>
      </c>
      <c r="V4620" s="84" t="n">
        <f aca="false">IF(ISNUMBER(T4620),T4620,-99)</f>
        <v>22.8080028227574</v>
      </c>
      <c r="W4620" s="84" t="n">
        <f aca="false">IF(ISNUMBER(U4620),ABS(U4620),"")</f>
        <v>2.09199717724262</v>
      </c>
    </row>
    <row r="4621" customFormat="false" ht="15" hidden="false" customHeight="false" outlineLevel="0" collapsed="false">
      <c r="A4621" s="57" t="n">
        <v>39963</v>
      </c>
      <c r="B4621" s="56" t="n">
        <v>2009</v>
      </c>
      <c r="C4621" s="56" t="n">
        <v>5</v>
      </c>
      <c r="D4621" s="56" t="n">
        <v>30</v>
      </c>
      <c r="E4621" s="56" t="n">
        <v>23.4</v>
      </c>
      <c r="F4621" s="56" t="n">
        <v>0</v>
      </c>
      <c r="G4621" s="56" t="n">
        <v>11.4</v>
      </c>
      <c r="H4621" s="56" t="n">
        <v>0</v>
      </c>
      <c r="I4621" s="56" t="n">
        <v>17.4</v>
      </c>
      <c r="J4621" s="56" t="n">
        <v>0</v>
      </c>
      <c r="K4621" s="56" t="n">
        <v>1026.2</v>
      </c>
      <c r="L4621" s="56" t="n">
        <v>0</v>
      </c>
      <c r="M4621" s="56" t="n">
        <v>56</v>
      </c>
      <c r="N4621" s="56" t="n">
        <v>14.7</v>
      </c>
      <c r="O4621" s="56" t="n">
        <f aca="false">IF(D4621=1,"",E4620)</f>
        <v>24.9</v>
      </c>
      <c r="P4621" s="56" t="n">
        <f aca="false">IF(OR(D4621=1,K4620=""),"",K4620)</f>
        <v>1030.5</v>
      </c>
      <c r="Q4621" s="56" t="n">
        <f aca="false">IF(OR(F4621&lt;&gt;0,AND(I4621&lt;&gt;"",E4621&lt;I4621)),1,0)</f>
        <v>0</v>
      </c>
      <c r="R4621" s="56" t="n">
        <f aca="false">IF(AND(D4621&gt;1,Q4621=0,ISNUMBER(O4621),ISNUMBER(P4621)),IF(Q4620=0,1,0),0)</f>
        <v>1</v>
      </c>
      <c r="S4621" s="56" t="n">
        <f aca="false">R4621*(B4621&gt;=Train_Start)*(B4621&lt;=Train_End)</f>
        <v>0</v>
      </c>
      <c r="T4621" s="84" t="n">
        <f aca="false">IF(AND(ISNUMBER(O4621),ISNUMBER(P4621)),Coef_A+Coef_B1*O4621+Coef_B2*P4621,"")</f>
        <v>24.8151977490839</v>
      </c>
      <c r="U4621" s="84" t="n">
        <f aca="false">IF(AND(R4621=1,ISNUMBER(T4621)),E4621-T4621,"")</f>
        <v>-1.41519774908394</v>
      </c>
      <c r="V4621" s="84" t="n">
        <f aca="false">IF(ISNUMBER(T4621),T4621,-99)</f>
        <v>24.8151977490839</v>
      </c>
      <c r="W4621" s="84" t="n">
        <f aca="false">IF(ISNUMBER(U4621),ABS(U4621),"")</f>
        <v>1.41519774908394</v>
      </c>
    </row>
    <row r="4622" customFormat="false" ht="15" hidden="false" customHeight="false" outlineLevel="0" collapsed="false">
      <c r="A4622" s="57" t="n">
        <v>39964</v>
      </c>
      <c r="B4622" s="56" t="n">
        <v>2009</v>
      </c>
      <c r="C4622" s="56" t="n">
        <v>5</v>
      </c>
      <c r="D4622" s="56" t="n">
        <v>31</v>
      </c>
      <c r="E4622" s="56" t="n">
        <v>25.6</v>
      </c>
      <c r="F4622" s="56" t="n">
        <v>0</v>
      </c>
      <c r="G4622" s="56" t="n">
        <v>11.1</v>
      </c>
      <c r="H4622" s="56" t="n">
        <v>0</v>
      </c>
      <c r="I4622" s="56" t="n">
        <v>18.4</v>
      </c>
      <c r="J4622" s="56" t="n">
        <v>0</v>
      </c>
      <c r="K4622" s="56" t="n">
        <v>1025.4</v>
      </c>
      <c r="L4622" s="56" t="n">
        <v>0</v>
      </c>
      <c r="M4622" s="56" t="n">
        <v>63</v>
      </c>
      <c r="N4622" s="56" t="n">
        <v>13.2</v>
      </c>
      <c r="O4622" s="56" t="n">
        <f aca="false">IF(D4622=1,"",E4621)</f>
        <v>23.4</v>
      </c>
      <c r="P4622" s="56" t="n">
        <f aca="false">IF(OR(D4622=1,K4621=""),"",K4621)</f>
        <v>1026.2</v>
      </c>
      <c r="Q4622" s="56" t="n">
        <f aca="false">IF(OR(F4622&lt;&gt;0,AND(I4622&lt;&gt;"",E4622&lt;I4622)),1,0)</f>
        <v>0</v>
      </c>
      <c r="R4622" s="56" t="n">
        <f aca="false">IF(AND(D4622&gt;1,Q4622=0,ISNUMBER(O4622),ISNUMBER(P4622)),IF(Q4621=0,1,0),0)</f>
        <v>1</v>
      </c>
      <c r="S4622" s="56" t="n">
        <f aca="false">R4622*(B4622&gt;=Train_Start)*(B4622&lt;=Train_End)</f>
        <v>0</v>
      </c>
      <c r="T4622" s="84" t="n">
        <f aca="false">IF(AND(ISNUMBER(O4622),ISNUMBER(P4622)),Coef_A+Coef_B1*O4622+Coef_B2*P4622,"")</f>
        <v>23.4512984125938</v>
      </c>
      <c r="U4622" s="84" t="n">
        <f aca="false">IF(AND(R4622=1,ISNUMBER(T4622)),E4622-T4622,"")</f>
        <v>2.1487015874062</v>
      </c>
      <c r="V4622" s="84" t="n">
        <f aca="false">IF(ISNUMBER(T4622),T4622,-99)</f>
        <v>23.4512984125938</v>
      </c>
      <c r="W4622" s="84" t="n">
        <f aca="false">IF(ISNUMBER(U4622),ABS(U4622),"")</f>
        <v>2.1487015874062</v>
      </c>
    </row>
    <row r="4623" customFormat="false" ht="15" hidden="false" customHeight="false" outlineLevel="0" collapsed="false">
      <c r="A4623" s="57" t="n">
        <v>39965</v>
      </c>
      <c r="B4623" s="56" t="n">
        <v>2009</v>
      </c>
      <c r="C4623" s="56" t="n">
        <v>6</v>
      </c>
      <c r="D4623" s="56" t="n">
        <v>32</v>
      </c>
      <c r="E4623" s="56" t="n">
        <v>25.7</v>
      </c>
      <c r="F4623" s="56" t="n">
        <v>0</v>
      </c>
      <c r="G4623" s="56" t="n">
        <v>12.1</v>
      </c>
      <c r="H4623" s="56" t="n">
        <v>0</v>
      </c>
      <c r="I4623" s="56" t="n">
        <v>18.9</v>
      </c>
      <c r="J4623" s="56" t="n">
        <v>0</v>
      </c>
      <c r="K4623" s="56" t="n">
        <v>1025.5</v>
      </c>
      <c r="L4623" s="56" t="n">
        <v>0</v>
      </c>
      <c r="M4623" s="56" t="n">
        <v>57</v>
      </c>
      <c r="N4623" s="56" t="n">
        <v>11.7</v>
      </c>
      <c r="O4623" s="56" t="n">
        <f aca="false">IF(D4623=1,"",E4622)</f>
        <v>25.6</v>
      </c>
      <c r="P4623" s="56" t="n">
        <f aca="false">IF(OR(D4623=1,K4622=""),"",K4622)</f>
        <v>1025.4</v>
      </c>
      <c r="Q4623" s="56" t="n">
        <f aca="false">IF(OR(F4623&lt;&gt;0,AND(I4623&lt;&gt;"",E4623&lt;I4623)),1,0)</f>
        <v>0</v>
      </c>
      <c r="R4623" s="56" t="n">
        <f aca="false">IF(AND(D4623&gt;1,Q4623=0,ISNUMBER(O4623),ISNUMBER(P4623)),IF(Q4622=0,1,0),0)</f>
        <v>1</v>
      </c>
      <c r="S4623" s="56" t="n">
        <f aca="false">R4623*(B4623&gt;=Train_Start)*(B4623&lt;=Train_End)</f>
        <v>0</v>
      </c>
      <c r="T4623" s="84" t="n">
        <f aca="false">IF(AND(ISNUMBER(O4623),ISNUMBER(P4623)),Coef_A+Coef_B1*O4623+Coef_B2*P4623,"")</f>
        <v>25.2287487215805</v>
      </c>
      <c r="U4623" s="84" t="n">
        <f aca="false">IF(AND(R4623=1,ISNUMBER(T4623)),E4623-T4623,"")</f>
        <v>0.47125127841954</v>
      </c>
      <c r="V4623" s="84" t="n">
        <f aca="false">IF(ISNUMBER(T4623),T4623,-99)</f>
        <v>25.2287487215805</v>
      </c>
      <c r="W4623" s="84" t="n">
        <f aca="false">IF(ISNUMBER(U4623),ABS(U4623),"")</f>
        <v>0.47125127841954</v>
      </c>
    </row>
    <row r="4624" customFormat="false" ht="15" hidden="false" customHeight="false" outlineLevel="0" collapsed="false">
      <c r="A4624" s="57" t="n">
        <v>39966</v>
      </c>
      <c r="B4624" s="56" t="n">
        <v>2009</v>
      </c>
      <c r="C4624" s="56" t="n">
        <v>6</v>
      </c>
      <c r="D4624" s="56" t="n">
        <v>33</v>
      </c>
      <c r="E4624" s="56" t="n">
        <v>25.5</v>
      </c>
      <c r="F4624" s="56" t="n">
        <v>0</v>
      </c>
      <c r="G4624" s="56" t="n">
        <v>11.6</v>
      </c>
      <c r="H4624" s="56" t="n">
        <v>0</v>
      </c>
      <c r="I4624" s="56" t="n">
        <v>18.6</v>
      </c>
      <c r="J4624" s="56" t="n">
        <v>0</v>
      </c>
      <c r="K4624" s="56" t="n">
        <v>1025.4</v>
      </c>
      <c r="L4624" s="56" t="n">
        <v>0</v>
      </c>
      <c r="M4624" s="56" t="n">
        <v>48</v>
      </c>
      <c r="N4624" s="56" t="n">
        <v>14.9</v>
      </c>
      <c r="O4624" s="56" t="n">
        <f aca="false">IF(D4624=1,"",E4623)</f>
        <v>25.7</v>
      </c>
      <c r="P4624" s="56" t="n">
        <f aca="false">IF(OR(D4624=1,K4623=""),"",K4623)</f>
        <v>1025.5</v>
      </c>
      <c r="Q4624" s="56" t="n">
        <f aca="false">IF(OR(F4624&lt;&gt;0,AND(I4624&lt;&gt;"",E4624&lt;I4624)),1,0)</f>
        <v>0</v>
      </c>
      <c r="R4624" s="56" t="n">
        <f aca="false">IF(AND(D4624&gt;1,Q4624=0,ISNUMBER(O4624),ISNUMBER(P4624)),IF(Q4623=0,1,0),0)</f>
        <v>1</v>
      </c>
      <c r="S4624" s="56" t="n">
        <f aca="false">R4624*(B4624&gt;=Train_Start)*(B4624&lt;=Train_End)</f>
        <v>0</v>
      </c>
      <c r="T4624" s="84" t="n">
        <f aca="false">IF(AND(ISNUMBER(O4624),ISNUMBER(P4624)),Coef_A+Coef_B1*O4624+Coef_B2*P4624,"")</f>
        <v>25.3138196303481</v>
      </c>
      <c r="U4624" s="84" t="n">
        <f aca="false">IF(AND(R4624=1,ISNUMBER(T4624)),E4624-T4624,"")</f>
        <v>0.186180369651883</v>
      </c>
      <c r="V4624" s="84" t="n">
        <f aca="false">IF(ISNUMBER(T4624),T4624,-99)</f>
        <v>25.3138196303481</v>
      </c>
      <c r="W4624" s="84" t="n">
        <f aca="false">IF(ISNUMBER(U4624),ABS(U4624),"")</f>
        <v>0.186180369651883</v>
      </c>
    </row>
    <row r="4625" customFormat="false" ht="15" hidden="false" customHeight="false" outlineLevel="0" collapsed="false">
      <c r="A4625" s="57" t="n">
        <v>39967</v>
      </c>
      <c r="B4625" s="56" t="n">
        <v>2009</v>
      </c>
      <c r="C4625" s="56" t="n">
        <v>6</v>
      </c>
      <c r="D4625" s="56" t="n">
        <v>34</v>
      </c>
      <c r="E4625" s="56" t="n">
        <v>20.1</v>
      </c>
      <c r="F4625" s="56" t="n">
        <v>0</v>
      </c>
      <c r="G4625" s="56" t="n">
        <v>15</v>
      </c>
      <c r="H4625" s="56" t="n">
        <v>0</v>
      </c>
      <c r="I4625" s="56" t="n">
        <v>17.6</v>
      </c>
      <c r="J4625" s="56" t="n">
        <v>0</v>
      </c>
      <c r="K4625" s="56" t="n">
        <v>1022.1</v>
      </c>
      <c r="L4625" s="56" t="n">
        <v>0</v>
      </c>
      <c r="M4625" s="56" t="n">
        <v>57</v>
      </c>
      <c r="N4625" s="56" t="n">
        <v>5.7</v>
      </c>
      <c r="O4625" s="56" t="n">
        <f aca="false">IF(D4625=1,"",E4624)</f>
        <v>25.5</v>
      </c>
      <c r="P4625" s="56" t="n">
        <f aca="false">IF(OR(D4625=1,K4624=""),"",K4624)</f>
        <v>1025.4</v>
      </c>
      <c r="Q4625" s="56" t="n">
        <f aca="false">IF(OR(F4625&lt;&gt;0,AND(I4625&lt;&gt;"",E4625&lt;I4625)),1,0)</f>
        <v>0</v>
      </c>
      <c r="R4625" s="56" t="n">
        <f aca="false">IF(AND(D4625&gt;1,Q4625=0,ISNUMBER(O4625),ISNUMBER(P4625)),IF(Q4624=0,1,0),0)</f>
        <v>1</v>
      </c>
      <c r="S4625" s="56" t="n">
        <f aca="false">R4625*(B4625&gt;=Train_Start)*(B4625&lt;=Train_End)</f>
        <v>0</v>
      </c>
      <c r="T4625" s="84" t="n">
        <f aca="false">IF(AND(ISNUMBER(O4625),ISNUMBER(P4625)),Coef_A+Coef_B1*O4625+Coef_B2*P4625,"")</f>
        <v>25.1468148022762</v>
      </c>
      <c r="U4625" s="84" t="n">
        <f aca="false">IF(AND(R4625=1,ISNUMBER(T4625)),E4625-T4625,"")</f>
        <v>-5.04681480227619</v>
      </c>
      <c r="V4625" s="84" t="n">
        <f aca="false">IF(ISNUMBER(T4625),T4625,-99)</f>
        <v>25.1468148022762</v>
      </c>
      <c r="W4625" s="84" t="n">
        <f aca="false">IF(ISNUMBER(U4625),ABS(U4625),"")</f>
        <v>5.04681480227619</v>
      </c>
    </row>
    <row r="4626" customFormat="false" ht="15" hidden="false" customHeight="false" outlineLevel="0" collapsed="false">
      <c r="A4626" s="57" t="n">
        <v>39968</v>
      </c>
      <c r="B4626" s="56" t="n">
        <v>2009</v>
      </c>
      <c r="C4626" s="56" t="n">
        <v>6</v>
      </c>
      <c r="D4626" s="56" t="n">
        <v>35</v>
      </c>
      <c r="E4626" s="56" t="n">
        <v>18.9</v>
      </c>
      <c r="F4626" s="56" t="n">
        <v>0</v>
      </c>
      <c r="G4626" s="56" t="n">
        <v>7.9</v>
      </c>
      <c r="H4626" s="56" t="n">
        <v>0</v>
      </c>
      <c r="I4626" s="56" t="n">
        <v>13.4</v>
      </c>
      <c r="J4626" s="56" t="n">
        <v>0</v>
      </c>
      <c r="K4626" s="56" t="n">
        <v>1019</v>
      </c>
      <c r="L4626" s="56" t="n">
        <v>0</v>
      </c>
      <c r="M4626" s="56" t="n">
        <v>57</v>
      </c>
      <c r="N4626" s="56" t="n">
        <v>12.2</v>
      </c>
      <c r="O4626" s="56" t="n">
        <f aca="false">IF(D4626=1,"",E4625)</f>
        <v>20.1</v>
      </c>
      <c r="P4626" s="56" t="n">
        <f aca="false">IF(OR(D4626=1,K4625=""),"",K4625)</f>
        <v>1022.1</v>
      </c>
      <c r="Q4626" s="56" t="n">
        <f aca="false">IF(OR(F4626&lt;&gt;0,AND(I4626&lt;&gt;"",E4626&lt;I4626)),1,0)</f>
        <v>0</v>
      </c>
      <c r="R4626" s="56" t="n">
        <f aca="false">IF(AND(D4626&gt;1,Q4626=0,ISNUMBER(O4626),ISNUMBER(P4626)),IF(Q4625=0,1,0),0)</f>
        <v>1</v>
      </c>
      <c r="S4626" s="56" t="n">
        <f aca="false">R4626*(B4626&gt;=Train_Start)*(B4626&lt;=Train_End)</f>
        <v>0</v>
      </c>
      <c r="T4626" s="84" t="n">
        <f aca="false">IF(AND(ISNUMBER(O4626),ISNUMBER(P4626)),Coef_A+Coef_B1*O4626+Coef_B2*P4626,"")</f>
        <v>20.6188625075537</v>
      </c>
      <c r="U4626" s="84" t="n">
        <f aca="false">IF(AND(R4626=1,ISNUMBER(T4626)),E4626-T4626,"")</f>
        <v>-1.71886250755368</v>
      </c>
      <c r="V4626" s="84" t="n">
        <f aca="false">IF(ISNUMBER(T4626),T4626,-99)</f>
        <v>20.6188625075537</v>
      </c>
      <c r="W4626" s="84" t="n">
        <f aca="false">IF(ISNUMBER(U4626),ABS(U4626),"")</f>
        <v>1.71886250755368</v>
      </c>
    </row>
    <row r="4627" customFormat="false" ht="15" hidden="false" customHeight="false" outlineLevel="0" collapsed="false">
      <c r="A4627" s="57" t="n">
        <v>39969</v>
      </c>
      <c r="B4627" s="56" t="n">
        <v>2009</v>
      </c>
      <c r="C4627" s="56" t="n">
        <v>6</v>
      </c>
      <c r="D4627" s="56" t="n">
        <v>36</v>
      </c>
      <c r="E4627" s="56" t="n">
        <v>14.3</v>
      </c>
      <c r="F4627" s="56" t="n">
        <v>0</v>
      </c>
      <c r="G4627" s="56" t="n">
        <v>10.6</v>
      </c>
      <c r="H4627" s="56" t="n">
        <v>0</v>
      </c>
      <c r="I4627" s="56" t="n">
        <v>12.4</v>
      </c>
      <c r="J4627" s="56" t="n">
        <v>0</v>
      </c>
      <c r="K4627" s="56" t="n">
        <v>1010.1</v>
      </c>
      <c r="L4627" s="56" t="n">
        <v>0</v>
      </c>
      <c r="M4627" s="56" t="n">
        <v>75</v>
      </c>
      <c r="N4627" s="56" t="n">
        <v>0</v>
      </c>
      <c r="O4627" s="56" t="n">
        <f aca="false">IF(D4627=1,"",E4626)</f>
        <v>18.9</v>
      </c>
      <c r="P4627" s="56" t="n">
        <f aca="false">IF(OR(D4627=1,K4626=""),"",K4626)</f>
        <v>1019</v>
      </c>
      <c r="Q4627" s="56" t="n">
        <f aca="false">IF(OR(F4627&lt;&gt;0,AND(I4627&lt;&gt;"",E4627&lt;I4627)),1,0)</f>
        <v>0</v>
      </c>
      <c r="R4627" s="56" t="n">
        <f aca="false">IF(AND(D4627&gt;1,Q4627=0,ISNUMBER(O4627),ISNUMBER(P4627)),IF(Q4626=0,1,0),0)</f>
        <v>1</v>
      </c>
      <c r="S4627" s="56" t="n">
        <f aca="false">R4627*(B4627&gt;=Train_Start)*(B4627&lt;=Train_End)</f>
        <v>0</v>
      </c>
      <c r="T4627" s="84" t="n">
        <f aca="false">IF(AND(ISNUMBER(O4627),ISNUMBER(P4627)),Coef_A+Coef_B1*O4627+Coef_B2*P4627,"")</f>
        <v>19.5384088025371</v>
      </c>
      <c r="U4627" s="84" t="n">
        <f aca="false">IF(AND(R4627=1,ISNUMBER(T4627)),E4627-T4627,"")</f>
        <v>-5.23840880253712</v>
      </c>
      <c r="V4627" s="84" t="n">
        <f aca="false">IF(ISNUMBER(T4627),T4627,-99)</f>
        <v>19.5384088025371</v>
      </c>
      <c r="W4627" s="84" t="n">
        <f aca="false">IF(ISNUMBER(U4627),ABS(U4627),"")</f>
        <v>5.23840880253712</v>
      </c>
    </row>
    <row r="4628" customFormat="false" ht="15" hidden="false" customHeight="false" outlineLevel="0" collapsed="false">
      <c r="A4628" s="57" t="n">
        <v>39970</v>
      </c>
      <c r="B4628" s="56" t="n">
        <v>2009</v>
      </c>
      <c r="C4628" s="56" t="n">
        <v>6</v>
      </c>
      <c r="D4628" s="56" t="n">
        <v>37</v>
      </c>
      <c r="E4628" s="56" t="n">
        <v>14.5</v>
      </c>
      <c r="F4628" s="56" t="n">
        <v>0</v>
      </c>
      <c r="G4628" s="56" t="n">
        <v>9.6</v>
      </c>
      <c r="H4628" s="56" t="n">
        <v>0</v>
      </c>
      <c r="I4628" s="56" t="n">
        <v>12</v>
      </c>
      <c r="J4628" s="56" t="n">
        <v>0</v>
      </c>
      <c r="K4628" s="56" t="n">
        <v>1002.3</v>
      </c>
      <c r="L4628" s="56" t="n">
        <v>0</v>
      </c>
      <c r="M4628" s="56" t="n">
        <v>78</v>
      </c>
      <c r="N4628" s="56" t="n">
        <v>0</v>
      </c>
      <c r="O4628" s="56" t="n">
        <f aca="false">IF(D4628=1,"",E4627)</f>
        <v>14.3</v>
      </c>
      <c r="P4628" s="56" t="n">
        <f aca="false">IF(OR(D4628=1,K4627=""),"",K4627)</f>
        <v>1010.1</v>
      </c>
      <c r="Q4628" s="56" t="n">
        <f aca="false">IF(OR(F4628&lt;&gt;0,AND(I4628&lt;&gt;"",E4628&lt;I4628)),1,0)</f>
        <v>0</v>
      </c>
      <c r="R4628" s="56" t="n">
        <f aca="false">IF(AND(D4628&gt;1,Q4628=0,ISNUMBER(O4628),ISNUMBER(P4628)),IF(Q4627=0,1,0),0)</f>
        <v>1</v>
      </c>
      <c r="S4628" s="56" t="n">
        <f aca="false">R4628*(B4628&gt;=Train_Start)*(B4628&lt;=Train_End)</f>
        <v>0</v>
      </c>
      <c r="T4628" s="84" t="n">
        <f aca="false">IF(AND(ISNUMBER(O4628),ISNUMBER(P4628)),Coef_A+Coef_B1*O4628+Coef_B2*P4628,"")</f>
        <v>15.4902564522984</v>
      </c>
      <c r="U4628" s="84" t="n">
        <f aca="false">IF(AND(R4628=1,ISNUMBER(T4628)),E4628-T4628,"")</f>
        <v>-0.990256452298386</v>
      </c>
      <c r="V4628" s="84" t="n">
        <f aca="false">IF(ISNUMBER(T4628),T4628,-99)</f>
        <v>15.4902564522984</v>
      </c>
      <c r="W4628" s="84" t="n">
        <f aca="false">IF(ISNUMBER(U4628),ABS(U4628),"")</f>
        <v>0.990256452298386</v>
      </c>
    </row>
    <row r="4629" customFormat="false" ht="15" hidden="false" customHeight="false" outlineLevel="0" collapsed="false">
      <c r="A4629" s="57" t="n">
        <v>39971</v>
      </c>
      <c r="B4629" s="56" t="n">
        <v>2009</v>
      </c>
      <c r="C4629" s="56" t="n">
        <v>6</v>
      </c>
      <c r="D4629" s="56" t="n">
        <v>38</v>
      </c>
      <c r="E4629" s="56" t="n">
        <v>18</v>
      </c>
      <c r="F4629" s="56" t="n">
        <v>0</v>
      </c>
      <c r="G4629" s="56" t="n">
        <v>7.8</v>
      </c>
      <c r="H4629" s="56" t="n">
        <v>0</v>
      </c>
      <c r="I4629" s="56" t="n">
        <v>12.9</v>
      </c>
      <c r="J4629" s="56" t="n">
        <v>0</v>
      </c>
      <c r="K4629" s="56" t="n">
        <v>1000.7</v>
      </c>
      <c r="L4629" s="56" t="n">
        <v>0</v>
      </c>
      <c r="M4629" s="56" t="n">
        <v>74</v>
      </c>
      <c r="N4629" s="56" t="n">
        <v>4.9</v>
      </c>
      <c r="O4629" s="56" t="n">
        <f aca="false">IF(D4629=1,"",E4628)</f>
        <v>14.5</v>
      </c>
      <c r="P4629" s="56" t="n">
        <f aca="false">IF(OR(D4629=1,K4628=""),"",K4628)</f>
        <v>1002.3</v>
      </c>
      <c r="Q4629" s="56" t="n">
        <f aca="false">IF(OR(F4629&lt;&gt;0,AND(I4629&lt;&gt;"",E4629&lt;I4629)),1,0)</f>
        <v>0</v>
      </c>
      <c r="R4629" s="56" t="n">
        <f aca="false">IF(AND(D4629&gt;1,Q4629=0,ISNUMBER(O4629),ISNUMBER(P4629)),IF(Q4628=0,1,0),0)</f>
        <v>1</v>
      </c>
      <c r="S4629" s="56" t="n">
        <f aca="false">R4629*(B4629&gt;=Train_Start)*(B4629&lt;=Train_End)</f>
        <v>0</v>
      </c>
      <c r="T4629" s="84" t="n">
        <f aca="false">IF(AND(ISNUMBER(O4629),ISNUMBER(P4629)),Coef_A+Coef_B1*O4629+Coef_B2*P4629,"")</f>
        <v>15.4094391127618</v>
      </c>
      <c r="U4629" s="84" t="n">
        <f aca="false">IF(AND(R4629=1,ISNUMBER(T4629)),E4629-T4629,"")</f>
        <v>2.5905608872382</v>
      </c>
      <c r="V4629" s="84" t="n">
        <f aca="false">IF(ISNUMBER(T4629),T4629,-99)</f>
        <v>15.4094391127618</v>
      </c>
      <c r="W4629" s="84" t="n">
        <f aca="false">IF(ISNUMBER(U4629),ABS(U4629),"")</f>
        <v>2.5905608872382</v>
      </c>
    </row>
    <row r="4630" customFormat="false" ht="15" hidden="false" customHeight="false" outlineLevel="0" collapsed="false">
      <c r="A4630" s="57" t="n">
        <v>39972</v>
      </c>
      <c r="B4630" s="56" t="n">
        <v>2009</v>
      </c>
      <c r="C4630" s="56" t="n">
        <v>6</v>
      </c>
      <c r="D4630" s="56" t="n">
        <v>39</v>
      </c>
      <c r="E4630" s="56" t="n">
        <v>18.7</v>
      </c>
      <c r="F4630" s="56" t="n">
        <v>0</v>
      </c>
      <c r="G4630" s="56" t="n">
        <v>8.8</v>
      </c>
      <c r="H4630" s="56" t="n">
        <v>0</v>
      </c>
      <c r="I4630" s="56" t="n">
        <v>13.8</v>
      </c>
      <c r="J4630" s="56" t="n">
        <v>0</v>
      </c>
      <c r="K4630" s="56" t="n">
        <v>1005.9</v>
      </c>
      <c r="L4630" s="56" t="n">
        <v>0</v>
      </c>
      <c r="M4630" s="56" t="n">
        <v>73</v>
      </c>
      <c r="N4630" s="56" t="n">
        <v>1.7</v>
      </c>
      <c r="O4630" s="56" t="n">
        <f aca="false">IF(D4630=1,"",E4629)</f>
        <v>18</v>
      </c>
      <c r="P4630" s="56" t="n">
        <f aca="false">IF(OR(D4630=1,K4629=""),"",K4629)</f>
        <v>1000.7</v>
      </c>
      <c r="Q4630" s="56" t="n">
        <f aca="false">IF(OR(F4630&lt;&gt;0,AND(I4630&lt;&gt;"",E4630&lt;I4630)),1,0)</f>
        <v>0</v>
      </c>
      <c r="R4630" s="56" t="n">
        <f aca="false">IF(AND(D4630&gt;1,Q4630=0,ISNUMBER(O4630),ISNUMBER(P4630)),IF(Q4629=0,1,0),0)</f>
        <v>1</v>
      </c>
      <c r="S4630" s="56" t="n">
        <f aca="false">R4630*(B4630&gt;=Train_Start)*(B4630&lt;=Train_End)</f>
        <v>0</v>
      </c>
      <c r="T4630" s="84" t="n">
        <f aca="false">IF(AND(ISNUMBER(O4630),ISNUMBER(P4630)),Coef_A+Coef_B1*O4630+Coef_B2*P4630,"")</f>
        <v>18.2269344569967</v>
      </c>
      <c r="U4630" s="84" t="n">
        <f aca="false">IF(AND(R4630=1,ISNUMBER(T4630)),E4630-T4630,"")</f>
        <v>0.47306554300328</v>
      </c>
      <c r="V4630" s="84" t="n">
        <f aca="false">IF(ISNUMBER(T4630),T4630,-99)</f>
        <v>18.2269344569967</v>
      </c>
      <c r="W4630" s="84" t="n">
        <f aca="false">IF(ISNUMBER(U4630),ABS(U4630),"")</f>
        <v>0.47306554300328</v>
      </c>
    </row>
    <row r="4631" customFormat="false" ht="15" hidden="false" customHeight="false" outlineLevel="0" collapsed="false">
      <c r="A4631" s="57" t="n">
        <v>39973</v>
      </c>
      <c r="B4631" s="56" t="n">
        <v>2009</v>
      </c>
      <c r="C4631" s="56" t="n">
        <v>6</v>
      </c>
      <c r="D4631" s="56" t="n">
        <v>40</v>
      </c>
      <c r="E4631" s="56" t="n">
        <v>16</v>
      </c>
      <c r="F4631" s="56" t="n">
        <v>0</v>
      </c>
      <c r="G4631" s="56" t="n">
        <v>10.8</v>
      </c>
      <c r="H4631" s="56" t="n">
        <v>0</v>
      </c>
      <c r="I4631" s="56" t="n">
        <v>13.4</v>
      </c>
      <c r="J4631" s="56" t="n">
        <v>0</v>
      </c>
      <c r="K4631" s="56" t="n">
        <v>1006.7</v>
      </c>
      <c r="L4631" s="56" t="n">
        <v>0</v>
      </c>
      <c r="M4631" s="56" t="n">
        <v>82</v>
      </c>
      <c r="N4631" s="56" t="n">
        <v>0</v>
      </c>
      <c r="O4631" s="56" t="n">
        <f aca="false">IF(D4631=1,"",E4630)</f>
        <v>18.7</v>
      </c>
      <c r="P4631" s="56" t="n">
        <f aca="false">IF(OR(D4631=1,K4630=""),"",K4630)</f>
        <v>1005.9</v>
      </c>
      <c r="Q4631" s="56" t="n">
        <f aca="false">IF(OR(F4631&lt;&gt;0,AND(I4631&lt;&gt;"",E4631&lt;I4631)),1,0)</f>
        <v>0</v>
      </c>
      <c r="R4631" s="56" t="n">
        <f aca="false">IF(AND(D4631&gt;1,Q4631=0,ISNUMBER(O4631),ISNUMBER(P4631)),IF(Q4630=0,1,0),0)</f>
        <v>1</v>
      </c>
      <c r="S4631" s="56" t="n">
        <f aca="false">R4631*(B4631&gt;=Train_Start)*(B4631&lt;=Train_End)</f>
        <v>0</v>
      </c>
      <c r="T4631" s="84" t="n">
        <f aca="false">IF(AND(ISNUMBER(O4631),ISNUMBER(P4631)),Coef_A+Coef_B1*O4631+Coef_B2*P4631,"")</f>
        <v>18.9635953442233</v>
      </c>
      <c r="U4631" s="84" t="n">
        <f aca="false">IF(AND(R4631=1,ISNUMBER(T4631)),E4631-T4631,"")</f>
        <v>-2.96359534422332</v>
      </c>
      <c r="V4631" s="84" t="n">
        <f aca="false">IF(ISNUMBER(T4631),T4631,-99)</f>
        <v>18.9635953442233</v>
      </c>
      <c r="W4631" s="84" t="n">
        <f aca="false">IF(ISNUMBER(U4631),ABS(U4631),"")</f>
        <v>2.96359534422332</v>
      </c>
    </row>
    <row r="4632" customFormat="false" ht="15" hidden="false" customHeight="false" outlineLevel="0" collapsed="false">
      <c r="A4632" s="57" t="n">
        <v>39974</v>
      </c>
      <c r="B4632" s="56" t="n">
        <v>2009</v>
      </c>
      <c r="C4632" s="56" t="n">
        <v>6</v>
      </c>
      <c r="D4632" s="56" t="n">
        <v>41</v>
      </c>
      <c r="E4632" s="56" t="n">
        <v>16.9</v>
      </c>
      <c r="F4632" s="56" t="n">
        <v>0</v>
      </c>
      <c r="G4632" s="56" t="n">
        <v>11.8</v>
      </c>
      <c r="H4632" s="56" t="n">
        <v>0</v>
      </c>
      <c r="I4632" s="56" t="n">
        <v>14.4</v>
      </c>
      <c r="J4632" s="56" t="n">
        <v>0</v>
      </c>
      <c r="K4632" s="56" t="n">
        <v>1010.1</v>
      </c>
      <c r="L4632" s="56" t="n">
        <v>0</v>
      </c>
      <c r="M4632" s="56" t="n">
        <v>82</v>
      </c>
      <c r="N4632" s="56" t="n">
        <v>0.5</v>
      </c>
      <c r="O4632" s="56" t="n">
        <f aca="false">IF(D4632=1,"",E4631)</f>
        <v>16</v>
      </c>
      <c r="P4632" s="56" t="n">
        <f aca="false">IF(OR(D4632=1,K4631=""),"",K4631)</f>
        <v>1006.7</v>
      </c>
      <c r="Q4632" s="56" t="n">
        <f aca="false">IF(OR(F4632&lt;&gt;0,AND(I4632&lt;&gt;"",E4632&lt;I4632)),1,0)</f>
        <v>0</v>
      </c>
      <c r="R4632" s="56" t="n">
        <f aca="false">IF(AND(D4632&gt;1,Q4632=0,ISNUMBER(O4632),ISNUMBER(P4632)),IF(Q4631=0,1,0),0)</f>
        <v>1</v>
      </c>
      <c r="S4632" s="56" t="n">
        <f aca="false">R4632*(B4632&gt;=Train_Start)*(B4632&lt;=Train_End)</f>
        <v>0</v>
      </c>
      <c r="T4632" s="84" t="n">
        <f aca="false">IF(AND(ISNUMBER(O4632),ISNUMBER(P4632)),Coef_A+Coef_B1*O4632+Coef_B2*P4632,"")</f>
        <v>16.7764754387153</v>
      </c>
      <c r="U4632" s="84" t="n">
        <f aca="false">IF(AND(R4632=1,ISNUMBER(T4632)),E4632-T4632,"")</f>
        <v>0.123524561284654</v>
      </c>
      <c r="V4632" s="84" t="n">
        <f aca="false">IF(ISNUMBER(T4632),T4632,-99)</f>
        <v>16.7764754387153</v>
      </c>
      <c r="W4632" s="84" t="n">
        <f aca="false">IF(ISNUMBER(U4632),ABS(U4632),"")</f>
        <v>0.123524561284654</v>
      </c>
    </row>
    <row r="4633" customFormat="false" ht="15" hidden="false" customHeight="false" outlineLevel="0" collapsed="false">
      <c r="A4633" s="57" t="n">
        <v>39975</v>
      </c>
      <c r="B4633" s="56" t="n">
        <v>2009</v>
      </c>
      <c r="C4633" s="56" t="n">
        <v>6</v>
      </c>
      <c r="D4633" s="56" t="n">
        <v>42</v>
      </c>
      <c r="E4633" s="56" t="n">
        <v>21.2</v>
      </c>
      <c r="F4633" s="56" t="n">
        <v>0</v>
      </c>
      <c r="G4633" s="56" t="n">
        <v>11.5</v>
      </c>
      <c r="H4633" s="56" t="n">
        <v>0</v>
      </c>
      <c r="I4633" s="56" t="n">
        <v>16.4</v>
      </c>
      <c r="J4633" s="56" t="n">
        <v>0</v>
      </c>
      <c r="K4633" s="56" t="n">
        <v>1016.4</v>
      </c>
      <c r="L4633" s="56" t="n">
        <v>0</v>
      </c>
      <c r="M4633" s="56" t="n">
        <v>60</v>
      </c>
      <c r="N4633" s="56" t="n">
        <v>11.1</v>
      </c>
      <c r="O4633" s="56" t="n">
        <f aca="false">IF(D4633=1,"",E4632)</f>
        <v>16.9</v>
      </c>
      <c r="P4633" s="56" t="n">
        <f aca="false">IF(OR(D4633=1,K4632=""),"",K4632)</f>
        <v>1010.1</v>
      </c>
      <c r="Q4633" s="56" t="n">
        <f aca="false">IF(OR(F4633&lt;&gt;0,AND(I4633&lt;&gt;"",E4633&lt;I4633)),1,0)</f>
        <v>0</v>
      </c>
      <c r="R4633" s="56" t="n">
        <f aca="false">IF(AND(D4633&gt;1,Q4633=0,ISNUMBER(O4633),ISNUMBER(P4633)),IF(Q4632=0,1,0),0)</f>
        <v>1</v>
      </c>
      <c r="S4633" s="56" t="n">
        <f aca="false">R4633*(B4633&gt;=Train_Start)*(B4633&lt;=Train_End)</f>
        <v>0</v>
      </c>
      <c r="T4633" s="84" t="n">
        <f aca="false">IF(AND(ISNUMBER(O4633),ISNUMBER(P4633)),Coef_A+Coef_B1*O4633+Coef_B2*P4633,"")</f>
        <v>17.6205383542093</v>
      </c>
      <c r="U4633" s="84" t="n">
        <f aca="false">IF(AND(R4633=1,ISNUMBER(T4633)),E4633-T4633,"")</f>
        <v>3.5794616457907</v>
      </c>
      <c r="V4633" s="84" t="n">
        <f aca="false">IF(ISNUMBER(T4633),T4633,-99)</f>
        <v>17.6205383542093</v>
      </c>
      <c r="W4633" s="84" t="n">
        <f aca="false">IF(ISNUMBER(U4633),ABS(U4633),"")</f>
        <v>3.5794616457907</v>
      </c>
    </row>
    <row r="4634" customFormat="false" ht="15" hidden="false" customHeight="false" outlineLevel="0" collapsed="false">
      <c r="A4634" s="57" t="n">
        <v>39976</v>
      </c>
      <c r="B4634" s="56" t="n">
        <v>2009</v>
      </c>
      <c r="C4634" s="56" t="n">
        <v>6</v>
      </c>
      <c r="D4634" s="56" t="n">
        <v>43</v>
      </c>
      <c r="E4634" s="56" t="n">
        <v>20.2</v>
      </c>
      <c r="F4634" s="56" t="n">
        <v>0</v>
      </c>
      <c r="G4634" s="56" t="n">
        <v>8.6</v>
      </c>
      <c r="H4634" s="56" t="n">
        <v>0</v>
      </c>
      <c r="I4634" s="56" t="n">
        <v>14.4</v>
      </c>
      <c r="J4634" s="56" t="n">
        <v>0</v>
      </c>
      <c r="K4634" s="56" t="n">
        <v>1021.1</v>
      </c>
      <c r="L4634" s="56" t="n">
        <v>0</v>
      </c>
      <c r="M4634" s="56" t="n">
        <v>62</v>
      </c>
      <c r="N4634" s="56" t="n">
        <v>2.1</v>
      </c>
      <c r="O4634" s="56" t="n">
        <f aca="false">IF(D4634=1,"",E4633)</f>
        <v>21.2</v>
      </c>
      <c r="P4634" s="56" t="n">
        <f aca="false">IF(OR(D4634=1,K4633=""),"",K4633)</f>
        <v>1016.4</v>
      </c>
      <c r="Q4634" s="56" t="n">
        <f aca="false">IF(OR(F4634&lt;&gt;0,AND(I4634&lt;&gt;"",E4634&lt;I4634)),1,0)</f>
        <v>0</v>
      </c>
      <c r="R4634" s="56" t="n">
        <f aca="false">IF(AND(D4634&gt;1,Q4634=0,ISNUMBER(O4634),ISNUMBER(P4634)),IF(Q4633=0,1,0),0)</f>
        <v>1</v>
      </c>
      <c r="S4634" s="56" t="n">
        <f aca="false">R4634*(B4634&gt;=Train_Start)*(B4634&lt;=Train_End)</f>
        <v>0</v>
      </c>
      <c r="T4634" s="84" t="n">
        <f aca="false">IF(AND(ISNUMBER(O4634),ISNUMBER(P4634)),Coef_A+Coef_B1*O4634+Coef_B2*P4634,"")</f>
        <v>21.3413272204869</v>
      </c>
      <c r="U4634" s="84" t="n">
        <f aca="false">IF(AND(R4634=1,ISNUMBER(T4634)),E4634-T4634,"")</f>
        <v>-1.14132722048686</v>
      </c>
      <c r="V4634" s="84" t="n">
        <f aca="false">IF(ISNUMBER(T4634),T4634,-99)</f>
        <v>21.3413272204869</v>
      </c>
      <c r="W4634" s="84" t="n">
        <f aca="false">IF(ISNUMBER(U4634),ABS(U4634),"")</f>
        <v>1.14132722048686</v>
      </c>
    </row>
    <row r="4635" customFormat="false" ht="15" hidden="false" customHeight="false" outlineLevel="0" collapsed="false">
      <c r="A4635" s="57" t="n">
        <v>39977</v>
      </c>
      <c r="B4635" s="56" t="n">
        <v>2009</v>
      </c>
      <c r="C4635" s="56" t="n">
        <v>6</v>
      </c>
      <c r="D4635" s="56" t="n">
        <v>44</v>
      </c>
      <c r="E4635" s="56" t="n">
        <v>24.7</v>
      </c>
      <c r="F4635" s="56" t="n">
        <v>0</v>
      </c>
      <c r="G4635" s="56" t="n">
        <v>13.8</v>
      </c>
      <c r="H4635" s="56" t="n">
        <v>0</v>
      </c>
      <c r="I4635" s="56" t="n">
        <v>19.2</v>
      </c>
      <c r="J4635" s="56" t="n">
        <v>0</v>
      </c>
      <c r="K4635" s="56" t="n">
        <v>1019.3</v>
      </c>
      <c r="L4635" s="56" t="n">
        <v>0</v>
      </c>
      <c r="M4635" s="56" t="n">
        <v>72</v>
      </c>
      <c r="N4635" s="56" t="n">
        <v>5.5</v>
      </c>
      <c r="O4635" s="56" t="n">
        <f aca="false">IF(D4635=1,"",E4634)</f>
        <v>20.2</v>
      </c>
      <c r="P4635" s="56" t="n">
        <f aca="false">IF(OR(D4635=1,K4634=""),"",K4634)</f>
        <v>1021.1</v>
      </c>
      <c r="Q4635" s="56" t="n">
        <f aca="false">IF(OR(F4635&lt;&gt;0,AND(I4635&lt;&gt;"",E4635&lt;I4635)),1,0)</f>
        <v>0</v>
      </c>
      <c r="R4635" s="56" t="n">
        <f aca="false">IF(AND(D4635&gt;1,Q4635=0,ISNUMBER(O4635),ISNUMBER(P4635)),IF(Q4634=0,1,0),0)</f>
        <v>1</v>
      </c>
      <c r="S4635" s="56" t="n">
        <f aca="false">R4635*(B4635&gt;=Train_Start)*(B4635&lt;=Train_End)</f>
        <v>0</v>
      </c>
      <c r="T4635" s="84" t="n">
        <f aca="false">IF(AND(ISNUMBER(O4635),ISNUMBER(P4635)),Coef_A+Coef_B1*O4635+Coef_B2*P4635,"")</f>
        <v>20.6694265322239</v>
      </c>
      <c r="U4635" s="84" t="n">
        <f aca="false">IF(AND(R4635=1,ISNUMBER(T4635)),E4635-T4635,"")</f>
        <v>4.03057346777605</v>
      </c>
      <c r="V4635" s="84" t="n">
        <f aca="false">IF(ISNUMBER(T4635),T4635,-99)</f>
        <v>20.6694265322239</v>
      </c>
      <c r="W4635" s="84" t="n">
        <f aca="false">IF(ISNUMBER(U4635),ABS(U4635),"")</f>
        <v>4.03057346777605</v>
      </c>
    </row>
    <row r="4636" customFormat="false" ht="15" hidden="false" customHeight="false" outlineLevel="0" collapsed="false">
      <c r="A4636" s="57" t="n">
        <v>39978</v>
      </c>
      <c r="B4636" s="56" t="n">
        <v>2009</v>
      </c>
      <c r="C4636" s="56" t="n">
        <v>6</v>
      </c>
      <c r="D4636" s="56" t="n">
        <v>45</v>
      </c>
      <c r="E4636" s="56" t="n">
        <v>24</v>
      </c>
      <c r="F4636" s="56" t="n">
        <v>0</v>
      </c>
      <c r="G4636" s="56" t="n">
        <v>13.6</v>
      </c>
      <c r="H4636" s="56" t="n">
        <v>0</v>
      </c>
      <c r="I4636" s="56" t="n">
        <v>18.8</v>
      </c>
      <c r="J4636" s="56" t="n">
        <v>0</v>
      </c>
      <c r="K4636" s="56" t="n">
        <v>1018</v>
      </c>
      <c r="L4636" s="56" t="n">
        <v>0</v>
      </c>
      <c r="M4636" s="56" t="n">
        <v>60</v>
      </c>
      <c r="N4636" s="56" t="n">
        <v>11.5</v>
      </c>
      <c r="O4636" s="56" t="n">
        <f aca="false">IF(D4636=1,"",E4635)</f>
        <v>24.7</v>
      </c>
      <c r="P4636" s="56" t="n">
        <f aca="false">IF(OR(D4636=1,K4635=""),"",K4635)</f>
        <v>1019.3</v>
      </c>
      <c r="Q4636" s="56" t="n">
        <f aca="false">IF(OR(F4636&lt;&gt;0,AND(I4636&lt;&gt;"",E4636&lt;I4636)),1,0)</f>
        <v>0</v>
      </c>
      <c r="R4636" s="56" t="n">
        <f aca="false">IF(AND(D4636&gt;1,Q4636=0,ISNUMBER(O4636),ISNUMBER(P4636)),IF(Q4635=0,1,0),0)</f>
        <v>1</v>
      </c>
      <c r="S4636" s="56" t="n">
        <f aca="false">R4636*(B4636&gt;=Train_Start)*(B4636&lt;=Train_End)</f>
        <v>0</v>
      </c>
      <c r="T4636" s="84" t="n">
        <f aca="false">IF(AND(ISNUMBER(O4636),ISNUMBER(P4636)),Coef_A+Coef_B1*O4636+Coef_B2*P4636,"")</f>
        <v>24.2999870905747</v>
      </c>
      <c r="U4636" s="84" t="n">
        <f aca="false">IF(AND(R4636=1,ISNUMBER(T4636)),E4636-T4636,"")</f>
        <v>-0.299987090574724</v>
      </c>
      <c r="V4636" s="84" t="n">
        <f aca="false">IF(ISNUMBER(T4636),T4636,-99)</f>
        <v>24.2999870905747</v>
      </c>
      <c r="W4636" s="84" t="n">
        <f aca="false">IF(ISNUMBER(U4636),ABS(U4636),"")</f>
        <v>0.299987090574724</v>
      </c>
    </row>
    <row r="4637" customFormat="false" ht="15" hidden="false" customHeight="false" outlineLevel="0" collapsed="false">
      <c r="A4637" s="57" t="n">
        <v>39979</v>
      </c>
      <c r="B4637" s="56" t="n">
        <v>2009</v>
      </c>
      <c r="C4637" s="56" t="n">
        <v>6</v>
      </c>
      <c r="D4637" s="56" t="n">
        <v>46</v>
      </c>
      <c r="E4637" s="56" t="n">
        <v>24.6</v>
      </c>
      <c r="F4637" s="56" t="n">
        <v>0</v>
      </c>
      <c r="G4637" s="56" t="n">
        <v>13.9</v>
      </c>
      <c r="H4637" s="56" t="n">
        <v>0</v>
      </c>
      <c r="I4637" s="56" t="n">
        <v>19.2</v>
      </c>
      <c r="J4637" s="56" t="n">
        <v>0</v>
      </c>
      <c r="K4637" s="56" t="n">
        <v>1015.6</v>
      </c>
      <c r="L4637" s="56" t="n">
        <v>0</v>
      </c>
      <c r="M4637" s="56" t="n">
        <v>59</v>
      </c>
      <c r="N4637" s="56" t="n">
        <v>4.8</v>
      </c>
      <c r="O4637" s="56" t="n">
        <f aca="false">IF(D4637=1,"",E4636)</f>
        <v>24</v>
      </c>
      <c r="P4637" s="56" t="n">
        <f aca="false">IF(OR(D4637=1,K4636=""),"",K4636)</f>
        <v>1018</v>
      </c>
      <c r="Q4637" s="56" t="n">
        <f aca="false">IF(OR(F4637&lt;&gt;0,AND(I4637&lt;&gt;"",E4637&lt;I4637)),1,0)</f>
        <v>0</v>
      </c>
      <c r="R4637" s="56" t="n">
        <f aca="false">IF(AND(D4637&gt;1,Q4637=0,ISNUMBER(O4637),ISNUMBER(P4637)),IF(Q4636=0,1,0),0)</f>
        <v>1</v>
      </c>
      <c r="S4637" s="56" t="n">
        <f aca="false">R4637*(B4637&gt;=Train_Start)*(B4637&lt;=Train_End)</f>
        <v>0</v>
      </c>
      <c r="T4637" s="84" t="n">
        <f aca="false">IF(AND(ISNUMBER(O4637),ISNUMBER(P4637)),Coef_A+Coef_B1*O4637+Coef_B2*P4637,"")</f>
        <v>23.6856687924207</v>
      </c>
      <c r="U4637" s="84" t="n">
        <f aca="false">IF(AND(R4637=1,ISNUMBER(T4637)),E4637-T4637,"")</f>
        <v>0.91433120757932</v>
      </c>
      <c r="V4637" s="84" t="n">
        <f aca="false">IF(ISNUMBER(T4637),T4637,-99)</f>
        <v>23.6856687924207</v>
      </c>
      <c r="W4637" s="84" t="n">
        <f aca="false">IF(ISNUMBER(U4637),ABS(U4637),"")</f>
        <v>0.91433120757932</v>
      </c>
    </row>
    <row r="4638" customFormat="false" ht="15" hidden="false" customHeight="false" outlineLevel="0" collapsed="false">
      <c r="A4638" s="57" t="n">
        <v>39980</v>
      </c>
      <c r="B4638" s="56" t="n">
        <v>2009</v>
      </c>
      <c r="C4638" s="56" t="n">
        <v>6</v>
      </c>
      <c r="D4638" s="56" t="n">
        <v>47</v>
      </c>
      <c r="E4638" s="56" t="n">
        <v>23.8</v>
      </c>
      <c r="F4638" s="56" t="n">
        <v>0</v>
      </c>
      <c r="G4638" s="56" t="n">
        <v>10.5</v>
      </c>
      <c r="H4638" s="56" t="n">
        <v>0</v>
      </c>
      <c r="I4638" s="56" t="n">
        <v>17.2</v>
      </c>
      <c r="J4638" s="56" t="n">
        <v>0</v>
      </c>
      <c r="K4638" s="56" t="n">
        <v>1021.9</v>
      </c>
      <c r="L4638" s="56" t="n">
        <v>0</v>
      </c>
      <c r="M4638" s="56" t="n">
        <v>63</v>
      </c>
      <c r="N4638" s="56" t="n">
        <v>10.1</v>
      </c>
      <c r="O4638" s="56" t="n">
        <f aca="false">IF(D4638=1,"",E4637)</f>
        <v>24.6</v>
      </c>
      <c r="P4638" s="56" t="n">
        <f aca="false">IF(OR(D4638=1,K4637=""),"",K4637)</f>
        <v>1015.6</v>
      </c>
      <c r="Q4638" s="56" t="n">
        <f aca="false">IF(OR(F4638&lt;&gt;0,AND(I4638&lt;&gt;"",E4638&lt;I4638)),1,0)</f>
        <v>0</v>
      </c>
      <c r="R4638" s="56" t="n">
        <f aca="false">IF(AND(D4638&gt;1,Q4638=0,ISNUMBER(O4638),ISNUMBER(P4638)),IF(Q4637=0,1,0),0)</f>
        <v>1</v>
      </c>
      <c r="S4638" s="56" t="n">
        <f aca="false">R4638*(B4638&gt;=Train_Start)*(B4638&lt;=Train_End)</f>
        <v>0</v>
      </c>
      <c r="T4638" s="84" t="n">
        <f aca="false">IF(AND(ISNUMBER(O4638),ISNUMBER(P4638)),Coef_A+Coef_B1*O4638+Coef_B2*P4638,"")</f>
        <v>24.1019845611247</v>
      </c>
      <c r="U4638" s="84" t="n">
        <f aca="false">IF(AND(R4638=1,ISNUMBER(T4638)),E4638-T4638,"")</f>
        <v>-0.301984561124701</v>
      </c>
      <c r="V4638" s="84" t="n">
        <f aca="false">IF(ISNUMBER(T4638),T4638,-99)</f>
        <v>24.1019845611247</v>
      </c>
      <c r="W4638" s="84" t="n">
        <f aca="false">IF(ISNUMBER(U4638),ABS(U4638),"")</f>
        <v>0.301984561124701</v>
      </c>
    </row>
    <row r="4639" customFormat="false" ht="15" hidden="false" customHeight="false" outlineLevel="0" collapsed="false">
      <c r="A4639" s="57" t="n">
        <v>39981</v>
      </c>
      <c r="B4639" s="56" t="n">
        <v>2009</v>
      </c>
      <c r="C4639" s="56" t="n">
        <v>6</v>
      </c>
      <c r="D4639" s="56" t="n">
        <v>48</v>
      </c>
      <c r="E4639" s="56" t="n">
        <v>23.7</v>
      </c>
      <c r="F4639" s="56" t="n">
        <v>0</v>
      </c>
      <c r="G4639" s="56" t="n">
        <v>11.8</v>
      </c>
      <c r="H4639" s="56" t="n">
        <v>0</v>
      </c>
      <c r="I4639" s="56" t="n">
        <v>17.8</v>
      </c>
      <c r="J4639" s="56" t="n">
        <v>0</v>
      </c>
      <c r="K4639" s="56" t="n">
        <v>1017.8</v>
      </c>
      <c r="L4639" s="56" t="n">
        <v>0</v>
      </c>
      <c r="M4639" s="56" t="n">
        <v>70</v>
      </c>
      <c r="N4639" s="56" t="n">
        <v>2.2</v>
      </c>
      <c r="O4639" s="56" t="n">
        <f aca="false">IF(D4639=1,"",E4638)</f>
        <v>23.8</v>
      </c>
      <c r="P4639" s="56" t="n">
        <f aca="false">IF(OR(D4639=1,K4638=""),"",K4638)</f>
        <v>1021.9</v>
      </c>
      <c r="Q4639" s="56" t="n">
        <f aca="false">IF(OR(F4639&lt;&gt;0,AND(I4639&lt;&gt;"",E4639&lt;I4639)),1,0)</f>
        <v>0</v>
      </c>
      <c r="R4639" s="56" t="n">
        <f aca="false">IF(AND(D4639&gt;1,Q4639=0,ISNUMBER(O4639),ISNUMBER(P4639)),IF(Q4638=0,1,0),0)</f>
        <v>1</v>
      </c>
      <c r="S4639" s="56" t="n">
        <f aca="false">R4639*(B4639&gt;=Train_Start)*(B4639&lt;=Train_End)</f>
        <v>0</v>
      </c>
      <c r="T4639" s="84" t="n">
        <f aca="false">IF(AND(ISNUMBER(O4639),ISNUMBER(P4639)),Coef_A+Coef_B1*O4639+Coef_B2*P4639,"")</f>
        <v>23.6441435428847</v>
      </c>
      <c r="U4639" s="84" t="n">
        <f aca="false">IF(AND(R4639=1,ISNUMBER(T4639)),E4639-T4639,"")</f>
        <v>0.0558564571152935</v>
      </c>
      <c r="V4639" s="84" t="n">
        <f aca="false">IF(ISNUMBER(T4639),T4639,-99)</f>
        <v>23.6441435428847</v>
      </c>
      <c r="W4639" s="84" t="n">
        <f aca="false">IF(ISNUMBER(U4639),ABS(U4639),"")</f>
        <v>0.0558564571152935</v>
      </c>
    </row>
    <row r="4640" customFormat="false" ht="15" hidden="false" customHeight="false" outlineLevel="0" collapsed="false">
      <c r="A4640" s="57" t="n">
        <v>39982</v>
      </c>
      <c r="B4640" s="56" t="n">
        <v>2009</v>
      </c>
      <c r="C4640" s="56" t="n">
        <v>6</v>
      </c>
      <c r="D4640" s="56" t="n">
        <v>49</v>
      </c>
      <c r="E4640" s="56" t="n">
        <v>19.8</v>
      </c>
      <c r="F4640" s="56" t="n">
        <v>0</v>
      </c>
      <c r="G4640" s="56" t="n">
        <v>10.8</v>
      </c>
      <c r="H4640" s="56" t="n">
        <v>0</v>
      </c>
      <c r="I4640" s="56" t="n">
        <v>15.3</v>
      </c>
      <c r="J4640" s="56" t="n">
        <v>0</v>
      </c>
      <c r="K4640" s="56" t="n">
        <v>1017.9</v>
      </c>
      <c r="L4640" s="56" t="n">
        <v>0</v>
      </c>
      <c r="M4640" s="56" t="n">
        <v>66</v>
      </c>
      <c r="N4640" s="56" t="n">
        <v>3.7</v>
      </c>
      <c r="O4640" s="56" t="n">
        <f aca="false">IF(D4640=1,"",E4639)</f>
        <v>23.7</v>
      </c>
      <c r="P4640" s="56" t="n">
        <f aca="false">IF(OR(D4640=1,K4639=""),"",K4639)</f>
        <v>1017.8</v>
      </c>
      <c r="Q4640" s="56" t="n">
        <f aca="false">IF(OR(F4640&lt;&gt;0,AND(I4640&lt;&gt;"",E4640&lt;I4640)),1,0)</f>
        <v>0</v>
      </c>
      <c r="R4640" s="56" t="n">
        <f aca="false">IF(AND(D4640&gt;1,Q4640=0,ISNUMBER(O4640),ISNUMBER(P4640)),IF(Q4639=0,1,0),0)</f>
        <v>1</v>
      </c>
      <c r="S4640" s="56" t="n">
        <f aca="false">R4640*(B4640&gt;=Train_Start)*(B4640&lt;=Train_End)</f>
        <v>0</v>
      </c>
      <c r="T4640" s="84" t="n">
        <f aca="false">IF(AND(ISNUMBER(O4640),ISNUMBER(P4640)),Coef_A+Coef_B1*O4640+Coef_B2*P4640,"")</f>
        <v>23.4335930555811</v>
      </c>
      <c r="U4640" s="84" t="n">
        <f aca="false">IF(AND(R4640=1,ISNUMBER(T4640)),E4640-T4640,"")</f>
        <v>-3.63359305558108</v>
      </c>
      <c r="V4640" s="84" t="n">
        <f aca="false">IF(ISNUMBER(T4640),T4640,-99)</f>
        <v>23.4335930555811</v>
      </c>
      <c r="W4640" s="84" t="n">
        <f aca="false">IF(ISNUMBER(U4640),ABS(U4640),"")</f>
        <v>3.63359305558108</v>
      </c>
    </row>
    <row r="4641" customFormat="false" ht="15" hidden="false" customHeight="false" outlineLevel="0" collapsed="false">
      <c r="A4641" s="57" t="n">
        <v>39983</v>
      </c>
      <c r="B4641" s="56" t="n">
        <v>2009</v>
      </c>
      <c r="C4641" s="56" t="n">
        <v>6</v>
      </c>
      <c r="D4641" s="56" t="n">
        <v>50</v>
      </c>
      <c r="E4641" s="56" t="n">
        <v>19.8</v>
      </c>
      <c r="F4641" s="56" t="n">
        <v>0</v>
      </c>
      <c r="G4641" s="56" t="n">
        <v>10.3</v>
      </c>
      <c r="H4641" s="56" t="n">
        <v>0</v>
      </c>
      <c r="I4641" s="56" t="n">
        <v>15</v>
      </c>
      <c r="J4641" s="56" t="n">
        <v>0</v>
      </c>
      <c r="K4641" s="56" t="n">
        <v>1020.9</v>
      </c>
      <c r="L4641" s="56" t="n">
        <v>0</v>
      </c>
      <c r="M4641" s="56" t="n">
        <v>60</v>
      </c>
      <c r="N4641" s="56" t="n">
        <v>6.1</v>
      </c>
      <c r="O4641" s="56" t="n">
        <f aca="false">IF(D4641=1,"",E4640)</f>
        <v>19.8</v>
      </c>
      <c r="P4641" s="56" t="n">
        <f aca="false">IF(OR(D4641=1,K4640=""),"",K4640)</f>
        <v>1017.9</v>
      </c>
      <c r="Q4641" s="56" t="n">
        <f aca="false">IF(OR(F4641&lt;&gt;0,AND(I4641&lt;&gt;"",E4641&lt;I4641)),1,0)</f>
        <v>0</v>
      </c>
      <c r="R4641" s="56" t="n">
        <f aca="false">IF(AND(D4641&gt;1,Q4641=0,ISNUMBER(O4641),ISNUMBER(P4641)),IF(Q4640=0,1,0),0)</f>
        <v>1</v>
      </c>
      <c r="S4641" s="56" t="n">
        <f aca="false">R4641*(B4641&gt;=Train_Start)*(B4641&lt;=Train_End)</f>
        <v>0</v>
      </c>
      <c r="T4641" s="84" t="n">
        <f aca="false">IF(AND(ISNUMBER(O4641),ISNUMBER(P4641)),Coef_A+Coef_B1*O4641+Coef_B2*P4641,"")</f>
        <v>20.2413071921781</v>
      </c>
      <c r="U4641" s="84" t="n">
        <f aca="false">IF(AND(R4641=1,ISNUMBER(T4641)),E4641-T4641,"")</f>
        <v>-0.441307192178122</v>
      </c>
      <c r="V4641" s="84" t="n">
        <f aca="false">IF(ISNUMBER(T4641),T4641,-99)</f>
        <v>20.2413071921781</v>
      </c>
      <c r="W4641" s="84" t="n">
        <f aca="false">IF(ISNUMBER(U4641),ABS(U4641),"")</f>
        <v>0.441307192178122</v>
      </c>
    </row>
    <row r="4642" customFormat="false" ht="15" hidden="false" customHeight="false" outlineLevel="0" collapsed="false">
      <c r="A4642" s="57" t="n">
        <v>39984</v>
      </c>
      <c r="B4642" s="56" t="n">
        <v>2009</v>
      </c>
      <c r="C4642" s="56" t="n">
        <v>6</v>
      </c>
      <c r="D4642" s="56" t="n">
        <v>51</v>
      </c>
      <c r="E4642" s="56" t="n">
        <v>19.7</v>
      </c>
      <c r="F4642" s="56" t="n">
        <v>0</v>
      </c>
      <c r="G4642" s="56" t="n">
        <v>11.3</v>
      </c>
      <c r="H4642" s="56" t="n">
        <v>0</v>
      </c>
      <c r="I4642" s="56" t="n">
        <v>15.5</v>
      </c>
      <c r="J4642" s="56" t="n">
        <v>0</v>
      </c>
      <c r="K4642" s="56" t="n">
        <v>1023.8</v>
      </c>
      <c r="L4642" s="56" t="n">
        <v>0</v>
      </c>
      <c r="M4642" s="56" t="n">
        <v>70</v>
      </c>
      <c r="N4642" s="56" t="n">
        <v>2.7</v>
      </c>
      <c r="O4642" s="56" t="n">
        <f aca="false">IF(D4642=1,"",E4641)</f>
        <v>19.8</v>
      </c>
      <c r="P4642" s="56" t="n">
        <f aca="false">IF(OR(D4642=1,K4641=""),"",K4641)</f>
        <v>1020.9</v>
      </c>
      <c r="Q4642" s="56" t="n">
        <f aca="false">IF(OR(F4642&lt;&gt;0,AND(I4642&lt;&gt;"",E4642&lt;I4642)),1,0)</f>
        <v>0</v>
      </c>
      <c r="R4642" s="56" t="n">
        <f aca="false">IF(AND(D4642&gt;1,Q4642=0,ISNUMBER(O4642),ISNUMBER(P4642)),IF(Q4641=0,1,0),0)</f>
        <v>1</v>
      </c>
      <c r="S4642" s="56" t="n">
        <f aca="false">R4642*(B4642&gt;=Train_Start)*(B4642&lt;=Train_End)</f>
        <v>0</v>
      </c>
      <c r="T4642" s="84" t="n">
        <f aca="false">IF(AND(ISNUMBER(O4642),ISNUMBER(P4642)),Coef_A+Coef_B1*O4642+Coef_B2*P4642,"")</f>
        <v>20.3354168760801</v>
      </c>
      <c r="U4642" s="84" t="n">
        <f aca="false">IF(AND(R4642=1,ISNUMBER(T4642)),E4642-T4642,"")</f>
        <v>-0.63541687608009</v>
      </c>
      <c r="V4642" s="84" t="n">
        <f aca="false">IF(ISNUMBER(T4642),T4642,-99)</f>
        <v>20.3354168760801</v>
      </c>
      <c r="W4642" s="84" t="n">
        <f aca="false">IF(ISNUMBER(U4642),ABS(U4642),"")</f>
        <v>0.63541687608009</v>
      </c>
    </row>
    <row r="4643" customFormat="false" ht="15" hidden="false" customHeight="false" outlineLevel="0" collapsed="false">
      <c r="A4643" s="57" t="n">
        <v>39985</v>
      </c>
      <c r="B4643" s="56" t="n">
        <v>2009</v>
      </c>
      <c r="C4643" s="56" t="n">
        <v>6</v>
      </c>
      <c r="D4643" s="56" t="n">
        <v>52</v>
      </c>
      <c r="E4643" s="56" t="n">
        <v>21.2</v>
      </c>
      <c r="F4643" s="56" t="n">
        <v>0</v>
      </c>
      <c r="G4643" s="56" t="n">
        <v>11.3</v>
      </c>
      <c r="H4643" s="56" t="n">
        <v>0</v>
      </c>
      <c r="I4643" s="56" t="n">
        <v>16.2</v>
      </c>
      <c r="J4643" s="56" t="n">
        <v>0</v>
      </c>
      <c r="K4643" s="56" t="n">
        <v>1024.6</v>
      </c>
      <c r="L4643" s="56" t="n">
        <v>0</v>
      </c>
      <c r="M4643" s="56" t="n">
        <v>65</v>
      </c>
      <c r="N4643" s="56" t="n">
        <v>8.3</v>
      </c>
      <c r="O4643" s="56" t="n">
        <f aca="false">IF(D4643=1,"",E4642)</f>
        <v>19.7</v>
      </c>
      <c r="P4643" s="56" t="n">
        <f aca="false">IF(OR(D4643=1,K4642=""),"",K4642)</f>
        <v>1023.8</v>
      </c>
      <c r="Q4643" s="56" t="n">
        <f aca="false">IF(OR(F4643&lt;&gt;0,AND(I4643&lt;&gt;"",E4643&lt;I4643)),1,0)</f>
        <v>0</v>
      </c>
      <c r="R4643" s="56" t="n">
        <f aca="false">IF(AND(D4643&gt;1,Q4643=0,ISNUMBER(O4643),ISNUMBER(P4643)),IF(Q4642=0,1,0),0)</f>
        <v>1</v>
      </c>
      <c r="S4643" s="56" t="n">
        <f aca="false">R4643*(B4643&gt;=Train_Start)*(B4643&lt;=Train_End)</f>
        <v>0</v>
      </c>
      <c r="T4643" s="84" t="n">
        <f aca="false">IF(AND(ISNUMBER(O4643),ISNUMBER(P4643)),Coef_A+Coef_B1*O4643+Coef_B2*P4643,"")</f>
        <v>20.3444556512144</v>
      </c>
      <c r="U4643" s="84" t="n">
        <f aca="false">IF(AND(R4643=1,ISNUMBER(T4643)),E4643-T4643,"")</f>
        <v>0.85554434878561</v>
      </c>
      <c r="V4643" s="84" t="n">
        <f aca="false">IF(ISNUMBER(T4643),T4643,-99)</f>
        <v>20.3444556512144</v>
      </c>
      <c r="W4643" s="84" t="n">
        <f aca="false">IF(ISNUMBER(U4643),ABS(U4643),"")</f>
        <v>0.85554434878561</v>
      </c>
    </row>
    <row r="4644" customFormat="false" ht="15" hidden="false" customHeight="false" outlineLevel="0" collapsed="false">
      <c r="A4644" s="57" t="n">
        <v>39986</v>
      </c>
      <c r="B4644" s="56" t="n">
        <v>2009</v>
      </c>
      <c r="C4644" s="56" t="n">
        <v>6</v>
      </c>
      <c r="D4644" s="56" t="n">
        <v>53</v>
      </c>
      <c r="E4644" s="56" t="n">
        <v>22.7</v>
      </c>
      <c r="F4644" s="56" t="n">
        <v>0</v>
      </c>
      <c r="G4644" s="56" t="n">
        <v>12.9</v>
      </c>
      <c r="H4644" s="56" t="n">
        <v>0</v>
      </c>
      <c r="I4644" s="56" t="n">
        <v>17.8</v>
      </c>
      <c r="J4644" s="56" t="n">
        <v>0</v>
      </c>
      <c r="K4644" s="56" t="n">
        <v>1027.2</v>
      </c>
      <c r="L4644" s="56" t="n">
        <v>0</v>
      </c>
      <c r="M4644" s="56" t="n">
        <v>66</v>
      </c>
      <c r="N4644" s="56" t="n">
        <v>4</v>
      </c>
      <c r="O4644" s="56" t="n">
        <f aca="false">IF(D4644=1,"",E4643)</f>
        <v>21.2</v>
      </c>
      <c r="P4644" s="56" t="n">
        <f aca="false">IF(OR(D4644=1,K4643=""),"",K4643)</f>
        <v>1024.6</v>
      </c>
      <c r="Q4644" s="56" t="n">
        <f aca="false">IF(OR(F4644&lt;&gt;0,AND(I4644&lt;&gt;"",E4644&lt;I4644)),1,0)</f>
        <v>0</v>
      </c>
      <c r="R4644" s="56" t="n">
        <f aca="false">IF(AND(D4644&gt;1,Q4644=0,ISNUMBER(O4644),ISNUMBER(P4644)),IF(Q4643=0,1,0),0)</f>
        <v>1</v>
      </c>
      <c r="S4644" s="56" t="n">
        <f aca="false">R4644*(B4644&gt;=Train_Start)*(B4644&lt;=Train_End)</f>
        <v>0</v>
      </c>
      <c r="T4644" s="84" t="n">
        <f aca="false">IF(AND(ISNUMBER(O4644),ISNUMBER(P4644)),Coef_A+Coef_B1*O4644+Coef_B2*P4644,"")</f>
        <v>21.5985603564856</v>
      </c>
      <c r="U4644" s="84" t="n">
        <f aca="false">IF(AND(R4644=1,ISNUMBER(T4644)),E4644-T4644,"")</f>
        <v>1.10143964351443</v>
      </c>
      <c r="V4644" s="84" t="n">
        <f aca="false">IF(ISNUMBER(T4644),T4644,-99)</f>
        <v>21.5985603564856</v>
      </c>
      <c r="W4644" s="84" t="n">
        <f aca="false">IF(ISNUMBER(U4644),ABS(U4644),"")</f>
        <v>1.10143964351443</v>
      </c>
    </row>
    <row r="4645" customFormat="false" ht="15" hidden="false" customHeight="false" outlineLevel="0" collapsed="false">
      <c r="A4645" s="57" t="n">
        <v>39987</v>
      </c>
      <c r="B4645" s="56" t="n">
        <v>2009</v>
      </c>
      <c r="C4645" s="56" t="n">
        <v>6</v>
      </c>
      <c r="D4645" s="56" t="n">
        <v>54</v>
      </c>
      <c r="E4645" s="56" t="n">
        <v>24.7</v>
      </c>
      <c r="F4645" s="56" t="n">
        <v>0</v>
      </c>
      <c r="G4645" s="56" t="n">
        <v>13.6</v>
      </c>
      <c r="H4645" s="56" t="n">
        <v>0</v>
      </c>
      <c r="I4645" s="56" t="n">
        <v>19.2</v>
      </c>
      <c r="J4645" s="56" t="n">
        <v>0</v>
      </c>
      <c r="K4645" s="56" t="n">
        <v>1027.9</v>
      </c>
      <c r="L4645" s="56" t="n">
        <v>0</v>
      </c>
      <c r="M4645" s="56" t="n">
        <v>48</v>
      </c>
      <c r="N4645" s="56" t="n">
        <v>11.5</v>
      </c>
      <c r="O4645" s="56" t="n">
        <f aca="false">IF(D4645=1,"",E4644)</f>
        <v>22.7</v>
      </c>
      <c r="P4645" s="56" t="n">
        <f aca="false">IF(OR(D4645=1,K4644=""),"",K4644)</f>
        <v>1027.2</v>
      </c>
      <c r="Q4645" s="56" t="n">
        <f aca="false">IF(OR(F4645&lt;&gt;0,AND(I4645&lt;&gt;"",E4645&lt;I4645)),1,0)</f>
        <v>0</v>
      </c>
      <c r="R4645" s="56" t="n">
        <f aca="false">IF(AND(D4645&gt;1,Q4645=0,ISNUMBER(O4645),ISNUMBER(P4645)),IF(Q4644=0,1,0),0)</f>
        <v>1</v>
      </c>
      <c r="S4645" s="56" t="n">
        <f aca="false">R4645*(B4645&gt;=Train_Start)*(B4645&lt;=Train_End)</f>
        <v>0</v>
      </c>
      <c r="T4645" s="84" t="n">
        <f aca="false">IF(AND(ISNUMBER(O4645),ISNUMBER(P4645)),Coef_A+Coef_B1*O4645+Coef_B2*P4645,"")</f>
        <v>22.9091308720979</v>
      </c>
      <c r="U4645" s="84" t="n">
        <f aca="false">IF(AND(R4645=1,ISNUMBER(T4645)),E4645-T4645,"")</f>
        <v>1.79086912790207</v>
      </c>
      <c r="V4645" s="84" t="n">
        <f aca="false">IF(ISNUMBER(T4645),T4645,-99)</f>
        <v>22.9091308720979</v>
      </c>
      <c r="W4645" s="84" t="n">
        <f aca="false">IF(ISNUMBER(U4645),ABS(U4645),"")</f>
        <v>1.79086912790207</v>
      </c>
    </row>
    <row r="4646" customFormat="false" ht="15" hidden="false" customHeight="false" outlineLevel="0" collapsed="false">
      <c r="A4646" s="57" t="n">
        <v>39988</v>
      </c>
      <c r="B4646" s="56" t="n">
        <v>2009</v>
      </c>
      <c r="C4646" s="56" t="n">
        <v>6</v>
      </c>
      <c r="D4646" s="56" t="n">
        <v>55</v>
      </c>
      <c r="E4646" s="56" t="n">
        <v>25.2</v>
      </c>
      <c r="F4646" s="56" t="n">
        <v>0</v>
      </c>
      <c r="G4646" s="56" t="n">
        <v>11.7</v>
      </c>
      <c r="H4646" s="56" t="n">
        <v>0</v>
      </c>
      <c r="I4646" s="56" t="n">
        <v>18.4</v>
      </c>
      <c r="J4646" s="56" t="n">
        <v>0</v>
      </c>
      <c r="K4646" s="56" t="n">
        <v>1021.7</v>
      </c>
      <c r="L4646" s="56" t="n">
        <v>0</v>
      </c>
      <c r="M4646" s="56" t="n">
        <v>57</v>
      </c>
      <c r="N4646" s="56" t="n">
        <v>12.4</v>
      </c>
      <c r="O4646" s="56" t="n">
        <f aca="false">IF(D4646=1,"",E4645)</f>
        <v>24.7</v>
      </c>
      <c r="P4646" s="56" t="n">
        <f aca="false">IF(OR(D4646=1,K4645=""),"",K4645)</f>
        <v>1027.9</v>
      </c>
      <c r="Q4646" s="56" t="n">
        <f aca="false">IF(OR(F4646&lt;&gt;0,AND(I4646&lt;&gt;"",E4646&lt;I4646)),1,0)</f>
        <v>0</v>
      </c>
      <c r="R4646" s="56" t="n">
        <f aca="false">IF(AND(D4646&gt;1,Q4646=0,ISNUMBER(O4646),ISNUMBER(P4646)),IF(Q4645=0,1,0),0)</f>
        <v>1</v>
      </c>
      <c r="S4646" s="56" t="n">
        <f aca="false">R4646*(B4646&gt;=Train_Start)*(B4646&lt;=Train_End)</f>
        <v>0</v>
      </c>
      <c r="T4646" s="84" t="n">
        <f aca="false">IF(AND(ISNUMBER(O4646),ISNUMBER(P4646)),Coef_A+Coef_B1*O4646+Coef_B2*P4646,"")</f>
        <v>24.569768184427</v>
      </c>
      <c r="U4646" s="84" t="n">
        <f aca="false">IF(AND(R4646=1,ISNUMBER(T4646)),E4646-T4646,"")</f>
        <v>0.630231815572962</v>
      </c>
      <c r="V4646" s="84" t="n">
        <f aca="false">IF(ISNUMBER(T4646),T4646,-99)</f>
        <v>24.569768184427</v>
      </c>
      <c r="W4646" s="84" t="n">
        <f aca="false">IF(ISNUMBER(U4646),ABS(U4646),"")</f>
        <v>0.630231815572962</v>
      </c>
    </row>
    <row r="4647" customFormat="false" ht="15" hidden="false" customHeight="false" outlineLevel="0" collapsed="false">
      <c r="A4647" s="57" t="n">
        <v>39989</v>
      </c>
      <c r="B4647" s="56" t="n">
        <v>2009</v>
      </c>
      <c r="C4647" s="56" t="n">
        <v>6</v>
      </c>
      <c r="D4647" s="56" t="n">
        <v>56</v>
      </c>
      <c r="E4647" s="56" t="n">
        <v>28</v>
      </c>
      <c r="F4647" s="56" t="n">
        <v>0</v>
      </c>
      <c r="G4647" s="56" t="n">
        <v>13.4</v>
      </c>
      <c r="H4647" s="56" t="n">
        <v>0</v>
      </c>
      <c r="I4647" s="56" t="n">
        <v>20.7</v>
      </c>
      <c r="J4647" s="56" t="n">
        <v>0</v>
      </c>
      <c r="K4647" s="56" t="n">
        <v>1014.1</v>
      </c>
      <c r="L4647" s="56" t="n">
        <v>0</v>
      </c>
      <c r="M4647" s="56" t="n">
        <v>64</v>
      </c>
      <c r="N4647" s="56" t="n">
        <v>6.4</v>
      </c>
      <c r="O4647" s="56" t="n">
        <f aca="false">IF(D4647=1,"",E4646)</f>
        <v>25.2</v>
      </c>
      <c r="P4647" s="56" t="n">
        <f aca="false">IF(OR(D4647=1,K4646=""),"",K4646)</f>
        <v>1021.7</v>
      </c>
      <c r="Q4647" s="56" t="n">
        <f aca="false">IF(OR(F4647&lt;&gt;0,AND(I4647&lt;&gt;"",E4647&lt;I4647)),1,0)</f>
        <v>0</v>
      </c>
      <c r="R4647" s="56" t="n">
        <f aca="false">IF(AND(D4647&gt;1,Q4647=0,ISNUMBER(O4647),ISNUMBER(P4647)),IF(Q4646=0,1,0),0)</f>
        <v>1</v>
      </c>
      <c r="S4647" s="56" t="n">
        <f aca="false">R4647*(B4647&gt;=Train_Start)*(B4647&lt;=Train_End)</f>
        <v>0</v>
      </c>
      <c r="T4647" s="84" t="n">
        <f aca="false">IF(AND(ISNUMBER(O4647),ISNUMBER(P4647)),Coef_A+Coef_B1*O4647+Coef_B2*P4647,"")</f>
        <v>24.7849444342176</v>
      </c>
      <c r="U4647" s="84" t="n">
        <f aca="false">IF(AND(R4647=1,ISNUMBER(T4647)),E4647-T4647,"")</f>
        <v>3.21505556578236</v>
      </c>
      <c r="V4647" s="84" t="n">
        <f aca="false">IF(ISNUMBER(T4647),T4647,-99)</f>
        <v>24.7849444342176</v>
      </c>
      <c r="W4647" s="84" t="n">
        <f aca="false">IF(ISNUMBER(U4647),ABS(U4647),"")</f>
        <v>3.21505556578236</v>
      </c>
    </row>
    <row r="4648" customFormat="false" ht="15" hidden="false" customHeight="false" outlineLevel="0" collapsed="false">
      <c r="A4648" s="57" t="n">
        <v>39990</v>
      </c>
      <c r="B4648" s="56" t="n">
        <v>2009</v>
      </c>
      <c r="C4648" s="56" t="n">
        <v>6</v>
      </c>
      <c r="D4648" s="56" t="n">
        <v>57</v>
      </c>
      <c r="E4648" s="56" t="n">
        <v>24</v>
      </c>
      <c r="F4648" s="56" t="n">
        <v>0</v>
      </c>
      <c r="G4648" s="56" t="n">
        <v>15.8</v>
      </c>
      <c r="H4648" s="56" t="n">
        <v>0</v>
      </c>
      <c r="I4648" s="56" t="n">
        <v>19.9</v>
      </c>
      <c r="J4648" s="56" t="n">
        <v>0</v>
      </c>
      <c r="K4648" s="56" t="n">
        <v>1012.1</v>
      </c>
      <c r="L4648" s="56" t="n">
        <v>0</v>
      </c>
      <c r="M4648" s="56" t="n">
        <v>74</v>
      </c>
      <c r="N4648" s="56" t="n">
        <v>3.4</v>
      </c>
      <c r="O4648" s="56" t="n">
        <f aca="false">IF(D4648=1,"",E4647)</f>
        <v>28</v>
      </c>
      <c r="P4648" s="56" t="n">
        <f aca="false">IF(OR(D4648=1,K4647=""),"",K4647)</f>
        <v>1014.1</v>
      </c>
      <c r="Q4648" s="56" t="n">
        <f aca="false">IF(OR(F4648&lt;&gt;0,AND(I4648&lt;&gt;"",E4648&lt;I4648)),1,0)</f>
        <v>0</v>
      </c>
      <c r="R4648" s="56" t="n">
        <f aca="false">IF(AND(D4648&gt;1,Q4648=0,ISNUMBER(O4648),ISNUMBER(P4648)),IF(Q4647=0,1,0),0)</f>
        <v>1</v>
      </c>
      <c r="S4648" s="56" t="n">
        <f aca="false">R4648*(B4648&gt;=Train_Start)*(B4648&lt;=Train_End)</f>
        <v>0</v>
      </c>
      <c r="T4648" s="84" t="n">
        <f aca="false">IF(AND(ISNUMBER(O4648),ISNUMBER(P4648)),Coef_A+Coef_B1*O4648+Coef_B2*P4648,"")</f>
        <v>26.8406829755188</v>
      </c>
      <c r="U4648" s="84" t="n">
        <f aca="false">IF(AND(R4648=1,ISNUMBER(T4648)),E4648-T4648,"")</f>
        <v>-2.84068297551875</v>
      </c>
      <c r="V4648" s="84" t="n">
        <f aca="false">IF(ISNUMBER(T4648),T4648,-99)</f>
        <v>26.8406829755188</v>
      </c>
      <c r="W4648" s="84" t="n">
        <f aca="false">IF(ISNUMBER(U4648),ABS(U4648),"")</f>
        <v>2.84068297551875</v>
      </c>
    </row>
    <row r="4649" customFormat="false" ht="15" hidden="false" customHeight="false" outlineLevel="0" collapsed="false">
      <c r="A4649" s="57" t="n">
        <v>39991</v>
      </c>
      <c r="B4649" s="56" t="n">
        <v>2009</v>
      </c>
      <c r="C4649" s="56" t="n">
        <v>6</v>
      </c>
      <c r="D4649" s="56" t="n">
        <v>58</v>
      </c>
      <c r="E4649" s="56" t="n">
        <v>27.3</v>
      </c>
      <c r="F4649" s="56" t="n">
        <v>0</v>
      </c>
      <c r="G4649" s="56" t="n">
        <v>14.7</v>
      </c>
      <c r="H4649" s="56" t="n">
        <v>0</v>
      </c>
      <c r="I4649" s="56" t="n">
        <v>21</v>
      </c>
      <c r="J4649" s="56" t="n">
        <v>0</v>
      </c>
      <c r="K4649" s="56" t="n">
        <v>1015.3</v>
      </c>
      <c r="L4649" s="56" t="n">
        <v>0</v>
      </c>
      <c r="M4649" s="56" t="n">
        <v>72</v>
      </c>
      <c r="N4649" s="56" t="n">
        <v>8.2</v>
      </c>
      <c r="O4649" s="56" t="n">
        <f aca="false">IF(D4649=1,"",E4648)</f>
        <v>24</v>
      </c>
      <c r="P4649" s="56" t="n">
        <f aca="false">IF(OR(D4649=1,K4648=""),"",K4648)</f>
        <v>1012.1</v>
      </c>
      <c r="Q4649" s="56" t="n">
        <f aca="false">IF(OR(F4649&lt;&gt;0,AND(I4649&lt;&gt;"",E4649&lt;I4649)),1,0)</f>
        <v>0</v>
      </c>
      <c r="R4649" s="56" t="n">
        <f aca="false">IF(AND(D4649&gt;1,Q4649=0,ISNUMBER(O4649),ISNUMBER(P4649)),IF(Q4648=0,1,0),0)</f>
        <v>1</v>
      </c>
      <c r="S4649" s="56" t="n">
        <f aca="false">R4649*(B4649&gt;=Train_Start)*(B4649&lt;=Train_End)</f>
        <v>0</v>
      </c>
      <c r="T4649" s="84" t="n">
        <f aca="false">IF(AND(ISNUMBER(O4649),ISNUMBER(P4649)),Coef_A+Coef_B1*O4649+Coef_B2*P4649,"")</f>
        <v>23.5005864140801</v>
      </c>
      <c r="U4649" s="84" t="n">
        <f aca="false">IF(AND(R4649=1,ISNUMBER(T4649)),E4649-T4649,"")</f>
        <v>3.79941358591986</v>
      </c>
      <c r="V4649" s="84" t="n">
        <f aca="false">IF(ISNUMBER(T4649),T4649,-99)</f>
        <v>23.5005864140801</v>
      </c>
      <c r="W4649" s="84" t="n">
        <f aca="false">IF(ISNUMBER(U4649),ABS(U4649),"")</f>
        <v>3.79941358591986</v>
      </c>
    </row>
    <row r="4650" customFormat="false" ht="15" hidden="false" customHeight="false" outlineLevel="0" collapsed="false">
      <c r="A4650" s="57" t="n">
        <v>39992</v>
      </c>
      <c r="B4650" s="56" t="n">
        <v>2009</v>
      </c>
      <c r="C4650" s="56" t="n">
        <v>6</v>
      </c>
      <c r="D4650" s="56" t="n">
        <v>59</v>
      </c>
      <c r="E4650" s="56" t="n">
        <v>27.6</v>
      </c>
      <c r="F4650" s="56" t="n">
        <v>0</v>
      </c>
      <c r="G4650" s="56" t="n">
        <v>14.8</v>
      </c>
      <c r="H4650" s="56" t="n">
        <v>0</v>
      </c>
      <c r="I4650" s="56" t="n">
        <v>21.2</v>
      </c>
      <c r="J4650" s="56" t="n">
        <v>0</v>
      </c>
      <c r="K4650" s="56" t="n">
        <v>1015.6</v>
      </c>
      <c r="L4650" s="56" t="n">
        <v>0</v>
      </c>
      <c r="M4650" s="56" t="n">
        <v>67</v>
      </c>
      <c r="N4650" s="56" t="n">
        <v>5.8</v>
      </c>
      <c r="O4650" s="56" t="n">
        <f aca="false">IF(D4650=1,"",E4649)</f>
        <v>27.3</v>
      </c>
      <c r="P4650" s="56" t="n">
        <f aca="false">IF(OR(D4650=1,K4649=""),"",K4649)</f>
        <v>1015.3</v>
      </c>
      <c r="Q4650" s="56" t="n">
        <f aca="false">IF(OR(F4650&lt;&gt;0,AND(I4650&lt;&gt;"",E4650&lt;I4650)),1,0)</f>
        <v>0</v>
      </c>
      <c r="R4650" s="56" t="n">
        <f aca="false">IF(AND(D4650&gt;1,Q4650=0,ISNUMBER(O4650),ISNUMBER(P4650)),IF(Q4649=0,1,0),0)</f>
        <v>1</v>
      </c>
      <c r="S4650" s="56" t="n">
        <f aca="false">R4650*(B4650&gt;=Train_Start)*(B4650&lt;=Train_End)</f>
        <v>0</v>
      </c>
      <c r="T4650" s="84" t="n">
        <f aca="false">IF(AND(ISNUMBER(O4650),ISNUMBER(P4650)),Coef_A+Coef_B1*O4650+Coef_B2*P4650,"")</f>
        <v>26.3047894139497</v>
      </c>
      <c r="U4650" s="84" t="n">
        <f aca="false">IF(AND(R4650=1,ISNUMBER(T4650)),E4650-T4650,"")</f>
        <v>1.29521058605032</v>
      </c>
      <c r="V4650" s="84" t="n">
        <f aca="false">IF(ISNUMBER(T4650),T4650,-99)</f>
        <v>26.3047894139497</v>
      </c>
      <c r="W4650" s="84" t="n">
        <f aca="false">IF(ISNUMBER(U4650),ABS(U4650),"")</f>
        <v>1.29521058605032</v>
      </c>
    </row>
    <row r="4651" customFormat="false" ht="15" hidden="false" customHeight="false" outlineLevel="0" collapsed="false">
      <c r="A4651" s="57" t="n">
        <v>39993</v>
      </c>
      <c r="B4651" s="56" t="n">
        <v>2009</v>
      </c>
      <c r="C4651" s="56" t="n">
        <v>6</v>
      </c>
      <c r="D4651" s="56" t="n">
        <v>60</v>
      </c>
      <c r="E4651" s="56" t="n">
        <v>30.8</v>
      </c>
      <c r="F4651" s="56" t="n">
        <v>0</v>
      </c>
      <c r="G4651" s="56" t="n">
        <v>17.7</v>
      </c>
      <c r="H4651" s="56" t="n">
        <v>0</v>
      </c>
      <c r="I4651" s="56" t="n">
        <v>24.2</v>
      </c>
      <c r="J4651" s="56" t="n">
        <v>0</v>
      </c>
      <c r="K4651" s="56" t="n">
        <v>1017.9</v>
      </c>
      <c r="L4651" s="56" t="n">
        <v>0</v>
      </c>
      <c r="M4651" s="56" t="n">
        <v>58</v>
      </c>
      <c r="N4651" s="56" t="n">
        <v>9.3</v>
      </c>
      <c r="O4651" s="56" t="n">
        <f aca="false">IF(D4651=1,"",E4650)</f>
        <v>27.6</v>
      </c>
      <c r="P4651" s="56" t="n">
        <f aca="false">IF(OR(D4651=1,K4650=""),"",K4650)</f>
        <v>1015.6</v>
      </c>
      <c r="Q4651" s="56" t="n">
        <f aca="false">IF(OR(F4651&lt;&gt;0,AND(I4651&lt;&gt;"",E4651&lt;I4651)),1,0)</f>
        <v>0</v>
      </c>
      <c r="R4651" s="56" t="n">
        <f aca="false">IF(AND(D4651&gt;1,Q4651=0,ISNUMBER(O4651),ISNUMBER(P4651)),IF(Q4650=0,1,0),0)</f>
        <v>1</v>
      </c>
      <c r="S4651" s="56" t="n">
        <f aca="false">R4651*(B4651&gt;=Train_Start)*(B4651&lt;=Train_End)</f>
        <v>0</v>
      </c>
      <c r="T4651" s="84" t="n">
        <f aca="false">IF(AND(ISNUMBER(O4651),ISNUMBER(P4651)),Coef_A+Coef_B1*O4651+Coef_B2*P4651,"")</f>
        <v>26.5600021402527</v>
      </c>
      <c r="U4651" s="84" t="n">
        <f aca="false">IF(AND(R4651=1,ISNUMBER(T4651)),E4651-T4651,"")</f>
        <v>4.23999785974732</v>
      </c>
      <c r="V4651" s="84" t="n">
        <f aca="false">IF(ISNUMBER(T4651),T4651,-99)</f>
        <v>26.5600021402527</v>
      </c>
      <c r="W4651" s="84" t="n">
        <f aca="false">IF(ISNUMBER(U4651),ABS(U4651),"")</f>
        <v>4.23999785974732</v>
      </c>
    </row>
    <row r="4652" customFormat="false" ht="15" hidden="false" customHeight="false" outlineLevel="0" collapsed="false">
      <c r="A4652" s="57" t="n">
        <v>39994</v>
      </c>
      <c r="B4652" s="56" t="n">
        <v>2009</v>
      </c>
      <c r="C4652" s="56" t="n">
        <v>6</v>
      </c>
      <c r="D4652" s="56" t="n">
        <v>61</v>
      </c>
      <c r="E4652" s="56" t="n">
        <v>30.9</v>
      </c>
      <c r="F4652" s="56" t="n">
        <v>0</v>
      </c>
      <c r="G4652" s="56" t="n">
        <v>17.1</v>
      </c>
      <c r="H4652" s="56" t="n">
        <v>0</v>
      </c>
      <c r="I4652" s="56" t="n">
        <v>24.2</v>
      </c>
      <c r="J4652" s="56" t="n">
        <v>0</v>
      </c>
      <c r="K4652" s="56" t="n">
        <v>1021.3</v>
      </c>
      <c r="L4652" s="56" t="n">
        <v>0</v>
      </c>
      <c r="M4652" s="56" t="n">
        <v>57</v>
      </c>
      <c r="N4652" s="56" t="n">
        <v>12.1</v>
      </c>
      <c r="O4652" s="56" t="n">
        <f aca="false">IF(D4652=1,"",E4651)</f>
        <v>30.8</v>
      </c>
      <c r="P4652" s="56" t="n">
        <f aca="false">IF(OR(D4652=1,K4651=""),"",K4651)</f>
        <v>1017.9</v>
      </c>
      <c r="Q4652" s="56" t="n">
        <f aca="false">IF(OR(F4652&lt;&gt;0,AND(I4652&lt;&gt;"",E4652&lt;I4652)),1,0)</f>
        <v>0</v>
      </c>
      <c r="R4652" s="56" t="n">
        <f aca="false">IF(AND(D4652&gt;1,Q4652=0,ISNUMBER(O4652),ISNUMBER(P4652)),IF(Q4651=0,1,0),0)</f>
        <v>1</v>
      </c>
      <c r="S4652" s="56" t="n">
        <f aca="false">R4652*(B4652&gt;=Train_Start)*(B4652&lt;=Train_End)</f>
        <v>0</v>
      </c>
      <c r="T4652" s="84" t="n">
        <f aca="false">IF(AND(ISNUMBER(O4652),ISNUMBER(P4652)),Coef_A+Coef_B1*O4652+Coef_B2*P4652,"")</f>
        <v>29.2540383156474</v>
      </c>
      <c r="U4652" s="84" t="n">
        <f aca="false">IF(AND(R4652=1,ISNUMBER(T4652)),E4652-T4652,"")</f>
        <v>1.64596168435264</v>
      </c>
      <c r="V4652" s="84" t="n">
        <f aca="false">IF(ISNUMBER(T4652),T4652,-99)</f>
        <v>29.2540383156474</v>
      </c>
      <c r="W4652" s="84" t="n">
        <f aca="false">IF(ISNUMBER(U4652),ABS(U4652),"")</f>
        <v>1.64596168435264</v>
      </c>
    </row>
    <row r="4653" customFormat="false" ht="15" hidden="false" customHeight="false" outlineLevel="0" collapsed="false">
      <c r="A4653" s="57" t="n">
        <v>39995</v>
      </c>
      <c r="B4653" s="56" t="n">
        <v>2009</v>
      </c>
      <c r="C4653" s="56" t="n">
        <v>7</v>
      </c>
      <c r="D4653" s="56" t="n">
        <v>62</v>
      </c>
      <c r="E4653" s="56" t="n">
        <v>30.6</v>
      </c>
      <c r="F4653" s="56" t="n">
        <v>0</v>
      </c>
      <c r="G4653" s="56" t="n">
        <v>17.1</v>
      </c>
      <c r="H4653" s="56" t="n">
        <v>0</v>
      </c>
      <c r="I4653" s="56" t="n">
        <v>24</v>
      </c>
      <c r="J4653" s="56" t="n">
        <v>0</v>
      </c>
      <c r="K4653" s="56" t="n">
        <v>1022.5</v>
      </c>
      <c r="L4653" s="56" t="n">
        <v>0</v>
      </c>
      <c r="M4653" s="56" t="n">
        <v>55</v>
      </c>
      <c r="N4653" s="56" t="n">
        <v>11.3</v>
      </c>
      <c r="O4653" s="56" t="n">
        <f aca="false">IF(D4653=1,"",E4652)</f>
        <v>30.9</v>
      </c>
      <c r="P4653" s="56" t="n">
        <f aca="false">IF(OR(D4653=1,K4652=""),"",K4652)</f>
        <v>1021.3</v>
      </c>
      <c r="Q4653" s="56" t="n">
        <f aca="false">IF(OR(F4653&lt;&gt;0,AND(I4653&lt;&gt;"",E4653&lt;I4653)),1,0)</f>
        <v>0</v>
      </c>
      <c r="R4653" s="56" t="n">
        <f aca="false">IF(AND(D4653&gt;1,Q4653=0,ISNUMBER(O4653),ISNUMBER(P4653)),IF(Q4652=0,1,0),0)</f>
        <v>1</v>
      </c>
      <c r="S4653" s="56" t="n">
        <f aca="false">R4653*(B4653&gt;=Train_Start)*(B4653&lt;=Train_End)</f>
        <v>0</v>
      </c>
      <c r="T4653" s="84" t="n">
        <f aca="false">IF(AND(ISNUMBER(O4653),ISNUMBER(P4653)),Coef_A+Coef_B1*O4653+Coef_B2*P4653,"")</f>
        <v>29.4426298767072</v>
      </c>
      <c r="U4653" s="84" t="n">
        <f aca="false">IF(AND(R4653=1,ISNUMBER(T4653)),E4653-T4653,"")</f>
        <v>1.15737012329282</v>
      </c>
      <c r="V4653" s="84" t="n">
        <f aca="false">IF(ISNUMBER(T4653),T4653,-99)</f>
        <v>29.4426298767072</v>
      </c>
      <c r="W4653" s="84" t="n">
        <f aca="false">IF(ISNUMBER(U4653),ABS(U4653),"")</f>
        <v>1.15737012329282</v>
      </c>
    </row>
    <row r="4654" customFormat="false" ht="15" hidden="false" customHeight="false" outlineLevel="0" collapsed="false">
      <c r="A4654" s="57" t="n">
        <v>39996</v>
      </c>
      <c r="B4654" s="56" t="n">
        <v>2009</v>
      </c>
      <c r="C4654" s="56" t="n">
        <v>7</v>
      </c>
      <c r="D4654" s="56" t="n">
        <v>63</v>
      </c>
      <c r="E4654" s="56" t="n">
        <v>26</v>
      </c>
      <c r="F4654" s="56" t="n">
        <v>0</v>
      </c>
      <c r="G4654" s="56" t="n">
        <v>14.9</v>
      </c>
      <c r="H4654" s="56" t="n">
        <v>0</v>
      </c>
      <c r="I4654" s="56" t="n">
        <v>22.8</v>
      </c>
      <c r="J4654" s="56" t="n">
        <v>0</v>
      </c>
      <c r="K4654" s="56" t="n">
        <v>1017.6</v>
      </c>
      <c r="L4654" s="56" t="n">
        <v>0</v>
      </c>
      <c r="M4654" s="56" t="n">
        <v>67</v>
      </c>
      <c r="N4654" s="56" t="n">
        <v>10.6</v>
      </c>
      <c r="O4654" s="56" t="n">
        <f aca="false">IF(D4654=1,"",E4653)</f>
        <v>30.6</v>
      </c>
      <c r="P4654" s="56" t="n">
        <f aca="false">IF(OR(D4654=1,K4653=""),"",K4653)</f>
        <v>1022.5</v>
      </c>
      <c r="Q4654" s="56" t="n">
        <f aca="false">IF(OR(F4654&lt;&gt;0,AND(I4654&lt;&gt;"",E4654&lt;I4654)),1,0)</f>
        <v>0</v>
      </c>
      <c r="R4654" s="56" t="n">
        <f aca="false">IF(AND(D4654&gt;1,Q4654=0,ISNUMBER(O4654),ISNUMBER(P4654)),IF(Q4653=0,1,0),0)</f>
        <v>1</v>
      </c>
      <c r="S4654" s="56" t="n">
        <f aca="false">R4654*(B4654&gt;=Train_Start)*(B4654&lt;=Train_End)</f>
        <v>0</v>
      </c>
      <c r="T4654" s="84" t="n">
        <f aca="false">IF(AND(ISNUMBER(O4654),ISNUMBER(P4654)),Coef_A+Coef_B1*O4654+Coef_B2*P4654,"")</f>
        <v>29.2344719923552</v>
      </c>
      <c r="U4654" s="84" t="n">
        <f aca="false">IF(AND(R4654=1,ISNUMBER(T4654)),E4654-T4654,"")</f>
        <v>-3.23447199235518</v>
      </c>
      <c r="V4654" s="84" t="n">
        <f aca="false">IF(ISNUMBER(T4654),T4654,-99)</f>
        <v>29.2344719923552</v>
      </c>
      <c r="W4654" s="84" t="n">
        <f aca="false">IF(ISNUMBER(U4654),ABS(U4654),"")</f>
        <v>3.23447199235518</v>
      </c>
    </row>
    <row r="4655" customFormat="false" ht="15" hidden="false" customHeight="false" outlineLevel="0" collapsed="false">
      <c r="A4655" s="57" t="n">
        <v>39997</v>
      </c>
      <c r="B4655" s="56" t="n">
        <v>2009</v>
      </c>
      <c r="C4655" s="56" t="n">
        <v>7</v>
      </c>
      <c r="D4655" s="56" t="n">
        <v>64</v>
      </c>
      <c r="E4655" s="56" t="n">
        <v>26</v>
      </c>
      <c r="F4655" s="56" t="n">
        <v>0</v>
      </c>
      <c r="G4655" s="56" t="n">
        <v>18.8</v>
      </c>
      <c r="H4655" s="56" t="n">
        <v>0</v>
      </c>
      <c r="I4655" s="56" t="n">
        <v>22.4</v>
      </c>
      <c r="J4655" s="56" t="n">
        <v>0</v>
      </c>
      <c r="K4655" s="56" t="n">
        <v>1012.8</v>
      </c>
      <c r="L4655" s="56" t="n">
        <v>0</v>
      </c>
      <c r="M4655" s="56" t="n">
        <v>68</v>
      </c>
      <c r="N4655" s="56" t="n">
        <v>4.7</v>
      </c>
      <c r="O4655" s="56" t="n">
        <f aca="false">IF(D4655=1,"",E4654)</f>
        <v>26</v>
      </c>
      <c r="P4655" s="56" t="n">
        <f aca="false">IF(OR(D4655=1,K4654=""),"",K4654)</f>
        <v>1017.6</v>
      </c>
      <c r="Q4655" s="56" t="n">
        <f aca="false">IF(OR(F4655&lt;&gt;0,AND(I4655&lt;&gt;"",E4655&lt;I4655)),1,0)</f>
        <v>0</v>
      </c>
      <c r="R4655" s="56" t="n">
        <f aca="false">IF(AND(D4655&gt;1,Q4655=0,ISNUMBER(O4655),ISNUMBER(P4655)),IF(Q4654=0,1,0),0)</f>
        <v>1</v>
      </c>
      <c r="S4655" s="56" t="n">
        <f aca="false">R4655*(B4655&gt;=Train_Start)*(B4655&lt;=Train_End)</f>
        <v>0</v>
      </c>
      <c r="T4655" s="84" t="n">
        <f aca="false">IF(AND(ISNUMBER(O4655),ISNUMBER(P4655)),Coef_A+Coef_B1*O4655+Coef_B2*P4655,"")</f>
        <v>25.3117992206524</v>
      </c>
      <c r="U4655" s="84" t="n">
        <f aca="false">IF(AND(R4655=1,ISNUMBER(T4655)),E4655-T4655,"")</f>
        <v>0.688200779347596</v>
      </c>
      <c r="V4655" s="84" t="n">
        <f aca="false">IF(ISNUMBER(T4655),T4655,-99)</f>
        <v>25.3117992206524</v>
      </c>
      <c r="W4655" s="84" t="n">
        <f aca="false">IF(ISNUMBER(U4655),ABS(U4655),"")</f>
        <v>0.688200779347596</v>
      </c>
    </row>
    <row r="4656" customFormat="false" ht="15" hidden="false" customHeight="false" outlineLevel="0" collapsed="false">
      <c r="A4656" s="57" t="n">
        <v>39998</v>
      </c>
      <c r="B4656" s="56" t="n">
        <v>2009</v>
      </c>
      <c r="C4656" s="56" t="n">
        <v>7</v>
      </c>
      <c r="D4656" s="56" t="n">
        <v>65</v>
      </c>
      <c r="E4656" s="56" t="n">
        <v>25.3</v>
      </c>
      <c r="F4656" s="56" t="n">
        <v>0</v>
      </c>
      <c r="G4656" s="56" t="n">
        <v>14.6</v>
      </c>
      <c r="H4656" s="56" t="n">
        <v>0</v>
      </c>
      <c r="I4656" s="56" t="n">
        <v>20.3</v>
      </c>
      <c r="J4656" s="56" t="n">
        <v>0</v>
      </c>
      <c r="K4656" s="56" t="n">
        <v>1012.9</v>
      </c>
      <c r="L4656" s="56" t="n">
        <v>0</v>
      </c>
      <c r="M4656" s="56" t="n">
        <v>66</v>
      </c>
      <c r="N4656" s="56" t="n">
        <v>9.7</v>
      </c>
      <c r="O4656" s="56" t="n">
        <f aca="false">IF(D4656=1,"",E4655)</f>
        <v>26</v>
      </c>
      <c r="P4656" s="56" t="n">
        <f aca="false">IF(OR(D4656=1,K4655=""),"",K4655)</f>
        <v>1012.8</v>
      </c>
      <c r="Q4656" s="56" t="n">
        <f aca="false">IF(OR(F4656&lt;&gt;0,AND(I4656&lt;&gt;"",E4656&lt;I4656)),1,0)</f>
        <v>0</v>
      </c>
      <c r="R4656" s="56" t="n">
        <f aca="false">IF(AND(D4656&gt;1,Q4656=0,ISNUMBER(O4656),ISNUMBER(P4656)),IF(Q4655=0,1,0),0)</f>
        <v>1</v>
      </c>
      <c r="S4656" s="56" t="n">
        <f aca="false">R4656*(B4656&gt;=Train_Start)*(B4656&lt;=Train_End)</f>
        <v>0</v>
      </c>
      <c r="T4656" s="84" t="n">
        <f aca="false">IF(AND(ISNUMBER(O4656),ISNUMBER(P4656)),Coef_A+Coef_B1*O4656+Coef_B2*P4656,"")</f>
        <v>25.1612237264093</v>
      </c>
      <c r="U4656" s="84" t="n">
        <f aca="false">IF(AND(R4656=1,ISNUMBER(T4656)),E4656-T4656,"")</f>
        <v>0.13877627359075</v>
      </c>
      <c r="V4656" s="84" t="n">
        <f aca="false">IF(ISNUMBER(T4656),T4656,-99)</f>
        <v>25.1612237264093</v>
      </c>
      <c r="W4656" s="84" t="n">
        <f aca="false">IF(ISNUMBER(U4656),ABS(U4656),"")</f>
        <v>0.13877627359075</v>
      </c>
    </row>
    <row r="4657" customFormat="false" ht="15" hidden="false" customHeight="false" outlineLevel="0" collapsed="false">
      <c r="A4657" s="57" t="n">
        <v>39999</v>
      </c>
      <c r="B4657" s="56" t="n">
        <v>2009</v>
      </c>
      <c r="C4657" s="56" t="n">
        <v>7</v>
      </c>
      <c r="D4657" s="56" t="n">
        <v>66</v>
      </c>
      <c r="E4657" s="56" t="n">
        <v>22.8</v>
      </c>
      <c r="F4657" s="56" t="n">
        <v>0</v>
      </c>
      <c r="G4657" s="56" t="n">
        <v>15.5</v>
      </c>
      <c r="H4657" s="56" t="n">
        <v>0</v>
      </c>
      <c r="I4657" s="56" t="n">
        <v>20.4</v>
      </c>
      <c r="J4657" s="56" t="n">
        <v>0</v>
      </c>
      <c r="K4657" s="56" t="n">
        <v>1009.9</v>
      </c>
      <c r="L4657" s="56" t="n">
        <v>0</v>
      </c>
      <c r="M4657" s="56" t="n">
        <v>64</v>
      </c>
      <c r="N4657" s="56" t="n">
        <v>7.4</v>
      </c>
      <c r="O4657" s="56" t="n">
        <f aca="false">IF(D4657=1,"",E4656)</f>
        <v>25.3</v>
      </c>
      <c r="P4657" s="56" t="n">
        <f aca="false">IF(OR(D4657=1,K4656=""),"",K4656)</f>
        <v>1012.9</v>
      </c>
      <c r="Q4657" s="56" t="n">
        <f aca="false">IF(OR(F4657&lt;&gt;0,AND(I4657&lt;&gt;"",E4657&lt;I4657)),1,0)</f>
        <v>0</v>
      </c>
      <c r="R4657" s="56" t="n">
        <f aca="false">IF(AND(D4657&gt;1,Q4657=0,ISNUMBER(O4657),ISNUMBER(P4657)),IF(Q4656=0,1,0),0)</f>
        <v>1</v>
      </c>
      <c r="S4657" s="56" t="n">
        <f aca="false">R4657*(B4657&gt;=Train_Start)*(B4657&lt;=Train_End)</f>
        <v>0</v>
      </c>
      <c r="T4657" s="84" t="n">
        <f aca="false">IF(AND(ISNUMBER(O4657),ISNUMBER(P4657)),Coef_A+Coef_B1*O4657+Coef_B2*P4657,"")</f>
        <v>24.5908232807428</v>
      </c>
      <c r="U4657" s="84" t="n">
        <f aca="false">IF(AND(R4657=1,ISNUMBER(T4657)),E4657-T4657,"")</f>
        <v>-1.79082328074279</v>
      </c>
      <c r="V4657" s="84" t="n">
        <f aca="false">IF(ISNUMBER(T4657),T4657,-99)</f>
        <v>24.5908232807428</v>
      </c>
      <c r="W4657" s="84" t="n">
        <f aca="false">IF(ISNUMBER(U4657),ABS(U4657),"")</f>
        <v>1.79082328074279</v>
      </c>
    </row>
    <row r="4658" customFormat="false" ht="15" hidden="false" customHeight="false" outlineLevel="0" collapsed="false">
      <c r="A4658" s="57" t="n">
        <v>40000</v>
      </c>
      <c r="B4658" s="56" t="n">
        <v>2009</v>
      </c>
      <c r="C4658" s="56" t="n">
        <v>7</v>
      </c>
      <c r="D4658" s="56" t="n">
        <v>67</v>
      </c>
      <c r="E4658" s="56" t="n">
        <v>20.5</v>
      </c>
      <c r="F4658" s="56" t="n">
        <v>0</v>
      </c>
      <c r="G4658" s="56" t="n">
        <v>14.3</v>
      </c>
      <c r="H4658" s="56" t="n">
        <v>0</v>
      </c>
      <c r="I4658" s="56" t="n">
        <v>18.6</v>
      </c>
      <c r="J4658" s="56" t="n">
        <v>0</v>
      </c>
      <c r="K4658" s="56" t="n">
        <v>1005.2</v>
      </c>
      <c r="L4658" s="56" t="n">
        <v>0</v>
      </c>
      <c r="M4658" s="56" t="n">
        <v>78</v>
      </c>
      <c r="N4658" s="56" t="n">
        <v>6.1</v>
      </c>
      <c r="O4658" s="56" t="n">
        <f aca="false">IF(D4658=1,"",E4657)</f>
        <v>22.8</v>
      </c>
      <c r="P4658" s="56" t="n">
        <f aca="false">IF(OR(D4658=1,K4657=""),"",K4657)</f>
        <v>1009.9</v>
      </c>
      <c r="Q4658" s="56" t="n">
        <f aca="false">IF(OR(F4658&lt;&gt;0,AND(I4658&lt;&gt;"",E4658&lt;I4658)),1,0)</f>
        <v>0</v>
      </c>
      <c r="R4658" s="56" t="n">
        <f aca="false">IF(AND(D4658&gt;1,Q4658=0,ISNUMBER(O4658),ISNUMBER(P4658)),IF(Q4657=0,1,0),0)</f>
        <v>1</v>
      </c>
      <c r="S4658" s="56" t="n">
        <f aca="false">R4658*(B4658&gt;=Train_Start)*(B4658&lt;=Train_End)</f>
        <v>0</v>
      </c>
      <c r="T4658" s="84" t="n">
        <f aca="false">IF(AND(ISNUMBER(O4658),ISNUMBER(P4658)),Coef_A+Coef_B1*O4658+Coef_B2*P4658,"")</f>
        <v>22.4483656142342</v>
      </c>
      <c r="U4658" s="84" t="n">
        <f aca="false">IF(AND(R4658=1,ISNUMBER(T4658)),E4658-T4658,"")</f>
        <v>-1.94836561423418</v>
      </c>
      <c r="V4658" s="84" t="n">
        <f aca="false">IF(ISNUMBER(T4658),T4658,-99)</f>
        <v>22.4483656142342</v>
      </c>
      <c r="W4658" s="84" t="n">
        <f aca="false">IF(ISNUMBER(U4658),ABS(U4658),"")</f>
        <v>1.94836561423418</v>
      </c>
    </row>
    <row r="4659" customFormat="false" ht="15" hidden="false" customHeight="false" outlineLevel="0" collapsed="false">
      <c r="A4659" s="57" t="n">
        <v>40001</v>
      </c>
      <c r="B4659" s="56" t="n">
        <v>2009</v>
      </c>
      <c r="C4659" s="56" t="n">
        <v>7</v>
      </c>
      <c r="D4659" s="56" t="n">
        <v>68</v>
      </c>
      <c r="E4659" s="56" t="n">
        <v>19.9</v>
      </c>
      <c r="F4659" s="56" t="n">
        <v>0</v>
      </c>
      <c r="G4659" s="56" t="n">
        <v>14</v>
      </c>
      <c r="H4659" s="56" t="n">
        <v>0</v>
      </c>
      <c r="I4659" s="56" t="n">
        <v>17.3</v>
      </c>
      <c r="J4659" s="56" t="n">
        <v>0</v>
      </c>
      <c r="K4659" s="56" t="n">
        <v>1004.2</v>
      </c>
      <c r="L4659" s="56" t="n">
        <v>0</v>
      </c>
      <c r="M4659" s="56" t="n">
        <v>85</v>
      </c>
      <c r="N4659" s="56" t="n">
        <v>2.2</v>
      </c>
      <c r="O4659" s="56" t="n">
        <f aca="false">IF(D4659=1,"",E4658)</f>
        <v>20.5</v>
      </c>
      <c r="P4659" s="56" t="n">
        <f aca="false">IF(OR(D4659=1,K4658=""),"",K4658)</f>
        <v>1005.2</v>
      </c>
      <c r="Q4659" s="56" t="n">
        <f aca="false">IF(OR(F4659&lt;&gt;0,AND(I4659&lt;&gt;"",E4659&lt;I4659)),1,0)</f>
        <v>0</v>
      </c>
      <c r="R4659" s="56" t="n">
        <f aca="false">IF(AND(D4659&gt;1,Q4659=0,ISNUMBER(O4659),ISNUMBER(P4659)),IF(Q4658=0,1,0),0)</f>
        <v>1</v>
      </c>
      <c r="S4659" s="56" t="n">
        <f aca="false">R4659*(B4659&gt;=Train_Start)*(B4659&lt;=Train_End)</f>
        <v>0</v>
      </c>
      <c r="T4659" s="84" t="n">
        <f aca="false">IF(AND(ISNUMBER(O4659),ISNUMBER(P4659)),Coef_A+Coef_B1*O4659+Coef_B2*P4659,"")</f>
        <v>20.4164469654563</v>
      </c>
      <c r="U4659" s="84" t="n">
        <f aca="false">IF(AND(R4659=1,ISNUMBER(T4659)),E4659-T4659,"")</f>
        <v>-0.516446965456318</v>
      </c>
      <c r="V4659" s="84" t="n">
        <f aca="false">IF(ISNUMBER(T4659),T4659,-99)</f>
        <v>20.4164469654563</v>
      </c>
      <c r="W4659" s="84" t="n">
        <f aca="false">IF(ISNUMBER(U4659),ABS(U4659),"")</f>
        <v>0.516446965456318</v>
      </c>
    </row>
    <row r="4660" customFormat="false" ht="15" hidden="false" customHeight="false" outlineLevel="0" collapsed="false">
      <c r="A4660" s="57" t="n">
        <v>40002</v>
      </c>
      <c r="B4660" s="56" t="n">
        <v>2009</v>
      </c>
      <c r="C4660" s="56" t="n">
        <v>7</v>
      </c>
      <c r="D4660" s="56" t="n">
        <v>69</v>
      </c>
      <c r="E4660" s="56" t="n">
        <v>19.6</v>
      </c>
      <c r="F4660" s="56" t="n">
        <v>0</v>
      </c>
      <c r="G4660" s="56" t="n">
        <v>12.6</v>
      </c>
      <c r="H4660" s="56" t="n">
        <v>0</v>
      </c>
      <c r="I4660" s="56" t="n">
        <v>16.3</v>
      </c>
      <c r="J4660" s="56" t="n">
        <v>0</v>
      </c>
      <c r="K4660" s="56" t="n">
        <v>1012</v>
      </c>
      <c r="L4660" s="56" t="n">
        <v>0</v>
      </c>
      <c r="M4660" s="56" t="n">
        <v>78</v>
      </c>
      <c r="N4660" s="56" t="n">
        <v>0.7</v>
      </c>
      <c r="O4660" s="56" t="n">
        <f aca="false">IF(D4660=1,"",E4659)</f>
        <v>19.9</v>
      </c>
      <c r="P4660" s="56" t="n">
        <f aca="false">IF(OR(D4660=1,K4659=""),"",K4659)</f>
        <v>1004.2</v>
      </c>
      <c r="Q4660" s="56" t="n">
        <f aca="false">IF(OR(F4660&lt;&gt;0,AND(I4660&lt;&gt;"",E4660&lt;I4660)),1,0)</f>
        <v>0</v>
      </c>
      <c r="R4660" s="56" t="n">
        <f aca="false">IF(AND(D4660&gt;1,Q4660=0,ISNUMBER(O4660),ISNUMBER(P4660)),IF(Q4659=0,1,0),0)</f>
        <v>1</v>
      </c>
      <c r="S4660" s="56" t="n">
        <f aca="false">R4660*(B4660&gt;=Train_Start)*(B4660&lt;=Train_End)</f>
        <v>0</v>
      </c>
      <c r="T4660" s="84" t="n">
        <f aca="false">IF(AND(ISNUMBER(O4660),ISNUMBER(P4660)),Coef_A+Coef_B1*O4660+Coef_B2*P4660,"")</f>
        <v>19.8934735549967</v>
      </c>
      <c r="U4660" s="84" t="n">
        <f aca="false">IF(AND(R4660=1,ISNUMBER(T4660)),E4660-T4660,"")</f>
        <v>-0.29347355499673</v>
      </c>
      <c r="V4660" s="84" t="n">
        <f aca="false">IF(ISNUMBER(T4660),T4660,-99)</f>
        <v>19.8934735549967</v>
      </c>
      <c r="W4660" s="84" t="n">
        <f aca="false">IF(ISNUMBER(U4660),ABS(U4660),"")</f>
        <v>0.29347355499673</v>
      </c>
    </row>
    <row r="4661" customFormat="false" ht="15" hidden="false" customHeight="false" outlineLevel="0" collapsed="false">
      <c r="A4661" s="57" t="n">
        <v>40003</v>
      </c>
      <c r="B4661" s="56" t="n">
        <v>2009</v>
      </c>
      <c r="C4661" s="56" t="n">
        <v>7</v>
      </c>
      <c r="D4661" s="56" t="n">
        <v>70</v>
      </c>
      <c r="E4661" s="56" t="n">
        <v>21.8</v>
      </c>
      <c r="F4661" s="56" t="n">
        <v>0</v>
      </c>
      <c r="G4661" s="56" t="n">
        <v>10.6</v>
      </c>
      <c r="H4661" s="56" t="n">
        <v>0</v>
      </c>
      <c r="I4661" s="56" t="n">
        <v>15.1</v>
      </c>
      <c r="J4661" s="56" t="n">
        <v>0</v>
      </c>
      <c r="K4661" s="56" t="n">
        <v>1015.9</v>
      </c>
      <c r="L4661" s="56" t="n">
        <v>0</v>
      </c>
      <c r="M4661" s="56" t="n">
        <v>56</v>
      </c>
      <c r="N4661" s="56" t="n">
        <v>5.3</v>
      </c>
      <c r="O4661" s="56" t="n">
        <f aca="false">IF(D4661=1,"",E4660)</f>
        <v>19.6</v>
      </c>
      <c r="P4661" s="56" t="n">
        <f aca="false">IF(OR(D4661=1,K4660=""),"",K4660)</f>
        <v>1012</v>
      </c>
      <c r="Q4661" s="56" t="n">
        <f aca="false">IF(OR(F4661&lt;&gt;0,AND(I4661&lt;&gt;"",E4661&lt;I4661)),1,0)</f>
        <v>0</v>
      </c>
      <c r="R4661" s="56" t="n">
        <f aca="false">IF(AND(D4661&gt;1,Q4661=0,ISNUMBER(O4661),ISNUMBER(P4661)),IF(Q4660=0,1,0),0)</f>
        <v>1</v>
      </c>
      <c r="S4661" s="56" t="n">
        <f aca="false">R4661*(B4661&gt;=Train_Start)*(B4661&lt;=Train_End)</f>
        <v>0</v>
      </c>
      <c r="T4661" s="84" t="n">
        <f aca="false">IF(AND(ISNUMBER(O4661),ISNUMBER(P4661)),Coef_A+Coef_B1*O4661+Coef_B2*P4661,"")</f>
        <v>19.8923569752291</v>
      </c>
      <c r="U4661" s="84" t="n">
        <f aca="false">IF(AND(R4661=1,ISNUMBER(T4661)),E4661-T4661,"")</f>
        <v>1.90764302477095</v>
      </c>
      <c r="V4661" s="84" t="n">
        <f aca="false">IF(ISNUMBER(T4661),T4661,-99)</f>
        <v>19.8923569752291</v>
      </c>
      <c r="W4661" s="84" t="n">
        <f aca="false">IF(ISNUMBER(U4661),ABS(U4661),"")</f>
        <v>1.90764302477095</v>
      </c>
    </row>
    <row r="4662" customFormat="false" ht="15" hidden="false" customHeight="false" outlineLevel="0" collapsed="false">
      <c r="A4662" s="57" t="n">
        <v>40004</v>
      </c>
      <c r="B4662" s="56" t="n">
        <v>2009</v>
      </c>
      <c r="C4662" s="56" t="n">
        <v>7</v>
      </c>
      <c r="D4662" s="56" t="n">
        <v>71</v>
      </c>
      <c r="E4662" s="56" t="n">
        <v>21.6</v>
      </c>
      <c r="F4662" s="56" t="n">
        <v>0</v>
      </c>
      <c r="G4662" s="56" t="n">
        <v>10.5</v>
      </c>
      <c r="H4662" s="56" t="n">
        <v>0</v>
      </c>
      <c r="I4662" s="56" t="n">
        <v>16.2</v>
      </c>
      <c r="J4662" s="56" t="n">
        <v>0</v>
      </c>
      <c r="K4662" s="56" t="n">
        <v>1016.3</v>
      </c>
      <c r="L4662" s="56" t="n">
        <v>0</v>
      </c>
      <c r="M4662" s="56" t="n">
        <v>61</v>
      </c>
      <c r="N4662" s="56" t="n">
        <v>7</v>
      </c>
      <c r="O4662" s="56" t="n">
        <f aca="false">IF(D4662=1,"",E4661)</f>
        <v>21.8</v>
      </c>
      <c r="P4662" s="56" t="n">
        <f aca="false">IF(OR(D4662=1,K4661=""),"",K4661)</f>
        <v>1015.9</v>
      </c>
      <c r="Q4662" s="56" t="n">
        <f aca="false">IF(OR(F4662&lt;&gt;0,AND(I4662&lt;&gt;"",E4662&lt;I4662)),1,0)</f>
        <v>0</v>
      </c>
      <c r="R4662" s="56" t="n">
        <f aca="false">IF(AND(D4662&gt;1,Q4662=0,ISNUMBER(O4662),ISNUMBER(P4662)),IF(Q4661=0,1,0),0)</f>
        <v>1</v>
      </c>
      <c r="S4662" s="56" t="n">
        <f aca="false">R4662*(B4662&gt;=Train_Start)*(B4662&lt;=Train_End)</f>
        <v>0</v>
      </c>
      <c r="T4662" s="84" t="n">
        <f aca="false">IF(AND(ISNUMBER(O4662),ISNUMBER(P4662)),Coef_A+Coef_B1*O4662+Coef_B2*P4662,"")</f>
        <v>21.8172457889955</v>
      </c>
      <c r="U4662" s="84" t="n">
        <f aca="false">IF(AND(R4662=1,ISNUMBER(T4662)),E4662-T4662,"")</f>
        <v>-0.217245788995456</v>
      </c>
      <c r="V4662" s="84" t="n">
        <f aca="false">IF(ISNUMBER(T4662),T4662,-99)</f>
        <v>21.8172457889955</v>
      </c>
      <c r="W4662" s="84" t="n">
        <f aca="false">IF(ISNUMBER(U4662),ABS(U4662),"")</f>
        <v>0.217245788995456</v>
      </c>
    </row>
    <row r="4663" customFormat="false" ht="15" hidden="false" customHeight="false" outlineLevel="0" collapsed="false">
      <c r="A4663" s="57" t="n">
        <v>40005</v>
      </c>
      <c r="B4663" s="56" t="n">
        <v>2009</v>
      </c>
      <c r="C4663" s="56" t="n">
        <v>7</v>
      </c>
      <c r="D4663" s="56" t="n">
        <v>72</v>
      </c>
      <c r="E4663" s="56" t="n">
        <v>24.6</v>
      </c>
      <c r="F4663" s="56" t="n">
        <v>0</v>
      </c>
      <c r="G4663" s="56" t="n">
        <v>14.6</v>
      </c>
      <c r="H4663" s="56" t="n">
        <v>0</v>
      </c>
      <c r="I4663" s="56" t="n">
        <v>18.1</v>
      </c>
      <c r="J4663" s="56" t="n">
        <v>0</v>
      </c>
      <c r="K4663" s="56" t="n">
        <v>1013.4</v>
      </c>
      <c r="L4663" s="56" t="n">
        <v>0</v>
      </c>
      <c r="M4663" s="56" t="n">
        <v>86</v>
      </c>
      <c r="N4663" s="56" t="n">
        <v>0.2</v>
      </c>
      <c r="O4663" s="56" t="n">
        <f aca="false">IF(D4663=1,"",E4662)</f>
        <v>21.6</v>
      </c>
      <c r="P4663" s="56" t="n">
        <f aca="false">IF(OR(D4663=1,K4662=""),"",K4662)</f>
        <v>1016.3</v>
      </c>
      <c r="Q4663" s="56" t="n">
        <f aca="false">IF(OR(F4663&lt;&gt;0,AND(I4663&lt;&gt;"",E4663&lt;I4663)),1,0)</f>
        <v>0</v>
      </c>
      <c r="R4663" s="56" t="n">
        <f aca="false">IF(AND(D4663&gt;1,Q4663=0,ISNUMBER(O4663),ISNUMBER(P4663)),IF(Q4662=0,1,0),0)</f>
        <v>1</v>
      </c>
      <c r="S4663" s="56" t="n">
        <f aca="false">R4663*(B4663&gt;=Train_Start)*(B4663&lt;=Train_End)</f>
        <v>0</v>
      </c>
      <c r="T4663" s="84" t="n">
        <f aca="false">IF(AND(ISNUMBER(O4663),ISNUMBER(P4663)),Coef_A+Coef_B1*O4663+Coef_B2*P4663,"")</f>
        <v>21.6659259082405</v>
      </c>
      <c r="U4663" s="84" t="n">
        <f aca="false">IF(AND(R4663=1,ISNUMBER(T4663)),E4663-T4663,"")</f>
        <v>2.93407409175948</v>
      </c>
      <c r="V4663" s="84" t="n">
        <f aca="false">IF(ISNUMBER(T4663),T4663,-99)</f>
        <v>21.6659259082405</v>
      </c>
      <c r="W4663" s="84" t="n">
        <f aca="false">IF(ISNUMBER(U4663),ABS(U4663),"")</f>
        <v>2.93407409175948</v>
      </c>
    </row>
    <row r="4664" customFormat="false" ht="15" hidden="false" customHeight="false" outlineLevel="0" collapsed="false">
      <c r="A4664" s="57" t="n">
        <v>40006</v>
      </c>
      <c r="B4664" s="56" t="n">
        <v>2009</v>
      </c>
      <c r="C4664" s="56" t="n">
        <v>7</v>
      </c>
      <c r="D4664" s="56" t="n">
        <v>73</v>
      </c>
      <c r="E4664" s="56" t="n">
        <v>22.6</v>
      </c>
      <c r="F4664" s="56" t="n">
        <v>0</v>
      </c>
      <c r="G4664" s="56" t="n">
        <v>14.8</v>
      </c>
      <c r="H4664" s="56" t="n">
        <v>0</v>
      </c>
      <c r="I4664" s="56" t="n">
        <v>19.7</v>
      </c>
      <c r="J4664" s="56" t="n">
        <v>0</v>
      </c>
      <c r="K4664" s="56" t="n">
        <v>1007.3</v>
      </c>
      <c r="L4664" s="56" t="n">
        <v>0</v>
      </c>
      <c r="M4664" s="56" t="n">
        <v>73</v>
      </c>
      <c r="N4664" s="56" t="n">
        <v>6</v>
      </c>
      <c r="O4664" s="56" t="n">
        <f aca="false">IF(D4664=1,"",E4663)</f>
        <v>24.6</v>
      </c>
      <c r="P4664" s="56" t="n">
        <f aca="false">IF(OR(D4664=1,K4663=""),"",K4663)</f>
        <v>1013.4</v>
      </c>
      <c r="Q4664" s="56" t="n">
        <f aca="false">IF(OR(F4664&lt;&gt;0,AND(I4664&lt;&gt;"",E4664&lt;I4664)),1,0)</f>
        <v>0</v>
      </c>
      <c r="R4664" s="56" t="n">
        <f aca="false">IF(AND(D4664&gt;1,Q4664=0,ISNUMBER(O4664),ISNUMBER(P4664)),IF(Q4663=0,1,0),0)</f>
        <v>1</v>
      </c>
      <c r="S4664" s="56" t="n">
        <f aca="false">R4664*(B4664&gt;=Train_Start)*(B4664&lt;=Train_End)</f>
        <v>0</v>
      </c>
      <c r="T4664" s="84" t="n">
        <f aca="false">IF(AND(ISNUMBER(O4664),ISNUMBER(P4664)),Coef_A+Coef_B1*O4664+Coef_B2*P4664,"")</f>
        <v>24.0329707929299</v>
      </c>
      <c r="U4664" s="84" t="n">
        <f aca="false">IF(AND(R4664=1,ISNUMBER(T4664)),E4664-T4664,"")</f>
        <v>-1.43297079292992</v>
      </c>
      <c r="V4664" s="84" t="n">
        <f aca="false">IF(ISNUMBER(T4664),T4664,-99)</f>
        <v>24.0329707929299</v>
      </c>
      <c r="W4664" s="84" t="n">
        <f aca="false">IF(ISNUMBER(U4664),ABS(U4664),"")</f>
        <v>1.43297079292992</v>
      </c>
    </row>
    <row r="4665" customFormat="false" ht="15" hidden="false" customHeight="false" outlineLevel="0" collapsed="false">
      <c r="A4665" s="57" t="n">
        <v>40007</v>
      </c>
      <c r="B4665" s="56" t="n">
        <v>2009</v>
      </c>
      <c r="C4665" s="56" t="n">
        <v>7</v>
      </c>
      <c r="D4665" s="56" t="n">
        <v>74</v>
      </c>
      <c r="E4665" s="56" t="n">
        <v>24</v>
      </c>
      <c r="F4665" s="56" t="n">
        <v>0</v>
      </c>
      <c r="G4665" s="56" t="n">
        <v>13.6</v>
      </c>
      <c r="H4665" s="56" t="n">
        <v>0</v>
      </c>
      <c r="I4665" s="56" t="n">
        <v>18.1</v>
      </c>
      <c r="J4665" s="56" t="n">
        <v>0</v>
      </c>
      <c r="K4665" s="56" t="n">
        <v>1009.1</v>
      </c>
      <c r="L4665" s="56" t="n">
        <v>0</v>
      </c>
      <c r="M4665" s="56" t="n">
        <v>70</v>
      </c>
      <c r="N4665" s="56" t="n">
        <v>5.2</v>
      </c>
      <c r="O4665" s="56" t="n">
        <f aca="false">IF(D4665=1,"",E4664)</f>
        <v>22.6</v>
      </c>
      <c r="P4665" s="56" t="n">
        <f aca="false">IF(OR(D4665=1,K4664=""),"",K4664)</f>
        <v>1007.3</v>
      </c>
      <c r="Q4665" s="56" t="n">
        <f aca="false">IF(OR(F4665&lt;&gt;0,AND(I4665&lt;&gt;"",E4665&lt;I4665)),1,0)</f>
        <v>0</v>
      </c>
      <c r="R4665" s="56" t="n">
        <f aca="false">IF(AND(D4665&gt;1,Q4665=0,ISNUMBER(O4665),ISNUMBER(P4665)),IF(Q4664=0,1,0),0)</f>
        <v>1</v>
      </c>
      <c r="S4665" s="56" t="n">
        <f aca="false">R4665*(B4665&gt;=Train_Start)*(B4665&lt;=Train_End)</f>
        <v>0</v>
      </c>
      <c r="T4665" s="84" t="n">
        <f aca="false">IF(AND(ISNUMBER(O4665),ISNUMBER(P4665)),Coef_A+Coef_B1*O4665+Coef_B2*P4665,"")</f>
        <v>22.2029360495773</v>
      </c>
      <c r="U4665" s="84" t="n">
        <f aca="false">IF(AND(R4665=1,ISNUMBER(T4665)),E4665-T4665,"")</f>
        <v>1.79706395042273</v>
      </c>
      <c r="V4665" s="84" t="n">
        <f aca="false">IF(ISNUMBER(T4665),T4665,-99)</f>
        <v>22.2029360495773</v>
      </c>
      <c r="W4665" s="84" t="n">
        <f aca="false">IF(ISNUMBER(U4665),ABS(U4665),"")</f>
        <v>1.79706395042273</v>
      </c>
    </row>
    <row r="4666" customFormat="false" ht="15" hidden="false" customHeight="false" outlineLevel="0" collapsed="false">
      <c r="A4666" s="57" t="n">
        <v>40008</v>
      </c>
      <c r="B4666" s="56" t="n">
        <v>2009</v>
      </c>
      <c r="C4666" s="56" t="n">
        <v>7</v>
      </c>
      <c r="D4666" s="56" t="n">
        <v>75</v>
      </c>
      <c r="E4666" s="56" t="n">
        <v>24</v>
      </c>
      <c r="F4666" s="56" t="n">
        <v>0</v>
      </c>
      <c r="G4666" s="56" t="n">
        <v>13.6</v>
      </c>
      <c r="H4666" s="56" t="n">
        <v>0</v>
      </c>
      <c r="I4666" s="56" t="n">
        <v>18.8</v>
      </c>
      <c r="J4666" s="56" t="n">
        <v>0</v>
      </c>
      <c r="K4666" s="56" t="n">
        <v>1008.3</v>
      </c>
      <c r="L4666" s="56" t="n">
        <v>0</v>
      </c>
      <c r="M4666" s="56" t="n">
        <v>73</v>
      </c>
      <c r="N4666" s="56" t="n">
        <v>5.9</v>
      </c>
      <c r="O4666" s="56" t="n">
        <f aca="false">IF(D4666=1,"",E4665)</f>
        <v>24</v>
      </c>
      <c r="P4666" s="56" t="n">
        <f aca="false">IF(OR(D4666=1,K4665=""),"",K4665)</f>
        <v>1009.1</v>
      </c>
      <c r="Q4666" s="56" t="n">
        <f aca="false">IF(OR(F4666&lt;&gt;0,AND(I4666&lt;&gt;"",E4666&lt;I4666)),1,0)</f>
        <v>0</v>
      </c>
      <c r="R4666" s="56" t="n">
        <f aca="false">IF(AND(D4666&gt;1,Q4666=0,ISNUMBER(O4666),ISNUMBER(P4666)),IF(Q4665=0,1,0),0)</f>
        <v>1</v>
      </c>
      <c r="S4666" s="56" t="n">
        <f aca="false">R4666*(B4666&gt;=Train_Start)*(B4666&lt;=Train_End)</f>
        <v>0</v>
      </c>
      <c r="T4666" s="84" t="n">
        <f aca="false">IF(AND(ISNUMBER(O4666),ISNUMBER(P4666)),Coef_A+Coef_B1*O4666+Coef_B2*P4666,"")</f>
        <v>23.4064767301782</v>
      </c>
      <c r="U4666" s="84" t="n">
        <f aca="false">IF(AND(R4666=1,ISNUMBER(T4666)),E4666-T4666,"")</f>
        <v>0.593523269821823</v>
      </c>
      <c r="V4666" s="84" t="n">
        <f aca="false">IF(ISNUMBER(T4666),T4666,-99)</f>
        <v>23.4064767301782</v>
      </c>
      <c r="W4666" s="84" t="n">
        <f aca="false">IF(ISNUMBER(U4666),ABS(U4666),"")</f>
        <v>0.593523269821823</v>
      </c>
    </row>
    <row r="4667" customFormat="false" ht="15" hidden="false" customHeight="false" outlineLevel="0" collapsed="false">
      <c r="A4667" s="57" t="n">
        <v>40009</v>
      </c>
      <c r="B4667" s="56" t="n">
        <v>2009</v>
      </c>
      <c r="C4667" s="56" t="n">
        <v>7</v>
      </c>
      <c r="D4667" s="56" t="n">
        <v>76</v>
      </c>
      <c r="E4667" s="56" t="n">
        <v>24.8</v>
      </c>
      <c r="F4667" s="56" t="n">
        <v>0</v>
      </c>
      <c r="G4667" s="56" t="n">
        <v>14.7</v>
      </c>
      <c r="H4667" s="56" t="n">
        <v>0</v>
      </c>
      <c r="I4667" s="56" t="n">
        <v>19.4</v>
      </c>
      <c r="J4667" s="56" t="n">
        <v>0</v>
      </c>
      <c r="K4667" s="56" t="n">
        <v>1012.3</v>
      </c>
      <c r="L4667" s="56" t="n">
        <v>0</v>
      </c>
      <c r="M4667" s="56" t="n">
        <v>77</v>
      </c>
      <c r="N4667" s="56" t="n">
        <v>2.5</v>
      </c>
      <c r="O4667" s="56" t="n">
        <f aca="false">IF(D4667=1,"",E4666)</f>
        <v>24</v>
      </c>
      <c r="P4667" s="56" t="n">
        <f aca="false">IF(OR(D4667=1,K4666=""),"",K4666)</f>
        <v>1008.3</v>
      </c>
      <c r="Q4667" s="56" t="n">
        <f aca="false">IF(OR(F4667&lt;&gt;0,AND(I4667&lt;&gt;"",E4667&lt;I4667)),1,0)</f>
        <v>0</v>
      </c>
      <c r="R4667" s="56" t="n">
        <f aca="false">IF(AND(D4667&gt;1,Q4667=0,ISNUMBER(O4667),ISNUMBER(P4667)),IF(Q4666=0,1,0),0)</f>
        <v>1</v>
      </c>
      <c r="S4667" s="56" t="n">
        <f aca="false">R4667*(B4667&gt;=Train_Start)*(B4667&lt;=Train_End)</f>
        <v>0</v>
      </c>
      <c r="T4667" s="84" t="n">
        <f aca="false">IF(AND(ISNUMBER(O4667),ISNUMBER(P4667)),Coef_A+Coef_B1*O4667+Coef_B2*P4667,"")</f>
        <v>23.381380814471</v>
      </c>
      <c r="U4667" s="84" t="n">
        <f aca="false">IF(AND(R4667=1,ISNUMBER(T4667)),E4667-T4667,"")</f>
        <v>1.41861918552902</v>
      </c>
      <c r="V4667" s="84" t="n">
        <f aca="false">IF(ISNUMBER(T4667),T4667,-99)</f>
        <v>23.381380814471</v>
      </c>
      <c r="W4667" s="84" t="n">
        <f aca="false">IF(ISNUMBER(U4667),ABS(U4667),"")</f>
        <v>1.41861918552902</v>
      </c>
    </row>
    <row r="4668" customFormat="false" ht="15" hidden="false" customHeight="false" outlineLevel="0" collapsed="false">
      <c r="A4668" s="57" t="n">
        <v>40010</v>
      </c>
      <c r="B4668" s="56" t="n">
        <v>2009</v>
      </c>
      <c r="C4668" s="56" t="n">
        <v>7</v>
      </c>
      <c r="D4668" s="56" t="n">
        <v>77</v>
      </c>
      <c r="E4668" s="56" t="n">
        <v>18.7</v>
      </c>
      <c r="F4668" s="56" t="n">
        <v>1</v>
      </c>
      <c r="G4668" s="56" t="n">
        <v>13.1</v>
      </c>
      <c r="H4668" s="56" t="n">
        <v>0</v>
      </c>
      <c r="I4668" s="56" t="n">
        <v>19</v>
      </c>
      <c r="J4668" s="56" t="n">
        <v>1</v>
      </c>
      <c r="K4668" s="56" t="n">
        <v>1016.8</v>
      </c>
      <c r="L4668" s="56" t="n">
        <v>0</v>
      </c>
      <c r="M4668" s="56" t="n">
        <v>72</v>
      </c>
      <c r="N4668" s="56" t="n">
        <v>4.6</v>
      </c>
      <c r="O4668" s="56" t="n">
        <f aca="false">IF(D4668=1,"",E4667)</f>
        <v>24.8</v>
      </c>
      <c r="P4668" s="56" t="n">
        <f aca="false">IF(OR(D4668=1,K4667=""),"",K4667)</f>
        <v>1012.3</v>
      </c>
      <c r="Q4668" s="56" t="n">
        <f aca="false">IF(OR(F4668&lt;&gt;0,AND(I4668&lt;&gt;"",E4668&lt;I4668)),1,0)</f>
        <v>1</v>
      </c>
      <c r="R4668" s="56" t="n">
        <f aca="false">IF(AND(D4668&gt;1,Q4668=0,ISNUMBER(O4668),ISNUMBER(P4668)),IF(Q4667=0,1,0),0)</f>
        <v>0</v>
      </c>
      <c r="S4668" s="56" t="n">
        <f aca="false">R4668*(B4668&gt;=Train_Start)*(B4668&lt;=Train_End)</f>
        <v>0</v>
      </c>
      <c r="T4668" s="84" t="n">
        <f aca="false">IF(AND(ISNUMBER(O4668),ISNUMBER(P4668)),Coef_A+Coef_B1*O4668+Coef_B2*P4668,"")</f>
        <v>24.1623317474411</v>
      </c>
      <c r="U4668" s="84" t="str">
        <f aca="false">IF(AND(R4668=1,ISNUMBER(T4668)),E4668-T4668,"")</f>
        <v/>
      </c>
      <c r="V4668" s="84" t="n">
        <f aca="false">IF(ISNUMBER(T4668),T4668,-99)</f>
        <v>24.1623317474411</v>
      </c>
      <c r="W4668" s="84" t="str">
        <f aca="false">IF(ISNUMBER(U4668),ABS(U4668),"")</f>
        <v/>
      </c>
    </row>
    <row r="4669" customFormat="false" ht="15" hidden="false" customHeight="false" outlineLevel="0" collapsed="false">
      <c r="A4669" s="57" t="n">
        <v>40011</v>
      </c>
      <c r="B4669" s="56" t="n">
        <v>2009</v>
      </c>
      <c r="C4669" s="56" t="n">
        <v>7</v>
      </c>
      <c r="D4669" s="56" t="n">
        <v>78</v>
      </c>
      <c r="E4669" s="56" t="n">
        <v>21.8</v>
      </c>
      <c r="F4669" s="56" t="n">
        <v>0</v>
      </c>
      <c r="G4669" s="56" t="n">
        <v>14.7</v>
      </c>
      <c r="H4669" s="56" t="n">
        <v>0</v>
      </c>
      <c r="I4669" s="56" t="n">
        <v>16.7</v>
      </c>
      <c r="J4669" s="56" t="n">
        <v>0</v>
      </c>
      <c r="K4669" s="56" t="n">
        <v>1005.1</v>
      </c>
      <c r="L4669" s="56" t="n">
        <v>0</v>
      </c>
      <c r="M4669" s="56" t="n">
        <v>87</v>
      </c>
      <c r="N4669" s="56" t="n">
        <v>0.9</v>
      </c>
      <c r="O4669" s="56" t="n">
        <f aca="false">IF(D4669=1,"",E4668)</f>
        <v>18.7</v>
      </c>
      <c r="P4669" s="56" t="n">
        <f aca="false">IF(OR(D4669=1,K4668=""),"",K4668)</f>
        <v>1016.8</v>
      </c>
      <c r="Q4669" s="56" t="n">
        <f aca="false">IF(OR(F4669&lt;&gt;0,AND(I4669&lt;&gt;"",E4669&lt;I4669)),1,0)</f>
        <v>0</v>
      </c>
      <c r="R4669" s="56" t="n">
        <f aca="false">IF(AND(D4669&gt;1,Q4669=0,ISNUMBER(O4669),ISNUMBER(P4669)),IF(Q4668=0,1,0),0)</f>
        <v>0</v>
      </c>
      <c r="S4669" s="56" t="n">
        <f aca="false">R4669*(B4669&gt;=Train_Start)*(B4669&lt;=Train_End)</f>
        <v>0</v>
      </c>
      <c r="T4669" s="84" t="n">
        <f aca="false">IF(AND(ISNUMBER(O4669),ISNUMBER(P4669)),Coef_A+Coef_B1*O4669+Coef_B2*P4669,"")</f>
        <v>19.3055271957338</v>
      </c>
      <c r="U4669" s="84" t="str">
        <f aca="false">IF(AND(R4669=1,ISNUMBER(T4669)),E4669-T4669,"")</f>
        <v/>
      </c>
      <c r="V4669" s="84" t="n">
        <f aca="false">IF(ISNUMBER(T4669),T4669,-99)</f>
        <v>19.3055271957338</v>
      </c>
      <c r="W4669" s="84" t="str">
        <f aca="false">IF(ISNUMBER(U4669),ABS(U4669),"")</f>
        <v/>
      </c>
    </row>
    <row r="4670" customFormat="false" ht="15" hidden="false" customHeight="false" outlineLevel="0" collapsed="false">
      <c r="A4670" s="57" t="n">
        <v>40012</v>
      </c>
      <c r="B4670" s="56" t="n">
        <v>2009</v>
      </c>
      <c r="C4670" s="56" t="n">
        <v>7</v>
      </c>
      <c r="D4670" s="56" t="n">
        <v>79</v>
      </c>
      <c r="E4670" s="56" t="n">
        <v>21.3</v>
      </c>
      <c r="F4670" s="56" t="n">
        <v>0</v>
      </c>
      <c r="G4670" s="56" t="n">
        <v>13.2</v>
      </c>
      <c r="H4670" s="56" t="n">
        <v>0</v>
      </c>
      <c r="I4670" s="56" t="n">
        <v>17.5</v>
      </c>
      <c r="J4670" s="56" t="n">
        <v>0</v>
      </c>
      <c r="K4670" s="56" t="n">
        <v>1010.2</v>
      </c>
      <c r="L4670" s="56" t="n">
        <v>0</v>
      </c>
      <c r="M4670" s="56" t="n">
        <v>70</v>
      </c>
      <c r="N4670" s="56" t="n">
        <v>7</v>
      </c>
      <c r="O4670" s="56" t="n">
        <f aca="false">IF(D4670=1,"",E4669)</f>
        <v>21.8</v>
      </c>
      <c r="P4670" s="56" t="n">
        <f aca="false">IF(OR(D4670=1,K4669=""),"",K4669)</f>
        <v>1005.1</v>
      </c>
      <c r="Q4670" s="56" t="n">
        <f aca="false">IF(OR(F4670&lt;&gt;0,AND(I4670&lt;&gt;"",E4670&lt;I4670)),1,0)</f>
        <v>0</v>
      </c>
      <c r="R4670" s="56" t="n">
        <f aca="false">IF(AND(D4670&gt;1,Q4670=0,ISNUMBER(O4670),ISNUMBER(P4670)),IF(Q4669=0,1,0),0)</f>
        <v>1</v>
      </c>
      <c r="S4670" s="56" t="n">
        <f aca="false">R4670*(B4670&gt;=Train_Start)*(B4670&lt;=Train_End)</f>
        <v>0</v>
      </c>
      <c r="T4670" s="84" t="n">
        <f aca="false">IF(AND(ISNUMBER(O4670),ISNUMBER(P4670)),Coef_A+Coef_B1*O4670+Coef_B2*P4670,"")</f>
        <v>21.4784509269484</v>
      </c>
      <c r="U4670" s="84" t="n">
        <f aca="false">IF(AND(R4670=1,ISNUMBER(T4670)),E4670-T4670,"")</f>
        <v>-0.178450926948372</v>
      </c>
      <c r="V4670" s="84" t="n">
        <f aca="false">IF(ISNUMBER(T4670),T4670,-99)</f>
        <v>21.4784509269484</v>
      </c>
      <c r="W4670" s="84" t="n">
        <f aca="false">IF(ISNUMBER(U4670),ABS(U4670),"")</f>
        <v>0.178450926948372</v>
      </c>
    </row>
    <row r="4671" customFormat="false" ht="15" hidden="false" customHeight="false" outlineLevel="0" collapsed="false">
      <c r="A4671" s="57" t="n">
        <v>40013</v>
      </c>
      <c r="B4671" s="56" t="n">
        <v>2009</v>
      </c>
      <c r="C4671" s="56" t="n">
        <v>7</v>
      </c>
      <c r="D4671" s="56" t="n">
        <v>80</v>
      </c>
      <c r="E4671" s="56" t="n">
        <v>22.4</v>
      </c>
      <c r="F4671" s="56" t="n">
        <v>0</v>
      </c>
      <c r="G4671" s="56" t="n">
        <v>12.8</v>
      </c>
      <c r="H4671" s="56" t="n">
        <v>0</v>
      </c>
      <c r="I4671" s="56" t="n">
        <v>17.1</v>
      </c>
      <c r="J4671" s="56" t="n">
        <v>0</v>
      </c>
      <c r="K4671" s="56" t="n">
        <v>1010.8</v>
      </c>
      <c r="L4671" s="56" t="n">
        <v>0</v>
      </c>
      <c r="M4671" s="56" t="n">
        <v>74</v>
      </c>
      <c r="N4671" s="56" t="n">
        <v>1.1</v>
      </c>
      <c r="O4671" s="56" t="n">
        <f aca="false">IF(D4671=1,"",E4670)</f>
        <v>21.3</v>
      </c>
      <c r="P4671" s="56" t="n">
        <f aca="false">IF(OR(D4671=1,K4670=""),"",K4670)</f>
        <v>1010.2</v>
      </c>
      <c r="Q4671" s="56" t="n">
        <f aca="false">IF(OR(F4671&lt;&gt;0,AND(I4671&lt;&gt;"",E4671&lt;I4671)),1,0)</f>
        <v>0</v>
      </c>
      <c r="R4671" s="56" t="n">
        <f aca="false">IF(AND(D4671&gt;1,Q4671=0,ISNUMBER(O4671),ISNUMBER(P4671)),IF(Q4670=0,1,0),0)</f>
        <v>1</v>
      </c>
      <c r="S4671" s="56" t="n">
        <f aca="false">R4671*(B4671&gt;=Train_Start)*(B4671&lt;=Train_End)</f>
        <v>0</v>
      </c>
      <c r="T4671" s="84" t="n">
        <f aca="false">IF(AND(ISNUMBER(O4671),ISNUMBER(P4671)),Coef_A+Coef_B1*O4671+Coef_B2*P4671,"")</f>
        <v>21.2287677930604</v>
      </c>
      <c r="U4671" s="84" t="n">
        <f aca="false">IF(AND(R4671=1,ISNUMBER(T4671)),E4671-T4671,"")</f>
        <v>1.17123220693961</v>
      </c>
      <c r="V4671" s="84" t="n">
        <f aca="false">IF(ISNUMBER(T4671),T4671,-99)</f>
        <v>21.2287677930604</v>
      </c>
      <c r="W4671" s="84" t="n">
        <f aca="false">IF(ISNUMBER(U4671),ABS(U4671),"")</f>
        <v>1.17123220693961</v>
      </c>
    </row>
    <row r="4672" customFormat="false" ht="15" hidden="false" customHeight="false" outlineLevel="0" collapsed="false">
      <c r="A4672" s="57" t="n">
        <v>40014</v>
      </c>
      <c r="B4672" s="56" t="n">
        <v>2009</v>
      </c>
      <c r="C4672" s="56" t="n">
        <v>7</v>
      </c>
      <c r="D4672" s="56" t="n">
        <v>81</v>
      </c>
      <c r="E4672" s="56" t="n">
        <v>22.5</v>
      </c>
      <c r="F4672" s="56" t="n">
        <v>0</v>
      </c>
      <c r="G4672" s="56" t="n">
        <v>12.1</v>
      </c>
      <c r="H4672" s="56" t="n">
        <v>0</v>
      </c>
      <c r="I4672" s="56" t="n">
        <v>17.3</v>
      </c>
      <c r="J4672" s="56" t="n">
        <v>0</v>
      </c>
      <c r="K4672" s="56" t="n">
        <v>1014.5</v>
      </c>
      <c r="L4672" s="56" t="n">
        <v>0</v>
      </c>
      <c r="M4672" s="56" t="n">
        <v>68</v>
      </c>
      <c r="N4672" s="56" t="n">
        <v>4.7</v>
      </c>
      <c r="O4672" s="56" t="n">
        <f aca="false">IF(D4672=1,"",E4671)</f>
        <v>22.4</v>
      </c>
      <c r="P4672" s="56" t="n">
        <f aca="false">IF(OR(D4672=1,K4671=""),"",K4671)</f>
        <v>1010.8</v>
      </c>
      <c r="Q4672" s="56" t="n">
        <f aca="false">IF(OR(F4672&lt;&gt;0,AND(I4672&lt;&gt;"",E4672&lt;I4672)),1,0)</f>
        <v>0</v>
      </c>
      <c r="R4672" s="56" t="n">
        <f aca="false">IF(AND(D4672&gt;1,Q4672=0,ISNUMBER(O4672),ISNUMBER(P4672)),IF(Q4671=0,1,0),0)</f>
        <v>1</v>
      </c>
      <c r="S4672" s="56" t="n">
        <f aca="false">R4672*(B4672&gt;=Train_Start)*(B4672&lt;=Train_End)</f>
        <v>0</v>
      </c>
      <c r="T4672" s="84" t="n">
        <f aca="false">IF(AND(ISNUMBER(O4672),ISNUMBER(P4672)),Coef_A+Coef_B1*O4672+Coef_B2*P4672,"")</f>
        <v>22.1488628421877</v>
      </c>
      <c r="U4672" s="84" t="n">
        <f aca="false">IF(AND(R4672=1,ISNUMBER(T4672)),E4672-T4672,"")</f>
        <v>0.3511371578123</v>
      </c>
      <c r="V4672" s="84" t="n">
        <f aca="false">IF(ISNUMBER(T4672),T4672,-99)</f>
        <v>22.1488628421877</v>
      </c>
      <c r="W4672" s="84" t="n">
        <f aca="false">IF(ISNUMBER(U4672),ABS(U4672),"")</f>
        <v>0.3511371578123</v>
      </c>
    </row>
    <row r="4673" customFormat="false" ht="15" hidden="false" customHeight="false" outlineLevel="0" collapsed="false">
      <c r="A4673" s="57" t="n">
        <v>40015</v>
      </c>
      <c r="B4673" s="56" t="n">
        <v>2009</v>
      </c>
      <c r="C4673" s="56" t="n">
        <v>7</v>
      </c>
      <c r="D4673" s="56" t="n">
        <v>82</v>
      </c>
      <c r="E4673" s="56" t="n">
        <v>23.2</v>
      </c>
      <c r="F4673" s="56" t="n">
        <v>0</v>
      </c>
      <c r="G4673" s="56" t="n">
        <v>13.8</v>
      </c>
      <c r="H4673" s="56" t="n">
        <v>0</v>
      </c>
      <c r="I4673" s="56" t="n">
        <v>18.2</v>
      </c>
      <c r="J4673" s="56" t="n">
        <v>0</v>
      </c>
      <c r="K4673" s="56" t="n">
        <v>1006.9</v>
      </c>
      <c r="L4673" s="56" t="n">
        <v>0</v>
      </c>
      <c r="M4673" s="56" t="n">
        <v>84</v>
      </c>
      <c r="N4673" s="56" t="n">
        <v>0.1</v>
      </c>
      <c r="O4673" s="56" t="n">
        <f aca="false">IF(D4673=1,"",E4672)</f>
        <v>22.5</v>
      </c>
      <c r="P4673" s="56" t="n">
        <f aca="false">IF(OR(D4673=1,K4672=""),"",K4672)</f>
        <v>1014.5</v>
      </c>
      <c r="Q4673" s="56" t="n">
        <f aca="false">IF(OR(F4673&lt;&gt;0,AND(I4673&lt;&gt;"",E4673&lt;I4673)),1,0)</f>
        <v>0</v>
      </c>
      <c r="R4673" s="56" t="n">
        <f aca="false">IF(AND(D4673&gt;1,Q4673=0,ISNUMBER(O4673),ISNUMBER(P4673)),IF(Q4672=0,1,0),0)</f>
        <v>1</v>
      </c>
      <c r="S4673" s="56" t="n">
        <f aca="false">R4673*(B4673&gt;=Train_Start)*(B4673&lt;=Train_End)</f>
        <v>0</v>
      </c>
      <c r="T4673" s="84" t="n">
        <f aca="false">IF(AND(ISNUMBER(O4673),ISNUMBER(P4673)),Coef_A+Coef_B1*O4673+Coef_B2*P4673,"")</f>
        <v>22.3468653716377</v>
      </c>
      <c r="U4673" s="84" t="n">
        <f aca="false">IF(AND(R4673=1,ISNUMBER(T4673)),E4673-T4673,"")</f>
        <v>0.853134628362266</v>
      </c>
      <c r="V4673" s="84" t="n">
        <f aca="false">IF(ISNUMBER(T4673),T4673,-99)</f>
        <v>22.3468653716377</v>
      </c>
      <c r="W4673" s="84" t="n">
        <f aca="false">IF(ISNUMBER(U4673),ABS(U4673),"")</f>
        <v>0.853134628362266</v>
      </c>
    </row>
    <row r="4674" customFormat="false" ht="15" hidden="false" customHeight="false" outlineLevel="0" collapsed="false">
      <c r="A4674" s="57" t="n">
        <v>40016</v>
      </c>
      <c r="B4674" s="56" t="n">
        <v>2009</v>
      </c>
      <c r="C4674" s="56" t="n">
        <v>7</v>
      </c>
      <c r="D4674" s="56" t="n">
        <v>83</v>
      </c>
      <c r="E4674" s="56" t="n">
        <v>22.8</v>
      </c>
      <c r="F4674" s="56" t="n">
        <v>0</v>
      </c>
      <c r="G4674" s="56" t="n">
        <v>14.7</v>
      </c>
      <c r="H4674" s="56" t="n">
        <v>0</v>
      </c>
      <c r="I4674" s="56" t="n">
        <v>19</v>
      </c>
      <c r="J4674" s="56" t="n">
        <v>0</v>
      </c>
      <c r="K4674" s="56" t="n">
        <v>1002.6</v>
      </c>
      <c r="L4674" s="56" t="n">
        <v>0</v>
      </c>
      <c r="M4674" s="56" t="n">
        <v>73</v>
      </c>
      <c r="N4674" s="56" t="n">
        <v>4.4</v>
      </c>
      <c r="O4674" s="56" t="n">
        <f aca="false">IF(D4674=1,"",E4673)</f>
        <v>23.2</v>
      </c>
      <c r="P4674" s="56" t="n">
        <f aca="false">IF(OR(D4674=1,K4673=""),"",K4673)</f>
        <v>1006.9</v>
      </c>
      <c r="Q4674" s="56" t="n">
        <f aca="false">IF(OR(F4674&lt;&gt;0,AND(I4674&lt;&gt;"",E4674&lt;I4674)),1,0)</f>
        <v>0</v>
      </c>
      <c r="R4674" s="56" t="n">
        <f aca="false">IF(AND(D4674&gt;1,Q4674=0,ISNUMBER(O4674),ISNUMBER(P4674)),IF(Q4673=0,1,0),0)</f>
        <v>1</v>
      </c>
      <c r="S4674" s="56" t="n">
        <f aca="false">R4674*(B4674&gt;=Train_Start)*(B4674&lt;=Train_End)</f>
        <v>0</v>
      </c>
      <c r="T4674" s="84" t="n">
        <f aca="false">IF(AND(ISNUMBER(O4674),ISNUMBER(P4674)),Coef_A+Coef_B1*O4674+Coef_B2*P4674,"")</f>
        <v>22.6819916075493</v>
      </c>
      <c r="U4674" s="84" t="n">
        <f aca="false">IF(AND(R4674=1,ISNUMBER(T4674)),E4674-T4674,"")</f>
        <v>0.118008392450729</v>
      </c>
      <c r="V4674" s="84" t="n">
        <f aca="false">IF(ISNUMBER(T4674),T4674,-99)</f>
        <v>22.6819916075493</v>
      </c>
      <c r="W4674" s="84" t="n">
        <f aca="false">IF(ISNUMBER(U4674),ABS(U4674),"")</f>
        <v>0.118008392450729</v>
      </c>
    </row>
    <row r="4675" customFormat="false" ht="15" hidden="false" customHeight="false" outlineLevel="0" collapsed="false">
      <c r="A4675" s="57" t="n">
        <v>40017</v>
      </c>
      <c r="B4675" s="56" t="n">
        <v>2009</v>
      </c>
      <c r="C4675" s="56" t="n">
        <v>7</v>
      </c>
      <c r="D4675" s="56" t="n">
        <v>84</v>
      </c>
      <c r="E4675" s="56" t="n">
        <v>20.4</v>
      </c>
      <c r="F4675" s="56" t="n">
        <v>0</v>
      </c>
      <c r="G4675" s="56" t="n">
        <v>14</v>
      </c>
      <c r="H4675" s="56" t="n">
        <v>0</v>
      </c>
      <c r="I4675" s="56" t="n">
        <v>18.4</v>
      </c>
      <c r="J4675" s="56" t="n">
        <v>0</v>
      </c>
      <c r="K4675" s="56" t="n">
        <v>1003.8</v>
      </c>
      <c r="L4675" s="56" t="n">
        <v>0</v>
      </c>
      <c r="M4675" s="56" t="n">
        <v>77</v>
      </c>
      <c r="N4675" s="56" t="n">
        <v>4.5</v>
      </c>
      <c r="O4675" s="56" t="n">
        <f aca="false">IF(D4675=1,"",E4674)</f>
        <v>22.8</v>
      </c>
      <c r="P4675" s="56" t="n">
        <f aca="false">IF(OR(D4675=1,K4674=""),"",K4674)</f>
        <v>1002.6</v>
      </c>
      <c r="Q4675" s="56" t="n">
        <f aca="false">IF(OR(F4675&lt;&gt;0,AND(I4675&lt;&gt;"",E4675&lt;I4675)),1,0)</f>
        <v>0</v>
      </c>
      <c r="R4675" s="56" t="n">
        <f aca="false">IF(AND(D4675&gt;1,Q4675=0,ISNUMBER(O4675),ISNUMBER(P4675)),IF(Q4674=0,1,0),0)</f>
        <v>1</v>
      </c>
      <c r="S4675" s="56" t="n">
        <f aca="false">R4675*(B4675&gt;=Train_Start)*(B4675&lt;=Train_End)</f>
        <v>0</v>
      </c>
      <c r="T4675" s="84" t="n">
        <f aca="false">IF(AND(ISNUMBER(O4675),ISNUMBER(P4675)),Coef_A+Coef_B1*O4675+Coef_B2*P4675,"")</f>
        <v>22.2193653834061</v>
      </c>
      <c r="U4675" s="84" t="n">
        <f aca="false">IF(AND(R4675=1,ISNUMBER(T4675)),E4675-T4675,"")</f>
        <v>-1.81936538340606</v>
      </c>
      <c r="V4675" s="84" t="n">
        <f aca="false">IF(ISNUMBER(T4675),T4675,-99)</f>
        <v>22.2193653834061</v>
      </c>
      <c r="W4675" s="84" t="n">
        <f aca="false">IF(ISNUMBER(U4675),ABS(U4675),"")</f>
        <v>1.81936538340606</v>
      </c>
    </row>
    <row r="4676" customFormat="false" ht="15" hidden="false" customHeight="false" outlineLevel="0" collapsed="false">
      <c r="A4676" s="57" t="n">
        <v>40018</v>
      </c>
      <c r="B4676" s="56" t="n">
        <v>2009</v>
      </c>
      <c r="C4676" s="56" t="n">
        <v>7</v>
      </c>
      <c r="D4676" s="56" t="n">
        <v>85</v>
      </c>
      <c r="E4676" s="56" t="n">
        <v>24.6</v>
      </c>
      <c r="F4676" s="56" t="n">
        <v>0</v>
      </c>
      <c r="G4676" s="56" t="n">
        <v>13.5</v>
      </c>
      <c r="H4676" s="56" t="n">
        <v>0</v>
      </c>
      <c r="I4676" s="56" t="n">
        <v>17</v>
      </c>
      <c r="J4676" s="56" t="n">
        <v>0</v>
      </c>
      <c r="K4676" s="56" t="n">
        <v>1010.8</v>
      </c>
      <c r="L4676" s="56" t="n">
        <v>0</v>
      </c>
      <c r="M4676" s="56" t="n">
        <v>78</v>
      </c>
      <c r="N4676" s="56" t="n">
        <v>5.9</v>
      </c>
      <c r="O4676" s="56" t="n">
        <f aca="false">IF(D4676=1,"",E4675)</f>
        <v>20.4</v>
      </c>
      <c r="P4676" s="56" t="n">
        <f aca="false">IF(OR(D4676=1,K4675=""),"",K4675)</f>
        <v>1003.8</v>
      </c>
      <c r="Q4676" s="56" t="n">
        <f aca="false">IF(OR(F4676&lt;&gt;0,AND(I4676&lt;&gt;"",E4676&lt;I4676)),1,0)</f>
        <v>0</v>
      </c>
      <c r="R4676" s="56" t="n">
        <f aca="false">IF(AND(D4676&gt;1,Q4676=0,ISNUMBER(O4676),ISNUMBER(P4676)),IF(Q4675=0,1,0),0)</f>
        <v>1</v>
      </c>
      <c r="S4676" s="56" t="n">
        <f aca="false">R4676*(B4676&gt;=Train_Start)*(B4676&lt;=Train_End)</f>
        <v>0</v>
      </c>
      <c r="T4676" s="84" t="n">
        <f aca="false">IF(AND(ISNUMBER(O4676),ISNUMBER(P4676)),Coef_A+Coef_B1*O4676+Coef_B2*P4676,"")</f>
        <v>20.2905951936645</v>
      </c>
      <c r="U4676" s="84" t="n">
        <f aca="false">IF(AND(R4676=1,ISNUMBER(T4676)),E4676-T4676,"")</f>
        <v>4.30940480633554</v>
      </c>
      <c r="V4676" s="84" t="n">
        <f aca="false">IF(ISNUMBER(T4676),T4676,-99)</f>
        <v>20.2905951936645</v>
      </c>
      <c r="W4676" s="84" t="n">
        <f aca="false">IF(ISNUMBER(U4676),ABS(U4676),"")</f>
        <v>4.30940480633554</v>
      </c>
    </row>
    <row r="4677" customFormat="false" ht="15" hidden="false" customHeight="false" outlineLevel="0" collapsed="false">
      <c r="A4677" s="57" t="n">
        <v>40019</v>
      </c>
      <c r="B4677" s="56" t="n">
        <v>2009</v>
      </c>
      <c r="C4677" s="56" t="n">
        <v>7</v>
      </c>
      <c r="D4677" s="56" t="n">
        <v>86</v>
      </c>
      <c r="E4677" s="56" t="n">
        <v>22.2</v>
      </c>
      <c r="F4677" s="56" t="n">
        <v>0</v>
      </c>
      <c r="G4677" s="56" t="n">
        <v>12.3</v>
      </c>
      <c r="H4677" s="56" t="n">
        <v>0</v>
      </c>
      <c r="I4677" s="56" t="n">
        <v>18.5</v>
      </c>
      <c r="J4677" s="56" t="n">
        <v>0</v>
      </c>
      <c r="K4677" s="56" t="n">
        <v>1021</v>
      </c>
      <c r="L4677" s="56" t="n">
        <v>0</v>
      </c>
      <c r="M4677" s="56" t="n">
        <v>71</v>
      </c>
      <c r="N4677" s="56" t="n">
        <v>9.6</v>
      </c>
      <c r="O4677" s="56" t="n">
        <f aca="false">IF(D4677=1,"",E4676)</f>
        <v>24.6</v>
      </c>
      <c r="P4677" s="56" t="n">
        <f aca="false">IF(OR(D4677=1,K4676=""),"",K4676)</f>
        <v>1010.8</v>
      </c>
      <c r="Q4677" s="56" t="n">
        <f aca="false">IF(OR(F4677&lt;&gt;0,AND(I4677&lt;&gt;"",E4677&lt;I4677)),1,0)</f>
        <v>0</v>
      </c>
      <c r="R4677" s="56" t="n">
        <f aca="false">IF(AND(D4677&gt;1,Q4677=0,ISNUMBER(O4677),ISNUMBER(P4677)),IF(Q4676=0,1,0),0)</f>
        <v>1</v>
      </c>
      <c r="S4677" s="56" t="n">
        <f aca="false">R4677*(B4677&gt;=Train_Start)*(B4677&lt;=Train_End)</f>
        <v>0</v>
      </c>
      <c r="T4677" s="84" t="n">
        <f aca="false">IF(AND(ISNUMBER(O4677),ISNUMBER(P4677)),Coef_A+Coef_B1*O4677+Coef_B2*P4677,"")</f>
        <v>23.9514090668816</v>
      </c>
      <c r="U4677" s="84" t="n">
        <f aca="false">IF(AND(R4677=1,ISNUMBER(T4677)),E4677-T4677,"")</f>
        <v>-1.75140906688155</v>
      </c>
      <c r="V4677" s="84" t="n">
        <f aca="false">IF(ISNUMBER(T4677),T4677,-99)</f>
        <v>23.9514090668816</v>
      </c>
      <c r="W4677" s="84" t="n">
        <f aca="false">IF(ISNUMBER(U4677),ABS(U4677),"")</f>
        <v>1.75140906688155</v>
      </c>
    </row>
    <row r="4678" customFormat="false" ht="15" hidden="false" customHeight="false" outlineLevel="0" collapsed="false">
      <c r="A4678" s="57" t="n">
        <v>40020</v>
      </c>
      <c r="B4678" s="56" t="n">
        <v>2009</v>
      </c>
      <c r="C4678" s="56" t="n">
        <v>7</v>
      </c>
      <c r="D4678" s="56" t="n">
        <v>87</v>
      </c>
      <c r="E4678" s="56" t="n">
        <v>22.4</v>
      </c>
      <c r="F4678" s="56" t="n">
        <v>0</v>
      </c>
      <c r="G4678" s="56" t="n">
        <v>13.4</v>
      </c>
      <c r="H4678" s="56" t="n">
        <v>0</v>
      </c>
      <c r="I4678" s="56" t="n">
        <v>17.8</v>
      </c>
      <c r="J4678" s="56" t="n">
        <v>0</v>
      </c>
      <c r="K4678" s="56" t="n">
        <v>1017.4</v>
      </c>
      <c r="L4678" s="56" t="n">
        <v>0</v>
      </c>
      <c r="M4678" s="56" t="n">
        <v>80</v>
      </c>
      <c r="N4678" s="56" t="n">
        <v>0.5</v>
      </c>
      <c r="O4678" s="56" t="n">
        <f aca="false">IF(D4678=1,"",E4677)</f>
        <v>22.2</v>
      </c>
      <c r="P4678" s="56" t="n">
        <f aca="false">IF(OR(D4678=1,K4677=""),"",K4677)</f>
        <v>1021</v>
      </c>
      <c r="Q4678" s="56" t="n">
        <f aca="false">IF(OR(F4678&lt;&gt;0,AND(I4678&lt;&gt;"",E4678&lt;I4678)),1,0)</f>
        <v>0</v>
      </c>
      <c r="R4678" s="56" t="n">
        <f aca="false">IF(AND(D4678&gt;1,Q4678=0,ISNUMBER(O4678),ISNUMBER(P4678)),IF(Q4677=0,1,0),0)</f>
        <v>1</v>
      </c>
      <c r="S4678" s="56" t="n">
        <f aca="false">R4678*(B4678&gt;=Train_Start)*(B4678&lt;=Train_End)</f>
        <v>0</v>
      </c>
      <c r="T4678" s="84" t="n">
        <f aca="false">IF(AND(ISNUMBER(O4678),ISNUMBER(P4678)),Coef_A+Coef_B1*O4678+Coef_B2*P4678,"")</f>
        <v>22.3049679288459</v>
      </c>
      <c r="U4678" s="84" t="n">
        <f aca="false">IF(AND(R4678=1,ISNUMBER(T4678)),E4678-T4678,"")</f>
        <v>0.095032071154133</v>
      </c>
      <c r="V4678" s="84" t="n">
        <f aca="false">IF(ISNUMBER(T4678),T4678,-99)</f>
        <v>22.3049679288459</v>
      </c>
      <c r="W4678" s="84" t="n">
        <f aca="false">IF(ISNUMBER(U4678),ABS(U4678),"")</f>
        <v>0.095032071154133</v>
      </c>
    </row>
    <row r="4679" customFormat="false" ht="15" hidden="false" customHeight="false" outlineLevel="0" collapsed="false">
      <c r="A4679" s="57" t="n">
        <v>40021</v>
      </c>
      <c r="B4679" s="56" t="n">
        <v>2009</v>
      </c>
      <c r="C4679" s="56" t="n">
        <v>7</v>
      </c>
      <c r="D4679" s="56" t="n">
        <v>88</v>
      </c>
      <c r="E4679" s="56" t="n">
        <v>22.1</v>
      </c>
      <c r="F4679" s="56" t="n">
        <v>0</v>
      </c>
      <c r="G4679" s="56" t="n">
        <v>13</v>
      </c>
      <c r="H4679" s="56" t="n">
        <v>0</v>
      </c>
      <c r="I4679" s="56" t="n">
        <v>17.7</v>
      </c>
      <c r="J4679" s="56" t="n">
        <v>0</v>
      </c>
      <c r="K4679" s="56" t="n">
        <v>1012.1</v>
      </c>
      <c r="L4679" s="56" t="n">
        <v>0</v>
      </c>
      <c r="M4679" s="56" t="n">
        <v>75</v>
      </c>
      <c r="N4679" s="56" t="n">
        <v>5.8</v>
      </c>
      <c r="O4679" s="56" t="n">
        <f aca="false">IF(D4679=1,"",E4678)</f>
        <v>22.4</v>
      </c>
      <c r="P4679" s="56" t="n">
        <f aca="false">IF(OR(D4679=1,K4678=""),"",K4678)</f>
        <v>1017.4</v>
      </c>
      <c r="Q4679" s="56" t="n">
        <f aca="false">IF(OR(F4679&lt;&gt;0,AND(I4679&lt;&gt;"",E4679&lt;I4679)),1,0)</f>
        <v>0</v>
      </c>
      <c r="R4679" s="56" t="n">
        <f aca="false">IF(AND(D4679&gt;1,Q4679=0,ISNUMBER(O4679),ISNUMBER(P4679)),IF(Q4678=0,1,0),0)</f>
        <v>1</v>
      </c>
      <c r="S4679" s="56" t="n">
        <f aca="false">R4679*(B4679&gt;=Train_Start)*(B4679&lt;=Train_End)</f>
        <v>0</v>
      </c>
      <c r="T4679" s="84" t="n">
        <f aca="false">IF(AND(ISNUMBER(O4679),ISNUMBER(P4679)),Coef_A+Coef_B1*O4679+Coef_B2*P4679,"")</f>
        <v>22.355904146772</v>
      </c>
      <c r="U4679" s="84" t="n">
        <f aca="false">IF(AND(R4679=1,ISNUMBER(T4679)),E4679-T4679,"")</f>
        <v>-0.255904146772032</v>
      </c>
      <c r="V4679" s="84" t="n">
        <f aca="false">IF(ISNUMBER(T4679),T4679,-99)</f>
        <v>22.355904146772</v>
      </c>
      <c r="W4679" s="84" t="n">
        <f aca="false">IF(ISNUMBER(U4679),ABS(U4679),"")</f>
        <v>0.255904146772032</v>
      </c>
    </row>
    <row r="4680" customFormat="false" ht="15" hidden="false" customHeight="false" outlineLevel="0" collapsed="false">
      <c r="A4680" s="57" t="n">
        <v>40022</v>
      </c>
      <c r="B4680" s="56" t="n">
        <v>2009</v>
      </c>
      <c r="C4680" s="56" t="n">
        <v>7</v>
      </c>
      <c r="D4680" s="56" t="n">
        <v>89</v>
      </c>
      <c r="E4680" s="56" t="n">
        <v>21</v>
      </c>
      <c r="F4680" s="56" t="n">
        <v>0</v>
      </c>
      <c r="G4680" s="56" t="n">
        <v>12.3</v>
      </c>
      <c r="H4680" s="56" t="n">
        <v>0</v>
      </c>
      <c r="I4680" s="56" t="n">
        <v>17.2</v>
      </c>
      <c r="J4680" s="56" t="n">
        <v>0</v>
      </c>
      <c r="K4680" s="56" t="n">
        <v>1017.3</v>
      </c>
      <c r="L4680" s="56" t="n">
        <v>0</v>
      </c>
      <c r="M4680" s="56" t="n">
        <v>69</v>
      </c>
      <c r="N4680" s="56" t="n">
        <v>5.8</v>
      </c>
      <c r="O4680" s="56" t="n">
        <f aca="false">IF(D4680=1,"",E4679)</f>
        <v>22.1</v>
      </c>
      <c r="P4680" s="56" t="n">
        <f aca="false">IF(OR(D4680=1,K4679=""),"",K4679)</f>
        <v>1012.1</v>
      </c>
      <c r="Q4680" s="56" t="n">
        <f aca="false">IF(OR(F4680&lt;&gt;0,AND(I4680&lt;&gt;"",E4680&lt;I4680)),1,0)</f>
        <v>0</v>
      </c>
      <c r="R4680" s="56" t="n">
        <f aca="false">IF(AND(D4680&gt;1,Q4680=0,ISNUMBER(O4680),ISNUMBER(P4680)),IF(Q4679=0,1,0),0)</f>
        <v>1</v>
      </c>
      <c r="S4680" s="56" t="n">
        <f aca="false">R4680*(B4680&gt;=Train_Start)*(B4680&lt;=Train_End)</f>
        <v>0</v>
      </c>
      <c r="T4680" s="84" t="n">
        <f aca="false">IF(AND(ISNUMBER(O4680),ISNUMBER(P4680)),Coef_A+Coef_B1*O4680+Coef_B2*P4680,"")</f>
        <v>21.9438419472991</v>
      </c>
      <c r="U4680" s="84" t="n">
        <f aca="false">IF(AND(R4680=1,ISNUMBER(T4680)),E4680-T4680,"")</f>
        <v>-0.943841947299095</v>
      </c>
      <c r="V4680" s="84" t="n">
        <f aca="false">IF(ISNUMBER(T4680),T4680,-99)</f>
        <v>21.9438419472991</v>
      </c>
      <c r="W4680" s="84" t="n">
        <f aca="false">IF(ISNUMBER(U4680),ABS(U4680),"")</f>
        <v>0.943841947299095</v>
      </c>
    </row>
    <row r="4681" customFormat="false" ht="15" hidden="false" customHeight="false" outlineLevel="0" collapsed="false">
      <c r="A4681" s="57" t="n">
        <v>40023</v>
      </c>
      <c r="B4681" s="56" t="n">
        <v>2009</v>
      </c>
      <c r="C4681" s="56" t="n">
        <v>7</v>
      </c>
      <c r="D4681" s="56" t="n">
        <v>90</v>
      </c>
      <c r="E4681" s="56" t="n">
        <v>20.7</v>
      </c>
      <c r="F4681" s="56" t="n">
        <v>0</v>
      </c>
      <c r="G4681" s="56" t="n">
        <v>15.1</v>
      </c>
      <c r="H4681" s="56" t="n">
        <v>0</v>
      </c>
      <c r="I4681" s="56" t="n">
        <v>18.1</v>
      </c>
      <c r="J4681" s="56" t="n">
        <v>0</v>
      </c>
      <c r="K4681" s="56" t="n">
        <v>1012.4</v>
      </c>
      <c r="L4681" s="56" t="n">
        <v>0</v>
      </c>
      <c r="M4681" s="56" t="n">
        <v>76</v>
      </c>
      <c r="N4681" s="56" t="n">
        <v>0.6</v>
      </c>
      <c r="O4681" s="56" t="n">
        <f aca="false">IF(D4681=1,"",E4680)</f>
        <v>21</v>
      </c>
      <c r="P4681" s="56" t="n">
        <f aca="false">IF(OR(D4681=1,K4680=""),"",K4680)</f>
        <v>1017.3</v>
      </c>
      <c r="Q4681" s="56" t="n">
        <f aca="false">IF(OR(F4681&lt;&gt;0,AND(I4681&lt;&gt;"",E4681&lt;I4681)),1,0)</f>
        <v>0</v>
      </c>
      <c r="R4681" s="56" t="n">
        <f aca="false">IF(AND(D4681&gt;1,Q4681=0,ISNUMBER(O4681),ISNUMBER(P4681)),IF(Q4680=0,1,0),0)</f>
        <v>1</v>
      </c>
      <c r="S4681" s="56" t="n">
        <f aca="false">R4681*(B4681&gt;=Train_Start)*(B4681&lt;=Train_End)</f>
        <v>0</v>
      </c>
      <c r="T4681" s="84" t="n">
        <f aca="false">IF(AND(ISNUMBER(O4681),ISNUMBER(P4681)),Coef_A+Coef_B1*O4681+Coef_B2*P4681,"")</f>
        <v>21.2056922870489</v>
      </c>
      <c r="U4681" s="84" t="n">
        <f aca="false">IF(AND(R4681=1,ISNUMBER(T4681)),E4681-T4681,"")</f>
        <v>-0.505692287048916</v>
      </c>
      <c r="V4681" s="84" t="n">
        <f aca="false">IF(ISNUMBER(T4681),T4681,-99)</f>
        <v>21.2056922870489</v>
      </c>
      <c r="W4681" s="84" t="n">
        <f aca="false">IF(ISNUMBER(U4681),ABS(U4681),"")</f>
        <v>0.505692287048916</v>
      </c>
    </row>
    <row r="4682" customFormat="false" ht="15" hidden="false" customHeight="false" outlineLevel="0" collapsed="false">
      <c r="A4682" s="57" t="n">
        <v>40024</v>
      </c>
      <c r="B4682" s="56" t="n">
        <v>2009</v>
      </c>
      <c r="C4682" s="56" t="n">
        <v>7</v>
      </c>
      <c r="D4682" s="56" t="n">
        <v>91</v>
      </c>
      <c r="E4682" s="56" t="n">
        <v>22.5</v>
      </c>
      <c r="F4682" s="56" t="n">
        <v>0</v>
      </c>
      <c r="G4682" s="56" t="n">
        <v>11.8</v>
      </c>
      <c r="H4682" s="56" t="n">
        <v>0</v>
      </c>
      <c r="I4682" s="56" t="n">
        <v>16.3</v>
      </c>
      <c r="J4682" s="56" t="n">
        <v>0</v>
      </c>
      <c r="K4682" s="56" t="n">
        <v>1018.7</v>
      </c>
      <c r="L4682" s="56" t="n">
        <v>0</v>
      </c>
      <c r="M4682" s="56" t="n">
        <v>72</v>
      </c>
      <c r="N4682" s="56" t="n">
        <v>8.8</v>
      </c>
      <c r="O4682" s="56" t="n">
        <f aca="false">IF(D4682=1,"",E4681)</f>
        <v>20.7</v>
      </c>
      <c r="P4682" s="56" t="n">
        <f aca="false">IF(OR(D4682=1,K4681=""),"",K4681)</f>
        <v>1012.4</v>
      </c>
      <c r="Q4682" s="56" t="n">
        <f aca="false">IF(OR(F4682&lt;&gt;0,AND(I4682&lt;&gt;"",E4682&lt;I4682)),1,0)</f>
        <v>0</v>
      </c>
      <c r="R4682" s="56" t="n">
        <f aca="false">IF(AND(D4682&gt;1,Q4682=0,ISNUMBER(O4682),ISNUMBER(P4682)),IF(Q4681=0,1,0),0)</f>
        <v>1</v>
      </c>
      <c r="S4682" s="56" t="n">
        <f aca="false">R4682*(B4682&gt;=Train_Start)*(B4682&lt;=Train_End)</f>
        <v>0</v>
      </c>
      <c r="T4682" s="84" t="n">
        <f aca="false">IF(AND(ISNUMBER(O4682),ISNUMBER(P4682)),Coef_A+Coef_B1*O4682+Coef_B2*P4682,"")</f>
        <v>20.8061780454296</v>
      </c>
      <c r="U4682" s="84" t="n">
        <f aca="false">IF(AND(R4682=1,ISNUMBER(T4682)),E4682-T4682,"")</f>
        <v>1.69382195457043</v>
      </c>
      <c r="V4682" s="84" t="n">
        <f aca="false">IF(ISNUMBER(T4682),T4682,-99)</f>
        <v>20.8061780454296</v>
      </c>
      <c r="W4682" s="84" t="n">
        <f aca="false">IF(ISNUMBER(U4682),ABS(U4682),"")</f>
        <v>1.69382195457043</v>
      </c>
    </row>
    <row r="4683" customFormat="false" ht="15" hidden="false" customHeight="false" outlineLevel="0" collapsed="false">
      <c r="A4683" s="57" t="n">
        <v>40025</v>
      </c>
      <c r="B4683" s="56" t="n">
        <v>2009</v>
      </c>
      <c r="C4683" s="56" t="n">
        <v>7</v>
      </c>
      <c r="D4683" s="56" t="n">
        <v>92</v>
      </c>
      <c r="E4683" s="56" t="n">
        <v>20.6</v>
      </c>
      <c r="F4683" s="56" t="n">
        <v>0</v>
      </c>
      <c r="G4683" s="56" t="n">
        <v>11.9</v>
      </c>
      <c r="H4683" s="56" t="n">
        <v>0</v>
      </c>
      <c r="I4683" s="56" t="n">
        <v>17.2</v>
      </c>
      <c r="J4683" s="56" t="n">
        <v>0</v>
      </c>
      <c r="K4683" s="56" t="n">
        <v>1020.2</v>
      </c>
      <c r="L4683" s="56" t="n">
        <v>0</v>
      </c>
      <c r="M4683" s="56" t="n">
        <v>60</v>
      </c>
      <c r="N4683" s="56" t="n">
        <v>6.7</v>
      </c>
      <c r="O4683" s="56" t="n">
        <f aca="false">IF(D4683=1,"",E4682)</f>
        <v>22.5</v>
      </c>
      <c r="P4683" s="56" t="n">
        <f aca="false">IF(OR(D4683=1,K4682=""),"",K4682)</f>
        <v>1018.7</v>
      </c>
      <c r="Q4683" s="56" t="n">
        <f aca="false">IF(OR(F4683&lt;&gt;0,AND(I4683&lt;&gt;"",E4683&lt;I4683)),1,0)</f>
        <v>0</v>
      </c>
      <c r="R4683" s="56" t="n">
        <f aca="false">IF(AND(D4683&gt;1,Q4683=0,ISNUMBER(O4683),ISNUMBER(P4683)),IF(Q4682=0,1,0),0)</f>
        <v>1</v>
      </c>
      <c r="S4683" s="56" t="n">
        <f aca="false">R4683*(B4683&gt;=Train_Start)*(B4683&lt;=Train_End)</f>
        <v>0</v>
      </c>
      <c r="T4683" s="84" t="n">
        <f aca="false">IF(AND(ISNUMBER(O4683),ISNUMBER(P4683)),Coef_A+Coef_B1*O4683+Coef_B2*P4683,"")</f>
        <v>22.4786189291005</v>
      </c>
      <c r="U4683" s="84" t="n">
        <f aca="false">IF(AND(R4683=1,ISNUMBER(T4683)),E4683-T4683,"")</f>
        <v>-1.87861892910049</v>
      </c>
      <c r="V4683" s="84" t="n">
        <f aca="false">IF(ISNUMBER(T4683),T4683,-99)</f>
        <v>22.4786189291005</v>
      </c>
      <c r="W4683" s="84" t="n">
        <f aca="false">IF(ISNUMBER(U4683),ABS(U4683),"")</f>
        <v>1.87861892910049</v>
      </c>
    </row>
    <row r="4684" customFormat="false" ht="15" hidden="false" customHeight="false" outlineLevel="0" collapsed="false">
      <c r="A4684" s="57" t="n">
        <v>40026</v>
      </c>
      <c r="B4684" s="56" t="n">
        <v>2009</v>
      </c>
      <c r="C4684" s="56" t="n">
        <v>8</v>
      </c>
      <c r="D4684" s="56" t="n">
        <v>93</v>
      </c>
      <c r="E4684" s="56" t="n">
        <v>22.2</v>
      </c>
      <c r="F4684" s="56" t="n">
        <v>0</v>
      </c>
      <c r="G4684" s="56" t="n">
        <v>15.5</v>
      </c>
      <c r="H4684" s="56" t="n">
        <v>0</v>
      </c>
      <c r="I4684" s="56" t="n">
        <v>18.1</v>
      </c>
      <c r="J4684" s="56" t="n">
        <v>0</v>
      </c>
      <c r="K4684" s="56" t="n">
        <v>1009.1</v>
      </c>
      <c r="L4684" s="56" t="n">
        <v>0</v>
      </c>
      <c r="M4684" s="56" t="n">
        <v>80</v>
      </c>
      <c r="N4684" s="56" t="n">
        <v>0</v>
      </c>
      <c r="O4684" s="56" t="n">
        <f aca="false">IF(D4684=1,"",E4683)</f>
        <v>20.6</v>
      </c>
      <c r="P4684" s="56" t="n">
        <f aca="false">IF(OR(D4684=1,K4683=""),"",K4683)</f>
        <v>1020.2</v>
      </c>
      <c r="Q4684" s="56" t="n">
        <f aca="false">IF(OR(F4684&lt;&gt;0,AND(I4684&lt;&gt;"",E4684&lt;I4684)),1,0)</f>
        <v>0</v>
      </c>
      <c r="R4684" s="56" t="n">
        <f aca="false">IF(AND(D4684&gt;1,Q4684=0,ISNUMBER(O4684),ISNUMBER(P4684)),IF(Q4683=0,1,0),0)</f>
        <v>1</v>
      </c>
      <c r="S4684" s="56" t="n">
        <f aca="false">R4684*(B4684&gt;=Train_Start)*(B4684&lt;=Train_End)</f>
        <v>0</v>
      </c>
      <c r="T4684" s="84" t="n">
        <f aca="false">IF(AND(ISNUMBER(O4684),ISNUMBER(P4684)),Coef_A+Coef_B1*O4684+Coef_B2*P4684,"")</f>
        <v>20.9689293042704</v>
      </c>
      <c r="U4684" s="84" t="n">
        <f aca="false">IF(AND(R4684=1,ISNUMBER(T4684)),E4684-T4684,"")</f>
        <v>1.23107069572957</v>
      </c>
      <c r="V4684" s="84" t="n">
        <f aca="false">IF(ISNUMBER(T4684),T4684,-99)</f>
        <v>20.9689293042704</v>
      </c>
      <c r="W4684" s="84" t="n">
        <f aca="false">IF(ISNUMBER(U4684),ABS(U4684),"")</f>
        <v>1.23107069572957</v>
      </c>
    </row>
    <row r="4685" customFormat="false" ht="15" hidden="false" customHeight="false" outlineLevel="0" collapsed="false">
      <c r="A4685" s="57" t="n">
        <v>40027</v>
      </c>
      <c r="B4685" s="56" t="n">
        <v>2009</v>
      </c>
      <c r="C4685" s="56" t="n">
        <v>8</v>
      </c>
      <c r="D4685" s="56" t="n">
        <v>94</v>
      </c>
      <c r="E4685" s="56" t="n">
        <v>23.3</v>
      </c>
      <c r="F4685" s="56" t="n">
        <v>0</v>
      </c>
      <c r="G4685" s="56" t="n">
        <v>11.2</v>
      </c>
      <c r="H4685" s="56" t="n">
        <v>0</v>
      </c>
      <c r="I4685" s="56" t="n">
        <v>16.7</v>
      </c>
      <c r="J4685" s="56" t="n">
        <v>0</v>
      </c>
      <c r="K4685" s="56" t="n">
        <v>1012.3</v>
      </c>
      <c r="L4685" s="56" t="n">
        <v>0</v>
      </c>
      <c r="M4685" s="56" t="n">
        <v>69</v>
      </c>
      <c r="N4685" s="56" t="n">
        <v>7.9</v>
      </c>
      <c r="O4685" s="56" t="n">
        <f aca="false">IF(D4685=1,"",E4684)</f>
        <v>22.2</v>
      </c>
      <c r="P4685" s="56" t="n">
        <f aca="false">IF(OR(D4685=1,K4684=""),"",K4684)</f>
        <v>1009.1</v>
      </c>
      <c r="Q4685" s="56" t="n">
        <f aca="false">IF(OR(F4685&lt;&gt;0,AND(I4685&lt;&gt;"",E4685&lt;I4685)),1,0)</f>
        <v>0</v>
      </c>
      <c r="R4685" s="56" t="n">
        <f aca="false">IF(AND(D4685&gt;1,Q4685=0,ISNUMBER(O4685),ISNUMBER(P4685)),IF(Q4684=0,1,0),0)</f>
        <v>1</v>
      </c>
      <c r="S4685" s="56" t="n">
        <f aca="false">R4685*(B4685&gt;=Train_Start)*(B4685&lt;=Train_End)</f>
        <v>0</v>
      </c>
      <c r="T4685" s="84" t="n">
        <f aca="false">IF(AND(ISNUMBER(O4685),ISNUMBER(P4685)),Coef_A+Coef_B1*O4685+Coef_B2*P4685,"")</f>
        <v>21.9316661827014</v>
      </c>
      <c r="U4685" s="84" t="n">
        <f aca="false">IF(AND(R4685=1,ISNUMBER(T4685)),E4685-T4685,"")</f>
        <v>1.36833381729861</v>
      </c>
      <c r="V4685" s="84" t="n">
        <f aca="false">IF(ISNUMBER(T4685),T4685,-99)</f>
        <v>21.9316661827014</v>
      </c>
      <c r="W4685" s="84" t="n">
        <f aca="false">IF(ISNUMBER(U4685),ABS(U4685),"")</f>
        <v>1.36833381729861</v>
      </c>
    </row>
    <row r="4686" customFormat="false" ht="15" hidden="false" customHeight="false" outlineLevel="0" collapsed="false">
      <c r="A4686" s="57" t="n">
        <v>40028</v>
      </c>
      <c r="B4686" s="56" t="n">
        <v>2009</v>
      </c>
      <c r="C4686" s="56" t="n">
        <v>8</v>
      </c>
      <c r="D4686" s="56" t="n">
        <v>95</v>
      </c>
      <c r="E4686" s="56" t="n">
        <v>23.3</v>
      </c>
      <c r="F4686" s="56" t="n">
        <v>0</v>
      </c>
      <c r="G4686" s="56" t="n">
        <v>11.9</v>
      </c>
      <c r="H4686" s="56" t="n">
        <v>0</v>
      </c>
      <c r="I4686" s="56" t="n">
        <v>17.6</v>
      </c>
      <c r="J4686" s="56" t="n">
        <v>0</v>
      </c>
      <c r="K4686" s="56" t="n">
        <v>1015.4</v>
      </c>
      <c r="L4686" s="56" t="n">
        <v>0</v>
      </c>
      <c r="M4686" s="56" t="n">
        <v>70</v>
      </c>
      <c r="N4686" s="56" t="n">
        <v>7.3</v>
      </c>
      <c r="O4686" s="56" t="n">
        <f aca="false">IF(D4686=1,"",E4685)</f>
        <v>23.3</v>
      </c>
      <c r="P4686" s="56" t="n">
        <f aca="false">IF(OR(D4686=1,K4685=""),"",K4685)</f>
        <v>1012.3</v>
      </c>
      <c r="Q4686" s="56" t="n">
        <f aca="false">IF(OR(F4686&lt;&gt;0,AND(I4686&lt;&gt;"",E4686&lt;I4686)),1,0)</f>
        <v>0</v>
      </c>
      <c r="R4686" s="56" t="n">
        <f aca="false">IF(AND(D4686&gt;1,Q4686=0,ISNUMBER(O4686),ISNUMBER(P4686)),IF(Q4685=0,1,0),0)</f>
        <v>1</v>
      </c>
      <c r="S4686" s="56" t="n">
        <f aca="false">R4686*(B4686&gt;=Train_Start)*(B4686&lt;=Train_End)</f>
        <v>0</v>
      </c>
      <c r="T4686" s="84" t="n">
        <f aca="false">IF(AND(ISNUMBER(O4686),ISNUMBER(P4686)),Coef_A+Coef_B1*O4686+Coef_B2*P4686,"")</f>
        <v>22.9333229578771</v>
      </c>
      <c r="U4686" s="84" t="n">
        <f aca="false">IF(AND(R4686=1,ISNUMBER(T4686)),E4686-T4686,"")</f>
        <v>0.36667704212292</v>
      </c>
      <c r="V4686" s="84" t="n">
        <f aca="false">IF(ISNUMBER(T4686),T4686,-99)</f>
        <v>22.9333229578771</v>
      </c>
      <c r="W4686" s="84" t="n">
        <f aca="false">IF(ISNUMBER(U4686),ABS(U4686),"")</f>
        <v>0.36667704212292</v>
      </c>
    </row>
    <row r="4687" customFormat="false" ht="15" hidden="false" customHeight="false" outlineLevel="0" collapsed="false">
      <c r="A4687" s="57" t="n">
        <v>40029</v>
      </c>
      <c r="B4687" s="56" t="n">
        <v>2009</v>
      </c>
      <c r="C4687" s="56" t="n">
        <v>8</v>
      </c>
      <c r="D4687" s="56" t="n">
        <v>96</v>
      </c>
      <c r="E4687" s="56" t="n">
        <v>27.9</v>
      </c>
      <c r="F4687" s="56" t="n">
        <v>0</v>
      </c>
      <c r="G4687" s="56" t="n">
        <v>16.1</v>
      </c>
      <c r="H4687" s="56" t="n">
        <v>0</v>
      </c>
      <c r="I4687" s="56" t="n">
        <v>19.7</v>
      </c>
      <c r="J4687" s="56" t="n">
        <v>0</v>
      </c>
      <c r="K4687" s="56" t="n">
        <v>1016.1</v>
      </c>
      <c r="L4687" s="56" t="n">
        <v>0</v>
      </c>
      <c r="M4687" s="56" t="n">
        <v>84</v>
      </c>
      <c r="N4687" s="56" t="n">
        <v>0</v>
      </c>
      <c r="O4687" s="56" t="n">
        <f aca="false">IF(D4687=1,"",E4686)</f>
        <v>23.3</v>
      </c>
      <c r="P4687" s="56" t="n">
        <f aca="false">IF(OR(D4687=1,K4686=""),"",K4686)</f>
        <v>1015.4</v>
      </c>
      <c r="Q4687" s="56" t="n">
        <f aca="false">IF(OR(F4687&lt;&gt;0,AND(I4687&lt;&gt;"",E4687&lt;I4687)),1,0)</f>
        <v>0</v>
      </c>
      <c r="R4687" s="56" t="n">
        <f aca="false">IF(AND(D4687&gt;1,Q4687=0,ISNUMBER(O4687),ISNUMBER(P4687)),IF(Q4686=0,1,0),0)</f>
        <v>1</v>
      </c>
      <c r="S4687" s="56" t="n">
        <f aca="false">R4687*(B4687&gt;=Train_Start)*(B4687&lt;=Train_End)</f>
        <v>0</v>
      </c>
      <c r="T4687" s="84" t="n">
        <f aca="false">IF(AND(ISNUMBER(O4687),ISNUMBER(P4687)),Coef_A+Coef_B1*O4687+Coef_B2*P4687,"")</f>
        <v>23.0305696312425</v>
      </c>
      <c r="U4687" s="84" t="n">
        <f aca="false">IF(AND(R4687=1,ISNUMBER(T4687)),E4687-T4687,"")</f>
        <v>4.86943036875755</v>
      </c>
      <c r="V4687" s="84" t="n">
        <f aca="false">IF(ISNUMBER(T4687),T4687,-99)</f>
        <v>23.0305696312425</v>
      </c>
      <c r="W4687" s="84" t="n">
        <f aca="false">IF(ISNUMBER(U4687),ABS(U4687),"")</f>
        <v>4.86943036875755</v>
      </c>
    </row>
    <row r="4688" customFormat="false" ht="15" hidden="false" customHeight="false" outlineLevel="0" collapsed="false">
      <c r="A4688" s="57" t="n">
        <v>40030</v>
      </c>
      <c r="B4688" s="56" t="n">
        <v>2009</v>
      </c>
      <c r="C4688" s="56" t="n">
        <v>8</v>
      </c>
      <c r="D4688" s="56" t="n">
        <v>97</v>
      </c>
      <c r="E4688" s="56" t="n">
        <v>24.9</v>
      </c>
      <c r="F4688" s="56" t="n">
        <v>0</v>
      </c>
      <c r="G4688" s="56" t="n">
        <v>17.3</v>
      </c>
      <c r="H4688" s="56" t="n">
        <v>0</v>
      </c>
      <c r="I4688" s="56" t="n">
        <v>22.6</v>
      </c>
      <c r="J4688" s="56" t="n">
        <v>0</v>
      </c>
      <c r="K4688" s="56" t="n">
        <v>1017.2</v>
      </c>
      <c r="L4688" s="56" t="n">
        <v>0</v>
      </c>
      <c r="M4688" s="56" t="n">
        <v>71</v>
      </c>
      <c r="N4688" s="56" t="n">
        <v>2.5</v>
      </c>
      <c r="O4688" s="56" t="n">
        <f aca="false">IF(D4688=1,"",E4687)</f>
        <v>27.9</v>
      </c>
      <c r="P4688" s="56" t="n">
        <f aca="false">IF(OR(D4688=1,K4687=""),"",K4687)</f>
        <v>1016.1</v>
      </c>
      <c r="Q4688" s="56" t="n">
        <f aca="false">IF(OR(F4688&lt;&gt;0,AND(I4688&lt;&gt;"",E4688&lt;I4688)),1,0)</f>
        <v>0</v>
      </c>
      <c r="R4688" s="56" t="n">
        <f aca="false">IF(AND(D4688&gt;1,Q4688=0,ISNUMBER(O4688),ISNUMBER(P4688)),IF(Q4687=0,1,0),0)</f>
        <v>1</v>
      </c>
      <c r="S4688" s="56" t="n">
        <f aca="false">R4688*(B4688&gt;=Train_Start)*(B4688&lt;=Train_End)</f>
        <v>0</v>
      </c>
      <c r="T4688" s="84" t="n">
        <f aca="false">IF(AND(ISNUMBER(O4688),ISNUMBER(P4688)),Coef_A+Coef_B1*O4688+Coef_B2*P4688,"")</f>
        <v>26.8214888454825</v>
      </c>
      <c r="U4688" s="84" t="n">
        <f aca="false">IF(AND(R4688=1,ISNUMBER(T4688)),E4688-T4688,"")</f>
        <v>-1.92148884548247</v>
      </c>
      <c r="V4688" s="84" t="n">
        <f aca="false">IF(ISNUMBER(T4688),T4688,-99)</f>
        <v>26.8214888454825</v>
      </c>
      <c r="W4688" s="84" t="n">
        <f aca="false">IF(ISNUMBER(U4688),ABS(U4688),"")</f>
        <v>1.92148884548247</v>
      </c>
    </row>
    <row r="4689" customFormat="false" ht="15" hidden="false" customHeight="false" outlineLevel="0" collapsed="false">
      <c r="A4689" s="57" t="n">
        <v>40031</v>
      </c>
      <c r="B4689" s="56" t="n">
        <v>2009</v>
      </c>
      <c r="C4689" s="56" t="n">
        <v>8</v>
      </c>
      <c r="D4689" s="56" t="n">
        <v>98</v>
      </c>
      <c r="E4689" s="56" t="n">
        <v>22.8</v>
      </c>
      <c r="F4689" s="56" t="n">
        <v>0</v>
      </c>
      <c r="G4689" s="56" t="n">
        <v>15.7</v>
      </c>
      <c r="H4689" s="56" t="n">
        <v>0</v>
      </c>
      <c r="I4689" s="56" t="n">
        <v>20.3</v>
      </c>
      <c r="J4689" s="56" t="n">
        <v>0</v>
      </c>
      <c r="K4689" s="56" t="n">
        <v>1018.8</v>
      </c>
      <c r="L4689" s="56" t="n">
        <v>0</v>
      </c>
      <c r="M4689" s="56" t="n">
        <v>87</v>
      </c>
      <c r="N4689" s="56" t="n">
        <v>2</v>
      </c>
      <c r="O4689" s="56" t="n">
        <f aca="false">IF(D4689=1,"",E4688)</f>
        <v>24.9</v>
      </c>
      <c r="P4689" s="56" t="n">
        <f aca="false">IF(OR(D4689=1,K4688=""),"",K4688)</f>
        <v>1017.2</v>
      </c>
      <c r="Q4689" s="56" t="n">
        <f aca="false">IF(OR(F4689&lt;&gt;0,AND(I4689&lt;&gt;"",E4689&lt;I4689)),1,0)</f>
        <v>0</v>
      </c>
      <c r="R4689" s="56" t="n">
        <f aca="false">IF(AND(D4689&gt;1,Q4689=0,ISNUMBER(O4689),ISNUMBER(P4689)),IF(Q4688=0,1,0),0)</f>
        <v>1</v>
      </c>
      <c r="S4689" s="56" t="n">
        <f aca="false">R4689*(B4689&gt;=Train_Start)*(B4689&lt;=Train_End)</f>
        <v>0</v>
      </c>
      <c r="T4689" s="84" t="n">
        <f aca="false">IF(AND(ISNUMBER(O4689),ISNUMBER(P4689)),Coef_A+Coef_B1*O4689+Coef_B2*P4689,"")</f>
        <v>24.3979781504519</v>
      </c>
      <c r="U4689" s="84" t="n">
        <f aca="false">IF(AND(R4689=1,ISNUMBER(T4689)),E4689-T4689,"")</f>
        <v>-1.59797815045188</v>
      </c>
      <c r="V4689" s="84" t="n">
        <f aca="false">IF(ISNUMBER(T4689),T4689,-99)</f>
        <v>24.3979781504519</v>
      </c>
      <c r="W4689" s="84" t="n">
        <f aca="false">IF(ISNUMBER(U4689),ABS(U4689),"")</f>
        <v>1.59797815045188</v>
      </c>
    </row>
    <row r="4690" customFormat="false" ht="15" hidden="false" customHeight="false" outlineLevel="0" collapsed="false">
      <c r="A4690" s="57" t="n">
        <v>40032</v>
      </c>
      <c r="B4690" s="56" t="n">
        <v>2009</v>
      </c>
      <c r="C4690" s="56" t="n">
        <v>8</v>
      </c>
      <c r="D4690" s="56" t="n">
        <v>99</v>
      </c>
      <c r="E4690" s="56" t="n">
        <v>24.9</v>
      </c>
      <c r="F4690" s="56" t="n">
        <v>0</v>
      </c>
      <c r="G4690" s="56" t="n">
        <v>15.1</v>
      </c>
      <c r="H4690" s="56" t="n">
        <v>0</v>
      </c>
      <c r="I4690" s="56" t="n">
        <v>19</v>
      </c>
      <c r="J4690" s="56" t="n">
        <v>0</v>
      </c>
      <c r="K4690" s="56" t="n">
        <v>1019.8</v>
      </c>
      <c r="L4690" s="56" t="n">
        <v>0</v>
      </c>
      <c r="M4690" s="56" t="n">
        <v>84</v>
      </c>
      <c r="N4690" s="56" t="n">
        <v>2.7</v>
      </c>
      <c r="O4690" s="56" t="n">
        <f aca="false">IF(D4690=1,"",E4689)</f>
        <v>22.8</v>
      </c>
      <c r="P4690" s="56" t="n">
        <f aca="false">IF(OR(D4690=1,K4689=""),"",K4689)</f>
        <v>1018.8</v>
      </c>
      <c r="Q4690" s="56" t="n">
        <f aca="false">IF(OR(F4690&lt;&gt;0,AND(I4690&lt;&gt;"",E4690&lt;I4690)),1,0)</f>
        <v>0</v>
      </c>
      <c r="R4690" s="56" t="n">
        <f aca="false">IF(AND(D4690&gt;1,Q4690=0,ISNUMBER(O4690),ISNUMBER(P4690)),IF(Q4689=0,1,0),0)</f>
        <v>1</v>
      </c>
      <c r="S4690" s="56" t="n">
        <f aca="false">R4690*(B4690&gt;=Train_Start)*(B4690&lt;=Train_End)</f>
        <v>0</v>
      </c>
      <c r="T4690" s="84" t="n">
        <f aca="false">IF(AND(ISNUMBER(O4690),ISNUMBER(P4690)),Coef_A+Coef_B1*O4690+Coef_B2*P4690,"")</f>
        <v>22.7275576764767</v>
      </c>
      <c r="U4690" s="84" t="n">
        <f aca="false">IF(AND(R4690=1,ISNUMBER(T4690)),E4690-T4690,"")</f>
        <v>2.17244232352331</v>
      </c>
      <c r="V4690" s="84" t="n">
        <f aca="false">IF(ISNUMBER(T4690),T4690,-99)</f>
        <v>22.7275576764767</v>
      </c>
      <c r="W4690" s="84" t="n">
        <f aca="false">IF(ISNUMBER(U4690),ABS(U4690),"")</f>
        <v>2.17244232352331</v>
      </c>
    </row>
    <row r="4691" customFormat="false" ht="15" hidden="false" customHeight="false" outlineLevel="0" collapsed="false">
      <c r="A4691" s="57" t="n">
        <v>40033</v>
      </c>
      <c r="B4691" s="56" t="n">
        <v>2009</v>
      </c>
      <c r="C4691" s="56" t="n">
        <v>8</v>
      </c>
      <c r="D4691" s="56" t="n">
        <v>100</v>
      </c>
      <c r="E4691" s="56" t="n">
        <v>25.9</v>
      </c>
      <c r="F4691" s="56" t="n">
        <v>0</v>
      </c>
      <c r="G4691" s="56" t="n">
        <v>12.3</v>
      </c>
      <c r="H4691" s="56" t="n">
        <v>0</v>
      </c>
      <c r="I4691" s="56" t="n">
        <v>18.6</v>
      </c>
      <c r="J4691" s="56" t="n">
        <v>0</v>
      </c>
      <c r="K4691" s="56" t="n">
        <v>1020.9</v>
      </c>
      <c r="L4691" s="56" t="n">
        <v>0</v>
      </c>
      <c r="M4691" s="56" t="n">
        <v>67</v>
      </c>
      <c r="N4691" s="56" t="n">
        <v>8.3</v>
      </c>
      <c r="O4691" s="56" t="n">
        <f aca="false">IF(D4691=1,"",E4690)</f>
        <v>24.9</v>
      </c>
      <c r="P4691" s="56" t="n">
        <f aca="false">IF(OR(D4691=1,K4690=""),"",K4690)</f>
        <v>1019.8</v>
      </c>
      <c r="Q4691" s="56" t="n">
        <f aca="false">IF(OR(F4691&lt;&gt;0,AND(I4691&lt;&gt;"",E4691&lt;I4691)),1,0)</f>
        <v>0</v>
      </c>
      <c r="R4691" s="56" t="n">
        <f aca="false">IF(AND(D4691&gt;1,Q4691=0,ISNUMBER(O4691),ISNUMBER(P4691)),IF(Q4690=0,1,0),0)</f>
        <v>1</v>
      </c>
      <c r="S4691" s="56" t="n">
        <f aca="false">R4691*(B4691&gt;=Train_Start)*(B4691&lt;=Train_End)</f>
        <v>0</v>
      </c>
      <c r="T4691" s="84" t="n">
        <f aca="false">IF(AND(ISNUMBER(O4691),ISNUMBER(P4691)),Coef_A+Coef_B1*O4691+Coef_B2*P4691,"")</f>
        <v>24.4795398765003</v>
      </c>
      <c r="U4691" s="84" t="n">
        <f aca="false">IF(AND(R4691=1,ISNUMBER(T4691)),E4691-T4691,"")</f>
        <v>1.42046012349975</v>
      </c>
      <c r="V4691" s="84" t="n">
        <f aca="false">IF(ISNUMBER(T4691),T4691,-99)</f>
        <v>24.4795398765003</v>
      </c>
      <c r="W4691" s="84" t="n">
        <f aca="false">IF(ISNUMBER(U4691),ABS(U4691),"")</f>
        <v>1.42046012349975</v>
      </c>
    </row>
    <row r="4692" customFormat="false" ht="15" hidden="false" customHeight="false" outlineLevel="0" collapsed="false">
      <c r="A4692" s="57" t="n">
        <v>40034</v>
      </c>
      <c r="B4692" s="56" t="n">
        <v>2009</v>
      </c>
      <c r="C4692" s="56" t="n">
        <v>8</v>
      </c>
      <c r="D4692" s="56" t="n">
        <v>101</v>
      </c>
      <c r="E4692" s="56" t="n">
        <v>22.2</v>
      </c>
      <c r="F4692" s="56" t="n">
        <v>0</v>
      </c>
      <c r="G4692" s="56" t="n">
        <v>15.4</v>
      </c>
      <c r="H4692" s="56" t="n">
        <v>0</v>
      </c>
      <c r="I4692" s="56" t="n">
        <v>20.7</v>
      </c>
      <c r="J4692" s="56" t="n">
        <v>0</v>
      </c>
      <c r="K4692" s="56" t="n">
        <v>1019.1</v>
      </c>
      <c r="L4692" s="56" t="n">
        <v>0</v>
      </c>
      <c r="M4692" s="56" t="n">
        <v>61</v>
      </c>
      <c r="N4692" s="56" t="n">
        <v>9.7</v>
      </c>
      <c r="O4692" s="56" t="n">
        <f aca="false">IF(D4692=1,"",E4691)</f>
        <v>25.9</v>
      </c>
      <c r="P4692" s="56" t="n">
        <f aca="false">IF(OR(D4692=1,K4691=""),"",K4691)</f>
        <v>1020.9</v>
      </c>
      <c r="Q4692" s="56" t="n">
        <f aca="false">IF(OR(F4692&lt;&gt;0,AND(I4692&lt;&gt;"",E4692&lt;I4692)),1,0)</f>
        <v>0</v>
      </c>
      <c r="R4692" s="56" t="n">
        <f aca="false">IF(AND(D4692&gt;1,Q4692=0,ISNUMBER(O4692),ISNUMBER(P4692)),IF(Q4691=0,1,0),0)</f>
        <v>1</v>
      </c>
      <c r="S4692" s="56" t="n">
        <f aca="false">R4692*(B4692&gt;=Train_Start)*(B4692&lt;=Train_End)</f>
        <v>0</v>
      </c>
      <c r="T4692" s="84" t="n">
        <f aca="false">IF(AND(ISNUMBER(O4692),ISNUMBER(P4692)),Coef_A+Coef_B1*O4692+Coef_B2*P4692,"")</f>
        <v>25.3333859536403</v>
      </c>
      <c r="U4692" s="84" t="n">
        <f aca="false">IF(AND(R4692=1,ISNUMBER(T4692)),E4692-T4692,"")</f>
        <v>-3.1333859536403</v>
      </c>
      <c r="V4692" s="84" t="n">
        <f aca="false">IF(ISNUMBER(T4692),T4692,-99)</f>
        <v>25.3333859536403</v>
      </c>
      <c r="W4692" s="84" t="n">
        <f aca="false">IF(ISNUMBER(U4692),ABS(U4692),"")</f>
        <v>3.1333859536403</v>
      </c>
    </row>
    <row r="4693" customFormat="false" ht="15" hidden="false" customHeight="false" outlineLevel="0" collapsed="false">
      <c r="A4693" s="57" t="n">
        <v>40035</v>
      </c>
      <c r="B4693" s="56" t="n">
        <v>2009</v>
      </c>
      <c r="C4693" s="56" t="n">
        <v>8</v>
      </c>
      <c r="D4693" s="56" t="n">
        <v>102</v>
      </c>
      <c r="E4693" s="56" t="n">
        <v>25</v>
      </c>
      <c r="F4693" s="56" t="n">
        <v>0</v>
      </c>
      <c r="G4693" s="56" t="n">
        <v>15.7</v>
      </c>
      <c r="H4693" s="56" t="n">
        <v>0</v>
      </c>
      <c r="I4693" s="56" t="n">
        <v>19</v>
      </c>
      <c r="J4693" s="56" t="n">
        <v>0</v>
      </c>
      <c r="K4693" s="56" t="n">
        <v>1015.5</v>
      </c>
      <c r="L4693" s="56" t="n">
        <v>0</v>
      </c>
      <c r="M4693" s="56" t="n">
        <v>75</v>
      </c>
      <c r="N4693" s="56" t="n">
        <v>2.9</v>
      </c>
      <c r="O4693" s="56" t="n">
        <f aca="false">IF(D4693=1,"",E4692)</f>
        <v>22.2</v>
      </c>
      <c r="P4693" s="56" t="n">
        <f aca="false">IF(OR(D4693=1,K4692=""),"",K4692)</f>
        <v>1019.1</v>
      </c>
      <c r="Q4693" s="56" t="n">
        <f aca="false">IF(OR(F4693&lt;&gt;0,AND(I4693&lt;&gt;"",E4693&lt;I4693)),1,0)</f>
        <v>0</v>
      </c>
      <c r="R4693" s="56" t="n">
        <f aca="false">IF(AND(D4693&gt;1,Q4693=0,ISNUMBER(O4693),ISNUMBER(P4693)),IF(Q4692=0,1,0),0)</f>
        <v>1</v>
      </c>
      <c r="S4693" s="56" t="n">
        <f aca="false">R4693*(B4693&gt;=Train_Start)*(B4693&lt;=Train_End)</f>
        <v>0</v>
      </c>
      <c r="T4693" s="84" t="n">
        <f aca="false">IF(AND(ISNUMBER(O4693),ISNUMBER(P4693)),Coef_A+Coef_B1*O4693+Coef_B2*P4693,"")</f>
        <v>22.2453651290413</v>
      </c>
      <c r="U4693" s="84" t="n">
        <f aca="false">IF(AND(R4693=1,ISNUMBER(T4693)),E4693-T4693,"")</f>
        <v>2.75463487095871</v>
      </c>
      <c r="V4693" s="84" t="n">
        <f aca="false">IF(ISNUMBER(T4693),T4693,-99)</f>
        <v>22.2453651290413</v>
      </c>
      <c r="W4693" s="84" t="n">
        <f aca="false">IF(ISNUMBER(U4693),ABS(U4693),"")</f>
        <v>2.75463487095871</v>
      </c>
    </row>
    <row r="4694" customFormat="false" ht="15" hidden="false" customHeight="false" outlineLevel="0" collapsed="false">
      <c r="A4694" s="57" t="n">
        <v>40036</v>
      </c>
      <c r="B4694" s="56" t="n">
        <v>2009</v>
      </c>
      <c r="C4694" s="56" t="n">
        <v>8</v>
      </c>
      <c r="D4694" s="56" t="n">
        <v>103</v>
      </c>
      <c r="E4694" s="56" t="n">
        <v>23.5</v>
      </c>
      <c r="F4694" s="56" t="n">
        <v>0</v>
      </c>
      <c r="G4694" s="56" t="n">
        <v>15.8</v>
      </c>
      <c r="H4694" s="56" t="n">
        <v>0</v>
      </c>
      <c r="I4694" s="56" t="n">
        <v>20.4</v>
      </c>
      <c r="J4694" s="56" t="n">
        <v>0</v>
      </c>
      <c r="K4694" s="56" t="n">
        <v>1019.9</v>
      </c>
      <c r="L4694" s="56" t="n">
        <v>0</v>
      </c>
      <c r="M4694" s="56" t="n">
        <v>72</v>
      </c>
      <c r="N4694" s="56" t="n">
        <v>6.6</v>
      </c>
      <c r="O4694" s="56" t="n">
        <f aca="false">IF(D4694=1,"",E4693)</f>
        <v>25</v>
      </c>
      <c r="P4694" s="56" t="n">
        <f aca="false">IF(OR(D4694=1,K4693=""),"",K4693)</f>
        <v>1015.5</v>
      </c>
      <c r="Q4694" s="56" t="n">
        <f aca="false">IF(OR(F4694&lt;&gt;0,AND(I4694&lt;&gt;"",E4694&lt;I4694)),1,0)</f>
        <v>0</v>
      </c>
      <c r="R4694" s="56" t="n">
        <f aca="false">IF(AND(D4694&gt;1,Q4694=0,ISNUMBER(O4694),ISNUMBER(P4694)),IF(Q4693=0,1,0),0)</f>
        <v>1</v>
      </c>
      <c r="S4694" s="56" t="n">
        <f aca="false">R4694*(B4694&gt;=Train_Start)*(B4694&lt;=Train_End)</f>
        <v>0</v>
      </c>
      <c r="T4694" s="84" t="n">
        <f aca="false">IF(AND(ISNUMBER(O4694),ISNUMBER(P4694)),Coef_A+Coef_B1*O4694+Coef_B2*P4694,"")</f>
        <v>24.4265832488784</v>
      </c>
      <c r="U4694" s="84" t="n">
        <f aca="false">IF(AND(R4694=1,ISNUMBER(T4694)),E4694-T4694,"")</f>
        <v>-0.926583248878366</v>
      </c>
      <c r="V4694" s="84" t="n">
        <f aca="false">IF(ISNUMBER(T4694),T4694,-99)</f>
        <v>24.4265832488784</v>
      </c>
      <c r="W4694" s="84" t="n">
        <f aca="false">IF(ISNUMBER(U4694),ABS(U4694),"")</f>
        <v>0.926583248878366</v>
      </c>
    </row>
    <row r="4695" customFormat="false" ht="15" hidden="false" customHeight="false" outlineLevel="0" collapsed="false">
      <c r="A4695" s="57" t="n">
        <v>40037</v>
      </c>
      <c r="B4695" s="56" t="n">
        <v>2009</v>
      </c>
      <c r="C4695" s="56" t="n">
        <v>8</v>
      </c>
      <c r="D4695" s="56" t="n">
        <v>104</v>
      </c>
      <c r="E4695" s="56" t="n">
        <v>23.5</v>
      </c>
      <c r="F4695" s="56" t="n">
        <v>0</v>
      </c>
      <c r="G4695" s="56" t="n">
        <v>15.4</v>
      </c>
      <c r="H4695" s="56" t="n">
        <v>0</v>
      </c>
      <c r="I4695" s="56" t="n">
        <v>19.5</v>
      </c>
      <c r="J4695" s="56" t="n">
        <v>0</v>
      </c>
      <c r="K4695" s="56" t="n">
        <v>1019.3</v>
      </c>
      <c r="L4695" s="56" t="n">
        <v>0</v>
      </c>
      <c r="M4695" s="56" t="n">
        <v>84</v>
      </c>
      <c r="N4695" s="56" t="n">
        <v>0.5</v>
      </c>
      <c r="O4695" s="56" t="n">
        <f aca="false">IF(D4695=1,"",E4694)</f>
        <v>23.5</v>
      </c>
      <c r="P4695" s="56" t="n">
        <f aca="false">IF(OR(D4695=1,K4694=""),"",K4694)</f>
        <v>1019.9</v>
      </c>
      <c r="Q4695" s="56" t="n">
        <f aca="false">IF(OR(F4695&lt;&gt;0,AND(I4695&lt;&gt;"",E4695&lt;I4695)),1,0)</f>
        <v>0</v>
      </c>
      <c r="R4695" s="56" t="n">
        <f aca="false">IF(AND(D4695&gt;1,Q4695=0,ISNUMBER(O4695),ISNUMBER(P4695)),IF(Q4694=0,1,0),0)</f>
        <v>1</v>
      </c>
      <c r="S4695" s="56" t="n">
        <f aca="false">R4695*(B4695&gt;=Train_Start)*(B4695&lt;=Train_End)</f>
        <v>0</v>
      </c>
      <c r="T4695" s="84" t="n">
        <f aca="false">IF(AND(ISNUMBER(O4695),ISNUMBER(P4695)),Coef_A+Coef_B1*O4695+Coef_B2*P4695,"")</f>
        <v>23.3356019957039</v>
      </c>
      <c r="U4695" s="84" t="n">
        <f aca="false">IF(AND(R4695=1,ISNUMBER(T4695)),E4695-T4695,"")</f>
        <v>0.164398004296071</v>
      </c>
      <c r="V4695" s="84" t="n">
        <f aca="false">IF(ISNUMBER(T4695),T4695,-99)</f>
        <v>23.3356019957039</v>
      </c>
      <c r="W4695" s="84" t="n">
        <f aca="false">IF(ISNUMBER(U4695),ABS(U4695),"")</f>
        <v>0.164398004296071</v>
      </c>
    </row>
    <row r="4696" customFormat="false" ht="15" hidden="false" customHeight="false" outlineLevel="0" collapsed="false">
      <c r="A4696" s="57" t="n">
        <v>40038</v>
      </c>
      <c r="B4696" s="56" t="n">
        <v>2009</v>
      </c>
      <c r="C4696" s="56" t="n">
        <v>8</v>
      </c>
      <c r="D4696" s="56" t="n">
        <v>105</v>
      </c>
      <c r="E4696" s="56" t="n">
        <v>24.1</v>
      </c>
      <c r="F4696" s="56" t="n">
        <v>0</v>
      </c>
      <c r="G4696" s="56" t="n">
        <v>15.6</v>
      </c>
      <c r="H4696" s="56" t="n">
        <v>0</v>
      </c>
      <c r="I4696" s="56" t="n">
        <v>19.6</v>
      </c>
      <c r="J4696" s="56" t="n">
        <v>0</v>
      </c>
      <c r="K4696" s="56" t="n">
        <v>1018.4</v>
      </c>
      <c r="L4696" s="56" t="n">
        <v>0</v>
      </c>
      <c r="M4696" s="56" t="n">
        <v>71</v>
      </c>
      <c r="N4696" s="56" t="n">
        <v>5.9</v>
      </c>
      <c r="O4696" s="56" t="n">
        <f aca="false">IF(D4696=1,"",E4695)</f>
        <v>23.5</v>
      </c>
      <c r="P4696" s="56" t="n">
        <f aca="false">IF(OR(D4696=1,K4695=""),"",K4695)</f>
        <v>1019.3</v>
      </c>
      <c r="Q4696" s="56" t="n">
        <f aca="false">IF(OR(F4696&lt;&gt;0,AND(I4696&lt;&gt;"",E4696&lt;I4696)),1,0)</f>
        <v>0</v>
      </c>
      <c r="R4696" s="56" t="n">
        <f aca="false">IF(AND(D4696&gt;1,Q4696=0,ISNUMBER(O4696),ISNUMBER(P4696)),IF(Q4695=0,1,0),0)</f>
        <v>1</v>
      </c>
      <c r="S4696" s="56" t="n">
        <f aca="false">R4696*(B4696&gt;=Train_Start)*(B4696&lt;=Train_End)</f>
        <v>0</v>
      </c>
      <c r="T4696" s="84" t="n">
        <f aca="false">IF(AND(ISNUMBER(O4696),ISNUMBER(P4696)),Coef_A+Coef_B1*O4696+Coef_B2*P4696,"")</f>
        <v>23.3167800589235</v>
      </c>
      <c r="U4696" s="84" t="n">
        <f aca="false">IF(AND(R4696=1,ISNUMBER(T4696)),E4696-T4696,"")</f>
        <v>0.783219941076467</v>
      </c>
      <c r="V4696" s="84" t="n">
        <f aca="false">IF(ISNUMBER(T4696),T4696,-99)</f>
        <v>23.3167800589235</v>
      </c>
      <c r="W4696" s="84" t="n">
        <f aca="false">IF(ISNUMBER(U4696),ABS(U4696),"")</f>
        <v>0.783219941076467</v>
      </c>
    </row>
    <row r="4697" customFormat="false" ht="15" hidden="false" customHeight="false" outlineLevel="0" collapsed="false">
      <c r="A4697" s="57" t="n">
        <v>40039</v>
      </c>
      <c r="B4697" s="56" t="n">
        <v>2009</v>
      </c>
      <c r="C4697" s="56" t="n">
        <v>8</v>
      </c>
      <c r="D4697" s="56" t="n">
        <v>106</v>
      </c>
      <c r="E4697" s="56" t="n">
        <v>23.5</v>
      </c>
      <c r="F4697" s="56" t="n">
        <v>0</v>
      </c>
      <c r="G4697" s="56" t="n">
        <v>14.3</v>
      </c>
      <c r="H4697" s="56" t="n">
        <v>0</v>
      </c>
      <c r="I4697" s="56" t="n">
        <v>19.2</v>
      </c>
      <c r="J4697" s="56" t="n">
        <v>0</v>
      </c>
      <c r="K4697" s="56" t="n">
        <v>1016.9</v>
      </c>
      <c r="L4697" s="56" t="n">
        <v>0</v>
      </c>
      <c r="M4697" s="56" t="n">
        <v>77</v>
      </c>
      <c r="N4697" s="56" t="n">
        <v>2.7</v>
      </c>
      <c r="O4697" s="56" t="n">
        <f aca="false">IF(D4697=1,"",E4696)</f>
        <v>24.1</v>
      </c>
      <c r="P4697" s="56" t="n">
        <f aca="false">IF(OR(D4697=1,K4696=""),"",K4696)</f>
        <v>1018.4</v>
      </c>
      <c r="Q4697" s="56" t="n">
        <f aca="false">IF(OR(F4697&lt;&gt;0,AND(I4697&lt;&gt;"",E4697&lt;I4697)),1,0)</f>
        <v>0</v>
      </c>
      <c r="R4697" s="56" t="n">
        <f aca="false">IF(AND(D4697&gt;1,Q4697=0,ISNUMBER(O4697),ISNUMBER(P4697)),IF(Q4696=0,1,0),0)</f>
        <v>1</v>
      </c>
      <c r="S4697" s="56" t="n">
        <f aca="false">R4697*(B4697&gt;=Train_Start)*(B4697&lt;=Train_End)</f>
        <v>0</v>
      </c>
      <c r="T4697" s="84" t="n">
        <f aca="false">IF(AND(ISNUMBER(O4697),ISNUMBER(P4697)),Coef_A+Coef_B1*O4697+Coef_B2*P4697,"")</f>
        <v>23.7801506695785</v>
      </c>
      <c r="U4697" s="84" t="n">
        <f aca="false">IF(AND(R4697=1,ISNUMBER(T4697)),E4697-T4697,"")</f>
        <v>-0.280150669578546</v>
      </c>
      <c r="V4697" s="84" t="n">
        <f aca="false">IF(ISNUMBER(T4697),T4697,-99)</f>
        <v>23.7801506695785</v>
      </c>
      <c r="W4697" s="84" t="n">
        <f aca="false">IF(ISNUMBER(U4697),ABS(U4697),"")</f>
        <v>0.280150669578546</v>
      </c>
    </row>
    <row r="4698" customFormat="false" ht="15" hidden="false" customHeight="false" outlineLevel="0" collapsed="false">
      <c r="A4698" s="57" t="n">
        <v>40040</v>
      </c>
      <c r="B4698" s="56" t="n">
        <v>2009</v>
      </c>
      <c r="C4698" s="56" t="n">
        <v>8</v>
      </c>
      <c r="D4698" s="56" t="n">
        <v>107</v>
      </c>
      <c r="E4698" s="56" t="n">
        <v>25.4</v>
      </c>
      <c r="F4698" s="56" t="n">
        <v>0</v>
      </c>
      <c r="G4698" s="56" t="n">
        <v>15.9</v>
      </c>
      <c r="H4698" s="56" t="n">
        <v>0</v>
      </c>
      <c r="I4698" s="56" t="n">
        <v>19.7</v>
      </c>
      <c r="J4698" s="56" t="n">
        <v>0</v>
      </c>
      <c r="K4698" s="56" t="n">
        <v>1013.9</v>
      </c>
      <c r="L4698" s="56" t="n">
        <v>0</v>
      </c>
      <c r="M4698" s="56" t="n">
        <v>77</v>
      </c>
      <c r="N4698" s="56" t="n">
        <v>3.1</v>
      </c>
      <c r="O4698" s="56" t="n">
        <f aca="false">IF(D4698=1,"",E4697)</f>
        <v>23.5</v>
      </c>
      <c r="P4698" s="56" t="n">
        <f aca="false">IF(OR(D4698=1,K4697=""),"",K4697)</f>
        <v>1016.9</v>
      </c>
      <c r="Q4698" s="56" t="n">
        <f aca="false">IF(OR(F4698&lt;&gt;0,AND(I4698&lt;&gt;"",E4698&lt;I4698)),1,0)</f>
        <v>0</v>
      </c>
      <c r="R4698" s="56" t="n">
        <f aca="false">IF(AND(D4698&gt;1,Q4698=0,ISNUMBER(O4698),ISNUMBER(P4698)),IF(Q4697=0,1,0),0)</f>
        <v>1</v>
      </c>
      <c r="S4698" s="56" t="n">
        <f aca="false">R4698*(B4698&gt;=Train_Start)*(B4698&lt;=Train_End)</f>
        <v>0</v>
      </c>
      <c r="T4698" s="84" t="n">
        <f aca="false">IF(AND(ISNUMBER(O4698),ISNUMBER(P4698)),Coef_A+Coef_B1*O4698+Coef_B2*P4698,"")</f>
        <v>23.241492311802</v>
      </c>
      <c r="U4698" s="84" t="n">
        <f aca="false">IF(AND(R4698=1,ISNUMBER(T4698)),E4698-T4698,"")</f>
        <v>2.15850768819804</v>
      </c>
      <c r="V4698" s="84" t="n">
        <f aca="false">IF(ISNUMBER(T4698),T4698,-99)</f>
        <v>23.241492311802</v>
      </c>
      <c r="W4698" s="84" t="n">
        <f aca="false">IF(ISNUMBER(U4698),ABS(U4698),"")</f>
        <v>2.15850768819804</v>
      </c>
    </row>
    <row r="4699" customFormat="false" ht="15" hidden="false" customHeight="false" outlineLevel="0" collapsed="false">
      <c r="A4699" s="57" t="n">
        <v>40041</v>
      </c>
      <c r="B4699" s="56" t="n">
        <v>2009</v>
      </c>
      <c r="C4699" s="56" t="n">
        <v>8</v>
      </c>
      <c r="D4699" s="56" t="n">
        <v>108</v>
      </c>
      <c r="E4699" s="56" t="n">
        <v>23.8</v>
      </c>
      <c r="F4699" s="56" t="n">
        <v>0</v>
      </c>
      <c r="G4699" s="56" t="n">
        <v>14.9</v>
      </c>
      <c r="H4699" s="56" t="n">
        <v>0</v>
      </c>
      <c r="I4699" s="56" t="n">
        <v>20.2</v>
      </c>
      <c r="J4699" s="56" t="n">
        <v>0</v>
      </c>
      <c r="K4699" s="56" t="n">
        <v>1015.3</v>
      </c>
      <c r="L4699" s="56" t="n">
        <v>0</v>
      </c>
      <c r="M4699" s="56" t="n">
        <v>72</v>
      </c>
      <c r="N4699" s="56" t="n">
        <v>8</v>
      </c>
      <c r="O4699" s="56" t="n">
        <f aca="false">IF(D4699=1,"",E4698)</f>
        <v>25.4</v>
      </c>
      <c r="P4699" s="56" t="n">
        <f aca="false">IF(OR(D4699=1,K4698=""),"",K4698)</f>
        <v>1013.9</v>
      </c>
      <c r="Q4699" s="56" t="n">
        <f aca="false">IF(OR(F4699&lt;&gt;0,AND(I4699&lt;&gt;"",E4699&lt;I4699)),1,0)</f>
        <v>0</v>
      </c>
      <c r="R4699" s="56" t="n">
        <f aca="false">IF(AND(D4699&gt;1,Q4699=0,ISNUMBER(O4699),ISNUMBER(P4699)),IF(Q4698=0,1,0),0)</f>
        <v>1</v>
      </c>
      <c r="S4699" s="56" t="n">
        <f aca="false">R4699*(B4699&gt;=Train_Start)*(B4699&lt;=Train_End)</f>
        <v>0</v>
      </c>
      <c r="T4699" s="84" t="n">
        <f aca="false">IF(AND(ISNUMBER(O4699),ISNUMBER(P4699)),Coef_A+Coef_B1*O4699+Coef_B2*P4699,"")</f>
        <v>24.704127094681</v>
      </c>
      <c r="U4699" s="84" t="n">
        <f aca="false">IF(AND(R4699=1,ISNUMBER(T4699)),E4699-T4699,"")</f>
        <v>-0.904127094681044</v>
      </c>
      <c r="V4699" s="84" t="n">
        <f aca="false">IF(ISNUMBER(T4699),T4699,-99)</f>
        <v>24.704127094681</v>
      </c>
      <c r="W4699" s="84" t="n">
        <f aca="false">IF(ISNUMBER(U4699),ABS(U4699),"")</f>
        <v>0.904127094681044</v>
      </c>
    </row>
    <row r="4700" customFormat="false" ht="15" hidden="false" customHeight="false" outlineLevel="0" collapsed="false">
      <c r="A4700" s="57" t="n">
        <v>40042</v>
      </c>
      <c r="B4700" s="56" t="n">
        <v>2009</v>
      </c>
      <c r="C4700" s="56" t="n">
        <v>8</v>
      </c>
      <c r="D4700" s="56" t="n">
        <v>109</v>
      </c>
      <c r="E4700" s="56" t="n">
        <v>24.9</v>
      </c>
      <c r="F4700" s="56" t="n">
        <v>0</v>
      </c>
      <c r="G4700" s="56" t="n">
        <v>12.7</v>
      </c>
      <c r="H4700" s="56" t="n">
        <v>0</v>
      </c>
      <c r="I4700" s="56" t="n">
        <v>18.3</v>
      </c>
      <c r="J4700" s="56" t="n">
        <v>0</v>
      </c>
      <c r="K4700" s="56" t="n">
        <v>1016.1</v>
      </c>
      <c r="L4700" s="56" t="n">
        <v>0</v>
      </c>
      <c r="M4700" s="56" t="n">
        <v>68</v>
      </c>
      <c r="N4700" s="56" t="n">
        <v>8</v>
      </c>
      <c r="O4700" s="56" t="n">
        <f aca="false">IF(D4700=1,"",E4699)</f>
        <v>23.8</v>
      </c>
      <c r="P4700" s="56" t="n">
        <f aca="false">IF(OR(D4700=1,K4699=""),"",K4699)</f>
        <v>1015.3</v>
      </c>
      <c r="Q4700" s="56" t="n">
        <f aca="false">IF(OR(F4700&lt;&gt;0,AND(I4700&lt;&gt;"",E4700&lt;I4700)),1,0)</f>
        <v>0</v>
      </c>
      <c r="R4700" s="56" t="n">
        <f aca="false">IF(AND(D4700&gt;1,Q4700=0,ISNUMBER(O4700),ISNUMBER(P4700)),IF(Q4699=0,1,0),0)</f>
        <v>1</v>
      </c>
      <c r="S4700" s="56" t="n">
        <f aca="false">R4700*(B4700&gt;=Train_Start)*(B4700&lt;=Train_End)</f>
        <v>0</v>
      </c>
      <c r="T4700" s="84" t="n">
        <f aca="false">IF(AND(ISNUMBER(O4700),ISNUMBER(P4700)),Coef_A+Coef_B1*O4700+Coef_B2*P4700,"")</f>
        <v>23.4371022383004</v>
      </c>
      <c r="U4700" s="84" t="n">
        <f aca="false">IF(AND(R4700=1,ISNUMBER(T4700)),E4700-T4700,"")</f>
        <v>1.46289776169962</v>
      </c>
      <c r="V4700" s="84" t="n">
        <f aca="false">IF(ISNUMBER(T4700),T4700,-99)</f>
        <v>23.4371022383004</v>
      </c>
      <c r="W4700" s="84" t="n">
        <f aca="false">IF(ISNUMBER(U4700),ABS(U4700),"")</f>
        <v>1.46289776169962</v>
      </c>
    </row>
    <row r="4701" customFormat="false" ht="15" hidden="false" customHeight="false" outlineLevel="0" collapsed="false">
      <c r="A4701" s="57" t="n">
        <v>40043</v>
      </c>
      <c r="B4701" s="56" t="n">
        <v>2009</v>
      </c>
      <c r="C4701" s="56" t="n">
        <v>8</v>
      </c>
      <c r="D4701" s="56" t="n">
        <v>110</v>
      </c>
      <c r="E4701" s="56" t="n">
        <v>28.9</v>
      </c>
      <c r="F4701" s="56" t="n">
        <v>0</v>
      </c>
      <c r="G4701" s="56" t="n">
        <v>12.9</v>
      </c>
      <c r="H4701" s="56" t="n">
        <v>0</v>
      </c>
      <c r="I4701" s="56" t="n">
        <v>18.9</v>
      </c>
      <c r="J4701" s="56" t="n">
        <v>0</v>
      </c>
      <c r="K4701" s="56" t="n">
        <v>1018.7</v>
      </c>
      <c r="L4701" s="56" t="n">
        <v>0</v>
      </c>
      <c r="M4701" s="56" t="n">
        <v>68</v>
      </c>
      <c r="N4701" s="56" t="n">
        <v>8.8</v>
      </c>
      <c r="O4701" s="56" t="n">
        <f aca="false">IF(D4701=1,"",E4700)</f>
        <v>24.9</v>
      </c>
      <c r="P4701" s="56" t="n">
        <f aca="false">IF(OR(D4701=1,K4700=""),"",K4700)</f>
        <v>1016.1</v>
      </c>
      <c r="Q4701" s="56" t="n">
        <f aca="false">IF(OR(F4701&lt;&gt;0,AND(I4701&lt;&gt;"",E4701&lt;I4701)),1,0)</f>
        <v>0</v>
      </c>
      <c r="R4701" s="56" t="n">
        <f aca="false">IF(AND(D4701&gt;1,Q4701=0,ISNUMBER(O4701),ISNUMBER(P4701)),IF(Q4700=0,1,0),0)</f>
        <v>1</v>
      </c>
      <c r="S4701" s="56" t="n">
        <f aca="false">R4701*(B4701&gt;=Train_Start)*(B4701&lt;=Train_End)</f>
        <v>0</v>
      </c>
      <c r="T4701" s="84" t="n">
        <f aca="false">IF(AND(ISNUMBER(O4701),ISNUMBER(P4701)),Coef_A+Coef_B1*O4701+Coef_B2*P4701,"")</f>
        <v>24.3634712663545</v>
      </c>
      <c r="U4701" s="84" t="n">
        <f aca="false">IF(AND(R4701=1,ISNUMBER(T4701)),E4701-T4701,"")</f>
        <v>4.5365287336455</v>
      </c>
      <c r="V4701" s="84" t="n">
        <f aca="false">IF(ISNUMBER(T4701),T4701,-99)</f>
        <v>24.3634712663545</v>
      </c>
      <c r="W4701" s="84" t="n">
        <f aca="false">IF(ISNUMBER(U4701),ABS(U4701),"")</f>
        <v>4.5365287336455</v>
      </c>
    </row>
    <row r="4702" customFormat="false" ht="15" hidden="false" customHeight="false" outlineLevel="0" collapsed="false">
      <c r="A4702" s="57" t="n">
        <v>40044</v>
      </c>
      <c r="B4702" s="56" t="n">
        <v>2009</v>
      </c>
      <c r="C4702" s="56" t="n">
        <v>8</v>
      </c>
      <c r="D4702" s="56" t="n">
        <v>111</v>
      </c>
      <c r="E4702" s="56" t="n">
        <v>23.9</v>
      </c>
      <c r="F4702" s="56" t="n">
        <v>0</v>
      </c>
      <c r="G4702" s="56" t="n">
        <v>14.1</v>
      </c>
      <c r="H4702" s="56" t="n">
        <v>0</v>
      </c>
      <c r="I4702" s="56" t="n">
        <v>21.5</v>
      </c>
      <c r="J4702" s="56" t="n">
        <v>0</v>
      </c>
      <c r="K4702" s="56" t="n">
        <v>1016.1</v>
      </c>
      <c r="L4702" s="56" t="n">
        <v>0</v>
      </c>
      <c r="M4702" s="56" t="n">
        <v>66</v>
      </c>
      <c r="N4702" s="56" t="n">
        <v>12.3</v>
      </c>
      <c r="O4702" s="56" t="n">
        <f aca="false">IF(D4702=1,"",E4701)</f>
        <v>28.9</v>
      </c>
      <c r="P4702" s="56" t="n">
        <f aca="false">IF(OR(D4702=1,K4701=""),"",K4701)</f>
        <v>1018.7</v>
      </c>
      <c r="Q4702" s="56" t="n">
        <f aca="false">IF(OR(F4702&lt;&gt;0,AND(I4702&lt;&gt;"",E4702&lt;I4702)),1,0)</f>
        <v>0</v>
      </c>
      <c r="R4702" s="56" t="n">
        <f aca="false">IF(AND(D4702&gt;1,Q4702=0,ISNUMBER(O4702),ISNUMBER(P4702)),IF(Q4701=0,1,0),0)</f>
        <v>1</v>
      </c>
      <c r="S4702" s="56" t="n">
        <f aca="false">R4702*(B4702&gt;=Train_Start)*(B4702&lt;=Train_End)</f>
        <v>0</v>
      </c>
      <c r="T4702" s="84" t="n">
        <f aca="false">IF(AND(ISNUMBER(O4702),ISNUMBER(P4702)),Coef_A+Coef_B1*O4702+Coef_B2*P4702,"")</f>
        <v>27.7223897645735</v>
      </c>
      <c r="U4702" s="84" t="n">
        <f aca="false">IF(AND(R4702=1,ISNUMBER(T4702)),E4702-T4702,"")</f>
        <v>-3.8223897645735</v>
      </c>
      <c r="V4702" s="84" t="n">
        <f aca="false">IF(ISNUMBER(T4702),T4702,-99)</f>
        <v>27.7223897645735</v>
      </c>
      <c r="W4702" s="84" t="n">
        <f aca="false">IF(ISNUMBER(U4702),ABS(U4702),"")</f>
        <v>3.8223897645735</v>
      </c>
    </row>
    <row r="4703" customFormat="false" ht="15" hidden="false" customHeight="false" outlineLevel="0" collapsed="false">
      <c r="A4703" s="57" t="n">
        <v>40045</v>
      </c>
      <c r="B4703" s="56" t="n">
        <v>2009</v>
      </c>
      <c r="C4703" s="56" t="n">
        <v>8</v>
      </c>
      <c r="D4703" s="56" t="n">
        <v>112</v>
      </c>
      <c r="E4703" s="56" t="n">
        <v>21.5</v>
      </c>
      <c r="F4703" s="56" t="n">
        <v>0</v>
      </c>
      <c r="G4703" s="56" t="n">
        <v>14.9</v>
      </c>
      <c r="H4703" s="56" t="n">
        <v>0</v>
      </c>
      <c r="I4703" s="56" t="n">
        <v>19.4</v>
      </c>
      <c r="J4703" s="56" t="n">
        <v>0</v>
      </c>
      <c r="K4703" s="56" t="n">
        <v>1013.3</v>
      </c>
      <c r="L4703" s="56" t="n">
        <v>0</v>
      </c>
      <c r="M4703" s="56" t="n">
        <v>71</v>
      </c>
      <c r="N4703" s="56" t="n">
        <v>3.9</v>
      </c>
      <c r="O4703" s="56" t="n">
        <f aca="false">IF(D4703=1,"",E4702)</f>
        <v>23.9</v>
      </c>
      <c r="P4703" s="56" t="n">
        <f aca="false">IF(OR(D4703=1,K4702=""),"",K4702)</f>
        <v>1016.1</v>
      </c>
      <c r="Q4703" s="56" t="n">
        <f aca="false">IF(OR(F4703&lt;&gt;0,AND(I4703&lt;&gt;"",E4703&lt;I4703)),1,0)</f>
        <v>0</v>
      </c>
      <c r="R4703" s="56" t="n">
        <f aca="false">IF(AND(D4703&gt;1,Q4703=0,ISNUMBER(O4703),ISNUMBER(P4703)),IF(Q4702=0,1,0),0)</f>
        <v>1</v>
      </c>
      <c r="S4703" s="56" t="n">
        <f aca="false">R4703*(B4703&gt;=Train_Start)*(B4703&lt;=Train_End)</f>
        <v>0</v>
      </c>
      <c r="T4703" s="84" t="n">
        <f aca="false">IF(AND(ISNUMBER(O4703),ISNUMBER(P4703)),Coef_A+Coef_B1*O4703+Coef_B2*P4703,"")</f>
        <v>23.5441320733118</v>
      </c>
      <c r="U4703" s="84" t="n">
        <f aca="false">IF(AND(R4703=1,ISNUMBER(T4703)),E4703-T4703,"")</f>
        <v>-2.04413207331184</v>
      </c>
      <c r="V4703" s="84" t="n">
        <f aca="false">IF(ISNUMBER(T4703),T4703,-99)</f>
        <v>23.5441320733118</v>
      </c>
      <c r="W4703" s="84" t="n">
        <f aca="false">IF(ISNUMBER(U4703),ABS(U4703),"")</f>
        <v>2.04413207331184</v>
      </c>
    </row>
    <row r="4704" customFormat="false" ht="15" hidden="false" customHeight="false" outlineLevel="0" collapsed="false">
      <c r="A4704" s="57" t="n">
        <v>40046</v>
      </c>
      <c r="B4704" s="56" t="n">
        <v>2009</v>
      </c>
      <c r="C4704" s="56" t="n">
        <v>8</v>
      </c>
      <c r="D4704" s="56" t="n">
        <v>113</v>
      </c>
      <c r="E4704" s="56" t="n">
        <v>22.6</v>
      </c>
      <c r="F4704" s="56" t="n">
        <v>0</v>
      </c>
      <c r="G4704" s="56" t="n">
        <v>12.9</v>
      </c>
      <c r="H4704" s="56" t="n">
        <v>0</v>
      </c>
      <c r="I4704" s="56" t="n">
        <v>17.2</v>
      </c>
      <c r="J4704" s="56" t="n">
        <v>0</v>
      </c>
      <c r="K4704" s="56" t="n">
        <v>1020.3</v>
      </c>
      <c r="L4704" s="56" t="n">
        <v>0</v>
      </c>
      <c r="M4704" s="56" t="n">
        <v>71</v>
      </c>
      <c r="N4704" s="56" t="n">
        <v>6.6</v>
      </c>
      <c r="O4704" s="56" t="n">
        <f aca="false">IF(D4704=1,"",E4703)</f>
        <v>21.5</v>
      </c>
      <c r="P4704" s="56" t="n">
        <f aca="false">IF(OR(D4704=1,K4703=""),"",K4703)</f>
        <v>1013.3</v>
      </c>
      <c r="Q4704" s="56" t="n">
        <f aca="false">IF(OR(F4704&lt;&gt;0,AND(I4704&lt;&gt;"",E4704&lt;I4704)),1,0)</f>
        <v>0</v>
      </c>
      <c r="R4704" s="56" t="n">
        <f aca="false">IF(AND(D4704&gt;1,Q4704=0,ISNUMBER(O4704),ISNUMBER(P4704)),IF(Q4703=0,1,0),0)</f>
        <v>1</v>
      </c>
      <c r="S4704" s="56" t="n">
        <f aca="false">R4704*(B4704&gt;=Train_Start)*(B4704&lt;=Train_End)</f>
        <v>0</v>
      </c>
      <c r="T4704" s="84" t="n">
        <f aca="false">IF(AND(ISNUMBER(O4704),ISNUMBER(P4704)),Coef_A+Coef_B1*O4704+Coef_B2*P4704,"")</f>
        <v>21.4898823050343</v>
      </c>
      <c r="U4704" s="84" t="n">
        <f aca="false">IF(AND(R4704=1,ISNUMBER(T4704)),E4704-T4704,"")</f>
        <v>1.11011769496572</v>
      </c>
      <c r="V4704" s="84" t="n">
        <f aca="false">IF(ISNUMBER(T4704),T4704,-99)</f>
        <v>21.4898823050343</v>
      </c>
      <c r="W4704" s="84" t="n">
        <f aca="false">IF(ISNUMBER(U4704),ABS(U4704),"")</f>
        <v>1.11011769496572</v>
      </c>
    </row>
    <row r="4705" customFormat="false" ht="15" hidden="false" customHeight="false" outlineLevel="0" collapsed="false">
      <c r="A4705" s="57" t="n">
        <v>40047</v>
      </c>
      <c r="B4705" s="56" t="n">
        <v>2009</v>
      </c>
      <c r="C4705" s="56" t="n">
        <v>8</v>
      </c>
      <c r="D4705" s="56" t="n">
        <v>114</v>
      </c>
      <c r="E4705" s="56" t="n">
        <v>27.7</v>
      </c>
      <c r="F4705" s="56" t="n">
        <v>0</v>
      </c>
      <c r="G4705" s="56" t="n">
        <v>11.4</v>
      </c>
      <c r="H4705" s="56" t="n">
        <v>0</v>
      </c>
      <c r="I4705" s="56" t="n">
        <v>17</v>
      </c>
      <c r="J4705" s="56" t="n">
        <v>0</v>
      </c>
      <c r="K4705" s="56" t="n">
        <v>1022.6</v>
      </c>
      <c r="L4705" s="56" t="n">
        <v>0</v>
      </c>
      <c r="M4705" s="56" t="n">
        <v>67</v>
      </c>
      <c r="N4705" s="56" t="n">
        <v>8.3</v>
      </c>
      <c r="O4705" s="56" t="n">
        <f aca="false">IF(D4705=1,"",E4704)</f>
        <v>22.6</v>
      </c>
      <c r="P4705" s="56" t="n">
        <f aca="false">IF(OR(D4705=1,K4704=""),"",K4704)</f>
        <v>1020.3</v>
      </c>
      <c r="Q4705" s="56" t="n">
        <f aca="false">IF(OR(F4705&lt;&gt;0,AND(I4705&lt;&gt;"",E4705&lt;I4705)),1,0)</f>
        <v>0</v>
      </c>
      <c r="R4705" s="56" t="n">
        <f aca="false">IF(AND(D4705&gt;1,Q4705=0,ISNUMBER(O4705),ISNUMBER(P4705)),IF(Q4704=0,1,0),0)</f>
        <v>1</v>
      </c>
      <c r="S4705" s="56" t="n">
        <f aca="false">R4705*(B4705&gt;=Train_Start)*(B4705&lt;=Train_End)</f>
        <v>0</v>
      </c>
      <c r="T4705" s="84" t="n">
        <f aca="false">IF(AND(ISNUMBER(O4705),ISNUMBER(P4705)),Coef_A+Coef_B1*O4705+Coef_B2*P4705,"")</f>
        <v>22.6107446798191</v>
      </c>
      <c r="U4705" s="84" t="n">
        <f aca="false">IF(AND(R4705=1,ISNUMBER(T4705)),E4705-T4705,"")</f>
        <v>5.08925532018086</v>
      </c>
      <c r="V4705" s="84" t="n">
        <f aca="false">IF(ISNUMBER(T4705),T4705,-99)</f>
        <v>22.6107446798191</v>
      </c>
      <c r="W4705" s="84" t="n">
        <f aca="false">IF(ISNUMBER(U4705),ABS(U4705),"")</f>
        <v>5.08925532018086</v>
      </c>
    </row>
    <row r="4706" customFormat="false" ht="15" hidden="false" customHeight="false" outlineLevel="0" collapsed="false">
      <c r="A4706" s="57" t="n">
        <v>40048</v>
      </c>
      <c r="B4706" s="56" t="n">
        <v>2009</v>
      </c>
      <c r="C4706" s="56" t="n">
        <v>8</v>
      </c>
      <c r="D4706" s="56" t="n">
        <v>115</v>
      </c>
      <c r="E4706" s="56" t="n">
        <v>25.2</v>
      </c>
      <c r="F4706" s="56" t="n">
        <v>0</v>
      </c>
      <c r="G4706" s="56" t="n">
        <v>15.7</v>
      </c>
      <c r="H4706" s="56" t="n">
        <v>0</v>
      </c>
      <c r="I4706" s="56" t="n">
        <v>21.7</v>
      </c>
      <c r="J4706" s="56" t="n">
        <v>0</v>
      </c>
      <c r="K4706" s="56" t="n">
        <v>1015.2</v>
      </c>
      <c r="L4706" s="56" t="n">
        <v>0</v>
      </c>
      <c r="M4706" s="56" t="n">
        <v>57</v>
      </c>
      <c r="N4706" s="56" t="n">
        <v>11.7</v>
      </c>
      <c r="O4706" s="56" t="n">
        <f aca="false">IF(D4706=1,"",E4705)</f>
        <v>27.7</v>
      </c>
      <c r="P4706" s="56" t="n">
        <f aca="false">IF(OR(D4706=1,K4705=""),"",K4705)</f>
        <v>1022.6</v>
      </c>
      <c r="Q4706" s="56" t="n">
        <f aca="false">IF(OR(F4706&lt;&gt;0,AND(I4706&lt;&gt;"",E4706&lt;I4706)),1,0)</f>
        <v>0</v>
      </c>
      <c r="R4706" s="56" t="n">
        <f aca="false">IF(AND(D4706&gt;1,Q4706=0,ISNUMBER(O4706),ISNUMBER(P4706)),IF(Q4705=0,1,0),0)</f>
        <v>1</v>
      </c>
      <c r="S4706" s="56" t="n">
        <f aca="false">R4706*(B4706&gt;=Train_Start)*(B4706&lt;=Train_End)</f>
        <v>0</v>
      </c>
      <c r="T4706" s="84" t="n">
        <f aca="false">IF(AND(ISNUMBER(O4706),ISNUMBER(P4706)),Coef_A+Coef_B1*O4706+Coef_B2*P4706,"")</f>
        <v>26.8615253219949</v>
      </c>
      <c r="U4706" s="84" t="n">
        <f aca="false">IF(AND(R4706=1,ISNUMBER(T4706)),E4706-T4706,"")</f>
        <v>-1.66152532199487</v>
      </c>
      <c r="V4706" s="84" t="n">
        <f aca="false">IF(ISNUMBER(T4706),T4706,-99)</f>
        <v>26.8615253219949</v>
      </c>
      <c r="W4706" s="84" t="n">
        <f aca="false">IF(ISNUMBER(U4706),ABS(U4706),"")</f>
        <v>1.66152532199487</v>
      </c>
    </row>
    <row r="4707" customFormat="false" ht="15" hidden="false" customHeight="false" outlineLevel="0" collapsed="false">
      <c r="A4707" s="57" t="n">
        <v>40049</v>
      </c>
      <c r="B4707" s="56" t="n">
        <v>2009</v>
      </c>
      <c r="C4707" s="56" t="n">
        <v>8</v>
      </c>
      <c r="D4707" s="56" t="n">
        <v>116</v>
      </c>
      <c r="E4707" s="56" t="n">
        <v>22.5</v>
      </c>
      <c r="F4707" s="56" t="n">
        <v>0</v>
      </c>
      <c r="G4707" s="56" t="n">
        <v>14.6</v>
      </c>
      <c r="H4707" s="56" t="n">
        <v>0</v>
      </c>
      <c r="I4707" s="56" t="n">
        <v>19.9</v>
      </c>
      <c r="J4707" s="56" t="n">
        <v>0</v>
      </c>
      <c r="K4707" s="56" t="n">
        <v>1006.4</v>
      </c>
      <c r="L4707" s="56" t="n">
        <v>0</v>
      </c>
      <c r="M4707" s="56" t="n">
        <v>69</v>
      </c>
      <c r="N4707" s="56" t="n">
        <v>4.8</v>
      </c>
      <c r="O4707" s="56" t="n">
        <f aca="false">IF(D4707=1,"",E4706)</f>
        <v>25.2</v>
      </c>
      <c r="P4707" s="56" t="n">
        <f aca="false">IF(OR(D4707=1,K4706=""),"",K4706)</f>
        <v>1015.2</v>
      </c>
      <c r="Q4707" s="56" t="n">
        <f aca="false">IF(OR(F4707&lt;&gt;0,AND(I4707&lt;&gt;"",E4707&lt;I4707)),1,0)</f>
        <v>0</v>
      </c>
      <c r="R4707" s="56" t="n">
        <f aca="false">IF(AND(D4707&gt;1,Q4707=0,ISNUMBER(O4707),ISNUMBER(P4707)),IF(Q4706=0,1,0),0)</f>
        <v>1</v>
      </c>
      <c r="S4707" s="56" t="n">
        <f aca="false">R4707*(B4707&gt;=Train_Start)*(B4707&lt;=Train_End)</f>
        <v>0</v>
      </c>
      <c r="T4707" s="84" t="n">
        <f aca="false">IF(AND(ISNUMBER(O4707),ISNUMBER(P4707)),Coef_A+Coef_B1*O4707+Coef_B2*P4707,"")</f>
        <v>24.5810401190967</v>
      </c>
      <c r="U4707" s="84" t="n">
        <f aca="false">IF(AND(R4707=1,ISNUMBER(T4707)),E4707-T4707,"")</f>
        <v>-2.0810401190967</v>
      </c>
      <c r="V4707" s="84" t="n">
        <f aca="false">IF(ISNUMBER(T4707),T4707,-99)</f>
        <v>24.5810401190967</v>
      </c>
      <c r="W4707" s="84" t="n">
        <f aca="false">IF(ISNUMBER(U4707),ABS(U4707),"")</f>
        <v>2.0810401190967</v>
      </c>
    </row>
    <row r="4708" customFormat="false" ht="15" hidden="false" customHeight="false" outlineLevel="0" collapsed="false">
      <c r="A4708" s="57" t="n">
        <v>40050</v>
      </c>
      <c r="B4708" s="56" t="n">
        <v>2009</v>
      </c>
      <c r="C4708" s="56" t="n">
        <v>8</v>
      </c>
      <c r="D4708" s="56" t="n">
        <v>117</v>
      </c>
      <c r="E4708" s="56" t="n">
        <v>23.3</v>
      </c>
      <c r="F4708" s="56" t="n">
        <v>0</v>
      </c>
      <c r="G4708" s="56" t="n">
        <v>12.1</v>
      </c>
      <c r="H4708" s="56" t="n">
        <v>0</v>
      </c>
      <c r="I4708" s="56" t="n">
        <v>17.3</v>
      </c>
      <c r="J4708" s="56" t="n">
        <v>0</v>
      </c>
      <c r="K4708" s="56" t="n">
        <v>1009.4</v>
      </c>
      <c r="L4708" s="56" t="n">
        <v>0</v>
      </c>
      <c r="M4708" s="56" t="n">
        <v>74</v>
      </c>
      <c r="N4708" s="56" t="n">
        <v>5.5</v>
      </c>
      <c r="O4708" s="56" t="n">
        <f aca="false">IF(D4708=1,"",E4707)</f>
        <v>22.5</v>
      </c>
      <c r="P4708" s="56" t="n">
        <f aca="false">IF(OR(D4708=1,K4707=""),"",K4707)</f>
        <v>1006.4</v>
      </c>
      <c r="Q4708" s="56" t="n">
        <f aca="false">IF(OR(F4708&lt;&gt;0,AND(I4708&lt;&gt;"",E4708&lt;I4708)),1,0)</f>
        <v>0</v>
      </c>
      <c r="R4708" s="56" t="n">
        <f aca="false">IF(AND(D4708&gt;1,Q4708=0,ISNUMBER(O4708),ISNUMBER(P4708)),IF(Q4707=0,1,0),0)</f>
        <v>1</v>
      </c>
      <c r="S4708" s="56" t="n">
        <f aca="false">R4708*(B4708&gt;=Train_Start)*(B4708&lt;=Train_End)</f>
        <v>0</v>
      </c>
      <c r="T4708" s="84" t="n">
        <f aca="false">IF(AND(ISNUMBER(O4708),ISNUMBER(P4708)),Coef_A+Coef_B1*O4708+Coef_B2*P4708,"")</f>
        <v>22.0927692251024</v>
      </c>
      <c r="U4708" s="84" t="n">
        <f aca="false">IF(AND(R4708=1,ISNUMBER(T4708)),E4708-T4708,"")</f>
        <v>1.20723077489758</v>
      </c>
      <c r="V4708" s="84" t="n">
        <f aca="false">IF(ISNUMBER(T4708),T4708,-99)</f>
        <v>22.0927692251024</v>
      </c>
      <c r="W4708" s="84" t="n">
        <f aca="false">IF(ISNUMBER(U4708),ABS(U4708),"")</f>
        <v>1.20723077489758</v>
      </c>
    </row>
    <row r="4709" customFormat="false" ht="15" hidden="false" customHeight="false" outlineLevel="0" collapsed="false">
      <c r="A4709" s="57" t="n">
        <v>40051</v>
      </c>
      <c r="B4709" s="56" t="n">
        <v>2009</v>
      </c>
      <c r="C4709" s="56" t="n">
        <v>8</v>
      </c>
      <c r="D4709" s="56" t="n">
        <v>118</v>
      </c>
      <c r="E4709" s="56" t="n">
        <v>23.6</v>
      </c>
      <c r="F4709" s="56" t="n">
        <v>0</v>
      </c>
      <c r="G4709" s="56" t="n">
        <v>14.3</v>
      </c>
      <c r="H4709" s="56" t="n">
        <v>0</v>
      </c>
      <c r="I4709" s="56" t="n">
        <v>18.8</v>
      </c>
      <c r="J4709" s="56" t="n">
        <v>0</v>
      </c>
      <c r="K4709" s="56" t="n">
        <v>1010</v>
      </c>
      <c r="L4709" s="56" t="n">
        <v>0</v>
      </c>
      <c r="M4709" s="56" t="n">
        <v>83</v>
      </c>
      <c r="N4709" s="56" t="n">
        <v>1</v>
      </c>
      <c r="O4709" s="56" t="n">
        <f aca="false">IF(D4709=1,"",E4708)</f>
        <v>23.3</v>
      </c>
      <c r="P4709" s="56" t="n">
        <f aca="false">IF(OR(D4709=1,K4708=""),"",K4708)</f>
        <v>1009.4</v>
      </c>
      <c r="Q4709" s="56" t="n">
        <f aca="false">IF(OR(F4709&lt;&gt;0,AND(I4709&lt;&gt;"",E4709&lt;I4709)),1,0)</f>
        <v>0</v>
      </c>
      <c r="R4709" s="56" t="n">
        <f aca="false">IF(AND(D4709&gt;1,Q4709=0,ISNUMBER(O4709),ISNUMBER(P4709)),IF(Q4708=0,1,0),0)</f>
        <v>1</v>
      </c>
      <c r="S4709" s="56" t="n">
        <f aca="false">R4709*(B4709&gt;=Train_Start)*(B4709&lt;=Train_End)</f>
        <v>0</v>
      </c>
      <c r="T4709" s="84" t="n">
        <f aca="false">IF(AND(ISNUMBER(O4709),ISNUMBER(P4709)),Coef_A+Coef_B1*O4709+Coef_B2*P4709,"")</f>
        <v>22.8423502634385</v>
      </c>
      <c r="U4709" s="84" t="n">
        <f aca="false">IF(AND(R4709=1,ISNUMBER(T4709)),E4709-T4709,"")</f>
        <v>0.75764973656149</v>
      </c>
      <c r="V4709" s="84" t="n">
        <f aca="false">IF(ISNUMBER(T4709),T4709,-99)</f>
        <v>22.8423502634385</v>
      </c>
      <c r="W4709" s="84" t="n">
        <f aca="false">IF(ISNUMBER(U4709),ABS(U4709),"")</f>
        <v>0.75764973656149</v>
      </c>
    </row>
    <row r="4710" customFormat="false" ht="15" hidden="false" customHeight="false" outlineLevel="0" collapsed="false">
      <c r="A4710" s="57" t="n">
        <v>40052</v>
      </c>
      <c r="B4710" s="56" t="n">
        <v>2009</v>
      </c>
      <c r="C4710" s="56" t="n">
        <v>8</v>
      </c>
      <c r="D4710" s="56" t="n">
        <v>119</v>
      </c>
      <c r="E4710" s="56" t="n">
        <v>21.7</v>
      </c>
      <c r="F4710" s="56" t="n">
        <v>0</v>
      </c>
      <c r="G4710" s="56" t="n">
        <v>16.4</v>
      </c>
      <c r="H4710" s="56" t="n">
        <v>0</v>
      </c>
      <c r="I4710" s="56" t="n">
        <v>20</v>
      </c>
      <c r="J4710" s="56" t="n">
        <v>0</v>
      </c>
      <c r="K4710" s="56" t="n">
        <v>1011.9</v>
      </c>
      <c r="L4710" s="56" t="n">
        <v>0</v>
      </c>
      <c r="M4710" s="56" t="n">
        <v>73</v>
      </c>
      <c r="N4710" s="56" t="n">
        <v>5.3</v>
      </c>
      <c r="O4710" s="56" t="n">
        <f aca="false">IF(D4710=1,"",E4709)</f>
        <v>23.6</v>
      </c>
      <c r="P4710" s="56" t="n">
        <f aca="false">IF(OR(D4710=1,K4709=""),"",K4709)</f>
        <v>1010</v>
      </c>
      <c r="Q4710" s="56" t="n">
        <f aca="false">IF(OR(F4710&lt;&gt;0,AND(I4710&lt;&gt;"",E4710&lt;I4710)),1,0)</f>
        <v>0</v>
      </c>
      <c r="R4710" s="56" t="n">
        <f aca="false">IF(AND(D4710&gt;1,Q4710=0,ISNUMBER(O4710),ISNUMBER(P4710)),IF(Q4709=0,1,0),0)</f>
        <v>1</v>
      </c>
      <c r="S4710" s="56" t="n">
        <f aca="false">R4710*(B4710&gt;=Train_Start)*(B4710&lt;=Train_End)</f>
        <v>0</v>
      </c>
      <c r="T4710" s="84" t="n">
        <f aca="false">IF(AND(ISNUMBER(O4710),ISNUMBER(P4710)),Coef_A+Coef_B1*O4710+Coef_B2*P4710,"")</f>
        <v>23.1069739581317</v>
      </c>
      <c r="U4710" s="84" t="n">
        <f aca="false">IF(AND(R4710=1,ISNUMBER(T4710)),E4710-T4710,"")</f>
        <v>-1.4069739581317</v>
      </c>
      <c r="V4710" s="84" t="n">
        <f aca="false">IF(ISNUMBER(T4710),T4710,-99)</f>
        <v>23.1069739581317</v>
      </c>
      <c r="W4710" s="84" t="n">
        <f aca="false">IF(ISNUMBER(U4710),ABS(U4710),"")</f>
        <v>1.4069739581317</v>
      </c>
    </row>
    <row r="4711" customFormat="false" ht="15" hidden="false" customHeight="false" outlineLevel="0" collapsed="false">
      <c r="A4711" s="57" t="n">
        <v>40053</v>
      </c>
      <c r="B4711" s="56" t="n">
        <v>2009</v>
      </c>
      <c r="C4711" s="56" t="n">
        <v>8</v>
      </c>
      <c r="D4711" s="56" t="n">
        <v>120</v>
      </c>
      <c r="E4711" s="56" t="n">
        <v>20.7</v>
      </c>
      <c r="F4711" s="56" t="n">
        <v>0</v>
      </c>
      <c r="G4711" s="56" t="n">
        <v>12.4</v>
      </c>
      <c r="H4711" s="56" t="n">
        <v>0</v>
      </c>
      <c r="I4711" s="56" t="n">
        <v>17.1</v>
      </c>
      <c r="J4711" s="56" t="n">
        <v>0</v>
      </c>
      <c r="K4711" s="56" t="n">
        <v>1012.5</v>
      </c>
      <c r="L4711" s="56" t="n">
        <v>0</v>
      </c>
      <c r="M4711" s="56" t="n">
        <v>68</v>
      </c>
      <c r="N4711" s="56" t="n">
        <v>6.8</v>
      </c>
      <c r="O4711" s="56" t="n">
        <f aca="false">IF(D4711=1,"",E4710)</f>
        <v>21.7</v>
      </c>
      <c r="P4711" s="56" t="n">
        <f aca="false">IF(OR(D4711=1,K4710=""),"",K4710)</f>
        <v>1011.9</v>
      </c>
      <c r="Q4711" s="56" t="n">
        <f aca="false">IF(OR(F4711&lt;&gt;0,AND(I4711&lt;&gt;"",E4711&lt;I4711)),1,0)</f>
        <v>0</v>
      </c>
      <c r="R4711" s="56" t="n">
        <f aca="false">IF(AND(D4711&gt;1,Q4711=0,ISNUMBER(O4711),ISNUMBER(P4711)),IF(Q4710=0,1,0),0)</f>
        <v>1</v>
      </c>
      <c r="S4711" s="56" t="n">
        <f aca="false">R4711*(B4711&gt;=Train_Start)*(B4711&lt;=Train_End)</f>
        <v>0</v>
      </c>
      <c r="T4711" s="84" t="n">
        <f aca="false">IF(AND(ISNUMBER(O4711),ISNUMBER(P4711)),Coef_A+Coef_B1*O4711+Coef_B2*P4711,"")</f>
        <v>21.6098322911552</v>
      </c>
      <c r="U4711" s="84" t="n">
        <f aca="false">IF(AND(R4711=1,ISNUMBER(T4711)),E4711-T4711,"")</f>
        <v>-0.909832291155233</v>
      </c>
      <c r="V4711" s="84" t="n">
        <f aca="false">IF(ISNUMBER(T4711),T4711,-99)</f>
        <v>21.6098322911552</v>
      </c>
      <c r="W4711" s="84" t="n">
        <f aca="false">IF(ISNUMBER(U4711),ABS(U4711),"")</f>
        <v>0.909832291155233</v>
      </c>
    </row>
    <row r="4712" customFormat="false" ht="15" hidden="false" customHeight="false" outlineLevel="0" collapsed="false">
      <c r="A4712" s="57" t="n">
        <v>40054</v>
      </c>
      <c r="B4712" s="56" t="n">
        <v>2009</v>
      </c>
      <c r="C4712" s="56" t="n">
        <v>8</v>
      </c>
      <c r="D4712" s="56" t="n">
        <v>121</v>
      </c>
      <c r="E4712" s="56" t="n">
        <v>20.4</v>
      </c>
      <c r="F4712" s="56" t="n">
        <v>0</v>
      </c>
      <c r="G4712" s="56" t="n">
        <v>9.2</v>
      </c>
      <c r="H4712" s="56" t="n">
        <v>0</v>
      </c>
      <c r="I4712" s="56" t="n">
        <v>15</v>
      </c>
      <c r="J4712" s="56" t="n">
        <v>0</v>
      </c>
      <c r="K4712" s="56" t="n">
        <v>1020.6</v>
      </c>
      <c r="L4712" s="56" t="n">
        <v>0</v>
      </c>
      <c r="M4712" s="56" t="n">
        <v>65</v>
      </c>
      <c r="N4712" s="56" t="n">
        <v>8.1</v>
      </c>
      <c r="O4712" s="56" t="n">
        <f aca="false">IF(D4712=1,"",E4711)</f>
        <v>20.7</v>
      </c>
      <c r="P4712" s="56" t="n">
        <f aca="false">IF(OR(D4712=1,K4711=""),"",K4711)</f>
        <v>1012.5</v>
      </c>
      <c r="Q4712" s="56" t="n">
        <f aca="false">IF(OR(F4712&lt;&gt;0,AND(I4712&lt;&gt;"",E4712&lt;I4712)),1,0)</f>
        <v>0</v>
      </c>
      <c r="R4712" s="56" t="n">
        <f aca="false">IF(AND(D4712&gt;1,Q4712=0,ISNUMBER(O4712),ISNUMBER(P4712)),IF(Q4711=0,1,0),0)</f>
        <v>1</v>
      </c>
      <c r="S4712" s="56" t="n">
        <f aca="false">R4712*(B4712&gt;=Train_Start)*(B4712&lt;=Train_End)</f>
        <v>0</v>
      </c>
      <c r="T4712" s="84" t="n">
        <f aca="false">IF(AND(ISNUMBER(O4712),ISNUMBER(P4712)),Coef_A+Coef_B1*O4712+Coef_B2*P4712,"")</f>
        <v>20.809315034893</v>
      </c>
      <c r="U4712" s="84" t="n">
        <f aca="false">IF(AND(R4712=1,ISNUMBER(T4712)),E4712-T4712,"")</f>
        <v>-0.40931503489297</v>
      </c>
      <c r="V4712" s="84" t="n">
        <f aca="false">IF(ISNUMBER(T4712),T4712,-99)</f>
        <v>20.809315034893</v>
      </c>
      <c r="W4712" s="84" t="n">
        <f aca="false">IF(ISNUMBER(U4712),ABS(U4712),"")</f>
        <v>0.40931503489297</v>
      </c>
    </row>
    <row r="4713" customFormat="false" ht="15" hidden="false" customHeight="false" outlineLevel="0" collapsed="false">
      <c r="A4713" s="57" t="n">
        <v>40055</v>
      </c>
      <c r="B4713" s="56" t="n">
        <v>2009</v>
      </c>
      <c r="C4713" s="56" t="n">
        <v>8</v>
      </c>
      <c r="D4713" s="56" t="n">
        <v>122</v>
      </c>
      <c r="E4713" s="56" t="n">
        <v>26.2</v>
      </c>
      <c r="F4713" s="56" t="n">
        <v>0</v>
      </c>
      <c r="G4713" s="56" t="n">
        <v>10.1</v>
      </c>
      <c r="H4713" s="56" t="n">
        <v>0</v>
      </c>
      <c r="I4713" s="56" t="n">
        <v>15.3</v>
      </c>
      <c r="J4713" s="56" t="n">
        <v>0</v>
      </c>
      <c r="K4713" s="56" t="n">
        <v>1018.7</v>
      </c>
      <c r="L4713" s="56" t="n">
        <v>0</v>
      </c>
      <c r="M4713" s="56" t="n">
        <v>77</v>
      </c>
      <c r="N4713" s="56" t="n">
        <v>1.4</v>
      </c>
      <c r="O4713" s="56" t="n">
        <f aca="false">IF(D4713=1,"",E4712)</f>
        <v>20.4</v>
      </c>
      <c r="P4713" s="56" t="n">
        <f aca="false">IF(OR(D4713=1,K4712=""),"",K4712)</f>
        <v>1020.6</v>
      </c>
      <c r="Q4713" s="56" t="n">
        <f aca="false">IF(OR(F4713&lt;&gt;0,AND(I4713&lt;&gt;"",E4713&lt;I4713)),1,0)</f>
        <v>0</v>
      </c>
      <c r="R4713" s="56" t="n">
        <f aca="false">IF(AND(D4713&gt;1,Q4713=0,ISNUMBER(O4713),ISNUMBER(P4713)),IF(Q4712=0,1,0),0)</f>
        <v>1</v>
      </c>
      <c r="S4713" s="56" t="n">
        <f aca="false">R4713*(B4713&gt;=Train_Start)*(B4713&lt;=Train_End)</f>
        <v>0</v>
      </c>
      <c r="T4713" s="84" t="n">
        <f aca="false">IF(AND(ISNUMBER(O4713),ISNUMBER(P4713)),Coef_A+Coef_B1*O4713+Coef_B2*P4713,"")</f>
        <v>20.8176094235155</v>
      </c>
      <c r="U4713" s="84" t="n">
        <f aca="false">IF(AND(R4713=1,ISNUMBER(T4713)),E4713-T4713,"")</f>
        <v>5.38239057648451</v>
      </c>
      <c r="V4713" s="84" t="n">
        <f aca="false">IF(ISNUMBER(T4713),T4713,-99)</f>
        <v>20.8176094235155</v>
      </c>
      <c r="W4713" s="84" t="n">
        <f aca="false">IF(ISNUMBER(U4713),ABS(U4713),"")</f>
        <v>5.38239057648451</v>
      </c>
    </row>
    <row r="4714" customFormat="false" ht="15" hidden="false" customHeight="false" outlineLevel="0" collapsed="false">
      <c r="A4714" s="57" t="n">
        <v>40056</v>
      </c>
      <c r="B4714" s="56" t="n">
        <v>2009</v>
      </c>
      <c r="C4714" s="56" t="n">
        <v>8</v>
      </c>
      <c r="D4714" s="56" t="n">
        <v>123</v>
      </c>
      <c r="E4714" s="56" t="n">
        <v>22.3</v>
      </c>
      <c r="F4714" s="56" t="n">
        <v>0</v>
      </c>
      <c r="G4714" s="56" t="n">
        <v>16.5</v>
      </c>
      <c r="H4714" s="56" t="n">
        <v>0</v>
      </c>
      <c r="I4714" s="56" t="n">
        <v>21.4</v>
      </c>
      <c r="J4714" s="56" t="n">
        <v>0</v>
      </c>
      <c r="K4714" s="56" t="n">
        <v>1010.4</v>
      </c>
      <c r="L4714" s="56" t="n">
        <v>0</v>
      </c>
      <c r="M4714" s="56" t="n">
        <v>68</v>
      </c>
      <c r="N4714" s="56" t="n">
        <v>5</v>
      </c>
      <c r="O4714" s="56" t="n">
        <f aca="false">IF(D4714=1,"",E4713)</f>
        <v>26.2</v>
      </c>
      <c r="P4714" s="56" t="n">
        <f aca="false">IF(OR(D4714=1,K4713=""),"",K4713)</f>
        <v>1018.7</v>
      </c>
      <c r="Q4714" s="56" t="n">
        <f aca="false">IF(OR(F4714&lt;&gt;0,AND(I4714&lt;&gt;"",E4714&lt;I4714)),1,0)</f>
        <v>0</v>
      </c>
      <c r="R4714" s="56" t="n">
        <f aca="false">IF(AND(D4714&gt;1,Q4714=0,ISNUMBER(O4714),ISNUMBER(P4714)),IF(Q4713=0,1,0),0)</f>
        <v>1</v>
      </c>
      <c r="S4714" s="56" t="n">
        <f aca="false">R4714*(B4714&gt;=Train_Start)*(B4714&lt;=Train_End)</f>
        <v>0</v>
      </c>
      <c r="T4714" s="84" t="n">
        <f aca="false">IF(AND(ISNUMBER(O4714),ISNUMBER(P4714)),Coef_A+Coef_B1*O4714+Coef_B2*P4714,"")</f>
        <v>25.5101739433583</v>
      </c>
      <c r="U4714" s="84" t="n">
        <f aca="false">IF(AND(R4714=1,ISNUMBER(T4714)),E4714-T4714,"")</f>
        <v>-3.21017394335832</v>
      </c>
      <c r="V4714" s="84" t="n">
        <f aca="false">IF(ISNUMBER(T4714),T4714,-99)</f>
        <v>25.5101739433583</v>
      </c>
      <c r="W4714" s="84" t="n">
        <f aca="false">IF(ISNUMBER(U4714),ABS(U4714),"")</f>
        <v>3.21017394335832</v>
      </c>
    </row>
    <row r="4715" customFormat="false" ht="15" hidden="false" customHeight="false" outlineLevel="0" collapsed="false">
      <c r="A4715" s="57" t="n">
        <v>40057</v>
      </c>
      <c r="B4715" s="56" t="n">
        <v>2009</v>
      </c>
      <c r="C4715" s="56" t="n">
        <v>9</v>
      </c>
      <c r="D4715" s="56" t="n">
        <v>124</v>
      </c>
      <c r="E4715" s="56" t="n">
        <v>20.2</v>
      </c>
      <c r="F4715" s="56" t="n">
        <v>0</v>
      </c>
      <c r="G4715" s="56" t="n">
        <v>14.6</v>
      </c>
      <c r="H4715" s="56" t="n">
        <v>0</v>
      </c>
      <c r="I4715" s="56" t="n">
        <v>18.5</v>
      </c>
      <c r="J4715" s="56" t="n">
        <v>0</v>
      </c>
      <c r="K4715" s="56" t="n">
        <v>1006.9</v>
      </c>
      <c r="L4715" s="56" t="n">
        <v>0</v>
      </c>
      <c r="M4715" s="56" t="n">
        <v>68</v>
      </c>
      <c r="N4715" s="56" t="n">
        <v>7.3</v>
      </c>
      <c r="O4715" s="56" t="n">
        <f aca="false">IF(D4715=1,"",E4714)</f>
        <v>22.3</v>
      </c>
      <c r="P4715" s="56" t="n">
        <f aca="false">IF(OR(D4715=1,K4714=""),"",K4714)</f>
        <v>1010.4</v>
      </c>
      <c r="Q4715" s="56" t="n">
        <f aca="false">IF(OR(F4715&lt;&gt;0,AND(I4715&lt;&gt;"",E4715&lt;I4715)),1,0)</f>
        <v>0</v>
      </c>
      <c r="R4715" s="56" t="n">
        <f aca="false">IF(AND(D4715&gt;1,Q4715=0,ISNUMBER(O4715),ISNUMBER(P4715)),IF(Q4714=0,1,0),0)</f>
        <v>1</v>
      </c>
      <c r="S4715" s="56" t="n">
        <f aca="false">R4715*(B4715&gt;=Train_Start)*(B4715&lt;=Train_End)</f>
        <v>0</v>
      </c>
      <c r="T4715" s="84" t="n">
        <f aca="false">IF(AND(ISNUMBER(O4715),ISNUMBER(P4715)),Coef_A+Coef_B1*O4715+Coef_B2*P4715,"")</f>
        <v>22.0543809650298</v>
      </c>
      <c r="U4715" s="84" t="n">
        <f aca="false">IF(AND(R4715=1,ISNUMBER(T4715)),E4715-T4715,"")</f>
        <v>-1.85438096502984</v>
      </c>
      <c r="V4715" s="84" t="n">
        <f aca="false">IF(ISNUMBER(T4715),T4715,-99)</f>
        <v>22.0543809650298</v>
      </c>
      <c r="W4715" s="84" t="n">
        <f aca="false">IF(ISNUMBER(U4715),ABS(U4715),"")</f>
        <v>1.85438096502984</v>
      </c>
    </row>
    <row r="4716" customFormat="false" ht="15" hidden="false" customHeight="false" outlineLevel="0" collapsed="false">
      <c r="A4716" s="57" t="n">
        <v>40058</v>
      </c>
      <c r="B4716" s="56" t="n">
        <v>2009</v>
      </c>
      <c r="C4716" s="56" t="n">
        <v>9</v>
      </c>
      <c r="D4716" s="56" t="n">
        <v>125</v>
      </c>
      <c r="E4716" s="56" t="n">
        <v>19.7</v>
      </c>
      <c r="F4716" s="56" t="n">
        <v>0</v>
      </c>
      <c r="G4716" s="56" t="n">
        <v>13.5</v>
      </c>
      <c r="H4716" s="56" t="n">
        <v>0</v>
      </c>
      <c r="I4716" s="56" t="n">
        <v>16.9</v>
      </c>
      <c r="J4716" s="56" t="n">
        <v>0</v>
      </c>
      <c r="K4716" s="56" t="n">
        <v>1006.2</v>
      </c>
      <c r="L4716" s="56" t="n">
        <v>0</v>
      </c>
      <c r="M4716" s="56" t="n">
        <v>83</v>
      </c>
      <c r="N4716" s="56" t="n">
        <v>0.4</v>
      </c>
      <c r="O4716" s="56" t="n">
        <f aca="false">IF(D4716=1,"",E4715)</f>
        <v>20.2</v>
      </c>
      <c r="P4716" s="56" t="n">
        <f aca="false">IF(OR(D4716=1,K4715=""),"",K4715)</f>
        <v>1006.9</v>
      </c>
      <c r="Q4716" s="56" t="n">
        <f aca="false">IF(OR(F4716&lt;&gt;0,AND(I4716&lt;&gt;"",E4716&lt;I4716)),1,0)</f>
        <v>0</v>
      </c>
      <c r="R4716" s="56" t="n">
        <f aca="false">IF(AND(D4716&gt;1,Q4716=0,ISNUMBER(O4716),ISNUMBER(P4716)),IF(Q4715=0,1,0),0)</f>
        <v>1</v>
      </c>
      <c r="S4716" s="56" t="n">
        <f aca="false">R4716*(B4716&gt;=Train_Start)*(B4716&lt;=Train_End)</f>
        <v>0</v>
      </c>
      <c r="T4716" s="84" t="n">
        <f aca="false">IF(AND(ISNUMBER(O4716),ISNUMBER(P4716)),Coef_A+Coef_B1*O4716+Coef_B2*P4716,"")</f>
        <v>20.2239740284213</v>
      </c>
      <c r="U4716" s="84" t="n">
        <f aca="false">IF(AND(R4716=1,ISNUMBER(T4716)),E4716-T4716,"")</f>
        <v>-0.5239740284213</v>
      </c>
      <c r="V4716" s="84" t="n">
        <f aca="false">IF(ISNUMBER(T4716),T4716,-99)</f>
        <v>20.2239740284213</v>
      </c>
      <c r="W4716" s="84" t="n">
        <f aca="false">IF(ISNUMBER(U4716),ABS(U4716),"")</f>
        <v>0.5239740284213</v>
      </c>
    </row>
    <row r="4717" customFormat="false" ht="15" hidden="false" customHeight="false" outlineLevel="0" collapsed="false">
      <c r="A4717" s="57" t="n">
        <v>40059</v>
      </c>
      <c r="B4717" s="56" t="n">
        <v>2009</v>
      </c>
      <c r="C4717" s="56" t="n">
        <v>9</v>
      </c>
      <c r="D4717" s="56" t="n">
        <v>126</v>
      </c>
      <c r="E4717" s="56" t="n">
        <v>19.1</v>
      </c>
      <c r="F4717" s="56" t="n">
        <v>0</v>
      </c>
      <c r="G4717" s="56" t="n">
        <v>13.5</v>
      </c>
      <c r="H4717" s="56" t="n">
        <v>0</v>
      </c>
      <c r="I4717" s="56" t="n">
        <v>16.6</v>
      </c>
      <c r="J4717" s="56" t="n">
        <v>0</v>
      </c>
      <c r="K4717" s="56" t="n">
        <v>999.3</v>
      </c>
      <c r="L4717" s="56" t="n">
        <v>0</v>
      </c>
      <c r="M4717" s="56" t="n">
        <v>67</v>
      </c>
      <c r="N4717" s="56" t="n">
        <v>6.5</v>
      </c>
      <c r="O4717" s="56" t="n">
        <f aca="false">IF(D4717=1,"",E4716)</f>
        <v>19.7</v>
      </c>
      <c r="P4717" s="56" t="n">
        <f aca="false">IF(OR(D4717=1,K4716=""),"",K4716)</f>
        <v>1006.2</v>
      </c>
      <c r="Q4717" s="56" t="n">
        <f aca="false">IF(OR(F4717&lt;&gt;0,AND(I4717&lt;&gt;"",E4717&lt;I4717)),1,0)</f>
        <v>0</v>
      </c>
      <c r="R4717" s="56" t="n">
        <f aca="false">IF(AND(D4717&gt;1,Q4717=0,ISNUMBER(O4717),ISNUMBER(P4717)),IF(Q4716=0,1,0),0)</f>
        <v>1</v>
      </c>
      <c r="S4717" s="56" t="n">
        <f aca="false">R4717*(B4717&gt;=Train_Start)*(B4717&lt;=Train_End)</f>
        <v>0</v>
      </c>
      <c r="T4717" s="84" t="n">
        <f aca="false">IF(AND(ISNUMBER(O4717),ISNUMBER(P4717)),Coef_A+Coef_B1*O4717+Coef_B2*P4717,"")</f>
        <v>19.7923455056562</v>
      </c>
      <c r="U4717" s="84" t="n">
        <f aca="false">IF(AND(R4717=1,ISNUMBER(T4717)),E4717-T4717,"")</f>
        <v>-0.692345505656178</v>
      </c>
      <c r="V4717" s="84" t="n">
        <f aca="false">IF(ISNUMBER(T4717),T4717,-99)</f>
        <v>19.7923455056562</v>
      </c>
      <c r="W4717" s="84" t="n">
        <f aca="false">IF(ISNUMBER(U4717),ABS(U4717),"")</f>
        <v>0.692345505656178</v>
      </c>
    </row>
    <row r="4718" customFormat="false" ht="15" hidden="false" customHeight="false" outlineLevel="0" collapsed="false">
      <c r="A4718" s="57" t="n">
        <v>40060</v>
      </c>
      <c r="B4718" s="56" t="n">
        <v>2009</v>
      </c>
      <c r="C4718" s="56" t="n">
        <v>9</v>
      </c>
      <c r="D4718" s="56" t="n">
        <v>127</v>
      </c>
      <c r="E4718" s="56" t="n">
        <v>20.2</v>
      </c>
      <c r="F4718" s="56" t="n">
        <v>0</v>
      </c>
      <c r="G4718" s="56" t="n">
        <v>10.8</v>
      </c>
      <c r="H4718" s="56" t="n">
        <v>0</v>
      </c>
      <c r="I4718" s="56" t="n">
        <v>15</v>
      </c>
      <c r="J4718" s="56" t="n">
        <v>0</v>
      </c>
      <c r="K4718" s="56" t="n">
        <v>1008.5</v>
      </c>
      <c r="L4718" s="56" t="n">
        <v>0</v>
      </c>
      <c r="M4718" s="56" t="n">
        <v>66</v>
      </c>
      <c r="N4718" s="56" t="n">
        <v>7.4</v>
      </c>
      <c r="O4718" s="56" t="n">
        <f aca="false">IF(D4718=1,"",E4717)</f>
        <v>19.1</v>
      </c>
      <c r="P4718" s="56" t="n">
        <f aca="false">IF(OR(D4718=1,K4717=""),"",K4717)</f>
        <v>999.3</v>
      </c>
      <c r="Q4718" s="56" t="n">
        <f aca="false">IF(OR(F4718&lt;&gt;0,AND(I4718&lt;&gt;"",E4718&lt;I4718)),1,0)</f>
        <v>0</v>
      </c>
      <c r="R4718" s="56" t="n">
        <f aca="false">IF(AND(D4718&gt;1,Q4718=0,ISNUMBER(O4718),ISNUMBER(P4718)),IF(Q4717=0,1,0),0)</f>
        <v>1</v>
      </c>
      <c r="S4718" s="56" t="n">
        <f aca="false">R4718*(B4718&gt;=Train_Start)*(B4718&lt;=Train_End)</f>
        <v>0</v>
      </c>
      <c r="T4718" s="84" t="n">
        <f aca="false">IF(AND(ISNUMBER(O4718),ISNUMBER(P4718)),Coef_A+Coef_B1*O4718+Coef_B2*P4718,"")</f>
        <v>19.0842897168561</v>
      </c>
      <c r="U4718" s="84" t="n">
        <f aca="false">IF(AND(R4718=1,ISNUMBER(T4718)),E4718-T4718,"")</f>
        <v>1.11571028314394</v>
      </c>
      <c r="V4718" s="84" t="n">
        <f aca="false">IF(ISNUMBER(T4718),T4718,-99)</f>
        <v>19.0842897168561</v>
      </c>
      <c r="W4718" s="84" t="n">
        <f aca="false">IF(ISNUMBER(U4718),ABS(U4718),"")</f>
        <v>1.11571028314394</v>
      </c>
    </row>
    <row r="4719" customFormat="false" ht="15" hidden="false" customHeight="false" outlineLevel="0" collapsed="false">
      <c r="A4719" s="57" t="n">
        <v>40061</v>
      </c>
      <c r="B4719" s="56" t="n">
        <v>2009</v>
      </c>
      <c r="C4719" s="56" t="n">
        <v>9</v>
      </c>
      <c r="D4719" s="56" t="n">
        <v>128</v>
      </c>
      <c r="E4719" s="56" t="n">
        <v>20.3</v>
      </c>
      <c r="F4719" s="56" t="n">
        <v>0</v>
      </c>
      <c r="G4719" s="56" t="n">
        <v>9.9</v>
      </c>
      <c r="H4719" s="56" t="n">
        <v>0</v>
      </c>
      <c r="I4719" s="56" t="n">
        <v>15.1</v>
      </c>
      <c r="J4719" s="56" t="n">
        <v>0</v>
      </c>
      <c r="K4719" s="56" t="n">
        <v>1021.4</v>
      </c>
      <c r="L4719" s="56" t="n">
        <v>0</v>
      </c>
      <c r="M4719" s="56" t="n">
        <v>71</v>
      </c>
      <c r="N4719" s="56" t="n">
        <v>6.1</v>
      </c>
      <c r="O4719" s="56" t="n">
        <f aca="false">IF(D4719=1,"",E4718)</f>
        <v>20.2</v>
      </c>
      <c r="P4719" s="56" t="n">
        <f aca="false">IF(OR(D4719=1,K4718=""),"",K4718)</f>
        <v>1008.5</v>
      </c>
      <c r="Q4719" s="56" t="n">
        <f aca="false">IF(OR(F4719&lt;&gt;0,AND(I4719&lt;&gt;"",E4719&lt;I4719)),1,0)</f>
        <v>0</v>
      </c>
      <c r="R4719" s="56" t="n">
        <f aca="false">IF(AND(D4719&gt;1,Q4719=0,ISNUMBER(O4719),ISNUMBER(P4719)),IF(Q4718=0,1,0),0)</f>
        <v>1</v>
      </c>
      <c r="S4719" s="56" t="n">
        <f aca="false">R4719*(B4719&gt;=Train_Start)*(B4719&lt;=Train_End)</f>
        <v>0</v>
      </c>
      <c r="T4719" s="84" t="n">
        <f aca="false">IF(AND(ISNUMBER(O4719),ISNUMBER(P4719)),Coef_A+Coef_B1*O4719+Coef_B2*P4719,"")</f>
        <v>20.2741658598357</v>
      </c>
      <c r="U4719" s="84" t="n">
        <f aca="false">IF(AND(R4719=1,ISNUMBER(T4719)),E4719-T4719,"")</f>
        <v>0.0258341401643172</v>
      </c>
      <c r="V4719" s="84" t="n">
        <f aca="false">IF(ISNUMBER(T4719),T4719,-99)</f>
        <v>20.2741658598357</v>
      </c>
      <c r="W4719" s="84" t="n">
        <f aca="false">IF(ISNUMBER(U4719),ABS(U4719),"")</f>
        <v>0.0258341401643172</v>
      </c>
    </row>
    <row r="4720" customFormat="false" ht="15" hidden="false" customHeight="false" outlineLevel="0" collapsed="false">
      <c r="A4720" s="57" t="n">
        <v>40062</v>
      </c>
      <c r="B4720" s="56" t="n">
        <v>2009</v>
      </c>
      <c r="C4720" s="56" t="n">
        <v>9</v>
      </c>
      <c r="D4720" s="56" t="n">
        <v>129</v>
      </c>
      <c r="E4720" s="56" t="n">
        <v>21.7</v>
      </c>
      <c r="F4720" s="56" t="n">
        <v>0</v>
      </c>
      <c r="G4720" s="56" t="n">
        <v>13.3</v>
      </c>
      <c r="H4720" s="56" t="n">
        <v>0</v>
      </c>
      <c r="I4720" s="56" t="n">
        <v>16.8</v>
      </c>
      <c r="J4720" s="56" t="n">
        <v>0</v>
      </c>
      <c r="K4720" s="56" t="n">
        <v>1022.4</v>
      </c>
      <c r="L4720" s="56" t="n">
        <v>0</v>
      </c>
      <c r="M4720" s="56" t="n">
        <v>68</v>
      </c>
      <c r="N4720" s="56" t="n">
        <v>3</v>
      </c>
      <c r="O4720" s="56" t="n">
        <f aca="false">IF(D4720=1,"",E4719)</f>
        <v>20.3</v>
      </c>
      <c r="P4720" s="56" t="n">
        <f aca="false">IF(OR(D4720=1,K4719=""),"",K4719)</f>
        <v>1021.4</v>
      </c>
      <c r="Q4720" s="56" t="n">
        <f aca="false">IF(OR(F4720&lt;&gt;0,AND(I4720&lt;&gt;"",E4720&lt;I4720)),1,0)</f>
        <v>0</v>
      </c>
      <c r="R4720" s="56" t="n">
        <f aca="false">IF(AND(D4720&gt;1,Q4720=0,ISNUMBER(O4720),ISNUMBER(P4720)),IF(Q4719=0,1,0),0)</f>
        <v>1</v>
      </c>
      <c r="S4720" s="56" t="n">
        <f aca="false">R4720*(B4720&gt;=Train_Start)*(B4720&lt;=Train_End)</f>
        <v>0</v>
      </c>
      <c r="T4720" s="84" t="n">
        <f aca="false">IF(AND(ISNUMBER(O4720),ISNUMBER(P4720)),Coef_A+Coef_B1*O4720+Coef_B2*P4720,"")</f>
        <v>20.7607714199184</v>
      </c>
      <c r="U4720" s="84" t="n">
        <f aca="false">IF(AND(R4720=1,ISNUMBER(T4720)),E4720-T4720,"")</f>
        <v>0.939228580081586</v>
      </c>
      <c r="V4720" s="84" t="n">
        <f aca="false">IF(ISNUMBER(T4720),T4720,-99)</f>
        <v>20.7607714199184</v>
      </c>
      <c r="W4720" s="84" t="n">
        <f aca="false">IF(ISNUMBER(U4720),ABS(U4720),"")</f>
        <v>0.939228580081586</v>
      </c>
    </row>
    <row r="4721" customFormat="false" ht="15" hidden="false" customHeight="false" outlineLevel="0" collapsed="false">
      <c r="A4721" s="57" t="n">
        <v>40063</v>
      </c>
      <c r="B4721" s="56" t="n">
        <v>2009</v>
      </c>
      <c r="C4721" s="56" t="n">
        <v>9</v>
      </c>
      <c r="D4721" s="56" t="n">
        <v>130</v>
      </c>
      <c r="E4721" s="56" t="n">
        <v>28.1</v>
      </c>
      <c r="F4721" s="56" t="n">
        <v>0</v>
      </c>
      <c r="G4721" s="56" t="n">
        <v>14.3</v>
      </c>
      <c r="H4721" s="56" t="n">
        <v>0</v>
      </c>
      <c r="I4721" s="56" t="n">
        <v>18</v>
      </c>
      <c r="J4721" s="56" t="n">
        <v>0</v>
      </c>
      <c r="K4721" s="56" t="n">
        <v>1018.3</v>
      </c>
      <c r="L4721" s="56" t="n">
        <v>0</v>
      </c>
      <c r="M4721" s="56" t="n">
        <v>82</v>
      </c>
      <c r="N4721" s="56" t="n">
        <v>0.3</v>
      </c>
      <c r="O4721" s="56" t="n">
        <f aca="false">IF(D4721=1,"",E4720)</f>
        <v>21.7</v>
      </c>
      <c r="P4721" s="56" t="n">
        <f aca="false">IF(OR(D4721=1,K4720=""),"",K4720)</f>
        <v>1022.4</v>
      </c>
      <c r="Q4721" s="56" t="n">
        <f aca="false">IF(OR(F4721&lt;&gt;0,AND(I4721&lt;&gt;"",E4721&lt;I4721)),1,0)</f>
        <v>0</v>
      </c>
      <c r="R4721" s="56" t="n">
        <f aca="false">IF(AND(D4721&gt;1,Q4721=0,ISNUMBER(O4721),ISNUMBER(P4721)),IF(Q4720=0,1,0),0)</f>
        <v>1</v>
      </c>
      <c r="S4721" s="56" t="n">
        <f aca="false">R4721*(B4721&gt;=Train_Start)*(B4721&lt;=Train_End)</f>
        <v>0</v>
      </c>
      <c r="T4721" s="84" t="n">
        <f aca="false">IF(AND(ISNUMBER(O4721),ISNUMBER(P4721)),Coef_A+Coef_B1*O4721+Coef_B2*P4721,"")</f>
        <v>21.9392161848121</v>
      </c>
      <c r="U4721" s="84" t="n">
        <f aca="false">IF(AND(R4721=1,ISNUMBER(T4721)),E4721-T4721,"")</f>
        <v>6.16078381518788</v>
      </c>
      <c r="V4721" s="84" t="n">
        <f aca="false">IF(ISNUMBER(T4721),T4721,-99)</f>
        <v>21.9392161848121</v>
      </c>
      <c r="W4721" s="84" t="n">
        <f aca="false">IF(ISNUMBER(U4721),ABS(U4721),"")</f>
        <v>6.16078381518788</v>
      </c>
    </row>
    <row r="4722" customFormat="false" ht="15" hidden="false" customHeight="false" outlineLevel="0" collapsed="false">
      <c r="A4722" s="57" t="n">
        <v>40064</v>
      </c>
      <c r="B4722" s="56" t="n">
        <v>2009</v>
      </c>
      <c r="C4722" s="56" t="n">
        <v>9</v>
      </c>
      <c r="D4722" s="56" t="n">
        <v>131</v>
      </c>
      <c r="E4722" s="56" t="n">
        <v>19.2</v>
      </c>
      <c r="F4722" s="56" t="n">
        <v>1</v>
      </c>
      <c r="G4722" s="56" t="n">
        <v>16.9</v>
      </c>
      <c r="H4722" s="56" t="n">
        <v>0</v>
      </c>
      <c r="I4722" s="56" t="n">
        <v>22.5</v>
      </c>
      <c r="J4722" s="56" t="n">
        <v>1</v>
      </c>
      <c r="K4722" s="56" t="n">
        <v>1018.2</v>
      </c>
      <c r="L4722" s="56" t="n">
        <v>0</v>
      </c>
      <c r="M4722" s="56" t="n">
        <v>73</v>
      </c>
      <c r="N4722" s="56" t="n">
        <v>8.9</v>
      </c>
      <c r="O4722" s="56" t="n">
        <f aca="false">IF(D4722=1,"",E4721)</f>
        <v>28.1</v>
      </c>
      <c r="P4722" s="56" t="n">
        <f aca="false">IF(OR(D4722=1,K4721=""),"",K4721)</f>
        <v>1018.3</v>
      </c>
      <c r="Q4722" s="56" t="n">
        <f aca="false">IF(OR(F4722&lt;&gt;0,AND(I4722&lt;&gt;"",E4722&lt;I4722)),1,0)</f>
        <v>1</v>
      </c>
      <c r="R4722" s="56" t="n">
        <f aca="false">IF(AND(D4722&gt;1,Q4722=0,ISNUMBER(O4722),ISNUMBER(P4722)),IF(Q4721=0,1,0),0)</f>
        <v>0</v>
      </c>
      <c r="S4722" s="56" t="n">
        <f aca="false">R4722*(B4722&gt;=Train_Start)*(B4722&lt;=Train_End)</f>
        <v>0</v>
      </c>
      <c r="T4722" s="84" t="n">
        <f aca="false">IF(AND(ISNUMBER(O4722),ISNUMBER(P4722)),Coef_A+Coef_B1*O4722+Coef_B2*P4722,"")</f>
        <v>27.0543704522858</v>
      </c>
      <c r="U4722" s="84" t="str">
        <f aca="false">IF(AND(R4722=1,ISNUMBER(T4722)),E4722-T4722,"")</f>
        <v/>
      </c>
      <c r="V4722" s="84" t="n">
        <f aca="false">IF(ISNUMBER(T4722),T4722,-99)</f>
        <v>27.0543704522858</v>
      </c>
      <c r="W4722" s="84" t="str">
        <f aca="false">IF(ISNUMBER(U4722),ABS(U4722),"")</f>
        <v/>
      </c>
    </row>
    <row r="4723" customFormat="false" ht="15" hidden="false" customHeight="false" outlineLevel="0" collapsed="false">
      <c r="A4723" s="57" t="n">
        <v>40065</v>
      </c>
      <c r="B4723" s="56" t="n">
        <v>2009</v>
      </c>
      <c r="C4723" s="56" t="n">
        <v>9</v>
      </c>
      <c r="D4723" s="56" t="n">
        <v>132</v>
      </c>
      <c r="E4723" s="56" t="n">
        <v>20.3</v>
      </c>
      <c r="F4723" s="56" t="n">
        <v>0</v>
      </c>
      <c r="G4723" s="56" t="n">
        <v>14.3</v>
      </c>
      <c r="H4723" s="56" t="n">
        <v>0</v>
      </c>
      <c r="I4723" s="56" t="n">
        <v>16.8</v>
      </c>
      <c r="J4723" s="56" t="n">
        <v>0</v>
      </c>
      <c r="K4723" s="56" t="n">
        <v>1028.3</v>
      </c>
      <c r="L4723" s="56" t="n">
        <v>0</v>
      </c>
      <c r="M4723" s="56" t="n">
        <v>61</v>
      </c>
      <c r="N4723" s="56" t="n">
        <v>2.5</v>
      </c>
      <c r="O4723" s="56" t="n">
        <f aca="false">IF(D4723=1,"",E4722)</f>
        <v>19.2</v>
      </c>
      <c r="P4723" s="56" t="n">
        <f aca="false">IF(OR(D4723=1,K4722=""),"",K4722)</f>
        <v>1018.2</v>
      </c>
      <c r="Q4723" s="56" t="n">
        <f aca="false">IF(OR(F4723&lt;&gt;0,AND(I4723&lt;&gt;"",E4723&lt;I4723)),1,0)</f>
        <v>0</v>
      </c>
      <c r="R4723" s="56" t="n">
        <f aca="false">IF(AND(D4723&gt;1,Q4723=0,ISNUMBER(O4723),ISNUMBER(P4723)),IF(Q4722=0,1,0),0)</f>
        <v>0</v>
      </c>
      <c r="S4723" s="56" t="n">
        <f aca="false">R4723*(B4723&gt;=Train_Start)*(B4723&lt;=Train_End)</f>
        <v>0</v>
      </c>
      <c r="T4723" s="84" t="n">
        <f aca="false">IF(AND(ISNUMBER(O4723),ISNUMBER(P4723)),Coef_A+Coef_B1*O4723+Coef_B2*P4723,"")</f>
        <v>19.7591146447427</v>
      </c>
      <c r="U4723" s="84" t="str">
        <f aca="false">IF(AND(R4723=1,ISNUMBER(T4723)),E4723-T4723,"")</f>
        <v/>
      </c>
      <c r="V4723" s="84" t="n">
        <f aca="false">IF(ISNUMBER(T4723),T4723,-99)</f>
        <v>19.7591146447427</v>
      </c>
      <c r="W4723" s="84" t="str">
        <f aca="false">IF(ISNUMBER(U4723),ABS(U4723),"")</f>
        <v/>
      </c>
    </row>
    <row r="4724" customFormat="false" ht="15" hidden="false" customHeight="false" outlineLevel="0" collapsed="false">
      <c r="A4724" s="57" t="n">
        <v>40066</v>
      </c>
      <c r="B4724" s="56" t="n">
        <v>2009</v>
      </c>
      <c r="C4724" s="56" t="n">
        <v>9</v>
      </c>
      <c r="D4724" s="56" t="n">
        <v>133</v>
      </c>
      <c r="E4724" s="56" t="n">
        <v>21.1</v>
      </c>
      <c r="F4724" s="56" t="n">
        <v>0</v>
      </c>
      <c r="G4724" s="56" t="n">
        <v>9.7</v>
      </c>
      <c r="H4724" s="56" t="n">
        <v>0</v>
      </c>
      <c r="I4724" s="56" t="n">
        <v>15</v>
      </c>
      <c r="J4724" s="56" t="n">
        <v>0</v>
      </c>
      <c r="K4724" s="56" t="n">
        <v>1035.5</v>
      </c>
      <c r="L4724" s="56" t="n">
        <v>0</v>
      </c>
      <c r="M4724" s="56" t="n">
        <v>67</v>
      </c>
      <c r="N4724" s="56" t="n">
        <v>7.5</v>
      </c>
      <c r="O4724" s="56" t="n">
        <f aca="false">IF(D4724=1,"",E4723)</f>
        <v>20.3</v>
      </c>
      <c r="P4724" s="56" t="n">
        <f aca="false">IF(OR(D4724=1,K4723=""),"",K4723)</f>
        <v>1028.3</v>
      </c>
      <c r="Q4724" s="56" t="n">
        <f aca="false">IF(OR(F4724&lt;&gt;0,AND(I4724&lt;&gt;"",E4724&lt;I4724)),1,0)</f>
        <v>0</v>
      </c>
      <c r="R4724" s="56" t="n">
        <f aca="false">IF(AND(D4724&gt;1,Q4724=0,ISNUMBER(O4724),ISNUMBER(P4724)),IF(Q4723=0,1,0),0)</f>
        <v>1</v>
      </c>
      <c r="S4724" s="56" t="n">
        <f aca="false">R4724*(B4724&gt;=Train_Start)*(B4724&lt;=Train_End)</f>
        <v>0</v>
      </c>
      <c r="T4724" s="84" t="n">
        <f aca="false">IF(AND(ISNUMBER(O4724),ISNUMBER(P4724)),Coef_A+Coef_B1*O4724+Coef_B2*P4724,"")</f>
        <v>20.9772236928929</v>
      </c>
      <c r="U4724" s="84" t="n">
        <f aca="false">IF(AND(R4724=1,ISNUMBER(T4724)),E4724-T4724,"")</f>
        <v>0.122776307107067</v>
      </c>
      <c r="V4724" s="84" t="n">
        <f aca="false">IF(ISNUMBER(T4724),T4724,-99)</f>
        <v>20.9772236928929</v>
      </c>
      <c r="W4724" s="84" t="n">
        <f aca="false">IF(ISNUMBER(U4724),ABS(U4724),"")</f>
        <v>0.122776307107067</v>
      </c>
    </row>
    <row r="4725" customFormat="false" ht="15" hidden="false" customHeight="false" outlineLevel="0" collapsed="false">
      <c r="A4725" s="57" t="n">
        <v>40067</v>
      </c>
      <c r="B4725" s="56" t="n">
        <v>2009</v>
      </c>
      <c r="C4725" s="56" t="n">
        <v>9</v>
      </c>
      <c r="D4725" s="56" t="n">
        <v>134</v>
      </c>
      <c r="E4725" s="56" t="n">
        <v>22.2</v>
      </c>
      <c r="F4725" s="56" t="n">
        <v>0</v>
      </c>
      <c r="G4725" s="56" t="n">
        <v>10.3</v>
      </c>
      <c r="H4725" s="56" t="n">
        <v>0</v>
      </c>
      <c r="I4725" s="56" t="n">
        <v>15.7</v>
      </c>
      <c r="J4725" s="56" t="n">
        <v>0</v>
      </c>
      <c r="K4725" s="56" t="n">
        <v>1035.8</v>
      </c>
      <c r="L4725" s="56" t="n">
        <v>0</v>
      </c>
      <c r="M4725" s="56" t="n">
        <v>69</v>
      </c>
      <c r="N4725" s="56" t="n">
        <v>4.6</v>
      </c>
      <c r="O4725" s="56" t="n">
        <f aca="false">IF(D4725=1,"",E4724)</f>
        <v>21.1</v>
      </c>
      <c r="P4725" s="56" t="n">
        <f aca="false">IF(OR(D4725=1,K4724=""),"",K4724)</f>
        <v>1035.5</v>
      </c>
      <c r="Q4725" s="56" t="n">
        <f aca="false">IF(OR(F4725&lt;&gt;0,AND(I4725&lt;&gt;"",E4725&lt;I4725)),1,0)</f>
        <v>0</v>
      </c>
      <c r="R4725" s="56" t="n">
        <f aca="false">IF(AND(D4725&gt;1,Q4725=0,ISNUMBER(O4725),ISNUMBER(P4725)),IF(Q4724=0,1,0),0)</f>
        <v>1</v>
      </c>
      <c r="S4725" s="56" t="n">
        <f aca="false">R4725*(B4725&gt;=Train_Start)*(B4725&lt;=Train_End)</f>
        <v>0</v>
      </c>
      <c r="T4725" s="84" t="n">
        <f aca="false">IF(AND(ISNUMBER(O4725),ISNUMBER(P4725)),Coef_A+Coef_B1*O4725+Coef_B2*P4725,"")</f>
        <v>21.8585582886918</v>
      </c>
      <c r="U4725" s="84" t="n">
        <f aca="false">IF(AND(R4725=1,ISNUMBER(T4725)),E4725-T4725,"")</f>
        <v>0.34144171130821</v>
      </c>
      <c r="V4725" s="84" t="n">
        <f aca="false">IF(ISNUMBER(T4725),T4725,-99)</f>
        <v>21.8585582886918</v>
      </c>
      <c r="W4725" s="84" t="n">
        <f aca="false">IF(ISNUMBER(U4725),ABS(U4725),"")</f>
        <v>0.34144171130821</v>
      </c>
    </row>
    <row r="4726" customFormat="false" ht="15" hidden="false" customHeight="false" outlineLevel="0" collapsed="false">
      <c r="A4726" s="57" t="n">
        <v>40068</v>
      </c>
      <c r="B4726" s="56" t="n">
        <v>2009</v>
      </c>
      <c r="C4726" s="56" t="n">
        <v>9</v>
      </c>
      <c r="D4726" s="56" t="n">
        <v>135</v>
      </c>
      <c r="E4726" s="56" t="n">
        <v>17.8</v>
      </c>
      <c r="F4726" s="56" t="n">
        <v>0</v>
      </c>
      <c r="G4726" s="56" t="n">
        <v>11.5</v>
      </c>
      <c r="H4726" s="56" t="n">
        <v>0</v>
      </c>
      <c r="I4726" s="56" t="n">
        <v>16.9</v>
      </c>
      <c r="J4726" s="56" t="n">
        <v>0</v>
      </c>
      <c r="K4726" s="56" t="n">
        <v>1030.5</v>
      </c>
      <c r="L4726" s="56" t="n">
        <v>0</v>
      </c>
      <c r="M4726" s="56" t="n">
        <v>68</v>
      </c>
      <c r="N4726" s="56" t="n">
        <v>10.9</v>
      </c>
      <c r="O4726" s="56" t="n">
        <f aca="false">IF(D4726=1,"",E4725)</f>
        <v>22.2</v>
      </c>
      <c r="P4726" s="56" t="n">
        <f aca="false">IF(OR(D4726=1,K4725=""),"",K4725)</f>
        <v>1035.8</v>
      </c>
      <c r="Q4726" s="56" t="n">
        <f aca="false">IF(OR(F4726&lt;&gt;0,AND(I4726&lt;&gt;"",E4726&lt;I4726)),1,0)</f>
        <v>0</v>
      </c>
      <c r="R4726" s="56" t="n">
        <f aca="false">IF(AND(D4726&gt;1,Q4726=0,ISNUMBER(O4726),ISNUMBER(P4726)),IF(Q4725=0,1,0),0)</f>
        <v>1</v>
      </c>
      <c r="S4726" s="56" t="n">
        <f aca="false">R4726*(B4726&gt;=Train_Start)*(B4726&lt;=Train_End)</f>
        <v>0</v>
      </c>
      <c r="T4726" s="84" t="n">
        <f aca="false">IF(AND(ISNUMBER(O4726),ISNUMBER(P4726)),Coef_A+Coef_B1*O4726+Coef_B2*P4726,"")</f>
        <v>22.7692423694289</v>
      </c>
      <c r="U4726" s="84" t="n">
        <f aca="false">IF(AND(R4726=1,ISNUMBER(T4726)),E4726-T4726,"")</f>
        <v>-4.96924236942891</v>
      </c>
      <c r="V4726" s="84" t="n">
        <f aca="false">IF(ISNUMBER(T4726),T4726,-99)</f>
        <v>22.7692423694289</v>
      </c>
      <c r="W4726" s="84" t="n">
        <f aca="false">IF(ISNUMBER(U4726),ABS(U4726),"")</f>
        <v>4.96924236942891</v>
      </c>
    </row>
    <row r="4727" customFormat="false" ht="15" hidden="false" customHeight="false" outlineLevel="0" collapsed="false">
      <c r="A4727" s="57" t="n">
        <v>40069</v>
      </c>
      <c r="B4727" s="56" t="n">
        <v>2009</v>
      </c>
      <c r="C4727" s="56" t="n">
        <v>9</v>
      </c>
      <c r="D4727" s="56" t="n">
        <v>136</v>
      </c>
      <c r="E4727" s="56" t="n">
        <v>20</v>
      </c>
      <c r="F4727" s="56" t="n">
        <v>0</v>
      </c>
      <c r="G4727" s="56" t="n">
        <v>10.8</v>
      </c>
      <c r="H4727" s="56" t="n">
        <v>0</v>
      </c>
      <c r="I4727" s="56" t="n">
        <v>14.3</v>
      </c>
      <c r="J4727" s="56" t="n">
        <v>0</v>
      </c>
      <c r="K4727" s="56" t="n">
        <v>1028.1</v>
      </c>
      <c r="L4727" s="56" t="n">
        <v>0</v>
      </c>
      <c r="M4727" s="56" t="n">
        <v>74</v>
      </c>
      <c r="N4727" s="56" t="n">
        <v>0.5</v>
      </c>
      <c r="O4727" s="56" t="n">
        <f aca="false">IF(D4727=1,"",E4726)</f>
        <v>17.8</v>
      </c>
      <c r="P4727" s="56" t="n">
        <f aca="false">IF(OR(D4727=1,K4726=""),"",K4726)</f>
        <v>1030.5</v>
      </c>
      <c r="Q4727" s="56" t="n">
        <f aca="false">IF(OR(F4727&lt;&gt;0,AND(I4727&lt;&gt;"",E4727&lt;I4727)),1,0)</f>
        <v>0</v>
      </c>
      <c r="R4727" s="56" t="n">
        <f aca="false">IF(AND(D4727&gt;1,Q4727=0,ISNUMBER(O4727),ISNUMBER(P4727)),IF(Q4726=0,1,0),0)</f>
        <v>1</v>
      </c>
      <c r="S4727" s="56" t="n">
        <f aca="false">R4727*(B4727&gt;=Train_Start)*(B4727&lt;=Train_End)</f>
        <v>0</v>
      </c>
      <c r="T4727" s="84" t="n">
        <f aca="false">IF(AND(ISNUMBER(O4727),ISNUMBER(P4727)),Coef_A+Coef_B1*O4727+Coef_B2*P4727,"")</f>
        <v>18.9978894784811</v>
      </c>
      <c r="U4727" s="84" t="n">
        <f aca="false">IF(AND(R4727=1,ISNUMBER(T4727)),E4727-T4727,"")</f>
        <v>1.00211052151893</v>
      </c>
      <c r="V4727" s="84" t="n">
        <f aca="false">IF(ISNUMBER(T4727),T4727,-99)</f>
        <v>18.9978894784811</v>
      </c>
      <c r="W4727" s="84" t="n">
        <f aca="false">IF(ISNUMBER(U4727),ABS(U4727),"")</f>
        <v>1.00211052151893</v>
      </c>
    </row>
    <row r="4728" customFormat="false" ht="15" hidden="false" customHeight="false" outlineLevel="0" collapsed="false">
      <c r="A4728" s="57" t="n">
        <v>40070</v>
      </c>
      <c r="B4728" s="56" t="n">
        <v>2009</v>
      </c>
      <c r="C4728" s="56" t="n">
        <v>9</v>
      </c>
      <c r="D4728" s="56" t="n">
        <v>137</v>
      </c>
      <c r="E4728" s="56" t="n">
        <v>16.7</v>
      </c>
      <c r="F4728" s="56" t="n">
        <v>0</v>
      </c>
      <c r="G4728" s="56" t="n">
        <v>12.8</v>
      </c>
      <c r="H4728" s="56" t="n">
        <v>0</v>
      </c>
      <c r="I4728" s="56" t="n">
        <v>16.4</v>
      </c>
      <c r="J4728" s="56" t="n">
        <v>0</v>
      </c>
      <c r="K4728" s="56" t="n">
        <v>1025.7</v>
      </c>
      <c r="L4728" s="56" t="n">
        <v>0</v>
      </c>
      <c r="M4728" s="56" t="n">
        <v>69</v>
      </c>
      <c r="N4728" s="56" t="n">
        <v>3.1</v>
      </c>
      <c r="O4728" s="56" t="n">
        <f aca="false">IF(D4728=1,"",E4727)</f>
        <v>20</v>
      </c>
      <c r="P4728" s="56" t="n">
        <f aca="false">IF(OR(D4728=1,K4727=""),"",K4727)</f>
        <v>1028.1</v>
      </c>
      <c r="Q4728" s="56" t="n">
        <f aca="false">IF(OR(F4728&lt;&gt;0,AND(I4728&lt;&gt;"",E4728&lt;I4728)),1,0)</f>
        <v>0</v>
      </c>
      <c r="R4728" s="56" t="n">
        <f aca="false">IF(AND(D4728&gt;1,Q4728=0,ISNUMBER(O4728),ISNUMBER(P4728)),IF(Q4727=0,1,0),0)</f>
        <v>1</v>
      </c>
      <c r="S4728" s="56" t="n">
        <f aca="false">R4728*(B4728&gt;=Train_Start)*(B4728&lt;=Train_End)</f>
        <v>0</v>
      </c>
      <c r="T4728" s="84" t="n">
        <f aca="false">IF(AND(ISNUMBER(O4728),ISNUMBER(P4728)),Coef_A+Coef_B1*O4728+Coef_B2*P4728,"")</f>
        <v>20.7251479560533</v>
      </c>
      <c r="U4728" s="84" t="n">
        <f aca="false">IF(AND(R4728=1,ISNUMBER(T4728)),E4728-T4728,"")</f>
        <v>-4.02514795605334</v>
      </c>
      <c r="V4728" s="84" t="n">
        <f aca="false">IF(ISNUMBER(T4728),T4728,-99)</f>
        <v>20.7251479560533</v>
      </c>
      <c r="W4728" s="84" t="n">
        <f aca="false">IF(ISNUMBER(U4728),ABS(U4728),"")</f>
        <v>4.02514795605334</v>
      </c>
    </row>
    <row r="4729" customFormat="false" ht="15" hidden="false" customHeight="false" outlineLevel="0" collapsed="false">
      <c r="A4729" s="57" t="n">
        <v>40071</v>
      </c>
      <c r="B4729" s="56" t="n">
        <v>2009</v>
      </c>
      <c r="C4729" s="56" t="n">
        <v>9</v>
      </c>
      <c r="D4729" s="56" t="n">
        <v>138</v>
      </c>
      <c r="E4729" s="56" t="n">
        <v>20.6</v>
      </c>
      <c r="F4729" s="56" t="n">
        <v>0</v>
      </c>
      <c r="G4729" s="56" t="n">
        <v>14</v>
      </c>
      <c r="H4729" s="56" t="n">
        <v>0</v>
      </c>
      <c r="I4729" s="56" t="n">
        <v>15.4</v>
      </c>
      <c r="J4729" s="56" t="n">
        <v>0</v>
      </c>
      <c r="K4729" s="56" t="n">
        <v>1020.8</v>
      </c>
      <c r="L4729" s="56" t="n">
        <v>0</v>
      </c>
      <c r="M4729" s="56" t="n">
        <v>89</v>
      </c>
      <c r="N4729" s="56" t="n">
        <v>0</v>
      </c>
      <c r="O4729" s="56" t="n">
        <f aca="false">IF(D4729=1,"",E4728)</f>
        <v>16.7</v>
      </c>
      <c r="P4729" s="56" t="n">
        <f aca="false">IF(OR(D4729=1,K4728=""),"",K4728)</f>
        <v>1025.7</v>
      </c>
      <c r="Q4729" s="56" t="n">
        <f aca="false">IF(OR(F4729&lt;&gt;0,AND(I4729&lt;&gt;"",E4729&lt;I4729)),1,0)</f>
        <v>0</v>
      </c>
      <c r="R4729" s="56" t="n">
        <f aca="false">IF(AND(D4729&gt;1,Q4729=0,ISNUMBER(O4729),ISNUMBER(P4729)),IF(Q4728=0,1,0),0)</f>
        <v>1</v>
      </c>
      <c r="S4729" s="56" t="n">
        <f aca="false">R4729*(B4729&gt;=Train_Start)*(B4729&lt;=Train_End)</f>
        <v>0</v>
      </c>
      <c r="T4729" s="84" t="n">
        <f aca="false">IF(AND(ISNUMBER(O4729),ISNUMBER(P4729)),Coef_A+Coef_B1*O4729+Coef_B2*P4729,"")</f>
        <v>17.946040871891</v>
      </c>
      <c r="U4729" s="84" t="n">
        <f aca="false">IF(AND(R4729=1,ISNUMBER(T4729)),E4729-T4729,"")</f>
        <v>2.653959128109</v>
      </c>
      <c r="V4729" s="84" t="n">
        <f aca="false">IF(ISNUMBER(T4729),T4729,-99)</f>
        <v>17.946040871891</v>
      </c>
      <c r="W4729" s="84" t="n">
        <f aca="false">IF(ISNUMBER(U4729),ABS(U4729),"")</f>
        <v>2.653959128109</v>
      </c>
    </row>
    <row r="4730" customFormat="false" ht="15" hidden="false" customHeight="false" outlineLevel="0" collapsed="false">
      <c r="A4730" s="57" t="n">
        <v>40072</v>
      </c>
      <c r="B4730" s="56" t="n">
        <v>2009</v>
      </c>
      <c r="C4730" s="56" t="n">
        <v>9</v>
      </c>
      <c r="D4730" s="56" t="n">
        <v>139</v>
      </c>
      <c r="E4730" s="56" t="n">
        <v>17.4</v>
      </c>
      <c r="F4730" s="56" t="n">
        <v>0</v>
      </c>
      <c r="G4730" s="56" t="n">
        <v>13.7</v>
      </c>
      <c r="H4730" s="56" t="n">
        <v>0</v>
      </c>
      <c r="I4730" s="56" t="n">
        <v>17.2</v>
      </c>
      <c r="J4730" s="56" t="n">
        <v>0</v>
      </c>
      <c r="K4730" s="56" t="n">
        <v>1022</v>
      </c>
      <c r="L4730" s="56" t="n">
        <v>0</v>
      </c>
      <c r="M4730" s="56" t="n">
        <v>75</v>
      </c>
      <c r="N4730" s="56" t="n">
        <v>5</v>
      </c>
      <c r="O4730" s="56" t="n">
        <f aca="false">IF(D4730=1,"",E4729)</f>
        <v>20.6</v>
      </c>
      <c r="P4730" s="56" t="n">
        <f aca="false">IF(OR(D4730=1,K4729=""),"",K4729)</f>
        <v>1020.8</v>
      </c>
      <c r="Q4730" s="56" t="n">
        <f aca="false">IF(OR(F4730&lt;&gt;0,AND(I4730&lt;&gt;"",E4730&lt;I4730)),1,0)</f>
        <v>0</v>
      </c>
      <c r="R4730" s="56" t="n">
        <f aca="false">IF(AND(D4730&gt;1,Q4730=0,ISNUMBER(O4730),ISNUMBER(P4730)),IF(Q4729=0,1,0),0)</f>
        <v>1</v>
      </c>
      <c r="S4730" s="56" t="n">
        <f aca="false">R4730*(B4730&gt;=Train_Start)*(B4730&lt;=Train_End)</f>
        <v>0</v>
      </c>
      <c r="T4730" s="84" t="n">
        <f aca="false">IF(AND(ISNUMBER(O4730),ISNUMBER(P4730)),Coef_A+Coef_B1*O4730+Coef_B2*P4730,"")</f>
        <v>20.9877512410508</v>
      </c>
      <c r="U4730" s="84" t="n">
        <f aca="false">IF(AND(R4730=1,ISNUMBER(T4730)),E4730-T4730,"")</f>
        <v>-3.58775124105082</v>
      </c>
      <c r="V4730" s="84" t="n">
        <f aca="false">IF(ISNUMBER(T4730),T4730,-99)</f>
        <v>20.9877512410508</v>
      </c>
      <c r="W4730" s="84" t="n">
        <f aca="false">IF(ISNUMBER(U4730),ABS(U4730),"")</f>
        <v>3.58775124105082</v>
      </c>
    </row>
    <row r="4731" customFormat="false" ht="15" hidden="false" customHeight="false" outlineLevel="0" collapsed="false">
      <c r="A4731" s="57" t="n">
        <v>40073</v>
      </c>
      <c r="B4731" s="56" t="n">
        <v>2009</v>
      </c>
      <c r="C4731" s="56" t="n">
        <v>9</v>
      </c>
      <c r="D4731" s="56" t="n">
        <v>140</v>
      </c>
      <c r="E4731" s="56" t="n">
        <v>20.6</v>
      </c>
      <c r="F4731" s="56" t="n">
        <v>0</v>
      </c>
      <c r="G4731" s="56" t="n">
        <v>11.8</v>
      </c>
      <c r="H4731" s="56" t="n">
        <v>0</v>
      </c>
      <c r="I4731" s="56" t="n">
        <v>14.6</v>
      </c>
      <c r="J4731" s="56" t="n">
        <v>0</v>
      </c>
      <c r="K4731" s="56" t="n">
        <v>1022</v>
      </c>
      <c r="L4731" s="56" t="n">
        <v>0</v>
      </c>
      <c r="M4731" s="56" t="n">
        <v>64</v>
      </c>
      <c r="N4731" s="56" t="n">
        <v>0.2</v>
      </c>
      <c r="O4731" s="56" t="n">
        <f aca="false">IF(D4731=1,"",E4730)</f>
        <v>17.4</v>
      </c>
      <c r="P4731" s="56" t="n">
        <f aca="false">IF(OR(D4731=1,K4730=""),"",K4730)</f>
        <v>1022</v>
      </c>
      <c r="Q4731" s="56" t="n">
        <f aca="false">IF(OR(F4731&lt;&gt;0,AND(I4731&lt;&gt;"",E4731&lt;I4731)),1,0)</f>
        <v>0</v>
      </c>
      <c r="R4731" s="56" t="n">
        <f aca="false">IF(AND(D4731&gt;1,Q4731=0,ISNUMBER(O4731),ISNUMBER(P4731)),IF(Q4730=0,1,0),0)</f>
        <v>1</v>
      </c>
      <c r="S4731" s="56" t="n">
        <f aca="false">R4731*(B4731&gt;=Train_Start)*(B4731&lt;=Train_End)</f>
        <v>0</v>
      </c>
      <c r="T4731" s="84" t="n">
        <f aca="false">IF(AND(ISNUMBER(O4731),ISNUMBER(P4731)),Coef_A+Coef_B1*O4731+Coef_B2*P4731,"")</f>
        <v>18.4035096968751</v>
      </c>
      <c r="U4731" s="84" t="n">
        <f aca="false">IF(AND(R4731=1,ISNUMBER(T4731)),E4731-T4731,"")</f>
        <v>2.1964903031249</v>
      </c>
      <c r="V4731" s="84" t="n">
        <f aca="false">IF(ISNUMBER(T4731),T4731,-99)</f>
        <v>18.4035096968751</v>
      </c>
      <c r="W4731" s="84" t="n">
        <f aca="false">IF(ISNUMBER(U4731),ABS(U4731),"")</f>
        <v>2.1964903031249</v>
      </c>
    </row>
    <row r="4732" customFormat="false" ht="15" hidden="false" customHeight="false" outlineLevel="0" collapsed="false">
      <c r="A4732" s="57" t="n">
        <v>40074</v>
      </c>
      <c r="B4732" s="56" t="n">
        <v>2009</v>
      </c>
      <c r="C4732" s="56" t="n">
        <v>9</v>
      </c>
      <c r="D4732" s="56" t="n">
        <v>141</v>
      </c>
      <c r="E4732" s="56" t="n">
        <v>23.5</v>
      </c>
      <c r="F4732" s="56" t="n">
        <v>0</v>
      </c>
      <c r="G4732" s="56" t="n">
        <v>10.7</v>
      </c>
      <c r="H4732" s="56" t="n">
        <v>0</v>
      </c>
      <c r="I4732" s="56" t="n">
        <v>15.7</v>
      </c>
      <c r="J4732" s="56" t="n">
        <v>0</v>
      </c>
      <c r="K4732" s="56" t="n">
        <v>1018.3</v>
      </c>
      <c r="L4732" s="56" t="n">
        <v>0</v>
      </c>
      <c r="M4732" s="56" t="n">
        <v>73</v>
      </c>
      <c r="N4732" s="56" t="n">
        <v>7.2</v>
      </c>
      <c r="O4732" s="56" t="n">
        <f aca="false">IF(D4732=1,"",E4731)</f>
        <v>20.6</v>
      </c>
      <c r="P4732" s="56" t="n">
        <f aca="false">IF(OR(D4732=1,K4731=""),"",K4731)</f>
        <v>1022</v>
      </c>
      <c r="Q4732" s="56" t="n">
        <f aca="false">IF(OR(F4732&lt;&gt;0,AND(I4732&lt;&gt;"",E4732&lt;I4732)),1,0)</f>
        <v>0</v>
      </c>
      <c r="R4732" s="56" t="n">
        <f aca="false">IF(AND(D4732&gt;1,Q4732=0,ISNUMBER(O4732),ISNUMBER(P4732)),IF(Q4731=0,1,0),0)</f>
        <v>1</v>
      </c>
      <c r="S4732" s="56" t="n">
        <f aca="false">R4732*(B4732&gt;=Train_Start)*(B4732&lt;=Train_End)</f>
        <v>0</v>
      </c>
      <c r="T4732" s="84" t="n">
        <f aca="false">IF(AND(ISNUMBER(O4732),ISNUMBER(P4732)),Coef_A+Coef_B1*O4732+Coef_B2*P4732,"")</f>
        <v>21.0253951146116</v>
      </c>
      <c r="U4732" s="84" t="n">
        <f aca="false">IF(AND(R4732=1,ISNUMBER(T4732)),E4732-T4732,"")</f>
        <v>2.4746048853884</v>
      </c>
      <c r="V4732" s="84" t="n">
        <f aca="false">IF(ISNUMBER(T4732),T4732,-99)</f>
        <v>21.0253951146116</v>
      </c>
      <c r="W4732" s="84" t="n">
        <f aca="false">IF(ISNUMBER(U4732),ABS(U4732),"")</f>
        <v>2.4746048853884</v>
      </c>
    </row>
    <row r="4733" customFormat="false" ht="15" hidden="false" customHeight="false" outlineLevel="0" collapsed="false">
      <c r="A4733" s="57" t="n">
        <v>40075</v>
      </c>
      <c r="B4733" s="56" t="n">
        <v>2009</v>
      </c>
      <c r="C4733" s="56" t="n">
        <v>9</v>
      </c>
      <c r="D4733" s="56" t="n">
        <v>142</v>
      </c>
      <c r="E4733" s="56" t="n">
        <v>20.3</v>
      </c>
      <c r="F4733" s="56" t="n">
        <v>0</v>
      </c>
      <c r="G4733" s="56" t="n">
        <v>13.1</v>
      </c>
      <c r="H4733" s="56" t="n">
        <v>0</v>
      </c>
      <c r="I4733" s="56" t="n">
        <v>18.3</v>
      </c>
      <c r="J4733" s="56" t="n">
        <v>0</v>
      </c>
      <c r="K4733" s="56" t="n">
        <v>1015.8</v>
      </c>
      <c r="L4733" s="56" t="n">
        <v>0</v>
      </c>
      <c r="M4733" s="56" t="n">
        <v>75</v>
      </c>
      <c r="N4733" s="56" t="n">
        <v>2.4</v>
      </c>
      <c r="O4733" s="56" t="n">
        <f aca="false">IF(D4733=1,"",E4732)</f>
        <v>23.5</v>
      </c>
      <c r="P4733" s="56" t="n">
        <f aca="false">IF(OR(D4733=1,K4732=""),"",K4732)</f>
        <v>1018.3</v>
      </c>
      <c r="Q4733" s="56" t="n">
        <f aca="false">IF(OR(F4733&lt;&gt;0,AND(I4733&lt;&gt;"",E4733&lt;I4733)),1,0)</f>
        <v>0</v>
      </c>
      <c r="R4733" s="56" t="n">
        <f aca="false">IF(AND(D4733&gt;1,Q4733=0,ISNUMBER(O4733),ISNUMBER(P4733)),IF(Q4732=0,1,0),0)</f>
        <v>1</v>
      </c>
      <c r="S4733" s="56" t="n">
        <f aca="false">R4733*(B4733&gt;=Train_Start)*(B4733&lt;=Train_End)</f>
        <v>0</v>
      </c>
      <c r="T4733" s="84" t="n">
        <f aca="false">IF(AND(ISNUMBER(O4733),ISNUMBER(P4733)),Coef_A+Coef_B1*O4733+Coef_B2*P4733,"")</f>
        <v>23.2854101642895</v>
      </c>
      <c r="U4733" s="84" t="n">
        <f aca="false">IF(AND(R4733=1,ISNUMBER(T4733)),E4733-T4733,"")</f>
        <v>-2.98541016428955</v>
      </c>
      <c r="V4733" s="84" t="n">
        <f aca="false">IF(ISNUMBER(T4733),T4733,-99)</f>
        <v>23.2854101642895</v>
      </c>
      <c r="W4733" s="84" t="n">
        <f aca="false">IF(ISNUMBER(U4733),ABS(U4733),"")</f>
        <v>2.98541016428955</v>
      </c>
    </row>
    <row r="4734" customFormat="false" ht="15" hidden="false" customHeight="false" outlineLevel="0" collapsed="false">
      <c r="A4734" s="57" t="n">
        <v>40076</v>
      </c>
      <c r="B4734" s="56" t="n">
        <v>2009</v>
      </c>
      <c r="C4734" s="56" t="n">
        <v>9</v>
      </c>
      <c r="D4734" s="56" t="n">
        <v>143</v>
      </c>
      <c r="E4734" s="56" t="n">
        <v>21.2</v>
      </c>
      <c r="F4734" s="56" t="n">
        <v>0</v>
      </c>
      <c r="G4734" s="56" t="n">
        <v>14.1</v>
      </c>
      <c r="H4734" s="56" t="n">
        <v>0</v>
      </c>
      <c r="I4734" s="56" t="n">
        <v>17.2</v>
      </c>
      <c r="J4734" s="56" t="n">
        <v>0</v>
      </c>
      <c r="K4734" s="56" t="n">
        <v>1022.3</v>
      </c>
      <c r="L4734" s="56" t="n">
        <v>0</v>
      </c>
      <c r="M4734" s="56" t="n">
        <v>67</v>
      </c>
      <c r="N4734" s="56" t="n">
        <v>2.4</v>
      </c>
      <c r="O4734" s="56" t="n">
        <f aca="false">IF(D4734=1,"",E4733)</f>
        <v>20.3</v>
      </c>
      <c r="P4734" s="56" t="n">
        <f aca="false">IF(OR(D4734=1,K4733=""),"",K4733)</f>
        <v>1015.8</v>
      </c>
      <c r="Q4734" s="56" t="n">
        <f aca="false">IF(OR(F4734&lt;&gt;0,AND(I4734&lt;&gt;"",E4734&lt;I4734)),1,0)</f>
        <v>0</v>
      </c>
      <c r="R4734" s="56" t="n">
        <f aca="false">IF(AND(D4734&gt;1,Q4734=0,ISNUMBER(O4734),ISNUMBER(P4734)),IF(Q4733=0,1,0),0)</f>
        <v>1</v>
      </c>
      <c r="S4734" s="56" t="n">
        <f aca="false">R4734*(B4734&gt;=Train_Start)*(B4734&lt;=Train_End)</f>
        <v>0</v>
      </c>
      <c r="T4734" s="84" t="n">
        <f aca="false">IF(AND(ISNUMBER(O4734),ISNUMBER(P4734)),Coef_A+Coef_B1*O4734+Coef_B2*P4734,"")</f>
        <v>20.5851000099681</v>
      </c>
      <c r="U4734" s="84" t="n">
        <f aca="false">IF(AND(R4734=1,ISNUMBER(T4734)),E4734-T4734,"")</f>
        <v>0.61489999003193</v>
      </c>
      <c r="V4734" s="84" t="n">
        <f aca="false">IF(ISNUMBER(T4734),T4734,-99)</f>
        <v>20.5851000099681</v>
      </c>
      <c r="W4734" s="84" t="n">
        <f aca="false">IF(ISNUMBER(U4734),ABS(U4734),"")</f>
        <v>0.61489999003193</v>
      </c>
    </row>
    <row r="4735" customFormat="false" ht="15" hidden="false" customHeight="false" outlineLevel="0" collapsed="false">
      <c r="A4735" s="57" t="n">
        <v>40077</v>
      </c>
      <c r="B4735" s="56" t="n">
        <v>2009</v>
      </c>
      <c r="C4735" s="56" t="n">
        <v>9</v>
      </c>
      <c r="D4735" s="56" t="n">
        <v>144</v>
      </c>
      <c r="E4735" s="56" t="n">
        <v>21.7</v>
      </c>
      <c r="F4735" s="56" t="n">
        <v>0</v>
      </c>
      <c r="G4735" s="56" t="n">
        <v>9.9</v>
      </c>
      <c r="H4735" s="56" t="n">
        <v>0</v>
      </c>
      <c r="I4735" s="56" t="n">
        <v>15.6</v>
      </c>
      <c r="J4735" s="56" t="n">
        <v>0</v>
      </c>
      <c r="K4735" s="56" t="n">
        <v>1025.4</v>
      </c>
      <c r="L4735" s="56" t="n">
        <v>0</v>
      </c>
      <c r="M4735" s="56" t="n">
        <v>69</v>
      </c>
      <c r="N4735" s="56" t="n">
        <v>4.5</v>
      </c>
      <c r="O4735" s="56" t="n">
        <f aca="false">IF(D4735=1,"",E4734)</f>
        <v>21.2</v>
      </c>
      <c r="P4735" s="56" t="n">
        <f aca="false">IF(OR(D4735=1,K4734=""),"",K4734)</f>
        <v>1022.3</v>
      </c>
      <c r="Q4735" s="56" t="n">
        <f aca="false">IF(OR(F4735&lt;&gt;0,AND(I4735&lt;&gt;"",E4735&lt;I4735)),1,0)</f>
        <v>0</v>
      </c>
      <c r="R4735" s="56" t="n">
        <f aca="false">IF(AND(D4735&gt;1,Q4735=0,ISNUMBER(O4735),ISNUMBER(P4735)),IF(Q4734=0,1,0),0)</f>
        <v>1</v>
      </c>
      <c r="S4735" s="56" t="n">
        <f aca="false">R4735*(B4735&gt;=Train_Start)*(B4735&lt;=Train_End)</f>
        <v>0</v>
      </c>
      <c r="T4735" s="84" t="n">
        <f aca="false">IF(AND(ISNUMBER(O4735),ISNUMBER(P4735)),Coef_A+Coef_B1*O4735+Coef_B2*P4735,"")</f>
        <v>21.5264095988274</v>
      </c>
      <c r="U4735" s="84" t="n">
        <f aca="false">IF(AND(R4735=1,ISNUMBER(T4735)),E4735-T4735,"")</f>
        <v>0.173590401172604</v>
      </c>
      <c r="V4735" s="84" t="n">
        <f aca="false">IF(ISNUMBER(T4735),T4735,-99)</f>
        <v>21.5264095988274</v>
      </c>
      <c r="W4735" s="84" t="n">
        <f aca="false">IF(ISNUMBER(U4735),ABS(U4735),"")</f>
        <v>0.173590401172604</v>
      </c>
    </row>
    <row r="4736" customFormat="false" ht="15" hidden="false" customHeight="false" outlineLevel="0" collapsed="false">
      <c r="A4736" s="57" t="n">
        <v>40078</v>
      </c>
      <c r="B4736" s="56" t="n">
        <v>2009</v>
      </c>
      <c r="C4736" s="56" t="n">
        <v>9</v>
      </c>
      <c r="D4736" s="56" t="n">
        <v>145</v>
      </c>
      <c r="E4736" s="56" t="n">
        <v>18.7</v>
      </c>
      <c r="F4736" s="56" t="n">
        <v>0</v>
      </c>
      <c r="G4736" s="56" t="n">
        <v>11.7</v>
      </c>
      <c r="H4736" s="56" t="n">
        <v>0</v>
      </c>
      <c r="I4736" s="56" t="n">
        <v>16.7</v>
      </c>
      <c r="J4736" s="56" t="n">
        <v>0</v>
      </c>
      <c r="K4736" s="56" t="n">
        <v>1024.4</v>
      </c>
      <c r="L4736" s="56" t="n">
        <v>0</v>
      </c>
      <c r="M4736" s="56" t="n">
        <v>77</v>
      </c>
      <c r="N4736" s="56" t="n">
        <v>1.7</v>
      </c>
      <c r="O4736" s="56" t="n">
        <f aca="false">IF(D4736=1,"",E4735)</f>
        <v>21.7</v>
      </c>
      <c r="P4736" s="56" t="n">
        <f aca="false">IF(OR(D4736=1,K4735=""),"",K4735)</f>
        <v>1025.4</v>
      </c>
      <c r="Q4736" s="56" t="n">
        <f aca="false">IF(OR(F4736&lt;&gt;0,AND(I4736&lt;&gt;"",E4736&lt;I4736)),1,0)</f>
        <v>0</v>
      </c>
      <c r="R4736" s="56" t="n">
        <f aca="false">IF(AND(D4736&gt;1,Q4736=0,ISNUMBER(O4736),ISNUMBER(P4736)),IF(Q4735=0,1,0),0)</f>
        <v>1</v>
      </c>
      <c r="S4736" s="56" t="n">
        <f aca="false">R4736*(B4736&gt;=Train_Start)*(B4736&lt;=Train_End)</f>
        <v>0</v>
      </c>
      <c r="T4736" s="84" t="n">
        <f aca="false">IF(AND(ISNUMBER(O4736),ISNUMBER(P4736)),Coef_A+Coef_B1*O4736+Coef_B2*P4736,"")</f>
        <v>22.0333258687141</v>
      </c>
      <c r="U4736" s="84" t="n">
        <f aca="false">IF(AND(R4736=1,ISNUMBER(T4736)),E4736-T4736,"")</f>
        <v>-3.33332586871409</v>
      </c>
      <c r="V4736" s="84" t="n">
        <f aca="false">IF(ISNUMBER(T4736),T4736,-99)</f>
        <v>22.0333258687141</v>
      </c>
      <c r="W4736" s="84" t="n">
        <f aca="false">IF(ISNUMBER(U4736),ABS(U4736),"")</f>
        <v>3.33332586871409</v>
      </c>
    </row>
    <row r="4737" customFormat="false" ht="15" hidden="false" customHeight="false" outlineLevel="0" collapsed="false">
      <c r="A4737" s="57" t="n">
        <v>40079</v>
      </c>
      <c r="B4737" s="56" t="n">
        <v>2009</v>
      </c>
      <c r="C4737" s="56" t="n">
        <v>9</v>
      </c>
      <c r="D4737" s="56" t="n">
        <v>146</v>
      </c>
      <c r="E4737" s="56" t="n">
        <v>20.2</v>
      </c>
      <c r="F4737" s="56" t="n">
        <v>0</v>
      </c>
      <c r="G4737" s="56" t="n">
        <v>14.7</v>
      </c>
      <c r="H4737" s="56" t="n">
        <v>0</v>
      </c>
      <c r="I4737" s="56" t="n">
        <v>16.7</v>
      </c>
      <c r="J4737" s="56" t="n">
        <v>0</v>
      </c>
      <c r="K4737" s="56" t="n">
        <v>1025.7</v>
      </c>
      <c r="L4737" s="56" t="n">
        <v>0</v>
      </c>
      <c r="M4737" s="56" t="n">
        <v>81</v>
      </c>
      <c r="N4737" s="56" t="n">
        <v>0</v>
      </c>
      <c r="O4737" s="56" t="n">
        <f aca="false">IF(D4737=1,"",E4736)</f>
        <v>18.7</v>
      </c>
      <c r="P4737" s="56" t="n">
        <f aca="false">IF(OR(D4737=1,K4736=""),"",K4736)</f>
        <v>1024.4</v>
      </c>
      <c r="Q4737" s="56" t="n">
        <f aca="false">IF(OR(F4737&lt;&gt;0,AND(I4737&lt;&gt;"",E4737&lt;I4737)),1,0)</f>
        <v>0</v>
      </c>
      <c r="R4737" s="56" t="n">
        <f aca="false">IF(AND(D4737&gt;1,Q4737=0,ISNUMBER(O4737),ISNUMBER(P4737)),IF(Q4736=0,1,0),0)</f>
        <v>1</v>
      </c>
      <c r="S4737" s="56" t="n">
        <f aca="false">R4737*(B4737&gt;=Train_Start)*(B4737&lt;=Train_End)</f>
        <v>0</v>
      </c>
      <c r="T4737" s="84" t="n">
        <f aca="false">IF(AND(ISNUMBER(O4737),ISNUMBER(P4737)),Coef_A+Coef_B1*O4737+Coef_B2*P4737,"")</f>
        <v>19.5439383949521</v>
      </c>
      <c r="U4737" s="84" t="n">
        <f aca="false">IF(AND(R4737=1,ISNUMBER(T4737)),E4737-T4737,"")</f>
        <v>0.656061605047871</v>
      </c>
      <c r="V4737" s="84" t="n">
        <f aca="false">IF(ISNUMBER(T4737),T4737,-99)</f>
        <v>19.5439383949521</v>
      </c>
      <c r="W4737" s="84" t="n">
        <f aca="false">IF(ISNUMBER(U4737),ABS(U4737),"")</f>
        <v>0.656061605047871</v>
      </c>
    </row>
    <row r="4738" customFormat="false" ht="15" hidden="false" customHeight="false" outlineLevel="0" collapsed="false">
      <c r="A4738" s="57" t="n">
        <v>40080</v>
      </c>
      <c r="B4738" s="56" t="n">
        <v>2009</v>
      </c>
      <c r="C4738" s="56" t="n">
        <v>9</v>
      </c>
      <c r="D4738" s="56" t="n">
        <v>147</v>
      </c>
      <c r="E4738" s="56" t="n">
        <v>20.1</v>
      </c>
      <c r="F4738" s="56" t="n">
        <v>0</v>
      </c>
      <c r="G4738" s="56" t="n">
        <v>9.9</v>
      </c>
      <c r="H4738" s="56" t="n">
        <v>0</v>
      </c>
      <c r="I4738" s="56" t="n">
        <v>15.1</v>
      </c>
      <c r="J4738" s="56" t="n">
        <v>0</v>
      </c>
      <c r="K4738" s="56" t="n">
        <v>1026.2</v>
      </c>
      <c r="L4738" s="56" t="n">
        <v>0</v>
      </c>
      <c r="M4738" s="56" t="n">
        <v>68</v>
      </c>
      <c r="N4738" s="56" t="n">
        <v>9.8</v>
      </c>
      <c r="O4738" s="56" t="n">
        <f aca="false">IF(D4738=1,"",E4737)</f>
        <v>20.2</v>
      </c>
      <c r="P4738" s="56" t="n">
        <f aca="false">IF(OR(D4738=1,K4737=""),"",K4737)</f>
        <v>1025.7</v>
      </c>
      <c r="Q4738" s="56" t="n">
        <f aca="false">IF(OR(F4738&lt;&gt;0,AND(I4738&lt;&gt;"",E4738&lt;I4738)),1,0)</f>
        <v>0</v>
      </c>
      <c r="R4738" s="56" t="n">
        <f aca="false">IF(AND(D4738&gt;1,Q4738=0,ISNUMBER(O4738),ISNUMBER(P4738)),IF(Q4737=0,1,0),0)</f>
        <v>1</v>
      </c>
      <c r="S4738" s="56" t="n">
        <f aca="false">R4738*(B4738&gt;=Train_Start)*(B4738&lt;=Train_End)</f>
        <v>0</v>
      </c>
      <c r="T4738" s="84" t="n">
        <f aca="false">IF(AND(ISNUMBER(O4738),ISNUMBER(P4738)),Coef_A+Coef_B1*O4738+Coef_B2*P4738,"")</f>
        <v>20.8137280475403</v>
      </c>
      <c r="U4738" s="84" t="n">
        <f aca="false">IF(AND(R4738=1,ISNUMBER(T4738)),E4738-T4738,"")</f>
        <v>-0.713728047540297</v>
      </c>
      <c r="V4738" s="84" t="n">
        <f aca="false">IF(ISNUMBER(T4738),T4738,-99)</f>
        <v>20.8137280475403</v>
      </c>
      <c r="W4738" s="84" t="n">
        <f aca="false">IF(ISNUMBER(U4738),ABS(U4738),"")</f>
        <v>0.713728047540297</v>
      </c>
    </row>
    <row r="4739" customFormat="false" ht="15" hidden="false" customHeight="false" outlineLevel="0" collapsed="false">
      <c r="A4739" s="57" t="n">
        <v>40081</v>
      </c>
      <c r="B4739" s="56" t="n">
        <v>2009</v>
      </c>
      <c r="C4739" s="56" t="n">
        <v>9</v>
      </c>
      <c r="D4739" s="56" t="n">
        <v>148</v>
      </c>
      <c r="E4739" s="56" t="n">
        <v>20.2</v>
      </c>
      <c r="F4739" s="56" t="n">
        <v>0</v>
      </c>
      <c r="G4739" s="56" t="n">
        <v>8.5</v>
      </c>
      <c r="H4739" s="56" t="n">
        <v>0</v>
      </c>
      <c r="I4739" s="56" t="n">
        <v>14.3</v>
      </c>
      <c r="J4739" s="56" t="n">
        <v>0</v>
      </c>
      <c r="K4739" s="56" t="n">
        <v>1027.3</v>
      </c>
      <c r="L4739" s="56" t="n">
        <v>0</v>
      </c>
      <c r="M4739" s="56" t="n">
        <v>68</v>
      </c>
      <c r="N4739" s="56" t="n">
        <v>11</v>
      </c>
      <c r="O4739" s="56" t="n">
        <f aca="false">IF(D4739=1,"",E4738)</f>
        <v>20.1</v>
      </c>
      <c r="P4739" s="56" t="n">
        <f aca="false">IF(OR(D4739=1,K4738=""),"",K4738)</f>
        <v>1026.2</v>
      </c>
      <c r="Q4739" s="56" t="n">
        <f aca="false">IF(OR(F4739&lt;&gt;0,AND(I4739&lt;&gt;"",E4739&lt;I4739)),1,0)</f>
        <v>0</v>
      </c>
      <c r="R4739" s="56" t="n">
        <f aca="false">IF(AND(D4739&gt;1,Q4739=0,ISNUMBER(O4739),ISNUMBER(P4739)),IF(Q4738=0,1,0),0)</f>
        <v>1</v>
      </c>
      <c r="S4739" s="56" t="n">
        <f aca="false">R4739*(B4739&gt;=Train_Start)*(B4739&lt;=Train_End)</f>
        <v>0</v>
      </c>
      <c r="T4739" s="84" t="n">
        <f aca="false">IF(AND(ISNUMBER(O4739),ISNUMBER(P4739)),Coef_A+Coef_B1*O4739+Coef_B2*P4739,"")</f>
        <v>20.747479075553</v>
      </c>
      <c r="U4739" s="84" t="n">
        <f aca="false">IF(AND(R4739=1,ISNUMBER(T4739)),E4739-T4739,"")</f>
        <v>-0.547479075553035</v>
      </c>
      <c r="V4739" s="84" t="n">
        <f aca="false">IF(ISNUMBER(T4739),T4739,-99)</f>
        <v>20.747479075553</v>
      </c>
      <c r="W4739" s="84" t="n">
        <f aca="false">IF(ISNUMBER(U4739),ABS(U4739),"")</f>
        <v>0.547479075553035</v>
      </c>
    </row>
    <row r="4740" customFormat="false" ht="15" hidden="false" customHeight="false" outlineLevel="0" collapsed="false">
      <c r="A4740" s="57" t="n">
        <v>40082</v>
      </c>
      <c r="B4740" s="56" t="n">
        <v>2009</v>
      </c>
      <c r="C4740" s="56" t="n">
        <v>9</v>
      </c>
      <c r="D4740" s="56" t="n">
        <v>149</v>
      </c>
      <c r="E4740" s="56" t="n">
        <v>21.9</v>
      </c>
      <c r="F4740" s="56" t="n">
        <v>0</v>
      </c>
      <c r="G4740" s="56" t="n">
        <v>8.1</v>
      </c>
      <c r="H4740" s="56" t="n">
        <v>0</v>
      </c>
      <c r="I4740" s="56" t="n">
        <v>14.2</v>
      </c>
      <c r="J4740" s="56" t="n">
        <v>0</v>
      </c>
      <c r="K4740" s="56" t="n">
        <v>1027.3</v>
      </c>
      <c r="L4740" s="56" t="n">
        <v>0</v>
      </c>
      <c r="M4740" s="56" t="n">
        <v>73</v>
      </c>
      <c r="N4740" s="56" t="n">
        <v>7.9</v>
      </c>
      <c r="O4740" s="56" t="n">
        <f aca="false">IF(D4740=1,"",E4739)</f>
        <v>20.2</v>
      </c>
      <c r="P4740" s="56" t="n">
        <f aca="false">IF(OR(D4740=1,K4739=""),"",K4739)</f>
        <v>1027.3</v>
      </c>
      <c r="Q4740" s="56" t="n">
        <f aca="false">IF(OR(F4740&lt;&gt;0,AND(I4740&lt;&gt;"",E4740&lt;I4740)),1,0)</f>
        <v>0</v>
      </c>
      <c r="R4740" s="56" t="n">
        <f aca="false">IF(AND(D4740&gt;1,Q4740=0,ISNUMBER(O4740),ISNUMBER(P4740)),IF(Q4739=0,1,0),0)</f>
        <v>1</v>
      </c>
      <c r="S4740" s="56" t="n">
        <f aca="false">R4740*(B4740&gt;=Train_Start)*(B4740&lt;=Train_End)</f>
        <v>0</v>
      </c>
      <c r="T4740" s="84" t="n">
        <f aca="false">IF(AND(ISNUMBER(O4740),ISNUMBER(P4740)),Coef_A+Coef_B1*O4740+Coef_B2*P4740,"")</f>
        <v>20.8639198789547</v>
      </c>
      <c r="U4740" s="84" t="n">
        <f aca="false">IF(AND(R4740=1,ISNUMBER(T4740)),E4740-T4740,"")</f>
        <v>1.03608012104532</v>
      </c>
      <c r="V4740" s="84" t="n">
        <f aca="false">IF(ISNUMBER(T4740),T4740,-99)</f>
        <v>20.8639198789547</v>
      </c>
      <c r="W4740" s="84" t="n">
        <f aca="false">IF(ISNUMBER(U4740),ABS(U4740),"")</f>
        <v>1.03608012104532</v>
      </c>
    </row>
    <row r="4741" customFormat="false" ht="15" hidden="false" customHeight="false" outlineLevel="0" collapsed="false">
      <c r="A4741" s="57" t="n">
        <v>40083</v>
      </c>
      <c r="B4741" s="56" t="n">
        <v>2009</v>
      </c>
      <c r="C4741" s="56" t="n">
        <v>9</v>
      </c>
      <c r="D4741" s="56" t="n">
        <v>150</v>
      </c>
      <c r="E4741" s="56" t="n">
        <v>19.4</v>
      </c>
      <c r="F4741" s="56" t="n">
        <v>0</v>
      </c>
      <c r="G4741" s="56" t="n">
        <v>8.3</v>
      </c>
      <c r="H4741" s="56" t="n">
        <v>0</v>
      </c>
      <c r="I4741" s="56" t="n">
        <v>15.1</v>
      </c>
      <c r="J4741" s="56" t="n">
        <v>0</v>
      </c>
      <c r="K4741" s="56" t="n">
        <v>1027.5</v>
      </c>
      <c r="L4741" s="56" t="n">
        <v>0</v>
      </c>
      <c r="M4741" s="56" t="n">
        <v>75</v>
      </c>
      <c r="N4741" s="56" t="n">
        <v>9.6</v>
      </c>
      <c r="O4741" s="56" t="n">
        <f aca="false">IF(D4741=1,"",E4740)</f>
        <v>21.9</v>
      </c>
      <c r="P4741" s="56" t="n">
        <f aca="false">IF(OR(D4741=1,K4740=""),"",K4740)</f>
        <v>1027.3</v>
      </c>
      <c r="Q4741" s="56" t="n">
        <f aca="false">IF(OR(F4741&lt;&gt;0,AND(I4741&lt;&gt;"",E4741&lt;I4741)),1,0)</f>
        <v>0</v>
      </c>
      <c r="R4741" s="56" t="n">
        <f aca="false">IF(AND(D4741&gt;1,Q4741=0,ISNUMBER(O4741),ISNUMBER(P4741)),IF(Q4740=0,1,0),0)</f>
        <v>1</v>
      </c>
      <c r="S4741" s="56" t="n">
        <f aca="false">R4741*(B4741&gt;=Train_Start)*(B4741&lt;=Train_End)</f>
        <v>0</v>
      </c>
      <c r="T4741" s="84" t="n">
        <f aca="false">IF(AND(ISNUMBER(O4741),ISNUMBER(P4741)),Coef_A+Coef_B1*O4741+Coef_B2*P4741,"")</f>
        <v>22.2567965071272</v>
      </c>
      <c r="U4741" s="84" t="n">
        <f aca="false">IF(AND(R4741=1,ISNUMBER(T4741)),E4741-T4741,"")</f>
        <v>-2.8567965071272</v>
      </c>
      <c r="V4741" s="84" t="n">
        <f aca="false">IF(ISNUMBER(T4741),T4741,-99)</f>
        <v>22.2567965071272</v>
      </c>
      <c r="W4741" s="84" t="n">
        <f aca="false">IF(ISNUMBER(U4741),ABS(U4741),"")</f>
        <v>2.8567965071272</v>
      </c>
    </row>
    <row r="4742" customFormat="false" ht="15" hidden="false" customHeight="false" outlineLevel="0" collapsed="false">
      <c r="A4742" s="57" t="n">
        <v>40084</v>
      </c>
      <c r="B4742" s="56" t="n">
        <v>2009</v>
      </c>
      <c r="C4742" s="56" t="n">
        <v>9</v>
      </c>
      <c r="D4742" s="56" t="n">
        <v>151</v>
      </c>
      <c r="E4742" s="56" t="n">
        <v>21.5</v>
      </c>
      <c r="F4742" s="56" t="n">
        <v>0</v>
      </c>
      <c r="G4742" s="56" t="n">
        <v>11</v>
      </c>
      <c r="H4742" s="56" t="n">
        <v>0</v>
      </c>
      <c r="I4742" s="56" t="n">
        <v>15.2</v>
      </c>
      <c r="J4742" s="56" t="n">
        <v>0</v>
      </c>
      <c r="K4742" s="56" t="n">
        <v>1026.2</v>
      </c>
      <c r="L4742" s="56" t="n">
        <v>0</v>
      </c>
      <c r="M4742" s="56" t="n">
        <v>79</v>
      </c>
      <c r="N4742" s="56" t="n">
        <v>0.7</v>
      </c>
      <c r="O4742" s="56" t="n">
        <f aca="false">IF(D4742=1,"",E4741)</f>
        <v>19.4</v>
      </c>
      <c r="P4742" s="56" t="n">
        <f aca="false">IF(OR(D4742=1,K4741=""),"",K4741)</f>
        <v>1027.5</v>
      </c>
      <c r="Q4742" s="56" t="n">
        <f aca="false">IF(OR(F4742&lt;&gt;0,AND(I4742&lt;&gt;"",E4742&lt;I4742)),1,0)</f>
        <v>0</v>
      </c>
      <c r="R4742" s="56" t="n">
        <f aca="false">IF(AND(D4742&gt;1,Q4742=0,ISNUMBER(O4742),ISNUMBER(P4742)),IF(Q4741=0,1,0),0)</f>
        <v>1</v>
      </c>
      <c r="S4742" s="56" t="n">
        <f aca="false">R4742*(B4742&gt;=Train_Start)*(B4742&lt;=Train_End)</f>
        <v>0</v>
      </c>
      <c r="T4742" s="84" t="n">
        <f aca="false">IF(AND(ISNUMBER(O4742),ISNUMBER(P4742)),Coef_A+Coef_B1*O4742+Coef_B2*P4742,"")</f>
        <v>20.2147225034474</v>
      </c>
      <c r="U4742" s="84" t="n">
        <f aca="false">IF(AND(R4742=1,ISNUMBER(T4742)),E4742-T4742,"")</f>
        <v>1.28527749655265</v>
      </c>
      <c r="V4742" s="84" t="n">
        <f aca="false">IF(ISNUMBER(T4742),T4742,-99)</f>
        <v>20.2147225034474</v>
      </c>
      <c r="W4742" s="84" t="n">
        <f aca="false">IF(ISNUMBER(U4742),ABS(U4742),"")</f>
        <v>1.28527749655265</v>
      </c>
    </row>
    <row r="4743" customFormat="false" ht="15" hidden="false" customHeight="false" outlineLevel="0" collapsed="false">
      <c r="A4743" s="57" t="n">
        <v>40085</v>
      </c>
      <c r="B4743" s="56" t="n">
        <v>2009</v>
      </c>
      <c r="C4743" s="56" t="n">
        <v>9</v>
      </c>
      <c r="D4743" s="56" t="n">
        <v>152</v>
      </c>
      <c r="E4743" s="56" t="n">
        <v>19</v>
      </c>
      <c r="F4743" s="56" t="n">
        <v>0</v>
      </c>
      <c r="G4743" s="56" t="n">
        <v>10.8</v>
      </c>
      <c r="H4743" s="56" t="n">
        <v>0</v>
      </c>
      <c r="I4743" s="56" t="n">
        <v>16.2</v>
      </c>
      <c r="J4743" s="56" t="n">
        <v>0</v>
      </c>
      <c r="K4743" s="56" t="n">
        <v>1022.6</v>
      </c>
      <c r="L4743" s="56" t="n">
        <v>0</v>
      </c>
      <c r="M4743" s="56" t="n">
        <v>78</v>
      </c>
      <c r="N4743" s="56" t="n">
        <v>5.8</v>
      </c>
      <c r="O4743" s="56" t="n">
        <f aca="false">IF(D4743=1,"",E4742)</f>
        <v>21.5</v>
      </c>
      <c r="P4743" s="56" t="n">
        <f aca="false">IF(OR(D4743=1,K4742=""),"",K4742)</f>
        <v>1026.2</v>
      </c>
      <c r="Q4743" s="56" t="n">
        <f aca="false">IF(OR(F4743&lt;&gt;0,AND(I4743&lt;&gt;"",E4743&lt;I4743)),1,0)</f>
        <v>0</v>
      </c>
      <c r="R4743" s="56" t="n">
        <f aca="false">IF(AND(D4743&gt;1,Q4743=0,ISNUMBER(O4743),ISNUMBER(P4743)),IF(Q4742=0,1,0),0)</f>
        <v>1</v>
      </c>
      <c r="S4743" s="56" t="n">
        <f aca="false">R4743*(B4743&gt;=Train_Start)*(B4743&lt;=Train_End)</f>
        <v>0</v>
      </c>
      <c r="T4743" s="84" t="n">
        <f aca="false">IF(AND(ISNUMBER(O4743),ISNUMBER(P4743)),Coef_A+Coef_B1*O4743+Coef_B2*P4743,"")</f>
        <v>21.8945539458128</v>
      </c>
      <c r="U4743" s="84" t="n">
        <f aca="false">IF(AND(R4743=1,ISNUMBER(T4743)),E4743-T4743,"")</f>
        <v>-2.89455394581275</v>
      </c>
      <c r="V4743" s="84" t="n">
        <f aca="false">IF(ISNUMBER(T4743),T4743,-99)</f>
        <v>21.8945539458128</v>
      </c>
      <c r="W4743" s="84" t="n">
        <f aca="false">IF(ISNUMBER(U4743),ABS(U4743),"")</f>
        <v>2.89455394581275</v>
      </c>
    </row>
    <row r="4744" customFormat="false" ht="15" hidden="false" customHeight="false" outlineLevel="0" collapsed="false">
      <c r="A4744" s="57" t="n">
        <v>40086</v>
      </c>
      <c r="B4744" s="56" t="n">
        <v>2009</v>
      </c>
      <c r="C4744" s="56" t="n">
        <v>9</v>
      </c>
      <c r="D4744" s="56" t="n">
        <v>153</v>
      </c>
      <c r="E4744" s="56" t="n">
        <v>18</v>
      </c>
      <c r="F4744" s="56" t="n">
        <v>0</v>
      </c>
      <c r="G4744" s="56" t="n">
        <v>12.5</v>
      </c>
      <c r="H4744" s="56" t="n">
        <v>0</v>
      </c>
      <c r="I4744" s="56" t="n">
        <v>15.8</v>
      </c>
      <c r="J4744" s="56" t="n">
        <v>0</v>
      </c>
      <c r="K4744" s="56" t="n">
        <v>1019.2</v>
      </c>
      <c r="L4744" s="56" t="n">
        <v>0</v>
      </c>
      <c r="M4744" s="56" t="n">
        <v>82</v>
      </c>
      <c r="N4744" s="56" t="n">
        <v>0.1</v>
      </c>
      <c r="O4744" s="56" t="n">
        <f aca="false">IF(D4744=1,"",E4743)</f>
        <v>19</v>
      </c>
      <c r="P4744" s="56" t="n">
        <f aca="false">IF(OR(D4744=1,K4743=""),"",K4743)</f>
        <v>1022.6</v>
      </c>
      <c r="Q4744" s="56" t="n">
        <f aca="false">IF(OR(F4744&lt;&gt;0,AND(I4744&lt;&gt;"",E4744&lt;I4744)),1,0)</f>
        <v>0</v>
      </c>
      <c r="R4744" s="56" t="n">
        <f aca="false">IF(AND(D4744&gt;1,Q4744=0,ISNUMBER(O4744),ISNUMBER(P4744)),IF(Q4743=0,1,0),0)</f>
        <v>1</v>
      </c>
      <c r="S4744" s="56" t="n">
        <f aca="false">R4744*(B4744&gt;=Train_Start)*(B4744&lt;=Train_End)</f>
        <v>0</v>
      </c>
      <c r="T4744" s="84" t="n">
        <f aca="false">IF(AND(ISNUMBER(O4744),ISNUMBER(P4744)),Coef_A+Coef_B1*O4744+Coef_B2*P4744,"")</f>
        <v>19.7332743425238</v>
      </c>
      <c r="U4744" s="84" t="n">
        <f aca="false">IF(AND(R4744=1,ISNUMBER(T4744)),E4744-T4744,"")</f>
        <v>-1.73327434252375</v>
      </c>
      <c r="V4744" s="84" t="n">
        <f aca="false">IF(ISNUMBER(T4744),T4744,-99)</f>
        <v>19.7332743425238</v>
      </c>
      <c r="W4744" s="84" t="n">
        <f aca="false">IF(ISNUMBER(U4744),ABS(U4744),"")</f>
        <v>1.73327434252375</v>
      </c>
    </row>
    <row r="4745" customFormat="false" ht="15" hidden="false" customHeight="false" outlineLevel="0" collapsed="false">
      <c r="A4745" s="57" t="n">
        <v>40299</v>
      </c>
      <c r="B4745" s="56" t="n">
        <v>2010</v>
      </c>
      <c r="C4745" s="56" t="n">
        <v>5</v>
      </c>
      <c r="D4745" s="56" t="n">
        <v>1</v>
      </c>
      <c r="E4745" s="56" t="n">
        <v>9.4</v>
      </c>
      <c r="F4745" s="56" t="n">
        <v>1</v>
      </c>
      <c r="G4745" s="56" t="n">
        <v>9.9</v>
      </c>
      <c r="H4745" s="56" t="n">
        <v>1</v>
      </c>
      <c r="I4745" s="56" t="n">
        <v>13.7</v>
      </c>
      <c r="J4745" s="56" t="n">
        <v>1</v>
      </c>
      <c r="K4745" s="56" t="n">
        <v>1009</v>
      </c>
      <c r="L4745" s="56" t="n">
        <v>0</v>
      </c>
      <c r="M4745" s="56" t="n">
        <v>75</v>
      </c>
      <c r="N4745" s="56" t="n">
        <v>2.4</v>
      </c>
      <c r="O4745" s="56" t="str">
        <f aca="false">IF(D4745=1,"",E4744)</f>
        <v/>
      </c>
      <c r="P4745" s="56" t="str">
        <f aca="false">IF(OR(D4745=1,K4744=""),"",K4744)</f>
        <v/>
      </c>
      <c r="Q4745" s="56" t="n">
        <f aca="false">IF(OR(F4745&lt;&gt;0,AND(I4745&lt;&gt;"",E4745&lt;I4745)),1,0)</f>
        <v>1</v>
      </c>
      <c r="R4745" s="56" t="n">
        <f aca="false">IF(AND(D4745&gt;1,Q4745=0,ISNUMBER(O4745),ISNUMBER(P4745)),IF(Q4744=0,1,0),0)</f>
        <v>0</v>
      </c>
      <c r="S4745" s="56" t="n">
        <f aca="false">R4745*(B4745&gt;=Train_Start)*(B4745&lt;=Train_End)</f>
        <v>0</v>
      </c>
      <c r="T4745" s="84" t="str">
        <f aca="false">IF(AND(ISNUMBER(O4745),ISNUMBER(P4745)),Coef_A+Coef_B1*O4745+Coef_B2*P4745,"")</f>
        <v/>
      </c>
      <c r="U4745" s="84" t="str">
        <f aca="false">IF(AND(R4745=1,ISNUMBER(T4745)),E4745-T4745,"")</f>
        <v/>
      </c>
      <c r="V4745" s="84" t="n">
        <f aca="false">IF(ISNUMBER(T4745),T4745,-99)</f>
        <v>-99</v>
      </c>
      <c r="W4745" s="84" t="str">
        <f aca="false">IF(ISNUMBER(U4745),ABS(U4745),"")</f>
        <v/>
      </c>
    </row>
    <row r="4746" customFormat="false" ht="15" hidden="false" customHeight="false" outlineLevel="0" collapsed="false">
      <c r="A4746" s="57" t="n">
        <v>40300</v>
      </c>
      <c r="B4746" s="56" t="n">
        <v>2010</v>
      </c>
      <c r="C4746" s="56" t="n">
        <v>5</v>
      </c>
      <c r="D4746" s="56" t="n">
        <v>2</v>
      </c>
      <c r="E4746" s="56" t="n">
        <v>11.5</v>
      </c>
      <c r="F4746" s="56" t="n">
        <v>0</v>
      </c>
      <c r="G4746" s="56" t="n">
        <v>8.3</v>
      </c>
      <c r="H4746" s="56" t="n">
        <v>0</v>
      </c>
      <c r="I4746" s="56" t="n">
        <v>8.9</v>
      </c>
      <c r="J4746" s="56" t="n">
        <v>0</v>
      </c>
      <c r="K4746" s="56" t="n">
        <v>1011.8</v>
      </c>
      <c r="L4746" s="56" t="n">
        <v>0</v>
      </c>
      <c r="M4746" s="56" t="n">
        <v>82</v>
      </c>
      <c r="N4746" s="56" t="n">
        <v>0</v>
      </c>
      <c r="O4746" s="56" t="n">
        <f aca="false">IF(D4746=1,"",E4745)</f>
        <v>9.4</v>
      </c>
      <c r="P4746" s="56" t="n">
        <f aca="false">IF(OR(D4746=1,K4745=""),"",K4745)</f>
        <v>1009</v>
      </c>
      <c r="Q4746" s="56" t="n">
        <f aca="false">IF(OR(F4746&lt;&gt;0,AND(I4746&lt;&gt;"",E4746&lt;I4746)),1,0)</f>
        <v>0</v>
      </c>
      <c r="R4746" s="56" t="n">
        <f aca="false">IF(AND(D4746&gt;1,Q4746=0,ISNUMBER(O4746),ISNUMBER(P4746)),IF(Q4745=0,1,0),0)</f>
        <v>0</v>
      </c>
      <c r="S4746" s="56" t="n">
        <f aca="false">R4746*(B4746&gt;=Train_Start)*(B4746&lt;=Train_End)</f>
        <v>0</v>
      </c>
      <c r="T4746" s="84" t="n">
        <f aca="false">IF(AND(ISNUMBER(O4746),ISNUMBER(P4746)),Coef_A+Coef_B1*O4746+Coef_B2*P4746,"")</f>
        <v>11.440987522292</v>
      </c>
      <c r="U4746" s="84" t="str">
        <f aca="false">IF(AND(R4746=1,ISNUMBER(T4746)),E4746-T4746,"")</f>
        <v/>
      </c>
      <c r="V4746" s="84" t="n">
        <f aca="false">IF(ISNUMBER(T4746),T4746,-99)</f>
        <v>11.440987522292</v>
      </c>
      <c r="W4746" s="84" t="str">
        <f aca="false">IF(ISNUMBER(U4746),ABS(U4746),"")</f>
        <v/>
      </c>
    </row>
    <row r="4747" customFormat="false" ht="15" hidden="false" customHeight="false" outlineLevel="0" collapsed="false">
      <c r="A4747" s="57" t="n">
        <v>40301</v>
      </c>
      <c r="B4747" s="56" t="n">
        <v>2010</v>
      </c>
      <c r="C4747" s="56" t="n">
        <v>5</v>
      </c>
      <c r="D4747" s="56" t="n">
        <v>3</v>
      </c>
      <c r="E4747" s="56" t="n">
        <v>12.1</v>
      </c>
      <c r="F4747" s="56" t="n">
        <v>0</v>
      </c>
      <c r="G4747" s="56" t="n">
        <v>4.9</v>
      </c>
      <c r="H4747" s="56" t="n">
        <v>0</v>
      </c>
      <c r="I4747" s="56" t="n">
        <v>8.2</v>
      </c>
      <c r="J4747" s="56" t="n">
        <v>0</v>
      </c>
      <c r="K4747" s="56" t="n">
        <v>1022.3</v>
      </c>
      <c r="L4747" s="56" t="n">
        <v>0</v>
      </c>
      <c r="M4747" s="56" t="n">
        <v>64</v>
      </c>
      <c r="N4747" s="56" t="n">
        <v>5.6</v>
      </c>
      <c r="O4747" s="56" t="n">
        <f aca="false">IF(D4747=1,"",E4746)</f>
        <v>11.5</v>
      </c>
      <c r="P4747" s="56" t="n">
        <f aca="false">IF(OR(D4747=1,K4746=""),"",K4746)</f>
        <v>1011.8</v>
      </c>
      <c r="Q4747" s="56" t="n">
        <f aca="false">IF(OR(F4747&lt;&gt;0,AND(I4747&lt;&gt;"",E4747&lt;I4747)),1,0)</f>
        <v>0</v>
      </c>
      <c r="R4747" s="56" t="n">
        <f aca="false">IF(AND(D4747&gt;1,Q4747=0,ISNUMBER(O4747),ISNUMBER(P4747)),IF(Q4746=0,1,0),0)</f>
        <v>1</v>
      </c>
      <c r="S4747" s="56" t="n">
        <f aca="false">R4747*(B4747&gt;=Train_Start)*(B4747&lt;=Train_End)</f>
        <v>0</v>
      </c>
      <c r="T4747" s="84" t="n">
        <f aca="false">IF(AND(ISNUMBER(O4747),ISNUMBER(P4747)),Coef_A+Coef_B1*O4747+Coef_B2*P4747,"")</f>
        <v>13.2494355326567</v>
      </c>
      <c r="U4747" s="84" t="n">
        <f aca="false">IF(AND(R4747=1,ISNUMBER(T4747)),E4747-T4747,"")</f>
        <v>-1.14943553265673</v>
      </c>
      <c r="V4747" s="84" t="n">
        <f aca="false">IF(ISNUMBER(T4747),T4747,-99)</f>
        <v>13.2494355326567</v>
      </c>
      <c r="W4747" s="84" t="n">
        <f aca="false">IF(ISNUMBER(U4747),ABS(U4747),"")</f>
        <v>1.14943553265673</v>
      </c>
    </row>
    <row r="4748" customFormat="false" ht="15" hidden="false" customHeight="false" outlineLevel="0" collapsed="false">
      <c r="A4748" s="57" t="n">
        <v>40302</v>
      </c>
      <c r="B4748" s="56" t="n">
        <v>2010</v>
      </c>
      <c r="C4748" s="56" t="n">
        <v>5</v>
      </c>
      <c r="D4748" s="56" t="n">
        <v>4</v>
      </c>
      <c r="E4748" s="56" t="n">
        <v>15.5</v>
      </c>
      <c r="F4748" s="56" t="n">
        <v>0</v>
      </c>
      <c r="G4748" s="56" t="n">
        <v>2.6</v>
      </c>
      <c r="H4748" s="56" t="n">
        <v>0</v>
      </c>
      <c r="I4748" s="56" t="n">
        <v>7.4</v>
      </c>
      <c r="J4748" s="56" t="n">
        <v>0</v>
      </c>
      <c r="K4748" s="56" t="n">
        <v>1026.9</v>
      </c>
      <c r="L4748" s="56" t="n">
        <v>0</v>
      </c>
      <c r="M4748" s="56" t="n">
        <v>61</v>
      </c>
      <c r="N4748" s="56" t="n">
        <v>5.1</v>
      </c>
      <c r="O4748" s="56" t="n">
        <f aca="false">IF(D4748=1,"",E4747)</f>
        <v>12.1</v>
      </c>
      <c r="P4748" s="56" t="n">
        <f aca="false">IF(OR(D4748=1,K4747=""),"",K4747)</f>
        <v>1022.3</v>
      </c>
      <c r="Q4748" s="56" t="n">
        <f aca="false">IF(OR(F4748&lt;&gt;0,AND(I4748&lt;&gt;"",E4748&lt;I4748)),1,0)</f>
        <v>0</v>
      </c>
      <c r="R4748" s="56" t="n">
        <f aca="false">IF(AND(D4748&gt;1,Q4748=0,ISNUMBER(O4748),ISNUMBER(P4748)),IF(Q4747=0,1,0),0)</f>
        <v>1</v>
      </c>
      <c r="S4748" s="56" t="n">
        <f aca="false">R4748*(B4748&gt;=Train_Start)*(B4748&lt;=Train_End)</f>
        <v>0</v>
      </c>
      <c r="T4748" s="84" t="n">
        <f aca="false">IF(AND(ISNUMBER(O4748),ISNUMBER(P4748)),Coef_A+Coef_B1*O4748+Coef_B2*P4748,"")</f>
        <v>14.0704229421392</v>
      </c>
      <c r="U4748" s="84" t="n">
        <f aca="false">IF(AND(R4748=1,ISNUMBER(T4748)),E4748-T4748,"")</f>
        <v>1.42957705786079</v>
      </c>
      <c r="V4748" s="84" t="n">
        <f aca="false">IF(ISNUMBER(T4748),T4748,-99)</f>
        <v>14.0704229421392</v>
      </c>
      <c r="W4748" s="84" t="n">
        <f aca="false">IF(ISNUMBER(U4748),ABS(U4748),"")</f>
        <v>1.42957705786079</v>
      </c>
    </row>
    <row r="4749" customFormat="false" ht="15" hidden="false" customHeight="false" outlineLevel="0" collapsed="false">
      <c r="A4749" s="57" t="n">
        <v>40303</v>
      </c>
      <c r="B4749" s="56" t="n">
        <v>2010</v>
      </c>
      <c r="C4749" s="56" t="n">
        <v>5</v>
      </c>
      <c r="D4749" s="56" t="n">
        <v>5</v>
      </c>
      <c r="E4749" s="56" t="n">
        <v>15.3</v>
      </c>
      <c r="F4749" s="56" t="n">
        <v>0</v>
      </c>
      <c r="G4749" s="56" t="n">
        <v>3</v>
      </c>
      <c r="H4749" s="56" t="n">
        <v>0</v>
      </c>
      <c r="I4749" s="56" t="n">
        <v>9.3</v>
      </c>
      <c r="J4749" s="56" t="n">
        <v>0</v>
      </c>
      <c r="K4749" s="56" t="n">
        <v>1020.6</v>
      </c>
      <c r="L4749" s="56" t="n">
        <v>0</v>
      </c>
      <c r="M4749" s="56" t="n">
        <v>67</v>
      </c>
      <c r="N4749" s="56" t="n">
        <v>2.3</v>
      </c>
      <c r="O4749" s="56" t="n">
        <f aca="false">IF(D4749=1,"",E4748)</f>
        <v>15.5</v>
      </c>
      <c r="P4749" s="56" t="n">
        <f aca="false">IF(OR(D4749=1,K4748=""),"",K4748)</f>
        <v>1026.9</v>
      </c>
      <c r="Q4749" s="56" t="n">
        <f aca="false">IF(OR(F4749&lt;&gt;0,AND(I4749&lt;&gt;"",E4749&lt;I4749)),1,0)</f>
        <v>0</v>
      </c>
      <c r="R4749" s="56" t="n">
        <f aca="false">IF(AND(D4749&gt;1,Q4749=0,ISNUMBER(O4749),ISNUMBER(P4749)),IF(Q4748=0,1,0),0)</f>
        <v>1</v>
      </c>
      <c r="S4749" s="56" t="n">
        <f aca="false">R4749*(B4749&gt;=Train_Start)*(B4749&lt;=Train_End)</f>
        <v>0</v>
      </c>
      <c r="T4749" s="84" t="n">
        <f aca="false">IF(AND(ISNUMBER(O4749),ISNUMBER(P4749)),Coef_A+Coef_B1*O4749+Coef_B2*P4749,"")</f>
        <v>17.0004777138006</v>
      </c>
      <c r="U4749" s="84" t="n">
        <f aca="false">IF(AND(R4749=1,ISNUMBER(T4749)),E4749-T4749,"")</f>
        <v>-1.7004777138006</v>
      </c>
      <c r="V4749" s="84" t="n">
        <f aca="false">IF(ISNUMBER(T4749),T4749,-99)</f>
        <v>17.0004777138006</v>
      </c>
      <c r="W4749" s="84" t="n">
        <f aca="false">IF(ISNUMBER(U4749),ABS(U4749),"")</f>
        <v>1.7004777138006</v>
      </c>
    </row>
    <row r="4750" customFormat="false" ht="15" hidden="false" customHeight="false" outlineLevel="0" collapsed="false">
      <c r="A4750" s="57" t="n">
        <v>40304</v>
      </c>
      <c r="B4750" s="56" t="n">
        <v>2010</v>
      </c>
      <c r="C4750" s="56" t="n">
        <v>5</v>
      </c>
      <c r="D4750" s="56" t="n">
        <v>6</v>
      </c>
      <c r="E4750" s="56" t="n">
        <v>13.5</v>
      </c>
      <c r="F4750" s="56" t="n">
        <v>0</v>
      </c>
      <c r="G4750" s="56" t="n">
        <v>7.5</v>
      </c>
      <c r="H4750" s="56" t="n">
        <v>0</v>
      </c>
      <c r="I4750" s="56" t="n">
        <v>11.4</v>
      </c>
      <c r="J4750" s="56" t="n">
        <v>0</v>
      </c>
      <c r="K4750" s="56" t="n">
        <v>1012.6</v>
      </c>
      <c r="L4750" s="56" t="n">
        <v>0</v>
      </c>
      <c r="M4750" s="56" t="n">
        <v>64</v>
      </c>
      <c r="N4750" s="56" t="n">
        <v>3.5</v>
      </c>
      <c r="O4750" s="56" t="n">
        <f aca="false">IF(D4750=1,"",E4749)</f>
        <v>15.3</v>
      </c>
      <c r="P4750" s="56" t="n">
        <f aca="false">IF(OR(D4750=1,K4749=""),"",K4749)</f>
        <v>1020.6</v>
      </c>
      <c r="Q4750" s="56" t="n">
        <f aca="false">IF(OR(F4750&lt;&gt;0,AND(I4750&lt;&gt;"",E4750&lt;I4750)),1,0)</f>
        <v>0</v>
      </c>
      <c r="R4750" s="56" t="n">
        <f aca="false">IF(AND(D4750&gt;1,Q4750=0,ISNUMBER(O4750),ISNUMBER(P4750)),IF(Q4749=0,1,0),0)</f>
        <v>1</v>
      </c>
      <c r="S4750" s="56" t="n">
        <f aca="false">R4750*(B4750&gt;=Train_Start)*(B4750&lt;=Train_End)</f>
        <v>0</v>
      </c>
      <c r="T4750" s="84" t="n">
        <f aca="false">IF(AND(ISNUMBER(O4750),ISNUMBER(P4750)),Coef_A+Coef_B1*O4750+Coef_B2*P4750,"")</f>
        <v>16.6389795389979</v>
      </c>
      <c r="U4750" s="84" t="n">
        <f aca="false">IF(AND(R4750=1,ISNUMBER(T4750)),E4750-T4750,"")</f>
        <v>-3.13897953899794</v>
      </c>
      <c r="V4750" s="84" t="n">
        <f aca="false">IF(ISNUMBER(T4750),T4750,-99)</f>
        <v>16.6389795389979</v>
      </c>
      <c r="W4750" s="84" t="n">
        <f aca="false">IF(ISNUMBER(U4750),ABS(U4750),"")</f>
        <v>3.13897953899794</v>
      </c>
    </row>
    <row r="4751" customFormat="false" ht="15" hidden="false" customHeight="false" outlineLevel="0" collapsed="false">
      <c r="A4751" s="57" t="n">
        <v>40305</v>
      </c>
      <c r="B4751" s="56" t="n">
        <v>2010</v>
      </c>
      <c r="C4751" s="56" t="n">
        <v>5</v>
      </c>
      <c r="D4751" s="56" t="n">
        <v>7</v>
      </c>
      <c r="E4751" s="56" t="n">
        <v>9.9</v>
      </c>
      <c r="F4751" s="56" t="n">
        <v>1</v>
      </c>
      <c r="G4751" s="56" t="n">
        <v>6.6</v>
      </c>
      <c r="H4751" s="56" t="n">
        <v>0</v>
      </c>
      <c r="I4751" s="56" t="n">
        <v>10.1</v>
      </c>
      <c r="J4751" s="56" t="n">
        <v>1</v>
      </c>
      <c r="K4751" s="56" t="n">
        <v>1011.9</v>
      </c>
      <c r="L4751" s="56" t="n">
        <v>0</v>
      </c>
      <c r="M4751" s="56" t="n">
        <v>64</v>
      </c>
      <c r="N4751" s="56" t="n">
        <v>0.8</v>
      </c>
      <c r="O4751" s="56" t="n">
        <f aca="false">IF(D4751=1,"",E4750)</f>
        <v>13.5</v>
      </c>
      <c r="P4751" s="56" t="n">
        <f aca="false">IF(OR(D4751=1,K4750=""),"",K4750)</f>
        <v>1012.6</v>
      </c>
      <c r="Q4751" s="56" t="n">
        <f aca="false">IF(OR(F4751&lt;&gt;0,AND(I4751&lt;&gt;"",E4751&lt;I4751)),1,0)</f>
        <v>1</v>
      </c>
      <c r="R4751" s="56" t="n">
        <f aca="false">IF(AND(D4751&gt;1,Q4751=0,ISNUMBER(O4751),ISNUMBER(P4751)),IF(Q4750=0,1,0),0)</f>
        <v>0</v>
      </c>
      <c r="S4751" s="56" t="n">
        <f aca="false">R4751*(B4751&gt;=Train_Start)*(B4751&lt;=Train_End)</f>
        <v>0</v>
      </c>
      <c r="T4751" s="84" t="n">
        <f aca="false">IF(AND(ISNUMBER(O4751),ISNUMBER(P4751)),Coef_A+Coef_B1*O4751+Coef_B2*P4751,"")</f>
        <v>14.9132098344492</v>
      </c>
      <c r="U4751" s="84" t="str">
        <f aca="false">IF(AND(R4751=1,ISNUMBER(T4751)),E4751-T4751,"")</f>
        <v/>
      </c>
      <c r="V4751" s="84" t="n">
        <f aca="false">IF(ISNUMBER(T4751),T4751,-99)</f>
        <v>14.9132098344492</v>
      </c>
      <c r="W4751" s="84" t="str">
        <f aca="false">IF(ISNUMBER(U4751),ABS(U4751),"")</f>
        <v/>
      </c>
    </row>
    <row r="4752" customFormat="false" ht="15" hidden="false" customHeight="false" outlineLevel="0" collapsed="false">
      <c r="A4752" s="57" t="n">
        <v>40306</v>
      </c>
      <c r="B4752" s="56" t="n">
        <v>2010</v>
      </c>
      <c r="C4752" s="56" t="n">
        <v>5</v>
      </c>
      <c r="D4752" s="56" t="n">
        <v>8</v>
      </c>
      <c r="E4752" s="56" t="n">
        <v>12.3</v>
      </c>
      <c r="F4752" s="56" t="n">
        <v>0</v>
      </c>
      <c r="G4752" s="56" t="n">
        <v>7</v>
      </c>
      <c r="H4752" s="56" t="n">
        <v>0</v>
      </c>
      <c r="I4752" s="56" t="n">
        <v>8.5</v>
      </c>
      <c r="J4752" s="56" t="n">
        <v>0</v>
      </c>
      <c r="K4752" s="56" t="n">
        <v>1012.4</v>
      </c>
      <c r="L4752" s="56" t="n">
        <v>0</v>
      </c>
      <c r="M4752" s="56" t="n">
        <v>82</v>
      </c>
      <c r="N4752" s="56" t="n">
        <v>0</v>
      </c>
      <c r="O4752" s="56" t="n">
        <f aca="false">IF(D4752=1,"",E4751)</f>
        <v>9.9</v>
      </c>
      <c r="P4752" s="56" t="n">
        <f aca="false">IF(OR(D4752=1,K4751=""),"",K4751)</f>
        <v>1011.9</v>
      </c>
      <c r="Q4752" s="56" t="n">
        <f aca="false">IF(OR(F4752&lt;&gt;0,AND(I4752&lt;&gt;"",E4752&lt;I4752)),1,0)</f>
        <v>0</v>
      </c>
      <c r="R4752" s="56" t="n">
        <f aca="false">IF(AND(D4752&gt;1,Q4752=0,ISNUMBER(O4752),ISNUMBER(P4752)),IF(Q4751=0,1,0),0)</f>
        <v>0</v>
      </c>
      <c r="S4752" s="56" t="n">
        <f aca="false">R4752*(B4752&gt;=Train_Start)*(B4752&lt;=Train_End)</f>
        <v>0</v>
      </c>
      <c r="T4752" s="84" t="n">
        <f aca="false">IF(AND(ISNUMBER(O4752),ISNUMBER(P4752)),Coef_A+Coef_B1*O4752+Coef_B2*P4752,"")</f>
        <v>11.9416298132519</v>
      </c>
      <c r="U4752" s="84" t="str">
        <f aca="false">IF(AND(R4752=1,ISNUMBER(T4752)),E4752-T4752,"")</f>
        <v/>
      </c>
      <c r="V4752" s="84" t="n">
        <f aca="false">IF(ISNUMBER(T4752),T4752,-99)</f>
        <v>11.9416298132519</v>
      </c>
      <c r="W4752" s="84" t="str">
        <f aca="false">IF(ISNUMBER(U4752),ABS(U4752),"")</f>
        <v/>
      </c>
    </row>
    <row r="4753" customFormat="false" ht="15" hidden="false" customHeight="false" outlineLevel="0" collapsed="false">
      <c r="A4753" s="57" t="n">
        <v>40307</v>
      </c>
      <c r="B4753" s="56" t="n">
        <v>2010</v>
      </c>
      <c r="C4753" s="56" t="n">
        <v>5</v>
      </c>
      <c r="D4753" s="56" t="n">
        <v>9</v>
      </c>
      <c r="E4753" s="56" t="n">
        <v>13.9</v>
      </c>
      <c r="F4753" s="56" t="n">
        <v>0</v>
      </c>
      <c r="G4753" s="56" t="n">
        <v>6.5</v>
      </c>
      <c r="H4753" s="56" t="n">
        <v>0</v>
      </c>
      <c r="I4753" s="56" t="n">
        <v>9.4</v>
      </c>
      <c r="J4753" s="56" t="n">
        <v>0</v>
      </c>
      <c r="K4753" s="56" t="n">
        <v>1012.6</v>
      </c>
      <c r="L4753" s="56" t="n">
        <v>0</v>
      </c>
      <c r="M4753" s="56" t="n">
        <v>74</v>
      </c>
      <c r="N4753" s="56" t="n">
        <v>0.1</v>
      </c>
      <c r="O4753" s="56" t="n">
        <f aca="false">IF(D4753=1,"",E4752)</f>
        <v>12.3</v>
      </c>
      <c r="P4753" s="56" t="n">
        <f aca="false">IF(OR(D4753=1,K4752=""),"",K4752)</f>
        <v>1012.4</v>
      </c>
      <c r="Q4753" s="56" t="n">
        <f aca="false">IF(OR(F4753&lt;&gt;0,AND(I4753&lt;&gt;"",E4753&lt;I4753)),1,0)</f>
        <v>0</v>
      </c>
      <c r="R4753" s="56" t="n">
        <f aca="false">IF(AND(D4753&gt;1,Q4753=0,ISNUMBER(O4753),ISNUMBER(P4753)),IF(Q4752=0,1,0),0)</f>
        <v>1</v>
      </c>
      <c r="S4753" s="56" t="n">
        <f aca="false">R4753*(B4753&gt;=Train_Start)*(B4753&lt;=Train_End)</f>
        <v>0</v>
      </c>
      <c r="T4753" s="84" t="n">
        <f aca="false">IF(AND(ISNUMBER(O4753),ISNUMBER(P4753)),Coef_A+Coef_B1*O4753+Coef_B2*P4753,"")</f>
        <v>13.9237288238712</v>
      </c>
      <c r="U4753" s="84" t="n">
        <f aca="false">IF(AND(R4753=1,ISNUMBER(T4753)),E4753-T4753,"")</f>
        <v>-0.0237288238712434</v>
      </c>
      <c r="V4753" s="84" t="n">
        <f aca="false">IF(ISNUMBER(T4753),T4753,-99)</f>
        <v>13.9237288238712</v>
      </c>
      <c r="W4753" s="84" t="n">
        <f aca="false">IF(ISNUMBER(U4753),ABS(U4753),"")</f>
        <v>0.0237288238712434</v>
      </c>
    </row>
    <row r="4754" customFormat="false" ht="15" hidden="false" customHeight="false" outlineLevel="0" collapsed="false">
      <c r="A4754" s="57" t="n">
        <v>40308</v>
      </c>
      <c r="B4754" s="56" t="n">
        <v>2010</v>
      </c>
      <c r="C4754" s="56" t="n">
        <v>5</v>
      </c>
      <c r="D4754" s="56" t="n">
        <v>10</v>
      </c>
      <c r="E4754" s="56" t="n">
        <v>10.5</v>
      </c>
      <c r="F4754" s="56" t="n">
        <v>0</v>
      </c>
      <c r="G4754" s="56" t="n">
        <v>4.8</v>
      </c>
      <c r="H4754" s="56" t="n">
        <v>0</v>
      </c>
      <c r="I4754" s="56" t="n">
        <v>9.4</v>
      </c>
      <c r="J4754" s="56" t="n">
        <v>0</v>
      </c>
      <c r="K4754" s="56" t="n">
        <v>1012.5</v>
      </c>
      <c r="L4754" s="56" t="n">
        <v>0</v>
      </c>
      <c r="M4754" s="56" t="n">
        <v>63</v>
      </c>
      <c r="N4754" s="56" t="n">
        <v>5.8</v>
      </c>
      <c r="O4754" s="56" t="n">
        <f aca="false">IF(D4754=1,"",E4753)</f>
        <v>13.9</v>
      </c>
      <c r="P4754" s="56" t="n">
        <f aca="false">IF(OR(D4754=1,K4753=""),"",K4753)</f>
        <v>1012.6</v>
      </c>
      <c r="Q4754" s="56" t="n">
        <f aca="false">IF(OR(F4754&lt;&gt;0,AND(I4754&lt;&gt;"",E4754&lt;I4754)),1,0)</f>
        <v>0</v>
      </c>
      <c r="R4754" s="56" t="n">
        <f aca="false">IF(AND(D4754&gt;1,Q4754=0,ISNUMBER(O4754),ISNUMBER(P4754)),IF(Q4753=0,1,0),0)</f>
        <v>1</v>
      </c>
      <c r="S4754" s="56" t="n">
        <f aca="false">R4754*(B4754&gt;=Train_Start)*(B4754&lt;=Train_End)</f>
        <v>0</v>
      </c>
      <c r="T4754" s="84" t="n">
        <f aca="false">IF(AND(ISNUMBER(O4754),ISNUMBER(P4754)),Coef_A+Coef_B1*O4754+Coef_B2*P4754,"")</f>
        <v>15.2409455116663</v>
      </c>
      <c r="U4754" s="84" t="n">
        <f aca="false">IF(AND(R4754=1,ISNUMBER(T4754)),E4754-T4754,"")</f>
        <v>-4.7409455116663</v>
      </c>
      <c r="V4754" s="84" t="n">
        <f aca="false">IF(ISNUMBER(T4754),T4754,-99)</f>
        <v>15.2409455116663</v>
      </c>
      <c r="W4754" s="84" t="n">
        <f aca="false">IF(ISNUMBER(U4754),ABS(U4754),"")</f>
        <v>4.7409455116663</v>
      </c>
    </row>
    <row r="4755" customFormat="false" ht="15" hidden="false" customHeight="false" outlineLevel="0" collapsed="false">
      <c r="A4755" s="57" t="n">
        <v>40309</v>
      </c>
      <c r="B4755" s="56" t="n">
        <v>2010</v>
      </c>
      <c r="C4755" s="56" t="n">
        <v>5</v>
      </c>
      <c r="D4755" s="56" t="n">
        <v>11</v>
      </c>
      <c r="E4755" s="56" t="n">
        <v>12.1</v>
      </c>
      <c r="F4755" s="56" t="n">
        <v>0</v>
      </c>
      <c r="G4755" s="56" t="n">
        <v>3.6</v>
      </c>
      <c r="H4755" s="56" t="n">
        <v>0</v>
      </c>
      <c r="I4755" s="56" t="n">
        <v>7.1</v>
      </c>
      <c r="J4755" s="56" t="n">
        <v>0</v>
      </c>
      <c r="K4755" s="56" t="n">
        <v>1013</v>
      </c>
      <c r="L4755" s="56" t="n">
        <v>0</v>
      </c>
      <c r="M4755" s="56" t="n">
        <v>59</v>
      </c>
      <c r="N4755" s="56" t="n">
        <v>4.1</v>
      </c>
      <c r="O4755" s="56" t="n">
        <f aca="false">IF(D4755=1,"",E4754)</f>
        <v>10.5</v>
      </c>
      <c r="P4755" s="56" t="n">
        <f aca="false">IF(OR(D4755=1,K4754=""),"",K4754)</f>
        <v>1012.5</v>
      </c>
      <c r="Q4755" s="56" t="n">
        <f aca="false">IF(OR(F4755&lt;&gt;0,AND(I4755&lt;&gt;"",E4755&lt;I4755)),1,0)</f>
        <v>0</v>
      </c>
      <c r="R4755" s="56" t="n">
        <f aca="false">IF(AND(D4755&gt;1,Q4755=0,ISNUMBER(O4755),ISNUMBER(P4755)),IF(Q4754=0,1,0),0)</f>
        <v>1</v>
      </c>
      <c r="S4755" s="56" t="n">
        <f aca="false">R4755*(B4755&gt;=Train_Start)*(B4755&lt;=Train_End)</f>
        <v>0</v>
      </c>
      <c r="T4755" s="84" t="n">
        <f aca="false">IF(AND(ISNUMBER(O4755),ISNUMBER(P4755)),Coef_A+Coef_B1*O4755+Coef_B2*P4755,"")</f>
        <v>12.4520552658579</v>
      </c>
      <c r="U4755" s="84" t="n">
        <f aca="false">IF(AND(R4755=1,ISNUMBER(T4755)),E4755-T4755,"")</f>
        <v>-0.352055265857862</v>
      </c>
      <c r="V4755" s="84" t="n">
        <f aca="false">IF(ISNUMBER(T4755),T4755,-99)</f>
        <v>12.4520552658579</v>
      </c>
      <c r="W4755" s="84" t="n">
        <f aca="false">IF(ISNUMBER(U4755),ABS(U4755),"")</f>
        <v>0.352055265857862</v>
      </c>
    </row>
    <row r="4756" customFormat="false" ht="15" hidden="false" customHeight="false" outlineLevel="0" collapsed="false">
      <c r="A4756" s="57" t="n">
        <v>40310</v>
      </c>
      <c r="B4756" s="56" t="n">
        <v>2010</v>
      </c>
      <c r="C4756" s="56" t="n">
        <v>5</v>
      </c>
      <c r="D4756" s="56" t="n">
        <v>12</v>
      </c>
      <c r="E4756" s="56" t="n">
        <v>14.5</v>
      </c>
      <c r="F4756" s="56" t="n">
        <v>0</v>
      </c>
      <c r="G4756" s="56" t="n">
        <v>2.2</v>
      </c>
      <c r="H4756" s="56" t="n">
        <v>0</v>
      </c>
      <c r="I4756" s="56" t="n">
        <v>7.2</v>
      </c>
      <c r="J4756" s="56" t="n">
        <v>0</v>
      </c>
      <c r="K4756" s="56" t="n">
        <v>1015.2</v>
      </c>
      <c r="L4756" s="56" t="n">
        <v>0</v>
      </c>
      <c r="M4756" s="56" t="n">
        <v>60</v>
      </c>
      <c r="N4756" s="56" t="n">
        <v>5.5</v>
      </c>
      <c r="O4756" s="56" t="n">
        <f aca="false">IF(D4756=1,"",E4755)</f>
        <v>12.1</v>
      </c>
      <c r="P4756" s="56" t="n">
        <f aca="false">IF(OR(D4756=1,K4755=""),"",K4755)</f>
        <v>1013</v>
      </c>
      <c r="Q4756" s="56" t="n">
        <f aca="false">IF(OR(F4756&lt;&gt;0,AND(I4756&lt;&gt;"",E4756&lt;I4756)),1,0)</f>
        <v>0</v>
      </c>
      <c r="R4756" s="56" t="n">
        <f aca="false">IF(AND(D4756&gt;1,Q4756=0,ISNUMBER(O4756),ISNUMBER(P4756)),IF(Q4755=0,1,0),0)</f>
        <v>1</v>
      </c>
      <c r="S4756" s="56" t="n">
        <f aca="false">R4756*(B4756&gt;=Train_Start)*(B4756&lt;=Train_End)</f>
        <v>0</v>
      </c>
      <c r="T4756" s="84" t="n">
        <f aca="false">IF(AND(ISNUMBER(O4756),ISNUMBER(P4756)),Coef_A+Coef_B1*O4756+Coef_B2*P4756,"")</f>
        <v>13.7786829220431</v>
      </c>
      <c r="U4756" s="84" t="n">
        <f aca="false">IF(AND(R4756=1,ISNUMBER(T4756)),E4756-T4756,"")</f>
        <v>0.721317077956893</v>
      </c>
      <c r="V4756" s="84" t="n">
        <f aca="false">IF(ISNUMBER(T4756),T4756,-99)</f>
        <v>13.7786829220431</v>
      </c>
      <c r="W4756" s="84" t="n">
        <f aca="false">IF(ISNUMBER(U4756),ABS(U4756),"")</f>
        <v>0.721317077956893</v>
      </c>
    </row>
    <row r="4757" customFormat="false" ht="15" hidden="false" customHeight="false" outlineLevel="0" collapsed="false">
      <c r="A4757" s="57" t="n">
        <v>40311</v>
      </c>
      <c r="B4757" s="56" t="n">
        <v>2010</v>
      </c>
      <c r="C4757" s="56" t="n">
        <v>5</v>
      </c>
      <c r="D4757" s="56" t="n">
        <v>13</v>
      </c>
      <c r="E4757" s="56" t="n">
        <v>15</v>
      </c>
      <c r="F4757" s="56" t="n">
        <v>0</v>
      </c>
      <c r="G4757" s="56" t="n">
        <v>2</v>
      </c>
      <c r="H4757" s="56" t="n">
        <v>0</v>
      </c>
      <c r="I4757" s="56" t="n">
        <v>8.3</v>
      </c>
      <c r="J4757" s="56" t="n">
        <v>0</v>
      </c>
      <c r="K4757" s="56" t="n">
        <v>1014.6</v>
      </c>
      <c r="L4757" s="56" t="n">
        <v>0</v>
      </c>
      <c r="M4757" s="56" t="n">
        <v>58</v>
      </c>
      <c r="N4757" s="56" t="n">
        <v>6.5</v>
      </c>
      <c r="O4757" s="56" t="n">
        <f aca="false">IF(D4757=1,"",E4756)</f>
        <v>14.5</v>
      </c>
      <c r="P4757" s="56" t="n">
        <f aca="false">IF(OR(D4757=1,K4756=""),"",K4756)</f>
        <v>1015.2</v>
      </c>
      <c r="Q4757" s="56" t="n">
        <f aca="false">IF(OR(F4757&lt;&gt;0,AND(I4757&lt;&gt;"",E4757&lt;I4757)),1,0)</f>
        <v>0</v>
      </c>
      <c r="R4757" s="56" t="n">
        <f aca="false">IF(AND(D4757&gt;1,Q4757=0,ISNUMBER(O4757),ISNUMBER(P4757)),IF(Q4756=0,1,0),0)</f>
        <v>1</v>
      </c>
      <c r="S4757" s="56" t="n">
        <f aca="false">R4757*(B4757&gt;=Train_Start)*(B4757&lt;=Train_End)</f>
        <v>0</v>
      </c>
      <c r="T4757" s="84" t="n">
        <f aca="false">IF(AND(ISNUMBER(O4757),ISNUMBER(P4757)),Coef_A+Coef_B1*O4757+Coef_B2*P4757,"")</f>
        <v>15.8141107535403</v>
      </c>
      <c r="U4757" s="84" t="n">
        <f aca="false">IF(AND(R4757=1,ISNUMBER(T4757)),E4757-T4757,"")</f>
        <v>-0.814110753540266</v>
      </c>
      <c r="V4757" s="84" t="n">
        <f aca="false">IF(ISNUMBER(T4757),T4757,-99)</f>
        <v>15.8141107535403</v>
      </c>
      <c r="W4757" s="84" t="n">
        <f aca="false">IF(ISNUMBER(U4757),ABS(U4757),"")</f>
        <v>0.814110753540266</v>
      </c>
    </row>
    <row r="4758" customFormat="false" ht="15" hidden="false" customHeight="false" outlineLevel="0" collapsed="false">
      <c r="A4758" s="57" t="n">
        <v>40312</v>
      </c>
      <c r="B4758" s="56" t="n">
        <v>2010</v>
      </c>
      <c r="C4758" s="56" t="n">
        <v>5</v>
      </c>
      <c r="D4758" s="56" t="n">
        <v>14</v>
      </c>
      <c r="E4758" s="56" t="n">
        <v>17.9</v>
      </c>
      <c r="F4758" s="56" t="n">
        <v>0</v>
      </c>
      <c r="G4758" s="56" t="n">
        <v>4.1</v>
      </c>
      <c r="H4758" s="56" t="n">
        <v>0</v>
      </c>
      <c r="I4758" s="56" t="n">
        <v>9.6</v>
      </c>
      <c r="J4758" s="56" t="n">
        <v>0</v>
      </c>
      <c r="K4758" s="56" t="n">
        <v>1012.2</v>
      </c>
      <c r="L4758" s="56" t="n">
        <v>0</v>
      </c>
      <c r="M4758" s="56" t="n">
        <v>61</v>
      </c>
      <c r="N4758" s="56" t="n">
        <v>4.6</v>
      </c>
      <c r="O4758" s="56" t="n">
        <f aca="false">IF(D4758=1,"",E4757)</f>
        <v>15</v>
      </c>
      <c r="P4758" s="56" t="n">
        <f aca="false">IF(OR(D4758=1,K4757=""),"",K4757)</f>
        <v>1014.6</v>
      </c>
      <c r="Q4758" s="56" t="n">
        <f aca="false">IF(OR(F4758&lt;&gt;0,AND(I4758&lt;&gt;"",E4758&lt;I4758)),1,0)</f>
        <v>0</v>
      </c>
      <c r="R4758" s="56" t="n">
        <f aca="false">IF(AND(D4758&gt;1,Q4758=0,ISNUMBER(O4758),ISNUMBER(P4758)),IF(Q4757=0,1,0),0)</f>
        <v>1</v>
      </c>
      <c r="S4758" s="56" t="n">
        <f aca="false">R4758*(B4758&gt;=Train_Start)*(B4758&lt;=Train_End)</f>
        <v>0</v>
      </c>
      <c r="T4758" s="84" t="n">
        <f aca="false">IF(AND(ISNUMBER(O4758),ISNUMBER(P4758)),Coef_A+Coef_B1*O4758+Coef_B2*P4758,"")</f>
        <v>16.2049584132812</v>
      </c>
      <c r="U4758" s="84" t="n">
        <f aca="false">IF(AND(R4758=1,ISNUMBER(T4758)),E4758-T4758,"")</f>
        <v>1.6950415867188</v>
      </c>
      <c r="V4758" s="84" t="n">
        <f aca="false">IF(ISNUMBER(T4758),T4758,-99)</f>
        <v>16.2049584132812</v>
      </c>
      <c r="W4758" s="84" t="n">
        <f aca="false">IF(ISNUMBER(U4758),ABS(U4758),"")</f>
        <v>1.6950415867188</v>
      </c>
    </row>
    <row r="4759" customFormat="false" ht="15" hidden="false" customHeight="false" outlineLevel="0" collapsed="false">
      <c r="A4759" s="57" t="n">
        <v>40313</v>
      </c>
      <c r="B4759" s="56" t="n">
        <v>2010</v>
      </c>
      <c r="C4759" s="56" t="n">
        <v>5</v>
      </c>
      <c r="D4759" s="56" t="n">
        <v>15</v>
      </c>
      <c r="E4759" s="56" t="n">
        <v>16.4</v>
      </c>
      <c r="F4759" s="56" t="n">
        <v>0</v>
      </c>
      <c r="G4759" s="56" t="n">
        <v>6.1</v>
      </c>
      <c r="H4759" s="56" t="n">
        <v>0</v>
      </c>
      <c r="I4759" s="56" t="n">
        <v>12</v>
      </c>
      <c r="J4759" s="56" t="n">
        <v>0</v>
      </c>
      <c r="K4759" s="56" t="n">
        <v>1015.3</v>
      </c>
      <c r="L4759" s="56" t="n">
        <v>0</v>
      </c>
      <c r="M4759" s="56" t="n">
        <v>59</v>
      </c>
      <c r="N4759" s="56" t="n">
        <v>8.4</v>
      </c>
      <c r="O4759" s="56" t="n">
        <f aca="false">IF(D4759=1,"",E4758)</f>
        <v>17.9</v>
      </c>
      <c r="P4759" s="56" t="n">
        <f aca="false">IF(OR(D4759=1,K4758=""),"",K4758)</f>
        <v>1012.2</v>
      </c>
      <c r="Q4759" s="56" t="n">
        <f aca="false">IF(OR(F4759&lt;&gt;0,AND(I4759&lt;&gt;"",E4759&lt;I4759)),1,0)</f>
        <v>0</v>
      </c>
      <c r="R4759" s="56" t="n">
        <f aca="false">IF(AND(D4759&gt;1,Q4759=0,ISNUMBER(O4759),ISNUMBER(P4759)),IF(Q4758=0,1,0),0)</f>
        <v>1</v>
      </c>
      <c r="S4759" s="56" t="n">
        <f aca="false">R4759*(B4759&gt;=Train_Start)*(B4759&lt;=Train_End)</f>
        <v>0</v>
      </c>
      <c r="T4759" s="84" t="n">
        <f aca="false">IF(AND(ISNUMBER(O4759),ISNUMBER(P4759)),Coef_A+Coef_B1*O4759+Coef_B2*P4759,"")</f>
        <v>18.5057543259833</v>
      </c>
      <c r="U4759" s="84" t="n">
        <f aca="false">IF(AND(R4759=1,ISNUMBER(T4759)),E4759-T4759,"")</f>
        <v>-2.10575432598333</v>
      </c>
      <c r="V4759" s="84" t="n">
        <f aca="false">IF(ISNUMBER(T4759),T4759,-99)</f>
        <v>18.5057543259833</v>
      </c>
      <c r="W4759" s="84" t="n">
        <f aca="false">IF(ISNUMBER(U4759),ABS(U4759),"")</f>
        <v>2.10575432598333</v>
      </c>
    </row>
    <row r="4760" customFormat="false" ht="15" hidden="false" customHeight="false" outlineLevel="0" collapsed="false">
      <c r="A4760" s="57" t="n">
        <v>40314</v>
      </c>
      <c r="B4760" s="56" t="n">
        <v>2010</v>
      </c>
      <c r="C4760" s="56" t="n">
        <v>5</v>
      </c>
      <c r="D4760" s="56" t="n">
        <v>16</v>
      </c>
      <c r="E4760" s="56" t="n">
        <v>18.3</v>
      </c>
      <c r="F4760" s="56" t="n">
        <v>0</v>
      </c>
      <c r="G4760" s="56" t="n">
        <v>4.8</v>
      </c>
      <c r="H4760" s="56" t="n">
        <v>0</v>
      </c>
      <c r="I4760" s="56" t="n">
        <v>10.6</v>
      </c>
      <c r="J4760" s="56" t="n">
        <v>0</v>
      </c>
      <c r="K4760" s="56" t="n">
        <v>1016.7</v>
      </c>
      <c r="L4760" s="56" t="n">
        <v>0</v>
      </c>
      <c r="M4760" s="56" t="n">
        <v>78</v>
      </c>
      <c r="N4760" s="56" t="n">
        <v>2.6</v>
      </c>
      <c r="O4760" s="56" t="n">
        <f aca="false">IF(D4760=1,"",E4759)</f>
        <v>16.4</v>
      </c>
      <c r="P4760" s="56" t="n">
        <f aca="false">IF(OR(D4760=1,K4759=""),"",K4759)</f>
        <v>1015.3</v>
      </c>
      <c r="Q4760" s="56" t="n">
        <f aca="false">IF(OR(F4760&lt;&gt;0,AND(I4760&lt;&gt;"",E4760&lt;I4760)),1,0)</f>
        <v>0</v>
      </c>
      <c r="R4760" s="56" t="n">
        <f aca="false">IF(AND(D4760&gt;1,Q4760=0,ISNUMBER(O4760),ISNUMBER(P4760)),IF(Q4759=0,1,0),0)</f>
        <v>1</v>
      </c>
      <c r="S4760" s="56" t="n">
        <f aca="false">R4760*(B4760&gt;=Train_Start)*(B4760&lt;=Train_End)</f>
        <v>0</v>
      </c>
      <c r="T4760" s="84" t="n">
        <f aca="false">IF(AND(ISNUMBER(O4760),ISNUMBER(P4760)),Coef_A+Coef_B1*O4760+Coef_B2*P4760,"")</f>
        <v>17.3739922097847</v>
      </c>
      <c r="U4760" s="84" t="n">
        <f aca="false">IF(AND(R4760=1,ISNUMBER(T4760)),E4760-T4760,"")</f>
        <v>0.926007790215291</v>
      </c>
      <c r="V4760" s="84" t="n">
        <f aca="false">IF(ISNUMBER(T4760),T4760,-99)</f>
        <v>17.3739922097847</v>
      </c>
      <c r="W4760" s="84" t="n">
        <f aca="false">IF(ISNUMBER(U4760),ABS(U4760),"")</f>
        <v>0.926007790215291</v>
      </c>
    </row>
    <row r="4761" customFormat="false" ht="15" hidden="false" customHeight="false" outlineLevel="0" collapsed="false">
      <c r="A4761" s="57" t="n">
        <v>40315</v>
      </c>
      <c r="B4761" s="56" t="n">
        <v>2010</v>
      </c>
      <c r="C4761" s="56" t="n">
        <v>5</v>
      </c>
      <c r="D4761" s="56" t="n">
        <v>17</v>
      </c>
      <c r="E4761" s="56" t="n">
        <v>19.3</v>
      </c>
      <c r="F4761" s="56" t="n">
        <v>0</v>
      </c>
      <c r="G4761" s="56" t="n">
        <v>6.2</v>
      </c>
      <c r="H4761" s="56" t="n">
        <v>0</v>
      </c>
      <c r="I4761" s="56" t="n">
        <v>12.3</v>
      </c>
      <c r="J4761" s="56" t="n">
        <v>0</v>
      </c>
      <c r="K4761" s="56" t="n">
        <v>1023.8</v>
      </c>
      <c r="L4761" s="56" t="n">
        <v>0</v>
      </c>
      <c r="M4761" s="56" t="n">
        <v>62</v>
      </c>
      <c r="N4761" s="56" t="n">
        <v>7.7</v>
      </c>
      <c r="O4761" s="56" t="n">
        <f aca="false">IF(D4761=1,"",E4760)</f>
        <v>18.3</v>
      </c>
      <c r="P4761" s="56" t="n">
        <f aca="false">IF(OR(D4761=1,K4760=""),"",K4760)</f>
        <v>1016.7</v>
      </c>
      <c r="Q4761" s="56" t="n">
        <f aca="false">IF(OR(F4761&lt;&gt;0,AND(I4761&lt;&gt;"",E4761&lt;I4761)),1,0)</f>
        <v>0</v>
      </c>
      <c r="R4761" s="56" t="n">
        <f aca="false">IF(AND(D4761&gt;1,Q4761=0,ISNUMBER(O4761),ISNUMBER(P4761)),IF(Q4760=0,1,0),0)</f>
        <v>1</v>
      </c>
      <c r="S4761" s="56" t="n">
        <f aca="false">R4761*(B4761&gt;=Train_Start)*(B4761&lt;=Train_End)</f>
        <v>0</v>
      </c>
      <c r="T4761" s="84" t="n">
        <f aca="false">IF(AND(ISNUMBER(O4761),ISNUMBER(P4761)),Coef_A+Coef_B1*O4761+Coef_B2*P4761,"")</f>
        <v>18.9746545290534</v>
      </c>
      <c r="U4761" s="84" t="n">
        <f aca="false">IF(AND(R4761=1,ISNUMBER(T4761)),E4761-T4761,"")</f>
        <v>0.325345470946651</v>
      </c>
      <c r="V4761" s="84" t="n">
        <f aca="false">IF(ISNUMBER(T4761),T4761,-99)</f>
        <v>18.9746545290534</v>
      </c>
      <c r="W4761" s="84" t="n">
        <f aca="false">IF(ISNUMBER(U4761),ABS(U4761),"")</f>
        <v>0.325345470946651</v>
      </c>
    </row>
    <row r="4762" customFormat="false" ht="15" hidden="false" customHeight="false" outlineLevel="0" collapsed="false">
      <c r="A4762" s="57" t="n">
        <v>40316</v>
      </c>
      <c r="B4762" s="56" t="n">
        <v>2010</v>
      </c>
      <c r="C4762" s="56" t="n">
        <v>5</v>
      </c>
      <c r="D4762" s="56" t="n">
        <v>18</v>
      </c>
      <c r="E4762" s="56" t="n">
        <v>21.7</v>
      </c>
      <c r="F4762" s="56" t="n">
        <v>0</v>
      </c>
      <c r="G4762" s="56" t="n">
        <v>6.3</v>
      </c>
      <c r="H4762" s="56" t="n">
        <v>0</v>
      </c>
      <c r="I4762" s="56" t="n">
        <v>12.8</v>
      </c>
      <c r="J4762" s="56" t="n">
        <v>0</v>
      </c>
      <c r="K4762" s="56" t="n">
        <v>1028.5</v>
      </c>
      <c r="L4762" s="56" t="n">
        <v>0</v>
      </c>
      <c r="M4762" s="56" t="n">
        <v>61</v>
      </c>
      <c r="N4762" s="56" t="n">
        <v>6</v>
      </c>
      <c r="O4762" s="56" t="n">
        <f aca="false">IF(D4762=1,"",E4761)</f>
        <v>19.3</v>
      </c>
      <c r="P4762" s="56" t="n">
        <f aca="false">IF(OR(D4762=1,K4761=""),"",K4761)</f>
        <v>1023.8</v>
      </c>
      <c r="Q4762" s="56" t="n">
        <f aca="false">IF(OR(F4762&lt;&gt;0,AND(I4762&lt;&gt;"",E4762&lt;I4762)),1,0)</f>
        <v>0</v>
      </c>
      <c r="R4762" s="56" t="n">
        <f aca="false">IF(AND(D4762&gt;1,Q4762=0,ISNUMBER(O4762),ISNUMBER(P4762)),IF(Q4761=0,1,0),0)</f>
        <v>1</v>
      </c>
      <c r="S4762" s="56" t="n">
        <f aca="false">R4762*(B4762&gt;=Train_Start)*(B4762&lt;=Train_End)</f>
        <v>0</v>
      </c>
      <c r="T4762" s="84" t="n">
        <f aca="false">IF(AND(ISNUMBER(O4762),ISNUMBER(P4762)),Coef_A+Coef_B1*O4762+Coef_B2*P4762,"")</f>
        <v>20.0167199739973</v>
      </c>
      <c r="U4762" s="84" t="n">
        <f aca="false">IF(AND(R4762=1,ISNUMBER(T4762)),E4762-T4762,"")</f>
        <v>1.68328002600267</v>
      </c>
      <c r="V4762" s="84" t="n">
        <f aca="false">IF(ISNUMBER(T4762),T4762,-99)</f>
        <v>20.0167199739973</v>
      </c>
      <c r="W4762" s="84" t="n">
        <f aca="false">IF(ISNUMBER(U4762),ABS(U4762),"")</f>
        <v>1.68328002600267</v>
      </c>
    </row>
    <row r="4763" customFormat="false" ht="15" hidden="false" customHeight="false" outlineLevel="0" collapsed="false">
      <c r="A4763" s="57" t="n">
        <v>40317</v>
      </c>
      <c r="B4763" s="56" t="n">
        <v>2010</v>
      </c>
      <c r="C4763" s="56" t="n">
        <v>5</v>
      </c>
      <c r="D4763" s="56" t="n">
        <v>19</v>
      </c>
      <c r="E4763" s="56" t="n">
        <v>22.7</v>
      </c>
      <c r="F4763" s="56" t="n">
        <v>0</v>
      </c>
      <c r="G4763" s="56" t="n">
        <v>7.2</v>
      </c>
      <c r="H4763" s="56" t="n">
        <v>0</v>
      </c>
      <c r="I4763" s="56" t="n">
        <v>14.5</v>
      </c>
      <c r="J4763" s="56" t="n">
        <v>0</v>
      </c>
      <c r="K4763" s="56" t="n">
        <v>1029.6</v>
      </c>
      <c r="L4763" s="56" t="n">
        <v>0</v>
      </c>
      <c r="M4763" s="56" t="n">
        <v>66</v>
      </c>
      <c r="N4763" s="56" t="n">
        <v>6.3</v>
      </c>
      <c r="O4763" s="56" t="n">
        <f aca="false">IF(D4763=1,"",E4762)</f>
        <v>21.7</v>
      </c>
      <c r="P4763" s="56" t="n">
        <f aca="false">IF(OR(D4763=1,K4762=""),"",K4762)</f>
        <v>1028.5</v>
      </c>
      <c r="Q4763" s="56" t="n">
        <f aca="false">IF(OR(F4763&lt;&gt;0,AND(I4763&lt;&gt;"",E4763&lt;I4763)),1,0)</f>
        <v>0</v>
      </c>
      <c r="R4763" s="56" t="n">
        <f aca="false">IF(AND(D4763&gt;1,Q4763=0,ISNUMBER(O4763),ISNUMBER(P4763)),IF(Q4762=0,1,0),0)</f>
        <v>1</v>
      </c>
      <c r="S4763" s="56" t="n">
        <f aca="false">R4763*(B4763&gt;=Train_Start)*(B4763&lt;=Train_End)</f>
        <v>0</v>
      </c>
      <c r="T4763" s="84" t="n">
        <f aca="false">IF(AND(ISNUMBER(O4763),ISNUMBER(P4763)),Coef_A+Coef_B1*O4763+Coef_B2*P4763,"")</f>
        <v>22.1305725420795</v>
      </c>
      <c r="U4763" s="84" t="n">
        <f aca="false">IF(AND(R4763=1,ISNUMBER(T4763)),E4763-T4763,"")</f>
        <v>0.569427457920543</v>
      </c>
      <c r="V4763" s="84" t="n">
        <f aca="false">IF(ISNUMBER(T4763),T4763,-99)</f>
        <v>22.1305725420795</v>
      </c>
      <c r="W4763" s="84" t="n">
        <f aca="false">IF(ISNUMBER(U4763),ABS(U4763),"")</f>
        <v>0.569427457920543</v>
      </c>
    </row>
    <row r="4764" customFormat="false" ht="15" hidden="false" customHeight="false" outlineLevel="0" collapsed="false">
      <c r="A4764" s="57" t="n">
        <v>40318</v>
      </c>
      <c r="B4764" s="56" t="n">
        <v>2010</v>
      </c>
      <c r="C4764" s="56" t="n">
        <v>5</v>
      </c>
      <c r="D4764" s="56" t="n">
        <v>20</v>
      </c>
      <c r="E4764" s="56" t="n">
        <v>25.2</v>
      </c>
      <c r="F4764" s="56" t="n">
        <v>0</v>
      </c>
      <c r="G4764" s="56" t="n">
        <v>10.4</v>
      </c>
      <c r="H4764" s="56" t="n">
        <v>0</v>
      </c>
      <c r="I4764" s="56" t="n">
        <v>16.6</v>
      </c>
      <c r="J4764" s="56" t="n">
        <v>0</v>
      </c>
      <c r="K4764" s="56" t="n">
        <v>1031.8</v>
      </c>
      <c r="L4764" s="56" t="n">
        <v>0</v>
      </c>
      <c r="M4764" s="56" t="n">
        <v>74</v>
      </c>
      <c r="N4764" s="56" t="n">
        <v>2.8</v>
      </c>
      <c r="O4764" s="56" t="n">
        <f aca="false">IF(D4764=1,"",E4763)</f>
        <v>22.7</v>
      </c>
      <c r="P4764" s="56" t="n">
        <f aca="false">IF(OR(D4764=1,K4763=""),"",K4763)</f>
        <v>1029.6</v>
      </c>
      <c r="Q4764" s="56" t="n">
        <f aca="false">IF(OR(F4764&lt;&gt;0,AND(I4764&lt;&gt;"",E4764&lt;I4764)),1,0)</f>
        <v>0</v>
      </c>
      <c r="R4764" s="56" t="n">
        <f aca="false">IF(AND(D4764&gt;1,Q4764=0,ISNUMBER(O4764),ISNUMBER(P4764)),IF(Q4763=0,1,0),0)</f>
        <v>1</v>
      </c>
      <c r="S4764" s="56" t="n">
        <f aca="false">R4764*(B4764&gt;=Train_Start)*(B4764&lt;=Train_End)</f>
        <v>0</v>
      </c>
      <c r="T4764" s="84" t="n">
        <f aca="false">IF(AND(ISNUMBER(O4764),ISNUMBER(P4764)),Coef_A+Coef_B1*O4764+Coef_B2*P4764,"")</f>
        <v>22.9844186192195</v>
      </c>
      <c r="U4764" s="84" t="n">
        <f aca="false">IF(AND(R4764=1,ISNUMBER(T4764)),E4764-T4764,"")</f>
        <v>2.2155813807805</v>
      </c>
      <c r="V4764" s="84" t="n">
        <f aca="false">IF(ISNUMBER(T4764),T4764,-99)</f>
        <v>22.9844186192195</v>
      </c>
      <c r="W4764" s="84" t="n">
        <f aca="false">IF(ISNUMBER(U4764),ABS(U4764),"")</f>
        <v>2.2155813807805</v>
      </c>
    </row>
    <row r="4765" customFormat="false" ht="15" hidden="false" customHeight="false" outlineLevel="0" collapsed="false">
      <c r="A4765" s="57" t="n">
        <v>40319</v>
      </c>
      <c r="B4765" s="56" t="n">
        <v>2010</v>
      </c>
      <c r="C4765" s="56" t="n">
        <v>5</v>
      </c>
      <c r="D4765" s="56" t="n">
        <v>21</v>
      </c>
      <c r="E4765" s="56" t="n">
        <v>25</v>
      </c>
      <c r="F4765" s="56" t="n">
        <v>0</v>
      </c>
      <c r="G4765" s="56" t="n">
        <v>13.9</v>
      </c>
      <c r="H4765" s="56" t="n">
        <v>0</v>
      </c>
      <c r="I4765" s="56" t="n">
        <v>19.6</v>
      </c>
      <c r="J4765" s="56" t="n">
        <v>0</v>
      </c>
      <c r="K4765" s="56" t="n">
        <v>1030.9</v>
      </c>
      <c r="L4765" s="56" t="n">
        <v>0</v>
      </c>
      <c r="M4765" s="56" t="n">
        <v>64</v>
      </c>
      <c r="N4765" s="56" t="n">
        <v>9.6</v>
      </c>
      <c r="O4765" s="56" t="n">
        <f aca="false">IF(D4765=1,"",E4764)</f>
        <v>25.2</v>
      </c>
      <c r="P4765" s="56" t="n">
        <f aca="false">IF(OR(D4765=1,K4764=""),"",K4764)</f>
        <v>1031.8</v>
      </c>
      <c r="Q4765" s="56" t="n">
        <f aca="false">IF(OR(F4765&lt;&gt;0,AND(I4765&lt;&gt;"",E4765&lt;I4765)),1,0)</f>
        <v>0</v>
      </c>
      <c r="R4765" s="56" t="n">
        <f aca="false">IF(AND(D4765&gt;1,Q4765=0,ISNUMBER(O4765),ISNUMBER(P4765)),IF(Q4764=0,1,0),0)</f>
        <v>1</v>
      </c>
      <c r="S4765" s="56" t="n">
        <f aca="false">R4765*(B4765&gt;=Train_Start)*(B4765&lt;=Train_End)</f>
        <v>0</v>
      </c>
      <c r="T4765" s="84" t="n">
        <f aca="false">IF(AND(ISNUMBER(O4765),ISNUMBER(P4765)),Coef_A+Coef_B1*O4765+Coef_B2*P4765,"")</f>
        <v>25.1017803700209</v>
      </c>
      <c r="U4765" s="84" t="n">
        <f aca="false">IF(AND(R4765=1,ISNUMBER(T4765)),E4765-T4765,"")</f>
        <v>-0.101780370020926</v>
      </c>
      <c r="V4765" s="84" t="n">
        <f aca="false">IF(ISNUMBER(T4765),T4765,-99)</f>
        <v>25.1017803700209</v>
      </c>
      <c r="W4765" s="84" t="n">
        <f aca="false">IF(ISNUMBER(U4765),ABS(U4765),"")</f>
        <v>0.101780370020926</v>
      </c>
    </row>
    <row r="4766" customFormat="false" ht="15" hidden="false" customHeight="false" outlineLevel="0" collapsed="false">
      <c r="A4766" s="57" t="n">
        <v>40320</v>
      </c>
      <c r="B4766" s="56" t="n">
        <v>2010</v>
      </c>
      <c r="C4766" s="56" t="n">
        <v>5</v>
      </c>
      <c r="D4766" s="56" t="n">
        <v>22</v>
      </c>
      <c r="E4766" s="56" t="n">
        <v>28.1</v>
      </c>
      <c r="F4766" s="56" t="n">
        <v>0</v>
      </c>
      <c r="G4766" s="56" t="n">
        <v>11.9</v>
      </c>
      <c r="H4766" s="56" t="n">
        <v>0</v>
      </c>
      <c r="I4766" s="56" t="n">
        <v>18.5</v>
      </c>
      <c r="J4766" s="56" t="n">
        <v>0</v>
      </c>
      <c r="K4766" s="56" t="n">
        <v>1029.2</v>
      </c>
      <c r="L4766" s="56" t="n">
        <v>0</v>
      </c>
      <c r="M4766" s="56" t="n">
        <v>63</v>
      </c>
      <c r="N4766" s="56" t="n">
        <v>14.1</v>
      </c>
      <c r="O4766" s="56" t="n">
        <f aca="false">IF(D4766=1,"",E4765)</f>
        <v>25</v>
      </c>
      <c r="P4766" s="56" t="n">
        <f aca="false">IF(OR(D4766=1,K4765=""),"",K4765)</f>
        <v>1030.9</v>
      </c>
      <c r="Q4766" s="56" t="n">
        <f aca="false">IF(OR(F4766&lt;&gt;0,AND(I4766&lt;&gt;"",E4766&lt;I4766)),1,0)</f>
        <v>0</v>
      </c>
      <c r="R4766" s="56" t="n">
        <f aca="false">IF(AND(D4766&gt;1,Q4766=0,ISNUMBER(O4766),ISNUMBER(P4766)),IF(Q4765=0,1,0),0)</f>
        <v>1</v>
      </c>
      <c r="S4766" s="56" t="n">
        <f aca="false">R4766*(B4766&gt;=Train_Start)*(B4766&lt;=Train_End)</f>
        <v>0</v>
      </c>
      <c r="T4766" s="84" t="n">
        <f aca="false">IF(AND(ISNUMBER(O4766),ISNUMBER(P4766)),Coef_A+Coef_B1*O4766+Coef_B2*P4766,"")</f>
        <v>24.9096796262418</v>
      </c>
      <c r="U4766" s="84" t="n">
        <f aca="false">IF(AND(R4766=1,ISNUMBER(T4766)),E4766-T4766,"")</f>
        <v>3.1903203737582</v>
      </c>
      <c r="V4766" s="84" t="n">
        <f aca="false">IF(ISNUMBER(T4766),T4766,-99)</f>
        <v>24.9096796262418</v>
      </c>
      <c r="W4766" s="84" t="n">
        <f aca="false">IF(ISNUMBER(U4766),ABS(U4766),"")</f>
        <v>3.1903203737582</v>
      </c>
    </row>
    <row r="4767" customFormat="false" ht="15" hidden="false" customHeight="false" outlineLevel="0" collapsed="false">
      <c r="A4767" s="57" t="n">
        <v>40321</v>
      </c>
      <c r="B4767" s="56" t="n">
        <v>2010</v>
      </c>
      <c r="C4767" s="56" t="n">
        <v>5</v>
      </c>
      <c r="D4767" s="56" t="n">
        <v>23</v>
      </c>
      <c r="E4767" s="56" t="n">
        <v>28.8</v>
      </c>
      <c r="F4767" s="56" t="n">
        <v>0</v>
      </c>
      <c r="G4767" s="56" t="n">
        <v>11.6</v>
      </c>
      <c r="H4767" s="56" t="n">
        <v>0</v>
      </c>
      <c r="I4767" s="56" t="n">
        <v>19.9</v>
      </c>
      <c r="J4767" s="56" t="n">
        <v>0</v>
      </c>
      <c r="K4767" s="56" t="n">
        <v>1023.7</v>
      </c>
      <c r="L4767" s="56" t="n">
        <v>0</v>
      </c>
      <c r="M4767" s="56" t="n">
        <v>57</v>
      </c>
      <c r="N4767" s="56" t="n">
        <v>13.6</v>
      </c>
      <c r="O4767" s="56" t="n">
        <f aca="false">IF(D4767=1,"",E4766)</f>
        <v>28.1</v>
      </c>
      <c r="P4767" s="56" t="n">
        <f aca="false">IF(OR(D4767=1,K4766=""),"",K4766)</f>
        <v>1029.2</v>
      </c>
      <c r="Q4767" s="56" t="n">
        <f aca="false">IF(OR(F4767&lt;&gt;0,AND(I4767&lt;&gt;"",E4767&lt;I4767)),1,0)</f>
        <v>0</v>
      </c>
      <c r="R4767" s="56" t="n">
        <f aca="false">IF(AND(D4767&gt;1,Q4767=0,ISNUMBER(O4767),ISNUMBER(P4767)),IF(Q4766=0,1,0),0)</f>
        <v>1</v>
      </c>
      <c r="S4767" s="56" t="n">
        <f aca="false">R4767*(B4767&gt;=Train_Start)*(B4767&lt;=Train_End)</f>
        <v>0</v>
      </c>
      <c r="T4767" s="84" t="n">
        <f aca="false">IF(AND(ISNUMBER(O4767),ISNUMBER(P4767)),Coef_A+Coef_B1*O4767+Coef_B2*P4767,"")</f>
        <v>27.3963023037963</v>
      </c>
      <c r="U4767" s="84" t="n">
        <f aca="false">IF(AND(R4767=1,ISNUMBER(T4767)),E4767-T4767,"")</f>
        <v>1.40369769620374</v>
      </c>
      <c r="V4767" s="84" t="n">
        <f aca="false">IF(ISNUMBER(T4767),T4767,-99)</f>
        <v>27.3963023037963</v>
      </c>
      <c r="W4767" s="84" t="n">
        <f aca="false">IF(ISNUMBER(U4767),ABS(U4767),"")</f>
        <v>1.40369769620374</v>
      </c>
    </row>
    <row r="4768" customFormat="false" ht="15" hidden="false" customHeight="false" outlineLevel="0" collapsed="false">
      <c r="A4768" s="57" t="n">
        <v>40322</v>
      </c>
      <c r="B4768" s="56" t="n">
        <v>2010</v>
      </c>
      <c r="C4768" s="56" t="n">
        <v>5</v>
      </c>
      <c r="D4768" s="56" t="n">
        <v>24</v>
      </c>
      <c r="E4768" s="56" t="n">
        <v>20.7</v>
      </c>
      <c r="F4768" s="56" t="n">
        <v>1</v>
      </c>
      <c r="G4768" s="56" t="n">
        <v>14.5</v>
      </c>
      <c r="H4768" s="56" t="n">
        <v>0</v>
      </c>
      <c r="I4768" s="56" t="n">
        <v>21.7</v>
      </c>
      <c r="J4768" s="56" t="n">
        <v>1</v>
      </c>
      <c r="K4768" s="56" t="n">
        <v>1014.4</v>
      </c>
      <c r="L4768" s="56" t="n">
        <v>0</v>
      </c>
      <c r="M4768" s="56" t="n">
        <v>49</v>
      </c>
      <c r="N4768" s="56" t="n">
        <v>14.1</v>
      </c>
      <c r="O4768" s="56" t="n">
        <f aca="false">IF(D4768=1,"",E4767)</f>
        <v>28.8</v>
      </c>
      <c r="P4768" s="56" t="n">
        <f aca="false">IF(OR(D4768=1,K4767=""),"",K4767)</f>
        <v>1023.7</v>
      </c>
      <c r="Q4768" s="56" t="n">
        <f aca="false">IF(OR(F4768&lt;&gt;0,AND(I4768&lt;&gt;"",E4768&lt;I4768)),1,0)</f>
        <v>1</v>
      </c>
      <c r="R4768" s="56" t="n">
        <f aca="false">IF(AND(D4768&gt;1,Q4768=0,ISNUMBER(O4768),ISNUMBER(P4768)),IF(Q4767=0,1,0),0)</f>
        <v>0</v>
      </c>
      <c r="S4768" s="56" t="n">
        <f aca="false">R4768*(B4768&gt;=Train_Start)*(B4768&lt;=Train_End)</f>
        <v>0</v>
      </c>
      <c r="T4768" s="84" t="n">
        <f aca="false">IF(AND(ISNUMBER(O4768),ISNUMBER(P4768)),Coef_A+Coef_B1*O4768+Coef_B2*P4768,"")</f>
        <v>27.7973053184392</v>
      </c>
      <c r="U4768" s="84" t="str">
        <f aca="false">IF(AND(R4768=1,ISNUMBER(T4768)),E4768-T4768,"")</f>
        <v/>
      </c>
      <c r="V4768" s="84" t="n">
        <f aca="false">IF(ISNUMBER(T4768),T4768,-99)</f>
        <v>27.7973053184392</v>
      </c>
      <c r="W4768" s="84" t="str">
        <f aca="false">IF(ISNUMBER(U4768),ABS(U4768),"")</f>
        <v/>
      </c>
    </row>
    <row r="4769" customFormat="false" ht="15" hidden="false" customHeight="false" outlineLevel="0" collapsed="false">
      <c r="A4769" s="57" t="n">
        <v>40323</v>
      </c>
      <c r="B4769" s="56" t="n">
        <v>2010</v>
      </c>
      <c r="C4769" s="56" t="n">
        <v>5</v>
      </c>
      <c r="D4769" s="56" t="n">
        <v>25</v>
      </c>
      <c r="E4769" s="56" t="n">
        <v>17.4</v>
      </c>
      <c r="F4769" s="56" t="n">
        <v>0</v>
      </c>
      <c r="G4769" s="56" t="n">
        <v>12</v>
      </c>
      <c r="H4769" s="56" t="n">
        <v>0</v>
      </c>
      <c r="I4769" s="56" t="n">
        <v>16.4</v>
      </c>
      <c r="J4769" s="56" t="n">
        <v>0</v>
      </c>
      <c r="K4769" s="56" t="n">
        <v>1012.1</v>
      </c>
      <c r="L4769" s="56" t="n">
        <v>0</v>
      </c>
      <c r="M4769" s="56" t="n">
        <v>62</v>
      </c>
      <c r="N4769" s="56" t="n">
        <v>10.6</v>
      </c>
      <c r="O4769" s="56" t="n">
        <f aca="false">IF(D4769=1,"",E4768)</f>
        <v>20.7</v>
      </c>
      <c r="P4769" s="56" t="n">
        <f aca="false">IF(OR(D4769=1,K4768=""),"",K4768)</f>
        <v>1014.4</v>
      </c>
      <c r="Q4769" s="56" t="n">
        <f aca="false">IF(OR(F4769&lt;&gt;0,AND(I4769&lt;&gt;"",E4769&lt;I4769)),1,0)</f>
        <v>0</v>
      </c>
      <c r="R4769" s="56" t="n">
        <f aca="false">IF(AND(D4769&gt;1,Q4769=0,ISNUMBER(O4769),ISNUMBER(P4769)),IF(Q4768=0,1,0),0)</f>
        <v>0</v>
      </c>
      <c r="S4769" s="56" t="n">
        <f aca="false">R4769*(B4769&gt;=Train_Start)*(B4769&lt;=Train_End)</f>
        <v>0</v>
      </c>
      <c r="T4769" s="84" t="n">
        <f aca="false">IF(AND(ISNUMBER(O4769),ISNUMBER(P4769)),Coef_A+Coef_B1*O4769+Coef_B2*P4769,"")</f>
        <v>20.8689178346975</v>
      </c>
      <c r="U4769" s="84" t="str">
        <f aca="false">IF(AND(R4769=1,ISNUMBER(T4769)),E4769-T4769,"")</f>
        <v/>
      </c>
      <c r="V4769" s="84" t="n">
        <f aca="false">IF(ISNUMBER(T4769),T4769,-99)</f>
        <v>20.8689178346975</v>
      </c>
      <c r="W4769" s="84" t="str">
        <f aca="false">IF(ISNUMBER(U4769),ABS(U4769),"")</f>
        <v/>
      </c>
    </row>
    <row r="4770" customFormat="false" ht="15" hidden="false" customHeight="false" outlineLevel="0" collapsed="false">
      <c r="A4770" s="57" t="n">
        <v>40324</v>
      </c>
      <c r="B4770" s="56" t="n">
        <v>2010</v>
      </c>
      <c r="C4770" s="56" t="n">
        <v>5</v>
      </c>
      <c r="D4770" s="56" t="n">
        <v>26</v>
      </c>
      <c r="E4770" s="56" t="n">
        <v>18.7</v>
      </c>
      <c r="F4770" s="56" t="n">
        <v>0</v>
      </c>
      <c r="G4770" s="56" t="n">
        <v>9.5</v>
      </c>
      <c r="H4770" s="56" t="n">
        <v>0</v>
      </c>
      <c r="I4770" s="56" t="n">
        <v>13.5</v>
      </c>
      <c r="J4770" s="56" t="n">
        <v>0</v>
      </c>
      <c r="K4770" s="56" t="n">
        <v>1009.8</v>
      </c>
      <c r="L4770" s="56" t="n">
        <v>0</v>
      </c>
      <c r="M4770" s="56" t="n">
        <v>60</v>
      </c>
      <c r="N4770" s="56" t="n">
        <v>3.2</v>
      </c>
      <c r="O4770" s="56" t="n">
        <f aca="false">IF(D4770=1,"",E4769)</f>
        <v>17.4</v>
      </c>
      <c r="P4770" s="56" t="n">
        <f aca="false">IF(OR(D4770=1,K4769=""),"",K4769)</f>
        <v>1012.1</v>
      </c>
      <c r="Q4770" s="56" t="n">
        <f aca="false">IF(OR(F4770&lt;&gt;0,AND(I4770&lt;&gt;"",E4770&lt;I4770)),1,0)</f>
        <v>0</v>
      </c>
      <c r="R4770" s="56" t="n">
        <f aca="false">IF(AND(D4770&gt;1,Q4770=0,ISNUMBER(O4770),ISNUMBER(P4770)),IF(Q4769=0,1,0),0)</f>
        <v>1</v>
      </c>
      <c r="S4770" s="56" t="n">
        <f aca="false">R4770*(B4770&gt;=Train_Start)*(B4770&lt;=Train_End)</f>
        <v>0</v>
      </c>
      <c r="T4770" s="84" t="n">
        <f aca="false">IF(AND(ISNUMBER(O4770),ISNUMBER(P4770)),Coef_A+Coef_B1*O4770+Coef_B2*P4770,"")</f>
        <v>18.0929477399986</v>
      </c>
      <c r="U4770" s="84" t="n">
        <f aca="false">IF(AND(R4770=1,ISNUMBER(T4770)),E4770-T4770,"")</f>
        <v>0.607052260001396</v>
      </c>
      <c r="V4770" s="84" t="n">
        <f aca="false">IF(ISNUMBER(T4770),T4770,-99)</f>
        <v>18.0929477399986</v>
      </c>
      <c r="W4770" s="84" t="n">
        <f aca="false">IF(ISNUMBER(U4770),ABS(U4770),"")</f>
        <v>0.607052260001396</v>
      </c>
    </row>
    <row r="4771" customFormat="false" ht="15" hidden="false" customHeight="false" outlineLevel="0" collapsed="false">
      <c r="A4771" s="57" t="n">
        <v>40325</v>
      </c>
      <c r="B4771" s="56" t="n">
        <v>2010</v>
      </c>
      <c r="C4771" s="56" t="n">
        <v>5</v>
      </c>
      <c r="D4771" s="56" t="n">
        <v>27</v>
      </c>
      <c r="E4771" s="56" t="n">
        <v>19.7</v>
      </c>
      <c r="F4771" s="56" t="n">
        <v>0</v>
      </c>
      <c r="G4771" s="56" t="n">
        <v>9.5</v>
      </c>
      <c r="H4771" s="56" t="n">
        <v>0</v>
      </c>
      <c r="I4771" s="56" t="n">
        <v>14.1</v>
      </c>
      <c r="J4771" s="56" t="n">
        <v>0</v>
      </c>
      <c r="K4771" s="56" t="n">
        <v>1010</v>
      </c>
      <c r="L4771" s="56" t="n">
        <v>0</v>
      </c>
      <c r="M4771" s="56" t="n">
        <v>62</v>
      </c>
      <c r="N4771" s="56" t="n">
        <v>5.9</v>
      </c>
      <c r="O4771" s="56" t="n">
        <f aca="false">IF(D4771=1,"",E4770)</f>
        <v>18.7</v>
      </c>
      <c r="P4771" s="56" t="n">
        <f aca="false">IF(OR(D4771=1,K4770=""),"",K4770)</f>
        <v>1009.8</v>
      </c>
      <c r="Q4771" s="56" t="n">
        <f aca="false">IF(OR(F4771&lt;&gt;0,AND(I4771&lt;&gt;"",E4771&lt;I4771)),1,0)</f>
        <v>0</v>
      </c>
      <c r="R4771" s="56" t="n">
        <f aca="false">IF(AND(D4771&gt;1,Q4771=0,ISNUMBER(O4771),ISNUMBER(P4771)),IF(Q4770=0,1,0),0)</f>
        <v>1</v>
      </c>
      <c r="S4771" s="56" t="n">
        <f aca="false">R4771*(B4771&gt;=Train_Start)*(B4771&lt;=Train_End)</f>
        <v>0</v>
      </c>
      <c r="T4771" s="84" t="n">
        <f aca="false">IF(AND(ISNUMBER(O4771),ISNUMBER(P4771)),Coef_A+Coef_B1*O4771+Coef_B2*P4771,"")</f>
        <v>19.0859379332959</v>
      </c>
      <c r="U4771" s="84" t="n">
        <f aca="false">IF(AND(R4771=1,ISNUMBER(T4771)),E4771-T4771,"")</f>
        <v>0.614062066704118</v>
      </c>
      <c r="V4771" s="84" t="n">
        <f aca="false">IF(ISNUMBER(T4771),T4771,-99)</f>
        <v>19.0859379332959</v>
      </c>
      <c r="W4771" s="84" t="n">
        <f aca="false">IF(ISNUMBER(U4771),ABS(U4771),"")</f>
        <v>0.614062066704118</v>
      </c>
    </row>
    <row r="4772" customFormat="false" ht="15" hidden="false" customHeight="false" outlineLevel="0" collapsed="false">
      <c r="A4772" s="57" t="n">
        <v>40326</v>
      </c>
      <c r="B4772" s="56" t="n">
        <v>2010</v>
      </c>
      <c r="C4772" s="56" t="n">
        <v>5</v>
      </c>
      <c r="D4772" s="56" t="n">
        <v>28</v>
      </c>
      <c r="E4772" s="56" t="n">
        <v>16.5</v>
      </c>
      <c r="F4772" s="56" t="n">
        <v>0</v>
      </c>
      <c r="G4772" s="56" t="n">
        <v>7.6</v>
      </c>
      <c r="H4772" s="56" t="n">
        <v>0</v>
      </c>
      <c r="I4772" s="56" t="n">
        <v>13.7</v>
      </c>
      <c r="J4772" s="56" t="n">
        <v>0</v>
      </c>
      <c r="K4772" s="56" t="n">
        <v>1014.3</v>
      </c>
      <c r="L4772" s="56" t="n">
        <v>0</v>
      </c>
      <c r="M4772" s="56" t="n">
        <v>58</v>
      </c>
      <c r="N4772" s="56" t="n">
        <v>9.9</v>
      </c>
      <c r="O4772" s="56" t="n">
        <f aca="false">IF(D4772=1,"",E4771)</f>
        <v>19.7</v>
      </c>
      <c r="P4772" s="56" t="n">
        <f aca="false">IF(OR(D4772=1,K4771=""),"",K4771)</f>
        <v>1010</v>
      </c>
      <c r="Q4772" s="56" t="n">
        <f aca="false">IF(OR(F4772&lt;&gt;0,AND(I4772&lt;&gt;"",E4772&lt;I4772)),1,0)</f>
        <v>0</v>
      </c>
      <c r="R4772" s="56" t="n">
        <f aca="false">IF(AND(D4772&gt;1,Q4772=0,ISNUMBER(O4772),ISNUMBER(P4772)),IF(Q4771=0,1,0),0)</f>
        <v>1</v>
      </c>
      <c r="S4772" s="56" t="n">
        <f aca="false">R4772*(B4772&gt;=Train_Start)*(B4772&lt;=Train_End)</f>
        <v>0</v>
      </c>
      <c r="T4772" s="84" t="n">
        <f aca="false">IF(AND(ISNUMBER(O4772),ISNUMBER(P4772)),Coef_A+Coef_B1*O4772+Coef_B2*P4772,"")</f>
        <v>19.9115511052653</v>
      </c>
      <c r="U4772" s="84" t="n">
        <f aca="false">IF(AND(R4772=1,ISNUMBER(T4772)),E4772-T4772,"")</f>
        <v>-3.41155110526534</v>
      </c>
      <c r="V4772" s="84" t="n">
        <f aca="false">IF(ISNUMBER(T4772),T4772,-99)</f>
        <v>19.9115511052653</v>
      </c>
      <c r="W4772" s="84" t="n">
        <f aca="false">IF(ISNUMBER(U4772),ABS(U4772),"")</f>
        <v>3.41155110526534</v>
      </c>
    </row>
    <row r="4773" customFormat="false" ht="15" hidden="false" customHeight="false" outlineLevel="0" collapsed="false">
      <c r="A4773" s="57" t="n">
        <v>40327</v>
      </c>
      <c r="B4773" s="56" t="n">
        <v>2010</v>
      </c>
      <c r="C4773" s="56" t="n">
        <v>5</v>
      </c>
      <c r="D4773" s="56" t="n">
        <v>29</v>
      </c>
      <c r="E4773" s="56" t="n">
        <v>20.3</v>
      </c>
      <c r="F4773" s="56" t="n">
        <v>0</v>
      </c>
      <c r="G4773" s="56" t="n">
        <v>10.5</v>
      </c>
      <c r="H4773" s="56" t="n">
        <v>0</v>
      </c>
      <c r="I4773" s="56" t="n">
        <v>13.5</v>
      </c>
      <c r="J4773" s="56" t="n">
        <v>0</v>
      </c>
      <c r="K4773" s="56" t="n">
        <v>1010.5</v>
      </c>
      <c r="L4773" s="56" t="n">
        <v>0</v>
      </c>
      <c r="M4773" s="56" t="n">
        <v>82</v>
      </c>
      <c r="N4773" s="56" t="n">
        <v>0.1</v>
      </c>
      <c r="O4773" s="56" t="n">
        <f aca="false">IF(D4773=1,"",E4772)</f>
        <v>16.5</v>
      </c>
      <c r="P4773" s="56" t="n">
        <f aca="false">IF(OR(D4773=1,K4772=""),"",K4772)</f>
        <v>1014.3</v>
      </c>
      <c r="Q4773" s="56" t="n">
        <f aca="false">IF(OR(F4773&lt;&gt;0,AND(I4773&lt;&gt;"",E4773&lt;I4773)),1,0)</f>
        <v>0</v>
      </c>
      <c r="R4773" s="56" t="n">
        <f aca="false">IF(AND(D4773&gt;1,Q4773=0,ISNUMBER(O4773),ISNUMBER(P4773)),IF(Q4772=0,1,0),0)</f>
        <v>1</v>
      </c>
      <c r="S4773" s="56" t="n">
        <f aca="false">R4773*(B4773&gt;=Train_Start)*(B4773&lt;=Train_End)</f>
        <v>0</v>
      </c>
      <c r="T4773" s="84" t="n">
        <f aca="false">IF(AND(ISNUMBER(O4773),ISNUMBER(P4773)),Coef_A+Coef_B1*O4773+Coef_B2*P4773,"")</f>
        <v>17.424556234455</v>
      </c>
      <c r="U4773" s="84" t="n">
        <f aca="false">IF(AND(R4773=1,ISNUMBER(T4773)),E4773-T4773,"")</f>
        <v>2.87544376554501</v>
      </c>
      <c r="V4773" s="84" t="n">
        <f aca="false">IF(ISNUMBER(T4773),T4773,-99)</f>
        <v>17.424556234455</v>
      </c>
      <c r="W4773" s="84" t="n">
        <f aca="false">IF(ISNUMBER(U4773),ABS(U4773),"")</f>
        <v>2.87544376554501</v>
      </c>
    </row>
    <row r="4774" customFormat="false" ht="15" hidden="false" customHeight="false" outlineLevel="0" collapsed="false">
      <c r="A4774" s="57" t="n">
        <v>40328</v>
      </c>
      <c r="B4774" s="56" t="n">
        <v>2010</v>
      </c>
      <c r="C4774" s="56" t="n">
        <v>5</v>
      </c>
      <c r="D4774" s="56" t="n">
        <v>30</v>
      </c>
      <c r="E4774" s="56" t="n">
        <v>16.5</v>
      </c>
      <c r="F4774" s="56" t="n">
        <v>0</v>
      </c>
      <c r="G4774" s="56" t="n">
        <v>12.5</v>
      </c>
      <c r="H4774" s="56" t="n">
        <v>0</v>
      </c>
      <c r="I4774" s="56" t="n">
        <v>16.4</v>
      </c>
      <c r="J4774" s="56" t="n">
        <v>0</v>
      </c>
      <c r="K4774" s="56" t="n">
        <v>1011.2</v>
      </c>
      <c r="L4774" s="56" t="n">
        <v>0</v>
      </c>
      <c r="M4774" s="56" t="n">
        <v>58</v>
      </c>
      <c r="N4774" s="56" t="n">
        <v>8.6</v>
      </c>
      <c r="O4774" s="56" t="n">
        <f aca="false">IF(D4774=1,"",E4773)</f>
        <v>20.3</v>
      </c>
      <c r="P4774" s="56" t="n">
        <f aca="false">IF(OR(D4774=1,K4773=""),"",K4773)</f>
        <v>1010.5</v>
      </c>
      <c r="Q4774" s="56" t="n">
        <f aca="false">IF(OR(F4774&lt;&gt;0,AND(I4774&lt;&gt;"",E4774&lt;I4774)),1,0)</f>
        <v>0</v>
      </c>
      <c r="R4774" s="56" t="n">
        <f aca="false">IF(AND(D4774&gt;1,Q4774=0,ISNUMBER(O4774),ISNUMBER(P4774)),IF(Q4773=0,1,0),0)</f>
        <v>1</v>
      </c>
      <c r="S4774" s="56" t="n">
        <f aca="false">R4774*(B4774&gt;=Train_Start)*(B4774&lt;=Train_End)</f>
        <v>0</v>
      </c>
      <c r="T4774" s="84" t="n">
        <f aca="false">IF(AND(ISNUMBER(O4774),ISNUMBER(P4774)),Coef_A+Coef_B1*O4774+Coef_B2*P4774,"")</f>
        <v>20.4188395684079</v>
      </c>
      <c r="U4774" s="84" t="n">
        <f aca="false">IF(AND(R4774=1,ISNUMBER(T4774)),E4774-T4774,"")</f>
        <v>-3.91883956840793</v>
      </c>
      <c r="V4774" s="84" t="n">
        <f aca="false">IF(ISNUMBER(T4774),T4774,-99)</f>
        <v>20.4188395684079</v>
      </c>
      <c r="W4774" s="84" t="n">
        <f aca="false">IF(ISNUMBER(U4774),ABS(U4774),"")</f>
        <v>3.91883956840793</v>
      </c>
    </row>
    <row r="4775" customFormat="false" ht="15" hidden="false" customHeight="false" outlineLevel="0" collapsed="false">
      <c r="A4775" s="57" t="n">
        <v>40329</v>
      </c>
      <c r="B4775" s="56" t="n">
        <v>2010</v>
      </c>
      <c r="C4775" s="56" t="n">
        <v>5</v>
      </c>
      <c r="D4775" s="56" t="n">
        <v>31</v>
      </c>
      <c r="E4775" s="56" t="n">
        <v>15.4</v>
      </c>
      <c r="F4775" s="56" t="n">
        <v>0</v>
      </c>
      <c r="G4775" s="56" t="n">
        <v>10.2</v>
      </c>
      <c r="H4775" s="56" t="n">
        <v>0</v>
      </c>
      <c r="I4775" s="56" t="n">
        <v>13.4</v>
      </c>
      <c r="J4775" s="56" t="n">
        <v>0</v>
      </c>
      <c r="K4775" s="56" t="n">
        <v>1019.7</v>
      </c>
      <c r="L4775" s="56" t="n">
        <v>0</v>
      </c>
      <c r="M4775" s="56" t="n">
        <v>69</v>
      </c>
      <c r="N4775" s="56" t="n">
        <v>0.6</v>
      </c>
      <c r="O4775" s="56" t="n">
        <f aca="false">IF(D4775=1,"",E4774)</f>
        <v>16.5</v>
      </c>
      <c r="P4775" s="56" t="n">
        <f aca="false">IF(OR(D4775=1,K4774=""),"",K4774)</f>
        <v>1011.2</v>
      </c>
      <c r="Q4775" s="56" t="n">
        <f aca="false">IF(OR(F4775&lt;&gt;0,AND(I4775&lt;&gt;"",E4775&lt;I4775)),1,0)</f>
        <v>0</v>
      </c>
      <c r="R4775" s="56" t="n">
        <f aca="false">IF(AND(D4775&gt;1,Q4775=0,ISNUMBER(O4775),ISNUMBER(P4775)),IF(Q4774=0,1,0),0)</f>
        <v>1</v>
      </c>
      <c r="S4775" s="56" t="n">
        <f aca="false">R4775*(B4775&gt;=Train_Start)*(B4775&lt;=Train_End)</f>
        <v>0</v>
      </c>
      <c r="T4775" s="84" t="n">
        <f aca="false">IF(AND(ISNUMBER(O4775),ISNUMBER(P4775)),Coef_A+Coef_B1*O4775+Coef_B2*P4775,"")</f>
        <v>17.3273095610896</v>
      </c>
      <c r="U4775" s="84" t="n">
        <f aca="false">IF(AND(R4775=1,ISNUMBER(T4775)),E4775-T4775,"")</f>
        <v>-1.92730956108962</v>
      </c>
      <c r="V4775" s="84" t="n">
        <f aca="false">IF(ISNUMBER(T4775),T4775,-99)</f>
        <v>17.3273095610896</v>
      </c>
      <c r="W4775" s="84" t="n">
        <f aca="false">IF(ISNUMBER(U4775),ABS(U4775),"")</f>
        <v>1.92730956108962</v>
      </c>
    </row>
    <row r="4776" customFormat="false" ht="15" hidden="false" customHeight="false" outlineLevel="0" collapsed="false">
      <c r="A4776" s="57" t="n">
        <v>40330</v>
      </c>
      <c r="B4776" s="56" t="n">
        <v>2010</v>
      </c>
      <c r="C4776" s="56" t="n">
        <v>6</v>
      </c>
      <c r="D4776" s="56" t="n">
        <v>32</v>
      </c>
      <c r="E4776" s="56" t="n">
        <v>22.6</v>
      </c>
      <c r="F4776" s="56" t="n">
        <v>0</v>
      </c>
      <c r="G4776" s="56" t="n">
        <v>11.7</v>
      </c>
      <c r="H4776" s="56" t="n">
        <v>0</v>
      </c>
      <c r="I4776" s="56" t="n">
        <v>13.6</v>
      </c>
      <c r="J4776" s="56" t="n">
        <v>0</v>
      </c>
      <c r="K4776" s="56" t="n">
        <v>1017</v>
      </c>
      <c r="L4776" s="56" t="n">
        <v>0</v>
      </c>
      <c r="M4776" s="56" t="n">
        <v>86</v>
      </c>
      <c r="N4776" s="56" t="n">
        <v>0</v>
      </c>
      <c r="O4776" s="56" t="n">
        <f aca="false">IF(D4776=1,"",E4775)</f>
        <v>15.4</v>
      </c>
      <c r="P4776" s="56" t="n">
        <f aca="false">IF(OR(D4776=1,K4775=""),"",K4775)</f>
        <v>1019.7</v>
      </c>
      <c r="Q4776" s="56" t="n">
        <f aca="false">IF(OR(F4776&lt;&gt;0,AND(I4776&lt;&gt;"",E4776&lt;I4776)),1,0)</f>
        <v>0</v>
      </c>
      <c r="R4776" s="56" t="n">
        <f aca="false">IF(AND(D4776&gt;1,Q4776=0,ISNUMBER(O4776),ISNUMBER(P4776)),IF(Q4775=0,1,0),0)</f>
        <v>1</v>
      </c>
      <c r="S4776" s="56" t="n">
        <f aca="false">R4776*(B4776&gt;=Train_Start)*(B4776&lt;=Train_End)</f>
        <v>0</v>
      </c>
      <c r="T4776" s="84" t="n">
        <f aca="false">IF(AND(ISNUMBER(O4776),ISNUMBER(P4776)),Coef_A+Coef_B1*O4776+Coef_B2*P4776,"")</f>
        <v>16.6926805531316</v>
      </c>
      <c r="U4776" s="84" t="n">
        <f aca="false">IF(AND(R4776=1,ISNUMBER(T4776)),E4776-T4776,"")</f>
        <v>5.90731944686839</v>
      </c>
      <c r="V4776" s="84" t="n">
        <f aca="false">IF(ISNUMBER(T4776),T4776,-99)</f>
        <v>16.6926805531316</v>
      </c>
      <c r="W4776" s="84" t="n">
        <f aca="false">IF(ISNUMBER(U4776),ABS(U4776),"")</f>
        <v>5.90731944686839</v>
      </c>
    </row>
    <row r="4777" customFormat="false" ht="15" hidden="false" customHeight="false" outlineLevel="0" collapsed="false">
      <c r="A4777" s="57" t="n">
        <v>40331</v>
      </c>
      <c r="B4777" s="56" t="n">
        <v>2010</v>
      </c>
      <c r="C4777" s="56" t="n">
        <v>6</v>
      </c>
      <c r="D4777" s="56" t="n">
        <v>33</v>
      </c>
      <c r="E4777" s="56" t="n">
        <v>23.4</v>
      </c>
      <c r="F4777" s="56" t="n">
        <v>0</v>
      </c>
      <c r="G4777" s="56" t="n">
        <v>10.3</v>
      </c>
      <c r="H4777" s="56" t="n">
        <v>0</v>
      </c>
      <c r="I4777" s="56" t="n">
        <v>16.5</v>
      </c>
      <c r="J4777" s="56" t="n">
        <v>0</v>
      </c>
      <c r="K4777" s="56" t="n">
        <v>1021.8</v>
      </c>
      <c r="L4777" s="56" t="n">
        <v>0</v>
      </c>
      <c r="M4777" s="56" t="n">
        <v>65</v>
      </c>
      <c r="N4777" s="56" t="n">
        <v>12.7</v>
      </c>
      <c r="O4777" s="56" t="n">
        <f aca="false">IF(D4777=1,"",E4776)</f>
        <v>22.6</v>
      </c>
      <c r="P4777" s="56" t="n">
        <f aca="false">IF(OR(D4777=1,K4776=""),"",K4776)</f>
        <v>1017</v>
      </c>
      <c r="Q4777" s="56" t="n">
        <f aca="false">IF(OR(F4777&lt;&gt;0,AND(I4777&lt;&gt;"",E4777&lt;I4777)),1,0)</f>
        <v>0</v>
      </c>
      <c r="R4777" s="56" t="n">
        <f aca="false">IF(AND(D4777&gt;1,Q4777=0,ISNUMBER(O4777),ISNUMBER(P4777)),IF(Q4776=0,1,0),0)</f>
        <v>1</v>
      </c>
      <c r="S4777" s="56" t="n">
        <f aca="false">R4777*(B4777&gt;=Train_Start)*(B4777&lt;=Train_End)</f>
        <v>0</v>
      </c>
      <c r="T4777" s="84" t="n">
        <f aca="false">IF(AND(ISNUMBER(O4777),ISNUMBER(P4777)),Coef_A+Coef_B1*O4777+Coef_B2*P4777,"")</f>
        <v>22.507224027527</v>
      </c>
      <c r="U4777" s="84" t="n">
        <f aca="false">IF(AND(R4777=1,ISNUMBER(T4777)),E4777-T4777,"")</f>
        <v>0.892775972473025</v>
      </c>
      <c r="V4777" s="84" t="n">
        <f aca="false">IF(ISNUMBER(T4777),T4777,-99)</f>
        <v>22.507224027527</v>
      </c>
      <c r="W4777" s="84" t="n">
        <f aca="false">IF(ISNUMBER(U4777),ABS(U4777),"")</f>
        <v>0.892775972473025</v>
      </c>
    </row>
    <row r="4778" customFormat="false" ht="15" hidden="false" customHeight="false" outlineLevel="0" collapsed="false">
      <c r="A4778" s="57" t="n">
        <v>40332</v>
      </c>
      <c r="B4778" s="56" t="n">
        <v>2010</v>
      </c>
      <c r="C4778" s="56" t="n">
        <v>6</v>
      </c>
      <c r="D4778" s="56" t="n">
        <v>34</v>
      </c>
      <c r="E4778" s="56" t="n">
        <v>27.9</v>
      </c>
      <c r="F4778" s="56" t="n">
        <v>0</v>
      </c>
      <c r="G4778" s="56" t="n">
        <v>10.4</v>
      </c>
      <c r="H4778" s="56" t="n">
        <v>0</v>
      </c>
      <c r="I4778" s="56" t="n">
        <v>16.9</v>
      </c>
      <c r="J4778" s="56" t="n">
        <v>0</v>
      </c>
      <c r="K4778" s="56" t="n">
        <v>1022.7</v>
      </c>
      <c r="L4778" s="56" t="n">
        <v>0</v>
      </c>
      <c r="M4778" s="56" t="n">
        <v>49</v>
      </c>
      <c r="N4778" s="56" t="n">
        <v>14.9</v>
      </c>
      <c r="O4778" s="56" t="n">
        <f aca="false">IF(D4778=1,"",E4777)</f>
        <v>23.4</v>
      </c>
      <c r="P4778" s="56" t="n">
        <f aca="false">IF(OR(D4778=1,K4777=""),"",K4777)</f>
        <v>1021.8</v>
      </c>
      <c r="Q4778" s="56" t="n">
        <f aca="false">IF(OR(F4778&lt;&gt;0,AND(I4778&lt;&gt;"",E4778&lt;I4778)),1,0)</f>
        <v>0</v>
      </c>
      <c r="R4778" s="56" t="n">
        <f aca="false">IF(AND(D4778&gt;1,Q4778=0,ISNUMBER(O4778),ISNUMBER(P4778)),IF(Q4777=0,1,0),0)</f>
        <v>1</v>
      </c>
      <c r="S4778" s="56" t="n">
        <f aca="false">R4778*(B4778&gt;=Train_Start)*(B4778&lt;=Train_End)</f>
        <v>0</v>
      </c>
      <c r="T4778" s="84" t="n">
        <f aca="false">IF(AND(ISNUMBER(O4778),ISNUMBER(P4778)),Coef_A+Coef_B1*O4778+Coef_B2*P4778,"")</f>
        <v>23.3132708762042</v>
      </c>
      <c r="U4778" s="84" t="n">
        <f aca="false">IF(AND(R4778=1,ISNUMBER(T4778)),E4778-T4778,"")</f>
        <v>4.58672912379576</v>
      </c>
      <c r="V4778" s="84" t="n">
        <f aca="false">IF(ISNUMBER(T4778),T4778,-99)</f>
        <v>23.3132708762042</v>
      </c>
      <c r="W4778" s="84" t="n">
        <f aca="false">IF(ISNUMBER(U4778),ABS(U4778),"")</f>
        <v>4.58672912379576</v>
      </c>
    </row>
    <row r="4779" customFormat="false" ht="15" hidden="false" customHeight="false" outlineLevel="0" collapsed="false">
      <c r="A4779" s="57" t="n">
        <v>40333</v>
      </c>
      <c r="B4779" s="56" t="n">
        <v>2010</v>
      </c>
      <c r="C4779" s="56" t="n">
        <v>6</v>
      </c>
      <c r="D4779" s="56" t="n">
        <v>35</v>
      </c>
      <c r="E4779" s="56" t="n">
        <v>28</v>
      </c>
      <c r="F4779" s="56" t="n">
        <v>0</v>
      </c>
      <c r="G4779" s="56" t="n">
        <v>10.9</v>
      </c>
      <c r="H4779" s="56" t="n">
        <v>0</v>
      </c>
      <c r="I4779" s="56" t="n">
        <v>19.4</v>
      </c>
      <c r="J4779" s="56" t="n">
        <v>0</v>
      </c>
      <c r="K4779" s="56" t="n">
        <v>1020.2</v>
      </c>
      <c r="L4779" s="56" t="n">
        <v>0</v>
      </c>
      <c r="M4779" s="56" t="n">
        <v>55</v>
      </c>
      <c r="N4779" s="56" t="n">
        <v>12</v>
      </c>
      <c r="O4779" s="56" t="n">
        <f aca="false">IF(D4779=1,"",E4778)</f>
        <v>27.9</v>
      </c>
      <c r="P4779" s="56" t="n">
        <f aca="false">IF(OR(D4779=1,K4778=""),"",K4778)</f>
        <v>1022.7</v>
      </c>
      <c r="Q4779" s="56" t="n">
        <f aca="false">IF(OR(F4779&lt;&gt;0,AND(I4779&lt;&gt;"",E4779&lt;I4779)),1,0)</f>
        <v>0</v>
      </c>
      <c r="R4779" s="56" t="n">
        <f aca="false">IF(AND(D4779&gt;1,Q4779=0,ISNUMBER(O4779),ISNUMBER(P4779)),IF(Q4778=0,1,0),0)</f>
        <v>1</v>
      </c>
      <c r="S4779" s="56" t="n">
        <f aca="false">R4779*(B4779&gt;=Train_Start)*(B4779&lt;=Train_End)</f>
        <v>0</v>
      </c>
      <c r="T4779" s="84" t="n">
        <f aca="false">IF(AND(ISNUMBER(O4779),ISNUMBER(P4779)),Coef_A+Coef_B1*O4779+Coef_B2*P4779,"")</f>
        <v>27.0285301500668</v>
      </c>
      <c r="U4779" s="84" t="n">
        <f aca="false">IF(AND(R4779=1,ISNUMBER(T4779)),E4779-T4779,"")</f>
        <v>0.9714698499332</v>
      </c>
      <c r="V4779" s="84" t="n">
        <f aca="false">IF(ISNUMBER(T4779),T4779,-99)</f>
        <v>27.0285301500668</v>
      </c>
      <c r="W4779" s="84" t="n">
        <f aca="false">IF(ISNUMBER(U4779),ABS(U4779),"")</f>
        <v>0.9714698499332</v>
      </c>
    </row>
    <row r="4780" customFormat="false" ht="15" hidden="false" customHeight="false" outlineLevel="0" collapsed="false">
      <c r="A4780" s="57" t="n">
        <v>40334</v>
      </c>
      <c r="B4780" s="56" t="n">
        <v>2010</v>
      </c>
      <c r="C4780" s="56" t="n">
        <v>6</v>
      </c>
      <c r="D4780" s="56" t="n">
        <v>36</v>
      </c>
      <c r="E4780" s="56" t="n">
        <v>24.3</v>
      </c>
      <c r="F4780" s="56" t="n">
        <v>0</v>
      </c>
      <c r="G4780" s="56" t="n">
        <v>13</v>
      </c>
      <c r="H4780" s="56" t="n">
        <v>0</v>
      </c>
      <c r="I4780" s="56" t="n">
        <v>20.5</v>
      </c>
      <c r="J4780" s="56" t="n">
        <v>0</v>
      </c>
      <c r="K4780" s="56" t="n">
        <v>1017.5</v>
      </c>
      <c r="L4780" s="56" t="n">
        <v>0</v>
      </c>
      <c r="M4780" s="56" t="n">
        <v>56</v>
      </c>
      <c r="N4780" s="56" t="n">
        <v>7.7</v>
      </c>
      <c r="O4780" s="56" t="n">
        <f aca="false">IF(D4780=1,"",E4779)</f>
        <v>28</v>
      </c>
      <c r="P4780" s="56" t="n">
        <f aca="false">IF(OR(D4780=1,K4779=""),"",K4779)</f>
        <v>1020.2</v>
      </c>
      <c r="Q4780" s="56" t="n">
        <f aca="false">IF(OR(F4780&lt;&gt;0,AND(I4780&lt;&gt;"",E4780&lt;I4780)),1,0)</f>
        <v>0</v>
      </c>
      <c r="R4780" s="56" t="n">
        <f aca="false">IF(AND(D4780&gt;1,Q4780=0,ISNUMBER(O4780),ISNUMBER(P4780)),IF(Q4779=0,1,0),0)</f>
        <v>1</v>
      </c>
      <c r="S4780" s="56" t="n">
        <f aca="false">R4780*(B4780&gt;=Train_Start)*(B4780&lt;=Train_End)</f>
        <v>0</v>
      </c>
      <c r="T4780" s="84" t="n">
        <f aca="false">IF(AND(ISNUMBER(O4780),ISNUMBER(P4780)),Coef_A+Coef_B1*O4780+Coef_B2*P4780,"")</f>
        <v>27.0320393327861</v>
      </c>
      <c r="U4780" s="84" t="n">
        <f aca="false">IF(AND(R4780=1,ISNUMBER(T4780)),E4780-T4780,"")</f>
        <v>-2.73203933278609</v>
      </c>
      <c r="V4780" s="84" t="n">
        <f aca="false">IF(ISNUMBER(T4780),T4780,-99)</f>
        <v>27.0320393327861</v>
      </c>
      <c r="W4780" s="84" t="n">
        <f aca="false">IF(ISNUMBER(U4780),ABS(U4780),"")</f>
        <v>2.73203933278609</v>
      </c>
    </row>
    <row r="4781" customFormat="false" ht="15" hidden="false" customHeight="false" outlineLevel="0" collapsed="false">
      <c r="A4781" s="57" t="n">
        <v>40335</v>
      </c>
      <c r="B4781" s="56" t="n">
        <v>2010</v>
      </c>
      <c r="C4781" s="56" t="n">
        <v>6</v>
      </c>
      <c r="D4781" s="56" t="n">
        <v>37</v>
      </c>
      <c r="E4781" s="56" t="n">
        <v>21</v>
      </c>
      <c r="F4781" s="56" t="n">
        <v>0</v>
      </c>
      <c r="G4781" s="56" t="n">
        <v>14.8</v>
      </c>
      <c r="H4781" s="56" t="n">
        <v>0</v>
      </c>
      <c r="I4781" s="56" t="n">
        <v>19.6</v>
      </c>
      <c r="J4781" s="56" t="n">
        <v>0</v>
      </c>
      <c r="K4781" s="56" t="n">
        <v>1011.6</v>
      </c>
      <c r="L4781" s="56" t="n">
        <v>0</v>
      </c>
      <c r="M4781" s="56" t="n">
        <v>74</v>
      </c>
      <c r="N4781" s="56" t="n">
        <v>1.7</v>
      </c>
      <c r="O4781" s="56" t="n">
        <f aca="false">IF(D4781=1,"",E4780)</f>
        <v>24.3</v>
      </c>
      <c r="P4781" s="56" t="n">
        <f aca="false">IF(OR(D4781=1,K4780=""),"",K4780)</f>
        <v>1017.5</v>
      </c>
      <c r="Q4781" s="56" t="n">
        <f aca="false">IF(OR(F4781&lt;&gt;0,AND(I4781&lt;&gt;"",E4781&lt;I4781)),1,0)</f>
        <v>0</v>
      </c>
      <c r="R4781" s="56" t="n">
        <f aca="false">IF(AND(D4781&gt;1,Q4781=0,ISNUMBER(O4781),ISNUMBER(P4781)),IF(Q4780=0,1,0),0)</f>
        <v>1</v>
      </c>
      <c r="S4781" s="56" t="n">
        <f aca="false">R4781*(B4781&gt;=Train_Start)*(B4781&lt;=Train_End)</f>
        <v>0</v>
      </c>
      <c r="T4781" s="84" t="n">
        <f aca="false">IF(AND(ISNUMBER(O4781),ISNUMBER(P4781)),Coef_A+Coef_B1*O4781+Coef_B2*P4781,"")</f>
        <v>23.9157856030165</v>
      </c>
      <c r="U4781" s="84" t="n">
        <f aca="false">IF(AND(R4781=1,ISNUMBER(T4781)),E4781-T4781,"")</f>
        <v>-2.91578560301648</v>
      </c>
      <c r="V4781" s="84" t="n">
        <f aca="false">IF(ISNUMBER(T4781),T4781,-99)</f>
        <v>23.9157856030165</v>
      </c>
      <c r="W4781" s="84" t="n">
        <f aca="false">IF(ISNUMBER(U4781),ABS(U4781),"")</f>
        <v>2.91578560301648</v>
      </c>
    </row>
    <row r="4782" customFormat="false" ht="15" hidden="false" customHeight="false" outlineLevel="0" collapsed="false">
      <c r="A4782" s="57" t="n">
        <v>40336</v>
      </c>
      <c r="B4782" s="56" t="n">
        <v>2010</v>
      </c>
      <c r="C4782" s="56" t="n">
        <v>6</v>
      </c>
      <c r="D4782" s="56" t="n">
        <v>38</v>
      </c>
      <c r="E4782" s="56" t="n">
        <v>20.4</v>
      </c>
      <c r="F4782" s="56" t="n">
        <v>0</v>
      </c>
      <c r="G4782" s="56" t="n">
        <v>11.9</v>
      </c>
      <c r="H4782" s="56" t="n">
        <v>0</v>
      </c>
      <c r="I4782" s="56" t="n">
        <v>16.5</v>
      </c>
      <c r="J4782" s="56" t="n">
        <v>0</v>
      </c>
      <c r="K4782" s="56" t="n">
        <v>1011</v>
      </c>
      <c r="L4782" s="56" t="n">
        <v>0</v>
      </c>
      <c r="M4782" s="56" t="n">
        <v>72</v>
      </c>
      <c r="N4782" s="56" t="n">
        <v>2.9</v>
      </c>
      <c r="O4782" s="56" t="n">
        <f aca="false">IF(D4782=1,"",E4781)</f>
        <v>21</v>
      </c>
      <c r="P4782" s="56" t="n">
        <f aca="false">IF(OR(D4782=1,K4781=""),"",K4781)</f>
        <v>1011.6</v>
      </c>
      <c r="Q4782" s="56" t="n">
        <f aca="false">IF(OR(F4782&lt;&gt;0,AND(I4782&lt;&gt;"",E4782&lt;I4782)),1,0)</f>
        <v>0</v>
      </c>
      <c r="R4782" s="56" t="n">
        <f aca="false">IF(AND(D4782&gt;1,Q4782=0,ISNUMBER(O4782),ISNUMBER(P4782)),IF(Q4781=0,1,0),0)</f>
        <v>1</v>
      </c>
      <c r="S4782" s="56" t="n">
        <f aca="false">R4782*(B4782&gt;=Train_Start)*(B4782&lt;=Train_End)</f>
        <v>0</v>
      </c>
      <c r="T4782" s="84" t="n">
        <f aca="false">IF(AND(ISNUMBER(O4782),ISNUMBER(P4782)),Coef_A+Coef_B1*O4782+Coef_B2*P4782,"")</f>
        <v>21.0268838876352</v>
      </c>
      <c r="U4782" s="84" t="n">
        <f aca="false">IF(AND(R4782=1,ISNUMBER(T4782)),E4782-T4782,"")</f>
        <v>-0.626883887635177</v>
      </c>
      <c r="V4782" s="84" t="n">
        <f aca="false">IF(ISNUMBER(T4782),T4782,-99)</f>
        <v>21.0268838876352</v>
      </c>
      <c r="W4782" s="84" t="n">
        <f aca="false">IF(ISNUMBER(U4782),ABS(U4782),"")</f>
        <v>0.626883887635177</v>
      </c>
    </row>
    <row r="4783" customFormat="false" ht="15" hidden="false" customHeight="false" outlineLevel="0" collapsed="false">
      <c r="A4783" s="57" t="n">
        <v>40337</v>
      </c>
      <c r="B4783" s="56" t="n">
        <v>2010</v>
      </c>
      <c r="C4783" s="56" t="n">
        <v>6</v>
      </c>
      <c r="D4783" s="56" t="n">
        <v>39</v>
      </c>
      <c r="E4783" s="56" t="n">
        <v>22.4</v>
      </c>
      <c r="F4783" s="56" t="n">
        <v>0</v>
      </c>
      <c r="G4783" s="56" t="n">
        <v>11.6</v>
      </c>
      <c r="H4783" s="56" t="n">
        <v>0</v>
      </c>
      <c r="I4783" s="56" t="n">
        <v>16</v>
      </c>
      <c r="J4783" s="56" t="n">
        <v>0</v>
      </c>
      <c r="K4783" s="56" t="n">
        <v>1002.1</v>
      </c>
      <c r="L4783" s="56" t="n">
        <v>0</v>
      </c>
      <c r="M4783" s="56" t="n">
        <v>81</v>
      </c>
      <c r="N4783" s="56" t="n">
        <v>2.7</v>
      </c>
      <c r="O4783" s="56" t="n">
        <f aca="false">IF(D4783=1,"",E4782)</f>
        <v>20.4</v>
      </c>
      <c r="P4783" s="56" t="n">
        <f aca="false">IF(OR(D4783=1,K4782=""),"",K4782)</f>
        <v>1011</v>
      </c>
      <c r="Q4783" s="56" t="n">
        <f aca="false">IF(OR(F4783&lt;&gt;0,AND(I4783&lt;&gt;"",E4783&lt;I4783)),1,0)</f>
        <v>0</v>
      </c>
      <c r="R4783" s="56" t="n">
        <f aca="false">IF(AND(D4783&gt;1,Q4783=0,ISNUMBER(O4783),ISNUMBER(P4783)),IF(Q4782=0,1,0),0)</f>
        <v>1</v>
      </c>
      <c r="S4783" s="56" t="n">
        <f aca="false">R4783*(B4783&gt;=Train_Start)*(B4783&lt;=Train_End)</f>
        <v>0</v>
      </c>
      <c r="T4783" s="84" t="n">
        <f aca="false">IF(AND(ISNUMBER(O4783),ISNUMBER(P4783)),Coef_A+Coef_B1*O4783+Coef_B2*P4783,"")</f>
        <v>20.5164584350292</v>
      </c>
      <c r="U4783" s="84" t="n">
        <f aca="false">IF(AND(R4783=1,ISNUMBER(T4783)),E4783-T4783,"")</f>
        <v>1.88354156497081</v>
      </c>
      <c r="V4783" s="84" t="n">
        <f aca="false">IF(ISNUMBER(T4783),T4783,-99)</f>
        <v>20.5164584350292</v>
      </c>
      <c r="W4783" s="84" t="n">
        <f aca="false">IF(ISNUMBER(U4783),ABS(U4783),"")</f>
        <v>1.88354156497081</v>
      </c>
    </row>
    <row r="4784" customFormat="false" ht="15" hidden="false" customHeight="false" outlineLevel="0" collapsed="false">
      <c r="A4784" s="57" t="n">
        <v>40338</v>
      </c>
      <c r="B4784" s="56" t="n">
        <v>2010</v>
      </c>
      <c r="C4784" s="56" t="n">
        <v>6</v>
      </c>
      <c r="D4784" s="56" t="n">
        <v>40</v>
      </c>
      <c r="E4784" s="56" t="n">
        <v>19.9</v>
      </c>
      <c r="F4784" s="56" t="n">
        <v>0</v>
      </c>
      <c r="G4784" s="56" t="n">
        <v>12.2</v>
      </c>
      <c r="H4784" s="56" t="n">
        <v>0</v>
      </c>
      <c r="I4784" s="56" t="n">
        <v>17.3</v>
      </c>
      <c r="J4784" s="56" t="n">
        <v>0</v>
      </c>
      <c r="K4784" s="56" t="n">
        <v>1004.3</v>
      </c>
      <c r="L4784" s="56" t="n">
        <v>0</v>
      </c>
      <c r="M4784" s="56" t="n">
        <v>75</v>
      </c>
      <c r="N4784" s="56" t="n">
        <v>3.2</v>
      </c>
      <c r="O4784" s="56" t="n">
        <f aca="false">IF(D4784=1,"",E4783)</f>
        <v>22.4</v>
      </c>
      <c r="P4784" s="56" t="n">
        <f aca="false">IF(OR(D4784=1,K4783=""),"",K4783)</f>
        <v>1002.1</v>
      </c>
      <c r="Q4784" s="56" t="n">
        <f aca="false">IF(OR(F4784&lt;&gt;0,AND(I4784&lt;&gt;"",E4784&lt;I4784)),1,0)</f>
        <v>0</v>
      </c>
      <c r="R4784" s="56" t="n">
        <f aca="false">IF(AND(D4784&gt;1,Q4784=0,ISNUMBER(O4784),ISNUMBER(P4784)),IF(Q4783=0,1,0),0)</f>
        <v>1</v>
      </c>
      <c r="S4784" s="56" t="n">
        <f aca="false">R4784*(B4784&gt;=Train_Start)*(B4784&lt;=Train_End)</f>
        <v>0</v>
      </c>
      <c r="T4784" s="84" t="n">
        <f aca="false">IF(AND(ISNUMBER(O4784),ISNUMBER(P4784)),Coef_A+Coef_B1*O4784+Coef_B2*P4784,"")</f>
        <v>21.875944758872</v>
      </c>
      <c r="U4784" s="84" t="n">
        <f aca="false">IF(AND(R4784=1,ISNUMBER(T4784)),E4784-T4784,"")</f>
        <v>-1.975944758872</v>
      </c>
      <c r="V4784" s="84" t="n">
        <f aca="false">IF(ISNUMBER(T4784),T4784,-99)</f>
        <v>21.875944758872</v>
      </c>
      <c r="W4784" s="84" t="n">
        <f aca="false">IF(ISNUMBER(U4784),ABS(U4784),"")</f>
        <v>1.975944758872</v>
      </c>
    </row>
    <row r="4785" customFormat="false" ht="15" hidden="false" customHeight="false" outlineLevel="0" collapsed="false">
      <c r="A4785" s="57" t="n">
        <v>40339</v>
      </c>
      <c r="B4785" s="56" t="n">
        <v>2010</v>
      </c>
      <c r="C4785" s="56" t="n">
        <v>6</v>
      </c>
      <c r="D4785" s="56" t="n">
        <v>41</v>
      </c>
      <c r="E4785" s="56" t="n">
        <v>20.5</v>
      </c>
      <c r="F4785" s="56" t="n">
        <v>0</v>
      </c>
      <c r="G4785" s="56" t="n">
        <v>14.2</v>
      </c>
      <c r="H4785" s="56" t="n">
        <v>0</v>
      </c>
      <c r="I4785" s="56" t="n">
        <v>17.1</v>
      </c>
      <c r="J4785" s="56" t="n">
        <v>0</v>
      </c>
      <c r="K4785" s="56" t="n">
        <v>1007.1</v>
      </c>
      <c r="L4785" s="56" t="n">
        <v>0</v>
      </c>
      <c r="M4785" s="56" t="n">
        <v>84</v>
      </c>
      <c r="N4785" s="56" t="n">
        <v>0.1</v>
      </c>
      <c r="O4785" s="56" t="n">
        <f aca="false">IF(D4785=1,"",E4784)</f>
        <v>19.9</v>
      </c>
      <c r="P4785" s="56" t="n">
        <f aca="false">IF(OR(D4785=1,K4784=""),"",K4784)</f>
        <v>1004.3</v>
      </c>
      <c r="Q4785" s="56" t="n">
        <f aca="false">IF(OR(F4785&lt;&gt;0,AND(I4785&lt;&gt;"",E4785&lt;I4785)),1,0)</f>
        <v>0</v>
      </c>
      <c r="R4785" s="56" t="n">
        <f aca="false">IF(AND(D4785&gt;1,Q4785=0,ISNUMBER(O4785),ISNUMBER(P4785)),IF(Q4784=0,1,0),0)</f>
        <v>1</v>
      </c>
      <c r="S4785" s="56" t="n">
        <f aca="false">R4785*(B4785&gt;=Train_Start)*(B4785&lt;=Train_End)</f>
        <v>0</v>
      </c>
      <c r="T4785" s="84" t="n">
        <f aca="false">IF(AND(ISNUMBER(O4785),ISNUMBER(P4785)),Coef_A+Coef_B1*O4785+Coef_B2*P4785,"")</f>
        <v>19.8966105444601</v>
      </c>
      <c r="U4785" s="84" t="n">
        <f aca="false">IF(AND(R4785=1,ISNUMBER(T4785)),E4785-T4785,"")</f>
        <v>0.603389455539872</v>
      </c>
      <c r="V4785" s="84" t="n">
        <f aca="false">IF(ISNUMBER(T4785),T4785,-99)</f>
        <v>19.8966105444601</v>
      </c>
      <c r="W4785" s="84" t="n">
        <f aca="false">IF(ISNUMBER(U4785),ABS(U4785),"")</f>
        <v>0.603389455539872</v>
      </c>
    </row>
    <row r="4786" customFormat="false" ht="15" hidden="false" customHeight="false" outlineLevel="0" collapsed="false">
      <c r="A4786" s="57" t="n">
        <v>40340</v>
      </c>
      <c r="B4786" s="56" t="n">
        <v>2010</v>
      </c>
      <c r="C4786" s="56" t="n">
        <v>6</v>
      </c>
      <c r="D4786" s="56" t="n">
        <v>42</v>
      </c>
      <c r="E4786" s="56" t="n">
        <v>20.2</v>
      </c>
      <c r="F4786" s="56" t="n">
        <v>0</v>
      </c>
      <c r="G4786" s="56" t="n">
        <v>12.6</v>
      </c>
      <c r="H4786" s="56" t="n">
        <v>0</v>
      </c>
      <c r="I4786" s="56" t="n">
        <v>16.6</v>
      </c>
      <c r="J4786" s="56" t="n">
        <v>0</v>
      </c>
      <c r="K4786" s="56" t="n">
        <v>1009.2</v>
      </c>
      <c r="L4786" s="56" t="n">
        <v>0</v>
      </c>
      <c r="M4786" s="56" t="n">
        <v>76</v>
      </c>
      <c r="N4786" s="56" t="n">
        <v>3.7</v>
      </c>
      <c r="O4786" s="56" t="n">
        <f aca="false">IF(D4786=1,"",E4785)</f>
        <v>20.5</v>
      </c>
      <c r="P4786" s="56" t="n">
        <f aca="false">IF(OR(D4786=1,K4785=""),"",K4785)</f>
        <v>1007.1</v>
      </c>
      <c r="Q4786" s="56" t="n">
        <f aca="false">IF(OR(F4786&lt;&gt;0,AND(I4786&lt;&gt;"",E4786&lt;I4786)),1,0)</f>
        <v>0</v>
      </c>
      <c r="R4786" s="56" t="n">
        <f aca="false">IF(AND(D4786&gt;1,Q4786=0,ISNUMBER(O4786),ISNUMBER(P4786)),IF(Q4785=0,1,0),0)</f>
        <v>1</v>
      </c>
      <c r="S4786" s="56" t="n">
        <f aca="false">R4786*(B4786&gt;=Train_Start)*(B4786&lt;=Train_End)</f>
        <v>0</v>
      </c>
      <c r="T4786" s="84" t="n">
        <f aca="false">IF(AND(ISNUMBER(O4786),ISNUMBER(P4786)),Coef_A+Coef_B1*O4786+Coef_B2*P4786,"")</f>
        <v>20.4760497652609</v>
      </c>
      <c r="U4786" s="84" t="n">
        <f aca="false">IF(AND(R4786=1,ISNUMBER(T4786)),E4786-T4786,"")</f>
        <v>-0.276049765260897</v>
      </c>
      <c r="V4786" s="84" t="n">
        <f aca="false">IF(ISNUMBER(T4786),T4786,-99)</f>
        <v>20.4760497652609</v>
      </c>
      <c r="W4786" s="84" t="n">
        <f aca="false">IF(ISNUMBER(U4786),ABS(U4786),"")</f>
        <v>0.276049765260897</v>
      </c>
    </row>
    <row r="4787" customFormat="false" ht="15" hidden="false" customHeight="false" outlineLevel="0" collapsed="false">
      <c r="A4787" s="57" t="n">
        <v>40341</v>
      </c>
      <c r="B4787" s="56" t="n">
        <v>2010</v>
      </c>
      <c r="C4787" s="56" t="n">
        <v>6</v>
      </c>
      <c r="D4787" s="56" t="n">
        <v>43</v>
      </c>
      <c r="E4787" s="56" t="n">
        <v>22.2</v>
      </c>
      <c r="F4787" s="56" t="n">
        <v>0</v>
      </c>
      <c r="G4787" s="56" t="n">
        <v>9.6</v>
      </c>
      <c r="H4787" s="56" t="n">
        <v>0</v>
      </c>
      <c r="I4787" s="56" t="n">
        <v>14.9</v>
      </c>
      <c r="J4787" s="56" t="n">
        <v>0</v>
      </c>
      <c r="K4787" s="56" t="n">
        <v>1015.6</v>
      </c>
      <c r="L4787" s="56" t="n">
        <v>0</v>
      </c>
      <c r="M4787" s="56" t="n">
        <v>62</v>
      </c>
      <c r="N4787" s="56" t="n">
        <v>4.4</v>
      </c>
      <c r="O4787" s="56" t="n">
        <f aca="false">IF(D4787=1,"",E4786)</f>
        <v>20.2</v>
      </c>
      <c r="P4787" s="56" t="n">
        <f aca="false">IF(OR(D4787=1,K4786=""),"",K4786)</f>
        <v>1009.2</v>
      </c>
      <c r="Q4787" s="56" t="n">
        <f aca="false">IF(OR(F4787&lt;&gt;0,AND(I4787&lt;&gt;"",E4787&lt;I4787)),1,0)</f>
        <v>0</v>
      </c>
      <c r="R4787" s="56" t="n">
        <f aca="false">IF(AND(D4787&gt;1,Q4787=0,ISNUMBER(O4787),ISNUMBER(P4787)),IF(Q4786=0,1,0),0)</f>
        <v>1</v>
      </c>
      <c r="S4787" s="56" t="n">
        <f aca="false">R4787*(B4787&gt;=Train_Start)*(B4787&lt;=Train_End)</f>
        <v>0</v>
      </c>
      <c r="T4787" s="84" t="n">
        <f aca="false">IF(AND(ISNUMBER(O4787),ISNUMBER(P4787)),Coef_A+Coef_B1*O4787+Coef_B2*P4787,"")</f>
        <v>20.2961247860795</v>
      </c>
      <c r="U4787" s="84" t="n">
        <f aca="false">IF(AND(R4787=1,ISNUMBER(T4787)),E4787-T4787,"")</f>
        <v>1.90387521392052</v>
      </c>
      <c r="V4787" s="84" t="n">
        <f aca="false">IF(ISNUMBER(T4787),T4787,-99)</f>
        <v>20.2961247860795</v>
      </c>
      <c r="W4787" s="84" t="n">
        <f aca="false">IF(ISNUMBER(U4787),ABS(U4787),"")</f>
        <v>1.90387521392052</v>
      </c>
    </row>
    <row r="4788" customFormat="false" ht="15" hidden="false" customHeight="false" outlineLevel="0" collapsed="false">
      <c r="A4788" s="57" t="n">
        <v>40342</v>
      </c>
      <c r="B4788" s="56" t="n">
        <v>2010</v>
      </c>
      <c r="C4788" s="56" t="n">
        <v>6</v>
      </c>
      <c r="D4788" s="56" t="n">
        <v>44</v>
      </c>
      <c r="E4788" s="56" t="n">
        <v>20.9</v>
      </c>
      <c r="F4788" s="56" t="n">
        <v>0</v>
      </c>
      <c r="G4788" s="56" t="n">
        <v>10.7</v>
      </c>
      <c r="H4788" s="56" t="n">
        <v>0</v>
      </c>
      <c r="I4788" s="56" t="n">
        <v>16.5</v>
      </c>
      <c r="J4788" s="56" t="n">
        <v>0</v>
      </c>
      <c r="K4788" s="56" t="n">
        <v>1015.1</v>
      </c>
      <c r="L4788" s="56" t="n">
        <v>0</v>
      </c>
      <c r="M4788" s="56" t="n">
        <v>63</v>
      </c>
      <c r="N4788" s="56" t="n">
        <v>3.2</v>
      </c>
      <c r="O4788" s="56" t="n">
        <f aca="false">IF(D4788=1,"",E4787)</f>
        <v>22.2</v>
      </c>
      <c r="P4788" s="56" t="n">
        <f aca="false">IF(OR(D4788=1,K4787=""),"",K4787)</f>
        <v>1015.6</v>
      </c>
      <c r="Q4788" s="56" t="n">
        <f aca="false">IF(OR(F4788&lt;&gt;0,AND(I4788&lt;&gt;"",E4788&lt;I4788)),1,0)</f>
        <v>0</v>
      </c>
      <c r="R4788" s="56" t="n">
        <f aca="false">IF(AND(D4788&gt;1,Q4788=0,ISNUMBER(O4788),ISNUMBER(P4788)),IF(Q4787=0,1,0),0)</f>
        <v>1</v>
      </c>
      <c r="S4788" s="56" t="n">
        <f aca="false">R4788*(B4788&gt;=Train_Start)*(B4788&lt;=Train_End)</f>
        <v>0</v>
      </c>
      <c r="T4788" s="84" t="n">
        <f aca="false">IF(AND(ISNUMBER(O4788),ISNUMBER(P4788)),Coef_A+Coef_B1*O4788+Coef_B2*P4788,"")</f>
        <v>22.1355704978223</v>
      </c>
      <c r="U4788" s="84" t="n">
        <f aca="false">IF(AND(R4788=1,ISNUMBER(T4788)),E4788-T4788,"")</f>
        <v>-1.23557049782233</v>
      </c>
      <c r="V4788" s="84" t="n">
        <f aca="false">IF(ISNUMBER(T4788),T4788,-99)</f>
        <v>22.1355704978223</v>
      </c>
      <c r="W4788" s="84" t="n">
        <f aca="false">IF(ISNUMBER(U4788),ABS(U4788),"")</f>
        <v>1.23557049782233</v>
      </c>
    </row>
    <row r="4789" customFormat="false" ht="15" hidden="false" customHeight="false" outlineLevel="0" collapsed="false">
      <c r="A4789" s="57" t="n">
        <v>40343</v>
      </c>
      <c r="B4789" s="56" t="n">
        <v>2010</v>
      </c>
      <c r="C4789" s="56" t="n">
        <v>6</v>
      </c>
      <c r="D4789" s="56" t="n">
        <v>45</v>
      </c>
      <c r="E4789" s="56" t="n">
        <v>18.9</v>
      </c>
      <c r="F4789" s="56" t="n">
        <v>0</v>
      </c>
      <c r="G4789" s="56" t="n">
        <v>12.4</v>
      </c>
      <c r="H4789" s="56" t="n">
        <v>0</v>
      </c>
      <c r="I4789" s="56" t="n">
        <v>16.7</v>
      </c>
      <c r="J4789" s="56" t="n">
        <v>0</v>
      </c>
      <c r="K4789" s="56" t="n">
        <v>1017.2</v>
      </c>
      <c r="L4789" s="56" t="n">
        <v>0</v>
      </c>
      <c r="M4789" s="56" t="n">
        <v>74</v>
      </c>
      <c r="N4789" s="56" t="n">
        <v>3.7</v>
      </c>
      <c r="O4789" s="56" t="n">
        <f aca="false">IF(D4789=1,"",E4788)</f>
        <v>20.9</v>
      </c>
      <c r="P4789" s="56" t="n">
        <f aca="false">IF(OR(D4789=1,K4788=""),"",K4788)</f>
        <v>1015.1</v>
      </c>
      <c r="Q4789" s="56" t="n">
        <f aca="false">IF(OR(F4789&lt;&gt;0,AND(I4789&lt;&gt;"",E4789&lt;I4789)),1,0)</f>
        <v>0</v>
      </c>
      <c r="R4789" s="56" t="n">
        <f aca="false">IF(AND(D4789&gt;1,Q4789=0,ISNUMBER(O4789),ISNUMBER(P4789)),IF(Q4788=0,1,0),0)</f>
        <v>1</v>
      </c>
      <c r="S4789" s="56" t="n">
        <f aca="false">R4789*(B4789&gt;=Train_Start)*(B4789&lt;=Train_End)</f>
        <v>0</v>
      </c>
      <c r="T4789" s="84" t="n">
        <f aca="false">IF(AND(ISNUMBER(O4789),ISNUMBER(P4789)),Coef_A+Coef_B1*O4789+Coef_B2*P4789,"")</f>
        <v>21.0547445995499</v>
      </c>
      <c r="U4789" s="84" t="n">
        <f aca="false">IF(AND(R4789=1,ISNUMBER(T4789)),E4789-T4789,"")</f>
        <v>-2.15474459954988</v>
      </c>
      <c r="V4789" s="84" t="n">
        <f aca="false">IF(ISNUMBER(T4789),T4789,-99)</f>
        <v>21.0547445995499</v>
      </c>
      <c r="W4789" s="84" t="n">
        <f aca="false">IF(ISNUMBER(U4789),ABS(U4789),"")</f>
        <v>2.15474459954988</v>
      </c>
    </row>
    <row r="4790" customFormat="false" ht="15" hidden="false" customHeight="false" outlineLevel="0" collapsed="false">
      <c r="A4790" s="57" t="n">
        <v>40344</v>
      </c>
      <c r="B4790" s="56" t="n">
        <v>2010</v>
      </c>
      <c r="C4790" s="56" t="n">
        <v>6</v>
      </c>
      <c r="D4790" s="56" t="n">
        <v>46</v>
      </c>
      <c r="E4790" s="56" t="n">
        <v>20.8</v>
      </c>
      <c r="F4790" s="56" t="n">
        <v>0</v>
      </c>
      <c r="G4790" s="56" t="n">
        <v>8.8</v>
      </c>
      <c r="H4790" s="56" t="n">
        <v>0</v>
      </c>
      <c r="I4790" s="56" t="n">
        <v>13.9</v>
      </c>
      <c r="J4790" s="56" t="n">
        <v>0</v>
      </c>
      <c r="K4790" s="56" t="n">
        <v>1027.2</v>
      </c>
      <c r="L4790" s="56" t="n">
        <v>0</v>
      </c>
      <c r="M4790" s="56" t="n">
        <v>60</v>
      </c>
      <c r="N4790" s="56" t="n">
        <v>9.2</v>
      </c>
      <c r="O4790" s="56" t="n">
        <f aca="false">IF(D4790=1,"",E4789)</f>
        <v>18.9</v>
      </c>
      <c r="P4790" s="56" t="n">
        <f aca="false">IF(OR(D4790=1,K4789=""),"",K4789)</f>
        <v>1017.2</v>
      </c>
      <c r="Q4790" s="56" t="n">
        <f aca="false">IF(OR(F4790&lt;&gt;0,AND(I4790&lt;&gt;"",E4790&lt;I4790)),1,0)</f>
        <v>0</v>
      </c>
      <c r="R4790" s="56" t="n">
        <f aca="false">IF(AND(D4790&gt;1,Q4790=0,ISNUMBER(O4790),ISNUMBER(P4790)),IF(Q4789=0,1,0),0)</f>
        <v>1</v>
      </c>
      <c r="S4790" s="56" t="n">
        <f aca="false">R4790*(B4790&gt;=Train_Start)*(B4790&lt;=Train_End)</f>
        <v>0</v>
      </c>
      <c r="T4790" s="84" t="n">
        <f aca="false">IF(AND(ISNUMBER(O4790),ISNUMBER(P4790)),Coef_A+Coef_B1*O4790+Coef_B2*P4790,"")</f>
        <v>19.4819429921959</v>
      </c>
      <c r="U4790" s="84" t="n">
        <f aca="false">IF(AND(R4790=1,ISNUMBER(T4790)),E4790-T4790,"")</f>
        <v>1.31805700780406</v>
      </c>
      <c r="V4790" s="84" t="n">
        <f aca="false">IF(ISNUMBER(T4790),T4790,-99)</f>
        <v>19.4819429921959</v>
      </c>
      <c r="W4790" s="84" t="n">
        <f aca="false">IF(ISNUMBER(U4790),ABS(U4790),"")</f>
        <v>1.31805700780406</v>
      </c>
    </row>
    <row r="4791" customFormat="false" ht="15" hidden="false" customHeight="false" outlineLevel="0" collapsed="false">
      <c r="A4791" s="57" t="n">
        <v>40345</v>
      </c>
      <c r="B4791" s="56" t="n">
        <v>2010</v>
      </c>
      <c r="C4791" s="56" t="n">
        <v>6</v>
      </c>
      <c r="D4791" s="56" t="n">
        <v>47</v>
      </c>
      <c r="E4791" s="56" t="n">
        <v>23.3</v>
      </c>
      <c r="F4791" s="56" t="n">
        <v>0</v>
      </c>
      <c r="G4791" s="56" t="n">
        <v>9.1</v>
      </c>
      <c r="H4791" s="56" t="n">
        <v>0</v>
      </c>
      <c r="I4791" s="56" t="n">
        <v>15</v>
      </c>
      <c r="J4791" s="56" t="n">
        <v>0</v>
      </c>
      <c r="K4791" s="56" t="n">
        <v>1025.4</v>
      </c>
      <c r="L4791" s="56" t="n">
        <v>0</v>
      </c>
      <c r="M4791" s="56" t="n">
        <v>58</v>
      </c>
      <c r="N4791" s="56" t="n">
        <v>11.1</v>
      </c>
      <c r="O4791" s="56" t="n">
        <f aca="false">IF(D4791=1,"",E4790)</f>
        <v>20.8</v>
      </c>
      <c r="P4791" s="56" t="n">
        <f aca="false">IF(OR(D4791=1,K4790=""),"",K4790)</f>
        <v>1027.2</v>
      </c>
      <c r="Q4791" s="56" t="n">
        <f aca="false">IF(OR(F4791&lt;&gt;0,AND(I4791&lt;&gt;"",E4791&lt;I4791)),1,0)</f>
        <v>0</v>
      </c>
      <c r="R4791" s="56" t="n">
        <f aca="false">IF(AND(D4791&gt;1,Q4791=0,ISNUMBER(O4791),ISNUMBER(P4791)),IF(Q4790=0,1,0),0)</f>
        <v>1</v>
      </c>
      <c r="S4791" s="56" t="n">
        <f aca="false">R4791*(B4791&gt;=Train_Start)*(B4791&lt;=Train_End)</f>
        <v>0</v>
      </c>
      <c r="T4791" s="84" t="n">
        <f aca="false">IF(AND(ISNUMBER(O4791),ISNUMBER(P4791)),Coef_A+Coef_B1*O4791+Coef_B2*P4791,"")</f>
        <v>21.3523864053169</v>
      </c>
      <c r="U4791" s="84" t="n">
        <f aca="false">IF(AND(R4791=1,ISNUMBER(T4791)),E4791-T4791,"")</f>
        <v>1.94761359468312</v>
      </c>
      <c r="V4791" s="84" t="n">
        <f aca="false">IF(ISNUMBER(T4791),T4791,-99)</f>
        <v>21.3523864053169</v>
      </c>
      <c r="W4791" s="84" t="n">
        <f aca="false">IF(ISNUMBER(U4791),ABS(U4791),"")</f>
        <v>1.94761359468312</v>
      </c>
    </row>
    <row r="4792" customFormat="false" ht="15" hidden="false" customHeight="false" outlineLevel="0" collapsed="false">
      <c r="A4792" s="57" t="n">
        <v>40346</v>
      </c>
      <c r="B4792" s="56" t="n">
        <v>2010</v>
      </c>
      <c r="C4792" s="56" t="n">
        <v>6</v>
      </c>
      <c r="D4792" s="56" t="n">
        <v>48</v>
      </c>
      <c r="E4792" s="56" t="n">
        <v>20.8</v>
      </c>
      <c r="F4792" s="56" t="n">
        <v>0</v>
      </c>
      <c r="G4792" s="56" t="n">
        <v>8.4</v>
      </c>
      <c r="H4792" s="56" t="n">
        <v>0</v>
      </c>
      <c r="I4792" s="56" t="n">
        <v>15.9</v>
      </c>
      <c r="J4792" s="56" t="n">
        <v>0</v>
      </c>
      <c r="K4792" s="56" t="n">
        <v>1022</v>
      </c>
      <c r="L4792" s="56" t="n">
        <v>0</v>
      </c>
      <c r="M4792" s="56" t="n">
        <v>61</v>
      </c>
      <c r="N4792" s="56" t="n">
        <v>14.1</v>
      </c>
      <c r="O4792" s="56" t="n">
        <f aca="false">IF(D4792=1,"",E4791)</f>
        <v>23.3</v>
      </c>
      <c r="P4792" s="56" t="n">
        <f aca="false">IF(OR(D4792=1,K4791=""),"",K4791)</f>
        <v>1025.4</v>
      </c>
      <c r="Q4792" s="56" t="n">
        <f aca="false">IF(OR(F4792&lt;&gt;0,AND(I4792&lt;&gt;"",E4792&lt;I4792)),1,0)</f>
        <v>0</v>
      </c>
      <c r="R4792" s="56" t="n">
        <f aca="false">IF(AND(D4792&gt;1,Q4792=0,ISNUMBER(O4792),ISNUMBER(P4792)),IF(Q4791=0,1,0),0)</f>
        <v>1</v>
      </c>
      <c r="S4792" s="56" t="n">
        <f aca="false">R4792*(B4792&gt;=Train_Start)*(B4792&lt;=Train_End)</f>
        <v>0</v>
      </c>
      <c r="T4792" s="84" t="n">
        <f aca="false">IF(AND(ISNUMBER(O4792),ISNUMBER(P4792)),Coef_A+Coef_B1*O4792+Coef_B2*P4792,"")</f>
        <v>23.3442685775823</v>
      </c>
      <c r="U4792" s="84" t="n">
        <f aca="false">IF(AND(R4792=1,ISNUMBER(T4792)),E4792-T4792,"")</f>
        <v>-2.54426857758235</v>
      </c>
      <c r="V4792" s="84" t="n">
        <f aca="false">IF(ISNUMBER(T4792),T4792,-99)</f>
        <v>23.3442685775823</v>
      </c>
      <c r="W4792" s="84" t="n">
        <f aca="false">IF(ISNUMBER(U4792),ABS(U4792),"")</f>
        <v>2.54426857758235</v>
      </c>
    </row>
    <row r="4793" customFormat="false" ht="15" hidden="false" customHeight="false" outlineLevel="0" collapsed="false">
      <c r="A4793" s="57" t="n">
        <v>40347</v>
      </c>
      <c r="B4793" s="56" t="n">
        <v>2010</v>
      </c>
      <c r="C4793" s="56" t="n">
        <v>6</v>
      </c>
      <c r="D4793" s="56" t="n">
        <v>49</v>
      </c>
      <c r="E4793" s="56" t="n">
        <v>15.8</v>
      </c>
      <c r="F4793" s="56" t="n">
        <v>1</v>
      </c>
      <c r="G4793" s="56" t="n">
        <v>11.3</v>
      </c>
      <c r="H4793" s="56" t="n">
        <v>0</v>
      </c>
      <c r="I4793" s="56" t="n">
        <v>16.1</v>
      </c>
      <c r="J4793" s="56" t="n">
        <v>1</v>
      </c>
      <c r="K4793" s="56" t="n">
        <v>1020.1</v>
      </c>
      <c r="L4793" s="56" t="n">
        <v>0</v>
      </c>
      <c r="M4793" s="56" t="n">
        <v>76</v>
      </c>
      <c r="N4793" s="56" t="n">
        <v>1.6</v>
      </c>
      <c r="O4793" s="56" t="n">
        <f aca="false">IF(D4793=1,"",E4792)</f>
        <v>20.8</v>
      </c>
      <c r="P4793" s="56" t="n">
        <f aca="false">IF(OR(D4793=1,K4792=""),"",K4792)</f>
        <v>1022</v>
      </c>
      <c r="Q4793" s="56" t="n">
        <f aca="false">IF(OR(F4793&lt;&gt;0,AND(I4793&lt;&gt;"",E4793&lt;I4793)),1,0)</f>
        <v>1</v>
      </c>
      <c r="R4793" s="56" t="n">
        <f aca="false">IF(AND(D4793&gt;1,Q4793=0,ISNUMBER(O4793),ISNUMBER(P4793)),IF(Q4792=0,1,0),0)</f>
        <v>0</v>
      </c>
      <c r="S4793" s="56" t="n">
        <f aca="false">R4793*(B4793&gt;=Train_Start)*(B4793&lt;=Train_End)</f>
        <v>0</v>
      </c>
      <c r="T4793" s="84" t="n">
        <f aca="false">IF(AND(ISNUMBER(O4793),ISNUMBER(P4793)),Coef_A+Coef_B1*O4793+Coef_B2*P4793,"")</f>
        <v>21.1892629532201</v>
      </c>
      <c r="U4793" s="84" t="str">
        <f aca="false">IF(AND(R4793=1,ISNUMBER(T4793)),E4793-T4793,"")</f>
        <v/>
      </c>
      <c r="V4793" s="84" t="n">
        <f aca="false">IF(ISNUMBER(T4793),T4793,-99)</f>
        <v>21.1892629532201</v>
      </c>
      <c r="W4793" s="84" t="str">
        <f aca="false">IF(ISNUMBER(U4793),ABS(U4793),"")</f>
        <v/>
      </c>
    </row>
    <row r="4794" customFormat="false" ht="15" hidden="false" customHeight="false" outlineLevel="0" collapsed="false">
      <c r="A4794" s="57" t="n">
        <v>40348</v>
      </c>
      <c r="B4794" s="56" t="n">
        <v>2010</v>
      </c>
      <c r="C4794" s="56" t="n">
        <v>6</v>
      </c>
      <c r="D4794" s="56" t="n">
        <v>50</v>
      </c>
      <c r="E4794" s="56" t="n">
        <v>20.3</v>
      </c>
      <c r="F4794" s="56" t="n">
        <v>0</v>
      </c>
      <c r="G4794" s="56" t="n">
        <v>7.7</v>
      </c>
      <c r="H4794" s="56" t="n">
        <v>0</v>
      </c>
      <c r="I4794" s="56" t="n">
        <v>11.8</v>
      </c>
      <c r="J4794" s="56" t="n">
        <v>0</v>
      </c>
      <c r="K4794" s="56" t="n">
        <v>1017.8</v>
      </c>
      <c r="L4794" s="56" t="n">
        <v>0</v>
      </c>
      <c r="M4794" s="56" t="n">
        <v>60</v>
      </c>
      <c r="N4794" s="56" t="n">
        <v>4.2</v>
      </c>
      <c r="O4794" s="56" t="n">
        <f aca="false">IF(D4794=1,"",E4793)</f>
        <v>15.8</v>
      </c>
      <c r="P4794" s="56" t="n">
        <f aca="false">IF(OR(D4794=1,K4793=""),"",K4793)</f>
        <v>1020.1</v>
      </c>
      <c r="Q4794" s="56" t="n">
        <f aca="false">IF(OR(F4794&lt;&gt;0,AND(I4794&lt;&gt;"",E4794&lt;I4794)),1,0)</f>
        <v>0</v>
      </c>
      <c r="R4794" s="56" t="n">
        <f aca="false">IF(AND(D4794&gt;1,Q4794=0,ISNUMBER(O4794),ISNUMBER(P4794)),IF(Q4793=0,1,0),0)</f>
        <v>0</v>
      </c>
      <c r="S4794" s="56" t="n">
        <f aca="false">R4794*(B4794&gt;=Train_Start)*(B4794&lt;=Train_End)</f>
        <v>0</v>
      </c>
      <c r="T4794" s="84" t="n">
        <f aca="false">IF(AND(ISNUMBER(O4794),ISNUMBER(P4794)),Coef_A+Coef_B1*O4794+Coef_B2*P4794,"")</f>
        <v>17.0329641882023</v>
      </c>
      <c r="U4794" s="84" t="str">
        <f aca="false">IF(AND(R4794=1,ISNUMBER(T4794)),E4794-T4794,"")</f>
        <v/>
      </c>
      <c r="V4794" s="84" t="n">
        <f aca="false">IF(ISNUMBER(T4794),T4794,-99)</f>
        <v>17.0329641882023</v>
      </c>
      <c r="W4794" s="84" t="str">
        <f aca="false">IF(ISNUMBER(U4794),ABS(U4794),"")</f>
        <v/>
      </c>
    </row>
    <row r="4795" customFormat="false" ht="15" hidden="false" customHeight="false" outlineLevel="0" collapsed="false">
      <c r="A4795" s="57" t="n">
        <v>40349</v>
      </c>
      <c r="B4795" s="56" t="n">
        <v>2010</v>
      </c>
      <c r="C4795" s="56" t="n">
        <v>6</v>
      </c>
      <c r="D4795" s="56" t="n">
        <v>51</v>
      </c>
      <c r="E4795" s="56" t="n">
        <v>24.7</v>
      </c>
      <c r="F4795" s="56" t="n">
        <v>0</v>
      </c>
      <c r="G4795" s="56" t="n">
        <v>7.9</v>
      </c>
      <c r="H4795" s="56" t="n">
        <v>0</v>
      </c>
      <c r="I4795" s="56" t="n">
        <v>14.1</v>
      </c>
      <c r="J4795" s="56" t="n">
        <v>0</v>
      </c>
      <c r="K4795" s="56" t="n">
        <v>1021.2</v>
      </c>
      <c r="L4795" s="56" t="n">
        <v>0</v>
      </c>
      <c r="M4795" s="56" t="n">
        <v>55</v>
      </c>
      <c r="N4795" s="56" t="n">
        <v>7.6</v>
      </c>
      <c r="O4795" s="56" t="n">
        <f aca="false">IF(D4795=1,"",E4794)</f>
        <v>20.3</v>
      </c>
      <c r="P4795" s="56" t="n">
        <f aca="false">IF(OR(D4795=1,K4794=""),"",K4794)</f>
        <v>1017.8</v>
      </c>
      <c r="Q4795" s="56" t="n">
        <f aca="false">IF(OR(F4795&lt;&gt;0,AND(I4795&lt;&gt;"",E4795&lt;I4795)),1,0)</f>
        <v>0</v>
      </c>
      <c r="R4795" s="56" t="n">
        <f aca="false">IF(AND(D4795&gt;1,Q4795=0,ISNUMBER(O4795),ISNUMBER(P4795)),IF(Q4794=0,1,0),0)</f>
        <v>1</v>
      </c>
      <c r="S4795" s="56" t="n">
        <f aca="false">R4795*(B4795&gt;=Train_Start)*(B4795&lt;=Train_End)</f>
        <v>0</v>
      </c>
      <c r="T4795" s="84" t="n">
        <f aca="false">IF(AND(ISNUMBER(O4795),ISNUMBER(P4795)),Coef_A+Coef_B1*O4795+Coef_B2*P4795,"")</f>
        <v>20.6478397992361</v>
      </c>
      <c r="U4795" s="84" t="n">
        <f aca="false">IF(AND(R4795=1,ISNUMBER(T4795)),E4795-T4795,"")</f>
        <v>4.05216020076395</v>
      </c>
      <c r="V4795" s="84" t="n">
        <f aca="false">IF(ISNUMBER(T4795),T4795,-99)</f>
        <v>20.6478397992361</v>
      </c>
      <c r="W4795" s="84" t="n">
        <f aca="false">IF(ISNUMBER(U4795),ABS(U4795),"")</f>
        <v>4.05216020076395</v>
      </c>
    </row>
    <row r="4796" customFormat="false" ht="15" hidden="false" customHeight="false" outlineLevel="0" collapsed="false">
      <c r="A4796" s="57" t="n">
        <v>40350</v>
      </c>
      <c r="B4796" s="56" t="n">
        <v>2010</v>
      </c>
      <c r="C4796" s="56" t="n">
        <v>6</v>
      </c>
      <c r="D4796" s="56" t="n">
        <v>52</v>
      </c>
      <c r="E4796" s="56" t="n">
        <v>27.3</v>
      </c>
      <c r="F4796" s="56" t="n">
        <v>0</v>
      </c>
      <c r="G4796" s="56" t="n">
        <v>12.4</v>
      </c>
      <c r="H4796" s="56" t="n">
        <v>0</v>
      </c>
      <c r="I4796" s="56" t="n">
        <v>18.6</v>
      </c>
      <c r="J4796" s="56" t="n">
        <v>0</v>
      </c>
      <c r="K4796" s="56" t="n">
        <v>1022.9</v>
      </c>
      <c r="L4796" s="56" t="n">
        <v>0</v>
      </c>
      <c r="M4796" s="56" t="n">
        <v>51</v>
      </c>
      <c r="N4796" s="56" t="n">
        <v>6</v>
      </c>
      <c r="O4796" s="56" t="n">
        <f aca="false">IF(D4796=1,"",E4795)</f>
        <v>24.7</v>
      </c>
      <c r="P4796" s="56" t="n">
        <f aca="false">IF(OR(D4796=1,K4795=""),"",K4795)</f>
        <v>1021.2</v>
      </c>
      <c r="Q4796" s="56" t="n">
        <f aca="false">IF(OR(F4796&lt;&gt;0,AND(I4796&lt;&gt;"",E4796&lt;I4796)),1,0)</f>
        <v>0</v>
      </c>
      <c r="R4796" s="56" t="n">
        <f aca="false">IF(AND(D4796&gt;1,Q4796=0,ISNUMBER(O4796),ISNUMBER(P4796)),IF(Q4795=0,1,0),0)</f>
        <v>1</v>
      </c>
      <c r="S4796" s="56" t="n">
        <f aca="false">R4796*(B4796&gt;=Train_Start)*(B4796&lt;=Train_End)</f>
        <v>0</v>
      </c>
      <c r="T4796" s="84" t="n">
        <f aca="false">IF(AND(ISNUMBER(O4796),ISNUMBER(P4796)),Coef_A+Coef_B1*O4796+Coef_B2*P4796,"")</f>
        <v>24.3595898903793</v>
      </c>
      <c r="U4796" s="84" t="n">
        <f aca="false">IF(AND(R4796=1,ISNUMBER(T4796)),E4796-T4796,"")</f>
        <v>2.94041010962069</v>
      </c>
      <c r="V4796" s="84" t="n">
        <f aca="false">IF(ISNUMBER(T4796),T4796,-99)</f>
        <v>24.3595898903793</v>
      </c>
      <c r="W4796" s="84" t="n">
        <f aca="false">IF(ISNUMBER(U4796),ABS(U4796),"")</f>
        <v>2.94041010962069</v>
      </c>
    </row>
    <row r="4797" customFormat="false" ht="15" hidden="false" customHeight="false" outlineLevel="0" collapsed="false">
      <c r="A4797" s="57" t="n">
        <v>40351</v>
      </c>
      <c r="B4797" s="56" t="n">
        <v>2010</v>
      </c>
      <c r="C4797" s="56" t="n">
        <v>6</v>
      </c>
      <c r="D4797" s="56" t="n">
        <v>53</v>
      </c>
      <c r="E4797" s="56" t="n">
        <v>27.3</v>
      </c>
      <c r="F4797" s="56" t="n">
        <v>0</v>
      </c>
      <c r="G4797" s="56" t="n">
        <v>13.5</v>
      </c>
      <c r="H4797" s="56" t="n">
        <v>0</v>
      </c>
      <c r="I4797" s="56" t="n">
        <v>20.4</v>
      </c>
      <c r="J4797" s="56" t="n">
        <v>0</v>
      </c>
      <c r="K4797" s="56" t="n">
        <v>1023.2</v>
      </c>
      <c r="L4797" s="56" t="n">
        <v>0</v>
      </c>
      <c r="M4797" s="56" t="n">
        <v>50</v>
      </c>
      <c r="N4797" s="56" t="n">
        <v>14.3</v>
      </c>
      <c r="O4797" s="56" t="n">
        <f aca="false">IF(D4797=1,"",E4796)</f>
        <v>27.3</v>
      </c>
      <c r="P4797" s="56" t="n">
        <f aca="false">IF(OR(D4797=1,K4796=""),"",K4796)</f>
        <v>1022.9</v>
      </c>
      <c r="Q4797" s="56" t="n">
        <f aca="false">IF(OR(F4797&lt;&gt;0,AND(I4797&lt;&gt;"",E4797&lt;I4797)),1,0)</f>
        <v>0</v>
      </c>
      <c r="R4797" s="56" t="n">
        <f aca="false">IF(AND(D4797&gt;1,Q4797=0,ISNUMBER(O4797),ISNUMBER(P4797)),IF(Q4796=0,1,0),0)</f>
        <v>1</v>
      </c>
      <c r="S4797" s="56" t="n">
        <f aca="false">R4797*(B4797&gt;=Train_Start)*(B4797&lt;=Train_End)</f>
        <v>0</v>
      </c>
      <c r="T4797" s="84" t="n">
        <f aca="false">IF(AND(ISNUMBER(O4797),ISNUMBER(P4797)),Coef_A+Coef_B1*O4797+Coef_B2*P4797,"")</f>
        <v>26.543200613168</v>
      </c>
      <c r="U4797" s="84" t="n">
        <f aca="false">IF(AND(R4797=1,ISNUMBER(T4797)),E4797-T4797,"")</f>
        <v>0.756799386832004</v>
      </c>
      <c r="V4797" s="84" t="n">
        <f aca="false">IF(ISNUMBER(T4797),T4797,-99)</f>
        <v>26.543200613168</v>
      </c>
      <c r="W4797" s="84" t="n">
        <f aca="false">IF(ISNUMBER(U4797),ABS(U4797),"")</f>
        <v>0.756799386832004</v>
      </c>
    </row>
    <row r="4798" customFormat="false" ht="15" hidden="false" customHeight="false" outlineLevel="0" collapsed="false">
      <c r="A4798" s="57" t="n">
        <v>40352</v>
      </c>
      <c r="B4798" s="56" t="n">
        <v>2010</v>
      </c>
      <c r="C4798" s="56" t="n">
        <v>6</v>
      </c>
      <c r="D4798" s="56" t="n">
        <v>54</v>
      </c>
      <c r="E4798" s="56" t="n">
        <v>26.3</v>
      </c>
      <c r="F4798" s="56" t="n">
        <v>0</v>
      </c>
      <c r="G4798" s="56" t="n">
        <v>13.8</v>
      </c>
      <c r="H4798" s="56" t="n">
        <v>0</v>
      </c>
      <c r="I4798" s="56" t="n">
        <v>20.6</v>
      </c>
      <c r="J4798" s="56" t="n">
        <v>0</v>
      </c>
      <c r="K4798" s="56" t="n">
        <v>1021.8</v>
      </c>
      <c r="L4798" s="56" t="n">
        <v>0</v>
      </c>
      <c r="M4798" s="56" t="n">
        <v>51</v>
      </c>
      <c r="N4798" s="56" t="n">
        <v>14.5</v>
      </c>
      <c r="O4798" s="56" t="n">
        <f aca="false">IF(D4798=1,"",E4797)</f>
        <v>27.3</v>
      </c>
      <c r="P4798" s="56" t="n">
        <f aca="false">IF(OR(D4798=1,K4797=""),"",K4797)</f>
        <v>1023.2</v>
      </c>
      <c r="Q4798" s="56" t="n">
        <f aca="false">IF(OR(F4798&lt;&gt;0,AND(I4798&lt;&gt;"",E4798&lt;I4798)),1,0)</f>
        <v>0</v>
      </c>
      <c r="R4798" s="56" t="n">
        <f aca="false">IF(AND(D4798&gt;1,Q4798=0,ISNUMBER(O4798),ISNUMBER(P4798)),IF(Q4797=0,1,0),0)</f>
        <v>1</v>
      </c>
      <c r="S4798" s="56" t="n">
        <f aca="false">R4798*(B4798&gt;=Train_Start)*(B4798&lt;=Train_End)</f>
        <v>0</v>
      </c>
      <c r="T4798" s="84" t="n">
        <f aca="false">IF(AND(ISNUMBER(O4798),ISNUMBER(P4798)),Coef_A+Coef_B1*O4798+Coef_B2*P4798,"")</f>
        <v>26.5526115815582</v>
      </c>
      <c r="U4798" s="84" t="n">
        <f aca="false">IF(AND(R4798=1,ISNUMBER(T4798)),E4798-T4798,"")</f>
        <v>-0.252611581558195</v>
      </c>
      <c r="V4798" s="84" t="n">
        <f aca="false">IF(ISNUMBER(T4798),T4798,-99)</f>
        <v>26.5526115815582</v>
      </c>
      <c r="W4798" s="84" t="n">
        <f aca="false">IF(ISNUMBER(U4798),ABS(U4798),"")</f>
        <v>0.252611581558195</v>
      </c>
    </row>
    <row r="4799" customFormat="false" ht="15" hidden="false" customHeight="false" outlineLevel="0" collapsed="false">
      <c r="A4799" s="57" t="n">
        <v>40353</v>
      </c>
      <c r="B4799" s="56" t="n">
        <v>2010</v>
      </c>
      <c r="C4799" s="56" t="n">
        <v>6</v>
      </c>
      <c r="D4799" s="56" t="n">
        <v>55</v>
      </c>
      <c r="E4799" s="56" t="n">
        <v>27.8</v>
      </c>
      <c r="F4799" s="56" t="n">
        <v>0</v>
      </c>
      <c r="G4799" s="56" t="n">
        <v>13.2</v>
      </c>
      <c r="H4799" s="56" t="n">
        <v>0</v>
      </c>
      <c r="I4799" s="56" t="n">
        <v>19.8</v>
      </c>
      <c r="J4799" s="56" t="n">
        <v>0</v>
      </c>
      <c r="K4799" s="56" t="n">
        <v>1019.3</v>
      </c>
      <c r="L4799" s="56" t="n">
        <v>0</v>
      </c>
      <c r="M4799" s="56" t="n">
        <v>55</v>
      </c>
      <c r="N4799" s="56" t="n">
        <v>8.9</v>
      </c>
      <c r="O4799" s="56" t="n">
        <f aca="false">IF(D4799=1,"",E4798)</f>
        <v>26.3</v>
      </c>
      <c r="P4799" s="56" t="n">
        <f aca="false">IF(OR(D4799=1,K4798=""),"",K4798)</f>
        <v>1021.8</v>
      </c>
      <c r="Q4799" s="56" t="n">
        <f aca="false">IF(OR(F4799&lt;&gt;0,AND(I4799&lt;&gt;"",E4799&lt;I4799)),1,0)</f>
        <v>0</v>
      </c>
      <c r="R4799" s="56" t="n">
        <f aca="false">IF(AND(D4799&gt;1,Q4799=0,ISNUMBER(O4799),ISNUMBER(P4799)),IF(Q4798=0,1,0),0)</f>
        <v>1</v>
      </c>
      <c r="S4799" s="56" t="n">
        <f aca="false">R4799*(B4799&gt;=Train_Start)*(B4799&lt;=Train_End)</f>
        <v>0</v>
      </c>
      <c r="T4799" s="84" t="n">
        <f aca="false">IF(AND(ISNUMBER(O4799),ISNUMBER(P4799)),Coef_A+Coef_B1*O4799+Coef_B2*P4799,"")</f>
        <v>25.689354536028</v>
      </c>
      <c r="U4799" s="84" t="n">
        <f aca="false">IF(AND(R4799=1,ISNUMBER(T4799)),E4799-T4799,"")</f>
        <v>2.11064546397205</v>
      </c>
      <c r="V4799" s="84" t="n">
        <f aca="false">IF(ISNUMBER(T4799),T4799,-99)</f>
        <v>25.689354536028</v>
      </c>
      <c r="W4799" s="84" t="n">
        <f aca="false">IF(ISNUMBER(U4799),ABS(U4799),"")</f>
        <v>2.11064546397205</v>
      </c>
    </row>
    <row r="4800" customFormat="false" ht="15" hidden="false" customHeight="false" outlineLevel="0" collapsed="false">
      <c r="A4800" s="57" t="n">
        <v>40354</v>
      </c>
      <c r="B4800" s="56" t="n">
        <v>2010</v>
      </c>
      <c r="C4800" s="56" t="n">
        <v>6</v>
      </c>
      <c r="D4800" s="56" t="n">
        <v>56</v>
      </c>
      <c r="E4800" s="56" t="n">
        <v>27.6</v>
      </c>
      <c r="F4800" s="56" t="n">
        <v>0</v>
      </c>
      <c r="G4800" s="56" t="n">
        <v>14.5</v>
      </c>
      <c r="H4800" s="56" t="n">
        <v>0</v>
      </c>
      <c r="I4800" s="56" t="n">
        <v>21.2</v>
      </c>
      <c r="J4800" s="56" t="n">
        <v>0</v>
      </c>
      <c r="K4800" s="56" t="n">
        <v>1017.3</v>
      </c>
      <c r="L4800" s="56" t="n">
        <v>0</v>
      </c>
      <c r="M4800" s="56" t="n">
        <v>55</v>
      </c>
      <c r="N4800" s="56" t="n">
        <v>8.6</v>
      </c>
      <c r="O4800" s="56" t="n">
        <f aca="false">IF(D4800=1,"",E4799)</f>
        <v>27.8</v>
      </c>
      <c r="P4800" s="56" t="n">
        <f aca="false">IF(OR(D4800=1,K4799=""),"",K4799)</f>
        <v>1019.3</v>
      </c>
      <c r="Q4800" s="56" t="n">
        <f aca="false">IF(OR(F4800&lt;&gt;0,AND(I4800&lt;&gt;"",E4800&lt;I4800)),1,0)</f>
        <v>0</v>
      </c>
      <c r="R4800" s="56" t="n">
        <f aca="false">IF(AND(D4800&gt;1,Q4800=0,ISNUMBER(O4800),ISNUMBER(P4800)),IF(Q4799=0,1,0),0)</f>
        <v>1</v>
      </c>
      <c r="S4800" s="56" t="n">
        <f aca="false">R4800*(B4800&gt;=Train_Start)*(B4800&lt;=Train_End)</f>
        <v>0</v>
      </c>
      <c r="T4800" s="84" t="n">
        <f aca="false">IF(AND(ISNUMBER(O4800),ISNUMBER(P4800)),Coef_A+Coef_B1*O4800+Coef_B2*P4800,"")</f>
        <v>26.839938589007</v>
      </c>
      <c r="U4800" s="84" t="n">
        <f aca="false">IF(AND(R4800=1,ISNUMBER(T4800)),E4800-T4800,"")</f>
        <v>0.760061410993039</v>
      </c>
      <c r="V4800" s="84" t="n">
        <f aca="false">IF(ISNUMBER(T4800),T4800,-99)</f>
        <v>26.839938589007</v>
      </c>
      <c r="W4800" s="84" t="n">
        <f aca="false">IF(ISNUMBER(U4800),ABS(U4800),"")</f>
        <v>0.760061410993039</v>
      </c>
    </row>
    <row r="4801" customFormat="false" ht="15" hidden="false" customHeight="false" outlineLevel="0" collapsed="false">
      <c r="A4801" s="57" t="n">
        <v>40355</v>
      </c>
      <c r="B4801" s="56" t="n">
        <v>2010</v>
      </c>
      <c r="C4801" s="56" t="n">
        <v>6</v>
      </c>
      <c r="D4801" s="56" t="n">
        <v>57</v>
      </c>
      <c r="E4801" s="56" t="n">
        <v>30.6</v>
      </c>
      <c r="F4801" s="56" t="n">
        <v>0</v>
      </c>
      <c r="G4801" s="56" t="n">
        <v>15.1</v>
      </c>
      <c r="H4801" s="56" t="n">
        <v>0</v>
      </c>
      <c r="I4801" s="56" t="n">
        <v>21.4</v>
      </c>
      <c r="J4801" s="56" t="n">
        <v>0</v>
      </c>
      <c r="K4801" s="56" t="n">
        <v>1016.8</v>
      </c>
      <c r="L4801" s="56" t="n">
        <v>0</v>
      </c>
      <c r="M4801" s="56" t="n">
        <v>61</v>
      </c>
      <c r="N4801" s="56" t="n">
        <v>9.4</v>
      </c>
      <c r="O4801" s="56" t="n">
        <f aca="false">IF(D4801=1,"",E4800)</f>
        <v>27.6</v>
      </c>
      <c r="P4801" s="56" t="n">
        <f aca="false">IF(OR(D4801=1,K4800=""),"",K4800)</f>
        <v>1017.3</v>
      </c>
      <c r="Q4801" s="56" t="n">
        <f aca="false">IF(OR(F4801&lt;&gt;0,AND(I4801&lt;&gt;"",E4801&lt;I4801)),1,0)</f>
        <v>0</v>
      </c>
      <c r="R4801" s="56" t="n">
        <f aca="false">IF(AND(D4801&gt;1,Q4801=0,ISNUMBER(O4801),ISNUMBER(P4801)),IF(Q4800=0,1,0),0)</f>
        <v>1</v>
      </c>
      <c r="S4801" s="56" t="n">
        <f aca="false">R4801*(B4801&gt;=Train_Start)*(B4801&lt;=Train_End)</f>
        <v>0</v>
      </c>
      <c r="T4801" s="84" t="n">
        <f aca="false">IF(AND(ISNUMBER(O4801),ISNUMBER(P4801)),Coef_A+Coef_B1*O4801+Coef_B2*P4801,"")</f>
        <v>26.6133309611305</v>
      </c>
      <c r="U4801" s="84" t="n">
        <f aca="false">IF(AND(R4801=1,ISNUMBER(T4801)),E4801-T4801,"")</f>
        <v>3.98666903886954</v>
      </c>
      <c r="V4801" s="84" t="n">
        <f aca="false">IF(ISNUMBER(T4801),T4801,-99)</f>
        <v>26.6133309611305</v>
      </c>
      <c r="W4801" s="84" t="n">
        <f aca="false">IF(ISNUMBER(U4801),ABS(U4801),"")</f>
        <v>3.98666903886954</v>
      </c>
    </row>
    <row r="4802" customFormat="false" ht="15" hidden="false" customHeight="false" outlineLevel="0" collapsed="false">
      <c r="A4802" s="57" t="n">
        <v>40356</v>
      </c>
      <c r="B4802" s="56" t="n">
        <v>2010</v>
      </c>
      <c r="C4802" s="56" t="n">
        <v>6</v>
      </c>
      <c r="D4802" s="56" t="n">
        <v>58</v>
      </c>
      <c r="E4802" s="56" t="n">
        <v>28.7</v>
      </c>
      <c r="F4802" s="56" t="n">
        <v>0</v>
      </c>
      <c r="G4802" s="56" t="n">
        <v>14.1</v>
      </c>
      <c r="H4802" s="56" t="n">
        <v>0</v>
      </c>
      <c r="I4802" s="56" t="n">
        <v>22.4</v>
      </c>
      <c r="J4802" s="56" t="n">
        <v>0</v>
      </c>
      <c r="K4802" s="56" t="n">
        <v>1018</v>
      </c>
      <c r="L4802" s="56" t="n">
        <v>0</v>
      </c>
      <c r="M4802" s="56" t="n">
        <v>52</v>
      </c>
      <c r="N4802" s="56" t="n">
        <v>14.5</v>
      </c>
      <c r="O4802" s="56" t="n">
        <f aca="false">IF(D4802=1,"",E4801)</f>
        <v>30.6</v>
      </c>
      <c r="P4802" s="56" t="n">
        <f aca="false">IF(OR(D4802=1,K4801=""),"",K4801)</f>
        <v>1016.8</v>
      </c>
      <c r="Q4802" s="56" t="n">
        <f aca="false">IF(OR(F4802&lt;&gt;0,AND(I4802&lt;&gt;"",E4802&lt;I4802)),1,0)</f>
        <v>0</v>
      </c>
      <c r="R4802" s="56" t="n">
        <f aca="false">IF(AND(D4802&gt;1,Q4802=0,ISNUMBER(O4802),ISNUMBER(P4802)),IF(Q4801=0,1,0),0)</f>
        <v>1</v>
      </c>
      <c r="S4802" s="56" t="n">
        <f aca="false">R4802*(B4802&gt;=Train_Start)*(B4802&lt;=Train_End)</f>
        <v>0</v>
      </c>
      <c r="T4802" s="84" t="n">
        <f aca="false">IF(AND(ISNUMBER(O4802),ISNUMBER(P4802)),Coef_A+Coef_B1*O4802+Coef_B2*P4802,"")</f>
        <v>29.0556635929414</v>
      </c>
      <c r="U4802" s="84" t="n">
        <f aca="false">IF(AND(R4802=1,ISNUMBER(T4802)),E4802-T4802,"")</f>
        <v>-0.355663592941436</v>
      </c>
      <c r="V4802" s="84" t="n">
        <f aca="false">IF(ISNUMBER(T4802),T4802,-99)</f>
        <v>29.0556635929414</v>
      </c>
      <c r="W4802" s="84" t="n">
        <f aca="false">IF(ISNUMBER(U4802),ABS(U4802),"")</f>
        <v>0.355663592941436</v>
      </c>
    </row>
    <row r="4803" customFormat="false" ht="15" hidden="false" customHeight="false" outlineLevel="0" collapsed="false">
      <c r="A4803" s="57" t="n">
        <v>40357</v>
      </c>
      <c r="B4803" s="56" t="n">
        <v>2010</v>
      </c>
      <c r="C4803" s="56" t="n">
        <v>6</v>
      </c>
      <c r="D4803" s="56" t="n">
        <v>59</v>
      </c>
      <c r="E4803" s="56" t="n">
        <v>28.6</v>
      </c>
      <c r="F4803" s="56" t="n">
        <v>0</v>
      </c>
      <c r="G4803" s="56" t="n">
        <v>15.1</v>
      </c>
      <c r="H4803" s="56" t="n">
        <v>0</v>
      </c>
      <c r="I4803" s="56" t="n">
        <v>21.9</v>
      </c>
      <c r="J4803" s="56" t="n">
        <v>0</v>
      </c>
      <c r="K4803" s="56" t="n">
        <v>1020.4</v>
      </c>
      <c r="L4803" s="56" t="n">
        <v>0</v>
      </c>
      <c r="M4803" s="56" t="n">
        <v>47</v>
      </c>
      <c r="N4803" s="56" t="n">
        <v>13.9</v>
      </c>
      <c r="O4803" s="56" t="n">
        <f aca="false">IF(D4803=1,"",E4802)</f>
        <v>28.7</v>
      </c>
      <c r="P4803" s="56" t="n">
        <f aca="false">IF(OR(D4803=1,K4802=""),"",K4802)</f>
        <v>1018</v>
      </c>
      <c r="Q4803" s="56" t="n">
        <f aca="false">IF(OR(F4803&lt;&gt;0,AND(I4803&lt;&gt;"",E4803&lt;I4803)),1,0)</f>
        <v>0</v>
      </c>
      <c r="R4803" s="56" t="n">
        <f aca="false">IF(AND(D4803&gt;1,Q4803=0,ISNUMBER(O4803),ISNUMBER(P4803)),IF(Q4802=0,1,0),0)</f>
        <v>1</v>
      </c>
      <c r="S4803" s="56" t="n">
        <f aca="false">R4803*(B4803&gt;=Train_Start)*(B4803&lt;=Train_End)</f>
        <v>0</v>
      </c>
      <c r="T4803" s="84" t="n">
        <f aca="false">IF(AND(ISNUMBER(O4803),ISNUMBER(P4803)),Coef_A+Coef_B1*O4803+Coef_B2*P4803,"")</f>
        <v>27.5365629997212</v>
      </c>
      <c r="U4803" s="84" t="n">
        <f aca="false">IF(AND(R4803=1,ISNUMBER(T4803)),E4803-T4803,"")</f>
        <v>1.06343700027883</v>
      </c>
      <c r="V4803" s="84" t="n">
        <f aca="false">IF(ISNUMBER(T4803),T4803,-99)</f>
        <v>27.5365629997212</v>
      </c>
      <c r="W4803" s="84" t="n">
        <f aca="false">IF(ISNUMBER(U4803),ABS(U4803),"")</f>
        <v>1.06343700027883</v>
      </c>
    </row>
    <row r="4804" customFormat="false" ht="15" hidden="false" customHeight="false" outlineLevel="0" collapsed="false">
      <c r="A4804" s="57" t="n">
        <v>40358</v>
      </c>
      <c r="B4804" s="56" t="n">
        <v>2010</v>
      </c>
      <c r="C4804" s="56" t="n">
        <v>6</v>
      </c>
      <c r="D4804" s="56" t="n">
        <v>60</v>
      </c>
      <c r="E4804" s="56" t="n">
        <v>26.4</v>
      </c>
      <c r="F4804" s="56" t="n">
        <v>0</v>
      </c>
      <c r="G4804" s="56" t="n">
        <v>15.9</v>
      </c>
      <c r="H4804" s="56" t="n">
        <v>0</v>
      </c>
      <c r="I4804" s="56" t="n">
        <v>22.3</v>
      </c>
      <c r="J4804" s="56" t="n">
        <v>0</v>
      </c>
      <c r="K4804" s="56" t="n">
        <v>1019.2</v>
      </c>
      <c r="L4804" s="56" t="n">
        <v>0</v>
      </c>
      <c r="M4804" s="56" t="n">
        <v>57</v>
      </c>
      <c r="N4804" s="56" t="n">
        <v>4.9</v>
      </c>
      <c r="O4804" s="56" t="n">
        <f aca="false">IF(D4804=1,"",E4803)</f>
        <v>28.6</v>
      </c>
      <c r="P4804" s="56" t="n">
        <f aca="false">IF(OR(D4804=1,K4803=""),"",K4803)</f>
        <v>1020.4</v>
      </c>
      <c r="Q4804" s="56" t="n">
        <f aca="false">IF(OR(F4804&lt;&gt;0,AND(I4804&lt;&gt;"",E4804&lt;I4804)),1,0)</f>
        <v>0</v>
      </c>
      <c r="R4804" s="56" t="n">
        <f aca="false">IF(AND(D4804&gt;1,Q4804=0,ISNUMBER(O4804),ISNUMBER(P4804)),IF(Q4803=0,1,0),0)</f>
        <v>1</v>
      </c>
      <c r="S4804" s="56" t="n">
        <f aca="false">R4804*(B4804&gt;=Train_Start)*(B4804&lt;=Train_End)</f>
        <v>0</v>
      </c>
      <c r="T4804" s="84" t="n">
        <f aca="false">IF(AND(ISNUMBER(O4804),ISNUMBER(P4804)),Coef_A+Coef_B1*O4804+Coef_B2*P4804,"")</f>
        <v>27.5299168275385</v>
      </c>
      <c r="U4804" s="84" t="n">
        <f aca="false">IF(AND(R4804=1,ISNUMBER(T4804)),E4804-T4804,"")</f>
        <v>-1.12991682753848</v>
      </c>
      <c r="V4804" s="84" t="n">
        <f aca="false">IF(ISNUMBER(T4804),T4804,-99)</f>
        <v>27.5299168275385</v>
      </c>
      <c r="W4804" s="84" t="n">
        <f aca="false">IF(ISNUMBER(U4804),ABS(U4804),"")</f>
        <v>1.12991682753848</v>
      </c>
    </row>
    <row r="4805" customFormat="false" ht="15" hidden="false" customHeight="false" outlineLevel="0" collapsed="false">
      <c r="A4805" s="57" t="n">
        <v>40359</v>
      </c>
      <c r="B4805" s="56" t="n">
        <v>2010</v>
      </c>
      <c r="C4805" s="56" t="n">
        <v>6</v>
      </c>
      <c r="D4805" s="56" t="n">
        <v>61</v>
      </c>
      <c r="E4805" s="56" t="n">
        <v>27.2</v>
      </c>
      <c r="F4805" s="56" t="n">
        <v>0</v>
      </c>
      <c r="G4805" s="56" t="n">
        <v>16.9</v>
      </c>
      <c r="H4805" s="56" t="n">
        <v>0</v>
      </c>
      <c r="I4805" s="56" t="n">
        <v>21.7</v>
      </c>
      <c r="J4805" s="56" t="n">
        <v>0</v>
      </c>
      <c r="K4805" s="56" t="n">
        <v>1018.5</v>
      </c>
      <c r="L4805" s="56" t="n">
        <v>0</v>
      </c>
      <c r="M4805" s="56" t="n">
        <v>62</v>
      </c>
      <c r="N4805" s="56" t="n">
        <v>4.4</v>
      </c>
      <c r="O4805" s="56" t="n">
        <f aca="false">IF(D4805=1,"",E4804)</f>
        <v>26.4</v>
      </c>
      <c r="P4805" s="56" t="n">
        <f aca="false">IF(OR(D4805=1,K4804=""),"",K4804)</f>
        <v>1019.2</v>
      </c>
      <c r="Q4805" s="56" t="n">
        <f aca="false">IF(OR(F4805&lt;&gt;0,AND(I4805&lt;&gt;"",E4805&lt;I4805)),1,0)</f>
        <v>0</v>
      </c>
      <c r="R4805" s="56" t="n">
        <f aca="false">IF(AND(D4805&gt;1,Q4805=0,ISNUMBER(O4805),ISNUMBER(P4805)),IF(Q4804=0,1,0),0)</f>
        <v>1</v>
      </c>
      <c r="S4805" s="56" t="n">
        <f aca="false">R4805*(B4805&gt;=Train_Start)*(B4805&lt;=Train_End)</f>
        <v>0</v>
      </c>
      <c r="T4805" s="84" t="n">
        <f aca="false">IF(AND(ISNUMBER(O4805),ISNUMBER(P4805)),Coef_A+Coef_B1*O4805+Coef_B2*P4805,"")</f>
        <v>25.6897267292838</v>
      </c>
      <c r="U4805" s="84" t="n">
        <f aca="false">IF(AND(R4805=1,ISNUMBER(T4805)),E4805-T4805,"")</f>
        <v>1.51027327071616</v>
      </c>
      <c r="V4805" s="84" t="n">
        <f aca="false">IF(ISNUMBER(T4805),T4805,-99)</f>
        <v>25.6897267292838</v>
      </c>
      <c r="W4805" s="84" t="n">
        <f aca="false">IF(ISNUMBER(U4805),ABS(U4805),"")</f>
        <v>1.51027327071616</v>
      </c>
    </row>
    <row r="4806" customFormat="false" ht="15" hidden="false" customHeight="false" outlineLevel="0" collapsed="false">
      <c r="A4806" s="57" t="n">
        <v>40360</v>
      </c>
      <c r="B4806" s="56" t="n">
        <v>2010</v>
      </c>
      <c r="C4806" s="56" t="n">
        <v>7</v>
      </c>
      <c r="D4806" s="56" t="n">
        <v>62</v>
      </c>
      <c r="E4806" s="56" t="n">
        <v>25.8</v>
      </c>
      <c r="F4806" s="56" t="n">
        <v>0</v>
      </c>
      <c r="G4806" s="56" t="n">
        <v>13.7</v>
      </c>
      <c r="H4806" s="56" t="n">
        <v>0</v>
      </c>
      <c r="I4806" s="56" t="n">
        <v>20.5</v>
      </c>
      <c r="J4806" s="56" t="n">
        <v>0</v>
      </c>
      <c r="K4806" s="56" t="n">
        <v>1013.3</v>
      </c>
      <c r="L4806" s="56" t="n">
        <v>0</v>
      </c>
      <c r="M4806" s="56" t="n">
        <v>64</v>
      </c>
      <c r="N4806" s="56" t="n">
        <v>3.3</v>
      </c>
      <c r="O4806" s="56" t="n">
        <f aca="false">IF(D4806=1,"",E4805)</f>
        <v>27.2</v>
      </c>
      <c r="P4806" s="56" t="n">
        <f aca="false">IF(OR(D4806=1,K4805=""),"",K4805)</f>
        <v>1018.5</v>
      </c>
      <c r="Q4806" s="56" t="n">
        <f aca="false">IF(OR(F4806&lt;&gt;0,AND(I4806&lt;&gt;"",E4806&lt;I4806)),1,0)</f>
        <v>0</v>
      </c>
      <c r="R4806" s="56" t="n">
        <f aca="false">IF(AND(D4806&gt;1,Q4806=0,ISNUMBER(O4806),ISNUMBER(P4806)),IF(Q4805=0,1,0),0)</f>
        <v>1</v>
      </c>
      <c r="S4806" s="56" t="n">
        <f aca="false">R4806*(B4806&gt;=Train_Start)*(B4806&lt;=Train_End)</f>
        <v>0</v>
      </c>
      <c r="T4806" s="84" t="n">
        <f aca="false">IF(AND(ISNUMBER(O4806),ISNUMBER(P4806)),Coef_A+Coef_B1*O4806+Coef_B2*P4806,"")</f>
        <v>26.3232391574742</v>
      </c>
      <c r="U4806" s="84" t="n">
        <f aca="false">IF(AND(R4806=1,ISNUMBER(T4806)),E4806-T4806,"")</f>
        <v>-0.52323915747418</v>
      </c>
      <c r="V4806" s="84" t="n">
        <f aca="false">IF(ISNUMBER(T4806),T4806,-99)</f>
        <v>26.3232391574742</v>
      </c>
      <c r="W4806" s="84" t="n">
        <f aca="false">IF(ISNUMBER(U4806),ABS(U4806),"")</f>
        <v>0.52323915747418</v>
      </c>
    </row>
    <row r="4807" customFormat="false" ht="15" hidden="false" customHeight="false" outlineLevel="0" collapsed="false">
      <c r="A4807" s="57" t="n">
        <v>40361</v>
      </c>
      <c r="B4807" s="56" t="n">
        <v>2010</v>
      </c>
      <c r="C4807" s="56" t="n">
        <v>7</v>
      </c>
      <c r="D4807" s="56" t="n">
        <v>63</v>
      </c>
      <c r="E4807" s="56" t="n">
        <v>26.1</v>
      </c>
      <c r="F4807" s="56" t="n">
        <v>0</v>
      </c>
      <c r="G4807" s="56" t="n">
        <v>18.7</v>
      </c>
      <c r="H4807" s="56" t="n">
        <v>0</v>
      </c>
      <c r="I4807" s="56" t="n">
        <v>22.3</v>
      </c>
      <c r="J4807" s="56" t="n">
        <v>0</v>
      </c>
      <c r="K4807" s="56" t="n">
        <v>1011.6</v>
      </c>
      <c r="L4807" s="56" t="n">
        <v>0</v>
      </c>
      <c r="M4807" s="56" t="n">
        <v>65</v>
      </c>
      <c r="N4807" s="56" t="n">
        <v>1.8</v>
      </c>
      <c r="O4807" s="56" t="n">
        <f aca="false">IF(D4807=1,"",E4806)</f>
        <v>25.8</v>
      </c>
      <c r="P4807" s="56" t="n">
        <f aca="false">IF(OR(D4807=1,K4806=""),"",K4806)</f>
        <v>1013.3</v>
      </c>
      <c r="Q4807" s="56" t="n">
        <f aca="false">IF(OR(F4807&lt;&gt;0,AND(I4807&lt;&gt;"",E4807&lt;I4807)),1,0)</f>
        <v>0</v>
      </c>
      <c r="R4807" s="56" t="n">
        <f aca="false">IF(AND(D4807&gt;1,Q4807=0,ISNUMBER(O4807),ISNUMBER(P4807)),IF(Q4806=0,1,0),0)</f>
        <v>1</v>
      </c>
      <c r="S4807" s="56" t="n">
        <f aca="false">R4807*(B4807&gt;=Train_Start)*(B4807&lt;=Train_End)</f>
        <v>0</v>
      </c>
      <c r="T4807" s="84" t="n">
        <f aca="false">IF(AND(ISNUMBER(O4807),ISNUMBER(P4807)),Coef_A+Coef_B1*O4807+Coef_B2*P4807,"")</f>
        <v>25.0130408351177</v>
      </c>
      <c r="U4807" s="84" t="n">
        <f aca="false">IF(AND(R4807=1,ISNUMBER(T4807)),E4807-T4807,"")</f>
        <v>1.08695916488229</v>
      </c>
      <c r="V4807" s="84" t="n">
        <f aca="false">IF(ISNUMBER(T4807),T4807,-99)</f>
        <v>25.0130408351177</v>
      </c>
      <c r="W4807" s="84" t="n">
        <f aca="false">IF(ISNUMBER(U4807),ABS(U4807),"")</f>
        <v>1.08695916488229</v>
      </c>
    </row>
    <row r="4808" customFormat="false" ht="15" hidden="false" customHeight="false" outlineLevel="0" collapsed="false">
      <c r="A4808" s="57" t="n">
        <v>40362</v>
      </c>
      <c r="B4808" s="56" t="n">
        <v>2010</v>
      </c>
      <c r="C4808" s="56" t="n">
        <v>7</v>
      </c>
      <c r="D4808" s="56" t="n">
        <v>64</v>
      </c>
      <c r="E4808" s="56" t="n">
        <v>24.5</v>
      </c>
      <c r="F4808" s="56" t="n">
        <v>0</v>
      </c>
      <c r="G4808" s="56" t="n">
        <v>14.8</v>
      </c>
      <c r="H4808" s="56" t="n">
        <v>0</v>
      </c>
      <c r="I4808" s="56" t="n">
        <v>20.5</v>
      </c>
      <c r="J4808" s="56" t="n">
        <v>0</v>
      </c>
      <c r="K4808" s="56" t="n">
        <v>1018.8</v>
      </c>
      <c r="L4808" s="56" t="n">
        <v>0</v>
      </c>
      <c r="M4808" s="56" t="n">
        <v>53</v>
      </c>
      <c r="N4808" s="56" t="n">
        <v>10.9</v>
      </c>
      <c r="O4808" s="56" t="n">
        <f aca="false">IF(D4808=1,"",E4807)</f>
        <v>26.1</v>
      </c>
      <c r="P4808" s="56" t="n">
        <f aca="false">IF(OR(D4808=1,K4807=""),"",K4807)</f>
        <v>1011.6</v>
      </c>
      <c r="Q4808" s="56" t="n">
        <f aca="false">IF(OR(F4808&lt;&gt;0,AND(I4808&lt;&gt;"",E4808&lt;I4808)),1,0)</f>
        <v>0</v>
      </c>
      <c r="R4808" s="56" t="n">
        <f aca="false">IF(AND(D4808&gt;1,Q4808=0,ISNUMBER(O4808),ISNUMBER(P4808)),IF(Q4807=0,1,0),0)</f>
        <v>1</v>
      </c>
      <c r="S4808" s="56" t="n">
        <f aca="false">R4808*(B4808&gt;=Train_Start)*(B4808&lt;=Train_End)</f>
        <v>0</v>
      </c>
      <c r="T4808" s="84" t="n">
        <f aca="false">IF(AND(ISNUMBER(O4808),ISNUMBER(P4808)),Coef_A+Coef_B1*O4808+Coef_B2*P4808,"")</f>
        <v>25.2055137721527</v>
      </c>
      <c r="U4808" s="84" t="n">
        <f aca="false">IF(AND(R4808=1,ISNUMBER(T4808)),E4808-T4808,"")</f>
        <v>-0.705513772152731</v>
      </c>
      <c r="V4808" s="84" t="n">
        <f aca="false">IF(ISNUMBER(T4808),T4808,-99)</f>
        <v>25.2055137721527</v>
      </c>
      <c r="W4808" s="84" t="n">
        <f aca="false">IF(ISNUMBER(U4808),ABS(U4808),"")</f>
        <v>0.705513772152731</v>
      </c>
    </row>
    <row r="4809" customFormat="false" ht="15" hidden="false" customHeight="false" outlineLevel="0" collapsed="false">
      <c r="A4809" s="57" t="n">
        <v>40363</v>
      </c>
      <c r="B4809" s="56" t="n">
        <v>2010</v>
      </c>
      <c r="C4809" s="56" t="n">
        <v>7</v>
      </c>
      <c r="D4809" s="56" t="n">
        <v>65</v>
      </c>
      <c r="E4809" s="56" t="n">
        <v>24.2</v>
      </c>
      <c r="F4809" s="56" t="n">
        <v>0</v>
      </c>
      <c r="G4809" s="56" t="n">
        <v>13.1</v>
      </c>
      <c r="H4809" s="56" t="n">
        <v>0</v>
      </c>
      <c r="I4809" s="56" t="n">
        <v>18.8</v>
      </c>
      <c r="J4809" s="56" t="n">
        <v>0</v>
      </c>
      <c r="K4809" s="56" t="n">
        <v>1020.1</v>
      </c>
      <c r="L4809" s="56" t="n">
        <v>0</v>
      </c>
      <c r="M4809" s="56" t="n">
        <v>61</v>
      </c>
      <c r="N4809" s="56" t="n">
        <v>8.6</v>
      </c>
      <c r="O4809" s="56" t="n">
        <f aca="false">IF(D4809=1,"",E4808)</f>
        <v>24.5</v>
      </c>
      <c r="P4809" s="56" t="n">
        <f aca="false">IF(OR(D4809=1,K4808=""),"",K4808)</f>
        <v>1018.8</v>
      </c>
      <c r="Q4809" s="56" t="n">
        <f aca="false">IF(OR(F4809&lt;&gt;0,AND(I4809&lt;&gt;"",E4809&lt;I4809)),1,0)</f>
        <v>0</v>
      </c>
      <c r="R4809" s="56" t="n">
        <f aca="false">IF(AND(D4809&gt;1,Q4809=0,ISNUMBER(O4809),ISNUMBER(P4809)),IF(Q4808=0,1,0),0)</f>
        <v>1</v>
      </c>
      <c r="S4809" s="56" t="n">
        <f aca="false">R4809*(B4809&gt;=Train_Start)*(B4809&lt;=Train_End)</f>
        <v>0</v>
      </c>
      <c r="T4809" s="84" t="n">
        <f aca="false">IF(AND(ISNUMBER(O4809),ISNUMBER(P4809)),Coef_A+Coef_B1*O4809+Coef_B2*P4809,"")</f>
        <v>24.1204343046492</v>
      </c>
      <c r="U4809" s="84" t="n">
        <f aca="false">IF(AND(R4809=1,ISNUMBER(T4809)),E4809-T4809,"")</f>
        <v>0.0795656953507979</v>
      </c>
      <c r="V4809" s="84" t="n">
        <f aca="false">IF(ISNUMBER(T4809),T4809,-99)</f>
        <v>24.1204343046492</v>
      </c>
      <c r="W4809" s="84" t="n">
        <f aca="false">IF(ISNUMBER(U4809),ABS(U4809),"")</f>
        <v>0.0795656953507979</v>
      </c>
    </row>
    <row r="4810" customFormat="false" ht="15" hidden="false" customHeight="false" outlineLevel="0" collapsed="false">
      <c r="A4810" s="57" t="n">
        <v>40364</v>
      </c>
      <c r="B4810" s="56" t="n">
        <v>2010</v>
      </c>
      <c r="C4810" s="56" t="n">
        <v>7</v>
      </c>
      <c r="D4810" s="56" t="n">
        <v>66</v>
      </c>
      <c r="E4810" s="56" t="n">
        <v>23.8</v>
      </c>
      <c r="F4810" s="56" t="n">
        <v>0</v>
      </c>
      <c r="G4810" s="56" t="n">
        <v>13.4</v>
      </c>
      <c r="H4810" s="56" t="n">
        <v>0</v>
      </c>
      <c r="I4810" s="56" t="n">
        <v>18.8</v>
      </c>
      <c r="J4810" s="56" t="n">
        <v>0</v>
      </c>
      <c r="K4810" s="56" t="n">
        <v>1021.5</v>
      </c>
      <c r="L4810" s="56" t="n">
        <v>0</v>
      </c>
      <c r="M4810" s="56" t="n">
        <v>56</v>
      </c>
      <c r="N4810" s="56" t="n">
        <v>8.5</v>
      </c>
      <c r="O4810" s="56" t="n">
        <f aca="false">IF(D4810=1,"",E4809)</f>
        <v>24.2</v>
      </c>
      <c r="P4810" s="56" t="n">
        <f aca="false">IF(OR(D4810=1,K4809=""),"",K4809)</f>
        <v>1020.1</v>
      </c>
      <c r="Q4810" s="56" t="n">
        <f aca="false">IF(OR(F4810&lt;&gt;0,AND(I4810&lt;&gt;"",E4810&lt;I4810)),1,0)</f>
        <v>0</v>
      </c>
      <c r="R4810" s="56" t="n">
        <f aca="false">IF(AND(D4810&gt;1,Q4810=0,ISNUMBER(O4810),ISNUMBER(P4810)),IF(Q4809=0,1,0),0)</f>
        <v>1</v>
      </c>
      <c r="S4810" s="56" t="n">
        <f aca="false">R4810*(B4810&gt;=Train_Start)*(B4810&lt;=Train_End)</f>
        <v>0</v>
      </c>
      <c r="T4810" s="84" t="n">
        <f aca="false">IF(AND(ISNUMBER(O4810),ISNUMBER(P4810)),Coef_A+Coef_B1*O4810+Coef_B2*P4810,"")</f>
        <v>23.9154134097606</v>
      </c>
      <c r="U4810" s="84" t="n">
        <f aca="false">IF(AND(R4810=1,ISNUMBER(T4810)),E4810-T4810,"")</f>
        <v>-0.115413409760588</v>
      </c>
      <c r="V4810" s="84" t="n">
        <f aca="false">IF(ISNUMBER(T4810),T4810,-99)</f>
        <v>23.9154134097606</v>
      </c>
      <c r="W4810" s="84" t="n">
        <f aca="false">IF(ISNUMBER(U4810),ABS(U4810),"")</f>
        <v>0.115413409760588</v>
      </c>
    </row>
    <row r="4811" customFormat="false" ht="15" hidden="false" customHeight="false" outlineLevel="0" collapsed="false">
      <c r="A4811" s="57" t="n">
        <v>40365</v>
      </c>
      <c r="B4811" s="56" t="n">
        <v>2010</v>
      </c>
      <c r="C4811" s="56" t="n">
        <v>7</v>
      </c>
      <c r="D4811" s="56" t="n">
        <v>67</v>
      </c>
      <c r="E4811" s="56" t="n">
        <v>24</v>
      </c>
      <c r="F4811" s="56" t="n">
        <v>0</v>
      </c>
      <c r="G4811" s="56" t="n">
        <v>12</v>
      </c>
      <c r="H4811" s="56" t="n">
        <v>0</v>
      </c>
      <c r="I4811" s="56" t="n">
        <v>17.9</v>
      </c>
      <c r="J4811" s="56" t="n">
        <v>0</v>
      </c>
      <c r="K4811" s="56" t="n">
        <v>1025</v>
      </c>
      <c r="L4811" s="56" t="n">
        <v>0</v>
      </c>
      <c r="M4811" s="56" t="n">
        <v>51</v>
      </c>
      <c r="N4811" s="56" t="n">
        <v>6.5</v>
      </c>
      <c r="O4811" s="56" t="n">
        <f aca="false">IF(D4811=1,"",E4810)</f>
        <v>23.8</v>
      </c>
      <c r="P4811" s="56" t="n">
        <f aca="false">IF(OR(D4811=1,K4810=""),"",K4810)</f>
        <v>1021.5</v>
      </c>
      <c r="Q4811" s="56" t="n">
        <f aca="false">IF(OR(F4811&lt;&gt;0,AND(I4811&lt;&gt;"",E4811&lt;I4811)),1,0)</f>
        <v>0</v>
      </c>
      <c r="R4811" s="56" t="n">
        <f aca="false">IF(AND(D4811&gt;1,Q4811=0,ISNUMBER(O4811),ISNUMBER(P4811)),IF(Q4810=0,1,0),0)</f>
        <v>1</v>
      </c>
      <c r="S4811" s="56" t="n">
        <f aca="false">R4811*(B4811&gt;=Train_Start)*(B4811&lt;=Train_End)</f>
        <v>0</v>
      </c>
      <c r="T4811" s="84" t="n">
        <f aca="false">IF(AND(ISNUMBER(O4811),ISNUMBER(P4811)),Coef_A+Coef_B1*O4811+Coef_B2*P4811,"")</f>
        <v>23.6315955850311</v>
      </c>
      <c r="U4811" s="84" t="n">
        <f aca="false">IF(AND(R4811=1,ISNUMBER(T4811)),E4811-T4811,"")</f>
        <v>0.368404414968886</v>
      </c>
      <c r="V4811" s="84" t="n">
        <f aca="false">IF(ISNUMBER(T4811),T4811,-99)</f>
        <v>23.6315955850311</v>
      </c>
      <c r="W4811" s="84" t="n">
        <f aca="false">IF(ISNUMBER(U4811),ABS(U4811),"")</f>
        <v>0.368404414968886</v>
      </c>
    </row>
    <row r="4812" customFormat="false" ht="15" hidden="false" customHeight="false" outlineLevel="0" collapsed="false">
      <c r="A4812" s="57" t="n">
        <v>40366</v>
      </c>
      <c r="B4812" s="56" t="n">
        <v>2010</v>
      </c>
      <c r="C4812" s="56" t="n">
        <v>7</v>
      </c>
      <c r="D4812" s="56" t="n">
        <v>68</v>
      </c>
      <c r="E4812" s="56" t="n">
        <v>27.1</v>
      </c>
      <c r="F4812" s="56" t="n">
        <v>0</v>
      </c>
      <c r="G4812" s="56" t="n">
        <v>14.7</v>
      </c>
      <c r="H4812" s="56" t="n">
        <v>0</v>
      </c>
      <c r="I4812" s="56" t="n">
        <v>19.4</v>
      </c>
      <c r="J4812" s="56" t="n">
        <v>0</v>
      </c>
      <c r="K4812" s="56" t="n">
        <v>1019.7</v>
      </c>
      <c r="L4812" s="56" t="n">
        <v>0</v>
      </c>
      <c r="M4812" s="56" t="n">
        <v>74</v>
      </c>
      <c r="N4812" s="56" t="n">
        <v>0.3</v>
      </c>
      <c r="O4812" s="56" t="n">
        <f aca="false">IF(D4812=1,"",E4811)</f>
        <v>24</v>
      </c>
      <c r="P4812" s="56" t="n">
        <f aca="false">IF(OR(D4812=1,K4811=""),"",K4811)</f>
        <v>1025</v>
      </c>
      <c r="Q4812" s="56" t="n">
        <f aca="false">IF(OR(F4812&lt;&gt;0,AND(I4812&lt;&gt;"",E4812&lt;I4812)),1,0)</f>
        <v>0</v>
      </c>
      <c r="R4812" s="56" t="n">
        <f aca="false">IF(AND(D4812&gt;1,Q4812=0,ISNUMBER(O4812),ISNUMBER(P4812)),IF(Q4811=0,1,0),0)</f>
        <v>1</v>
      </c>
      <c r="S4812" s="56" t="n">
        <f aca="false">R4812*(B4812&gt;=Train_Start)*(B4812&lt;=Train_End)</f>
        <v>0</v>
      </c>
      <c r="T4812" s="84" t="n">
        <f aca="false">IF(AND(ISNUMBER(O4812),ISNUMBER(P4812)),Coef_A+Coef_B1*O4812+Coef_B2*P4812,"")</f>
        <v>23.9052580548586</v>
      </c>
      <c r="U4812" s="84" t="n">
        <f aca="false">IF(AND(R4812=1,ISNUMBER(T4812)),E4812-T4812,"")</f>
        <v>3.1947419451414</v>
      </c>
      <c r="V4812" s="84" t="n">
        <f aca="false">IF(ISNUMBER(T4812),T4812,-99)</f>
        <v>23.9052580548586</v>
      </c>
      <c r="W4812" s="84" t="n">
        <f aca="false">IF(ISNUMBER(U4812),ABS(U4812),"")</f>
        <v>3.1947419451414</v>
      </c>
    </row>
    <row r="4813" customFormat="false" ht="15" hidden="false" customHeight="false" outlineLevel="0" collapsed="false">
      <c r="A4813" s="57" t="n">
        <v>40367</v>
      </c>
      <c r="B4813" s="56" t="n">
        <v>2010</v>
      </c>
      <c r="C4813" s="56" t="n">
        <v>7</v>
      </c>
      <c r="D4813" s="56" t="n">
        <v>69</v>
      </c>
      <c r="E4813" s="56" t="n">
        <v>31.2</v>
      </c>
      <c r="F4813" s="56" t="n">
        <v>0</v>
      </c>
      <c r="G4813" s="56" t="n">
        <v>16.4</v>
      </c>
      <c r="H4813" s="56" t="n">
        <v>0</v>
      </c>
      <c r="I4813" s="56" t="n">
        <v>21.8</v>
      </c>
      <c r="J4813" s="56" t="n">
        <v>0</v>
      </c>
      <c r="K4813" s="56" t="n">
        <v>1017.9</v>
      </c>
      <c r="L4813" s="56" t="n">
        <v>0</v>
      </c>
      <c r="M4813" s="56" t="n">
        <v>70</v>
      </c>
      <c r="N4813" s="56" t="n">
        <v>4.9</v>
      </c>
      <c r="O4813" s="56" t="n">
        <f aca="false">IF(D4813=1,"",E4812)</f>
        <v>27.1</v>
      </c>
      <c r="P4813" s="56" t="n">
        <f aca="false">IF(OR(D4813=1,K4812=""),"",K4812)</f>
        <v>1019.7</v>
      </c>
      <c r="Q4813" s="56" t="n">
        <f aca="false">IF(OR(F4813&lt;&gt;0,AND(I4813&lt;&gt;"",E4813&lt;I4813)),1,0)</f>
        <v>0</v>
      </c>
      <c r="R4813" s="56" t="n">
        <f aca="false">IF(AND(D4813&gt;1,Q4813=0,ISNUMBER(O4813),ISNUMBER(P4813)),IF(Q4812=0,1,0),0)</f>
        <v>1</v>
      </c>
      <c r="S4813" s="56" t="n">
        <f aca="false">R4813*(B4813&gt;=Train_Start)*(B4813&lt;=Train_End)</f>
        <v>0</v>
      </c>
      <c r="T4813" s="84" t="n">
        <f aca="false">IF(AND(ISNUMBER(O4813),ISNUMBER(P4813)),Coef_A+Coef_B1*O4813+Coef_B2*P4813,"")</f>
        <v>26.2789491117307</v>
      </c>
      <c r="U4813" s="84" t="n">
        <f aca="false">IF(AND(R4813=1,ISNUMBER(T4813)),E4813-T4813,"")</f>
        <v>4.9210508882693</v>
      </c>
      <c r="V4813" s="84" t="n">
        <f aca="false">IF(ISNUMBER(T4813),T4813,-99)</f>
        <v>26.2789491117307</v>
      </c>
      <c r="W4813" s="84" t="n">
        <f aca="false">IF(ISNUMBER(U4813),ABS(U4813),"")</f>
        <v>4.9210508882693</v>
      </c>
    </row>
    <row r="4814" customFormat="false" ht="15" hidden="false" customHeight="false" outlineLevel="0" collapsed="false">
      <c r="A4814" s="57" t="n">
        <v>40368</v>
      </c>
      <c r="B4814" s="56" t="n">
        <v>2010</v>
      </c>
      <c r="C4814" s="56" t="n">
        <v>7</v>
      </c>
      <c r="D4814" s="56" t="n">
        <v>70</v>
      </c>
      <c r="E4814" s="56" t="n">
        <v>29.1</v>
      </c>
      <c r="F4814" s="56" t="n">
        <v>0</v>
      </c>
      <c r="G4814" s="56" t="n">
        <v>15.7</v>
      </c>
      <c r="H4814" s="56" t="n">
        <v>0</v>
      </c>
      <c r="I4814" s="56" t="n">
        <v>23.5</v>
      </c>
      <c r="J4814" s="56" t="n">
        <v>0</v>
      </c>
      <c r="K4814" s="56" t="n">
        <v>1016.5</v>
      </c>
      <c r="L4814" s="56" t="n">
        <v>0</v>
      </c>
      <c r="M4814" s="56" t="n">
        <v>57</v>
      </c>
      <c r="N4814" s="56" t="n">
        <v>10.6</v>
      </c>
      <c r="O4814" s="56" t="n">
        <f aca="false">IF(D4814=1,"",E4813)</f>
        <v>31.2</v>
      </c>
      <c r="P4814" s="56" t="n">
        <f aca="false">IF(OR(D4814=1,K4813=""),"",K4813)</f>
        <v>1017.9</v>
      </c>
      <c r="Q4814" s="56" t="n">
        <f aca="false">IF(OR(F4814&lt;&gt;0,AND(I4814&lt;&gt;"",E4814&lt;I4814)),1,0)</f>
        <v>0</v>
      </c>
      <c r="R4814" s="56" t="n">
        <f aca="false">IF(AND(D4814&gt;1,Q4814=0,ISNUMBER(O4814),ISNUMBER(P4814)),IF(Q4813=0,1,0),0)</f>
        <v>1</v>
      </c>
      <c r="S4814" s="56" t="n">
        <f aca="false">R4814*(B4814&gt;=Train_Start)*(B4814&lt;=Train_End)</f>
        <v>0</v>
      </c>
      <c r="T4814" s="84" t="n">
        <f aca="false">IF(AND(ISNUMBER(O4814),ISNUMBER(P4814)),Coef_A+Coef_B1*O4814+Coef_B2*P4814,"")</f>
        <v>29.5817739928644</v>
      </c>
      <c r="U4814" s="84" t="n">
        <f aca="false">IF(AND(R4814=1,ISNUMBER(T4814)),E4814-T4814,"")</f>
        <v>-0.481773992864415</v>
      </c>
      <c r="V4814" s="84" t="n">
        <f aca="false">IF(ISNUMBER(T4814),T4814,-99)</f>
        <v>29.5817739928644</v>
      </c>
      <c r="W4814" s="84" t="n">
        <f aca="false">IF(ISNUMBER(U4814),ABS(U4814),"")</f>
        <v>0.481773992864415</v>
      </c>
    </row>
    <row r="4815" customFormat="false" ht="15" hidden="false" customHeight="false" outlineLevel="0" collapsed="false">
      <c r="A4815" s="57" t="n">
        <v>40369</v>
      </c>
      <c r="B4815" s="56" t="n">
        <v>2010</v>
      </c>
      <c r="C4815" s="56" t="n">
        <v>7</v>
      </c>
      <c r="D4815" s="56" t="n">
        <v>71</v>
      </c>
      <c r="E4815" s="56" t="n">
        <v>27.5</v>
      </c>
      <c r="F4815" s="56" t="n">
        <v>0</v>
      </c>
      <c r="G4815" s="56" t="n">
        <v>17</v>
      </c>
      <c r="H4815" s="56" t="n">
        <v>0</v>
      </c>
      <c r="I4815" s="56" t="n">
        <v>23.1</v>
      </c>
      <c r="J4815" s="56" t="n">
        <v>0</v>
      </c>
      <c r="K4815" s="56" t="n">
        <v>1017.4</v>
      </c>
      <c r="L4815" s="56" t="n">
        <v>0</v>
      </c>
      <c r="M4815" s="56" t="n">
        <v>64</v>
      </c>
      <c r="N4815" s="56" t="n">
        <v>10.6</v>
      </c>
      <c r="O4815" s="56" t="n">
        <f aca="false">IF(D4815=1,"",E4814)</f>
        <v>29.1</v>
      </c>
      <c r="P4815" s="56" t="n">
        <f aca="false">IF(OR(D4815=1,K4814=""),"",K4814)</f>
        <v>1016.5</v>
      </c>
      <c r="Q4815" s="56" t="n">
        <f aca="false">IF(OR(F4815&lt;&gt;0,AND(I4815&lt;&gt;"",E4815&lt;I4815)),1,0)</f>
        <v>0</v>
      </c>
      <c r="R4815" s="56" t="n">
        <f aca="false">IF(AND(D4815&gt;1,Q4815=0,ISNUMBER(O4815),ISNUMBER(P4815)),IF(Q4814=0,1,0),0)</f>
        <v>1</v>
      </c>
      <c r="S4815" s="56" t="n">
        <f aca="false">R4815*(B4815&gt;=Train_Start)*(B4815&lt;=Train_End)</f>
        <v>0</v>
      </c>
      <c r="T4815" s="84" t="n">
        <f aca="false">IF(AND(ISNUMBER(O4815),ISNUMBER(P4815)),Coef_A+Coef_B1*O4815+Coef_B2*P4815,"")</f>
        <v>27.8172438349873</v>
      </c>
      <c r="U4815" s="84" t="n">
        <f aca="false">IF(AND(R4815=1,ISNUMBER(T4815)),E4815-T4815,"")</f>
        <v>-0.317243834987252</v>
      </c>
      <c r="V4815" s="84" t="n">
        <f aca="false">IF(ISNUMBER(T4815),T4815,-99)</f>
        <v>27.8172438349873</v>
      </c>
      <c r="W4815" s="84" t="n">
        <f aca="false">IF(ISNUMBER(U4815),ABS(U4815),"")</f>
        <v>0.317243834987252</v>
      </c>
    </row>
    <row r="4816" customFormat="false" ht="15" hidden="false" customHeight="false" outlineLevel="0" collapsed="false">
      <c r="A4816" s="57" t="n">
        <v>40370</v>
      </c>
      <c r="B4816" s="56" t="n">
        <v>2010</v>
      </c>
      <c r="C4816" s="56" t="n">
        <v>7</v>
      </c>
      <c r="D4816" s="56" t="n">
        <v>72</v>
      </c>
      <c r="E4816" s="56" t="n">
        <v>23.9</v>
      </c>
      <c r="F4816" s="56" t="n">
        <v>0</v>
      </c>
      <c r="G4816" s="56" t="n">
        <v>17.3</v>
      </c>
      <c r="H4816" s="56" t="n">
        <v>0</v>
      </c>
      <c r="I4816" s="56" t="n">
        <v>22.4</v>
      </c>
      <c r="J4816" s="56" t="n">
        <v>0</v>
      </c>
      <c r="K4816" s="56" t="n">
        <v>1014.4</v>
      </c>
      <c r="L4816" s="56" t="n">
        <v>0</v>
      </c>
      <c r="M4816" s="56" t="n">
        <v>58</v>
      </c>
      <c r="N4816" s="56" t="n">
        <v>8.1</v>
      </c>
      <c r="O4816" s="56" t="n">
        <f aca="false">IF(D4816=1,"",E4815)</f>
        <v>27.5</v>
      </c>
      <c r="P4816" s="56" t="n">
        <f aca="false">IF(OR(D4816=1,K4815=""),"",K4815)</f>
        <v>1017.4</v>
      </c>
      <c r="Q4816" s="56" t="n">
        <f aca="false">IF(OR(F4816&lt;&gt;0,AND(I4816&lt;&gt;"",E4816&lt;I4816)),1,0)</f>
        <v>0</v>
      </c>
      <c r="R4816" s="56" t="n">
        <f aca="false">IF(AND(D4816&gt;1,Q4816=0,ISNUMBER(O4816),ISNUMBER(P4816)),IF(Q4815=0,1,0),0)</f>
        <v>1</v>
      </c>
      <c r="S4816" s="56" t="n">
        <f aca="false">R4816*(B4816&gt;=Train_Start)*(B4816&lt;=Train_End)</f>
        <v>0</v>
      </c>
      <c r="T4816" s="84" t="n">
        <f aca="false">IF(AND(ISNUMBER(O4816),ISNUMBER(P4816)),Coef_A+Coef_B1*O4816+Coef_B2*P4816,"")</f>
        <v>26.5345340312896</v>
      </c>
      <c r="U4816" s="84" t="n">
        <f aca="false">IF(AND(R4816=1,ISNUMBER(T4816)),E4816-T4816,"")</f>
        <v>-2.63453403128959</v>
      </c>
      <c r="V4816" s="84" t="n">
        <f aca="false">IF(ISNUMBER(T4816),T4816,-99)</f>
        <v>26.5345340312896</v>
      </c>
      <c r="W4816" s="84" t="n">
        <f aca="false">IF(ISNUMBER(U4816),ABS(U4816),"")</f>
        <v>2.63453403128959</v>
      </c>
    </row>
    <row r="4817" customFormat="false" ht="15" hidden="false" customHeight="false" outlineLevel="0" collapsed="false">
      <c r="A4817" s="57" t="n">
        <v>40371</v>
      </c>
      <c r="B4817" s="56" t="n">
        <v>2010</v>
      </c>
      <c r="C4817" s="56" t="n">
        <v>7</v>
      </c>
      <c r="D4817" s="56" t="n">
        <v>73</v>
      </c>
      <c r="E4817" s="56" t="n">
        <v>21.7</v>
      </c>
      <c r="F4817" s="56" t="n">
        <v>0</v>
      </c>
      <c r="G4817" s="56" t="n">
        <v>16.9</v>
      </c>
      <c r="H4817" s="56" t="n">
        <v>0</v>
      </c>
      <c r="I4817" s="56" t="n">
        <v>20.4</v>
      </c>
      <c r="J4817" s="56" t="n">
        <v>0</v>
      </c>
      <c r="K4817" s="56" t="n">
        <v>1012</v>
      </c>
      <c r="L4817" s="56" t="n">
        <v>0</v>
      </c>
      <c r="M4817" s="56" t="n">
        <v>60</v>
      </c>
      <c r="N4817" s="56" t="n">
        <v>2.8</v>
      </c>
      <c r="O4817" s="56" t="n">
        <f aca="false">IF(D4817=1,"",E4816)</f>
        <v>23.9</v>
      </c>
      <c r="P4817" s="56" t="n">
        <f aca="false">IF(OR(D4817=1,K4816=""),"",K4816)</f>
        <v>1014.4</v>
      </c>
      <c r="Q4817" s="56" t="n">
        <f aca="false">IF(OR(F4817&lt;&gt;0,AND(I4817&lt;&gt;"",E4817&lt;I4817)),1,0)</f>
        <v>0</v>
      </c>
      <c r="R4817" s="56" t="n">
        <f aca="false">IF(AND(D4817&gt;1,Q4817=0,ISNUMBER(O4817),ISNUMBER(P4817)),IF(Q4816=0,1,0),0)</f>
        <v>1</v>
      </c>
      <c r="S4817" s="56" t="n">
        <f aca="false">R4817*(B4817&gt;=Train_Start)*(B4817&lt;=Train_End)</f>
        <v>0</v>
      </c>
      <c r="T4817" s="84" t="n">
        <f aca="false">IF(AND(ISNUMBER(O4817),ISNUMBER(P4817)),Coef_A+Coef_B1*O4817+Coef_B2*P4817,"")</f>
        <v>23.4908032524341</v>
      </c>
      <c r="U4817" s="84" t="n">
        <f aca="false">IF(AND(R4817=1,ISNUMBER(T4817)),E4817-T4817,"")</f>
        <v>-1.79080325243405</v>
      </c>
      <c r="V4817" s="84" t="n">
        <f aca="false">IF(ISNUMBER(T4817),T4817,-99)</f>
        <v>23.4908032524341</v>
      </c>
      <c r="W4817" s="84" t="n">
        <f aca="false">IF(ISNUMBER(U4817),ABS(U4817),"")</f>
        <v>1.79080325243405</v>
      </c>
    </row>
    <row r="4818" customFormat="false" ht="15" hidden="false" customHeight="false" outlineLevel="0" collapsed="false">
      <c r="A4818" s="57" t="n">
        <v>40372</v>
      </c>
      <c r="B4818" s="56" t="n">
        <v>2010</v>
      </c>
      <c r="C4818" s="56" t="n">
        <v>7</v>
      </c>
      <c r="D4818" s="56" t="n">
        <v>74</v>
      </c>
      <c r="E4818" s="56" t="n">
        <v>21.8</v>
      </c>
      <c r="F4818" s="56" t="n">
        <v>0</v>
      </c>
      <c r="G4818" s="56" t="n">
        <v>14.3</v>
      </c>
      <c r="H4818" s="56" t="n">
        <v>0</v>
      </c>
      <c r="I4818" s="56" t="n">
        <v>18</v>
      </c>
      <c r="J4818" s="56" t="n">
        <v>0</v>
      </c>
      <c r="K4818" s="56" t="n">
        <v>1008.6</v>
      </c>
      <c r="L4818" s="56" t="n">
        <v>0</v>
      </c>
      <c r="M4818" s="56" t="n">
        <v>83</v>
      </c>
      <c r="N4818" s="56" t="n">
        <v>0</v>
      </c>
      <c r="O4818" s="56" t="n">
        <f aca="false">IF(D4818=1,"",E4817)</f>
        <v>21.7</v>
      </c>
      <c r="P4818" s="56" t="n">
        <f aca="false">IF(OR(D4818=1,K4817=""),"",K4817)</f>
        <v>1012</v>
      </c>
      <c r="Q4818" s="56" t="n">
        <f aca="false">IF(OR(F4818&lt;&gt;0,AND(I4818&lt;&gt;"",E4818&lt;I4818)),1,0)</f>
        <v>0</v>
      </c>
      <c r="R4818" s="56" t="n">
        <f aca="false">IF(AND(D4818&gt;1,Q4818=0,ISNUMBER(O4818),ISNUMBER(P4818)),IF(Q4817=0,1,0),0)</f>
        <v>1</v>
      </c>
      <c r="S4818" s="56" t="n">
        <f aca="false">R4818*(B4818&gt;=Train_Start)*(B4818&lt;=Train_End)</f>
        <v>0</v>
      </c>
      <c r="T4818" s="84" t="n">
        <f aca="false">IF(AND(ISNUMBER(O4818),ISNUMBER(P4818)),Coef_A+Coef_B1*O4818+Coef_B2*P4818,"")</f>
        <v>21.6129692806186</v>
      </c>
      <c r="U4818" s="84" t="n">
        <f aca="false">IF(AND(R4818=1,ISNUMBER(T4818)),E4818-T4818,"")</f>
        <v>0.187030719381369</v>
      </c>
      <c r="V4818" s="84" t="n">
        <f aca="false">IF(ISNUMBER(T4818),T4818,-99)</f>
        <v>21.6129692806186</v>
      </c>
      <c r="W4818" s="84" t="n">
        <f aca="false">IF(ISNUMBER(U4818),ABS(U4818),"")</f>
        <v>0.187030719381369</v>
      </c>
    </row>
    <row r="4819" customFormat="false" ht="15" hidden="false" customHeight="false" outlineLevel="0" collapsed="false">
      <c r="A4819" s="57" t="n">
        <v>40373</v>
      </c>
      <c r="B4819" s="56" t="n">
        <v>2010</v>
      </c>
      <c r="C4819" s="56" t="n">
        <v>7</v>
      </c>
      <c r="D4819" s="56" t="n">
        <v>75</v>
      </c>
      <c r="E4819" s="56" t="n">
        <v>21.5</v>
      </c>
      <c r="F4819" s="56" t="n">
        <v>0</v>
      </c>
      <c r="G4819" s="56" t="n">
        <v>15.6</v>
      </c>
      <c r="H4819" s="56" t="n">
        <v>0</v>
      </c>
      <c r="I4819" s="56" t="n">
        <v>18.7</v>
      </c>
      <c r="J4819" s="56" t="n">
        <v>0</v>
      </c>
      <c r="K4819" s="56" t="n">
        <v>1002.6</v>
      </c>
      <c r="L4819" s="56" t="n">
        <v>0</v>
      </c>
      <c r="M4819" s="56" t="n">
        <v>77</v>
      </c>
      <c r="N4819" s="56" t="n">
        <v>1</v>
      </c>
      <c r="O4819" s="56" t="n">
        <f aca="false">IF(D4819=1,"",E4818)</f>
        <v>21.8</v>
      </c>
      <c r="P4819" s="56" t="n">
        <f aca="false">IF(OR(D4819=1,K4818=""),"",K4818)</f>
        <v>1008.6</v>
      </c>
      <c r="Q4819" s="56" t="n">
        <f aca="false">IF(OR(F4819&lt;&gt;0,AND(I4819&lt;&gt;"",E4819&lt;I4819)),1,0)</f>
        <v>0</v>
      </c>
      <c r="R4819" s="56" t="n">
        <f aca="false">IF(AND(D4819&gt;1,Q4819=0,ISNUMBER(O4819),ISNUMBER(P4819)),IF(Q4818=0,1,0),0)</f>
        <v>1</v>
      </c>
      <c r="S4819" s="56" t="n">
        <f aca="false">R4819*(B4819&gt;=Train_Start)*(B4819&lt;=Train_End)</f>
        <v>0</v>
      </c>
      <c r="T4819" s="84" t="n">
        <f aca="false">IF(AND(ISNUMBER(O4819),ISNUMBER(P4819)),Coef_A+Coef_B1*O4819+Coef_B2*P4819,"")</f>
        <v>21.5882455581673</v>
      </c>
      <c r="U4819" s="84" t="n">
        <f aca="false">IF(AND(R4819=1,ISNUMBER(T4819)),E4819-T4819,"")</f>
        <v>-0.0882455581673369</v>
      </c>
      <c r="V4819" s="84" t="n">
        <f aca="false">IF(ISNUMBER(T4819),T4819,-99)</f>
        <v>21.5882455581673</v>
      </c>
      <c r="W4819" s="84" t="n">
        <f aca="false">IF(ISNUMBER(U4819),ABS(U4819),"")</f>
        <v>0.0882455581673369</v>
      </c>
    </row>
    <row r="4820" customFormat="false" ht="15" hidden="false" customHeight="false" outlineLevel="0" collapsed="false">
      <c r="A4820" s="57" t="n">
        <v>40374</v>
      </c>
      <c r="B4820" s="56" t="n">
        <v>2010</v>
      </c>
      <c r="C4820" s="56" t="n">
        <v>7</v>
      </c>
      <c r="D4820" s="56" t="n">
        <v>76</v>
      </c>
      <c r="E4820" s="56" t="n">
        <v>22.8</v>
      </c>
      <c r="F4820" s="56" t="n">
        <v>0</v>
      </c>
      <c r="G4820" s="56" t="n">
        <v>14.9</v>
      </c>
      <c r="H4820" s="56" t="n">
        <v>0</v>
      </c>
      <c r="I4820" s="56" t="n">
        <v>18.2</v>
      </c>
      <c r="J4820" s="56" t="n">
        <v>0</v>
      </c>
      <c r="K4820" s="56" t="n">
        <v>1004.3</v>
      </c>
      <c r="L4820" s="56" t="n">
        <v>0</v>
      </c>
      <c r="M4820" s="56" t="n">
        <v>72</v>
      </c>
      <c r="N4820" s="56" t="n">
        <v>4.3</v>
      </c>
      <c r="O4820" s="56" t="n">
        <f aca="false">IF(D4820=1,"",E4819)</f>
        <v>21.5</v>
      </c>
      <c r="P4820" s="56" t="n">
        <f aca="false">IF(OR(D4820=1,K4819=""),"",K4819)</f>
        <v>1002.6</v>
      </c>
      <c r="Q4820" s="56" t="n">
        <f aca="false">IF(OR(F4820&lt;&gt;0,AND(I4820&lt;&gt;"",E4820&lt;I4820)),1,0)</f>
        <v>0</v>
      </c>
      <c r="R4820" s="56" t="n">
        <f aca="false">IF(AND(D4820&gt;1,Q4820=0,ISNUMBER(O4820),ISNUMBER(P4820)),IF(Q4819=0,1,0),0)</f>
        <v>1</v>
      </c>
      <c r="S4820" s="56" t="n">
        <f aca="false">R4820*(B4820&gt;=Train_Start)*(B4820&lt;=Train_End)</f>
        <v>0</v>
      </c>
      <c r="T4820" s="84" t="n">
        <f aca="false">IF(AND(ISNUMBER(O4820),ISNUMBER(P4820)),Coef_A+Coef_B1*O4820+Coef_B2*P4820,"")</f>
        <v>21.1542244324506</v>
      </c>
      <c r="U4820" s="84" t="n">
        <f aca="false">IF(AND(R4820=1,ISNUMBER(T4820)),E4820-T4820,"")</f>
        <v>1.6457755675494</v>
      </c>
      <c r="V4820" s="84" t="n">
        <f aca="false">IF(ISNUMBER(T4820),T4820,-99)</f>
        <v>21.1542244324506</v>
      </c>
      <c r="W4820" s="84" t="n">
        <f aca="false">IF(ISNUMBER(U4820),ABS(U4820),"")</f>
        <v>1.6457755675494</v>
      </c>
    </row>
    <row r="4821" customFormat="false" ht="15" hidden="false" customHeight="false" outlineLevel="0" collapsed="false">
      <c r="A4821" s="57" t="n">
        <v>40375</v>
      </c>
      <c r="B4821" s="56" t="n">
        <v>2010</v>
      </c>
      <c r="C4821" s="56" t="n">
        <v>7</v>
      </c>
      <c r="D4821" s="56" t="n">
        <v>77</v>
      </c>
      <c r="E4821" s="56" t="n">
        <v>22</v>
      </c>
      <c r="F4821" s="56" t="n">
        <v>0</v>
      </c>
      <c r="G4821" s="56" t="n">
        <v>13.5</v>
      </c>
      <c r="H4821" s="56" t="n">
        <v>0</v>
      </c>
      <c r="I4821" s="56" t="n">
        <v>18.2</v>
      </c>
      <c r="J4821" s="56" t="n">
        <v>0</v>
      </c>
      <c r="K4821" s="56" t="n">
        <v>1008.9</v>
      </c>
      <c r="L4821" s="56" t="n">
        <v>0</v>
      </c>
      <c r="M4821" s="56" t="n">
        <v>71</v>
      </c>
      <c r="N4821" s="56" t="n">
        <v>8</v>
      </c>
      <c r="O4821" s="56" t="n">
        <f aca="false">IF(D4821=1,"",E4820)</f>
        <v>22.8</v>
      </c>
      <c r="P4821" s="56" t="n">
        <f aca="false">IF(OR(D4821=1,K4820=""),"",K4820)</f>
        <v>1004.3</v>
      </c>
      <c r="Q4821" s="56" t="n">
        <f aca="false">IF(OR(F4821&lt;&gt;0,AND(I4821&lt;&gt;"",E4821&lt;I4821)),1,0)</f>
        <v>0</v>
      </c>
      <c r="R4821" s="56" t="n">
        <f aca="false">IF(AND(D4821&gt;1,Q4821=0,ISNUMBER(O4821),ISNUMBER(P4821)),IF(Q4820=0,1,0),0)</f>
        <v>1</v>
      </c>
      <c r="S4821" s="56" t="n">
        <f aca="false">R4821*(B4821&gt;=Train_Start)*(B4821&lt;=Train_End)</f>
        <v>0</v>
      </c>
      <c r="T4821" s="84" t="n">
        <f aca="false">IF(AND(ISNUMBER(O4821),ISNUMBER(P4821)),Coef_A+Coef_B1*O4821+Coef_B2*P4821,"")</f>
        <v>22.2726942042838</v>
      </c>
      <c r="U4821" s="84" t="n">
        <f aca="false">IF(AND(R4821=1,ISNUMBER(T4821)),E4821-T4821,"")</f>
        <v>-0.272694204283837</v>
      </c>
      <c r="V4821" s="84" t="n">
        <f aca="false">IF(ISNUMBER(T4821),T4821,-99)</f>
        <v>22.2726942042838</v>
      </c>
      <c r="W4821" s="84" t="n">
        <f aca="false">IF(ISNUMBER(U4821),ABS(U4821),"")</f>
        <v>0.272694204283837</v>
      </c>
    </row>
    <row r="4822" customFormat="false" ht="15" hidden="false" customHeight="false" outlineLevel="0" collapsed="false">
      <c r="A4822" s="57" t="n">
        <v>40376</v>
      </c>
      <c r="B4822" s="56" t="n">
        <v>2010</v>
      </c>
      <c r="C4822" s="56" t="n">
        <v>7</v>
      </c>
      <c r="D4822" s="56" t="n">
        <v>78</v>
      </c>
      <c r="E4822" s="56" t="n">
        <v>24.5</v>
      </c>
      <c r="F4822" s="56" t="n">
        <v>0</v>
      </c>
      <c r="G4822" s="56" t="n">
        <v>13</v>
      </c>
      <c r="H4822" s="56" t="n">
        <v>0</v>
      </c>
      <c r="I4822" s="56" t="n">
        <v>17.5</v>
      </c>
      <c r="J4822" s="56" t="n">
        <v>0</v>
      </c>
      <c r="K4822" s="56" t="n">
        <v>1019.2</v>
      </c>
      <c r="L4822" s="56" t="n">
        <v>0</v>
      </c>
      <c r="M4822" s="56" t="n">
        <v>58</v>
      </c>
      <c r="N4822" s="56" t="n">
        <v>8.2</v>
      </c>
      <c r="O4822" s="56" t="n">
        <f aca="false">IF(D4822=1,"",E4821)</f>
        <v>22</v>
      </c>
      <c r="P4822" s="56" t="n">
        <f aca="false">IF(OR(D4822=1,K4821=""),"",K4821)</f>
        <v>1008.9</v>
      </c>
      <c r="Q4822" s="56" t="n">
        <f aca="false">IF(OR(F4822&lt;&gt;0,AND(I4822&lt;&gt;"",E4822&lt;I4822)),1,0)</f>
        <v>0</v>
      </c>
      <c r="R4822" s="56" t="n">
        <f aca="false">IF(AND(D4822&gt;1,Q4822=0,ISNUMBER(O4822),ISNUMBER(P4822)),IF(Q4821=0,1,0),0)</f>
        <v>1</v>
      </c>
      <c r="S4822" s="56" t="n">
        <f aca="false">R4822*(B4822&gt;=Train_Start)*(B4822&lt;=Train_End)</f>
        <v>0</v>
      </c>
      <c r="T4822" s="84" t="n">
        <f aca="false">IF(AND(ISNUMBER(O4822),ISNUMBER(P4822)),Coef_A+Coef_B1*O4822+Coef_B2*P4822,"")</f>
        <v>21.7615243651661</v>
      </c>
      <c r="U4822" s="84" t="n">
        <f aca="false">IF(AND(R4822=1,ISNUMBER(T4822)),E4822-T4822,"")</f>
        <v>2.73847563483394</v>
      </c>
      <c r="V4822" s="84" t="n">
        <f aca="false">IF(ISNUMBER(T4822),T4822,-99)</f>
        <v>21.7615243651661</v>
      </c>
      <c r="W4822" s="84" t="n">
        <f aca="false">IF(ISNUMBER(U4822),ABS(U4822),"")</f>
        <v>2.73847563483394</v>
      </c>
    </row>
    <row r="4823" customFormat="false" ht="15" hidden="false" customHeight="false" outlineLevel="0" collapsed="false">
      <c r="A4823" s="57" t="n">
        <v>40377</v>
      </c>
      <c r="B4823" s="56" t="n">
        <v>2010</v>
      </c>
      <c r="C4823" s="56" t="n">
        <v>7</v>
      </c>
      <c r="D4823" s="56" t="n">
        <v>79</v>
      </c>
      <c r="E4823" s="56" t="n">
        <v>29.5</v>
      </c>
      <c r="F4823" s="56" t="n">
        <v>0</v>
      </c>
      <c r="G4823" s="56" t="n">
        <v>12.5</v>
      </c>
      <c r="H4823" s="56" t="n">
        <v>0</v>
      </c>
      <c r="I4823" s="56" t="n">
        <v>18.5</v>
      </c>
      <c r="J4823" s="56" t="n">
        <v>0</v>
      </c>
      <c r="K4823" s="56" t="n">
        <v>1025</v>
      </c>
      <c r="L4823" s="56" t="n">
        <v>0</v>
      </c>
      <c r="M4823" s="56" t="n">
        <v>63</v>
      </c>
      <c r="N4823" s="56" t="n">
        <v>6.3</v>
      </c>
      <c r="O4823" s="56" t="n">
        <f aca="false">IF(D4823=1,"",E4822)</f>
        <v>24.5</v>
      </c>
      <c r="P4823" s="56" t="n">
        <f aca="false">IF(OR(D4823=1,K4822=""),"",K4822)</f>
        <v>1019.2</v>
      </c>
      <c r="Q4823" s="56" t="n">
        <f aca="false">IF(OR(F4823&lt;&gt;0,AND(I4823&lt;&gt;"",E4823&lt;I4823)),1,0)</f>
        <v>0</v>
      </c>
      <c r="R4823" s="56" t="n">
        <f aca="false">IF(AND(D4823&gt;1,Q4823=0,ISNUMBER(O4823),ISNUMBER(P4823)),IF(Q4822=0,1,0),0)</f>
        <v>1</v>
      </c>
      <c r="S4823" s="56" t="n">
        <f aca="false">R4823*(B4823&gt;=Train_Start)*(B4823&lt;=Train_End)</f>
        <v>0</v>
      </c>
      <c r="T4823" s="84" t="n">
        <f aca="false">IF(AND(ISNUMBER(O4823),ISNUMBER(P4823)),Coef_A+Coef_B1*O4823+Coef_B2*P4823,"")</f>
        <v>24.1329822625028</v>
      </c>
      <c r="U4823" s="84" t="n">
        <f aca="false">IF(AND(R4823=1,ISNUMBER(T4823)),E4823-T4823,"")</f>
        <v>5.3670177374972</v>
      </c>
      <c r="V4823" s="84" t="n">
        <f aca="false">IF(ISNUMBER(T4823),T4823,-99)</f>
        <v>24.1329822625028</v>
      </c>
      <c r="W4823" s="84" t="n">
        <f aca="false">IF(ISNUMBER(U4823),ABS(U4823),"")</f>
        <v>5.3670177374972</v>
      </c>
    </row>
    <row r="4824" customFormat="false" ht="15" hidden="false" customHeight="false" outlineLevel="0" collapsed="false">
      <c r="A4824" s="57" t="n">
        <v>40378</v>
      </c>
      <c r="B4824" s="56" t="n">
        <v>2010</v>
      </c>
      <c r="C4824" s="56" t="n">
        <v>7</v>
      </c>
      <c r="D4824" s="56" t="n">
        <v>80</v>
      </c>
      <c r="E4824" s="56" t="n">
        <v>28.7</v>
      </c>
      <c r="F4824" s="56" t="n">
        <v>0</v>
      </c>
      <c r="G4824" s="56" t="n">
        <v>15.2</v>
      </c>
      <c r="H4824" s="56" t="n">
        <v>0</v>
      </c>
      <c r="I4824" s="56" t="n">
        <v>22.4</v>
      </c>
      <c r="J4824" s="56" t="n">
        <v>0</v>
      </c>
      <c r="K4824" s="56" t="n">
        <v>1020.9</v>
      </c>
      <c r="L4824" s="56" t="n">
        <v>0</v>
      </c>
      <c r="M4824" s="56" t="n">
        <v>50</v>
      </c>
      <c r="N4824" s="56" t="n">
        <v>8.9</v>
      </c>
      <c r="O4824" s="56" t="n">
        <f aca="false">IF(D4824=1,"",E4823)</f>
        <v>29.5</v>
      </c>
      <c r="P4824" s="56" t="n">
        <f aca="false">IF(OR(D4824=1,K4823=""),"",K4823)</f>
        <v>1025</v>
      </c>
      <c r="Q4824" s="56" t="n">
        <f aca="false">IF(OR(F4824&lt;&gt;0,AND(I4824&lt;&gt;"",E4824&lt;I4824)),1,0)</f>
        <v>0</v>
      </c>
      <c r="R4824" s="56" t="n">
        <f aca="false">IF(AND(D4824&gt;1,Q4824=0,ISNUMBER(O4824),ISNUMBER(P4824)),IF(Q4823=0,1,0),0)</f>
        <v>1</v>
      </c>
      <c r="S4824" s="56" t="n">
        <f aca="false">R4824*(B4824&gt;=Train_Start)*(B4824&lt;=Train_End)</f>
        <v>0</v>
      </c>
      <c r="T4824" s="84" t="n">
        <f aca="false">IF(AND(ISNUMBER(O4824),ISNUMBER(P4824)),Coef_A+Coef_B1*O4824+Coef_B2*P4824,"")</f>
        <v>28.4116236165932</v>
      </c>
      <c r="U4824" s="84" t="n">
        <f aca="false">IF(AND(R4824=1,ISNUMBER(T4824)),E4824-T4824,"")</f>
        <v>0.288376383406774</v>
      </c>
      <c r="V4824" s="84" t="n">
        <f aca="false">IF(ISNUMBER(T4824),T4824,-99)</f>
        <v>28.4116236165932</v>
      </c>
      <c r="W4824" s="84" t="n">
        <f aca="false">IF(ISNUMBER(U4824),ABS(U4824),"")</f>
        <v>0.288376383406774</v>
      </c>
    </row>
    <row r="4825" customFormat="false" ht="15" hidden="false" customHeight="false" outlineLevel="0" collapsed="false">
      <c r="A4825" s="57" t="n">
        <v>40379</v>
      </c>
      <c r="B4825" s="56" t="n">
        <v>2010</v>
      </c>
      <c r="C4825" s="56" t="n">
        <v>7</v>
      </c>
      <c r="D4825" s="56" t="n">
        <v>81</v>
      </c>
      <c r="E4825" s="56" t="n">
        <v>25.1</v>
      </c>
      <c r="F4825" s="56" t="n">
        <v>0</v>
      </c>
      <c r="G4825" s="56" t="n">
        <v>17.9</v>
      </c>
      <c r="H4825" s="56" t="n">
        <v>0</v>
      </c>
      <c r="I4825" s="56" t="n">
        <v>23.3</v>
      </c>
      <c r="J4825" s="56" t="n">
        <v>0</v>
      </c>
      <c r="K4825" s="56" t="n">
        <v>1011.2</v>
      </c>
      <c r="L4825" s="56" t="n">
        <v>0</v>
      </c>
      <c r="M4825" s="56" t="n">
        <v>46</v>
      </c>
      <c r="N4825" s="56" t="n">
        <v>2.4</v>
      </c>
      <c r="O4825" s="56" t="n">
        <f aca="false">IF(D4825=1,"",E4824)</f>
        <v>28.7</v>
      </c>
      <c r="P4825" s="56" t="n">
        <f aca="false">IF(OR(D4825=1,K4824=""),"",K4824)</f>
        <v>1020.9</v>
      </c>
      <c r="Q4825" s="56" t="n">
        <f aca="false">IF(OR(F4825&lt;&gt;0,AND(I4825&lt;&gt;"",E4825&lt;I4825)),1,0)</f>
        <v>0</v>
      </c>
      <c r="R4825" s="56" t="n">
        <f aca="false">IF(AND(D4825&gt;1,Q4825=0,ISNUMBER(O4825),ISNUMBER(P4825)),IF(Q4824=0,1,0),0)</f>
        <v>1</v>
      </c>
      <c r="S4825" s="56" t="n">
        <f aca="false">R4825*(B4825&gt;=Train_Start)*(B4825&lt;=Train_End)</f>
        <v>0</v>
      </c>
      <c r="T4825" s="84" t="n">
        <f aca="false">IF(AND(ISNUMBER(O4825),ISNUMBER(P4825)),Coef_A+Coef_B1*O4825+Coef_B2*P4825,"")</f>
        <v>27.6275356941597</v>
      </c>
      <c r="U4825" s="84" t="n">
        <f aca="false">IF(AND(R4825=1,ISNUMBER(T4825)),E4825-T4825,"")</f>
        <v>-2.52753569415974</v>
      </c>
      <c r="V4825" s="84" t="n">
        <f aca="false">IF(ISNUMBER(T4825),T4825,-99)</f>
        <v>27.6275356941597</v>
      </c>
      <c r="W4825" s="84" t="n">
        <f aca="false">IF(ISNUMBER(U4825),ABS(U4825),"")</f>
        <v>2.52753569415974</v>
      </c>
    </row>
    <row r="4826" customFormat="false" ht="15" hidden="false" customHeight="false" outlineLevel="0" collapsed="false">
      <c r="A4826" s="57" t="n">
        <v>40380</v>
      </c>
      <c r="B4826" s="56" t="n">
        <v>2010</v>
      </c>
      <c r="C4826" s="56" t="n">
        <v>7</v>
      </c>
      <c r="D4826" s="56" t="n">
        <v>82</v>
      </c>
      <c r="E4826" s="56" t="n">
        <v>22.7</v>
      </c>
      <c r="F4826" s="56" t="n">
        <v>0</v>
      </c>
      <c r="G4826" s="56" t="n">
        <v>17</v>
      </c>
      <c r="H4826" s="56" t="n">
        <v>0</v>
      </c>
      <c r="I4826" s="56" t="n">
        <v>21.1</v>
      </c>
      <c r="J4826" s="56" t="n">
        <v>0</v>
      </c>
      <c r="K4826" s="56" t="n">
        <v>1006.3</v>
      </c>
      <c r="L4826" s="56" t="n">
        <v>0</v>
      </c>
      <c r="M4826" s="56" t="n">
        <v>59</v>
      </c>
      <c r="N4826" s="56" t="n">
        <v>12.4</v>
      </c>
      <c r="O4826" s="56" t="n">
        <f aca="false">IF(D4826=1,"",E4825)</f>
        <v>25.1</v>
      </c>
      <c r="P4826" s="56" t="n">
        <f aca="false">IF(OR(D4826=1,K4825=""),"",K4825)</f>
        <v>1011.2</v>
      </c>
      <c r="Q4826" s="56" t="n">
        <f aca="false">IF(OR(F4826&lt;&gt;0,AND(I4826&lt;&gt;"",E4826&lt;I4826)),1,0)</f>
        <v>0</v>
      </c>
      <c r="R4826" s="56" t="n">
        <f aca="false">IF(AND(D4826&gt;1,Q4826=0,ISNUMBER(O4826),ISNUMBER(P4826)),IF(Q4825=0,1,0),0)</f>
        <v>1</v>
      </c>
      <c r="S4826" s="56" t="n">
        <f aca="false">R4826*(B4826&gt;=Train_Start)*(B4826&lt;=Train_End)</f>
        <v>0</v>
      </c>
      <c r="T4826" s="84" t="n">
        <f aca="false">IF(AND(ISNUMBER(O4826),ISNUMBER(P4826)),Coef_A+Coef_B1*O4826+Coef_B2*P4826,"")</f>
        <v>24.3736266212565</v>
      </c>
      <c r="U4826" s="84" t="n">
        <f aca="false">IF(AND(R4826=1,ISNUMBER(T4826)),E4826-T4826,"")</f>
        <v>-1.67362662125648</v>
      </c>
      <c r="V4826" s="84" t="n">
        <f aca="false">IF(ISNUMBER(T4826),T4826,-99)</f>
        <v>24.3736266212565</v>
      </c>
      <c r="W4826" s="84" t="n">
        <f aca="false">IF(ISNUMBER(U4826),ABS(U4826),"")</f>
        <v>1.67362662125648</v>
      </c>
    </row>
    <row r="4827" customFormat="false" ht="15" hidden="false" customHeight="false" outlineLevel="0" collapsed="false">
      <c r="A4827" s="57" t="n">
        <v>40381</v>
      </c>
      <c r="B4827" s="56" t="n">
        <v>2010</v>
      </c>
      <c r="C4827" s="56" t="n">
        <v>7</v>
      </c>
      <c r="D4827" s="56" t="n">
        <v>83</v>
      </c>
      <c r="E4827" s="56" t="n">
        <v>20.6</v>
      </c>
      <c r="F4827" s="56" t="n">
        <v>0</v>
      </c>
      <c r="G4827" s="56" t="n">
        <v>13.6</v>
      </c>
      <c r="H4827" s="56" t="n">
        <v>0</v>
      </c>
      <c r="I4827" s="56" t="n">
        <v>18.2</v>
      </c>
      <c r="J4827" s="56" t="n">
        <v>0</v>
      </c>
      <c r="K4827" s="56" t="n">
        <v>1011.9</v>
      </c>
      <c r="L4827" s="56" t="n">
        <v>0</v>
      </c>
      <c r="M4827" s="56" t="n">
        <v>77</v>
      </c>
      <c r="N4827" s="56" t="n">
        <v>6.5</v>
      </c>
      <c r="O4827" s="56" t="n">
        <f aca="false">IF(D4827=1,"",E4826)</f>
        <v>22.7</v>
      </c>
      <c r="P4827" s="56" t="n">
        <f aca="false">IF(OR(D4827=1,K4826=""),"",K4826)</f>
        <v>1006.3</v>
      </c>
      <c r="Q4827" s="56" t="n">
        <f aca="false">IF(OR(F4827&lt;&gt;0,AND(I4827&lt;&gt;"",E4827&lt;I4827)),1,0)</f>
        <v>0</v>
      </c>
      <c r="R4827" s="56" t="n">
        <f aca="false">IF(AND(D4827&gt;1,Q4827=0,ISNUMBER(O4827),ISNUMBER(P4827)),IF(Q4826=0,1,0),0)</f>
        <v>1</v>
      </c>
      <c r="S4827" s="56" t="n">
        <f aca="false">R4827*(B4827&gt;=Train_Start)*(B4827&lt;=Train_End)</f>
        <v>0</v>
      </c>
      <c r="T4827" s="84" t="n">
        <f aca="false">IF(AND(ISNUMBER(O4827),ISNUMBER(P4827)),Coef_A+Coef_B1*O4827+Coef_B2*P4827,"")</f>
        <v>22.2535000742475</v>
      </c>
      <c r="U4827" s="84" t="n">
        <f aca="false">IF(AND(R4827=1,ISNUMBER(T4827)),E4827-T4827,"")</f>
        <v>-1.65350007424755</v>
      </c>
      <c r="V4827" s="84" t="n">
        <f aca="false">IF(ISNUMBER(T4827),T4827,-99)</f>
        <v>22.2535000742475</v>
      </c>
      <c r="W4827" s="84" t="n">
        <f aca="false">IF(ISNUMBER(U4827),ABS(U4827),"")</f>
        <v>1.65350007424755</v>
      </c>
    </row>
    <row r="4828" customFormat="false" ht="15" hidden="false" customHeight="false" outlineLevel="0" collapsed="false">
      <c r="A4828" s="57" t="n">
        <v>40382</v>
      </c>
      <c r="B4828" s="56" t="n">
        <v>2010</v>
      </c>
      <c r="C4828" s="56" t="n">
        <v>7</v>
      </c>
      <c r="D4828" s="56" t="n">
        <v>84</v>
      </c>
      <c r="E4828" s="56" t="n">
        <v>25.5</v>
      </c>
      <c r="F4828" s="56" t="n">
        <v>0</v>
      </c>
      <c r="G4828" s="56" t="n">
        <v>14.2</v>
      </c>
      <c r="H4828" s="56" t="n">
        <v>0</v>
      </c>
      <c r="I4828" s="56" t="n">
        <v>17.4</v>
      </c>
      <c r="J4828" s="56" t="n">
        <v>0</v>
      </c>
      <c r="K4828" s="56" t="n">
        <v>1020.3</v>
      </c>
      <c r="L4828" s="56" t="n">
        <v>0</v>
      </c>
      <c r="M4828" s="56" t="n">
        <v>69</v>
      </c>
      <c r="N4828" s="56" t="n">
        <v>0.9</v>
      </c>
      <c r="O4828" s="56" t="n">
        <f aca="false">IF(D4828=1,"",E4827)</f>
        <v>20.6</v>
      </c>
      <c r="P4828" s="56" t="n">
        <f aca="false">IF(OR(D4828=1,K4827=""),"",K4827)</f>
        <v>1011.9</v>
      </c>
      <c r="Q4828" s="56" t="n">
        <f aca="false">IF(OR(F4828&lt;&gt;0,AND(I4828&lt;&gt;"",E4828&lt;I4828)),1,0)</f>
        <v>0</v>
      </c>
      <c r="R4828" s="56" t="n">
        <f aca="false">IF(AND(D4828&gt;1,Q4828=0,ISNUMBER(O4828),ISNUMBER(P4828)),IF(Q4827=0,1,0),0)</f>
        <v>1</v>
      </c>
      <c r="S4828" s="56" t="n">
        <f aca="false">R4828*(B4828&gt;=Train_Start)*(B4828&lt;=Train_End)</f>
        <v>0</v>
      </c>
      <c r="T4828" s="84" t="n">
        <f aca="false">IF(AND(ISNUMBER(O4828),ISNUMBER(P4828)),Coef_A+Coef_B1*O4828+Coef_B2*P4828,"")</f>
        <v>20.7085591788083</v>
      </c>
      <c r="U4828" s="84" t="n">
        <f aca="false">IF(AND(R4828=1,ISNUMBER(T4828)),E4828-T4828,"")</f>
        <v>4.79144082119169</v>
      </c>
      <c r="V4828" s="84" t="n">
        <f aca="false">IF(ISNUMBER(T4828),T4828,-99)</f>
        <v>20.7085591788083</v>
      </c>
      <c r="W4828" s="84" t="n">
        <f aca="false">IF(ISNUMBER(U4828),ABS(U4828),"")</f>
        <v>4.79144082119169</v>
      </c>
    </row>
    <row r="4829" customFormat="false" ht="15" hidden="false" customHeight="false" outlineLevel="0" collapsed="false">
      <c r="A4829" s="57" t="n">
        <v>40383</v>
      </c>
      <c r="B4829" s="56" t="n">
        <v>2010</v>
      </c>
      <c r="C4829" s="56" t="n">
        <v>7</v>
      </c>
      <c r="D4829" s="56" t="n">
        <v>85</v>
      </c>
      <c r="E4829" s="56" t="n">
        <v>26</v>
      </c>
      <c r="F4829" s="56" t="n">
        <v>0</v>
      </c>
      <c r="G4829" s="56" t="n">
        <v>13.4</v>
      </c>
      <c r="H4829" s="56" t="n">
        <v>0</v>
      </c>
      <c r="I4829" s="56" t="n">
        <v>19.5</v>
      </c>
      <c r="J4829" s="56" t="n">
        <v>0</v>
      </c>
      <c r="K4829" s="56" t="n">
        <v>1021.9</v>
      </c>
      <c r="L4829" s="56" t="n">
        <v>0</v>
      </c>
      <c r="M4829" s="56" t="n">
        <v>58</v>
      </c>
      <c r="N4829" s="56" t="n">
        <v>7.8</v>
      </c>
      <c r="O4829" s="56" t="n">
        <f aca="false">IF(D4829=1,"",E4828)</f>
        <v>25.5</v>
      </c>
      <c r="P4829" s="56" t="n">
        <f aca="false">IF(OR(D4829=1,K4828=""),"",K4828)</f>
        <v>1020.3</v>
      </c>
      <c r="Q4829" s="56" t="n">
        <f aca="false">IF(OR(F4829&lt;&gt;0,AND(I4829&lt;&gt;"",E4829&lt;I4829)),1,0)</f>
        <v>0</v>
      </c>
      <c r="R4829" s="56" t="n">
        <f aca="false">IF(AND(D4829&gt;1,Q4829=0,ISNUMBER(O4829),ISNUMBER(P4829)),IF(Q4828=0,1,0),0)</f>
        <v>1</v>
      </c>
      <c r="S4829" s="56" t="n">
        <f aca="false">R4829*(B4829&gt;=Train_Start)*(B4829&lt;=Train_End)</f>
        <v>0</v>
      </c>
      <c r="T4829" s="84" t="n">
        <f aca="false">IF(AND(ISNUMBER(O4829),ISNUMBER(P4829)),Coef_A+Coef_B1*O4829+Coef_B2*P4829,"")</f>
        <v>24.9868283396428</v>
      </c>
      <c r="U4829" s="84" t="n">
        <f aca="false">IF(AND(R4829=1,ISNUMBER(T4829)),E4829-T4829,"")</f>
        <v>1.01317166035716</v>
      </c>
      <c r="V4829" s="84" t="n">
        <f aca="false">IF(ISNUMBER(T4829),T4829,-99)</f>
        <v>24.9868283396428</v>
      </c>
      <c r="W4829" s="84" t="n">
        <f aca="false">IF(ISNUMBER(U4829),ABS(U4829),"")</f>
        <v>1.01317166035716</v>
      </c>
    </row>
    <row r="4830" customFormat="false" ht="15" hidden="false" customHeight="false" outlineLevel="0" collapsed="false">
      <c r="A4830" s="57" t="n">
        <v>40384</v>
      </c>
      <c r="B4830" s="56" t="n">
        <v>2010</v>
      </c>
      <c r="C4830" s="56" t="n">
        <v>7</v>
      </c>
      <c r="D4830" s="56" t="n">
        <v>86</v>
      </c>
      <c r="E4830" s="56" t="n">
        <v>23.5</v>
      </c>
      <c r="F4830" s="56" t="n">
        <v>0</v>
      </c>
      <c r="G4830" s="56" t="n">
        <v>16.2</v>
      </c>
      <c r="H4830" s="56" t="n">
        <v>0</v>
      </c>
      <c r="I4830" s="56" t="n">
        <v>21.1</v>
      </c>
      <c r="J4830" s="56" t="n">
        <v>0</v>
      </c>
      <c r="K4830" s="56" t="n">
        <v>1017.3</v>
      </c>
      <c r="L4830" s="56" t="n">
        <v>0</v>
      </c>
      <c r="M4830" s="56" t="n">
        <v>63</v>
      </c>
      <c r="N4830" s="56" t="n">
        <v>2.2</v>
      </c>
      <c r="O4830" s="56" t="n">
        <f aca="false">IF(D4830=1,"",E4829)</f>
        <v>26</v>
      </c>
      <c r="P4830" s="56" t="n">
        <f aca="false">IF(OR(D4830=1,K4829=""),"",K4829)</f>
        <v>1021.9</v>
      </c>
      <c r="Q4830" s="56" t="n">
        <f aca="false">IF(OR(F4830&lt;&gt;0,AND(I4830&lt;&gt;"",E4830&lt;I4830)),1,0)</f>
        <v>0</v>
      </c>
      <c r="R4830" s="56" t="n">
        <f aca="false">IF(AND(D4830&gt;1,Q4830=0,ISNUMBER(O4830),ISNUMBER(P4830)),IF(Q4829=0,1,0),0)</f>
        <v>1</v>
      </c>
      <c r="S4830" s="56" t="n">
        <f aca="false">R4830*(B4830&gt;=Train_Start)*(B4830&lt;=Train_End)</f>
        <v>0</v>
      </c>
      <c r="T4830" s="84" t="n">
        <f aca="false">IF(AND(ISNUMBER(O4830),ISNUMBER(P4830)),Coef_A+Coef_B1*O4830+Coef_B2*P4830,"")</f>
        <v>25.4466897675786</v>
      </c>
      <c r="U4830" s="84" t="n">
        <f aca="false">IF(AND(R4830=1,ISNUMBER(T4830)),E4830-T4830,"")</f>
        <v>-1.94668976757855</v>
      </c>
      <c r="V4830" s="84" t="n">
        <f aca="false">IF(ISNUMBER(T4830),T4830,-99)</f>
        <v>25.4466897675786</v>
      </c>
      <c r="W4830" s="84" t="n">
        <f aca="false">IF(ISNUMBER(U4830),ABS(U4830),"")</f>
        <v>1.94668976757855</v>
      </c>
    </row>
    <row r="4831" customFormat="false" ht="15" hidden="false" customHeight="false" outlineLevel="0" collapsed="false">
      <c r="A4831" s="57" t="n">
        <v>40385</v>
      </c>
      <c r="B4831" s="56" t="n">
        <v>2010</v>
      </c>
      <c r="C4831" s="56" t="n">
        <v>7</v>
      </c>
      <c r="D4831" s="56" t="n">
        <v>87</v>
      </c>
      <c r="E4831" s="56" t="n">
        <v>26.3</v>
      </c>
      <c r="F4831" s="56" t="n">
        <v>0</v>
      </c>
      <c r="G4831" s="56" t="n">
        <v>17.8</v>
      </c>
      <c r="H4831" s="56" t="n">
        <v>0</v>
      </c>
      <c r="I4831" s="56" t="n">
        <v>20.7</v>
      </c>
      <c r="J4831" s="56" t="n">
        <v>0</v>
      </c>
      <c r="K4831" s="56" t="n">
        <v>1016.7</v>
      </c>
      <c r="L4831" s="56" t="n">
        <v>0</v>
      </c>
      <c r="M4831" s="56" t="n">
        <v>76</v>
      </c>
      <c r="N4831" s="56" t="n">
        <v>0.1</v>
      </c>
      <c r="O4831" s="56" t="n">
        <f aca="false">IF(D4831=1,"",E4830)</f>
        <v>23.5</v>
      </c>
      <c r="P4831" s="56" t="n">
        <f aca="false">IF(OR(D4831=1,K4830=""),"",K4830)</f>
        <v>1017.3</v>
      </c>
      <c r="Q4831" s="56" t="n">
        <f aca="false">IF(OR(F4831&lt;&gt;0,AND(I4831&lt;&gt;"",E4831&lt;I4831)),1,0)</f>
        <v>0</v>
      </c>
      <c r="R4831" s="56" t="n">
        <f aca="false">IF(AND(D4831&gt;1,Q4831=0,ISNUMBER(O4831),ISNUMBER(P4831)),IF(Q4830=0,1,0),0)</f>
        <v>1</v>
      </c>
      <c r="S4831" s="56" t="n">
        <f aca="false">R4831*(B4831&gt;=Train_Start)*(B4831&lt;=Train_End)</f>
        <v>0</v>
      </c>
      <c r="T4831" s="84" t="n">
        <f aca="false">IF(AND(ISNUMBER(O4831),ISNUMBER(P4831)),Coef_A+Coef_B1*O4831+Coef_B2*P4831,"")</f>
        <v>23.2540402696556</v>
      </c>
      <c r="U4831" s="84" t="n">
        <f aca="false">IF(AND(R4831=1,ISNUMBER(T4831)),E4831-T4831,"")</f>
        <v>3.04595973034444</v>
      </c>
      <c r="V4831" s="84" t="n">
        <f aca="false">IF(ISNUMBER(T4831),T4831,-99)</f>
        <v>23.2540402696556</v>
      </c>
      <c r="W4831" s="84" t="n">
        <f aca="false">IF(ISNUMBER(U4831),ABS(U4831),"")</f>
        <v>3.04595973034444</v>
      </c>
    </row>
    <row r="4832" customFormat="false" ht="15" hidden="false" customHeight="false" outlineLevel="0" collapsed="false">
      <c r="A4832" s="57" t="n">
        <v>40386</v>
      </c>
      <c r="B4832" s="56" t="n">
        <v>2010</v>
      </c>
      <c r="C4832" s="56" t="n">
        <v>7</v>
      </c>
      <c r="D4832" s="56" t="n">
        <v>88</v>
      </c>
      <c r="E4832" s="56" t="n">
        <v>25.2</v>
      </c>
      <c r="F4832" s="56" t="n">
        <v>0</v>
      </c>
      <c r="G4832" s="56" t="n">
        <v>16.6</v>
      </c>
      <c r="H4832" s="56" t="n">
        <v>0</v>
      </c>
      <c r="I4832" s="56" t="n">
        <v>21.5</v>
      </c>
      <c r="J4832" s="56" t="n">
        <v>0</v>
      </c>
      <c r="K4832" s="56" t="n">
        <v>1017.2</v>
      </c>
      <c r="L4832" s="56" t="n">
        <v>0</v>
      </c>
      <c r="M4832" s="56" t="n">
        <v>73</v>
      </c>
      <c r="N4832" s="56" t="n">
        <v>0.1</v>
      </c>
      <c r="O4832" s="56" t="n">
        <f aca="false">IF(D4832=1,"",E4831)</f>
        <v>26.3</v>
      </c>
      <c r="P4832" s="56" t="n">
        <f aca="false">IF(OR(D4832=1,K4831=""),"",K4831)</f>
        <v>1016.7</v>
      </c>
      <c r="Q4832" s="56" t="n">
        <f aca="false">IF(OR(F4832&lt;&gt;0,AND(I4832&lt;&gt;"",E4832&lt;I4832)),1,0)</f>
        <v>0</v>
      </c>
      <c r="R4832" s="56" t="n">
        <f aca="false">IF(AND(D4832&gt;1,Q4832=0,ISNUMBER(O4832),ISNUMBER(P4832)),IF(Q4831=0,1,0),0)</f>
        <v>1</v>
      </c>
      <c r="S4832" s="56" t="n">
        <f aca="false">R4832*(B4832&gt;=Train_Start)*(B4832&lt;=Train_End)</f>
        <v>0</v>
      </c>
      <c r="T4832" s="84" t="n">
        <f aca="false">IF(AND(ISNUMBER(O4832),ISNUMBER(P4832)),Coef_A+Coef_B1*O4832+Coef_B2*P4832,"")</f>
        <v>25.5293680733946</v>
      </c>
      <c r="U4832" s="84" t="n">
        <f aca="false">IF(AND(R4832=1,ISNUMBER(T4832)),E4832-T4832,"")</f>
        <v>-0.329368073394612</v>
      </c>
      <c r="V4832" s="84" t="n">
        <f aca="false">IF(ISNUMBER(T4832),T4832,-99)</f>
        <v>25.5293680733946</v>
      </c>
      <c r="W4832" s="84" t="n">
        <f aca="false">IF(ISNUMBER(U4832),ABS(U4832),"")</f>
        <v>0.329368073394612</v>
      </c>
    </row>
    <row r="4833" customFormat="false" ht="15" hidden="false" customHeight="false" outlineLevel="0" collapsed="false">
      <c r="A4833" s="57" t="n">
        <v>40387</v>
      </c>
      <c r="B4833" s="56" t="n">
        <v>2010</v>
      </c>
      <c r="C4833" s="56" t="n">
        <v>7</v>
      </c>
      <c r="D4833" s="56" t="n">
        <v>89</v>
      </c>
      <c r="E4833" s="56" t="n">
        <v>23.3</v>
      </c>
      <c r="F4833" s="56" t="n">
        <v>0</v>
      </c>
      <c r="G4833" s="56" t="n">
        <v>15.4</v>
      </c>
      <c r="H4833" s="56" t="n">
        <v>0</v>
      </c>
      <c r="I4833" s="56" t="n">
        <v>20.3</v>
      </c>
      <c r="J4833" s="56" t="n">
        <v>0</v>
      </c>
      <c r="K4833" s="56" t="n">
        <v>1017.1</v>
      </c>
      <c r="L4833" s="56" t="n">
        <v>0</v>
      </c>
      <c r="M4833" s="56" t="n">
        <v>62</v>
      </c>
      <c r="N4833" s="56" t="n">
        <v>6.9</v>
      </c>
      <c r="O4833" s="56" t="n">
        <f aca="false">IF(D4833=1,"",E4832)</f>
        <v>25.2</v>
      </c>
      <c r="P4833" s="56" t="n">
        <f aca="false">IF(OR(D4833=1,K4832=""),"",K4832)</f>
        <v>1017.2</v>
      </c>
      <c r="Q4833" s="56" t="n">
        <f aca="false">IF(OR(F4833&lt;&gt;0,AND(I4833&lt;&gt;"",E4833&lt;I4833)),1,0)</f>
        <v>0</v>
      </c>
      <c r="R4833" s="56" t="n">
        <f aca="false">IF(AND(D4833&gt;1,Q4833=0,ISNUMBER(O4833),ISNUMBER(P4833)),IF(Q4832=0,1,0),0)</f>
        <v>1</v>
      </c>
      <c r="S4833" s="56" t="n">
        <f aca="false">R4833*(B4833&gt;=Train_Start)*(B4833&lt;=Train_End)</f>
        <v>0</v>
      </c>
      <c r="T4833" s="84" t="n">
        <f aca="false">IF(AND(ISNUMBER(O4833),ISNUMBER(P4833)),Coef_A+Coef_B1*O4833+Coef_B2*P4833,"")</f>
        <v>24.6437799083647</v>
      </c>
      <c r="U4833" s="84" t="n">
        <f aca="false">IF(AND(R4833=1,ISNUMBER(T4833)),E4833-T4833,"")</f>
        <v>-1.34377990836468</v>
      </c>
      <c r="V4833" s="84" t="n">
        <f aca="false">IF(ISNUMBER(T4833),T4833,-99)</f>
        <v>24.6437799083647</v>
      </c>
      <c r="W4833" s="84" t="n">
        <f aca="false">IF(ISNUMBER(U4833),ABS(U4833),"")</f>
        <v>1.34377990836468</v>
      </c>
    </row>
    <row r="4834" customFormat="false" ht="15" hidden="false" customHeight="false" outlineLevel="0" collapsed="false">
      <c r="A4834" s="57" t="n">
        <v>40388</v>
      </c>
      <c r="B4834" s="56" t="n">
        <v>2010</v>
      </c>
      <c r="C4834" s="56" t="n">
        <v>7</v>
      </c>
      <c r="D4834" s="56" t="n">
        <v>90</v>
      </c>
      <c r="E4834" s="56" t="n">
        <v>23.1</v>
      </c>
      <c r="F4834" s="56" t="n">
        <v>0</v>
      </c>
      <c r="G4834" s="56" t="n">
        <v>13.2</v>
      </c>
      <c r="H4834" s="56" t="n">
        <v>0</v>
      </c>
      <c r="I4834" s="56" t="n">
        <v>18.3</v>
      </c>
      <c r="J4834" s="56" t="n">
        <v>0</v>
      </c>
      <c r="K4834" s="56" t="n">
        <v>1016.1</v>
      </c>
      <c r="L4834" s="56" t="n">
        <v>0</v>
      </c>
      <c r="M4834" s="56" t="n">
        <v>61</v>
      </c>
      <c r="N4834" s="56" t="n">
        <v>1.1</v>
      </c>
      <c r="O4834" s="56" t="n">
        <f aca="false">IF(D4834=1,"",E4833)</f>
        <v>23.3</v>
      </c>
      <c r="P4834" s="56" t="n">
        <f aca="false">IF(OR(D4834=1,K4833=""),"",K4833)</f>
        <v>1017.1</v>
      </c>
      <c r="Q4834" s="56" t="n">
        <f aca="false">IF(OR(F4834&lt;&gt;0,AND(I4834&lt;&gt;"",E4834&lt;I4834)),1,0)</f>
        <v>0</v>
      </c>
      <c r="R4834" s="56" t="n">
        <f aca="false">IF(AND(D4834&gt;1,Q4834=0,ISNUMBER(O4834),ISNUMBER(P4834)),IF(Q4833=0,1,0),0)</f>
        <v>1</v>
      </c>
      <c r="S4834" s="56" t="n">
        <f aca="false">R4834*(B4834&gt;=Train_Start)*(B4834&lt;=Train_End)</f>
        <v>0</v>
      </c>
      <c r="T4834" s="84" t="n">
        <f aca="false">IF(AND(ISNUMBER(O4834),ISNUMBER(P4834)),Coef_A+Coef_B1*O4834+Coef_B2*P4834,"")</f>
        <v>23.0838984521202</v>
      </c>
      <c r="U4834" s="84" t="n">
        <f aca="false">IF(AND(R4834=1,ISNUMBER(T4834)),E4834-T4834,"")</f>
        <v>0.0161015478797673</v>
      </c>
      <c r="V4834" s="84" t="n">
        <f aca="false">IF(ISNUMBER(T4834),T4834,-99)</f>
        <v>23.0838984521202</v>
      </c>
      <c r="W4834" s="84" t="n">
        <f aca="false">IF(ISNUMBER(U4834),ABS(U4834),"")</f>
        <v>0.0161015478797673</v>
      </c>
    </row>
    <row r="4835" customFormat="false" ht="15" hidden="false" customHeight="false" outlineLevel="0" collapsed="false">
      <c r="A4835" s="57" t="n">
        <v>40389</v>
      </c>
      <c r="B4835" s="56" t="n">
        <v>2010</v>
      </c>
      <c r="C4835" s="56" t="n">
        <v>7</v>
      </c>
      <c r="D4835" s="56" t="n">
        <v>91</v>
      </c>
      <c r="E4835" s="56" t="n">
        <v>25.1</v>
      </c>
      <c r="F4835" s="56" t="n">
        <v>0</v>
      </c>
      <c r="G4835" s="56" t="n">
        <v>12.3</v>
      </c>
      <c r="H4835" s="56" t="n">
        <v>0</v>
      </c>
      <c r="I4835" s="56" t="n">
        <v>17.7</v>
      </c>
      <c r="J4835" s="56" t="n">
        <v>0</v>
      </c>
      <c r="K4835" s="56" t="n">
        <v>1014.7</v>
      </c>
      <c r="L4835" s="56" t="n">
        <v>0</v>
      </c>
      <c r="M4835" s="56" t="n">
        <v>65</v>
      </c>
      <c r="N4835" s="56" t="n">
        <v>3.1</v>
      </c>
      <c r="O4835" s="56" t="n">
        <f aca="false">IF(D4835=1,"",E4834)</f>
        <v>23.1</v>
      </c>
      <c r="P4835" s="56" t="n">
        <f aca="false">IF(OR(D4835=1,K4834=""),"",K4834)</f>
        <v>1016.1</v>
      </c>
      <c r="Q4835" s="56" t="n">
        <f aca="false">IF(OR(F4835&lt;&gt;0,AND(I4835&lt;&gt;"",E4835&lt;I4835)),1,0)</f>
        <v>0</v>
      </c>
      <c r="R4835" s="56" t="n">
        <f aca="false">IF(AND(D4835&gt;1,Q4835=0,ISNUMBER(O4835),ISNUMBER(P4835)),IF(Q4834=0,1,0),0)</f>
        <v>1</v>
      </c>
      <c r="S4835" s="56" t="n">
        <f aca="false">R4835*(B4835&gt;=Train_Start)*(B4835&lt;=Train_End)</f>
        <v>0</v>
      </c>
      <c r="T4835" s="84" t="n">
        <f aca="false">IF(AND(ISNUMBER(O4835),ISNUMBER(P4835)),Coef_A+Coef_B1*O4835+Coef_B2*P4835,"")</f>
        <v>22.8886607188777</v>
      </c>
      <c r="U4835" s="84" t="n">
        <f aca="false">IF(AND(R4835=1,ISNUMBER(T4835)),E4835-T4835,"")</f>
        <v>2.21133928112229</v>
      </c>
      <c r="V4835" s="84" t="n">
        <f aca="false">IF(ISNUMBER(T4835),T4835,-99)</f>
        <v>22.8886607188777</v>
      </c>
      <c r="W4835" s="84" t="n">
        <f aca="false">IF(ISNUMBER(U4835),ABS(U4835),"")</f>
        <v>2.21133928112229</v>
      </c>
    </row>
    <row r="4836" customFormat="false" ht="15" hidden="false" customHeight="false" outlineLevel="0" collapsed="false">
      <c r="A4836" s="57" t="n">
        <v>40390</v>
      </c>
      <c r="B4836" s="56" t="n">
        <v>2010</v>
      </c>
      <c r="C4836" s="56" t="n">
        <v>7</v>
      </c>
      <c r="D4836" s="56" t="n">
        <v>92</v>
      </c>
      <c r="E4836" s="56" t="n">
        <v>23.9</v>
      </c>
      <c r="F4836" s="56" t="n">
        <v>0</v>
      </c>
      <c r="G4836" s="56" t="n">
        <v>17</v>
      </c>
      <c r="H4836" s="56" t="n">
        <v>0</v>
      </c>
      <c r="I4836" s="56" t="n">
        <v>21.1</v>
      </c>
      <c r="J4836" s="56" t="n">
        <v>0</v>
      </c>
      <c r="K4836" s="56" t="n">
        <v>1011.6</v>
      </c>
      <c r="L4836" s="56" t="n">
        <v>0</v>
      </c>
      <c r="M4836" s="56" t="n">
        <v>70</v>
      </c>
      <c r="N4836" s="56" t="n">
        <v>4.7</v>
      </c>
      <c r="O4836" s="56" t="n">
        <f aca="false">IF(D4836=1,"",E4835)</f>
        <v>25.1</v>
      </c>
      <c r="P4836" s="56" t="n">
        <f aca="false">IF(OR(D4836=1,K4835=""),"",K4835)</f>
        <v>1014.7</v>
      </c>
      <c r="Q4836" s="56" t="n">
        <f aca="false">IF(OR(F4836&lt;&gt;0,AND(I4836&lt;&gt;"",E4836&lt;I4836)),1,0)</f>
        <v>0</v>
      </c>
      <c r="R4836" s="56" t="n">
        <f aca="false">IF(AND(D4836&gt;1,Q4836=0,ISNUMBER(O4836),ISNUMBER(P4836)),IF(Q4835=0,1,0),0)</f>
        <v>1</v>
      </c>
      <c r="S4836" s="56" t="n">
        <f aca="false">R4836*(B4836&gt;=Train_Start)*(B4836&lt;=Train_End)</f>
        <v>0</v>
      </c>
      <c r="T4836" s="84" t="n">
        <f aca="false">IF(AND(ISNUMBER(O4836),ISNUMBER(P4836)),Coef_A+Coef_B1*O4836+Coef_B2*P4836,"")</f>
        <v>24.4834212524754</v>
      </c>
      <c r="U4836" s="84" t="n">
        <f aca="false">IF(AND(R4836=1,ISNUMBER(T4836)),E4836-T4836,"")</f>
        <v>-0.583421252475443</v>
      </c>
      <c r="V4836" s="84" t="n">
        <f aca="false">IF(ISNUMBER(T4836),T4836,-99)</f>
        <v>24.4834212524754</v>
      </c>
      <c r="W4836" s="84" t="n">
        <f aca="false">IF(ISNUMBER(U4836),ABS(U4836),"")</f>
        <v>0.583421252475443</v>
      </c>
    </row>
    <row r="4837" customFormat="false" ht="15" hidden="false" customHeight="false" outlineLevel="0" collapsed="false">
      <c r="A4837" s="57" t="n">
        <v>40391</v>
      </c>
      <c r="B4837" s="56" t="n">
        <v>2010</v>
      </c>
      <c r="C4837" s="56" t="n">
        <v>8</v>
      </c>
      <c r="D4837" s="56" t="n">
        <v>93</v>
      </c>
      <c r="E4837" s="56" t="n">
        <v>23.4</v>
      </c>
      <c r="F4837" s="56" t="n">
        <v>0</v>
      </c>
      <c r="G4837" s="56" t="n">
        <v>14.6</v>
      </c>
      <c r="H4837" s="56" t="n">
        <v>0</v>
      </c>
      <c r="I4837" s="56" t="n">
        <v>19.3</v>
      </c>
      <c r="J4837" s="56" t="n">
        <v>0</v>
      </c>
      <c r="K4837" s="56" t="n">
        <v>1013.2</v>
      </c>
      <c r="L4837" s="56" t="n">
        <v>0</v>
      </c>
      <c r="M4837" s="56" t="n">
        <v>63</v>
      </c>
      <c r="N4837" s="56" t="n">
        <v>0.3</v>
      </c>
      <c r="O4837" s="56" t="n">
        <f aca="false">IF(D4837=1,"",E4836)</f>
        <v>23.9</v>
      </c>
      <c r="P4837" s="56" t="n">
        <f aca="false">IF(OR(D4837=1,K4836=""),"",K4836)</f>
        <v>1011.6</v>
      </c>
      <c r="Q4837" s="56" t="n">
        <f aca="false">IF(OR(F4837&lt;&gt;0,AND(I4837&lt;&gt;"",E4837&lt;I4837)),1,0)</f>
        <v>0</v>
      </c>
      <c r="R4837" s="56" t="n">
        <f aca="false">IF(AND(D4837&gt;1,Q4837=0,ISNUMBER(O4837),ISNUMBER(P4837)),IF(Q4836=0,1,0),0)</f>
        <v>1</v>
      </c>
      <c r="S4837" s="56" t="n">
        <f aca="false">R4837*(B4837&gt;=Train_Start)*(B4837&lt;=Train_End)</f>
        <v>0</v>
      </c>
      <c r="T4837" s="84" t="n">
        <f aca="false">IF(AND(ISNUMBER(O4837),ISNUMBER(P4837)),Coef_A+Coef_B1*O4837+Coef_B2*P4837,"")</f>
        <v>23.4029675474589</v>
      </c>
      <c r="U4837" s="84" t="n">
        <f aca="false">IF(AND(R4837=1,ISNUMBER(T4837)),E4837-T4837,"")</f>
        <v>-0.0029675474588835</v>
      </c>
      <c r="V4837" s="84" t="n">
        <f aca="false">IF(ISNUMBER(T4837),T4837,-99)</f>
        <v>23.4029675474589</v>
      </c>
      <c r="W4837" s="84" t="n">
        <f aca="false">IF(ISNUMBER(U4837),ABS(U4837),"")</f>
        <v>0.0029675474588835</v>
      </c>
    </row>
    <row r="4838" customFormat="false" ht="15" hidden="false" customHeight="false" outlineLevel="0" collapsed="false">
      <c r="A4838" s="57" t="n">
        <v>40392</v>
      </c>
      <c r="B4838" s="56" t="n">
        <v>2010</v>
      </c>
      <c r="C4838" s="56" t="n">
        <v>8</v>
      </c>
      <c r="D4838" s="56" t="n">
        <v>94</v>
      </c>
      <c r="E4838" s="56" t="n">
        <v>23.6</v>
      </c>
      <c r="F4838" s="56" t="n">
        <v>0</v>
      </c>
      <c r="G4838" s="56" t="n">
        <v>15.6</v>
      </c>
      <c r="H4838" s="56" t="n">
        <v>0</v>
      </c>
      <c r="I4838" s="56" t="n">
        <v>19.5</v>
      </c>
      <c r="J4838" s="56" t="n">
        <v>0</v>
      </c>
      <c r="K4838" s="56" t="n">
        <v>1016.8</v>
      </c>
      <c r="L4838" s="56" t="n">
        <v>0</v>
      </c>
      <c r="M4838" s="56" t="n">
        <v>59</v>
      </c>
      <c r="N4838" s="56" t="n">
        <v>2</v>
      </c>
      <c r="O4838" s="56" t="n">
        <f aca="false">IF(D4838=1,"",E4837)</f>
        <v>23.4</v>
      </c>
      <c r="P4838" s="56" t="n">
        <f aca="false">IF(OR(D4838=1,K4837=""),"",K4837)</f>
        <v>1013.2</v>
      </c>
      <c r="Q4838" s="56" t="n">
        <f aca="false">IF(OR(F4838&lt;&gt;0,AND(I4838&lt;&gt;"",E4838&lt;I4838)),1,0)</f>
        <v>0</v>
      </c>
      <c r="R4838" s="56" t="n">
        <f aca="false">IF(AND(D4838&gt;1,Q4838=0,ISNUMBER(O4838),ISNUMBER(P4838)),IF(Q4837=0,1,0),0)</f>
        <v>1</v>
      </c>
      <c r="S4838" s="56" t="n">
        <f aca="false">R4838*(B4838&gt;=Train_Start)*(B4838&lt;=Train_End)</f>
        <v>0</v>
      </c>
      <c r="T4838" s="84" t="n">
        <f aca="false">IF(AND(ISNUMBER(O4838),ISNUMBER(P4838)),Coef_A+Coef_B1*O4838+Coef_B2*P4838,"")</f>
        <v>23.0434897823519</v>
      </c>
      <c r="U4838" s="84" t="n">
        <f aca="false">IF(AND(R4838=1,ISNUMBER(T4838)),E4838-T4838,"")</f>
        <v>0.556510217648064</v>
      </c>
      <c r="V4838" s="84" t="n">
        <f aca="false">IF(ISNUMBER(T4838),T4838,-99)</f>
        <v>23.0434897823519</v>
      </c>
      <c r="W4838" s="84" t="n">
        <f aca="false">IF(ISNUMBER(U4838),ABS(U4838),"")</f>
        <v>0.556510217648064</v>
      </c>
    </row>
    <row r="4839" customFormat="false" ht="15" hidden="false" customHeight="false" outlineLevel="0" collapsed="false">
      <c r="A4839" s="57" t="n">
        <v>40393</v>
      </c>
      <c r="B4839" s="56" t="n">
        <v>2010</v>
      </c>
      <c r="C4839" s="56" t="n">
        <v>8</v>
      </c>
      <c r="D4839" s="56" t="n">
        <v>95</v>
      </c>
      <c r="E4839" s="56" t="n">
        <v>20.1</v>
      </c>
      <c r="F4839" s="56" t="n">
        <v>0</v>
      </c>
      <c r="G4839" s="56" t="n">
        <v>12.1</v>
      </c>
      <c r="H4839" s="56" t="n">
        <v>0</v>
      </c>
      <c r="I4839" s="56" t="n">
        <v>17.9</v>
      </c>
      <c r="J4839" s="56" t="n">
        <v>0</v>
      </c>
      <c r="K4839" s="56" t="n">
        <v>1015.7</v>
      </c>
      <c r="L4839" s="56" t="n">
        <v>0</v>
      </c>
      <c r="M4839" s="56" t="n">
        <v>66</v>
      </c>
      <c r="N4839" s="56" t="n">
        <v>3.9</v>
      </c>
      <c r="O4839" s="56" t="n">
        <f aca="false">IF(D4839=1,"",E4838)</f>
        <v>23.6</v>
      </c>
      <c r="P4839" s="56" t="n">
        <f aca="false">IF(OR(D4839=1,K4838=""),"",K4838)</f>
        <v>1016.8</v>
      </c>
      <c r="Q4839" s="56" t="n">
        <f aca="false">IF(OR(F4839&lt;&gt;0,AND(I4839&lt;&gt;"",E4839&lt;I4839)),1,0)</f>
        <v>0</v>
      </c>
      <c r="R4839" s="56" t="n">
        <f aca="false">IF(AND(D4839&gt;1,Q4839=0,ISNUMBER(O4839),ISNUMBER(P4839)),IF(Q4838=0,1,0),0)</f>
        <v>1</v>
      </c>
      <c r="S4839" s="56" t="n">
        <f aca="false">R4839*(B4839&gt;=Train_Start)*(B4839&lt;=Train_End)</f>
        <v>0</v>
      </c>
      <c r="T4839" s="84" t="n">
        <f aca="false">IF(AND(ISNUMBER(O4839),ISNUMBER(P4839)),Coef_A+Coef_B1*O4839+Coef_B2*P4839,"")</f>
        <v>23.3202892416428</v>
      </c>
      <c r="U4839" s="84" t="n">
        <f aca="false">IF(AND(R4839=1,ISNUMBER(T4839)),E4839-T4839,"")</f>
        <v>-3.22028924164283</v>
      </c>
      <c r="V4839" s="84" t="n">
        <f aca="false">IF(ISNUMBER(T4839),T4839,-99)</f>
        <v>23.3202892416428</v>
      </c>
      <c r="W4839" s="84" t="n">
        <f aca="false">IF(ISNUMBER(U4839),ABS(U4839),"")</f>
        <v>3.22028924164283</v>
      </c>
    </row>
    <row r="4840" customFormat="false" ht="15" hidden="false" customHeight="false" outlineLevel="0" collapsed="false">
      <c r="A4840" s="57" t="n">
        <v>40394</v>
      </c>
      <c r="B4840" s="56" t="n">
        <v>2010</v>
      </c>
      <c r="C4840" s="56" t="n">
        <v>8</v>
      </c>
      <c r="D4840" s="56" t="n">
        <v>96</v>
      </c>
      <c r="E4840" s="56" t="n">
        <v>22.6</v>
      </c>
      <c r="F4840" s="56" t="n">
        <v>0</v>
      </c>
      <c r="G4840" s="56" t="n">
        <v>14.7</v>
      </c>
      <c r="H4840" s="56" t="n">
        <v>0</v>
      </c>
      <c r="I4840" s="56" t="n">
        <v>17.4</v>
      </c>
      <c r="J4840" s="56" t="n">
        <v>0</v>
      </c>
      <c r="K4840" s="56" t="n">
        <v>1008</v>
      </c>
      <c r="L4840" s="56" t="n">
        <v>0</v>
      </c>
      <c r="M4840" s="56" t="n">
        <v>75</v>
      </c>
      <c r="N4840" s="56" t="n">
        <v>1.5</v>
      </c>
      <c r="O4840" s="56" t="n">
        <f aca="false">IF(D4840=1,"",E4839)</f>
        <v>20.1</v>
      </c>
      <c r="P4840" s="56" t="n">
        <f aca="false">IF(OR(D4840=1,K4839=""),"",K4839)</f>
        <v>1015.7</v>
      </c>
      <c r="Q4840" s="56" t="n">
        <f aca="false">IF(OR(F4840&lt;&gt;0,AND(I4840&lt;&gt;"",E4840&lt;I4840)),1,0)</f>
        <v>0</v>
      </c>
      <c r="R4840" s="56" t="n">
        <f aca="false">IF(AND(D4840&gt;1,Q4840=0,ISNUMBER(O4840),ISNUMBER(P4840)),IF(Q4839=0,1,0),0)</f>
        <v>1</v>
      </c>
      <c r="S4840" s="56" t="n">
        <f aca="false">R4840*(B4840&gt;=Train_Start)*(B4840&lt;=Train_End)</f>
        <v>0</v>
      </c>
      <c r="T4840" s="84" t="n">
        <f aca="false">IF(AND(ISNUMBER(O4840),ISNUMBER(P4840)),Coef_A+Coef_B1*O4840+Coef_B2*P4840,"")</f>
        <v>20.4180951818961</v>
      </c>
      <c r="U4840" s="84" t="n">
        <f aca="false">IF(AND(R4840=1,ISNUMBER(T4840)),E4840-T4840,"")</f>
        <v>2.18190481810386</v>
      </c>
      <c r="V4840" s="84" t="n">
        <f aca="false">IF(ISNUMBER(T4840),T4840,-99)</f>
        <v>20.4180951818961</v>
      </c>
      <c r="W4840" s="84" t="n">
        <f aca="false">IF(ISNUMBER(U4840),ABS(U4840),"")</f>
        <v>2.18190481810386</v>
      </c>
    </row>
    <row r="4841" customFormat="false" ht="15" hidden="false" customHeight="false" outlineLevel="0" collapsed="false">
      <c r="A4841" s="57" t="n">
        <v>40395</v>
      </c>
      <c r="B4841" s="56" t="n">
        <v>2010</v>
      </c>
      <c r="C4841" s="56" t="n">
        <v>8</v>
      </c>
      <c r="D4841" s="56" t="n">
        <v>97</v>
      </c>
      <c r="E4841" s="56" t="n">
        <v>21.4</v>
      </c>
      <c r="F4841" s="56" t="n">
        <v>0</v>
      </c>
      <c r="G4841" s="56" t="n">
        <v>11.9</v>
      </c>
      <c r="H4841" s="56" t="n">
        <v>0</v>
      </c>
      <c r="I4841" s="56" t="n">
        <v>17.3</v>
      </c>
      <c r="J4841" s="56" t="n">
        <v>0</v>
      </c>
      <c r="K4841" s="56" t="n">
        <v>1012.5</v>
      </c>
      <c r="L4841" s="56" t="n">
        <v>0</v>
      </c>
      <c r="M4841" s="56" t="n">
        <v>58</v>
      </c>
      <c r="N4841" s="56" t="n">
        <v>7.9</v>
      </c>
      <c r="O4841" s="56" t="n">
        <f aca="false">IF(D4841=1,"",E4840)</f>
        <v>22.6</v>
      </c>
      <c r="P4841" s="56" t="n">
        <f aca="false">IF(OR(D4841=1,K4840=""),"",K4840)</f>
        <v>1008</v>
      </c>
      <c r="Q4841" s="56" t="n">
        <f aca="false">IF(OR(F4841&lt;&gt;0,AND(I4841&lt;&gt;"",E4841&lt;I4841)),1,0)</f>
        <v>0</v>
      </c>
      <c r="R4841" s="56" t="n">
        <f aca="false">IF(AND(D4841&gt;1,Q4841=0,ISNUMBER(O4841),ISNUMBER(P4841)),IF(Q4840=0,1,0),0)</f>
        <v>1</v>
      </c>
      <c r="S4841" s="56" t="n">
        <f aca="false">R4841*(B4841&gt;=Train_Start)*(B4841&lt;=Train_End)</f>
        <v>0</v>
      </c>
      <c r="T4841" s="84" t="n">
        <f aca="false">IF(AND(ISNUMBER(O4841),ISNUMBER(P4841)),Coef_A+Coef_B1*O4841+Coef_B2*P4841,"")</f>
        <v>22.2248949758211</v>
      </c>
      <c r="U4841" s="84" t="n">
        <f aca="false">IF(AND(R4841=1,ISNUMBER(T4841)),E4841-T4841,"")</f>
        <v>-0.824894975821071</v>
      </c>
      <c r="V4841" s="84" t="n">
        <f aca="false">IF(ISNUMBER(T4841),T4841,-99)</f>
        <v>22.2248949758211</v>
      </c>
      <c r="W4841" s="84" t="n">
        <f aca="false">IF(ISNUMBER(U4841),ABS(U4841),"")</f>
        <v>0.824894975821071</v>
      </c>
    </row>
    <row r="4842" customFormat="false" ht="15" hidden="false" customHeight="false" outlineLevel="0" collapsed="false">
      <c r="A4842" s="57" t="n">
        <v>40396</v>
      </c>
      <c r="B4842" s="56" t="n">
        <v>2010</v>
      </c>
      <c r="C4842" s="56" t="n">
        <v>8</v>
      </c>
      <c r="D4842" s="56" t="n">
        <v>98</v>
      </c>
      <c r="E4842" s="56" t="n">
        <v>21.8</v>
      </c>
      <c r="F4842" s="56" t="n">
        <v>0</v>
      </c>
      <c r="G4842" s="56" t="n">
        <v>11.3</v>
      </c>
      <c r="H4842" s="56" t="n">
        <v>0</v>
      </c>
      <c r="I4842" s="56" t="n">
        <v>16.4</v>
      </c>
      <c r="J4842" s="56" t="n">
        <v>0</v>
      </c>
      <c r="K4842" s="56" t="n">
        <v>1014.8</v>
      </c>
      <c r="L4842" s="56" t="n">
        <v>0</v>
      </c>
      <c r="M4842" s="56" t="n">
        <v>75</v>
      </c>
      <c r="N4842" s="56" t="n">
        <v>2.5</v>
      </c>
      <c r="O4842" s="56" t="n">
        <f aca="false">IF(D4842=1,"",E4841)</f>
        <v>21.4</v>
      </c>
      <c r="P4842" s="56" t="n">
        <f aca="false">IF(OR(D4842=1,K4841=""),"",K4841)</f>
        <v>1012.5</v>
      </c>
      <c r="Q4842" s="56" t="n">
        <f aca="false">IF(OR(F4842&lt;&gt;0,AND(I4842&lt;&gt;"",E4842&lt;I4842)),1,0)</f>
        <v>0</v>
      </c>
      <c r="R4842" s="56" t="n">
        <f aca="false">IF(AND(D4842&gt;1,Q4842=0,ISNUMBER(O4842),ISNUMBER(P4842)),IF(Q4841=0,1,0),0)</f>
        <v>1</v>
      </c>
      <c r="S4842" s="56" t="n">
        <f aca="false">R4842*(B4842&gt;=Train_Start)*(B4842&lt;=Train_End)</f>
        <v>0</v>
      </c>
      <c r="T4842" s="84" t="n">
        <f aca="false">IF(AND(ISNUMBER(O4842),ISNUMBER(P4842)),Coef_A+Coef_B1*O4842+Coef_B2*P4842,"")</f>
        <v>21.3828524700228</v>
      </c>
      <c r="U4842" s="84" t="n">
        <f aca="false">IF(AND(R4842=1,ISNUMBER(T4842)),E4842-T4842,"")</f>
        <v>0.417147529977171</v>
      </c>
      <c r="V4842" s="84" t="n">
        <f aca="false">IF(ISNUMBER(T4842),T4842,-99)</f>
        <v>21.3828524700228</v>
      </c>
      <c r="W4842" s="84" t="n">
        <f aca="false">IF(ISNUMBER(U4842),ABS(U4842),"")</f>
        <v>0.417147529977171</v>
      </c>
    </row>
    <row r="4843" customFormat="false" ht="15" hidden="false" customHeight="false" outlineLevel="0" collapsed="false">
      <c r="A4843" s="57" t="n">
        <v>40397</v>
      </c>
      <c r="B4843" s="56" t="n">
        <v>2010</v>
      </c>
      <c r="C4843" s="56" t="n">
        <v>8</v>
      </c>
      <c r="D4843" s="56" t="n">
        <v>99</v>
      </c>
      <c r="E4843" s="56" t="n">
        <v>24.5</v>
      </c>
      <c r="F4843" s="56" t="n">
        <v>0</v>
      </c>
      <c r="G4843" s="56" t="n">
        <v>15.9</v>
      </c>
      <c r="H4843" s="56" t="n">
        <v>0</v>
      </c>
      <c r="I4843" s="56" t="n">
        <v>18.9</v>
      </c>
      <c r="J4843" s="56" t="n">
        <v>0</v>
      </c>
      <c r="K4843" s="56" t="n">
        <v>1014.8</v>
      </c>
      <c r="L4843" s="56" t="n">
        <v>0</v>
      </c>
      <c r="M4843" s="56" t="n">
        <v>78</v>
      </c>
      <c r="N4843" s="56" t="n">
        <v>1.2</v>
      </c>
      <c r="O4843" s="56" t="n">
        <f aca="false">IF(D4843=1,"",E4842)</f>
        <v>21.8</v>
      </c>
      <c r="P4843" s="56" t="n">
        <f aca="false">IF(OR(D4843=1,K4842=""),"",K4842)</f>
        <v>1014.8</v>
      </c>
      <c r="Q4843" s="56" t="n">
        <f aca="false">IF(OR(F4843&lt;&gt;0,AND(I4843&lt;&gt;"",E4843&lt;I4843)),1,0)</f>
        <v>0</v>
      </c>
      <c r="R4843" s="56" t="n">
        <f aca="false">IF(AND(D4843&gt;1,Q4843=0,ISNUMBER(O4843),ISNUMBER(P4843)),IF(Q4842=0,1,0),0)</f>
        <v>1</v>
      </c>
      <c r="S4843" s="56" t="n">
        <f aca="false">R4843*(B4843&gt;=Train_Start)*(B4843&lt;=Train_End)</f>
        <v>0</v>
      </c>
      <c r="T4843" s="84" t="n">
        <f aca="false">IF(AND(ISNUMBER(O4843),ISNUMBER(P4843)),Coef_A+Coef_B1*O4843+Coef_B2*P4843,"")</f>
        <v>21.7827389048981</v>
      </c>
      <c r="U4843" s="84" t="n">
        <f aca="false">IF(AND(R4843=1,ISNUMBER(T4843)),E4843-T4843,"")</f>
        <v>2.71726109510193</v>
      </c>
      <c r="V4843" s="84" t="n">
        <f aca="false">IF(ISNUMBER(T4843),T4843,-99)</f>
        <v>21.7827389048981</v>
      </c>
      <c r="W4843" s="84" t="n">
        <f aca="false">IF(ISNUMBER(U4843),ABS(U4843),"")</f>
        <v>2.71726109510193</v>
      </c>
    </row>
    <row r="4844" customFormat="false" ht="15" hidden="false" customHeight="false" outlineLevel="0" collapsed="false">
      <c r="A4844" s="57" t="n">
        <v>40398</v>
      </c>
      <c r="B4844" s="56" t="n">
        <v>2010</v>
      </c>
      <c r="C4844" s="56" t="n">
        <v>8</v>
      </c>
      <c r="D4844" s="56" t="n">
        <v>100</v>
      </c>
      <c r="E4844" s="56" t="n">
        <v>25.1</v>
      </c>
      <c r="F4844" s="56" t="n">
        <v>0</v>
      </c>
      <c r="G4844" s="56" t="n">
        <v>13.5</v>
      </c>
      <c r="H4844" s="56" t="n">
        <v>0</v>
      </c>
      <c r="I4844" s="56" t="n">
        <v>19</v>
      </c>
      <c r="J4844" s="56" t="n">
        <v>0</v>
      </c>
      <c r="K4844" s="56" t="n">
        <v>1019.4</v>
      </c>
      <c r="L4844" s="56" t="n">
        <v>0</v>
      </c>
      <c r="M4844" s="56" t="n">
        <v>64</v>
      </c>
      <c r="N4844" s="56" t="n">
        <v>6.2</v>
      </c>
      <c r="O4844" s="56" t="n">
        <f aca="false">IF(D4844=1,"",E4843)</f>
        <v>24.5</v>
      </c>
      <c r="P4844" s="56" t="n">
        <f aca="false">IF(OR(D4844=1,K4843=""),"",K4843)</f>
        <v>1014.8</v>
      </c>
      <c r="Q4844" s="56" t="n">
        <f aca="false">IF(OR(F4844&lt;&gt;0,AND(I4844&lt;&gt;"",E4844&lt;I4844)),1,0)</f>
        <v>0</v>
      </c>
      <c r="R4844" s="56" t="n">
        <f aca="false">IF(AND(D4844&gt;1,Q4844=0,ISNUMBER(O4844),ISNUMBER(P4844)),IF(Q4843=0,1,0),0)</f>
        <v>1</v>
      </c>
      <c r="S4844" s="56" t="n">
        <f aca="false">R4844*(B4844&gt;=Train_Start)*(B4844&lt;=Train_End)</f>
        <v>0</v>
      </c>
      <c r="T4844" s="84" t="n">
        <f aca="false">IF(AND(ISNUMBER(O4844),ISNUMBER(P4844)),Coef_A+Coef_B1*O4844+Coef_B2*P4844,"")</f>
        <v>23.9949547261132</v>
      </c>
      <c r="U4844" s="84" t="n">
        <f aca="false">IF(AND(R4844=1,ISNUMBER(T4844)),E4844-T4844,"")</f>
        <v>1.10504527388676</v>
      </c>
      <c r="V4844" s="84" t="n">
        <f aca="false">IF(ISNUMBER(T4844),T4844,-99)</f>
        <v>23.9949547261132</v>
      </c>
      <c r="W4844" s="84" t="n">
        <f aca="false">IF(ISNUMBER(U4844),ABS(U4844),"")</f>
        <v>1.10504527388676</v>
      </c>
    </row>
    <row r="4845" customFormat="false" ht="15" hidden="false" customHeight="false" outlineLevel="0" collapsed="false">
      <c r="A4845" s="57" t="n">
        <v>40399</v>
      </c>
      <c r="B4845" s="56" t="n">
        <v>2010</v>
      </c>
      <c r="C4845" s="56" t="n">
        <v>8</v>
      </c>
      <c r="D4845" s="56" t="n">
        <v>101</v>
      </c>
      <c r="E4845" s="56" t="n">
        <v>19.3</v>
      </c>
      <c r="F4845" s="56" t="n">
        <v>1</v>
      </c>
      <c r="G4845" s="56" t="n">
        <v>14.1</v>
      </c>
      <c r="H4845" s="56" t="n">
        <v>0</v>
      </c>
      <c r="I4845" s="56" t="n">
        <v>19.6</v>
      </c>
      <c r="J4845" s="56" t="n">
        <v>1</v>
      </c>
      <c r="K4845" s="56" t="n">
        <v>1015.4</v>
      </c>
      <c r="L4845" s="56" t="n">
        <v>0</v>
      </c>
      <c r="M4845" s="56" t="n">
        <v>65</v>
      </c>
      <c r="N4845" s="56" t="n">
        <v>8.1</v>
      </c>
      <c r="O4845" s="56" t="n">
        <f aca="false">IF(D4845=1,"",E4844)</f>
        <v>25.1</v>
      </c>
      <c r="P4845" s="56" t="n">
        <f aca="false">IF(OR(D4845=1,K4844=""),"",K4844)</f>
        <v>1019.4</v>
      </c>
      <c r="Q4845" s="56" t="n">
        <f aca="false">IF(OR(F4845&lt;&gt;0,AND(I4845&lt;&gt;"",E4845&lt;I4845)),1,0)</f>
        <v>1</v>
      </c>
      <c r="R4845" s="56" t="n">
        <f aca="false">IF(AND(D4845&gt;1,Q4845=0,ISNUMBER(O4845),ISNUMBER(P4845)),IF(Q4844=0,1,0),0)</f>
        <v>0</v>
      </c>
      <c r="S4845" s="56" t="n">
        <f aca="false">R4845*(B4845&gt;=Train_Start)*(B4845&lt;=Train_End)</f>
        <v>0</v>
      </c>
      <c r="T4845" s="84" t="n">
        <f aca="false">IF(AND(ISNUMBER(O4845),ISNUMBER(P4845)),Coef_A+Coef_B1*O4845+Coef_B2*P4845,"")</f>
        <v>24.6308597572552</v>
      </c>
      <c r="U4845" s="84" t="str">
        <f aca="false">IF(AND(R4845=1,ISNUMBER(T4845)),E4845-T4845,"")</f>
        <v/>
      </c>
      <c r="V4845" s="84" t="n">
        <f aca="false">IF(ISNUMBER(T4845),T4845,-99)</f>
        <v>24.6308597572552</v>
      </c>
      <c r="W4845" s="84" t="str">
        <f aca="false">IF(ISNUMBER(U4845),ABS(U4845),"")</f>
        <v/>
      </c>
    </row>
    <row r="4846" customFormat="false" ht="15" hidden="false" customHeight="false" outlineLevel="0" collapsed="false">
      <c r="A4846" s="57" t="n">
        <v>40400</v>
      </c>
      <c r="B4846" s="56" t="n">
        <v>2010</v>
      </c>
      <c r="C4846" s="56" t="n">
        <v>8</v>
      </c>
      <c r="D4846" s="56" t="n">
        <v>102</v>
      </c>
      <c r="E4846" s="56" t="n">
        <v>23</v>
      </c>
      <c r="F4846" s="56" t="n">
        <v>0</v>
      </c>
      <c r="G4846" s="56" t="n">
        <v>14.1</v>
      </c>
      <c r="H4846" s="56" t="n">
        <v>0</v>
      </c>
      <c r="I4846" s="56" t="n">
        <v>16.7</v>
      </c>
      <c r="J4846" s="56" t="n">
        <v>0</v>
      </c>
      <c r="K4846" s="56" t="n">
        <v>1010.4</v>
      </c>
      <c r="L4846" s="56" t="n">
        <v>0</v>
      </c>
      <c r="M4846" s="56" t="n">
        <v>89</v>
      </c>
      <c r="N4846" s="56" t="n">
        <v>0</v>
      </c>
      <c r="O4846" s="56" t="n">
        <f aca="false">IF(D4846=1,"",E4845)</f>
        <v>19.3</v>
      </c>
      <c r="P4846" s="56" t="n">
        <f aca="false">IF(OR(D4846=1,K4845=""),"",K4845)</f>
        <v>1015.4</v>
      </c>
      <c r="Q4846" s="56" t="n">
        <f aca="false">IF(OR(F4846&lt;&gt;0,AND(I4846&lt;&gt;"",E4846&lt;I4846)),1,0)</f>
        <v>0</v>
      </c>
      <c r="R4846" s="56" t="n">
        <f aca="false">IF(AND(D4846&gt;1,Q4846=0,ISNUMBER(O4846),ISNUMBER(P4846)),IF(Q4845=0,1,0),0)</f>
        <v>0</v>
      </c>
      <c r="S4846" s="56" t="n">
        <f aca="false">R4846*(B4846&gt;=Train_Start)*(B4846&lt;=Train_End)</f>
        <v>0</v>
      </c>
      <c r="T4846" s="84" t="n">
        <f aca="false">IF(AND(ISNUMBER(O4846),ISNUMBER(P4846)),Coef_A+Coef_B1*O4846+Coef_B2*P4846,"")</f>
        <v>19.7532128590718</v>
      </c>
      <c r="U4846" s="84" t="str">
        <f aca="false">IF(AND(R4846=1,ISNUMBER(T4846)),E4846-T4846,"")</f>
        <v/>
      </c>
      <c r="V4846" s="84" t="n">
        <f aca="false">IF(ISNUMBER(T4846),T4846,-99)</f>
        <v>19.7532128590718</v>
      </c>
      <c r="W4846" s="84" t="str">
        <f aca="false">IF(ISNUMBER(U4846),ABS(U4846),"")</f>
        <v/>
      </c>
    </row>
    <row r="4847" customFormat="false" ht="15" hidden="false" customHeight="false" outlineLevel="0" collapsed="false">
      <c r="A4847" s="57" t="n">
        <v>40401</v>
      </c>
      <c r="B4847" s="56" t="n">
        <v>2010</v>
      </c>
      <c r="C4847" s="56" t="n">
        <v>8</v>
      </c>
      <c r="D4847" s="56" t="n">
        <v>103</v>
      </c>
      <c r="E4847" s="56" t="n">
        <v>20.4</v>
      </c>
      <c r="F4847" s="56" t="n">
        <v>0</v>
      </c>
      <c r="G4847" s="56" t="n">
        <v>11.6</v>
      </c>
      <c r="H4847" s="56" t="n">
        <v>0</v>
      </c>
      <c r="I4847" s="56" t="n">
        <v>17.3</v>
      </c>
      <c r="J4847" s="56" t="n">
        <v>0</v>
      </c>
      <c r="K4847" s="56" t="n">
        <v>1013.3</v>
      </c>
      <c r="L4847" s="56" t="n">
        <v>0</v>
      </c>
      <c r="M4847" s="56" t="n">
        <v>69</v>
      </c>
      <c r="N4847" s="56" t="n">
        <v>6.6</v>
      </c>
      <c r="O4847" s="56" t="n">
        <f aca="false">IF(D4847=1,"",E4846)</f>
        <v>23</v>
      </c>
      <c r="P4847" s="56" t="n">
        <f aca="false">IF(OR(D4847=1,K4846=""),"",K4846)</f>
        <v>1010.4</v>
      </c>
      <c r="Q4847" s="56" t="n">
        <f aca="false">IF(OR(F4847&lt;&gt;0,AND(I4847&lt;&gt;"",E4847&lt;I4847)),1,0)</f>
        <v>0</v>
      </c>
      <c r="R4847" s="56" t="n">
        <f aca="false">IF(AND(D4847&gt;1,Q4847=0,ISNUMBER(O4847),ISNUMBER(P4847)),IF(Q4846=0,1,0),0)</f>
        <v>1</v>
      </c>
      <c r="S4847" s="56" t="n">
        <f aca="false">R4847*(B4847&gt;=Train_Start)*(B4847&lt;=Train_End)</f>
        <v>0</v>
      </c>
      <c r="T4847" s="84" t="n">
        <f aca="false">IF(AND(ISNUMBER(O4847),ISNUMBER(P4847)),Coef_A+Coef_B1*O4847+Coef_B2*P4847,"")</f>
        <v>22.6279184001597</v>
      </c>
      <c r="U4847" s="84" t="n">
        <f aca="false">IF(AND(R4847=1,ISNUMBER(T4847)),E4847-T4847,"")</f>
        <v>-2.22791840015971</v>
      </c>
      <c r="V4847" s="84" t="n">
        <f aca="false">IF(ISNUMBER(T4847),T4847,-99)</f>
        <v>22.6279184001597</v>
      </c>
      <c r="W4847" s="84" t="n">
        <f aca="false">IF(ISNUMBER(U4847),ABS(U4847),"")</f>
        <v>2.22791840015971</v>
      </c>
    </row>
    <row r="4848" customFormat="false" ht="15" hidden="false" customHeight="false" outlineLevel="0" collapsed="false">
      <c r="A4848" s="57" t="n">
        <v>40402</v>
      </c>
      <c r="B4848" s="56" t="n">
        <v>2010</v>
      </c>
      <c r="C4848" s="56" t="n">
        <v>8</v>
      </c>
      <c r="D4848" s="56" t="n">
        <v>104</v>
      </c>
      <c r="E4848" s="56" t="n">
        <v>18</v>
      </c>
      <c r="F4848" s="56" t="n">
        <v>0</v>
      </c>
      <c r="G4848" s="56" t="n">
        <v>12.3</v>
      </c>
      <c r="H4848" s="56" t="n">
        <v>0</v>
      </c>
      <c r="I4848" s="56" t="n">
        <v>16.4</v>
      </c>
      <c r="J4848" s="56" t="n">
        <v>0</v>
      </c>
      <c r="K4848" s="56" t="n">
        <v>1016.4</v>
      </c>
      <c r="L4848" s="56" t="n">
        <v>0</v>
      </c>
      <c r="M4848" s="56" t="n">
        <v>75</v>
      </c>
      <c r="N4848" s="56" t="n">
        <v>0.4</v>
      </c>
      <c r="O4848" s="56" t="n">
        <f aca="false">IF(D4848=1,"",E4847)</f>
        <v>20.4</v>
      </c>
      <c r="P4848" s="56" t="n">
        <f aca="false">IF(OR(D4848=1,K4847=""),"",K4847)</f>
        <v>1013.3</v>
      </c>
      <c r="Q4848" s="56" t="n">
        <f aca="false">IF(OR(F4848&lt;&gt;0,AND(I4848&lt;&gt;"",E4848&lt;I4848)),1,0)</f>
        <v>0</v>
      </c>
      <c r="R4848" s="56" t="n">
        <f aca="false">IF(AND(D4848&gt;1,Q4848=0,ISNUMBER(O4848),ISNUMBER(P4848)),IF(Q4847=0,1,0),0)</f>
        <v>1</v>
      </c>
      <c r="S4848" s="56" t="n">
        <f aca="false">R4848*(B4848&gt;=Train_Start)*(B4848&lt;=Train_End)</f>
        <v>0</v>
      </c>
      <c r="T4848" s="84" t="n">
        <f aca="false">IF(AND(ISNUMBER(O4848),ISNUMBER(P4848)),Coef_A+Coef_B1*O4848+Coef_B2*P4848,"")</f>
        <v>20.5886091926874</v>
      </c>
      <c r="U4848" s="84" t="n">
        <f aca="false">IF(AND(R4848=1,ISNUMBER(T4848)),E4848-T4848,"")</f>
        <v>-2.58860919268736</v>
      </c>
      <c r="V4848" s="84" t="n">
        <f aca="false">IF(ISNUMBER(T4848),T4848,-99)</f>
        <v>20.5886091926874</v>
      </c>
      <c r="W4848" s="84" t="n">
        <f aca="false">IF(ISNUMBER(U4848),ABS(U4848),"")</f>
        <v>2.58860919268736</v>
      </c>
    </row>
    <row r="4849" customFormat="false" ht="15" hidden="false" customHeight="false" outlineLevel="0" collapsed="false">
      <c r="A4849" s="57" t="n">
        <v>40403</v>
      </c>
      <c r="B4849" s="56" t="n">
        <v>2010</v>
      </c>
      <c r="C4849" s="56" t="n">
        <v>8</v>
      </c>
      <c r="D4849" s="56" t="n">
        <v>105</v>
      </c>
      <c r="E4849" s="56" t="n">
        <v>18.4</v>
      </c>
      <c r="F4849" s="56" t="n">
        <v>0</v>
      </c>
      <c r="G4849" s="56" t="n">
        <v>11</v>
      </c>
      <c r="H4849" s="56" t="n">
        <v>0</v>
      </c>
      <c r="I4849" s="56" t="n">
        <v>14.5</v>
      </c>
      <c r="J4849" s="56" t="n">
        <v>0</v>
      </c>
      <c r="K4849" s="56" t="n">
        <v>1017.5</v>
      </c>
      <c r="L4849" s="56" t="n">
        <v>0</v>
      </c>
      <c r="M4849" s="56" t="n">
        <v>86</v>
      </c>
      <c r="N4849" s="56" t="n">
        <v>1.3</v>
      </c>
      <c r="O4849" s="56" t="n">
        <f aca="false">IF(D4849=1,"",E4848)</f>
        <v>18</v>
      </c>
      <c r="P4849" s="56" t="n">
        <f aca="false">IF(OR(D4849=1,K4848=""),"",K4848)</f>
        <v>1016.4</v>
      </c>
      <c r="Q4849" s="56" t="n">
        <f aca="false">IF(OR(F4849&lt;&gt;0,AND(I4849&lt;&gt;"",E4849&lt;I4849)),1,0)</f>
        <v>0</v>
      </c>
      <c r="R4849" s="56" t="n">
        <f aca="false">IF(AND(D4849&gt;1,Q4849=0,ISNUMBER(O4849),ISNUMBER(P4849)),IF(Q4848=0,1,0),0)</f>
        <v>1</v>
      </c>
      <c r="S4849" s="56" t="n">
        <f aca="false">R4849*(B4849&gt;=Train_Start)*(B4849&lt;=Train_End)</f>
        <v>0</v>
      </c>
      <c r="T4849" s="84" t="n">
        <f aca="false">IF(AND(ISNUMBER(O4849),ISNUMBER(P4849)),Coef_A+Coef_B1*O4849+Coef_B2*P4849,"")</f>
        <v>18.7194418027504</v>
      </c>
      <c r="U4849" s="84" t="n">
        <f aca="false">IF(AND(R4849=1,ISNUMBER(T4849)),E4849-T4849,"")</f>
        <v>-0.319441802750355</v>
      </c>
      <c r="V4849" s="84" t="n">
        <f aca="false">IF(ISNUMBER(T4849),T4849,-99)</f>
        <v>18.7194418027504</v>
      </c>
      <c r="W4849" s="84" t="n">
        <f aca="false">IF(ISNUMBER(U4849),ABS(U4849),"")</f>
        <v>0.319441802750355</v>
      </c>
    </row>
    <row r="4850" customFormat="false" ht="15" hidden="false" customHeight="false" outlineLevel="0" collapsed="false">
      <c r="A4850" s="57" t="n">
        <v>40404</v>
      </c>
      <c r="B4850" s="56" t="n">
        <v>2010</v>
      </c>
      <c r="C4850" s="56" t="n">
        <v>8</v>
      </c>
      <c r="D4850" s="56" t="n">
        <v>106</v>
      </c>
      <c r="E4850" s="56" t="n">
        <v>22.7</v>
      </c>
      <c r="F4850" s="56" t="n">
        <v>0</v>
      </c>
      <c r="G4850" s="56" t="n">
        <v>13</v>
      </c>
      <c r="H4850" s="56" t="n">
        <v>0</v>
      </c>
      <c r="I4850" s="56" t="n">
        <v>15.7</v>
      </c>
      <c r="J4850" s="56" t="n">
        <v>0</v>
      </c>
      <c r="K4850" s="56" t="n">
        <v>1017.4</v>
      </c>
      <c r="L4850" s="56" t="n">
        <v>0</v>
      </c>
      <c r="M4850" s="56" t="n">
        <v>89</v>
      </c>
      <c r="N4850" s="56" t="n">
        <v>0.8</v>
      </c>
      <c r="O4850" s="56" t="n">
        <f aca="false">IF(D4850=1,"",E4849)</f>
        <v>18.4</v>
      </c>
      <c r="P4850" s="56" t="n">
        <f aca="false">IF(OR(D4850=1,K4849=""),"",K4849)</f>
        <v>1017.5</v>
      </c>
      <c r="Q4850" s="56" t="n">
        <f aca="false">IF(OR(F4850&lt;&gt;0,AND(I4850&lt;&gt;"",E4850&lt;I4850)),1,0)</f>
        <v>0</v>
      </c>
      <c r="R4850" s="56" t="n">
        <f aca="false">IF(AND(D4850&gt;1,Q4850=0,ISNUMBER(O4850),ISNUMBER(P4850)),IF(Q4849=0,1,0),0)</f>
        <v>1</v>
      </c>
      <c r="S4850" s="56" t="n">
        <f aca="false">R4850*(B4850&gt;=Train_Start)*(B4850&lt;=Train_End)</f>
        <v>0</v>
      </c>
      <c r="T4850" s="84" t="n">
        <f aca="false">IF(AND(ISNUMBER(O4850),ISNUMBER(P4850)),Coef_A+Coef_B1*O4850+Coef_B2*P4850,"")</f>
        <v>19.0816843640648</v>
      </c>
      <c r="U4850" s="84" t="n">
        <f aca="false">IF(AND(R4850=1,ISNUMBER(T4850)),E4850-T4850,"")</f>
        <v>3.61831563593519</v>
      </c>
      <c r="V4850" s="84" t="n">
        <f aca="false">IF(ISNUMBER(T4850),T4850,-99)</f>
        <v>19.0816843640648</v>
      </c>
      <c r="W4850" s="84" t="n">
        <f aca="false">IF(ISNUMBER(U4850),ABS(U4850),"")</f>
        <v>3.61831563593519</v>
      </c>
    </row>
    <row r="4851" customFormat="false" ht="15" hidden="false" customHeight="false" outlineLevel="0" collapsed="false">
      <c r="A4851" s="57" t="n">
        <v>40405</v>
      </c>
      <c r="B4851" s="56" t="n">
        <v>2010</v>
      </c>
      <c r="C4851" s="56" t="n">
        <v>8</v>
      </c>
      <c r="D4851" s="56" t="n">
        <v>107</v>
      </c>
      <c r="E4851" s="56" t="n">
        <v>25.4</v>
      </c>
      <c r="F4851" s="56" t="n">
        <v>0</v>
      </c>
      <c r="G4851" s="56" t="n">
        <v>13</v>
      </c>
      <c r="H4851" s="56" t="n">
        <v>0</v>
      </c>
      <c r="I4851" s="56" t="n">
        <v>17.9</v>
      </c>
      <c r="J4851" s="56" t="n">
        <v>0</v>
      </c>
      <c r="K4851" s="56" t="n">
        <v>1020.2</v>
      </c>
      <c r="L4851" s="56" t="n">
        <v>0</v>
      </c>
      <c r="M4851" s="56" t="n">
        <v>73</v>
      </c>
      <c r="N4851" s="56" t="n">
        <v>4.3</v>
      </c>
      <c r="O4851" s="56" t="n">
        <f aca="false">IF(D4851=1,"",E4850)</f>
        <v>22.7</v>
      </c>
      <c r="P4851" s="56" t="n">
        <f aca="false">IF(OR(D4851=1,K4850=""),"",K4850)</f>
        <v>1017.4</v>
      </c>
      <c r="Q4851" s="56" t="n">
        <f aca="false">IF(OR(F4851&lt;&gt;0,AND(I4851&lt;&gt;"",E4851&lt;I4851)),1,0)</f>
        <v>0</v>
      </c>
      <c r="R4851" s="56" t="n">
        <f aca="false">IF(AND(D4851&gt;1,Q4851=0,ISNUMBER(O4851),ISNUMBER(P4851)),IF(Q4850=0,1,0),0)</f>
        <v>1</v>
      </c>
      <c r="S4851" s="56" t="n">
        <f aca="false">R4851*(B4851&gt;=Train_Start)*(B4851&lt;=Train_End)</f>
        <v>0</v>
      </c>
      <c r="T4851" s="84" t="n">
        <f aca="false">IF(AND(ISNUMBER(O4851),ISNUMBER(P4851)),Coef_A+Coef_B1*O4851+Coef_B2*P4851,"")</f>
        <v>22.6017059046848</v>
      </c>
      <c r="U4851" s="84" t="n">
        <f aca="false">IF(AND(R4851=1,ISNUMBER(T4851)),E4851-T4851,"")</f>
        <v>2.79829409531517</v>
      </c>
      <c r="V4851" s="84" t="n">
        <f aca="false">IF(ISNUMBER(T4851),T4851,-99)</f>
        <v>22.6017059046848</v>
      </c>
      <c r="W4851" s="84" t="n">
        <f aca="false">IF(ISNUMBER(U4851),ABS(U4851),"")</f>
        <v>2.79829409531517</v>
      </c>
    </row>
    <row r="4852" customFormat="false" ht="15" hidden="false" customHeight="false" outlineLevel="0" collapsed="false">
      <c r="A4852" s="57" t="n">
        <v>40406</v>
      </c>
      <c r="B4852" s="56" t="n">
        <v>2010</v>
      </c>
      <c r="C4852" s="56" t="n">
        <v>8</v>
      </c>
      <c r="D4852" s="56" t="n">
        <v>108</v>
      </c>
      <c r="E4852" s="56" t="n">
        <v>21</v>
      </c>
      <c r="F4852" s="56" t="n">
        <v>0</v>
      </c>
      <c r="G4852" s="56" t="n">
        <v>12.8</v>
      </c>
      <c r="H4852" s="56" t="n">
        <v>0</v>
      </c>
      <c r="I4852" s="56" t="n">
        <v>19.1</v>
      </c>
      <c r="J4852" s="56" t="n">
        <v>0</v>
      </c>
      <c r="K4852" s="56" t="n">
        <v>1016.2</v>
      </c>
      <c r="L4852" s="56" t="n">
        <v>0</v>
      </c>
      <c r="M4852" s="56" t="n">
        <v>63</v>
      </c>
      <c r="N4852" s="56" t="n">
        <v>7.7</v>
      </c>
      <c r="O4852" s="56" t="n">
        <f aca="false">IF(D4852=1,"",E4851)</f>
        <v>25.4</v>
      </c>
      <c r="P4852" s="56" t="n">
        <f aca="false">IF(OR(D4852=1,K4851=""),"",K4851)</f>
        <v>1020.2</v>
      </c>
      <c r="Q4852" s="56" t="n">
        <f aca="false">IF(OR(F4852&lt;&gt;0,AND(I4852&lt;&gt;"",E4852&lt;I4852)),1,0)</f>
        <v>0</v>
      </c>
      <c r="R4852" s="56" t="n">
        <f aca="false">IF(AND(D4852&gt;1,Q4852=0,ISNUMBER(O4852),ISNUMBER(P4852)),IF(Q4851=0,1,0),0)</f>
        <v>1</v>
      </c>
      <c r="S4852" s="56" t="n">
        <f aca="false">R4852*(B4852&gt;=Train_Start)*(B4852&lt;=Train_End)</f>
        <v>0</v>
      </c>
      <c r="T4852" s="84" t="n">
        <f aca="false">IF(AND(ISNUMBER(O4852),ISNUMBER(P4852)),Coef_A+Coef_B1*O4852+Coef_B2*P4852,"")</f>
        <v>24.9017574308752</v>
      </c>
      <c r="U4852" s="84" t="n">
        <f aca="false">IF(AND(R4852=1,ISNUMBER(T4852)),E4852-T4852,"")</f>
        <v>-3.90175743087518</v>
      </c>
      <c r="V4852" s="84" t="n">
        <f aca="false">IF(ISNUMBER(T4852),T4852,-99)</f>
        <v>24.9017574308752</v>
      </c>
      <c r="W4852" s="84" t="n">
        <f aca="false">IF(ISNUMBER(U4852),ABS(U4852),"")</f>
        <v>3.90175743087518</v>
      </c>
    </row>
    <row r="4853" customFormat="false" ht="15" hidden="false" customHeight="false" outlineLevel="0" collapsed="false">
      <c r="A4853" s="57" t="n">
        <v>40407</v>
      </c>
      <c r="B4853" s="56" t="n">
        <v>2010</v>
      </c>
      <c r="C4853" s="56" t="n">
        <v>8</v>
      </c>
      <c r="D4853" s="56" t="n">
        <v>109</v>
      </c>
      <c r="E4853" s="56" t="n">
        <v>21.6</v>
      </c>
      <c r="F4853" s="56" t="n">
        <v>0</v>
      </c>
      <c r="G4853" s="56" t="n">
        <v>14.7</v>
      </c>
      <c r="H4853" s="56" t="n">
        <v>0</v>
      </c>
      <c r="I4853" s="56" t="n">
        <v>17.9</v>
      </c>
      <c r="J4853" s="56" t="n">
        <v>0</v>
      </c>
      <c r="K4853" s="56" t="n">
        <v>1010.6</v>
      </c>
      <c r="L4853" s="56" t="n">
        <v>0</v>
      </c>
      <c r="M4853" s="56" t="n">
        <v>81</v>
      </c>
      <c r="N4853" s="56" t="n">
        <v>1.7</v>
      </c>
      <c r="O4853" s="56" t="n">
        <f aca="false">IF(D4853=1,"",E4852)</f>
        <v>21</v>
      </c>
      <c r="P4853" s="56" t="n">
        <f aca="false">IF(OR(D4853=1,K4852=""),"",K4852)</f>
        <v>1016.2</v>
      </c>
      <c r="Q4853" s="56" t="n">
        <f aca="false">IF(OR(F4853&lt;&gt;0,AND(I4853&lt;&gt;"",E4853&lt;I4853)),1,0)</f>
        <v>0</v>
      </c>
      <c r="R4853" s="56" t="n">
        <f aca="false">IF(AND(D4853&gt;1,Q4853=0,ISNUMBER(O4853),ISNUMBER(P4853)),IF(Q4852=0,1,0),0)</f>
        <v>1</v>
      </c>
      <c r="S4853" s="56" t="n">
        <f aca="false">R4853*(B4853&gt;=Train_Start)*(B4853&lt;=Train_End)</f>
        <v>0</v>
      </c>
      <c r="T4853" s="84" t="n">
        <f aca="false">IF(AND(ISNUMBER(O4853),ISNUMBER(P4853)),Coef_A+Coef_B1*O4853+Coef_B2*P4853,"")</f>
        <v>21.1711854029515</v>
      </c>
      <c r="U4853" s="84" t="n">
        <f aca="false">IF(AND(R4853=1,ISNUMBER(T4853)),E4853-T4853,"")</f>
        <v>0.428814597048472</v>
      </c>
      <c r="V4853" s="84" t="n">
        <f aca="false">IF(ISNUMBER(T4853),T4853,-99)</f>
        <v>21.1711854029515</v>
      </c>
      <c r="W4853" s="84" t="n">
        <f aca="false">IF(ISNUMBER(U4853),ABS(U4853),"")</f>
        <v>0.428814597048472</v>
      </c>
    </row>
    <row r="4854" customFormat="false" ht="15" hidden="false" customHeight="false" outlineLevel="0" collapsed="false">
      <c r="A4854" s="57" t="n">
        <v>40408</v>
      </c>
      <c r="B4854" s="56" t="n">
        <v>2010</v>
      </c>
      <c r="C4854" s="56" t="n">
        <v>8</v>
      </c>
      <c r="D4854" s="56" t="n">
        <v>110</v>
      </c>
      <c r="E4854" s="56" t="n">
        <v>21.9</v>
      </c>
      <c r="F4854" s="56" t="n">
        <v>0</v>
      </c>
      <c r="G4854" s="56" t="n">
        <v>13</v>
      </c>
      <c r="H4854" s="56" t="n">
        <v>0</v>
      </c>
      <c r="I4854" s="56" t="n">
        <v>17.3</v>
      </c>
      <c r="J4854" s="56" t="n">
        <v>0</v>
      </c>
      <c r="K4854" s="56" t="n">
        <v>1008.3</v>
      </c>
      <c r="L4854" s="56" t="n">
        <v>0</v>
      </c>
      <c r="M4854" s="56" t="n">
        <v>66</v>
      </c>
      <c r="N4854" s="56" t="n">
        <v>4.8</v>
      </c>
      <c r="O4854" s="56" t="n">
        <f aca="false">IF(D4854=1,"",E4853)</f>
        <v>21.6</v>
      </c>
      <c r="P4854" s="56" t="n">
        <f aca="false">IF(OR(D4854=1,K4853=""),"",K4853)</f>
        <v>1010.6</v>
      </c>
      <c r="Q4854" s="56" t="n">
        <f aca="false">IF(OR(F4854&lt;&gt;0,AND(I4854&lt;&gt;"",E4854&lt;I4854)),1,0)</f>
        <v>0</v>
      </c>
      <c r="R4854" s="56" t="n">
        <f aca="false">IF(AND(D4854&gt;1,Q4854=0,ISNUMBER(O4854),ISNUMBER(P4854)),IF(Q4853=0,1,0),0)</f>
        <v>1</v>
      </c>
      <c r="S4854" s="56" t="n">
        <f aca="false">R4854*(B4854&gt;=Train_Start)*(B4854&lt;=Train_End)</f>
        <v>0</v>
      </c>
      <c r="T4854" s="84" t="n">
        <f aca="false">IF(AND(ISNUMBER(O4854),ISNUMBER(P4854)),Coef_A+Coef_B1*O4854+Coef_B2*P4854,"")</f>
        <v>21.4871175088268</v>
      </c>
      <c r="U4854" s="84" t="n">
        <f aca="false">IF(AND(R4854=1,ISNUMBER(T4854)),E4854-T4854,"")</f>
        <v>0.412882491173217</v>
      </c>
      <c r="V4854" s="84" t="n">
        <f aca="false">IF(ISNUMBER(T4854),T4854,-99)</f>
        <v>21.4871175088268</v>
      </c>
      <c r="W4854" s="84" t="n">
        <f aca="false">IF(ISNUMBER(U4854),ABS(U4854),"")</f>
        <v>0.412882491173217</v>
      </c>
    </row>
    <row r="4855" customFormat="false" ht="15" hidden="false" customHeight="false" outlineLevel="0" collapsed="false">
      <c r="A4855" s="57" t="n">
        <v>40409</v>
      </c>
      <c r="B4855" s="56" t="n">
        <v>2010</v>
      </c>
      <c r="C4855" s="56" t="n">
        <v>8</v>
      </c>
      <c r="D4855" s="56" t="n">
        <v>111</v>
      </c>
      <c r="E4855" s="56" t="n">
        <v>22.1</v>
      </c>
      <c r="F4855" s="56" t="n">
        <v>0</v>
      </c>
      <c r="G4855" s="56" t="n">
        <v>12</v>
      </c>
      <c r="H4855" s="56" t="n">
        <v>0</v>
      </c>
      <c r="I4855" s="56" t="n">
        <v>17</v>
      </c>
      <c r="J4855" s="56" t="n">
        <v>0</v>
      </c>
      <c r="K4855" s="56" t="n">
        <v>1012.4</v>
      </c>
      <c r="L4855" s="56" t="n">
        <v>0</v>
      </c>
      <c r="M4855" s="56" t="n">
        <v>72</v>
      </c>
      <c r="N4855" s="56" t="n">
        <v>3.2</v>
      </c>
      <c r="O4855" s="56" t="n">
        <f aca="false">IF(D4855=1,"",E4854)</f>
        <v>21.9</v>
      </c>
      <c r="P4855" s="56" t="n">
        <f aca="false">IF(OR(D4855=1,K4854=""),"",K4854)</f>
        <v>1008.3</v>
      </c>
      <c r="Q4855" s="56" t="n">
        <f aca="false">IF(OR(F4855&lt;&gt;0,AND(I4855&lt;&gt;"",E4855&lt;I4855)),1,0)</f>
        <v>0</v>
      </c>
      <c r="R4855" s="56" t="n">
        <f aca="false">IF(AND(D4855&gt;1,Q4855=0,ISNUMBER(O4855),ISNUMBER(P4855)),IF(Q4854=0,1,0),0)</f>
        <v>1</v>
      </c>
      <c r="S4855" s="56" t="n">
        <f aca="false">R4855*(B4855&gt;=Train_Start)*(B4855&lt;=Train_End)</f>
        <v>0</v>
      </c>
      <c r="T4855" s="84" t="n">
        <f aca="false">IF(AND(ISNUMBER(O4855),ISNUMBER(P4855)),Coef_A+Coef_B1*O4855+Coef_B2*P4855,"")</f>
        <v>21.6607685090814</v>
      </c>
      <c r="U4855" s="84" t="n">
        <f aca="false">IF(AND(R4855=1,ISNUMBER(T4855)),E4855-T4855,"")</f>
        <v>0.439231490918598</v>
      </c>
      <c r="V4855" s="84" t="n">
        <f aca="false">IF(ISNUMBER(T4855),T4855,-99)</f>
        <v>21.6607685090814</v>
      </c>
      <c r="W4855" s="84" t="n">
        <f aca="false">IF(ISNUMBER(U4855),ABS(U4855),"")</f>
        <v>0.439231490918598</v>
      </c>
    </row>
    <row r="4856" customFormat="false" ht="15" hidden="false" customHeight="false" outlineLevel="0" collapsed="false">
      <c r="A4856" s="57" t="n">
        <v>40410</v>
      </c>
      <c r="B4856" s="56" t="n">
        <v>2010</v>
      </c>
      <c r="C4856" s="56" t="n">
        <v>8</v>
      </c>
      <c r="D4856" s="56" t="n">
        <v>112</v>
      </c>
      <c r="E4856" s="56" t="n">
        <v>24.3</v>
      </c>
      <c r="F4856" s="56" t="n">
        <v>0</v>
      </c>
      <c r="G4856" s="56" t="n">
        <v>16.7</v>
      </c>
      <c r="H4856" s="56" t="n">
        <v>0</v>
      </c>
      <c r="I4856" s="56" t="n">
        <v>19.4</v>
      </c>
      <c r="J4856" s="56" t="n">
        <v>0</v>
      </c>
      <c r="K4856" s="56" t="n">
        <v>1015.5</v>
      </c>
      <c r="L4856" s="56" t="n">
        <v>0</v>
      </c>
      <c r="M4856" s="56" t="n">
        <v>82</v>
      </c>
      <c r="N4856" s="56" t="n">
        <v>0.3</v>
      </c>
      <c r="O4856" s="56" t="n">
        <f aca="false">IF(D4856=1,"",E4855)</f>
        <v>22.1</v>
      </c>
      <c r="P4856" s="56" t="n">
        <f aca="false">IF(OR(D4856=1,K4855=""),"",K4855)</f>
        <v>1012.4</v>
      </c>
      <c r="Q4856" s="56" t="n">
        <f aca="false">IF(OR(F4856&lt;&gt;0,AND(I4856&lt;&gt;"",E4856&lt;I4856)),1,0)</f>
        <v>0</v>
      </c>
      <c r="R4856" s="56" t="n">
        <f aca="false">IF(AND(D4856&gt;1,Q4856=0,ISNUMBER(O4856),ISNUMBER(P4856)),IF(Q4855=0,1,0),0)</f>
        <v>1</v>
      </c>
      <c r="S4856" s="56" t="n">
        <f aca="false">R4856*(B4856&gt;=Train_Start)*(B4856&lt;=Train_End)</f>
        <v>0</v>
      </c>
      <c r="T4856" s="84" t="n">
        <f aca="false">IF(AND(ISNUMBER(O4856),ISNUMBER(P4856)),Coef_A+Coef_B1*O4856+Coef_B2*P4856,"")</f>
        <v>21.9532529156893</v>
      </c>
      <c r="U4856" s="84" t="n">
        <f aca="false">IF(AND(R4856=1,ISNUMBER(T4856)),E4856-T4856,"")</f>
        <v>2.34674708431071</v>
      </c>
      <c r="V4856" s="84" t="n">
        <f aca="false">IF(ISNUMBER(T4856),T4856,-99)</f>
        <v>21.9532529156893</v>
      </c>
      <c r="W4856" s="84" t="n">
        <f aca="false">IF(ISNUMBER(U4856),ABS(U4856),"")</f>
        <v>2.34674708431071</v>
      </c>
    </row>
    <row r="4857" customFormat="false" ht="15" hidden="false" customHeight="false" outlineLevel="0" collapsed="false">
      <c r="A4857" s="57" t="n">
        <v>40411</v>
      </c>
      <c r="B4857" s="56" t="n">
        <v>2010</v>
      </c>
      <c r="C4857" s="56" t="n">
        <v>8</v>
      </c>
      <c r="D4857" s="56" t="n">
        <v>113</v>
      </c>
      <c r="E4857" s="56" t="n">
        <v>23.1</v>
      </c>
      <c r="F4857" s="56" t="n">
        <v>0</v>
      </c>
      <c r="G4857" s="56" t="n">
        <v>19.1</v>
      </c>
      <c r="H4857" s="56" t="n">
        <v>0</v>
      </c>
      <c r="I4857" s="56" t="n">
        <v>21.7</v>
      </c>
      <c r="J4857" s="56" t="n">
        <v>0</v>
      </c>
      <c r="K4857" s="56" t="n">
        <v>1018.3</v>
      </c>
      <c r="L4857" s="56" t="n">
        <v>0</v>
      </c>
      <c r="M4857" s="56" t="n">
        <v>83</v>
      </c>
      <c r="N4857" s="56" t="n">
        <v>0.6</v>
      </c>
      <c r="O4857" s="56" t="n">
        <f aca="false">IF(D4857=1,"",E4856)</f>
        <v>24.3</v>
      </c>
      <c r="P4857" s="56" t="n">
        <f aca="false">IF(OR(D4857=1,K4856=""),"",K4856)</f>
        <v>1015.5</v>
      </c>
      <c r="Q4857" s="56" t="n">
        <f aca="false">IF(OR(F4857&lt;&gt;0,AND(I4857&lt;&gt;"",E4857&lt;I4857)),1,0)</f>
        <v>0</v>
      </c>
      <c r="R4857" s="56" t="n">
        <f aca="false">IF(AND(D4857&gt;1,Q4857=0,ISNUMBER(O4857),ISNUMBER(P4857)),IF(Q4856=0,1,0),0)</f>
        <v>1</v>
      </c>
      <c r="S4857" s="56" t="n">
        <f aca="false">R4857*(B4857&gt;=Train_Start)*(B4857&lt;=Train_End)</f>
        <v>0</v>
      </c>
      <c r="T4857" s="84" t="n">
        <f aca="false">IF(AND(ISNUMBER(O4857),ISNUMBER(P4857)),Coef_A+Coef_B1*O4857+Coef_B2*P4857,"")</f>
        <v>23.8530458137485</v>
      </c>
      <c r="U4857" s="84" t="n">
        <f aca="false">IF(AND(R4857=1,ISNUMBER(T4857)),E4857-T4857,"")</f>
        <v>-0.753045813748503</v>
      </c>
      <c r="V4857" s="84" t="n">
        <f aca="false">IF(ISNUMBER(T4857),T4857,-99)</f>
        <v>23.8530458137485</v>
      </c>
      <c r="W4857" s="84" t="n">
        <f aca="false">IF(ISNUMBER(U4857),ABS(U4857),"")</f>
        <v>0.753045813748503</v>
      </c>
    </row>
    <row r="4858" customFormat="false" ht="15" hidden="false" customHeight="false" outlineLevel="0" collapsed="false">
      <c r="A4858" s="57" t="n">
        <v>40412</v>
      </c>
      <c r="B4858" s="56" t="n">
        <v>2010</v>
      </c>
      <c r="C4858" s="56" t="n">
        <v>8</v>
      </c>
      <c r="D4858" s="56" t="n">
        <v>114</v>
      </c>
      <c r="E4858" s="56" t="n">
        <v>21.7</v>
      </c>
      <c r="F4858" s="56" t="n">
        <v>0</v>
      </c>
      <c r="G4858" s="56" t="n">
        <v>16.9</v>
      </c>
      <c r="H4858" s="56" t="n">
        <v>0</v>
      </c>
      <c r="I4858" s="56" t="n">
        <v>20</v>
      </c>
      <c r="J4858" s="56" t="n">
        <v>0</v>
      </c>
      <c r="K4858" s="56" t="n">
        <v>1013.2</v>
      </c>
      <c r="L4858" s="56" t="n">
        <v>0</v>
      </c>
      <c r="M4858" s="56" t="n">
        <v>84</v>
      </c>
      <c r="N4858" s="56" t="n">
        <v>0.7</v>
      </c>
      <c r="O4858" s="56" t="n">
        <f aca="false">IF(D4858=1,"",E4857)</f>
        <v>23.1</v>
      </c>
      <c r="P4858" s="56" t="n">
        <f aca="false">IF(OR(D4858=1,K4857=""),"",K4857)</f>
        <v>1018.3</v>
      </c>
      <c r="Q4858" s="56" t="n">
        <f aca="false">IF(OR(F4858&lt;&gt;0,AND(I4858&lt;&gt;"",E4858&lt;I4858)),1,0)</f>
        <v>0</v>
      </c>
      <c r="R4858" s="56" t="n">
        <f aca="false">IF(AND(D4858&gt;1,Q4858=0,ISNUMBER(O4858),ISNUMBER(P4858)),IF(Q4857=0,1,0),0)</f>
        <v>1</v>
      </c>
      <c r="S4858" s="56" t="n">
        <f aca="false">R4858*(B4858&gt;=Train_Start)*(B4858&lt;=Train_End)</f>
        <v>0</v>
      </c>
      <c r="T4858" s="84" t="n">
        <f aca="false">IF(AND(ISNUMBER(O4858),ISNUMBER(P4858)),Coef_A+Coef_B1*O4858+Coef_B2*P4858,"")</f>
        <v>22.9576744870725</v>
      </c>
      <c r="U4858" s="84" t="n">
        <f aca="false">IF(AND(R4858=1,ISNUMBER(T4858)),E4858-T4858,"")</f>
        <v>-1.25767448707249</v>
      </c>
      <c r="V4858" s="84" t="n">
        <f aca="false">IF(ISNUMBER(T4858),T4858,-99)</f>
        <v>22.9576744870725</v>
      </c>
      <c r="W4858" s="84" t="n">
        <f aca="false">IF(ISNUMBER(U4858),ABS(U4858),"")</f>
        <v>1.25767448707249</v>
      </c>
    </row>
    <row r="4859" customFormat="false" ht="15" hidden="false" customHeight="false" outlineLevel="0" collapsed="false">
      <c r="A4859" s="57" t="n">
        <v>40413</v>
      </c>
      <c r="B4859" s="56" t="n">
        <v>2010</v>
      </c>
      <c r="C4859" s="56" t="n">
        <v>8</v>
      </c>
      <c r="D4859" s="56" t="n">
        <v>115</v>
      </c>
      <c r="E4859" s="56" t="n">
        <v>20.9</v>
      </c>
      <c r="F4859" s="56" t="n">
        <v>0</v>
      </c>
      <c r="G4859" s="56" t="n">
        <v>16.7</v>
      </c>
      <c r="H4859" s="56" t="n">
        <v>0</v>
      </c>
      <c r="I4859" s="56" t="n">
        <v>19.2</v>
      </c>
      <c r="J4859" s="56" t="n">
        <v>0</v>
      </c>
      <c r="K4859" s="56" t="n">
        <v>999.6</v>
      </c>
      <c r="L4859" s="56" t="n">
        <v>0</v>
      </c>
      <c r="M4859" s="56" t="n">
        <v>82</v>
      </c>
      <c r="N4859" s="56" t="n">
        <v>3.1</v>
      </c>
      <c r="O4859" s="56" t="n">
        <f aca="false">IF(D4859=1,"",E4858)</f>
        <v>21.7</v>
      </c>
      <c r="P4859" s="56" t="n">
        <f aca="false">IF(OR(D4859=1,K4858=""),"",K4858)</f>
        <v>1013.2</v>
      </c>
      <c r="Q4859" s="56" t="n">
        <f aca="false">IF(OR(F4859&lt;&gt;0,AND(I4859&lt;&gt;"",E4859&lt;I4859)),1,0)</f>
        <v>0</v>
      </c>
      <c r="R4859" s="56" t="n">
        <f aca="false">IF(AND(D4859&gt;1,Q4859=0,ISNUMBER(O4859),ISNUMBER(P4859)),IF(Q4858=0,1,0),0)</f>
        <v>1</v>
      </c>
      <c r="S4859" s="56" t="n">
        <f aca="false">R4859*(B4859&gt;=Train_Start)*(B4859&lt;=Train_End)</f>
        <v>0</v>
      </c>
      <c r="T4859" s="84" t="n">
        <f aca="false">IF(AND(ISNUMBER(O4859),ISNUMBER(P4859)),Coef_A+Coef_B1*O4859+Coef_B2*P4859,"")</f>
        <v>21.6506131541794</v>
      </c>
      <c r="U4859" s="84" t="n">
        <f aca="false">IF(AND(R4859=1,ISNUMBER(T4859)),E4859-T4859,"")</f>
        <v>-0.750613154179423</v>
      </c>
      <c r="V4859" s="84" t="n">
        <f aca="false">IF(ISNUMBER(T4859),T4859,-99)</f>
        <v>21.6506131541794</v>
      </c>
      <c r="W4859" s="84" t="n">
        <f aca="false">IF(ISNUMBER(U4859),ABS(U4859),"")</f>
        <v>0.750613154179423</v>
      </c>
    </row>
    <row r="4860" customFormat="false" ht="15" hidden="false" customHeight="false" outlineLevel="0" collapsed="false">
      <c r="A4860" s="57" t="n">
        <v>40414</v>
      </c>
      <c r="B4860" s="56" t="n">
        <v>2010</v>
      </c>
      <c r="C4860" s="56" t="n">
        <v>8</v>
      </c>
      <c r="D4860" s="56" t="n">
        <v>116</v>
      </c>
      <c r="E4860" s="56" t="n">
        <v>19.3</v>
      </c>
      <c r="F4860" s="56" t="n">
        <v>0</v>
      </c>
      <c r="G4860" s="56" t="n">
        <v>11.6</v>
      </c>
      <c r="H4860" s="56" t="n">
        <v>0</v>
      </c>
      <c r="I4860" s="56" t="n">
        <v>16.3</v>
      </c>
      <c r="J4860" s="56" t="n">
        <v>0</v>
      </c>
      <c r="K4860" s="56" t="n">
        <v>1009.2</v>
      </c>
      <c r="L4860" s="56" t="n">
        <v>0</v>
      </c>
      <c r="M4860" s="56" t="n">
        <v>69</v>
      </c>
      <c r="N4860" s="56" t="n">
        <v>10.3</v>
      </c>
      <c r="O4860" s="56" t="n">
        <f aca="false">IF(D4860=1,"",E4859)</f>
        <v>20.9</v>
      </c>
      <c r="P4860" s="56" t="n">
        <f aca="false">IF(OR(D4860=1,K4859=""),"",K4859)</f>
        <v>999.6</v>
      </c>
      <c r="Q4860" s="56" t="n">
        <f aca="false">IF(OR(F4860&lt;&gt;0,AND(I4860&lt;&gt;"",E4860&lt;I4860)),1,0)</f>
        <v>0</v>
      </c>
      <c r="R4860" s="56" t="n">
        <f aca="false">IF(AND(D4860&gt;1,Q4860=0,ISNUMBER(O4860),ISNUMBER(P4860)),IF(Q4859=0,1,0),0)</f>
        <v>1</v>
      </c>
      <c r="S4860" s="56" t="n">
        <f aca="false">R4860*(B4860&gt;=Train_Start)*(B4860&lt;=Train_End)</f>
        <v>0</v>
      </c>
      <c r="T4860" s="84" t="n">
        <f aca="false">IF(AND(ISNUMBER(O4860),ISNUMBER(P4860)),Coef_A+Coef_B1*O4860+Coef_B2*P4860,"")</f>
        <v>20.568511232723</v>
      </c>
      <c r="U4860" s="84" t="n">
        <f aca="false">IF(AND(R4860=1,ISNUMBER(T4860)),E4860-T4860,"")</f>
        <v>-1.26851123272304</v>
      </c>
      <c r="V4860" s="84" t="n">
        <f aca="false">IF(ISNUMBER(T4860),T4860,-99)</f>
        <v>20.568511232723</v>
      </c>
      <c r="W4860" s="84" t="n">
        <f aca="false">IF(ISNUMBER(U4860),ABS(U4860),"")</f>
        <v>1.26851123272304</v>
      </c>
    </row>
    <row r="4861" customFormat="false" ht="15" hidden="false" customHeight="false" outlineLevel="0" collapsed="false">
      <c r="A4861" s="57" t="n">
        <v>40415</v>
      </c>
      <c r="B4861" s="56" t="n">
        <v>2010</v>
      </c>
      <c r="C4861" s="56" t="n">
        <v>8</v>
      </c>
      <c r="D4861" s="56" t="n">
        <v>117</v>
      </c>
      <c r="E4861" s="56" t="n">
        <v>21.3</v>
      </c>
      <c r="F4861" s="56" t="n">
        <v>0</v>
      </c>
      <c r="G4861" s="56" t="n">
        <v>11.9</v>
      </c>
      <c r="H4861" s="56" t="n">
        <v>0</v>
      </c>
      <c r="I4861" s="56" t="n">
        <v>15.6</v>
      </c>
      <c r="J4861" s="56" t="n">
        <v>0</v>
      </c>
      <c r="K4861" s="56" t="n">
        <v>1012.9</v>
      </c>
      <c r="L4861" s="56" t="n">
        <v>0</v>
      </c>
      <c r="M4861" s="56" t="n">
        <v>85</v>
      </c>
      <c r="N4861" s="56" t="n">
        <v>0.5</v>
      </c>
      <c r="O4861" s="56" t="n">
        <f aca="false">IF(D4861=1,"",E4860)</f>
        <v>19.3</v>
      </c>
      <c r="P4861" s="56" t="n">
        <f aca="false">IF(OR(D4861=1,K4860=""),"",K4860)</f>
        <v>1009.2</v>
      </c>
      <c r="Q4861" s="56" t="n">
        <f aca="false">IF(OR(F4861&lt;&gt;0,AND(I4861&lt;&gt;"",E4861&lt;I4861)),1,0)</f>
        <v>0</v>
      </c>
      <c r="R4861" s="56" t="n">
        <f aca="false">IF(AND(D4861&gt;1,Q4861=0,ISNUMBER(O4861),ISNUMBER(P4861)),IF(Q4860=0,1,0),0)</f>
        <v>1</v>
      </c>
      <c r="S4861" s="56" t="n">
        <f aca="false">R4861*(B4861&gt;=Train_Start)*(B4861&lt;=Train_End)</f>
        <v>0</v>
      </c>
      <c r="T4861" s="84" t="n">
        <f aca="false">IF(AND(ISNUMBER(O4861),ISNUMBER(P4861)),Coef_A+Coef_B1*O4861+Coef_B2*P4861,"")</f>
        <v>19.5587195123411</v>
      </c>
      <c r="U4861" s="84" t="n">
        <f aca="false">IF(AND(R4861=1,ISNUMBER(T4861)),E4861-T4861,"")</f>
        <v>1.74128048765892</v>
      </c>
      <c r="V4861" s="84" t="n">
        <f aca="false">IF(ISNUMBER(T4861),T4861,-99)</f>
        <v>19.5587195123411</v>
      </c>
      <c r="W4861" s="84" t="n">
        <f aca="false">IF(ISNUMBER(U4861),ABS(U4861),"")</f>
        <v>1.74128048765892</v>
      </c>
    </row>
    <row r="4862" customFormat="false" ht="15" hidden="false" customHeight="false" outlineLevel="0" collapsed="false">
      <c r="A4862" s="57" t="n">
        <v>40416</v>
      </c>
      <c r="B4862" s="56" t="n">
        <v>2010</v>
      </c>
      <c r="C4862" s="56" t="n">
        <v>8</v>
      </c>
      <c r="D4862" s="56" t="n">
        <v>118</v>
      </c>
      <c r="E4862" s="56" t="n">
        <v>18.5</v>
      </c>
      <c r="F4862" s="56" t="n">
        <v>0</v>
      </c>
      <c r="G4862" s="56" t="n">
        <v>13.2</v>
      </c>
      <c r="H4862" s="56" t="n">
        <v>0</v>
      </c>
      <c r="I4862" s="56" t="n">
        <v>17.3</v>
      </c>
      <c r="J4862" s="56" t="n">
        <v>0</v>
      </c>
      <c r="K4862" s="56" t="n">
        <v>1004.1</v>
      </c>
      <c r="L4862" s="56" t="n">
        <v>0</v>
      </c>
      <c r="M4862" s="56" t="n">
        <v>93</v>
      </c>
      <c r="N4862" s="56" t="n">
        <v>0</v>
      </c>
      <c r="O4862" s="56" t="n">
        <f aca="false">IF(D4862=1,"",E4861)</f>
        <v>21.3</v>
      </c>
      <c r="P4862" s="56" t="n">
        <f aca="false">IF(OR(D4862=1,K4861=""),"",K4861)</f>
        <v>1012.9</v>
      </c>
      <c r="Q4862" s="56" t="n">
        <f aca="false">IF(OR(F4862&lt;&gt;0,AND(I4862&lt;&gt;"",E4862&lt;I4862)),1,0)</f>
        <v>0</v>
      </c>
      <c r="R4862" s="56" t="n">
        <f aca="false">IF(AND(D4862&gt;1,Q4862=0,ISNUMBER(O4862),ISNUMBER(P4862)),IF(Q4861=0,1,0),0)</f>
        <v>1</v>
      </c>
      <c r="S4862" s="56" t="n">
        <f aca="false">R4862*(B4862&gt;=Train_Start)*(B4862&lt;=Train_End)</f>
        <v>0</v>
      </c>
      <c r="T4862" s="84" t="n">
        <f aca="false">IF(AND(ISNUMBER(O4862),ISNUMBER(P4862)),Coef_A+Coef_B1*O4862+Coef_B2*P4862,"")</f>
        <v>21.3134665085722</v>
      </c>
      <c r="U4862" s="84" t="n">
        <f aca="false">IF(AND(R4862=1,ISNUMBER(T4862)),E4862-T4862,"")</f>
        <v>-2.81346650857216</v>
      </c>
      <c r="V4862" s="84" t="n">
        <f aca="false">IF(ISNUMBER(T4862),T4862,-99)</f>
        <v>21.3134665085722</v>
      </c>
      <c r="W4862" s="84" t="n">
        <f aca="false">IF(ISNUMBER(U4862),ABS(U4862),"")</f>
        <v>2.81346650857216</v>
      </c>
    </row>
    <row r="4863" customFormat="false" ht="15" hidden="false" customHeight="false" outlineLevel="0" collapsed="false">
      <c r="A4863" s="57" t="n">
        <v>40417</v>
      </c>
      <c r="B4863" s="56" t="n">
        <v>2010</v>
      </c>
      <c r="C4863" s="56" t="n">
        <v>8</v>
      </c>
      <c r="D4863" s="56" t="n">
        <v>119</v>
      </c>
      <c r="E4863" s="56" t="n">
        <v>20.6</v>
      </c>
      <c r="F4863" s="56" t="n">
        <v>0</v>
      </c>
      <c r="G4863" s="56" t="n">
        <v>12</v>
      </c>
      <c r="H4863" s="56" t="n">
        <v>0</v>
      </c>
      <c r="I4863" s="56" t="n">
        <v>15.3</v>
      </c>
      <c r="J4863" s="56" t="n">
        <v>0</v>
      </c>
      <c r="K4863" s="56" t="n">
        <v>1010.6</v>
      </c>
      <c r="L4863" s="56" t="n">
        <v>0</v>
      </c>
      <c r="M4863" s="56" t="n">
        <v>78</v>
      </c>
      <c r="N4863" s="56" t="n">
        <v>0.8</v>
      </c>
      <c r="O4863" s="56" t="n">
        <f aca="false">IF(D4863=1,"",E4862)</f>
        <v>18.5</v>
      </c>
      <c r="P4863" s="56" t="n">
        <f aca="false">IF(OR(D4863=1,K4862=""),"",K4862)</f>
        <v>1004.1</v>
      </c>
      <c r="Q4863" s="56" t="n">
        <f aca="false">IF(OR(F4863&lt;&gt;0,AND(I4863&lt;&gt;"",E4863&lt;I4863)),1,0)</f>
        <v>0</v>
      </c>
      <c r="R4863" s="56" t="n">
        <f aca="false">IF(AND(D4863&gt;1,Q4863=0,ISNUMBER(O4863),ISNUMBER(P4863)),IF(Q4862=0,1,0),0)</f>
        <v>1</v>
      </c>
      <c r="S4863" s="56" t="n">
        <f aca="false">R4863*(B4863&gt;=Train_Start)*(B4863&lt;=Train_End)</f>
        <v>0</v>
      </c>
      <c r="T4863" s="84" t="n">
        <f aca="false">IF(AND(ISNUMBER(O4863),ISNUMBER(P4863)),Coef_A+Coef_B1*O4863+Coef_B2*P4863,"")</f>
        <v>18.7432616952736</v>
      </c>
      <c r="U4863" s="84" t="n">
        <f aca="false">IF(AND(R4863=1,ISNUMBER(T4863)),E4863-T4863,"")</f>
        <v>1.85673830472639</v>
      </c>
      <c r="V4863" s="84" t="n">
        <f aca="false">IF(ISNUMBER(T4863),T4863,-99)</f>
        <v>18.7432616952736</v>
      </c>
      <c r="W4863" s="84" t="n">
        <f aca="false">IF(ISNUMBER(U4863),ABS(U4863),"")</f>
        <v>1.85673830472639</v>
      </c>
    </row>
    <row r="4864" customFormat="false" ht="15" hidden="false" customHeight="false" outlineLevel="0" collapsed="false">
      <c r="A4864" s="57" t="n">
        <v>40418</v>
      </c>
      <c r="B4864" s="56" t="n">
        <v>2010</v>
      </c>
      <c r="C4864" s="56" t="n">
        <v>8</v>
      </c>
      <c r="D4864" s="56" t="n">
        <v>120</v>
      </c>
      <c r="E4864" s="56" t="n">
        <v>19.6</v>
      </c>
      <c r="F4864" s="56" t="n">
        <v>0</v>
      </c>
      <c r="G4864" s="56" t="n">
        <v>9.9</v>
      </c>
      <c r="H4864" s="56" t="n">
        <v>0</v>
      </c>
      <c r="I4864" s="56" t="n">
        <v>15.3</v>
      </c>
      <c r="J4864" s="56" t="n">
        <v>0</v>
      </c>
      <c r="K4864" s="56" t="n">
        <v>1019.9</v>
      </c>
      <c r="L4864" s="56" t="n">
        <v>0</v>
      </c>
      <c r="M4864" s="56" t="n">
        <v>66</v>
      </c>
      <c r="N4864" s="56" t="n">
        <v>7.5</v>
      </c>
      <c r="O4864" s="56" t="n">
        <f aca="false">IF(D4864=1,"",E4863)</f>
        <v>20.6</v>
      </c>
      <c r="P4864" s="56" t="n">
        <f aca="false">IF(OR(D4864=1,K4863=""),"",K4863)</f>
        <v>1010.6</v>
      </c>
      <c r="Q4864" s="56" t="n">
        <f aca="false">IF(OR(F4864&lt;&gt;0,AND(I4864&lt;&gt;"",E4864&lt;I4864)),1,0)</f>
        <v>0</v>
      </c>
      <c r="R4864" s="56" t="n">
        <f aca="false">IF(AND(D4864&gt;1,Q4864=0,ISNUMBER(O4864),ISNUMBER(P4864)),IF(Q4863=0,1,0),0)</f>
        <v>1</v>
      </c>
      <c r="S4864" s="56" t="n">
        <f aca="false">R4864*(B4864&gt;=Train_Start)*(B4864&lt;=Train_End)</f>
        <v>0</v>
      </c>
      <c r="T4864" s="84" t="n">
        <f aca="false">IF(AND(ISNUMBER(O4864),ISNUMBER(P4864)),Coef_A+Coef_B1*O4864+Coef_B2*P4864,"")</f>
        <v>20.6677783157841</v>
      </c>
      <c r="U4864" s="84" t="n">
        <f aca="false">IF(AND(R4864=1,ISNUMBER(T4864)),E4864-T4864,"")</f>
        <v>-1.06777831578412</v>
      </c>
      <c r="V4864" s="84" t="n">
        <f aca="false">IF(ISNUMBER(T4864),T4864,-99)</f>
        <v>20.6677783157841</v>
      </c>
      <c r="W4864" s="84" t="n">
        <f aca="false">IF(ISNUMBER(U4864),ABS(U4864),"")</f>
        <v>1.06777831578412</v>
      </c>
    </row>
    <row r="4865" customFormat="false" ht="15" hidden="false" customHeight="false" outlineLevel="0" collapsed="false">
      <c r="A4865" s="57" t="n">
        <v>40419</v>
      </c>
      <c r="B4865" s="56" t="n">
        <v>2010</v>
      </c>
      <c r="C4865" s="56" t="n">
        <v>8</v>
      </c>
      <c r="D4865" s="56" t="n">
        <v>121</v>
      </c>
      <c r="E4865" s="56" t="n">
        <v>19.5</v>
      </c>
      <c r="F4865" s="56" t="n">
        <v>0</v>
      </c>
      <c r="G4865" s="56" t="n">
        <v>11.9</v>
      </c>
      <c r="H4865" s="56" t="n">
        <v>0</v>
      </c>
      <c r="I4865" s="56" t="n">
        <v>15.8</v>
      </c>
      <c r="J4865" s="56" t="n">
        <v>0</v>
      </c>
      <c r="K4865" s="56" t="n">
        <v>1016.9</v>
      </c>
      <c r="L4865" s="56" t="n">
        <v>0</v>
      </c>
      <c r="M4865" s="56" t="n">
        <v>65</v>
      </c>
      <c r="N4865" s="56" t="n">
        <v>4.5</v>
      </c>
      <c r="O4865" s="56" t="n">
        <f aca="false">IF(D4865=1,"",E4864)</f>
        <v>19.6</v>
      </c>
      <c r="P4865" s="56" t="n">
        <f aca="false">IF(OR(D4865=1,K4864=""),"",K4864)</f>
        <v>1019.9</v>
      </c>
      <c r="Q4865" s="56" t="n">
        <f aca="false">IF(OR(F4865&lt;&gt;0,AND(I4865&lt;&gt;"",E4865&lt;I4865)),1,0)</f>
        <v>0</v>
      </c>
      <c r="R4865" s="56" t="n">
        <f aca="false">IF(AND(D4865&gt;1,Q4865=0,ISNUMBER(O4865),ISNUMBER(P4865)),IF(Q4864=0,1,0),0)</f>
        <v>1</v>
      </c>
      <c r="S4865" s="56" t="n">
        <f aca="false">R4865*(B4865&gt;=Train_Start)*(B4865&lt;=Train_End)</f>
        <v>0</v>
      </c>
      <c r="T4865" s="84" t="n">
        <f aca="false">IF(AND(ISNUMBER(O4865),ISNUMBER(P4865)),Coef_A+Coef_B1*O4865+Coef_B2*P4865,"")</f>
        <v>20.1401791428376</v>
      </c>
      <c r="U4865" s="84" t="n">
        <f aca="false">IF(AND(R4865=1,ISNUMBER(T4865)),E4865-T4865,"")</f>
        <v>-0.640179142837567</v>
      </c>
      <c r="V4865" s="84" t="n">
        <f aca="false">IF(ISNUMBER(T4865),T4865,-99)</f>
        <v>20.1401791428376</v>
      </c>
      <c r="W4865" s="84" t="n">
        <f aca="false">IF(ISNUMBER(U4865),ABS(U4865),"")</f>
        <v>0.640179142837567</v>
      </c>
    </row>
    <row r="4866" customFormat="false" ht="15" hidden="false" customHeight="false" outlineLevel="0" collapsed="false">
      <c r="A4866" s="57" t="n">
        <v>40420</v>
      </c>
      <c r="B4866" s="56" t="n">
        <v>2010</v>
      </c>
      <c r="C4866" s="56" t="n">
        <v>8</v>
      </c>
      <c r="D4866" s="56" t="n">
        <v>122</v>
      </c>
      <c r="E4866" s="56" t="n">
        <v>20.5</v>
      </c>
      <c r="F4866" s="56" t="n">
        <v>0</v>
      </c>
      <c r="G4866" s="56" t="n">
        <v>9.2</v>
      </c>
      <c r="H4866" s="56" t="n">
        <v>0</v>
      </c>
      <c r="I4866" s="56" t="n">
        <v>14.4</v>
      </c>
      <c r="J4866" s="56" t="n">
        <v>0</v>
      </c>
      <c r="K4866" s="56" t="n">
        <v>1023.9</v>
      </c>
      <c r="L4866" s="56" t="n">
        <v>0</v>
      </c>
      <c r="M4866" s="56" t="n">
        <v>64</v>
      </c>
      <c r="N4866" s="56" t="n">
        <v>6.4</v>
      </c>
      <c r="O4866" s="56" t="n">
        <f aca="false">IF(D4866=1,"",E4865)</f>
        <v>19.5</v>
      </c>
      <c r="P4866" s="56" t="n">
        <f aca="false">IF(OR(D4866=1,K4865=""),"",K4865)</f>
        <v>1016.9</v>
      </c>
      <c r="Q4866" s="56" t="n">
        <f aca="false">IF(OR(F4866&lt;&gt;0,AND(I4866&lt;&gt;"",E4866&lt;I4866)),1,0)</f>
        <v>0</v>
      </c>
      <c r="R4866" s="56" t="n">
        <f aca="false">IF(AND(D4866&gt;1,Q4866=0,ISNUMBER(O4866),ISNUMBER(P4866)),IF(Q4865=0,1,0),0)</f>
        <v>1</v>
      </c>
      <c r="S4866" s="56" t="n">
        <f aca="false">R4866*(B4866&gt;=Train_Start)*(B4866&lt;=Train_End)</f>
        <v>0</v>
      </c>
      <c r="T4866" s="84" t="n">
        <f aca="false">IF(AND(ISNUMBER(O4866),ISNUMBER(P4866)),Coef_A+Coef_B1*O4866+Coef_B2*P4866,"")</f>
        <v>19.9641355396313</v>
      </c>
      <c r="U4866" s="84" t="n">
        <f aca="false">IF(AND(R4866=1,ISNUMBER(T4866)),E4866-T4866,"")</f>
        <v>0.535864460368664</v>
      </c>
      <c r="V4866" s="84" t="n">
        <f aca="false">IF(ISNUMBER(T4866),T4866,-99)</f>
        <v>19.9641355396313</v>
      </c>
      <c r="W4866" s="84" t="n">
        <f aca="false">IF(ISNUMBER(U4866),ABS(U4866),"")</f>
        <v>0.535864460368664</v>
      </c>
    </row>
    <row r="4867" customFormat="false" ht="15" hidden="false" customHeight="false" outlineLevel="0" collapsed="false">
      <c r="A4867" s="57" t="n">
        <v>40421</v>
      </c>
      <c r="B4867" s="56" t="n">
        <v>2010</v>
      </c>
      <c r="C4867" s="56" t="n">
        <v>8</v>
      </c>
      <c r="D4867" s="56" t="n">
        <v>123</v>
      </c>
      <c r="E4867" s="56" t="n">
        <v>21.3</v>
      </c>
      <c r="F4867" s="56" t="n">
        <v>0</v>
      </c>
      <c r="G4867" s="56" t="n">
        <v>8.4</v>
      </c>
      <c r="H4867" s="56" t="n">
        <v>0</v>
      </c>
      <c r="I4867" s="56" t="n">
        <v>14.5</v>
      </c>
      <c r="J4867" s="56" t="n">
        <v>0</v>
      </c>
      <c r="K4867" s="56" t="n">
        <v>1025.6</v>
      </c>
      <c r="L4867" s="56" t="n">
        <v>0</v>
      </c>
      <c r="M4867" s="56" t="n">
        <v>67</v>
      </c>
      <c r="N4867" s="56" t="n">
        <v>11.8</v>
      </c>
      <c r="O4867" s="56" t="n">
        <f aca="false">IF(D4867=1,"",E4866)</f>
        <v>20.5</v>
      </c>
      <c r="P4867" s="56" t="n">
        <f aca="false">IF(OR(D4867=1,K4866=""),"",K4866)</f>
        <v>1023.9</v>
      </c>
      <c r="Q4867" s="56" t="n">
        <f aca="false">IF(OR(F4867&lt;&gt;0,AND(I4867&lt;&gt;"",E4867&lt;I4867)),1,0)</f>
        <v>0</v>
      </c>
      <c r="R4867" s="56" t="n">
        <f aca="false">IF(AND(D4867&gt;1,Q4867=0,ISNUMBER(O4867),ISNUMBER(P4867)),IF(Q4866=0,1,0),0)</f>
        <v>1</v>
      </c>
      <c r="S4867" s="56" t="n">
        <f aca="false">R4867*(B4867&gt;=Train_Start)*(B4867&lt;=Train_End)</f>
        <v>0</v>
      </c>
      <c r="T4867" s="84" t="n">
        <f aca="false">IF(AND(ISNUMBER(O4867),ISNUMBER(P4867)),Coef_A+Coef_B1*O4867+Coef_B2*P4867,"")</f>
        <v>21.0030639951119</v>
      </c>
      <c r="U4867" s="84" t="n">
        <f aca="false">IF(AND(R4867=1,ISNUMBER(T4867)),E4867-T4867,"")</f>
        <v>0.296936004888085</v>
      </c>
      <c r="V4867" s="84" t="n">
        <f aca="false">IF(ISNUMBER(T4867),T4867,-99)</f>
        <v>21.0030639951119</v>
      </c>
      <c r="W4867" s="84" t="n">
        <f aca="false">IF(ISNUMBER(U4867),ABS(U4867),"")</f>
        <v>0.296936004888085</v>
      </c>
    </row>
    <row r="4868" customFormat="false" ht="15" hidden="false" customHeight="false" outlineLevel="0" collapsed="false">
      <c r="A4868" s="57" t="n">
        <v>40422</v>
      </c>
      <c r="B4868" s="56" t="n">
        <v>2010</v>
      </c>
      <c r="C4868" s="56" t="n">
        <v>9</v>
      </c>
      <c r="D4868" s="56" t="n">
        <v>124</v>
      </c>
      <c r="E4868" s="56" t="n">
        <v>21.9</v>
      </c>
      <c r="F4868" s="56" t="n">
        <v>0</v>
      </c>
      <c r="G4868" s="56" t="n">
        <v>9.3</v>
      </c>
      <c r="H4868" s="56" t="n">
        <v>0</v>
      </c>
      <c r="I4868" s="56" t="n">
        <v>15.3</v>
      </c>
      <c r="J4868" s="56" t="n">
        <v>0</v>
      </c>
      <c r="K4868" s="56" t="n">
        <v>1021.6</v>
      </c>
      <c r="L4868" s="56" t="n">
        <v>0</v>
      </c>
      <c r="M4868" s="56" t="n">
        <v>65</v>
      </c>
      <c r="N4868" s="56" t="n">
        <v>12.3</v>
      </c>
      <c r="O4868" s="56" t="n">
        <f aca="false">IF(D4868=1,"",E4867)</f>
        <v>21.3</v>
      </c>
      <c r="P4868" s="56" t="n">
        <f aca="false">IF(OR(D4868=1,K4867=""),"",K4867)</f>
        <v>1025.6</v>
      </c>
      <c r="Q4868" s="56" t="n">
        <f aca="false">IF(OR(F4868&lt;&gt;0,AND(I4868&lt;&gt;"",E4868&lt;I4868)),1,0)</f>
        <v>0</v>
      </c>
      <c r="R4868" s="56" t="n">
        <f aca="false">IF(AND(D4868&gt;1,Q4868=0,ISNUMBER(O4868),ISNUMBER(P4868)),IF(Q4867=0,1,0),0)</f>
        <v>1</v>
      </c>
      <c r="S4868" s="56" t="n">
        <f aca="false">R4868*(B4868&gt;=Train_Start)*(B4868&lt;=Train_End)</f>
        <v>0</v>
      </c>
      <c r="T4868" s="84" t="n">
        <f aca="false">IF(AND(ISNUMBER(O4868),ISNUMBER(P4868)),Coef_A+Coef_B1*O4868+Coef_B2*P4868,"")</f>
        <v>21.7118641704238</v>
      </c>
      <c r="U4868" s="84" t="n">
        <f aca="false">IF(AND(R4868=1,ISNUMBER(T4868)),E4868-T4868,"")</f>
        <v>0.188135829576176</v>
      </c>
      <c r="V4868" s="84" t="n">
        <f aca="false">IF(ISNUMBER(T4868),T4868,-99)</f>
        <v>21.7118641704238</v>
      </c>
      <c r="W4868" s="84" t="n">
        <f aca="false">IF(ISNUMBER(U4868),ABS(U4868),"")</f>
        <v>0.188135829576176</v>
      </c>
    </row>
    <row r="4869" customFormat="false" ht="15" hidden="false" customHeight="false" outlineLevel="0" collapsed="false">
      <c r="A4869" s="57" t="n">
        <v>40423</v>
      </c>
      <c r="B4869" s="56" t="n">
        <v>2010</v>
      </c>
      <c r="C4869" s="56" t="n">
        <v>9</v>
      </c>
      <c r="D4869" s="56" t="n">
        <v>125</v>
      </c>
      <c r="E4869" s="56" t="n">
        <v>22.5</v>
      </c>
      <c r="F4869" s="56" t="n">
        <v>0</v>
      </c>
      <c r="G4869" s="56" t="n">
        <v>10.3</v>
      </c>
      <c r="H4869" s="56" t="n">
        <v>0</v>
      </c>
      <c r="I4869" s="56" t="n">
        <v>16.1</v>
      </c>
      <c r="J4869" s="56" t="n">
        <v>0</v>
      </c>
      <c r="K4869" s="56" t="n">
        <v>1021</v>
      </c>
      <c r="L4869" s="56" t="n">
        <v>0</v>
      </c>
      <c r="M4869" s="56" t="n">
        <v>71</v>
      </c>
      <c r="N4869" s="56" t="n">
        <v>11.7</v>
      </c>
      <c r="O4869" s="56" t="n">
        <f aca="false">IF(D4869=1,"",E4868)</f>
        <v>21.9</v>
      </c>
      <c r="P4869" s="56" t="n">
        <f aca="false">IF(OR(D4869=1,K4868=""),"",K4868)</f>
        <v>1021.6</v>
      </c>
      <c r="Q4869" s="56" t="n">
        <f aca="false">IF(OR(F4869&lt;&gt;0,AND(I4869&lt;&gt;"",E4869&lt;I4869)),1,0)</f>
        <v>0</v>
      </c>
      <c r="R4869" s="56" t="n">
        <f aca="false">IF(AND(D4869&gt;1,Q4869=0,ISNUMBER(O4869),ISNUMBER(P4869)),IF(Q4868=0,1,0),0)</f>
        <v>1</v>
      </c>
      <c r="S4869" s="56" t="n">
        <f aca="false">R4869*(B4869&gt;=Train_Start)*(B4869&lt;=Train_End)</f>
        <v>0</v>
      </c>
      <c r="T4869" s="84" t="n">
        <f aca="false">IF(AND(ISNUMBER(O4869),ISNUMBER(P4869)),Coef_A+Coef_B1*O4869+Coef_B2*P4869,"")</f>
        <v>22.0779881077135</v>
      </c>
      <c r="U4869" s="84" t="n">
        <f aca="false">IF(AND(R4869=1,ISNUMBER(T4869)),E4869-T4869,"")</f>
        <v>0.422011892286534</v>
      </c>
      <c r="V4869" s="84" t="n">
        <f aca="false">IF(ISNUMBER(T4869),T4869,-99)</f>
        <v>22.0779881077135</v>
      </c>
      <c r="W4869" s="84" t="n">
        <f aca="false">IF(ISNUMBER(U4869),ABS(U4869),"")</f>
        <v>0.422011892286534</v>
      </c>
    </row>
    <row r="4870" customFormat="false" ht="15" hidden="false" customHeight="false" outlineLevel="0" collapsed="false">
      <c r="A4870" s="57" t="n">
        <v>40424</v>
      </c>
      <c r="B4870" s="56" t="n">
        <v>2010</v>
      </c>
      <c r="C4870" s="56" t="n">
        <v>9</v>
      </c>
      <c r="D4870" s="56" t="n">
        <v>126</v>
      </c>
      <c r="E4870" s="56" t="n">
        <v>22</v>
      </c>
      <c r="F4870" s="56" t="n">
        <v>0</v>
      </c>
      <c r="G4870" s="56" t="n">
        <v>11.9</v>
      </c>
      <c r="H4870" s="56" t="n">
        <v>0</v>
      </c>
      <c r="I4870" s="56" t="n">
        <v>17.2</v>
      </c>
      <c r="J4870" s="56" t="n">
        <v>0</v>
      </c>
      <c r="K4870" s="56" t="n">
        <v>1021.5</v>
      </c>
      <c r="L4870" s="56" t="n">
        <v>0</v>
      </c>
      <c r="M4870" s="56" t="n">
        <v>71</v>
      </c>
      <c r="N4870" s="56" t="n">
        <v>10.5</v>
      </c>
      <c r="O4870" s="56" t="n">
        <f aca="false">IF(D4870=1,"",E4869)</f>
        <v>22.5</v>
      </c>
      <c r="P4870" s="56" t="n">
        <f aca="false">IF(OR(D4870=1,K4869=""),"",K4869)</f>
        <v>1021</v>
      </c>
      <c r="Q4870" s="56" t="n">
        <f aca="false">IF(OR(F4870&lt;&gt;0,AND(I4870&lt;&gt;"",E4870&lt;I4870)),1,0)</f>
        <v>0</v>
      </c>
      <c r="R4870" s="56" t="n">
        <f aca="false">IF(AND(D4870&gt;1,Q4870=0,ISNUMBER(O4870),ISNUMBER(P4870)),IF(Q4869=0,1,0),0)</f>
        <v>1</v>
      </c>
      <c r="S4870" s="56" t="n">
        <f aca="false">R4870*(B4870&gt;=Train_Start)*(B4870&lt;=Train_End)</f>
        <v>0</v>
      </c>
      <c r="T4870" s="84" t="n">
        <f aca="false">IF(AND(ISNUMBER(O4870),ISNUMBER(P4870)),Coef_A+Coef_B1*O4870+Coef_B2*P4870,"")</f>
        <v>22.5507696867587</v>
      </c>
      <c r="U4870" s="84" t="n">
        <f aca="false">IF(AND(R4870=1,ISNUMBER(T4870)),E4870-T4870,"")</f>
        <v>-0.550769686758663</v>
      </c>
      <c r="V4870" s="84" t="n">
        <f aca="false">IF(ISNUMBER(T4870),T4870,-99)</f>
        <v>22.5507696867587</v>
      </c>
      <c r="W4870" s="84" t="n">
        <f aca="false">IF(ISNUMBER(U4870),ABS(U4870),"")</f>
        <v>0.550769686758663</v>
      </c>
    </row>
    <row r="4871" customFormat="false" ht="15" hidden="false" customHeight="false" outlineLevel="0" collapsed="false">
      <c r="A4871" s="57" t="n">
        <v>40425</v>
      </c>
      <c r="B4871" s="56" t="n">
        <v>2010</v>
      </c>
      <c r="C4871" s="56" t="n">
        <v>9</v>
      </c>
      <c r="D4871" s="56" t="n">
        <v>127</v>
      </c>
      <c r="E4871" s="56" t="n">
        <v>21.8</v>
      </c>
      <c r="F4871" s="56" t="n">
        <v>0</v>
      </c>
      <c r="G4871" s="56" t="n">
        <v>11.3</v>
      </c>
      <c r="H4871" s="56" t="n">
        <v>0</v>
      </c>
      <c r="I4871" s="56" t="n">
        <v>16.7</v>
      </c>
      <c r="J4871" s="56" t="n">
        <v>0</v>
      </c>
      <c r="K4871" s="56" t="n">
        <v>1021.1</v>
      </c>
      <c r="L4871" s="56" t="n">
        <v>0</v>
      </c>
      <c r="M4871" s="56" t="n">
        <v>75</v>
      </c>
      <c r="N4871" s="56" t="n">
        <v>4.5</v>
      </c>
      <c r="O4871" s="56" t="n">
        <f aca="false">IF(D4871=1,"",E4870)</f>
        <v>22</v>
      </c>
      <c r="P4871" s="56" t="n">
        <f aca="false">IF(OR(D4871=1,K4870=""),"",K4870)</f>
        <v>1021.5</v>
      </c>
      <c r="Q4871" s="56" t="n">
        <f aca="false">IF(OR(F4871&lt;&gt;0,AND(I4871&lt;&gt;"",E4871&lt;I4871)),1,0)</f>
        <v>0</v>
      </c>
      <c r="R4871" s="56" t="n">
        <f aca="false">IF(AND(D4871&gt;1,Q4871=0,ISNUMBER(O4871),ISNUMBER(P4871)),IF(Q4870=0,1,0),0)</f>
        <v>1</v>
      </c>
      <c r="S4871" s="56" t="n">
        <f aca="false">R4871*(B4871&gt;=Train_Start)*(B4871&lt;=Train_End)</f>
        <v>0</v>
      </c>
      <c r="T4871" s="84" t="n">
        <f aca="false">IF(AND(ISNUMBER(O4871),ISNUMBER(P4871)),Coef_A+Coef_B1*O4871+Coef_B2*P4871,"")</f>
        <v>22.1567850375543</v>
      </c>
      <c r="U4871" s="84" t="n">
        <f aca="false">IF(AND(R4871=1,ISNUMBER(T4871)),E4871-T4871,"")</f>
        <v>-0.356785037554332</v>
      </c>
      <c r="V4871" s="84" t="n">
        <f aca="false">IF(ISNUMBER(T4871),T4871,-99)</f>
        <v>22.1567850375543</v>
      </c>
      <c r="W4871" s="84" t="n">
        <f aca="false">IF(ISNUMBER(U4871),ABS(U4871),"")</f>
        <v>0.356785037554332</v>
      </c>
    </row>
    <row r="4872" customFormat="false" ht="15" hidden="false" customHeight="false" outlineLevel="0" collapsed="false">
      <c r="A4872" s="57" t="n">
        <v>40426</v>
      </c>
      <c r="B4872" s="56" t="n">
        <v>2010</v>
      </c>
      <c r="C4872" s="56" t="n">
        <v>9</v>
      </c>
      <c r="D4872" s="56" t="n">
        <v>128</v>
      </c>
      <c r="E4872" s="56" t="n">
        <v>21.8</v>
      </c>
      <c r="F4872" s="56" t="n">
        <v>0</v>
      </c>
      <c r="G4872" s="56" t="n">
        <v>13.2</v>
      </c>
      <c r="H4872" s="56" t="n">
        <v>0</v>
      </c>
      <c r="I4872" s="56" t="n">
        <v>17.5</v>
      </c>
      <c r="J4872" s="56" t="n">
        <v>0</v>
      </c>
      <c r="K4872" s="56" t="n">
        <v>1019</v>
      </c>
      <c r="L4872" s="56" t="n">
        <v>0</v>
      </c>
      <c r="M4872" s="56" t="n">
        <v>67</v>
      </c>
      <c r="N4872" s="56" t="n">
        <v>2.6</v>
      </c>
      <c r="O4872" s="56" t="n">
        <f aca="false">IF(D4872=1,"",E4871)</f>
        <v>21.8</v>
      </c>
      <c r="P4872" s="56" t="n">
        <f aca="false">IF(OR(D4872=1,K4871=""),"",K4871)</f>
        <v>1021.1</v>
      </c>
      <c r="Q4872" s="56" t="n">
        <f aca="false">IF(OR(F4872&lt;&gt;0,AND(I4872&lt;&gt;"",E4872&lt;I4872)),1,0)</f>
        <v>0</v>
      </c>
      <c r="R4872" s="56" t="n">
        <f aca="false">IF(AND(D4872&gt;1,Q4872=0,ISNUMBER(O4872),ISNUMBER(P4872)),IF(Q4871=0,1,0),0)</f>
        <v>1</v>
      </c>
      <c r="S4872" s="56" t="n">
        <f aca="false">R4872*(B4872&gt;=Train_Start)*(B4872&lt;=Train_End)</f>
        <v>0</v>
      </c>
      <c r="T4872" s="84" t="n">
        <f aca="false">IF(AND(ISNUMBER(O4872),ISNUMBER(P4872)),Coef_A+Coef_B1*O4872+Coef_B2*P4872,"")</f>
        <v>21.9803692410922</v>
      </c>
      <c r="U4872" s="84" t="n">
        <f aca="false">IF(AND(R4872=1,ISNUMBER(T4872)),E4872-T4872,"")</f>
        <v>-0.180369241092201</v>
      </c>
      <c r="V4872" s="84" t="n">
        <f aca="false">IF(ISNUMBER(T4872),T4872,-99)</f>
        <v>21.9803692410922</v>
      </c>
      <c r="W4872" s="84" t="n">
        <f aca="false">IF(ISNUMBER(U4872),ABS(U4872),"")</f>
        <v>0.180369241092201</v>
      </c>
    </row>
    <row r="4873" customFormat="false" ht="15" hidden="false" customHeight="false" outlineLevel="0" collapsed="false">
      <c r="A4873" s="57" t="n">
        <v>40427</v>
      </c>
      <c r="B4873" s="56" t="n">
        <v>2010</v>
      </c>
      <c r="C4873" s="56" t="n">
        <v>9</v>
      </c>
      <c r="D4873" s="56" t="n">
        <v>129</v>
      </c>
      <c r="E4873" s="56" t="n">
        <v>19.6</v>
      </c>
      <c r="F4873" s="56" t="n">
        <v>0</v>
      </c>
      <c r="G4873" s="56" t="n">
        <v>13.3</v>
      </c>
      <c r="H4873" s="56" t="n">
        <v>0</v>
      </c>
      <c r="I4873" s="56" t="n">
        <v>17.6</v>
      </c>
      <c r="J4873" s="56" t="n">
        <v>0</v>
      </c>
      <c r="K4873" s="56" t="n">
        <v>1007.9</v>
      </c>
      <c r="L4873" s="56" t="n">
        <v>0</v>
      </c>
      <c r="M4873" s="56" t="n">
        <v>69</v>
      </c>
      <c r="N4873" s="56" t="n">
        <v>0.6</v>
      </c>
      <c r="O4873" s="56" t="n">
        <f aca="false">IF(D4873=1,"",E4872)</f>
        <v>21.8</v>
      </c>
      <c r="P4873" s="56" t="n">
        <f aca="false">IF(OR(D4873=1,K4872=""),"",K4872)</f>
        <v>1019</v>
      </c>
      <c r="Q4873" s="56" t="n">
        <f aca="false">IF(OR(F4873&lt;&gt;0,AND(I4873&lt;&gt;"",E4873&lt;I4873)),1,0)</f>
        <v>0</v>
      </c>
      <c r="R4873" s="56" t="n">
        <f aca="false">IF(AND(D4873&gt;1,Q4873=0,ISNUMBER(O4873),ISNUMBER(P4873)),IF(Q4872=0,1,0),0)</f>
        <v>1</v>
      </c>
      <c r="S4873" s="56" t="n">
        <f aca="false">R4873*(B4873&gt;=Train_Start)*(B4873&lt;=Train_End)</f>
        <v>0</v>
      </c>
      <c r="T4873" s="84" t="n">
        <f aca="false">IF(AND(ISNUMBER(O4873),ISNUMBER(P4873)),Coef_A+Coef_B1*O4873+Coef_B2*P4873,"")</f>
        <v>21.9144924623608</v>
      </c>
      <c r="U4873" s="84" t="n">
        <f aca="false">IF(AND(R4873=1,ISNUMBER(T4873)),E4873-T4873,"")</f>
        <v>-2.31449246236082</v>
      </c>
      <c r="V4873" s="84" t="n">
        <f aca="false">IF(ISNUMBER(T4873),T4873,-99)</f>
        <v>21.9144924623608</v>
      </c>
      <c r="W4873" s="84" t="n">
        <f aca="false">IF(ISNUMBER(U4873),ABS(U4873),"")</f>
        <v>2.31449246236082</v>
      </c>
    </row>
    <row r="4874" customFormat="false" ht="15" hidden="false" customHeight="false" outlineLevel="0" collapsed="false">
      <c r="A4874" s="57" t="n">
        <v>40428</v>
      </c>
      <c r="B4874" s="56" t="n">
        <v>2010</v>
      </c>
      <c r="C4874" s="56" t="n">
        <v>9</v>
      </c>
      <c r="D4874" s="56" t="n">
        <v>130</v>
      </c>
      <c r="E4874" s="56" t="n">
        <v>20.6</v>
      </c>
      <c r="F4874" s="56" t="n">
        <v>0</v>
      </c>
      <c r="G4874" s="56" t="n">
        <v>13</v>
      </c>
      <c r="H4874" s="56" t="n">
        <v>0</v>
      </c>
      <c r="I4874" s="56" t="n">
        <v>16.3</v>
      </c>
      <c r="J4874" s="56" t="n">
        <v>0</v>
      </c>
      <c r="K4874" s="56" t="n">
        <v>1000.9</v>
      </c>
      <c r="L4874" s="56" t="n">
        <v>0</v>
      </c>
      <c r="M4874" s="56" t="n">
        <v>82</v>
      </c>
      <c r="N4874" s="56" t="n">
        <v>5.5</v>
      </c>
      <c r="O4874" s="56" t="n">
        <f aca="false">IF(D4874=1,"",E4873)</f>
        <v>19.6</v>
      </c>
      <c r="P4874" s="56" t="n">
        <f aca="false">IF(OR(D4874=1,K4873=""),"",K4873)</f>
        <v>1007.9</v>
      </c>
      <c r="Q4874" s="56" t="n">
        <f aca="false">IF(OR(F4874&lt;&gt;0,AND(I4874&lt;&gt;"",E4874&lt;I4874)),1,0)</f>
        <v>0</v>
      </c>
      <c r="R4874" s="56" t="n">
        <f aca="false">IF(AND(D4874&gt;1,Q4874=0,ISNUMBER(O4874),ISNUMBER(P4874)),IF(Q4873=0,1,0),0)</f>
        <v>1</v>
      </c>
      <c r="S4874" s="56" t="n">
        <f aca="false">R4874*(B4874&gt;=Train_Start)*(B4874&lt;=Train_End)</f>
        <v>0</v>
      </c>
      <c r="T4874" s="84" t="n">
        <f aca="false">IF(AND(ISNUMBER(O4874),ISNUMBER(P4874)),Coef_A+Coef_B1*O4874+Coef_B2*P4874,"")</f>
        <v>19.7637404072297</v>
      </c>
      <c r="U4874" s="84" t="n">
        <f aca="false">IF(AND(R4874=1,ISNUMBER(T4874)),E4874-T4874,"")</f>
        <v>0.836259592770304</v>
      </c>
      <c r="V4874" s="84" t="n">
        <f aca="false">IF(ISNUMBER(T4874),T4874,-99)</f>
        <v>19.7637404072297</v>
      </c>
      <c r="W4874" s="84" t="n">
        <f aca="false">IF(ISNUMBER(U4874),ABS(U4874),"")</f>
        <v>0.836259592770304</v>
      </c>
    </row>
    <row r="4875" customFormat="false" ht="15" hidden="false" customHeight="false" outlineLevel="0" collapsed="false">
      <c r="A4875" s="57" t="n">
        <v>40429</v>
      </c>
      <c r="B4875" s="56" t="n">
        <v>2010</v>
      </c>
      <c r="C4875" s="56" t="n">
        <v>9</v>
      </c>
      <c r="D4875" s="56" t="n">
        <v>131</v>
      </c>
      <c r="E4875" s="56" t="n">
        <v>22.5</v>
      </c>
      <c r="F4875" s="56" t="n">
        <v>0</v>
      </c>
      <c r="G4875" s="56" t="n">
        <v>13.3</v>
      </c>
      <c r="H4875" s="56" t="n">
        <v>0</v>
      </c>
      <c r="I4875" s="56" t="n">
        <v>17</v>
      </c>
      <c r="J4875" s="56" t="n">
        <v>0</v>
      </c>
      <c r="K4875" s="56" t="n">
        <v>1003.4</v>
      </c>
      <c r="L4875" s="56" t="n">
        <v>0</v>
      </c>
      <c r="M4875" s="56" t="n">
        <v>80</v>
      </c>
      <c r="N4875" s="56" t="n">
        <v>1.6</v>
      </c>
      <c r="O4875" s="56" t="n">
        <f aca="false">IF(D4875=1,"",E4874)</f>
        <v>20.6</v>
      </c>
      <c r="P4875" s="56" t="n">
        <f aca="false">IF(OR(D4875=1,K4874=""),"",K4874)</f>
        <v>1000.9</v>
      </c>
      <c r="Q4875" s="56" t="n">
        <f aca="false">IF(OR(F4875&lt;&gt;0,AND(I4875&lt;&gt;"",E4875&lt;I4875)),1,0)</f>
        <v>0</v>
      </c>
      <c r="R4875" s="56" t="n">
        <f aca="false">IF(AND(D4875&gt;1,Q4875=0,ISNUMBER(O4875),ISNUMBER(P4875)),IF(Q4874=0,1,0),0)</f>
        <v>1</v>
      </c>
      <c r="S4875" s="56" t="n">
        <f aca="false">R4875*(B4875&gt;=Train_Start)*(B4875&lt;=Train_End)</f>
        <v>0</v>
      </c>
      <c r="T4875" s="84" t="n">
        <f aca="false">IF(AND(ISNUMBER(O4875),ISNUMBER(P4875)),Coef_A+Coef_B1*O4875+Coef_B2*P4875,"")</f>
        <v>20.3634903378344</v>
      </c>
      <c r="U4875" s="84" t="n">
        <f aca="false">IF(AND(R4875=1,ISNUMBER(T4875)),E4875-T4875,"")</f>
        <v>2.13650966216557</v>
      </c>
      <c r="V4875" s="84" t="n">
        <f aca="false">IF(ISNUMBER(T4875),T4875,-99)</f>
        <v>20.3634903378344</v>
      </c>
      <c r="W4875" s="84" t="n">
        <f aca="false">IF(ISNUMBER(U4875),ABS(U4875),"")</f>
        <v>2.13650966216557</v>
      </c>
    </row>
    <row r="4876" customFormat="false" ht="15" hidden="false" customHeight="false" outlineLevel="0" collapsed="false">
      <c r="A4876" s="57" t="n">
        <v>40430</v>
      </c>
      <c r="B4876" s="56" t="n">
        <v>2010</v>
      </c>
      <c r="C4876" s="56" t="n">
        <v>9</v>
      </c>
      <c r="D4876" s="56" t="n">
        <v>132</v>
      </c>
      <c r="E4876" s="56" t="n">
        <v>22.4</v>
      </c>
      <c r="F4876" s="56" t="n">
        <v>0</v>
      </c>
      <c r="G4876" s="56" t="n">
        <v>12.8</v>
      </c>
      <c r="H4876" s="56" t="n">
        <v>0</v>
      </c>
      <c r="I4876" s="56" t="n">
        <v>17.7</v>
      </c>
      <c r="J4876" s="56" t="n">
        <v>0</v>
      </c>
      <c r="K4876" s="56" t="n">
        <v>1014.2</v>
      </c>
      <c r="L4876" s="56" t="n">
        <v>0</v>
      </c>
      <c r="M4876" s="56" t="n">
        <v>76</v>
      </c>
      <c r="N4876" s="56" t="n">
        <v>7.2</v>
      </c>
      <c r="O4876" s="56" t="n">
        <f aca="false">IF(D4876=1,"",E4875)</f>
        <v>22.5</v>
      </c>
      <c r="P4876" s="56" t="n">
        <f aca="false">IF(OR(D4876=1,K4875=""),"",K4875)</f>
        <v>1003.4</v>
      </c>
      <c r="Q4876" s="56" t="n">
        <f aca="false">IF(OR(F4876&lt;&gt;0,AND(I4876&lt;&gt;"",E4876&lt;I4876)),1,0)</f>
        <v>0</v>
      </c>
      <c r="R4876" s="56" t="n">
        <f aca="false">IF(AND(D4876&gt;1,Q4876=0,ISNUMBER(O4876),ISNUMBER(P4876)),IF(Q4875=0,1,0),0)</f>
        <v>1</v>
      </c>
      <c r="S4876" s="56" t="n">
        <f aca="false">R4876*(B4876&gt;=Train_Start)*(B4876&lt;=Train_End)</f>
        <v>0</v>
      </c>
      <c r="T4876" s="84" t="n">
        <f aca="false">IF(AND(ISNUMBER(O4876),ISNUMBER(P4876)),Coef_A+Coef_B1*O4876+Coef_B2*P4876,"")</f>
        <v>21.9986595412005</v>
      </c>
      <c r="U4876" s="84" t="n">
        <f aca="false">IF(AND(R4876=1,ISNUMBER(T4876)),E4876-T4876,"")</f>
        <v>0.401340458799549</v>
      </c>
      <c r="V4876" s="84" t="n">
        <f aca="false">IF(ISNUMBER(T4876),T4876,-99)</f>
        <v>21.9986595412005</v>
      </c>
      <c r="W4876" s="84" t="n">
        <f aca="false">IF(ISNUMBER(U4876),ABS(U4876),"")</f>
        <v>0.401340458799549</v>
      </c>
    </row>
    <row r="4877" customFormat="false" ht="15" hidden="false" customHeight="false" outlineLevel="0" collapsed="false">
      <c r="A4877" s="57" t="n">
        <v>40431</v>
      </c>
      <c r="B4877" s="56" t="n">
        <v>2010</v>
      </c>
      <c r="C4877" s="56" t="n">
        <v>9</v>
      </c>
      <c r="D4877" s="56" t="n">
        <v>133</v>
      </c>
      <c r="E4877" s="56" t="n">
        <v>22.5</v>
      </c>
      <c r="F4877" s="56" t="n">
        <v>0</v>
      </c>
      <c r="G4877" s="56" t="n">
        <v>14</v>
      </c>
      <c r="H4877" s="56" t="n">
        <v>0</v>
      </c>
      <c r="I4877" s="56" t="n">
        <v>18.2</v>
      </c>
      <c r="J4877" s="56" t="n">
        <v>0</v>
      </c>
      <c r="K4877" s="56" t="n">
        <v>1017.7</v>
      </c>
      <c r="L4877" s="56" t="n">
        <v>0</v>
      </c>
      <c r="M4877" s="56" t="n">
        <v>79</v>
      </c>
      <c r="N4877" s="56" t="n">
        <v>2.2</v>
      </c>
      <c r="O4877" s="56" t="n">
        <f aca="false">IF(D4877=1,"",E4876)</f>
        <v>22.4</v>
      </c>
      <c r="P4877" s="56" t="n">
        <f aca="false">IF(OR(D4877=1,K4876=""),"",K4876)</f>
        <v>1014.2</v>
      </c>
      <c r="Q4877" s="56" t="n">
        <f aca="false">IF(OR(F4877&lt;&gt;0,AND(I4877&lt;&gt;"",E4877&lt;I4877)),1,0)</f>
        <v>0</v>
      </c>
      <c r="R4877" s="56" t="n">
        <f aca="false">IF(AND(D4877&gt;1,Q4877=0,ISNUMBER(O4877),ISNUMBER(P4877)),IF(Q4876=0,1,0),0)</f>
        <v>1</v>
      </c>
      <c r="S4877" s="56" t="n">
        <f aca="false">R4877*(B4877&gt;=Train_Start)*(B4877&lt;=Train_End)</f>
        <v>0</v>
      </c>
      <c r="T4877" s="84" t="n">
        <f aca="false">IF(AND(ISNUMBER(O4877),ISNUMBER(P4877)),Coef_A+Coef_B1*O4877+Coef_B2*P4877,"")</f>
        <v>22.2555204839433</v>
      </c>
      <c r="U4877" s="84" t="n">
        <f aca="false">IF(AND(R4877=1,ISNUMBER(T4877)),E4877-T4877,"")</f>
        <v>0.244479516056732</v>
      </c>
      <c r="V4877" s="84" t="n">
        <f aca="false">IF(ISNUMBER(T4877),T4877,-99)</f>
        <v>22.2555204839433</v>
      </c>
      <c r="W4877" s="84" t="n">
        <f aca="false">IF(ISNUMBER(U4877),ABS(U4877),"")</f>
        <v>0.244479516056732</v>
      </c>
    </row>
    <row r="4878" customFormat="false" ht="15" hidden="false" customHeight="false" outlineLevel="0" collapsed="false">
      <c r="A4878" s="57" t="n">
        <v>40432</v>
      </c>
      <c r="B4878" s="56" t="n">
        <v>2010</v>
      </c>
      <c r="C4878" s="56" t="n">
        <v>9</v>
      </c>
      <c r="D4878" s="56" t="n">
        <v>134</v>
      </c>
      <c r="E4878" s="56" t="n">
        <v>20.8</v>
      </c>
      <c r="F4878" s="56" t="n">
        <v>0</v>
      </c>
      <c r="G4878" s="56" t="n">
        <v>16.4</v>
      </c>
      <c r="H4878" s="56" t="n">
        <v>0</v>
      </c>
      <c r="I4878" s="56" t="n">
        <v>19.5</v>
      </c>
      <c r="J4878" s="56" t="n">
        <v>0</v>
      </c>
      <c r="K4878" s="56" t="n">
        <v>1014.7</v>
      </c>
      <c r="L4878" s="56" t="n">
        <v>0</v>
      </c>
      <c r="M4878" s="56" t="n">
        <v>79</v>
      </c>
      <c r="N4878" s="56" t="n">
        <v>1.5</v>
      </c>
      <c r="O4878" s="56" t="n">
        <f aca="false">IF(D4878=1,"",E4877)</f>
        <v>22.5</v>
      </c>
      <c r="P4878" s="56" t="n">
        <f aca="false">IF(OR(D4878=1,K4877=""),"",K4877)</f>
        <v>1017.7</v>
      </c>
      <c r="Q4878" s="56" t="n">
        <f aca="false">IF(OR(F4878&lt;&gt;0,AND(I4878&lt;&gt;"",E4878&lt;I4878)),1,0)</f>
        <v>0</v>
      </c>
      <c r="R4878" s="56" t="n">
        <f aca="false">IF(AND(D4878&gt;1,Q4878=0,ISNUMBER(O4878),ISNUMBER(P4878)),IF(Q4877=0,1,0),0)</f>
        <v>1</v>
      </c>
      <c r="S4878" s="56" t="n">
        <f aca="false">R4878*(B4878&gt;=Train_Start)*(B4878&lt;=Train_End)</f>
        <v>0</v>
      </c>
      <c r="T4878" s="84" t="n">
        <f aca="false">IF(AND(ISNUMBER(O4878),ISNUMBER(P4878)),Coef_A+Coef_B1*O4878+Coef_B2*P4878,"")</f>
        <v>22.4472490344665</v>
      </c>
      <c r="U4878" s="84" t="n">
        <f aca="false">IF(AND(R4878=1,ISNUMBER(T4878)),E4878-T4878,"")</f>
        <v>-1.6472490344665</v>
      </c>
      <c r="V4878" s="84" t="n">
        <f aca="false">IF(ISNUMBER(T4878),T4878,-99)</f>
        <v>22.4472490344665</v>
      </c>
      <c r="W4878" s="84" t="n">
        <f aca="false">IF(ISNUMBER(U4878),ABS(U4878),"")</f>
        <v>1.6472490344665</v>
      </c>
    </row>
    <row r="4879" customFormat="false" ht="15" hidden="false" customHeight="false" outlineLevel="0" collapsed="false">
      <c r="A4879" s="57" t="n">
        <v>40433</v>
      </c>
      <c r="B4879" s="56" t="n">
        <v>2010</v>
      </c>
      <c r="C4879" s="56" t="n">
        <v>9</v>
      </c>
      <c r="D4879" s="56" t="n">
        <v>135</v>
      </c>
      <c r="E4879" s="56" t="n">
        <v>18.5</v>
      </c>
      <c r="F4879" s="56" t="n">
        <v>0</v>
      </c>
      <c r="G4879" s="56" t="n">
        <v>11</v>
      </c>
      <c r="H4879" s="56" t="n">
        <v>0</v>
      </c>
      <c r="I4879" s="56" t="n">
        <v>15.9</v>
      </c>
      <c r="J4879" s="56" t="n">
        <v>0</v>
      </c>
      <c r="K4879" s="56" t="n">
        <v>1022.6</v>
      </c>
      <c r="L4879" s="56" t="n">
        <v>0</v>
      </c>
      <c r="M4879" s="56" t="n">
        <v>71</v>
      </c>
      <c r="N4879" s="56" t="n">
        <v>10.7</v>
      </c>
      <c r="O4879" s="56" t="n">
        <f aca="false">IF(D4879=1,"",E4878)</f>
        <v>20.8</v>
      </c>
      <c r="P4879" s="56" t="n">
        <f aca="false">IF(OR(D4879=1,K4878=""),"",K4878)</f>
        <v>1014.7</v>
      </c>
      <c r="Q4879" s="56" t="n">
        <f aca="false">IF(OR(F4879&lt;&gt;0,AND(I4879&lt;&gt;"",E4879&lt;I4879)),1,0)</f>
        <v>0</v>
      </c>
      <c r="R4879" s="56" t="n">
        <f aca="false">IF(AND(D4879&gt;1,Q4879=0,ISNUMBER(O4879),ISNUMBER(P4879)),IF(Q4878=0,1,0),0)</f>
        <v>1</v>
      </c>
      <c r="S4879" s="56" t="n">
        <f aca="false">R4879*(B4879&gt;=Train_Start)*(B4879&lt;=Train_End)</f>
        <v>0</v>
      </c>
      <c r="T4879" s="84" t="n">
        <f aca="false">IF(AND(ISNUMBER(O4879),ISNUMBER(P4879)),Coef_A+Coef_B1*O4879+Coef_B2*P4879,"")</f>
        <v>20.960262722392</v>
      </c>
      <c r="U4879" s="84" t="n">
        <f aca="false">IF(AND(R4879=1,ISNUMBER(T4879)),E4879-T4879,"")</f>
        <v>-2.46026272239201</v>
      </c>
      <c r="V4879" s="84" t="n">
        <f aca="false">IF(ISNUMBER(T4879),T4879,-99)</f>
        <v>20.960262722392</v>
      </c>
      <c r="W4879" s="84" t="n">
        <f aca="false">IF(ISNUMBER(U4879),ABS(U4879),"")</f>
        <v>2.46026272239201</v>
      </c>
    </row>
    <row r="4880" customFormat="false" ht="15" hidden="false" customHeight="false" outlineLevel="0" collapsed="false">
      <c r="A4880" s="57" t="n">
        <v>40434</v>
      </c>
      <c r="B4880" s="56" t="n">
        <v>2010</v>
      </c>
      <c r="C4880" s="56" t="n">
        <v>9</v>
      </c>
      <c r="D4880" s="56" t="n">
        <v>136</v>
      </c>
      <c r="E4880" s="56" t="n">
        <v>20.1</v>
      </c>
      <c r="F4880" s="56" t="n">
        <v>0</v>
      </c>
      <c r="G4880" s="56" t="n">
        <v>10.1</v>
      </c>
      <c r="H4880" s="56" t="n">
        <v>0</v>
      </c>
      <c r="I4880" s="56" t="n">
        <v>14.3</v>
      </c>
      <c r="J4880" s="56" t="n">
        <v>0</v>
      </c>
      <c r="K4880" s="56" t="n">
        <v>1025</v>
      </c>
      <c r="L4880" s="56" t="n">
        <v>0</v>
      </c>
      <c r="M4880" s="56" t="n">
        <v>77</v>
      </c>
      <c r="N4880" s="56" t="n">
        <v>0.6</v>
      </c>
      <c r="O4880" s="56" t="n">
        <f aca="false">IF(D4880=1,"",E4879)</f>
        <v>18.5</v>
      </c>
      <c r="P4880" s="56" t="n">
        <f aca="false">IF(OR(D4880=1,K4879=""),"",K4879)</f>
        <v>1022.6</v>
      </c>
      <c r="Q4880" s="56" t="n">
        <f aca="false">IF(OR(F4880&lt;&gt;0,AND(I4880&lt;&gt;"",E4880&lt;I4880)),1,0)</f>
        <v>0</v>
      </c>
      <c r="R4880" s="56" t="n">
        <f aca="false">IF(AND(D4880&gt;1,Q4880=0,ISNUMBER(O4880),ISNUMBER(P4880)),IF(Q4879=0,1,0),0)</f>
        <v>1</v>
      </c>
      <c r="S4880" s="56" t="n">
        <f aca="false">R4880*(B4880&gt;=Train_Start)*(B4880&lt;=Train_End)</f>
        <v>0</v>
      </c>
      <c r="T4880" s="84" t="n">
        <f aca="false">IF(AND(ISNUMBER(O4880),ISNUMBER(P4880)),Coef_A+Coef_B1*O4880+Coef_B2*P4880,"")</f>
        <v>19.3236047460024</v>
      </c>
      <c r="U4880" s="84" t="n">
        <f aca="false">IF(AND(R4880=1,ISNUMBER(T4880)),E4880-T4880,"")</f>
        <v>0.776395253997581</v>
      </c>
      <c r="V4880" s="84" t="n">
        <f aca="false">IF(ISNUMBER(T4880),T4880,-99)</f>
        <v>19.3236047460024</v>
      </c>
      <c r="W4880" s="84" t="n">
        <f aca="false">IF(ISNUMBER(U4880),ABS(U4880),"")</f>
        <v>0.776395253997581</v>
      </c>
    </row>
    <row r="4881" customFormat="false" ht="15" hidden="false" customHeight="false" outlineLevel="0" collapsed="false">
      <c r="A4881" s="57" t="n">
        <v>40435</v>
      </c>
      <c r="B4881" s="56" t="n">
        <v>2010</v>
      </c>
      <c r="C4881" s="56" t="n">
        <v>9</v>
      </c>
      <c r="D4881" s="56" t="n">
        <v>137</v>
      </c>
      <c r="E4881" s="56" t="n">
        <v>18</v>
      </c>
      <c r="F4881" s="56" t="n">
        <v>0</v>
      </c>
      <c r="G4881" s="56" t="n">
        <v>15</v>
      </c>
      <c r="H4881" s="56" t="n">
        <v>0</v>
      </c>
      <c r="I4881" s="56" t="n">
        <v>17.6</v>
      </c>
      <c r="J4881" s="56" t="n">
        <v>0</v>
      </c>
      <c r="K4881" s="56" t="n">
        <v>1016</v>
      </c>
      <c r="L4881" s="56" t="n">
        <v>0</v>
      </c>
      <c r="M4881" s="56" t="n">
        <v>84</v>
      </c>
      <c r="N4881" s="56" t="n">
        <v>0</v>
      </c>
      <c r="O4881" s="56" t="n">
        <f aca="false">IF(D4881=1,"",E4880)</f>
        <v>20.1</v>
      </c>
      <c r="P4881" s="56" t="n">
        <f aca="false">IF(OR(D4881=1,K4880=""),"",K4880)</f>
        <v>1025</v>
      </c>
      <c r="Q4881" s="56" t="n">
        <f aca="false">IF(OR(F4881&lt;&gt;0,AND(I4881&lt;&gt;"",E4881&lt;I4881)),1,0)</f>
        <v>0</v>
      </c>
      <c r="R4881" s="56" t="n">
        <f aca="false">IF(AND(D4881&gt;1,Q4881=0,ISNUMBER(O4881),ISNUMBER(P4881)),IF(Q4880=0,1,0),0)</f>
        <v>1</v>
      </c>
      <c r="S4881" s="56" t="n">
        <f aca="false">R4881*(B4881&gt;=Train_Start)*(B4881&lt;=Train_End)</f>
        <v>0</v>
      </c>
      <c r="T4881" s="84" t="n">
        <f aca="false">IF(AND(ISNUMBER(O4881),ISNUMBER(P4881)),Coef_A+Coef_B1*O4881+Coef_B2*P4881,"")</f>
        <v>20.7098352019922</v>
      </c>
      <c r="U4881" s="84" t="n">
        <f aca="false">IF(AND(R4881=1,ISNUMBER(T4881)),E4881-T4881,"")</f>
        <v>-2.70983520199225</v>
      </c>
      <c r="V4881" s="84" t="n">
        <f aca="false">IF(ISNUMBER(T4881),T4881,-99)</f>
        <v>20.7098352019922</v>
      </c>
      <c r="W4881" s="84" t="n">
        <f aca="false">IF(ISNUMBER(U4881),ABS(U4881),"")</f>
        <v>2.70983520199225</v>
      </c>
    </row>
    <row r="4882" customFormat="false" ht="15" hidden="false" customHeight="false" outlineLevel="0" collapsed="false">
      <c r="A4882" s="57" t="n">
        <v>40436</v>
      </c>
      <c r="B4882" s="56" t="n">
        <v>2010</v>
      </c>
      <c r="C4882" s="56" t="n">
        <v>9</v>
      </c>
      <c r="D4882" s="56" t="n">
        <v>138</v>
      </c>
      <c r="E4882" s="56" t="n">
        <v>18.1</v>
      </c>
      <c r="F4882" s="56" t="n">
        <v>0</v>
      </c>
      <c r="G4882" s="56" t="n">
        <v>9.3</v>
      </c>
      <c r="H4882" s="56" t="n">
        <v>0</v>
      </c>
      <c r="I4882" s="56" t="n">
        <v>13.7</v>
      </c>
      <c r="J4882" s="56" t="n">
        <v>0</v>
      </c>
      <c r="K4882" s="56" t="n">
        <v>1011.9</v>
      </c>
      <c r="L4882" s="56" t="n">
        <v>0</v>
      </c>
      <c r="M4882" s="56" t="n">
        <v>72</v>
      </c>
      <c r="N4882" s="56" t="n">
        <v>4.9</v>
      </c>
      <c r="O4882" s="56" t="n">
        <f aca="false">IF(D4882=1,"",E4881)</f>
        <v>18</v>
      </c>
      <c r="P4882" s="56" t="n">
        <f aca="false">IF(OR(D4882=1,K4881=""),"",K4881)</f>
        <v>1016</v>
      </c>
      <c r="Q4882" s="56" t="n">
        <f aca="false">IF(OR(F4882&lt;&gt;0,AND(I4882&lt;&gt;"",E4882&lt;I4882)),1,0)</f>
        <v>0</v>
      </c>
      <c r="R4882" s="56" t="n">
        <f aca="false">IF(AND(D4882&gt;1,Q4882=0,ISNUMBER(O4882),ISNUMBER(P4882)),IF(Q4881=0,1,0),0)</f>
        <v>1</v>
      </c>
      <c r="S4882" s="56" t="n">
        <f aca="false">R4882*(B4882&gt;=Train_Start)*(B4882&lt;=Train_End)</f>
        <v>0</v>
      </c>
      <c r="T4882" s="84" t="n">
        <f aca="false">IF(AND(ISNUMBER(O4882),ISNUMBER(P4882)),Coef_A+Coef_B1*O4882+Coef_B2*P4882,"")</f>
        <v>18.7068938448968</v>
      </c>
      <c r="U4882" s="84" t="n">
        <f aca="false">IF(AND(R4882=1,ISNUMBER(T4882)),E4882-T4882,"")</f>
        <v>-0.606893844896757</v>
      </c>
      <c r="V4882" s="84" t="n">
        <f aca="false">IF(ISNUMBER(T4882),T4882,-99)</f>
        <v>18.7068938448968</v>
      </c>
      <c r="W4882" s="84" t="n">
        <f aca="false">IF(ISNUMBER(U4882),ABS(U4882),"")</f>
        <v>0.606893844896757</v>
      </c>
    </row>
    <row r="4883" customFormat="false" ht="15" hidden="false" customHeight="false" outlineLevel="0" collapsed="false">
      <c r="A4883" s="57" t="n">
        <v>40437</v>
      </c>
      <c r="B4883" s="56" t="n">
        <v>2010</v>
      </c>
      <c r="C4883" s="56" t="n">
        <v>9</v>
      </c>
      <c r="D4883" s="56" t="n">
        <v>139</v>
      </c>
      <c r="E4883" s="56" t="n">
        <v>16.4</v>
      </c>
      <c r="F4883" s="56" t="n">
        <v>0</v>
      </c>
      <c r="G4883" s="56" t="n">
        <v>11.5</v>
      </c>
      <c r="H4883" s="56" t="n">
        <v>0</v>
      </c>
      <c r="I4883" s="56" t="n">
        <v>14.8</v>
      </c>
      <c r="J4883" s="56" t="n">
        <v>0</v>
      </c>
      <c r="K4883" s="56" t="n">
        <v>1011.7</v>
      </c>
      <c r="L4883" s="56" t="n">
        <v>0</v>
      </c>
      <c r="M4883" s="56" t="n">
        <v>72</v>
      </c>
      <c r="N4883" s="56" t="n">
        <v>3.7</v>
      </c>
      <c r="O4883" s="56" t="n">
        <f aca="false">IF(D4883=1,"",E4882)</f>
        <v>18.1</v>
      </c>
      <c r="P4883" s="56" t="n">
        <f aca="false">IF(OR(D4883=1,K4882=""),"",K4882)</f>
        <v>1011.9</v>
      </c>
      <c r="Q4883" s="56" t="n">
        <f aca="false">IF(OR(F4883&lt;&gt;0,AND(I4883&lt;&gt;"",E4883&lt;I4883)),1,0)</f>
        <v>0</v>
      </c>
      <c r="R4883" s="56" t="n">
        <f aca="false">IF(AND(D4883&gt;1,Q4883=0,ISNUMBER(O4883),ISNUMBER(P4883)),IF(Q4882=0,1,0),0)</f>
        <v>1</v>
      </c>
      <c r="S4883" s="56" t="n">
        <f aca="false">R4883*(B4883&gt;=Train_Start)*(B4883&lt;=Train_End)</f>
        <v>0</v>
      </c>
      <c r="T4883" s="84" t="n">
        <f aca="false">IF(AND(ISNUMBER(O4883),ISNUMBER(P4883)),Coef_A+Coef_B1*O4883+Coef_B2*P4883,"")</f>
        <v>18.6602111962017</v>
      </c>
      <c r="U4883" s="84" t="n">
        <f aca="false">IF(AND(R4883=1,ISNUMBER(T4883)),E4883-T4883,"")</f>
        <v>-2.26021119620167</v>
      </c>
      <c r="V4883" s="84" t="n">
        <f aca="false">IF(ISNUMBER(T4883),T4883,-99)</f>
        <v>18.6602111962017</v>
      </c>
      <c r="W4883" s="84" t="n">
        <f aca="false">IF(ISNUMBER(U4883),ABS(U4883),"")</f>
        <v>2.26021119620167</v>
      </c>
    </row>
    <row r="4884" customFormat="false" ht="15" hidden="false" customHeight="false" outlineLevel="0" collapsed="false">
      <c r="A4884" s="57" t="n">
        <v>40438</v>
      </c>
      <c r="B4884" s="56" t="n">
        <v>2010</v>
      </c>
      <c r="C4884" s="56" t="n">
        <v>9</v>
      </c>
      <c r="D4884" s="56" t="n">
        <v>140</v>
      </c>
      <c r="E4884" s="56" t="n">
        <v>18</v>
      </c>
      <c r="F4884" s="56" t="n">
        <v>0</v>
      </c>
      <c r="G4884" s="56" t="n">
        <v>7.2</v>
      </c>
      <c r="H4884" s="56" t="n">
        <v>0</v>
      </c>
      <c r="I4884" s="56" t="n">
        <v>11.8</v>
      </c>
      <c r="J4884" s="56" t="n">
        <v>0</v>
      </c>
      <c r="K4884" s="56" t="n">
        <v>1016.7</v>
      </c>
      <c r="L4884" s="56" t="n">
        <v>0</v>
      </c>
      <c r="M4884" s="56" t="n">
        <v>68</v>
      </c>
      <c r="N4884" s="56" t="n">
        <v>5.7</v>
      </c>
      <c r="O4884" s="56" t="n">
        <f aca="false">IF(D4884=1,"",E4883)</f>
        <v>16.4</v>
      </c>
      <c r="P4884" s="56" t="n">
        <f aca="false">IF(OR(D4884=1,K4883=""),"",K4883)</f>
        <v>1011.7</v>
      </c>
      <c r="Q4884" s="56" t="n">
        <f aca="false">IF(OR(F4884&lt;&gt;0,AND(I4884&lt;&gt;"",E4884&lt;I4884)),1,0)</f>
        <v>0</v>
      </c>
      <c r="R4884" s="56" t="n">
        <f aca="false">IF(AND(D4884&gt;1,Q4884=0,ISNUMBER(O4884),ISNUMBER(P4884)),IF(Q4883=0,1,0),0)</f>
        <v>1</v>
      </c>
      <c r="S4884" s="56" t="n">
        <f aca="false">R4884*(B4884&gt;=Train_Start)*(B4884&lt;=Train_End)</f>
        <v>0</v>
      </c>
      <c r="T4884" s="84" t="n">
        <f aca="false">IF(AND(ISNUMBER(O4884),ISNUMBER(P4884)),Coef_A+Coef_B1*O4884+Coef_B2*P4884,"")</f>
        <v>17.2610605891024</v>
      </c>
      <c r="U4884" s="84" t="n">
        <f aca="false">IF(AND(R4884=1,ISNUMBER(T4884)),E4884-T4884,"")</f>
        <v>0.73893941089765</v>
      </c>
      <c r="V4884" s="84" t="n">
        <f aca="false">IF(ISNUMBER(T4884),T4884,-99)</f>
        <v>17.2610605891024</v>
      </c>
      <c r="W4884" s="84" t="n">
        <f aca="false">IF(ISNUMBER(U4884),ABS(U4884),"")</f>
        <v>0.73893941089765</v>
      </c>
    </row>
    <row r="4885" customFormat="false" ht="15" hidden="false" customHeight="false" outlineLevel="0" collapsed="false">
      <c r="A4885" s="57" t="n">
        <v>40439</v>
      </c>
      <c r="B4885" s="56" t="n">
        <v>2010</v>
      </c>
      <c r="C4885" s="56" t="n">
        <v>9</v>
      </c>
      <c r="D4885" s="56" t="n">
        <v>141</v>
      </c>
      <c r="E4885" s="56" t="n">
        <v>18.3</v>
      </c>
      <c r="F4885" s="56" t="n">
        <v>0</v>
      </c>
      <c r="G4885" s="56" t="n">
        <v>6.6</v>
      </c>
      <c r="H4885" s="56" t="n">
        <v>0</v>
      </c>
      <c r="I4885" s="56" t="n">
        <v>12.3</v>
      </c>
      <c r="J4885" s="56" t="n">
        <v>0</v>
      </c>
      <c r="K4885" s="56" t="n">
        <v>1019.5</v>
      </c>
      <c r="L4885" s="56" t="n">
        <v>0</v>
      </c>
      <c r="M4885" s="56" t="n">
        <v>65</v>
      </c>
      <c r="N4885" s="56" t="n">
        <v>8.1</v>
      </c>
      <c r="O4885" s="56" t="n">
        <f aca="false">IF(D4885=1,"",E4884)</f>
        <v>18</v>
      </c>
      <c r="P4885" s="56" t="n">
        <f aca="false">IF(OR(D4885=1,K4884=""),"",K4884)</f>
        <v>1016.7</v>
      </c>
      <c r="Q4885" s="56" t="n">
        <f aca="false">IF(OR(F4885&lt;&gt;0,AND(I4885&lt;&gt;"",E4885&lt;I4885)),1,0)</f>
        <v>0</v>
      </c>
      <c r="R4885" s="56" t="n">
        <f aca="false">IF(AND(D4885&gt;1,Q4885=0,ISNUMBER(O4885),ISNUMBER(P4885)),IF(Q4884=0,1,0),0)</f>
        <v>1</v>
      </c>
      <c r="S4885" s="56" t="n">
        <f aca="false">R4885*(B4885&gt;=Train_Start)*(B4885&lt;=Train_End)</f>
        <v>0</v>
      </c>
      <c r="T4885" s="84" t="n">
        <f aca="false">IF(AND(ISNUMBER(O4885),ISNUMBER(P4885)),Coef_A+Coef_B1*O4885+Coef_B2*P4885,"")</f>
        <v>18.7288527711406</v>
      </c>
      <c r="U4885" s="84" t="n">
        <f aca="false">IF(AND(R4885=1,ISNUMBER(T4885)),E4885-T4885,"")</f>
        <v>-0.428852771140551</v>
      </c>
      <c r="V4885" s="84" t="n">
        <f aca="false">IF(ISNUMBER(T4885),T4885,-99)</f>
        <v>18.7288527711406</v>
      </c>
      <c r="W4885" s="84" t="n">
        <f aca="false">IF(ISNUMBER(U4885),ABS(U4885),"")</f>
        <v>0.428852771140551</v>
      </c>
    </row>
    <row r="4886" customFormat="false" ht="15" hidden="false" customHeight="false" outlineLevel="0" collapsed="false">
      <c r="A4886" s="57" t="n">
        <v>40440</v>
      </c>
      <c r="B4886" s="56" t="n">
        <v>2010</v>
      </c>
      <c r="C4886" s="56" t="n">
        <v>9</v>
      </c>
      <c r="D4886" s="56" t="n">
        <v>142</v>
      </c>
      <c r="E4886" s="56" t="n">
        <v>22.8</v>
      </c>
      <c r="F4886" s="56" t="n">
        <v>0</v>
      </c>
      <c r="G4886" s="56" t="n">
        <v>11.6</v>
      </c>
      <c r="H4886" s="56" t="n">
        <v>0</v>
      </c>
      <c r="I4886" s="56" t="n">
        <v>15</v>
      </c>
      <c r="J4886" s="56" t="n">
        <v>0</v>
      </c>
      <c r="K4886" s="56" t="n">
        <v>1015.5</v>
      </c>
      <c r="L4886" s="56" t="n">
        <v>0</v>
      </c>
      <c r="M4886" s="56" t="n">
        <v>72</v>
      </c>
      <c r="N4886" s="56" t="n">
        <v>0</v>
      </c>
      <c r="O4886" s="56" t="n">
        <f aca="false">IF(D4886=1,"",E4885)</f>
        <v>18.3</v>
      </c>
      <c r="P4886" s="56" t="n">
        <f aca="false">IF(OR(D4886=1,K4885=""),"",K4885)</f>
        <v>1019.5</v>
      </c>
      <c r="Q4886" s="56" t="n">
        <f aca="false">IF(OR(F4886&lt;&gt;0,AND(I4886&lt;&gt;"",E4886&lt;I4886)),1,0)</f>
        <v>0</v>
      </c>
      <c r="R4886" s="56" t="n">
        <f aca="false">IF(AND(D4886&gt;1,Q4886=0,ISNUMBER(O4886),ISNUMBER(P4886)),IF(Q4885=0,1,0),0)</f>
        <v>1</v>
      </c>
      <c r="S4886" s="56" t="n">
        <f aca="false">R4886*(B4886&gt;=Train_Start)*(B4886&lt;=Train_End)</f>
        <v>0</v>
      </c>
      <c r="T4886" s="84" t="n">
        <f aca="false">IF(AND(ISNUMBER(O4886),ISNUMBER(P4886)),Coef_A+Coef_B1*O4886+Coef_B2*P4886,"")</f>
        <v>19.0624902340285</v>
      </c>
      <c r="U4886" s="84" t="n">
        <f aca="false">IF(AND(R4886=1,ISNUMBER(T4886)),E4886-T4886,"")</f>
        <v>3.73750976597148</v>
      </c>
      <c r="V4886" s="84" t="n">
        <f aca="false">IF(ISNUMBER(T4886),T4886,-99)</f>
        <v>19.0624902340285</v>
      </c>
      <c r="W4886" s="84" t="n">
        <f aca="false">IF(ISNUMBER(U4886),ABS(U4886),"")</f>
        <v>3.73750976597148</v>
      </c>
    </row>
    <row r="4887" customFormat="false" ht="15" hidden="false" customHeight="false" outlineLevel="0" collapsed="false">
      <c r="A4887" s="57" t="n">
        <v>40441</v>
      </c>
      <c r="B4887" s="56" t="n">
        <v>2010</v>
      </c>
      <c r="C4887" s="56" t="n">
        <v>9</v>
      </c>
      <c r="D4887" s="56" t="n">
        <v>143</v>
      </c>
      <c r="E4887" s="56" t="n">
        <v>21.9</v>
      </c>
      <c r="F4887" s="56" t="n">
        <v>0</v>
      </c>
      <c r="G4887" s="56" t="n">
        <v>14.5</v>
      </c>
      <c r="H4887" s="56" t="n">
        <v>0</v>
      </c>
      <c r="I4887" s="56" t="n">
        <v>18.7</v>
      </c>
      <c r="J4887" s="56" t="n">
        <v>0</v>
      </c>
      <c r="K4887" s="56" t="n">
        <v>1013.8</v>
      </c>
      <c r="L4887" s="56" t="n">
        <v>0</v>
      </c>
      <c r="M4887" s="56" t="n">
        <v>68</v>
      </c>
      <c r="N4887" s="56" t="n">
        <v>6.2</v>
      </c>
      <c r="O4887" s="56" t="n">
        <f aca="false">IF(D4887=1,"",E4886)</f>
        <v>22.8</v>
      </c>
      <c r="P4887" s="56" t="n">
        <f aca="false">IF(OR(D4887=1,K4886=""),"",K4886)</f>
        <v>1015.5</v>
      </c>
      <c r="Q4887" s="56" t="n">
        <f aca="false">IF(OR(F4887&lt;&gt;0,AND(I4887&lt;&gt;"",E4887&lt;I4887)),1,0)</f>
        <v>0</v>
      </c>
      <c r="R4887" s="56" t="n">
        <f aca="false">IF(AND(D4887&gt;1,Q4887=0,ISNUMBER(O4887),ISNUMBER(P4887)),IF(Q4886=0,1,0),0)</f>
        <v>1</v>
      </c>
      <c r="S4887" s="56" t="n">
        <f aca="false">R4887*(B4887&gt;=Train_Start)*(B4887&lt;=Train_End)</f>
        <v>0</v>
      </c>
      <c r="T4887" s="84" t="n">
        <f aca="false">IF(AND(ISNUMBER(O4887),ISNUMBER(P4887)),Coef_A+Coef_B1*O4887+Coef_B2*P4887,"")</f>
        <v>22.6240370241845</v>
      </c>
      <c r="U4887" s="84" t="n">
        <f aca="false">IF(AND(R4887=1,ISNUMBER(T4887)),E4887-T4887,"")</f>
        <v>-0.724037024184522</v>
      </c>
      <c r="V4887" s="84" t="n">
        <f aca="false">IF(ISNUMBER(T4887),T4887,-99)</f>
        <v>22.6240370241845</v>
      </c>
      <c r="W4887" s="84" t="n">
        <f aca="false">IF(ISNUMBER(U4887),ABS(U4887),"")</f>
        <v>0.724037024184522</v>
      </c>
    </row>
    <row r="4888" customFormat="false" ht="15" hidden="false" customHeight="false" outlineLevel="0" collapsed="false">
      <c r="A4888" s="57" t="n">
        <v>40442</v>
      </c>
      <c r="B4888" s="56" t="n">
        <v>2010</v>
      </c>
      <c r="C4888" s="56" t="n">
        <v>9</v>
      </c>
      <c r="D4888" s="56" t="n">
        <v>144</v>
      </c>
      <c r="E4888" s="56" t="n">
        <v>23.9</v>
      </c>
      <c r="F4888" s="56" t="n">
        <v>0</v>
      </c>
      <c r="G4888" s="56" t="n">
        <v>9.9</v>
      </c>
      <c r="H4888" s="56" t="n">
        <v>0</v>
      </c>
      <c r="I4888" s="56" t="n">
        <v>15.9</v>
      </c>
      <c r="J4888" s="56" t="n">
        <v>0</v>
      </c>
      <c r="K4888" s="56" t="n">
        <v>1019</v>
      </c>
      <c r="L4888" s="56" t="n">
        <v>0</v>
      </c>
      <c r="M4888" s="56" t="n">
        <v>75</v>
      </c>
      <c r="N4888" s="56" t="n">
        <v>6.6</v>
      </c>
      <c r="O4888" s="56" t="n">
        <f aca="false">IF(D4888=1,"",E4887)</f>
        <v>21.9</v>
      </c>
      <c r="P4888" s="56" t="n">
        <f aca="false">IF(OR(D4888=1,K4887=""),"",K4887)</f>
        <v>1013.8</v>
      </c>
      <c r="Q4888" s="56" t="n">
        <f aca="false">IF(OR(F4888&lt;&gt;0,AND(I4888&lt;&gt;"",E4888&lt;I4888)),1,0)</f>
        <v>0</v>
      </c>
      <c r="R4888" s="56" t="n">
        <f aca="false">IF(AND(D4888&gt;1,Q4888=0,ISNUMBER(O4888),ISNUMBER(P4888)),IF(Q4887=0,1,0),0)</f>
        <v>1</v>
      </c>
      <c r="S4888" s="56" t="n">
        <f aca="false">R4888*(B4888&gt;=Train_Start)*(B4888&lt;=Train_End)</f>
        <v>0</v>
      </c>
      <c r="T4888" s="84" t="n">
        <f aca="false">IF(AND(ISNUMBER(O4888),ISNUMBER(P4888)),Coef_A+Coef_B1*O4888+Coef_B2*P4888,"")</f>
        <v>21.8333029295683</v>
      </c>
      <c r="U4888" s="84" t="n">
        <f aca="false">IF(AND(R4888=1,ISNUMBER(T4888)),E4888-T4888,"")</f>
        <v>2.06669707043165</v>
      </c>
      <c r="V4888" s="84" t="n">
        <f aca="false">IF(ISNUMBER(T4888),T4888,-99)</f>
        <v>21.8333029295683</v>
      </c>
      <c r="W4888" s="84" t="n">
        <f aca="false">IF(ISNUMBER(U4888),ABS(U4888),"")</f>
        <v>2.06669707043165</v>
      </c>
    </row>
    <row r="4889" customFormat="false" ht="15" hidden="false" customHeight="false" outlineLevel="0" collapsed="false">
      <c r="A4889" s="57" t="n">
        <v>40443</v>
      </c>
      <c r="B4889" s="56" t="n">
        <v>2010</v>
      </c>
      <c r="C4889" s="56" t="n">
        <v>9</v>
      </c>
      <c r="D4889" s="56" t="n">
        <v>145</v>
      </c>
      <c r="E4889" s="56" t="n">
        <v>18.3</v>
      </c>
      <c r="F4889" s="56" t="n">
        <v>0</v>
      </c>
      <c r="G4889" s="56" t="n">
        <v>10.3</v>
      </c>
      <c r="H4889" s="56" t="n">
        <v>0</v>
      </c>
      <c r="I4889" s="56" t="n">
        <v>17.1</v>
      </c>
      <c r="J4889" s="56" t="n">
        <v>0</v>
      </c>
      <c r="K4889" s="56" t="n">
        <v>1015.9</v>
      </c>
      <c r="L4889" s="56" t="n">
        <v>0</v>
      </c>
      <c r="M4889" s="56" t="n">
        <v>75</v>
      </c>
      <c r="N4889" s="56" t="n">
        <v>7.3</v>
      </c>
      <c r="O4889" s="56" t="n">
        <f aca="false">IF(D4889=1,"",E4888)</f>
        <v>23.9</v>
      </c>
      <c r="P4889" s="56" t="n">
        <f aca="false">IF(OR(D4889=1,K4888=""),"",K4888)</f>
        <v>1019</v>
      </c>
      <c r="Q4889" s="56" t="n">
        <f aca="false">IF(OR(F4889&lt;&gt;0,AND(I4889&lt;&gt;"",E4889&lt;I4889)),1,0)</f>
        <v>0</v>
      </c>
      <c r="R4889" s="56" t="n">
        <f aca="false">IF(AND(D4889&gt;1,Q4889=0,ISNUMBER(O4889),ISNUMBER(P4889)),IF(Q4888=0,1,0),0)</f>
        <v>1</v>
      </c>
      <c r="S4889" s="56" t="n">
        <f aca="false">R4889*(B4889&gt;=Train_Start)*(B4889&lt;=Train_End)</f>
        <v>0</v>
      </c>
      <c r="T4889" s="84" t="n">
        <f aca="false">IF(AND(ISNUMBER(O4889),ISNUMBER(P4889)),Coef_A+Coef_B1*O4889+Coef_B2*P4889,"")</f>
        <v>23.6351047677504</v>
      </c>
      <c r="U4889" s="84" t="n">
        <f aca="false">IF(AND(R4889=1,ISNUMBER(T4889)),E4889-T4889,"")</f>
        <v>-5.33510476775041</v>
      </c>
      <c r="V4889" s="84" t="n">
        <f aca="false">IF(ISNUMBER(T4889),T4889,-99)</f>
        <v>23.6351047677504</v>
      </c>
      <c r="W4889" s="84" t="n">
        <f aca="false">IF(ISNUMBER(U4889),ABS(U4889),"")</f>
        <v>5.33510476775041</v>
      </c>
    </row>
    <row r="4890" customFormat="false" ht="15" hidden="false" customHeight="false" outlineLevel="0" collapsed="false">
      <c r="A4890" s="57" t="n">
        <v>40444</v>
      </c>
      <c r="B4890" s="56" t="n">
        <v>2010</v>
      </c>
      <c r="C4890" s="56" t="n">
        <v>9</v>
      </c>
      <c r="D4890" s="56" t="n">
        <v>146</v>
      </c>
      <c r="E4890" s="56" t="n">
        <v>14.4</v>
      </c>
      <c r="F4890" s="56" t="n">
        <v>1</v>
      </c>
      <c r="G4890" s="56" t="n">
        <v>14.2</v>
      </c>
      <c r="H4890" s="56" t="n">
        <v>0</v>
      </c>
      <c r="I4890" s="56" t="n">
        <v>16.3</v>
      </c>
      <c r="J4890" s="56" t="n">
        <v>1</v>
      </c>
      <c r="K4890" s="56" t="n">
        <v>1007</v>
      </c>
      <c r="L4890" s="56" t="n">
        <v>0</v>
      </c>
      <c r="M4890" s="56" t="n">
        <v>90</v>
      </c>
      <c r="N4890" s="56" t="n">
        <v>0.1</v>
      </c>
      <c r="O4890" s="56" t="n">
        <f aca="false">IF(D4890=1,"",E4889)</f>
        <v>18.3</v>
      </c>
      <c r="P4890" s="56" t="n">
        <f aca="false">IF(OR(D4890=1,K4889=""),"",K4889)</f>
        <v>1015.9</v>
      </c>
      <c r="Q4890" s="56" t="n">
        <f aca="false">IF(OR(F4890&lt;&gt;0,AND(I4890&lt;&gt;"",E4890&lt;I4890)),1,0)</f>
        <v>1</v>
      </c>
      <c r="R4890" s="56" t="n">
        <f aca="false">IF(AND(D4890&gt;1,Q4890=0,ISNUMBER(O4890),ISNUMBER(P4890)),IF(Q4889=0,1,0),0)</f>
        <v>0</v>
      </c>
      <c r="S4890" s="56" t="n">
        <f aca="false">R4890*(B4890&gt;=Train_Start)*(B4890&lt;=Train_End)</f>
        <v>0</v>
      </c>
      <c r="T4890" s="84" t="n">
        <f aca="false">IF(AND(ISNUMBER(O4890),ISNUMBER(P4890)),Coef_A+Coef_B1*O4890+Coef_B2*P4890,"")</f>
        <v>18.9495586133462</v>
      </c>
      <c r="U4890" s="84" t="str">
        <f aca="false">IF(AND(R4890=1,ISNUMBER(T4890)),E4890-T4890,"")</f>
        <v/>
      </c>
      <c r="V4890" s="84" t="n">
        <f aca="false">IF(ISNUMBER(T4890),T4890,-99)</f>
        <v>18.9495586133462</v>
      </c>
      <c r="W4890" s="84" t="str">
        <f aca="false">IF(ISNUMBER(U4890),ABS(U4890),"")</f>
        <v/>
      </c>
    </row>
    <row r="4891" customFormat="false" ht="15" hidden="false" customHeight="false" outlineLevel="0" collapsed="false">
      <c r="A4891" s="57" t="n">
        <v>40445</v>
      </c>
      <c r="B4891" s="56" t="n">
        <v>2010</v>
      </c>
      <c r="C4891" s="56" t="n">
        <v>9</v>
      </c>
      <c r="D4891" s="56" t="n">
        <v>147</v>
      </c>
      <c r="E4891" s="56" t="n">
        <v>13.9</v>
      </c>
      <c r="F4891" s="56" t="n">
        <v>0</v>
      </c>
      <c r="G4891" s="56" t="n">
        <v>10.3</v>
      </c>
      <c r="H4891" s="56" t="n">
        <v>0</v>
      </c>
      <c r="I4891" s="56" t="n">
        <v>12.4</v>
      </c>
      <c r="J4891" s="56" t="n">
        <v>0</v>
      </c>
      <c r="K4891" s="56" t="n">
        <v>1006.5</v>
      </c>
      <c r="L4891" s="56" t="n">
        <v>0</v>
      </c>
      <c r="M4891" s="56" t="n">
        <v>85</v>
      </c>
      <c r="N4891" s="56" t="n">
        <v>0.1</v>
      </c>
      <c r="O4891" s="56" t="n">
        <f aca="false">IF(D4891=1,"",E4890)</f>
        <v>14.4</v>
      </c>
      <c r="P4891" s="56" t="n">
        <f aca="false">IF(OR(D4891=1,K4890=""),"",K4890)</f>
        <v>1007</v>
      </c>
      <c r="Q4891" s="56" t="n">
        <f aca="false">IF(OR(F4891&lt;&gt;0,AND(I4891&lt;&gt;"",E4891&lt;I4891)),1,0)</f>
        <v>0</v>
      </c>
      <c r="R4891" s="56" t="n">
        <f aca="false">IF(AND(D4891&gt;1,Q4891=0,ISNUMBER(O4891),ISNUMBER(P4891)),IF(Q4890=0,1,0),0)</f>
        <v>0</v>
      </c>
      <c r="S4891" s="56" t="n">
        <f aca="false">R4891*(B4891&gt;=Train_Start)*(B4891&lt;=Train_End)</f>
        <v>0</v>
      </c>
      <c r="T4891" s="84" t="n">
        <f aca="false">IF(AND(ISNUMBER(O4891),ISNUMBER(P4891)),Coef_A+Coef_B1*O4891+Coef_B2*P4891,"")</f>
        <v>15.4749436982373</v>
      </c>
      <c r="U4891" s="84" t="str">
        <f aca="false">IF(AND(R4891=1,ISNUMBER(T4891)),E4891-T4891,"")</f>
        <v/>
      </c>
      <c r="V4891" s="84" t="n">
        <f aca="false">IF(ISNUMBER(T4891),T4891,-99)</f>
        <v>15.4749436982373</v>
      </c>
      <c r="W4891" s="84" t="str">
        <f aca="false">IF(ISNUMBER(U4891),ABS(U4891),"")</f>
        <v/>
      </c>
    </row>
    <row r="4892" customFormat="false" ht="15" hidden="false" customHeight="false" outlineLevel="0" collapsed="false">
      <c r="A4892" s="57" t="n">
        <v>40446</v>
      </c>
      <c r="B4892" s="56" t="n">
        <v>2010</v>
      </c>
      <c r="C4892" s="56" t="n">
        <v>9</v>
      </c>
      <c r="D4892" s="56" t="n">
        <v>148</v>
      </c>
      <c r="E4892" s="56" t="n">
        <v>13.8</v>
      </c>
      <c r="F4892" s="56" t="n">
        <v>0</v>
      </c>
      <c r="G4892" s="56" t="n">
        <v>5.4</v>
      </c>
      <c r="H4892" s="56" t="n">
        <v>0</v>
      </c>
      <c r="I4892" s="56" t="n">
        <v>9.7</v>
      </c>
      <c r="J4892" s="56" t="n">
        <v>0</v>
      </c>
      <c r="K4892" s="56" t="n">
        <v>1016.4</v>
      </c>
      <c r="L4892" s="56" t="n">
        <v>0</v>
      </c>
      <c r="M4892" s="56" t="n">
        <v>67</v>
      </c>
      <c r="N4892" s="56" t="n">
        <v>7.4</v>
      </c>
      <c r="O4892" s="56" t="n">
        <f aca="false">IF(D4892=1,"",E4891)</f>
        <v>13.9</v>
      </c>
      <c r="P4892" s="56" t="n">
        <f aca="false">IF(OR(D4892=1,K4891=""),"",K4891)</f>
        <v>1006.5</v>
      </c>
      <c r="Q4892" s="56" t="n">
        <f aca="false">IF(OR(F4892&lt;&gt;0,AND(I4892&lt;&gt;"",E4892&lt;I4892)),1,0)</f>
        <v>0</v>
      </c>
      <c r="R4892" s="56" t="n">
        <f aca="false">IF(AND(D4892&gt;1,Q4892=0,ISNUMBER(O4892),ISNUMBER(P4892)),IF(Q4891=0,1,0),0)</f>
        <v>1</v>
      </c>
      <c r="S4892" s="56" t="n">
        <f aca="false">R4892*(B4892&gt;=Train_Start)*(B4892&lt;=Train_End)</f>
        <v>0</v>
      </c>
      <c r="T4892" s="84" t="n">
        <f aca="false">IF(AND(ISNUMBER(O4892),ISNUMBER(P4892)),Coef_A+Coef_B1*O4892+Coef_B2*P4892,"")</f>
        <v>15.049589154399</v>
      </c>
      <c r="U4892" s="84" t="n">
        <f aca="false">IF(AND(R4892=1,ISNUMBER(T4892)),E4892-T4892,"")</f>
        <v>-1.24958915439896</v>
      </c>
      <c r="V4892" s="84" t="n">
        <f aca="false">IF(ISNUMBER(T4892),T4892,-99)</f>
        <v>15.049589154399</v>
      </c>
      <c r="W4892" s="84" t="n">
        <f aca="false">IF(ISNUMBER(U4892),ABS(U4892),"")</f>
        <v>1.24958915439896</v>
      </c>
    </row>
    <row r="4893" customFormat="false" ht="15" hidden="false" customHeight="false" outlineLevel="0" collapsed="false">
      <c r="A4893" s="57" t="n">
        <v>40447</v>
      </c>
      <c r="B4893" s="56" t="n">
        <v>2010</v>
      </c>
      <c r="C4893" s="56" t="n">
        <v>9</v>
      </c>
      <c r="D4893" s="56" t="n">
        <v>149</v>
      </c>
      <c r="E4893" s="56" t="n">
        <v>15.9</v>
      </c>
      <c r="F4893" s="56" t="n">
        <v>0</v>
      </c>
      <c r="G4893" s="56" t="n">
        <v>7.5</v>
      </c>
      <c r="H4893" s="56" t="n">
        <v>0</v>
      </c>
      <c r="I4893" s="56" t="n">
        <v>10.7</v>
      </c>
      <c r="J4893" s="56" t="n">
        <v>0</v>
      </c>
      <c r="K4893" s="56" t="n">
        <v>1013.2</v>
      </c>
      <c r="L4893" s="56" t="n">
        <v>0</v>
      </c>
      <c r="M4893" s="56" t="n">
        <v>79</v>
      </c>
      <c r="N4893" s="56" t="n">
        <v>1.7</v>
      </c>
      <c r="O4893" s="56" t="n">
        <f aca="false">IF(D4893=1,"",E4892)</f>
        <v>13.8</v>
      </c>
      <c r="P4893" s="56" t="n">
        <f aca="false">IF(OR(D4893=1,K4892=""),"",K4892)</f>
        <v>1016.4</v>
      </c>
      <c r="Q4893" s="56" t="n">
        <f aca="false">IF(OR(F4893&lt;&gt;0,AND(I4893&lt;&gt;"",E4893&lt;I4893)),1,0)</f>
        <v>0</v>
      </c>
      <c r="R4893" s="56" t="n">
        <f aca="false">IF(AND(D4893&gt;1,Q4893=0,ISNUMBER(O4893),ISNUMBER(P4893)),IF(Q4892=0,1,0),0)</f>
        <v>1</v>
      </c>
      <c r="S4893" s="56" t="n">
        <f aca="false">R4893*(B4893&gt;=Train_Start)*(B4893&lt;=Train_End)</f>
        <v>0</v>
      </c>
      <c r="T4893" s="84" t="n">
        <f aca="false">IF(AND(ISNUMBER(O4893),ISNUMBER(P4893)),Coef_A+Coef_B1*O4893+Coef_B2*P4893,"")</f>
        <v>15.2782171919712</v>
      </c>
      <c r="U4893" s="84" t="n">
        <f aca="false">IF(AND(R4893=1,ISNUMBER(T4893)),E4893-T4893,"")</f>
        <v>0.621782808028806</v>
      </c>
      <c r="V4893" s="84" t="n">
        <f aca="false">IF(ISNUMBER(T4893),T4893,-99)</f>
        <v>15.2782171919712</v>
      </c>
      <c r="W4893" s="84" t="n">
        <f aca="false">IF(ISNUMBER(U4893),ABS(U4893),"")</f>
        <v>0.621782808028806</v>
      </c>
    </row>
    <row r="4894" customFormat="false" ht="15" hidden="false" customHeight="false" outlineLevel="0" collapsed="false">
      <c r="A4894" s="57" t="n">
        <v>40448</v>
      </c>
      <c r="B4894" s="56" t="n">
        <v>2010</v>
      </c>
      <c r="C4894" s="56" t="n">
        <v>9</v>
      </c>
      <c r="D4894" s="56" t="n">
        <v>150</v>
      </c>
      <c r="E4894" s="56" t="n">
        <v>16.9</v>
      </c>
      <c r="F4894" s="56" t="n">
        <v>0</v>
      </c>
      <c r="G4894" s="56" t="n">
        <v>10.7</v>
      </c>
      <c r="H4894" s="56" t="n">
        <v>0</v>
      </c>
      <c r="I4894" s="56" t="n">
        <v>13.3</v>
      </c>
      <c r="J4894" s="56" t="n">
        <v>0</v>
      </c>
      <c r="K4894" s="56" t="n">
        <v>1012.6</v>
      </c>
      <c r="L4894" s="56" t="n">
        <v>0</v>
      </c>
      <c r="M4894" s="56" t="n">
        <v>91</v>
      </c>
      <c r="N4894" s="56" t="n">
        <v>0</v>
      </c>
      <c r="O4894" s="56" t="n">
        <f aca="false">IF(D4894=1,"",E4893)</f>
        <v>15.9</v>
      </c>
      <c r="P4894" s="56" t="n">
        <f aca="false">IF(OR(D4894=1,K4893=""),"",K4893)</f>
        <v>1013.2</v>
      </c>
      <c r="Q4894" s="56" t="n">
        <f aca="false">IF(OR(F4894&lt;&gt;0,AND(I4894&lt;&gt;"",E4894&lt;I4894)),1,0)</f>
        <v>0</v>
      </c>
      <c r="R4894" s="56" t="n">
        <f aca="false">IF(AND(D4894&gt;1,Q4894=0,ISNUMBER(O4894),ISNUMBER(P4894)),IF(Q4893=0,1,0),0)</f>
        <v>1</v>
      </c>
      <c r="S4894" s="56" t="n">
        <f aca="false">R4894*(B4894&gt;=Train_Start)*(B4894&lt;=Train_End)</f>
        <v>0</v>
      </c>
      <c r="T4894" s="84" t="n">
        <f aca="false">IF(AND(ISNUMBER(O4894),ISNUMBER(P4894)),Coef_A+Coef_B1*O4894+Coef_B2*P4894,"")</f>
        <v>16.898445834532</v>
      </c>
      <c r="U4894" s="84" t="n">
        <f aca="false">IF(AND(R4894=1,ISNUMBER(T4894)),E4894-T4894,"")</f>
        <v>0.00155416546799358</v>
      </c>
      <c r="V4894" s="84" t="n">
        <f aca="false">IF(ISNUMBER(T4894),T4894,-99)</f>
        <v>16.898445834532</v>
      </c>
      <c r="W4894" s="84" t="n">
        <f aca="false">IF(ISNUMBER(U4894),ABS(U4894),"")</f>
        <v>0.00155416546799358</v>
      </c>
    </row>
    <row r="4895" customFormat="false" ht="15" hidden="false" customHeight="false" outlineLevel="0" collapsed="false">
      <c r="A4895" s="57" t="n">
        <v>40449</v>
      </c>
      <c r="B4895" s="56" t="n">
        <v>2010</v>
      </c>
      <c r="C4895" s="56" t="n">
        <v>9</v>
      </c>
      <c r="D4895" s="56" t="n">
        <v>151</v>
      </c>
      <c r="E4895" s="56" t="n">
        <v>17.3</v>
      </c>
      <c r="F4895" s="56" t="n">
        <v>0</v>
      </c>
      <c r="G4895" s="56" t="n">
        <v>12.6</v>
      </c>
      <c r="H4895" s="56" t="n">
        <v>0</v>
      </c>
      <c r="I4895" s="56" t="n">
        <v>14.8</v>
      </c>
      <c r="J4895" s="56" t="n">
        <v>0</v>
      </c>
      <c r="K4895" s="56" t="n">
        <v>1016.8</v>
      </c>
      <c r="L4895" s="56" t="n">
        <v>0</v>
      </c>
      <c r="M4895" s="56" t="n">
        <v>89</v>
      </c>
      <c r="N4895" s="56" t="n">
        <v>0</v>
      </c>
      <c r="O4895" s="56" t="n">
        <f aca="false">IF(D4895=1,"",E4894)</f>
        <v>16.9</v>
      </c>
      <c r="P4895" s="56" t="n">
        <f aca="false">IF(OR(D4895=1,K4894=""),"",K4894)</f>
        <v>1012.6</v>
      </c>
      <c r="Q4895" s="56" t="n">
        <f aca="false">IF(OR(F4895&lt;&gt;0,AND(I4895&lt;&gt;"",E4895&lt;I4895)),1,0)</f>
        <v>0</v>
      </c>
      <c r="R4895" s="56" t="n">
        <f aca="false">IF(AND(D4895&gt;1,Q4895=0,ISNUMBER(O4895),ISNUMBER(P4895)),IF(Q4894=0,1,0),0)</f>
        <v>1</v>
      </c>
      <c r="S4895" s="56" t="n">
        <f aca="false">R4895*(B4895&gt;=Train_Start)*(B4895&lt;=Train_End)</f>
        <v>0</v>
      </c>
      <c r="T4895" s="84" t="n">
        <f aca="false">IF(AND(ISNUMBER(O4895),ISNUMBER(P4895)),Coef_A+Coef_B1*O4895+Coef_B2*P4895,"")</f>
        <v>17.6989630907943</v>
      </c>
      <c r="U4895" s="84" t="n">
        <f aca="false">IF(AND(R4895=1,ISNUMBER(T4895)),E4895-T4895,"")</f>
        <v>-0.398963090794268</v>
      </c>
      <c r="V4895" s="84" t="n">
        <f aca="false">IF(ISNUMBER(T4895),T4895,-99)</f>
        <v>17.6989630907943</v>
      </c>
      <c r="W4895" s="84" t="n">
        <f aca="false">IF(ISNUMBER(U4895),ABS(U4895),"")</f>
        <v>0.398963090794268</v>
      </c>
    </row>
    <row r="4896" customFormat="false" ht="15" hidden="false" customHeight="false" outlineLevel="0" collapsed="false">
      <c r="A4896" s="57" t="n">
        <v>40450</v>
      </c>
      <c r="B4896" s="56" t="n">
        <v>2010</v>
      </c>
      <c r="C4896" s="56" t="n">
        <v>9</v>
      </c>
      <c r="D4896" s="56" t="n">
        <v>152</v>
      </c>
      <c r="E4896" s="56" t="n">
        <v>16.4</v>
      </c>
      <c r="F4896" s="56" t="n">
        <v>0</v>
      </c>
      <c r="G4896" s="56" t="n">
        <v>13.9</v>
      </c>
      <c r="H4896" s="56" t="n">
        <v>0</v>
      </c>
      <c r="I4896" s="56" t="n">
        <v>15.6</v>
      </c>
      <c r="J4896" s="56" t="n">
        <v>0</v>
      </c>
      <c r="K4896" s="56" t="n">
        <v>1015.8</v>
      </c>
      <c r="L4896" s="56" t="n">
        <v>0</v>
      </c>
      <c r="M4896" s="56" t="n">
        <v>90</v>
      </c>
      <c r="N4896" s="56" t="n">
        <v>0</v>
      </c>
      <c r="O4896" s="56" t="n">
        <f aca="false">IF(D4896=1,"",E4895)</f>
        <v>17.3</v>
      </c>
      <c r="P4896" s="56" t="n">
        <f aca="false">IF(OR(D4896=1,K4895=""),"",K4895)</f>
        <v>1016.8</v>
      </c>
      <c r="Q4896" s="56" t="n">
        <f aca="false">IF(OR(F4896&lt;&gt;0,AND(I4896&lt;&gt;"",E4896&lt;I4896)),1,0)</f>
        <v>0</v>
      </c>
      <c r="R4896" s="56" t="n">
        <f aca="false">IF(AND(D4896&gt;1,Q4896=0,ISNUMBER(O4896),ISNUMBER(P4896)),IF(Q4895=0,1,0),0)</f>
        <v>1</v>
      </c>
      <c r="S4896" s="56" t="n">
        <f aca="false">R4896*(B4896&gt;=Train_Start)*(B4896&lt;=Train_End)</f>
        <v>0</v>
      </c>
      <c r="T4896" s="84" t="n">
        <f aca="false">IF(AND(ISNUMBER(O4896),ISNUMBER(P4896)),Coef_A+Coef_B1*O4896+Coef_B2*P4896,"")</f>
        <v>18.1584523254741</v>
      </c>
      <c r="U4896" s="84" t="n">
        <f aca="false">IF(AND(R4896=1,ISNUMBER(T4896)),E4896-T4896,"")</f>
        <v>-1.75845232547409</v>
      </c>
      <c r="V4896" s="84" t="n">
        <f aca="false">IF(ISNUMBER(T4896),T4896,-99)</f>
        <v>18.1584523254741</v>
      </c>
      <c r="W4896" s="84" t="n">
        <f aca="false">IF(ISNUMBER(U4896),ABS(U4896),"")</f>
        <v>1.75845232547409</v>
      </c>
    </row>
    <row r="4897" customFormat="false" ht="15" hidden="false" customHeight="false" outlineLevel="0" collapsed="false">
      <c r="A4897" s="57" t="n">
        <v>40451</v>
      </c>
      <c r="B4897" s="56" t="n">
        <v>2010</v>
      </c>
      <c r="C4897" s="56" t="n">
        <v>9</v>
      </c>
      <c r="D4897" s="56" t="n">
        <v>153</v>
      </c>
      <c r="E4897" s="56" t="n">
        <v>16.6</v>
      </c>
      <c r="F4897" s="56" t="n">
        <v>0</v>
      </c>
      <c r="G4897" s="56" t="n">
        <v>6.9</v>
      </c>
      <c r="H4897" s="56" t="n">
        <v>0</v>
      </c>
      <c r="I4897" s="56" t="n">
        <v>11.7</v>
      </c>
      <c r="J4897" s="56" t="n">
        <v>0</v>
      </c>
      <c r="K4897" s="56" t="n">
        <v>1013.9</v>
      </c>
      <c r="L4897" s="56" t="n">
        <v>0</v>
      </c>
      <c r="M4897" s="56" t="n">
        <v>84</v>
      </c>
      <c r="N4897" s="56" t="n">
        <v>5.4</v>
      </c>
      <c r="O4897" s="56" t="n">
        <f aca="false">IF(D4897=1,"",E4896)</f>
        <v>16.4</v>
      </c>
      <c r="P4897" s="56" t="n">
        <f aca="false">IF(OR(D4897=1,K4896=""),"",K4896)</f>
        <v>1015.8</v>
      </c>
      <c r="Q4897" s="56" t="n">
        <f aca="false">IF(OR(F4897&lt;&gt;0,AND(I4897&lt;&gt;"",E4897&lt;I4897)),1,0)</f>
        <v>0</v>
      </c>
      <c r="R4897" s="56" t="n">
        <f aca="false">IF(AND(D4897&gt;1,Q4897=0,ISNUMBER(O4897),ISNUMBER(P4897)),IF(Q4896=0,1,0),0)</f>
        <v>1</v>
      </c>
      <c r="S4897" s="56" t="n">
        <f aca="false">R4897*(B4897&gt;=Train_Start)*(B4897&lt;=Train_End)</f>
        <v>0</v>
      </c>
      <c r="T4897" s="84" t="n">
        <f aca="false">IF(AND(ISNUMBER(O4897),ISNUMBER(P4897)),Coef_A+Coef_B1*O4897+Coef_B2*P4897,"")</f>
        <v>17.3896771571017</v>
      </c>
      <c r="U4897" s="84" t="n">
        <f aca="false">IF(AND(R4897=1,ISNUMBER(T4897)),E4897-T4897,"")</f>
        <v>-0.789677157101703</v>
      </c>
      <c r="V4897" s="84" t="n">
        <f aca="false">IF(ISNUMBER(T4897),T4897,-99)</f>
        <v>17.3896771571017</v>
      </c>
      <c r="W4897" s="84" t="n">
        <f aca="false">IF(ISNUMBER(U4897),ABS(U4897),"")</f>
        <v>0.789677157101703</v>
      </c>
    </row>
    <row r="4898" customFormat="false" ht="15" hidden="false" customHeight="false" outlineLevel="0" collapsed="false">
      <c r="A4898" s="57" t="n">
        <v>40664</v>
      </c>
      <c r="B4898" s="56" t="n">
        <v>2011</v>
      </c>
      <c r="C4898" s="56" t="n">
        <v>5</v>
      </c>
      <c r="D4898" s="56" t="n">
        <v>1</v>
      </c>
      <c r="E4898" s="56" t="n">
        <v>17</v>
      </c>
      <c r="F4898" s="56" t="n">
        <v>0</v>
      </c>
      <c r="G4898" s="56" t="n">
        <v>11.4</v>
      </c>
      <c r="H4898" s="56" t="n">
        <v>0</v>
      </c>
      <c r="I4898" s="56" t="n">
        <v>15.6</v>
      </c>
      <c r="J4898" s="56" t="n">
        <v>0</v>
      </c>
      <c r="K4898" s="56" t="n">
        <v>1009.8</v>
      </c>
      <c r="L4898" s="56" t="n">
        <v>0</v>
      </c>
      <c r="M4898" s="56" t="n">
        <v>50</v>
      </c>
      <c r="N4898" s="56" t="n">
        <v>9.9</v>
      </c>
      <c r="O4898" s="56" t="str">
        <f aca="false">IF(D4898=1,"",E4897)</f>
        <v/>
      </c>
      <c r="P4898" s="56" t="str">
        <f aca="false">IF(OR(D4898=1,K4897=""),"",K4897)</f>
        <v/>
      </c>
      <c r="Q4898" s="56" t="n">
        <f aca="false">IF(OR(F4898&lt;&gt;0,AND(I4898&lt;&gt;"",E4898&lt;I4898)),1,0)</f>
        <v>0</v>
      </c>
      <c r="R4898" s="56" t="n">
        <f aca="false">IF(AND(D4898&gt;1,Q4898=0,ISNUMBER(O4898),ISNUMBER(P4898)),IF(Q4897=0,1,0),0)</f>
        <v>0</v>
      </c>
      <c r="S4898" s="56" t="n">
        <f aca="false">R4898*(B4898&gt;=Train_Start)*(B4898&lt;=Train_End)</f>
        <v>0</v>
      </c>
      <c r="T4898" s="84" t="str">
        <f aca="false">IF(AND(ISNUMBER(O4898),ISNUMBER(P4898)),Coef_A+Coef_B1*O4898+Coef_B2*P4898,"")</f>
        <v/>
      </c>
      <c r="U4898" s="84" t="str">
        <f aca="false">IF(AND(R4898=1,ISNUMBER(T4898)),E4898-T4898,"")</f>
        <v/>
      </c>
      <c r="V4898" s="84" t="n">
        <f aca="false">IF(ISNUMBER(T4898),T4898,-99)</f>
        <v>-99</v>
      </c>
      <c r="W4898" s="84" t="str">
        <f aca="false">IF(ISNUMBER(U4898),ABS(U4898),"")</f>
        <v/>
      </c>
    </row>
    <row r="4899" customFormat="false" ht="15" hidden="false" customHeight="false" outlineLevel="0" collapsed="false">
      <c r="A4899" s="57" t="n">
        <v>40665</v>
      </c>
      <c r="B4899" s="56" t="n">
        <v>2011</v>
      </c>
      <c r="C4899" s="56" t="n">
        <v>5</v>
      </c>
      <c r="D4899" s="56" t="n">
        <v>2</v>
      </c>
      <c r="E4899" s="56" t="n">
        <v>15.3</v>
      </c>
      <c r="F4899" s="56" t="n">
        <v>0</v>
      </c>
      <c r="G4899" s="56" t="n">
        <v>9.4</v>
      </c>
      <c r="H4899" s="56" t="n">
        <v>0</v>
      </c>
      <c r="I4899" s="56" t="n">
        <v>13.2</v>
      </c>
      <c r="J4899" s="56" t="n">
        <v>0</v>
      </c>
      <c r="K4899" s="56" t="n">
        <v>1012.2</v>
      </c>
      <c r="L4899" s="56" t="n">
        <v>0</v>
      </c>
      <c r="M4899" s="56" t="n">
        <v>51</v>
      </c>
      <c r="N4899" s="56" t="n">
        <v>13.3</v>
      </c>
      <c r="O4899" s="56" t="n">
        <f aca="false">IF(D4899=1,"",E4898)</f>
        <v>17</v>
      </c>
      <c r="P4899" s="56" t="n">
        <f aca="false">IF(OR(D4899=1,K4898=""),"",K4898)</f>
        <v>1009.8</v>
      </c>
      <c r="Q4899" s="56" t="n">
        <f aca="false">IF(OR(F4899&lt;&gt;0,AND(I4899&lt;&gt;"",E4899&lt;I4899)),1,0)</f>
        <v>0</v>
      </c>
      <c r="R4899" s="56" t="n">
        <f aca="false">IF(AND(D4899&gt;1,Q4899=0,ISNUMBER(O4899),ISNUMBER(P4899)),IF(Q4898=0,1,0),0)</f>
        <v>1</v>
      </c>
      <c r="S4899" s="56" t="n">
        <f aca="false">R4899*(B4899&gt;=Train_Start)*(B4899&lt;=Train_End)</f>
        <v>0</v>
      </c>
      <c r="T4899" s="84" t="n">
        <f aca="false">IF(AND(ISNUMBER(O4899),ISNUMBER(P4899)),Coef_A+Coef_B1*O4899+Coef_B2*P4899,"")</f>
        <v>17.6930613051234</v>
      </c>
      <c r="U4899" s="84" t="n">
        <f aca="false">IF(AND(R4899=1,ISNUMBER(T4899)),E4899-T4899,"")</f>
        <v>-2.39306130512336</v>
      </c>
      <c r="V4899" s="84" t="n">
        <f aca="false">IF(ISNUMBER(T4899),T4899,-99)</f>
        <v>17.6930613051234</v>
      </c>
      <c r="W4899" s="84" t="n">
        <f aca="false">IF(ISNUMBER(U4899),ABS(U4899),"")</f>
        <v>2.39306130512336</v>
      </c>
    </row>
    <row r="4900" customFormat="false" ht="15" hidden="false" customHeight="false" outlineLevel="0" collapsed="false">
      <c r="A4900" s="57" t="n">
        <v>40666</v>
      </c>
      <c r="B4900" s="56" t="n">
        <v>2011</v>
      </c>
      <c r="C4900" s="56" t="n">
        <v>5</v>
      </c>
      <c r="D4900" s="56" t="n">
        <v>3</v>
      </c>
      <c r="E4900" s="56" t="n">
        <v>18.5</v>
      </c>
      <c r="F4900" s="56" t="n">
        <v>0</v>
      </c>
      <c r="G4900" s="56" t="n">
        <v>6</v>
      </c>
      <c r="H4900" s="56" t="n">
        <v>0</v>
      </c>
      <c r="I4900" s="56" t="n">
        <v>10.7</v>
      </c>
      <c r="J4900" s="56" t="n">
        <v>0</v>
      </c>
      <c r="K4900" s="56" t="n">
        <v>1017.4</v>
      </c>
      <c r="L4900" s="56" t="n">
        <v>0</v>
      </c>
      <c r="M4900" s="56" t="n">
        <v>51</v>
      </c>
      <c r="N4900" s="56" t="n">
        <v>13.1</v>
      </c>
      <c r="O4900" s="56" t="n">
        <f aca="false">IF(D4900=1,"",E4899)</f>
        <v>15.3</v>
      </c>
      <c r="P4900" s="56" t="n">
        <f aca="false">IF(OR(D4900=1,K4899=""),"",K4899)</f>
        <v>1012.2</v>
      </c>
      <c r="Q4900" s="56" t="n">
        <f aca="false">IF(OR(F4900&lt;&gt;0,AND(I4900&lt;&gt;"",E4900&lt;I4900)),1,0)</f>
        <v>0</v>
      </c>
      <c r="R4900" s="56" t="n">
        <f aca="false">IF(AND(D4900&gt;1,Q4900=0,ISNUMBER(O4900),ISNUMBER(P4900)),IF(Q4899=0,1,0),0)</f>
        <v>1</v>
      </c>
      <c r="S4900" s="56" t="n">
        <f aca="false">R4900*(B4900&gt;=Train_Start)*(B4900&lt;=Train_End)</f>
        <v>0</v>
      </c>
      <c r="T4900" s="84" t="n">
        <f aca="false">IF(AND(ISNUMBER(O4900),ISNUMBER(P4900)),Coef_A+Coef_B1*O4900+Coef_B2*P4900,"")</f>
        <v>16.3754724240724</v>
      </c>
      <c r="U4900" s="84" t="n">
        <f aca="false">IF(AND(R4900=1,ISNUMBER(T4900)),E4900-T4900,"")</f>
        <v>2.12452757592758</v>
      </c>
      <c r="V4900" s="84" t="n">
        <f aca="false">IF(ISNUMBER(T4900),T4900,-99)</f>
        <v>16.3754724240724</v>
      </c>
      <c r="W4900" s="84" t="n">
        <f aca="false">IF(ISNUMBER(U4900),ABS(U4900),"")</f>
        <v>2.12452757592758</v>
      </c>
    </row>
    <row r="4901" customFormat="false" ht="15" hidden="false" customHeight="false" outlineLevel="0" collapsed="false">
      <c r="A4901" s="57" t="n">
        <v>40667</v>
      </c>
      <c r="B4901" s="56" t="n">
        <v>2011</v>
      </c>
      <c r="C4901" s="56" t="n">
        <v>5</v>
      </c>
      <c r="D4901" s="56" t="n">
        <v>4</v>
      </c>
      <c r="E4901" s="56" t="n">
        <v>21.5</v>
      </c>
      <c r="F4901" s="56" t="n">
        <v>0</v>
      </c>
      <c r="G4901" s="56" t="n">
        <v>4.1</v>
      </c>
      <c r="H4901" s="56" t="n">
        <v>0</v>
      </c>
      <c r="I4901" s="56" t="n">
        <v>11.3</v>
      </c>
      <c r="J4901" s="56" t="n">
        <v>0</v>
      </c>
      <c r="K4901" s="56" t="n">
        <v>1021.2</v>
      </c>
      <c r="L4901" s="56" t="n">
        <v>0</v>
      </c>
      <c r="M4901" s="56" t="n">
        <v>57</v>
      </c>
      <c r="N4901" s="56" t="n">
        <v>12.8</v>
      </c>
      <c r="O4901" s="56" t="n">
        <f aca="false">IF(D4901=1,"",E4900)</f>
        <v>18.5</v>
      </c>
      <c r="P4901" s="56" t="n">
        <f aca="false">IF(OR(D4901=1,K4900=""),"",K4900)</f>
        <v>1017.4</v>
      </c>
      <c r="Q4901" s="56" t="n">
        <f aca="false">IF(OR(F4901&lt;&gt;0,AND(I4901&lt;&gt;"",E4901&lt;I4901)),1,0)</f>
        <v>0</v>
      </c>
      <c r="R4901" s="56" t="n">
        <f aca="false">IF(AND(D4901&gt;1,Q4901=0,ISNUMBER(O4901),ISNUMBER(P4901)),IF(Q4900=0,1,0),0)</f>
        <v>1</v>
      </c>
      <c r="S4901" s="56" t="n">
        <f aca="false">R4901*(B4901&gt;=Train_Start)*(B4901&lt;=Train_End)</f>
        <v>0</v>
      </c>
      <c r="T4901" s="84" t="n">
        <f aca="false">IF(AND(ISNUMBER(O4901),ISNUMBER(P4901)),Coef_A+Coef_B1*O4901+Coef_B2*P4901,"")</f>
        <v>19.1604812939057</v>
      </c>
      <c r="U4901" s="84" t="n">
        <f aca="false">IF(AND(R4901=1,ISNUMBER(T4901)),E4901-T4901,"")</f>
        <v>2.33951870609433</v>
      </c>
      <c r="V4901" s="84" t="n">
        <f aca="false">IF(ISNUMBER(T4901),T4901,-99)</f>
        <v>19.1604812939057</v>
      </c>
      <c r="W4901" s="84" t="n">
        <f aca="false">IF(ISNUMBER(U4901),ABS(U4901),"")</f>
        <v>2.33951870609433</v>
      </c>
    </row>
    <row r="4902" customFormat="false" ht="15" hidden="false" customHeight="false" outlineLevel="0" collapsed="false">
      <c r="A4902" s="57" t="n">
        <v>40668</v>
      </c>
      <c r="B4902" s="56" t="n">
        <v>2011</v>
      </c>
      <c r="C4902" s="56" t="n">
        <v>5</v>
      </c>
      <c r="D4902" s="56" t="n">
        <v>5</v>
      </c>
      <c r="E4902" s="56" t="n">
        <v>25</v>
      </c>
      <c r="F4902" s="56" t="n">
        <v>0</v>
      </c>
      <c r="G4902" s="56" t="n">
        <v>8.3</v>
      </c>
      <c r="H4902" s="56" t="n">
        <v>0</v>
      </c>
      <c r="I4902" s="56" t="n">
        <v>14.9</v>
      </c>
      <c r="J4902" s="56" t="n">
        <v>0</v>
      </c>
      <c r="K4902" s="56" t="n">
        <v>1019.4</v>
      </c>
      <c r="L4902" s="56" t="n">
        <v>0</v>
      </c>
      <c r="M4902" s="56" t="n">
        <v>56</v>
      </c>
      <c r="N4902" s="56" t="n">
        <v>3.1</v>
      </c>
      <c r="O4902" s="56" t="n">
        <f aca="false">IF(D4902=1,"",E4901)</f>
        <v>21.5</v>
      </c>
      <c r="P4902" s="56" t="n">
        <f aca="false">IF(OR(D4902=1,K4901=""),"",K4901)</f>
        <v>1021.2</v>
      </c>
      <c r="Q4902" s="56" t="n">
        <f aca="false">IF(OR(F4902&lt;&gt;0,AND(I4902&lt;&gt;"",E4902&lt;I4902)),1,0)</f>
        <v>0</v>
      </c>
      <c r="R4902" s="56" t="n">
        <f aca="false">IF(AND(D4902&gt;1,Q4902=0,ISNUMBER(O4902),ISNUMBER(P4902)),IF(Q4901=0,1,0),0)</f>
        <v>1</v>
      </c>
      <c r="S4902" s="56" t="n">
        <f aca="false">R4902*(B4902&gt;=Train_Start)*(B4902&lt;=Train_End)</f>
        <v>0</v>
      </c>
      <c r="T4902" s="84" t="n">
        <f aca="false">IF(AND(ISNUMBER(O4902),ISNUMBER(P4902)),Coef_A+Coef_B1*O4902+Coef_B2*P4902,"")</f>
        <v>21.7377044726428</v>
      </c>
      <c r="U4902" s="84" t="n">
        <f aca="false">IF(AND(R4902=1,ISNUMBER(T4902)),E4902-T4902,"")</f>
        <v>3.2622955273572</v>
      </c>
      <c r="V4902" s="84" t="n">
        <f aca="false">IF(ISNUMBER(T4902),T4902,-99)</f>
        <v>21.7377044726428</v>
      </c>
      <c r="W4902" s="84" t="n">
        <f aca="false">IF(ISNUMBER(U4902),ABS(U4902),"")</f>
        <v>3.2622955273572</v>
      </c>
    </row>
    <row r="4903" customFormat="false" ht="15" hidden="false" customHeight="false" outlineLevel="0" collapsed="false">
      <c r="A4903" s="57" t="n">
        <v>40669</v>
      </c>
      <c r="B4903" s="56" t="n">
        <v>2011</v>
      </c>
      <c r="C4903" s="56" t="n">
        <v>5</v>
      </c>
      <c r="D4903" s="56" t="n">
        <v>6</v>
      </c>
      <c r="E4903" s="56" t="n">
        <v>23.3</v>
      </c>
      <c r="F4903" s="56" t="n">
        <v>0</v>
      </c>
      <c r="G4903" s="56" t="n">
        <v>9.5</v>
      </c>
      <c r="H4903" s="56" t="n">
        <v>0</v>
      </c>
      <c r="I4903" s="56" t="n">
        <v>17.3</v>
      </c>
      <c r="J4903" s="56" t="n">
        <v>0</v>
      </c>
      <c r="K4903" s="56" t="n">
        <v>1015.1</v>
      </c>
      <c r="L4903" s="56" t="n">
        <v>0</v>
      </c>
      <c r="M4903" s="56" t="n">
        <v>47</v>
      </c>
      <c r="N4903" s="56" t="n">
        <v>10.5</v>
      </c>
      <c r="O4903" s="56" t="n">
        <f aca="false">IF(D4903=1,"",E4902)</f>
        <v>25</v>
      </c>
      <c r="P4903" s="56" t="n">
        <f aca="false">IF(OR(D4903=1,K4902=""),"",K4902)</f>
        <v>1019.4</v>
      </c>
      <c r="Q4903" s="56" t="n">
        <f aca="false">IF(OR(F4903&lt;&gt;0,AND(I4903&lt;&gt;"",E4903&lt;I4903)),1,0)</f>
        <v>0</v>
      </c>
      <c r="R4903" s="56" t="n">
        <f aca="false">IF(AND(D4903&gt;1,Q4903=0,ISNUMBER(O4903),ISNUMBER(P4903)),IF(Q4902=0,1,0),0)</f>
        <v>1</v>
      </c>
      <c r="S4903" s="56" t="n">
        <f aca="false">R4903*(B4903&gt;=Train_Start)*(B4903&lt;=Train_End)</f>
        <v>0</v>
      </c>
      <c r="T4903" s="84" t="n">
        <f aca="false">IF(AND(ISNUMBER(O4903),ISNUMBER(P4903)),Coef_A+Coef_B1*O4903+Coef_B2*P4903,"")</f>
        <v>24.5489258379509</v>
      </c>
      <c r="U4903" s="84" t="n">
        <f aca="false">IF(AND(R4903=1,ISNUMBER(T4903)),E4903-T4903,"")</f>
        <v>-1.24892583795092</v>
      </c>
      <c r="V4903" s="84" t="n">
        <f aca="false">IF(ISNUMBER(T4903),T4903,-99)</f>
        <v>24.5489258379509</v>
      </c>
      <c r="W4903" s="84" t="n">
        <f aca="false">IF(ISNUMBER(U4903),ABS(U4903),"")</f>
        <v>1.24892583795092</v>
      </c>
    </row>
    <row r="4904" customFormat="false" ht="15" hidden="false" customHeight="false" outlineLevel="0" collapsed="false">
      <c r="A4904" s="57" t="n">
        <v>40670</v>
      </c>
      <c r="B4904" s="56" t="n">
        <v>2011</v>
      </c>
      <c r="C4904" s="56" t="n">
        <v>5</v>
      </c>
      <c r="D4904" s="56" t="n">
        <v>7</v>
      </c>
      <c r="E4904" s="56" t="n">
        <v>19.9</v>
      </c>
      <c r="F4904" s="56" t="n">
        <v>0</v>
      </c>
      <c r="G4904" s="56" t="n">
        <v>13.8</v>
      </c>
      <c r="H4904" s="56" t="n">
        <v>0</v>
      </c>
      <c r="I4904" s="56" t="n">
        <v>18.6</v>
      </c>
      <c r="J4904" s="56" t="n">
        <v>0</v>
      </c>
      <c r="K4904" s="56" t="n">
        <v>1011.2</v>
      </c>
      <c r="L4904" s="56" t="n">
        <v>0</v>
      </c>
      <c r="M4904" s="56" t="n">
        <v>73</v>
      </c>
      <c r="N4904" s="56" t="n">
        <v>1.5</v>
      </c>
      <c r="O4904" s="56" t="n">
        <f aca="false">IF(D4904=1,"",E4903)</f>
        <v>23.3</v>
      </c>
      <c r="P4904" s="56" t="n">
        <f aca="false">IF(OR(D4904=1,K4903=""),"",K4903)</f>
        <v>1015.1</v>
      </c>
      <c r="Q4904" s="56" t="n">
        <f aca="false">IF(OR(F4904&lt;&gt;0,AND(I4904&lt;&gt;"",E4904&lt;I4904)),1,0)</f>
        <v>0</v>
      </c>
      <c r="R4904" s="56" t="n">
        <f aca="false">IF(AND(D4904&gt;1,Q4904=0,ISNUMBER(O4904),ISNUMBER(P4904)),IF(Q4903=0,1,0),0)</f>
        <v>1</v>
      </c>
      <c r="S4904" s="56" t="n">
        <f aca="false">R4904*(B4904&gt;=Train_Start)*(B4904&lt;=Train_End)</f>
        <v>0</v>
      </c>
      <c r="T4904" s="84" t="n">
        <f aca="false">IF(AND(ISNUMBER(O4904),ISNUMBER(P4904)),Coef_A+Coef_B1*O4904+Coef_B2*P4904,"")</f>
        <v>23.0211586628523</v>
      </c>
      <c r="U4904" s="84" t="n">
        <f aca="false">IF(AND(R4904=1,ISNUMBER(T4904)),E4904-T4904,"")</f>
        <v>-3.12115866285226</v>
      </c>
      <c r="V4904" s="84" t="n">
        <f aca="false">IF(ISNUMBER(T4904),T4904,-99)</f>
        <v>23.0211586628523</v>
      </c>
      <c r="W4904" s="84" t="n">
        <f aca="false">IF(ISNUMBER(U4904),ABS(U4904),"")</f>
        <v>3.12115866285226</v>
      </c>
    </row>
    <row r="4905" customFormat="false" ht="15" hidden="false" customHeight="false" outlineLevel="0" collapsed="false">
      <c r="A4905" s="57" t="n">
        <v>40671</v>
      </c>
      <c r="B4905" s="56" t="n">
        <v>2011</v>
      </c>
      <c r="C4905" s="56" t="n">
        <v>5</v>
      </c>
      <c r="D4905" s="56" t="n">
        <v>8</v>
      </c>
      <c r="E4905" s="56" t="n">
        <v>20.5</v>
      </c>
      <c r="F4905" s="56" t="n">
        <v>0</v>
      </c>
      <c r="G4905" s="56" t="n">
        <v>14.6</v>
      </c>
      <c r="H4905" s="56" t="n">
        <v>0</v>
      </c>
      <c r="I4905" s="56" t="n">
        <v>17.3</v>
      </c>
      <c r="J4905" s="56" t="n">
        <v>0</v>
      </c>
      <c r="K4905" s="56" t="n">
        <v>1014</v>
      </c>
      <c r="L4905" s="56" t="n">
        <v>0</v>
      </c>
      <c r="M4905" s="56" t="n">
        <v>72</v>
      </c>
      <c r="N4905" s="56" t="n">
        <v>5.6</v>
      </c>
      <c r="O4905" s="56" t="n">
        <f aca="false">IF(D4905=1,"",E4904)</f>
        <v>19.9</v>
      </c>
      <c r="P4905" s="56" t="n">
        <f aca="false">IF(OR(D4905=1,K4904=""),"",K4904)</f>
        <v>1011.2</v>
      </c>
      <c r="Q4905" s="56" t="n">
        <f aca="false">IF(OR(F4905&lt;&gt;0,AND(I4905&lt;&gt;"",E4905&lt;I4905)),1,0)</f>
        <v>0</v>
      </c>
      <c r="R4905" s="56" t="n">
        <f aca="false">IF(AND(D4905&gt;1,Q4905=0,ISNUMBER(O4905),ISNUMBER(P4905)),IF(Q4904=0,1,0),0)</f>
        <v>1</v>
      </c>
      <c r="S4905" s="56" t="n">
        <f aca="false">R4905*(B4905&gt;=Train_Start)*(B4905&lt;=Train_End)</f>
        <v>0</v>
      </c>
      <c r="T4905" s="84" t="n">
        <f aca="false">IF(AND(ISNUMBER(O4905),ISNUMBER(P4905)),Coef_A+Coef_B1*O4905+Coef_B2*P4905,"")</f>
        <v>20.1130628174347</v>
      </c>
      <c r="U4905" s="84" t="n">
        <f aca="false">IF(AND(R4905=1,ISNUMBER(T4905)),E4905-T4905,"")</f>
        <v>0.386937182565344</v>
      </c>
      <c r="V4905" s="84" t="n">
        <f aca="false">IF(ISNUMBER(T4905),T4905,-99)</f>
        <v>20.1130628174347</v>
      </c>
      <c r="W4905" s="84" t="n">
        <f aca="false">IF(ISNUMBER(U4905),ABS(U4905),"")</f>
        <v>0.386937182565344</v>
      </c>
    </row>
    <row r="4906" customFormat="false" ht="15" hidden="false" customHeight="false" outlineLevel="0" collapsed="false">
      <c r="A4906" s="57" t="n">
        <v>40672</v>
      </c>
      <c r="B4906" s="56" t="n">
        <v>2011</v>
      </c>
      <c r="C4906" s="56" t="n">
        <v>5</v>
      </c>
      <c r="D4906" s="56" t="n">
        <v>9</v>
      </c>
      <c r="E4906" s="56" t="n">
        <v>21.6</v>
      </c>
      <c r="F4906" s="56" t="n">
        <v>0</v>
      </c>
      <c r="G4906" s="56" t="n">
        <v>10.4</v>
      </c>
      <c r="H4906" s="56" t="n">
        <v>0</v>
      </c>
      <c r="I4906" s="56" t="n">
        <v>15.5</v>
      </c>
      <c r="J4906" s="56" t="n">
        <v>0</v>
      </c>
      <c r="K4906" s="56" t="n">
        <v>1021.4</v>
      </c>
      <c r="L4906" s="56" t="n">
        <v>0</v>
      </c>
      <c r="M4906" s="56" t="n">
        <v>64</v>
      </c>
      <c r="N4906" s="56" t="n">
        <v>12.2</v>
      </c>
      <c r="O4906" s="56" t="n">
        <f aca="false">IF(D4906=1,"",E4905)</f>
        <v>20.5</v>
      </c>
      <c r="P4906" s="56" t="n">
        <f aca="false">IF(OR(D4906=1,K4905=""),"",K4905)</f>
        <v>1014</v>
      </c>
      <c r="Q4906" s="56" t="n">
        <f aca="false">IF(OR(F4906&lt;&gt;0,AND(I4906&lt;&gt;"",E4906&lt;I4906)),1,0)</f>
        <v>0</v>
      </c>
      <c r="R4906" s="56" t="n">
        <f aca="false">IF(AND(D4906&gt;1,Q4906=0,ISNUMBER(O4906),ISNUMBER(P4906)),IF(Q4905=0,1,0),0)</f>
        <v>1</v>
      </c>
      <c r="S4906" s="56" t="n">
        <f aca="false">R4906*(B4906&gt;=Train_Start)*(B4906&lt;=Train_End)</f>
        <v>0</v>
      </c>
      <c r="T4906" s="84" t="n">
        <f aca="false">IF(AND(ISNUMBER(O4906),ISNUMBER(P4906)),Coef_A+Coef_B1*O4906+Coef_B2*P4906,"")</f>
        <v>20.6925020382354</v>
      </c>
      <c r="U4906" s="84" t="n">
        <f aca="false">IF(AND(R4906=1,ISNUMBER(T4906)),E4906-T4906,"")</f>
        <v>0.90749796176458</v>
      </c>
      <c r="V4906" s="84" t="n">
        <f aca="false">IF(ISNUMBER(T4906),T4906,-99)</f>
        <v>20.6925020382354</v>
      </c>
      <c r="W4906" s="84" t="n">
        <f aca="false">IF(ISNUMBER(U4906),ABS(U4906),"")</f>
        <v>0.90749796176458</v>
      </c>
    </row>
    <row r="4907" customFormat="false" ht="15" hidden="false" customHeight="false" outlineLevel="0" collapsed="false">
      <c r="A4907" s="57" t="n">
        <v>40673</v>
      </c>
      <c r="B4907" s="56" t="n">
        <v>2011</v>
      </c>
      <c r="C4907" s="56" t="n">
        <v>5</v>
      </c>
      <c r="D4907" s="56" t="n">
        <v>10</v>
      </c>
      <c r="E4907" s="56" t="n">
        <v>18.1</v>
      </c>
      <c r="F4907" s="56" t="n">
        <v>0</v>
      </c>
      <c r="G4907" s="56" t="n">
        <v>8.2</v>
      </c>
      <c r="H4907" s="56" t="n">
        <v>0</v>
      </c>
      <c r="I4907" s="56" t="n">
        <v>14.9</v>
      </c>
      <c r="J4907" s="56" t="n">
        <v>0</v>
      </c>
      <c r="K4907" s="56" t="n">
        <v>1024.9</v>
      </c>
      <c r="L4907" s="56" t="n">
        <v>0</v>
      </c>
      <c r="M4907" s="56" t="n">
        <v>64</v>
      </c>
      <c r="N4907" s="56" t="n">
        <v>12.3</v>
      </c>
      <c r="O4907" s="56" t="n">
        <f aca="false">IF(D4907=1,"",E4906)</f>
        <v>21.6</v>
      </c>
      <c r="P4907" s="56" t="n">
        <f aca="false">IF(OR(D4907=1,K4906=""),"",K4906)</f>
        <v>1021.4</v>
      </c>
      <c r="Q4907" s="56" t="n">
        <f aca="false">IF(OR(F4907&lt;&gt;0,AND(I4907&lt;&gt;"",E4907&lt;I4907)),1,0)</f>
        <v>0</v>
      </c>
      <c r="R4907" s="56" t="n">
        <f aca="false">IF(AND(D4907&gt;1,Q4907=0,ISNUMBER(O4907),ISNUMBER(P4907)),IF(Q4906=0,1,0),0)</f>
        <v>1</v>
      </c>
      <c r="S4907" s="56" t="n">
        <f aca="false">R4907*(B4907&gt;=Train_Start)*(B4907&lt;=Train_End)</f>
        <v>0</v>
      </c>
      <c r="T4907" s="84" t="n">
        <f aca="false">IF(AND(ISNUMBER(O4907),ISNUMBER(P4907)),Coef_A+Coef_B1*O4907+Coef_B2*P4907,"")</f>
        <v>21.8259123708739</v>
      </c>
      <c r="U4907" s="84" t="n">
        <f aca="false">IF(AND(R4907=1,ISNUMBER(T4907)),E4907-T4907,"")</f>
        <v>-3.72591237087387</v>
      </c>
      <c r="V4907" s="84" t="n">
        <f aca="false">IF(ISNUMBER(T4907),T4907,-99)</f>
        <v>21.8259123708739</v>
      </c>
      <c r="W4907" s="84" t="n">
        <f aca="false">IF(ISNUMBER(U4907),ABS(U4907),"")</f>
        <v>3.72591237087387</v>
      </c>
    </row>
    <row r="4908" customFormat="false" ht="15" hidden="false" customHeight="false" outlineLevel="0" collapsed="false">
      <c r="A4908" s="57" t="n">
        <v>40674</v>
      </c>
      <c r="B4908" s="56" t="n">
        <v>2011</v>
      </c>
      <c r="C4908" s="56" t="n">
        <v>5</v>
      </c>
      <c r="D4908" s="56" t="n">
        <v>11</v>
      </c>
      <c r="E4908" s="56" t="n">
        <v>19.3</v>
      </c>
      <c r="F4908" s="56" t="n">
        <v>0</v>
      </c>
      <c r="G4908" s="56" t="n">
        <v>8.9</v>
      </c>
      <c r="H4908" s="56" t="n">
        <v>0</v>
      </c>
      <c r="I4908" s="56" t="n">
        <v>13.5</v>
      </c>
      <c r="J4908" s="56" t="n">
        <v>0</v>
      </c>
      <c r="K4908" s="56" t="n">
        <v>1023.5</v>
      </c>
      <c r="L4908" s="56" t="n">
        <v>0</v>
      </c>
      <c r="M4908" s="56" t="n">
        <v>71</v>
      </c>
      <c r="N4908" s="56" t="n">
        <v>1.3</v>
      </c>
      <c r="O4908" s="56" t="n">
        <f aca="false">IF(D4908=1,"",E4907)</f>
        <v>18.1</v>
      </c>
      <c r="P4908" s="56" t="n">
        <f aca="false">IF(OR(D4908=1,K4907=""),"",K4907)</f>
        <v>1024.9</v>
      </c>
      <c r="Q4908" s="56" t="n">
        <f aca="false">IF(OR(F4908&lt;&gt;0,AND(I4908&lt;&gt;"",E4908&lt;I4908)),1,0)</f>
        <v>0</v>
      </c>
      <c r="R4908" s="56" t="n">
        <f aca="false">IF(AND(D4908&gt;1,Q4908=0,ISNUMBER(O4908),ISNUMBER(P4908)),IF(Q4907=0,1,0),0)</f>
        <v>1</v>
      </c>
      <c r="S4908" s="56" t="n">
        <f aca="false">R4908*(B4908&gt;=Train_Start)*(B4908&lt;=Train_End)</f>
        <v>0</v>
      </c>
      <c r="T4908" s="84" t="n">
        <f aca="false">IF(AND(ISNUMBER(O4908),ISNUMBER(P4908)),Coef_A+Coef_B1*O4908+Coef_B2*P4908,"")</f>
        <v>19.0680198264435</v>
      </c>
      <c r="U4908" s="84" t="n">
        <f aca="false">IF(AND(R4908=1,ISNUMBER(T4908)),E4908-T4908,"")</f>
        <v>0.231980173556472</v>
      </c>
      <c r="V4908" s="84" t="n">
        <f aca="false">IF(ISNUMBER(T4908),T4908,-99)</f>
        <v>19.0680198264435</v>
      </c>
      <c r="W4908" s="84" t="n">
        <f aca="false">IF(ISNUMBER(U4908),ABS(U4908),"")</f>
        <v>0.231980173556472</v>
      </c>
    </row>
    <row r="4909" customFormat="false" ht="15" hidden="false" customHeight="false" outlineLevel="0" collapsed="false">
      <c r="A4909" s="57" t="n">
        <v>40675</v>
      </c>
      <c r="B4909" s="56" t="n">
        <v>2011</v>
      </c>
      <c r="C4909" s="56" t="n">
        <v>5</v>
      </c>
      <c r="D4909" s="56" t="n">
        <v>12</v>
      </c>
      <c r="E4909" s="56" t="n">
        <v>18.6</v>
      </c>
      <c r="F4909" s="56" t="n">
        <v>0</v>
      </c>
      <c r="G4909" s="56" t="n">
        <v>7.4</v>
      </c>
      <c r="H4909" s="56" t="n">
        <v>0</v>
      </c>
      <c r="I4909" s="56" t="n">
        <v>13.4</v>
      </c>
      <c r="J4909" s="56" t="n">
        <v>0</v>
      </c>
      <c r="K4909" s="56" t="n">
        <v>1020.5</v>
      </c>
      <c r="L4909" s="56" t="n">
        <v>0</v>
      </c>
      <c r="M4909" s="56" t="n">
        <v>63</v>
      </c>
      <c r="N4909" s="56" t="n">
        <v>7.8</v>
      </c>
      <c r="O4909" s="56" t="n">
        <f aca="false">IF(D4909=1,"",E4908)</f>
        <v>19.3</v>
      </c>
      <c r="P4909" s="56" t="n">
        <f aca="false">IF(OR(D4909=1,K4908=""),"",K4908)</f>
        <v>1023.5</v>
      </c>
      <c r="Q4909" s="56" t="n">
        <f aca="false">IF(OR(F4909&lt;&gt;0,AND(I4909&lt;&gt;"",E4909&lt;I4909)),1,0)</f>
        <v>0</v>
      </c>
      <c r="R4909" s="56" t="n">
        <f aca="false">IF(AND(D4909&gt;1,Q4909=0,ISNUMBER(O4909),ISNUMBER(P4909)),IF(Q4908=0,1,0),0)</f>
        <v>1</v>
      </c>
      <c r="S4909" s="56" t="n">
        <f aca="false">R4909*(B4909&gt;=Train_Start)*(B4909&lt;=Train_End)</f>
        <v>0</v>
      </c>
      <c r="T4909" s="84" t="n">
        <f aca="false">IF(AND(ISNUMBER(O4909),ISNUMBER(P4909)),Coef_A+Coef_B1*O4909+Coef_B2*P4909,"")</f>
        <v>20.0073090056071</v>
      </c>
      <c r="U4909" s="84" t="n">
        <f aca="false">IF(AND(R4909=1,ISNUMBER(T4909)),E4909-T4909,"")</f>
        <v>-1.40730900560713</v>
      </c>
      <c r="V4909" s="84" t="n">
        <f aca="false">IF(ISNUMBER(T4909),T4909,-99)</f>
        <v>20.0073090056071</v>
      </c>
      <c r="W4909" s="84" t="n">
        <f aca="false">IF(ISNUMBER(U4909),ABS(U4909),"")</f>
        <v>1.40730900560713</v>
      </c>
    </row>
    <row r="4910" customFormat="false" ht="15" hidden="false" customHeight="false" outlineLevel="0" collapsed="false">
      <c r="A4910" s="57" t="n">
        <v>40676</v>
      </c>
      <c r="B4910" s="56" t="n">
        <v>2011</v>
      </c>
      <c r="C4910" s="56" t="n">
        <v>5</v>
      </c>
      <c r="D4910" s="56" t="n">
        <v>13</v>
      </c>
      <c r="E4910" s="56" t="n">
        <v>17.4</v>
      </c>
      <c r="F4910" s="56" t="n">
        <v>0</v>
      </c>
      <c r="G4910" s="56" t="n">
        <v>6.7</v>
      </c>
      <c r="H4910" s="56" t="n">
        <v>0</v>
      </c>
      <c r="I4910" s="56" t="n">
        <v>12.7</v>
      </c>
      <c r="J4910" s="56" t="n">
        <v>0</v>
      </c>
      <c r="K4910" s="56" t="n">
        <v>1020.1</v>
      </c>
      <c r="L4910" s="56" t="n">
        <v>0</v>
      </c>
      <c r="M4910" s="56" t="n">
        <v>64</v>
      </c>
      <c r="N4910" s="56" t="n">
        <v>6.8</v>
      </c>
      <c r="O4910" s="56" t="n">
        <f aca="false">IF(D4910=1,"",E4909)</f>
        <v>18.6</v>
      </c>
      <c r="P4910" s="56" t="n">
        <f aca="false">IF(OR(D4910=1,K4909=""),"",K4909)</f>
        <v>1020.5</v>
      </c>
      <c r="Q4910" s="56" t="n">
        <f aca="false">IF(OR(F4910&lt;&gt;0,AND(I4910&lt;&gt;"",E4910&lt;I4910)),1,0)</f>
        <v>0</v>
      </c>
      <c r="R4910" s="56" t="n">
        <f aca="false">IF(AND(D4910&gt;1,Q4910=0,ISNUMBER(O4910),ISNUMBER(P4910)),IF(Q4909=0,1,0),0)</f>
        <v>1</v>
      </c>
      <c r="S4910" s="56" t="n">
        <f aca="false">R4910*(B4910&gt;=Train_Start)*(B4910&lt;=Train_End)</f>
        <v>0</v>
      </c>
      <c r="T4910" s="84" t="n">
        <f aca="false">IF(AND(ISNUMBER(O4910),ISNUMBER(P4910)),Coef_A+Coef_B1*O4910+Coef_B2*P4910,"")</f>
        <v>19.3396618865753</v>
      </c>
      <c r="U4910" s="84" t="n">
        <f aca="false">IF(AND(R4910=1,ISNUMBER(T4910)),E4910-T4910,"")</f>
        <v>-1.93966188657531</v>
      </c>
      <c r="V4910" s="84" t="n">
        <f aca="false">IF(ISNUMBER(T4910),T4910,-99)</f>
        <v>19.3396618865753</v>
      </c>
      <c r="W4910" s="84" t="n">
        <f aca="false">IF(ISNUMBER(U4910),ABS(U4910),"")</f>
        <v>1.93966188657531</v>
      </c>
    </row>
    <row r="4911" customFormat="false" ht="15" hidden="false" customHeight="false" outlineLevel="0" collapsed="false">
      <c r="A4911" s="57" t="n">
        <v>40677</v>
      </c>
      <c r="B4911" s="56" t="n">
        <v>2011</v>
      </c>
      <c r="C4911" s="56" t="n">
        <v>5</v>
      </c>
      <c r="D4911" s="56" t="n">
        <v>14</v>
      </c>
      <c r="E4911" s="56" t="n">
        <v>16</v>
      </c>
      <c r="F4911" s="56" t="n">
        <v>0</v>
      </c>
      <c r="G4911" s="56" t="n">
        <v>6.7</v>
      </c>
      <c r="H4911" s="56" t="n">
        <v>0</v>
      </c>
      <c r="I4911" s="56" t="n">
        <v>12.1</v>
      </c>
      <c r="J4911" s="56" t="n">
        <v>0</v>
      </c>
      <c r="K4911" s="56" t="n">
        <v>1020</v>
      </c>
      <c r="L4911" s="56" t="n">
        <v>0</v>
      </c>
      <c r="M4911" s="56" t="n">
        <v>62</v>
      </c>
      <c r="N4911" s="56" t="n">
        <v>7</v>
      </c>
      <c r="O4911" s="56" t="n">
        <f aca="false">IF(D4911=1,"",E4910)</f>
        <v>17.4</v>
      </c>
      <c r="P4911" s="56" t="n">
        <f aca="false">IF(OR(D4911=1,K4910=""),"",K4910)</f>
        <v>1020.1</v>
      </c>
      <c r="Q4911" s="56" t="n">
        <f aca="false">IF(OR(F4911&lt;&gt;0,AND(I4911&lt;&gt;"",E4911&lt;I4911)),1,0)</f>
        <v>0</v>
      </c>
      <c r="R4911" s="56" t="n">
        <f aca="false">IF(AND(D4911&gt;1,Q4911=0,ISNUMBER(O4911),ISNUMBER(P4911)),IF(Q4910=0,1,0),0)</f>
        <v>1</v>
      </c>
      <c r="S4911" s="56" t="n">
        <f aca="false">R4911*(B4911&gt;=Train_Start)*(B4911&lt;=Train_End)</f>
        <v>0</v>
      </c>
      <c r="T4911" s="84" t="n">
        <f aca="false">IF(AND(ISNUMBER(O4911),ISNUMBER(P4911)),Coef_A+Coef_B1*O4911+Coef_B2*P4911,"")</f>
        <v>18.3439068970705</v>
      </c>
      <c r="U4911" s="84" t="n">
        <f aca="false">IF(AND(R4911=1,ISNUMBER(T4911)),E4911-T4911,"")</f>
        <v>-2.34390689707052</v>
      </c>
      <c r="V4911" s="84" t="n">
        <f aca="false">IF(ISNUMBER(T4911),T4911,-99)</f>
        <v>18.3439068970705</v>
      </c>
      <c r="W4911" s="84" t="n">
        <f aca="false">IF(ISNUMBER(U4911),ABS(U4911),"")</f>
        <v>2.34390689707052</v>
      </c>
    </row>
    <row r="4912" customFormat="false" ht="15" hidden="false" customHeight="false" outlineLevel="0" collapsed="false">
      <c r="A4912" s="57" t="n">
        <v>40678</v>
      </c>
      <c r="B4912" s="56" t="n">
        <v>2011</v>
      </c>
      <c r="C4912" s="56" t="n">
        <v>5</v>
      </c>
      <c r="D4912" s="56" t="n">
        <v>15</v>
      </c>
      <c r="E4912" s="56" t="n">
        <v>20.1</v>
      </c>
      <c r="F4912" s="56" t="n">
        <v>0</v>
      </c>
      <c r="G4912" s="56" t="n">
        <v>8.2</v>
      </c>
      <c r="H4912" s="56" t="n">
        <v>0</v>
      </c>
      <c r="I4912" s="56" t="n">
        <v>12.1</v>
      </c>
      <c r="J4912" s="56" t="n">
        <v>0</v>
      </c>
      <c r="K4912" s="56" t="n">
        <v>1025.2</v>
      </c>
      <c r="L4912" s="56" t="n">
        <v>0</v>
      </c>
      <c r="M4912" s="56" t="n">
        <v>64</v>
      </c>
      <c r="N4912" s="56" t="n">
        <v>4.4</v>
      </c>
      <c r="O4912" s="56" t="n">
        <f aca="false">IF(D4912=1,"",E4911)</f>
        <v>16</v>
      </c>
      <c r="P4912" s="56" t="n">
        <f aca="false">IF(OR(D4912=1,K4911=""),"",K4911)</f>
        <v>1020</v>
      </c>
      <c r="Q4912" s="56" t="n">
        <f aca="false">IF(OR(F4912&lt;&gt;0,AND(I4912&lt;&gt;"",E4912&lt;I4912)),1,0)</f>
        <v>0</v>
      </c>
      <c r="R4912" s="56" t="n">
        <f aca="false">IF(AND(D4912&gt;1,Q4912=0,ISNUMBER(O4912),ISNUMBER(P4912)),IF(Q4911=0,1,0),0)</f>
        <v>1</v>
      </c>
      <c r="S4912" s="56" t="n">
        <f aca="false">R4912*(B4912&gt;=Train_Start)*(B4912&lt;=Train_End)</f>
        <v>0</v>
      </c>
      <c r="T4912" s="84" t="n">
        <f aca="false">IF(AND(ISNUMBER(O4912),ISNUMBER(P4912)),Coef_A+Coef_B1*O4912+Coef_B2*P4912,"")</f>
        <v>17.1936950373474</v>
      </c>
      <c r="U4912" s="84" t="n">
        <f aca="false">IF(AND(R4912=1,ISNUMBER(T4912)),E4912-T4912,"")</f>
        <v>2.90630496265261</v>
      </c>
      <c r="V4912" s="84" t="n">
        <f aca="false">IF(ISNUMBER(T4912),T4912,-99)</f>
        <v>17.1936950373474</v>
      </c>
      <c r="W4912" s="84" t="n">
        <f aca="false">IF(ISNUMBER(U4912),ABS(U4912),"")</f>
        <v>2.90630496265261</v>
      </c>
    </row>
    <row r="4913" customFormat="false" ht="15" hidden="false" customHeight="false" outlineLevel="0" collapsed="false">
      <c r="A4913" s="57" t="n">
        <v>40679</v>
      </c>
      <c r="B4913" s="56" t="n">
        <v>2011</v>
      </c>
      <c r="C4913" s="56" t="n">
        <v>5</v>
      </c>
      <c r="D4913" s="56" t="n">
        <v>16</v>
      </c>
      <c r="E4913" s="56" t="n">
        <v>18.7</v>
      </c>
      <c r="F4913" s="56" t="n">
        <v>0</v>
      </c>
      <c r="G4913" s="56" t="n">
        <v>10.9</v>
      </c>
      <c r="H4913" s="56" t="n">
        <v>0</v>
      </c>
      <c r="I4913" s="56" t="n">
        <v>15.5</v>
      </c>
      <c r="J4913" s="56" t="n">
        <v>0</v>
      </c>
      <c r="K4913" s="56" t="n">
        <v>1023.1</v>
      </c>
      <c r="L4913" s="56" t="n">
        <v>0</v>
      </c>
      <c r="M4913" s="56" t="n">
        <v>67</v>
      </c>
      <c r="N4913" s="56" t="n">
        <v>1.2</v>
      </c>
      <c r="O4913" s="56" t="n">
        <f aca="false">IF(D4913=1,"",E4912)</f>
        <v>20.1</v>
      </c>
      <c r="P4913" s="56" t="n">
        <f aca="false">IF(OR(D4913=1,K4912=""),"",K4912)</f>
        <v>1025.2</v>
      </c>
      <c r="Q4913" s="56" t="n">
        <f aca="false">IF(OR(F4913&lt;&gt;0,AND(I4913&lt;&gt;"",E4913&lt;I4913)),1,0)</f>
        <v>0</v>
      </c>
      <c r="R4913" s="56" t="n">
        <f aca="false">IF(AND(D4913&gt;1,Q4913=0,ISNUMBER(O4913),ISNUMBER(P4913)),IF(Q4912=0,1,0),0)</f>
        <v>1</v>
      </c>
      <c r="S4913" s="56" t="n">
        <f aca="false">R4913*(B4913&gt;=Train_Start)*(B4913&lt;=Train_End)</f>
        <v>0</v>
      </c>
      <c r="T4913" s="84" t="n">
        <f aca="false">IF(AND(ISNUMBER(O4913),ISNUMBER(P4913)),Coef_A+Coef_B1*O4913+Coef_B2*P4913,"")</f>
        <v>20.716109180919</v>
      </c>
      <c r="U4913" s="84" t="n">
        <f aca="false">IF(AND(R4913=1,ISNUMBER(T4913)),E4913-T4913,"")</f>
        <v>-2.01610918091905</v>
      </c>
      <c r="V4913" s="84" t="n">
        <f aca="false">IF(ISNUMBER(T4913),T4913,-99)</f>
        <v>20.716109180919</v>
      </c>
      <c r="W4913" s="84" t="n">
        <f aca="false">IF(ISNUMBER(U4913),ABS(U4913),"")</f>
        <v>2.01610918091905</v>
      </c>
    </row>
    <row r="4914" customFormat="false" ht="15" hidden="false" customHeight="false" outlineLevel="0" collapsed="false">
      <c r="A4914" s="57" t="n">
        <v>40680</v>
      </c>
      <c r="B4914" s="56" t="n">
        <v>2011</v>
      </c>
      <c r="C4914" s="56" t="n">
        <v>5</v>
      </c>
      <c r="D4914" s="56" t="n">
        <v>17</v>
      </c>
      <c r="E4914" s="56" t="n">
        <v>20.3</v>
      </c>
      <c r="F4914" s="56" t="n">
        <v>0</v>
      </c>
      <c r="G4914" s="56" t="n">
        <v>10.7</v>
      </c>
      <c r="H4914" s="56" t="n">
        <v>0</v>
      </c>
      <c r="I4914" s="56" t="n">
        <v>14.7</v>
      </c>
      <c r="J4914" s="56" t="n">
        <v>0</v>
      </c>
      <c r="K4914" s="56" t="n">
        <v>1020.1</v>
      </c>
      <c r="L4914" s="56" t="n">
        <v>0</v>
      </c>
      <c r="M4914" s="56" t="n">
        <v>73</v>
      </c>
      <c r="N4914" s="56" t="n">
        <v>2.1</v>
      </c>
      <c r="O4914" s="56" t="n">
        <f aca="false">IF(D4914=1,"",E4913)</f>
        <v>18.7</v>
      </c>
      <c r="P4914" s="56" t="n">
        <f aca="false">IF(OR(D4914=1,K4913=""),"",K4913)</f>
        <v>1023.1</v>
      </c>
      <c r="Q4914" s="56" t="n">
        <f aca="false">IF(OR(F4914&lt;&gt;0,AND(I4914&lt;&gt;"",E4914&lt;I4914)),1,0)</f>
        <v>0</v>
      </c>
      <c r="R4914" s="56" t="n">
        <f aca="false">IF(AND(D4914&gt;1,Q4914=0,ISNUMBER(O4914),ISNUMBER(P4914)),IF(Q4913=0,1,0),0)</f>
        <v>1</v>
      </c>
      <c r="S4914" s="56" t="n">
        <f aca="false">R4914*(B4914&gt;=Train_Start)*(B4914&lt;=Train_End)</f>
        <v>0</v>
      </c>
      <c r="T4914" s="84" t="n">
        <f aca="false">IF(AND(ISNUMBER(O4914),ISNUMBER(P4914)),Coef_A+Coef_B1*O4914+Coef_B2*P4914,"")</f>
        <v>19.5031575319279</v>
      </c>
      <c r="U4914" s="84" t="n">
        <f aca="false">IF(AND(R4914=1,ISNUMBER(T4914)),E4914-T4914,"")</f>
        <v>0.796842468072061</v>
      </c>
      <c r="V4914" s="84" t="n">
        <f aca="false">IF(ISNUMBER(T4914),T4914,-99)</f>
        <v>19.5031575319279</v>
      </c>
      <c r="W4914" s="84" t="n">
        <f aca="false">IF(ISNUMBER(U4914),ABS(U4914),"")</f>
        <v>0.796842468072061</v>
      </c>
    </row>
    <row r="4915" customFormat="false" ht="15" hidden="false" customHeight="false" outlineLevel="0" collapsed="false">
      <c r="A4915" s="57" t="n">
        <v>40681</v>
      </c>
      <c r="B4915" s="56" t="n">
        <v>2011</v>
      </c>
      <c r="C4915" s="56" t="n">
        <v>5</v>
      </c>
      <c r="D4915" s="56" t="n">
        <v>18</v>
      </c>
      <c r="E4915" s="56" t="n">
        <v>20.5</v>
      </c>
      <c r="F4915" s="56" t="n">
        <v>0</v>
      </c>
      <c r="G4915" s="56" t="n">
        <v>12.8</v>
      </c>
      <c r="H4915" s="56" t="n">
        <v>0</v>
      </c>
      <c r="I4915" s="56" t="n">
        <v>16.6</v>
      </c>
      <c r="J4915" s="56" t="n">
        <v>0</v>
      </c>
      <c r="K4915" s="56" t="n">
        <v>1015.1</v>
      </c>
      <c r="L4915" s="56" t="n">
        <v>0</v>
      </c>
      <c r="M4915" s="56" t="n">
        <v>81</v>
      </c>
      <c r="N4915" s="56" t="n">
        <v>0.6</v>
      </c>
      <c r="O4915" s="56" t="n">
        <f aca="false">IF(D4915=1,"",E4914)</f>
        <v>20.3</v>
      </c>
      <c r="P4915" s="56" t="n">
        <f aca="false">IF(OR(D4915=1,K4914=""),"",K4914)</f>
        <v>1020.1</v>
      </c>
      <c r="Q4915" s="56" t="n">
        <f aca="false">IF(OR(F4915&lt;&gt;0,AND(I4915&lt;&gt;"",E4915&lt;I4915)),1,0)</f>
        <v>0</v>
      </c>
      <c r="R4915" s="56" t="n">
        <f aca="false">IF(AND(D4915&gt;1,Q4915=0,ISNUMBER(O4915),ISNUMBER(P4915)),IF(Q4914=0,1,0),0)</f>
        <v>1</v>
      </c>
      <c r="S4915" s="56" t="n">
        <f aca="false">R4915*(B4915&gt;=Train_Start)*(B4915&lt;=Train_End)</f>
        <v>0</v>
      </c>
      <c r="T4915" s="84" t="n">
        <f aca="false">IF(AND(ISNUMBER(O4915),ISNUMBER(P4915)),Coef_A+Coef_B1*O4915+Coef_B2*P4915,"")</f>
        <v>20.7199905568942</v>
      </c>
      <c r="U4915" s="84" t="n">
        <f aca="false">IF(AND(R4915=1,ISNUMBER(T4915)),E4915-T4915,"")</f>
        <v>-0.219990556894224</v>
      </c>
      <c r="V4915" s="84" t="n">
        <f aca="false">IF(ISNUMBER(T4915),T4915,-99)</f>
        <v>20.7199905568942</v>
      </c>
      <c r="W4915" s="84" t="n">
        <f aca="false">IF(ISNUMBER(U4915),ABS(U4915),"")</f>
        <v>0.219990556894224</v>
      </c>
    </row>
    <row r="4916" customFormat="false" ht="15" hidden="false" customHeight="false" outlineLevel="0" collapsed="false">
      <c r="A4916" s="57" t="n">
        <v>40682</v>
      </c>
      <c r="B4916" s="56" t="n">
        <v>2011</v>
      </c>
      <c r="C4916" s="56" t="n">
        <v>5</v>
      </c>
      <c r="D4916" s="56" t="n">
        <v>19</v>
      </c>
      <c r="E4916" s="56" t="n">
        <v>19.3</v>
      </c>
      <c r="F4916" s="56" t="n">
        <v>0</v>
      </c>
      <c r="G4916" s="56" t="n">
        <v>6.8</v>
      </c>
      <c r="H4916" s="56" t="n">
        <v>0</v>
      </c>
      <c r="I4916" s="56" t="n">
        <v>13.7</v>
      </c>
      <c r="J4916" s="56" t="n">
        <v>0</v>
      </c>
      <c r="K4916" s="56" t="n">
        <v>1017.9</v>
      </c>
      <c r="L4916" s="56" t="n">
        <v>0</v>
      </c>
      <c r="M4916" s="56" t="n">
        <v>62</v>
      </c>
      <c r="N4916" s="56" t="n">
        <v>11.2</v>
      </c>
      <c r="O4916" s="56" t="n">
        <f aca="false">IF(D4916=1,"",E4915)</f>
        <v>20.5</v>
      </c>
      <c r="P4916" s="56" t="n">
        <f aca="false">IF(OR(D4916=1,K4915=""),"",K4915)</f>
        <v>1015.1</v>
      </c>
      <c r="Q4916" s="56" t="n">
        <f aca="false">IF(OR(F4916&lt;&gt;0,AND(I4916&lt;&gt;"",E4916&lt;I4916)),1,0)</f>
        <v>0</v>
      </c>
      <c r="R4916" s="56" t="n">
        <f aca="false">IF(AND(D4916&gt;1,Q4916=0,ISNUMBER(O4916),ISNUMBER(P4916)),IF(Q4915=0,1,0),0)</f>
        <v>1</v>
      </c>
      <c r="S4916" s="56" t="n">
        <f aca="false">R4916*(B4916&gt;=Train_Start)*(B4916&lt;=Train_End)</f>
        <v>0</v>
      </c>
      <c r="T4916" s="84" t="n">
        <f aca="false">IF(AND(ISNUMBER(O4916),ISNUMBER(P4916)),Coef_A+Coef_B1*O4916+Coef_B2*P4916,"")</f>
        <v>20.7270089223328</v>
      </c>
      <c r="U4916" s="84" t="n">
        <f aca="false">IF(AND(R4916=1,ISNUMBER(T4916)),E4916-T4916,"")</f>
        <v>-1.42700892233281</v>
      </c>
      <c r="V4916" s="84" t="n">
        <f aca="false">IF(ISNUMBER(T4916),T4916,-99)</f>
        <v>20.7270089223328</v>
      </c>
      <c r="W4916" s="84" t="n">
        <f aca="false">IF(ISNUMBER(U4916),ABS(U4916),"")</f>
        <v>1.42700892233281</v>
      </c>
    </row>
    <row r="4917" customFormat="false" ht="15" hidden="false" customHeight="false" outlineLevel="0" collapsed="false">
      <c r="A4917" s="57" t="n">
        <v>40683</v>
      </c>
      <c r="B4917" s="56" t="n">
        <v>2011</v>
      </c>
      <c r="C4917" s="56" t="n">
        <v>5</v>
      </c>
      <c r="D4917" s="56" t="n">
        <v>20</v>
      </c>
      <c r="E4917" s="56" t="n">
        <v>21.5</v>
      </c>
      <c r="F4917" s="56" t="n">
        <v>0</v>
      </c>
      <c r="G4917" s="56" t="n">
        <v>9.8</v>
      </c>
      <c r="H4917" s="56" t="n">
        <v>0</v>
      </c>
      <c r="I4917" s="56" t="n">
        <v>14.6</v>
      </c>
      <c r="J4917" s="56" t="n">
        <v>0</v>
      </c>
      <c r="K4917" s="56" t="n">
        <v>1019.2</v>
      </c>
      <c r="L4917" s="56" t="n">
        <v>0</v>
      </c>
      <c r="M4917" s="56" t="n">
        <v>59</v>
      </c>
      <c r="N4917" s="56" t="n">
        <v>7.2</v>
      </c>
      <c r="O4917" s="56" t="n">
        <f aca="false">IF(D4917=1,"",E4916)</f>
        <v>19.3</v>
      </c>
      <c r="P4917" s="56" t="n">
        <f aca="false">IF(OR(D4917=1,K4916=""),"",K4916)</f>
        <v>1017.9</v>
      </c>
      <c r="Q4917" s="56" t="n">
        <f aca="false">IF(OR(F4917&lt;&gt;0,AND(I4917&lt;&gt;"",E4917&lt;I4917)),1,0)</f>
        <v>0</v>
      </c>
      <c r="R4917" s="56" t="n">
        <f aca="false">IF(AND(D4917&gt;1,Q4917=0,ISNUMBER(O4917),ISNUMBER(P4917)),IF(Q4916=0,1,0),0)</f>
        <v>1</v>
      </c>
      <c r="S4917" s="56" t="n">
        <f aca="false">R4917*(B4917&gt;=Train_Start)*(B4917&lt;=Train_End)</f>
        <v>0</v>
      </c>
      <c r="T4917" s="84" t="n">
        <f aca="false">IF(AND(ISNUMBER(O4917),ISNUMBER(P4917)),Coef_A+Coef_B1*O4917+Coef_B2*P4917,"")</f>
        <v>19.8316375956568</v>
      </c>
      <c r="U4917" s="84" t="n">
        <f aca="false">IF(AND(R4917=1,ISNUMBER(T4917)),E4917-T4917,"")</f>
        <v>1.66836240434321</v>
      </c>
      <c r="V4917" s="84" t="n">
        <f aca="false">IF(ISNUMBER(T4917),T4917,-99)</f>
        <v>19.8316375956568</v>
      </c>
      <c r="W4917" s="84" t="n">
        <f aca="false">IF(ISNUMBER(U4917),ABS(U4917),"")</f>
        <v>1.66836240434321</v>
      </c>
    </row>
    <row r="4918" customFormat="false" ht="15" hidden="false" customHeight="false" outlineLevel="0" collapsed="false">
      <c r="A4918" s="57" t="n">
        <v>40684</v>
      </c>
      <c r="B4918" s="56" t="n">
        <v>2011</v>
      </c>
      <c r="C4918" s="56" t="n">
        <v>5</v>
      </c>
      <c r="D4918" s="56" t="n">
        <v>21</v>
      </c>
      <c r="E4918" s="56" t="n">
        <v>20</v>
      </c>
      <c r="F4918" s="56" t="n">
        <v>0</v>
      </c>
      <c r="G4918" s="56" t="n">
        <v>8.7</v>
      </c>
      <c r="H4918" s="56" t="n">
        <v>0</v>
      </c>
      <c r="I4918" s="56" t="n">
        <v>15.1</v>
      </c>
      <c r="J4918" s="56" t="n">
        <v>0</v>
      </c>
      <c r="K4918" s="56" t="n">
        <v>1019.1</v>
      </c>
      <c r="L4918" s="56" t="n">
        <v>0</v>
      </c>
      <c r="M4918" s="56" t="n">
        <v>60</v>
      </c>
      <c r="N4918" s="56" t="n">
        <v>11.9</v>
      </c>
      <c r="O4918" s="56" t="n">
        <f aca="false">IF(D4918=1,"",E4917)</f>
        <v>21.5</v>
      </c>
      <c r="P4918" s="56" t="n">
        <f aca="false">IF(OR(D4918=1,K4917=""),"",K4917)</f>
        <v>1019.2</v>
      </c>
      <c r="Q4918" s="56" t="n">
        <f aca="false">IF(OR(F4918&lt;&gt;0,AND(I4918&lt;&gt;"",E4918&lt;I4918)),1,0)</f>
        <v>0</v>
      </c>
      <c r="R4918" s="56" t="n">
        <f aca="false">IF(AND(D4918&gt;1,Q4918=0,ISNUMBER(O4918),ISNUMBER(P4918)),IF(Q4917=0,1,0),0)</f>
        <v>1</v>
      </c>
      <c r="S4918" s="56" t="n">
        <f aca="false">R4918*(B4918&gt;=Train_Start)*(B4918&lt;=Train_End)</f>
        <v>0</v>
      </c>
      <c r="T4918" s="84" t="n">
        <f aca="false">IF(AND(ISNUMBER(O4918),ISNUMBER(P4918)),Coef_A+Coef_B1*O4918+Coef_B2*P4918,"")</f>
        <v>21.6749646833748</v>
      </c>
      <c r="U4918" s="84" t="n">
        <f aca="false">IF(AND(R4918=1,ISNUMBER(T4918)),E4918-T4918,"")</f>
        <v>-1.67496468337482</v>
      </c>
      <c r="V4918" s="84" t="n">
        <f aca="false">IF(ISNUMBER(T4918),T4918,-99)</f>
        <v>21.6749646833748</v>
      </c>
      <c r="W4918" s="84" t="n">
        <f aca="false">IF(ISNUMBER(U4918),ABS(U4918),"")</f>
        <v>1.67496468337482</v>
      </c>
    </row>
    <row r="4919" customFormat="false" ht="15" hidden="false" customHeight="false" outlineLevel="0" collapsed="false">
      <c r="A4919" s="57" t="n">
        <v>40685</v>
      </c>
      <c r="B4919" s="56" t="n">
        <v>2011</v>
      </c>
      <c r="C4919" s="56" t="n">
        <v>5</v>
      </c>
      <c r="D4919" s="56" t="n">
        <v>22</v>
      </c>
      <c r="E4919" s="56" t="n">
        <v>19.8</v>
      </c>
      <c r="F4919" s="56" t="n">
        <v>0</v>
      </c>
      <c r="G4919" s="56" t="n">
        <v>11.2</v>
      </c>
      <c r="H4919" s="56" t="n">
        <v>0</v>
      </c>
      <c r="I4919" s="56" t="n">
        <v>15.6</v>
      </c>
      <c r="J4919" s="56" t="n">
        <v>0</v>
      </c>
      <c r="K4919" s="56" t="n">
        <v>1016.4</v>
      </c>
      <c r="L4919" s="56" t="n">
        <v>0</v>
      </c>
      <c r="M4919" s="56" t="n">
        <v>61</v>
      </c>
      <c r="N4919" s="56" t="n">
        <v>10.2</v>
      </c>
      <c r="O4919" s="56" t="n">
        <f aca="false">IF(D4919=1,"",E4918)</f>
        <v>20</v>
      </c>
      <c r="P4919" s="56" t="n">
        <f aca="false">IF(OR(D4919=1,K4918=""),"",K4918)</f>
        <v>1019.1</v>
      </c>
      <c r="Q4919" s="56" t="n">
        <f aca="false">IF(OR(F4919&lt;&gt;0,AND(I4919&lt;&gt;"",E4919&lt;I4919)),1,0)</f>
        <v>0</v>
      </c>
      <c r="R4919" s="56" t="n">
        <f aca="false">IF(AND(D4919&gt;1,Q4919=0,ISNUMBER(O4919),ISNUMBER(P4919)),IF(Q4918=0,1,0),0)</f>
        <v>1</v>
      </c>
      <c r="S4919" s="56" t="n">
        <f aca="false">R4919*(B4919&gt;=Train_Start)*(B4919&lt;=Train_End)</f>
        <v>0</v>
      </c>
      <c r="T4919" s="84" t="n">
        <f aca="false">IF(AND(ISNUMBER(O4919),ISNUMBER(P4919)),Coef_A+Coef_B1*O4919+Coef_B2*P4919,"")</f>
        <v>20.4428189043474</v>
      </c>
      <c r="U4919" s="84" t="n">
        <f aca="false">IF(AND(R4919=1,ISNUMBER(T4919)),E4919-T4919,"")</f>
        <v>-0.642818904347436</v>
      </c>
      <c r="V4919" s="84" t="n">
        <f aca="false">IF(ISNUMBER(T4919),T4919,-99)</f>
        <v>20.4428189043474</v>
      </c>
      <c r="W4919" s="84" t="n">
        <f aca="false">IF(ISNUMBER(U4919),ABS(U4919),"")</f>
        <v>0.642818904347436</v>
      </c>
    </row>
    <row r="4920" customFormat="false" ht="15" hidden="false" customHeight="false" outlineLevel="0" collapsed="false">
      <c r="A4920" s="57" t="n">
        <v>40686</v>
      </c>
      <c r="B4920" s="56" t="n">
        <v>2011</v>
      </c>
      <c r="C4920" s="56" t="n">
        <v>5</v>
      </c>
      <c r="D4920" s="56" t="n">
        <v>23</v>
      </c>
      <c r="E4920" s="56" t="n">
        <v>19.4</v>
      </c>
      <c r="F4920" s="56" t="n">
        <v>0</v>
      </c>
      <c r="G4920" s="56" t="n">
        <v>9.2</v>
      </c>
      <c r="H4920" s="56" t="n">
        <v>0</v>
      </c>
      <c r="I4920" s="56" t="n">
        <v>14.5</v>
      </c>
      <c r="J4920" s="56" t="n">
        <v>0</v>
      </c>
      <c r="K4920" s="56" t="n">
        <v>1020.1</v>
      </c>
      <c r="L4920" s="56" t="n">
        <v>0</v>
      </c>
      <c r="M4920" s="56" t="n">
        <v>69</v>
      </c>
      <c r="N4920" s="56" t="n">
        <v>5</v>
      </c>
      <c r="O4920" s="56" t="n">
        <f aca="false">IF(D4920=1,"",E4919)</f>
        <v>19.8</v>
      </c>
      <c r="P4920" s="56" t="n">
        <f aca="false">IF(OR(D4920=1,K4919=""),"",K4919)</f>
        <v>1016.4</v>
      </c>
      <c r="Q4920" s="56" t="n">
        <f aca="false">IF(OR(F4920&lt;&gt;0,AND(I4920&lt;&gt;"",E4920&lt;I4920)),1,0)</f>
        <v>0</v>
      </c>
      <c r="R4920" s="56" t="n">
        <f aca="false">IF(AND(D4920&gt;1,Q4920=0,ISNUMBER(O4920),ISNUMBER(P4920)),IF(Q4919=0,1,0),0)</f>
        <v>1</v>
      </c>
      <c r="S4920" s="56" t="n">
        <f aca="false">R4920*(B4920&gt;=Train_Start)*(B4920&lt;=Train_End)</f>
        <v>0</v>
      </c>
      <c r="T4920" s="84" t="n">
        <f aca="false">IF(AND(ISNUMBER(O4920),ISNUMBER(P4920)),Coef_A+Coef_B1*O4920+Coef_B2*P4920,"")</f>
        <v>20.1942523502271</v>
      </c>
      <c r="U4920" s="84" t="n">
        <f aca="false">IF(AND(R4920=1,ISNUMBER(T4920)),E4920-T4920,"")</f>
        <v>-0.79425235022714</v>
      </c>
      <c r="V4920" s="84" t="n">
        <f aca="false">IF(ISNUMBER(T4920),T4920,-99)</f>
        <v>20.1942523502271</v>
      </c>
      <c r="W4920" s="84" t="n">
        <f aca="false">IF(ISNUMBER(U4920),ABS(U4920),"")</f>
        <v>0.79425235022714</v>
      </c>
    </row>
    <row r="4921" customFormat="false" ht="15" hidden="false" customHeight="false" outlineLevel="0" collapsed="false">
      <c r="A4921" s="57" t="n">
        <v>40687</v>
      </c>
      <c r="B4921" s="56" t="n">
        <v>2011</v>
      </c>
      <c r="C4921" s="56" t="n">
        <v>5</v>
      </c>
      <c r="D4921" s="56" t="n">
        <v>24</v>
      </c>
      <c r="E4921" s="56" t="n">
        <v>20.5</v>
      </c>
      <c r="F4921" s="56" t="n">
        <v>0</v>
      </c>
      <c r="G4921" s="56" t="n">
        <v>7.6</v>
      </c>
      <c r="H4921" s="56" t="n">
        <v>0</v>
      </c>
      <c r="I4921" s="56" t="n">
        <v>13.5</v>
      </c>
      <c r="J4921" s="56" t="n">
        <v>0</v>
      </c>
      <c r="K4921" s="56" t="n">
        <v>1025.7</v>
      </c>
      <c r="L4921" s="56" t="n">
        <v>0</v>
      </c>
      <c r="M4921" s="56" t="n">
        <v>51</v>
      </c>
      <c r="N4921" s="56" t="n">
        <v>12.3</v>
      </c>
      <c r="O4921" s="56" t="n">
        <f aca="false">IF(D4921=1,"",E4920)</f>
        <v>19.4</v>
      </c>
      <c r="P4921" s="56" t="n">
        <f aca="false">IF(OR(D4921=1,K4920=""),"",K4920)</f>
        <v>1020.1</v>
      </c>
      <c r="Q4921" s="56" t="n">
        <f aca="false">IF(OR(F4921&lt;&gt;0,AND(I4921&lt;&gt;"",E4921&lt;I4921)),1,0)</f>
        <v>0</v>
      </c>
      <c r="R4921" s="56" t="n">
        <f aca="false">IF(AND(D4921&gt;1,Q4921=0,ISNUMBER(O4921),ISNUMBER(P4921)),IF(Q4920=0,1,0),0)</f>
        <v>1</v>
      </c>
      <c r="S4921" s="56" t="n">
        <f aca="false">R4921*(B4921&gt;=Train_Start)*(B4921&lt;=Train_End)</f>
        <v>0</v>
      </c>
      <c r="T4921" s="84" t="n">
        <f aca="false">IF(AND(ISNUMBER(O4921),ISNUMBER(P4921)),Coef_A+Coef_B1*O4921+Coef_B2*P4921,"")</f>
        <v>19.9825852831558</v>
      </c>
      <c r="U4921" s="84" t="n">
        <f aca="false">IF(AND(R4921=1,ISNUMBER(T4921)),E4921-T4921,"")</f>
        <v>0.517414716844169</v>
      </c>
      <c r="V4921" s="84" t="n">
        <f aca="false">IF(ISNUMBER(T4921),T4921,-99)</f>
        <v>19.9825852831558</v>
      </c>
      <c r="W4921" s="84" t="n">
        <f aca="false">IF(ISNUMBER(U4921),ABS(U4921),"")</f>
        <v>0.517414716844169</v>
      </c>
    </row>
    <row r="4922" customFormat="false" ht="15" hidden="false" customHeight="false" outlineLevel="0" collapsed="false">
      <c r="A4922" s="57" t="n">
        <v>40688</v>
      </c>
      <c r="B4922" s="56" t="n">
        <v>2011</v>
      </c>
      <c r="C4922" s="56" t="n">
        <v>5</v>
      </c>
      <c r="D4922" s="56" t="n">
        <v>25</v>
      </c>
      <c r="E4922" s="56" t="n">
        <v>17</v>
      </c>
      <c r="F4922" s="56" t="n">
        <v>0</v>
      </c>
      <c r="G4922" s="56" t="n">
        <v>6.4</v>
      </c>
      <c r="H4922" s="56" t="n">
        <v>0</v>
      </c>
      <c r="I4922" s="56" t="n">
        <v>13.5</v>
      </c>
      <c r="J4922" s="56" t="n">
        <v>0</v>
      </c>
      <c r="K4922" s="56" t="n">
        <v>1022</v>
      </c>
      <c r="L4922" s="56" t="n">
        <v>0</v>
      </c>
      <c r="M4922" s="56" t="n">
        <v>53</v>
      </c>
      <c r="N4922" s="56" t="n">
        <v>12.7</v>
      </c>
      <c r="O4922" s="56" t="n">
        <f aca="false">IF(D4922=1,"",E4921)</f>
        <v>20.5</v>
      </c>
      <c r="P4922" s="56" t="n">
        <f aca="false">IF(OR(D4922=1,K4921=""),"",K4921)</f>
        <v>1025.7</v>
      </c>
      <c r="Q4922" s="56" t="n">
        <f aca="false">IF(OR(F4922&lt;&gt;0,AND(I4922&lt;&gt;"",E4922&lt;I4922)),1,0)</f>
        <v>0</v>
      </c>
      <c r="R4922" s="56" t="n">
        <f aca="false">IF(AND(D4922&gt;1,Q4922=0,ISNUMBER(O4922),ISNUMBER(P4922)),IF(Q4921=0,1,0),0)</f>
        <v>1</v>
      </c>
      <c r="S4922" s="56" t="n">
        <f aca="false">R4922*(B4922&gt;=Train_Start)*(B4922&lt;=Train_End)</f>
        <v>0</v>
      </c>
      <c r="T4922" s="84" t="n">
        <f aca="false">IF(AND(ISNUMBER(O4922),ISNUMBER(P4922)),Coef_A+Coef_B1*O4922+Coef_B2*P4922,"")</f>
        <v>21.0595298054531</v>
      </c>
      <c r="U4922" s="84" t="n">
        <f aca="false">IF(AND(R4922=1,ISNUMBER(T4922)),E4922-T4922,"")</f>
        <v>-4.0595298054531</v>
      </c>
      <c r="V4922" s="84" t="n">
        <f aca="false">IF(ISNUMBER(T4922),T4922,-99)</f>
        <v>21.0595298054531</v>
      </c>
      <c r="W4922" s="84" t="n">
        <f aca="false">IF(ISNUMBER(U4922),ABS(U4922),"")</f>
        <v>4.0595298054531</v>
      </c>
    </row>
    <row r="4923" customFormat="false" ht="15" hidden="false" customHeight="false" outlineLevel="0" collapsed="false">
      <c r="A4923" s="57" t="n">
        <v>40689</v>
      </c>
      <c r="B4923" s="56" t="n">
        <v>2011</v>
      </c>
      <c r="C4923" s="56" t="n">
        <v>5</v>
      </c>
      <c r="D4923" s="56" t="n">
        <v>26</v>
      </c>
      <c r="E4923" s="56" t="n">
        <v>16.4</v>
      </c>
      <c r="F4923" s="56" t="n">
        <v>0</v>
      </c>
      <c r="G4923" s="56" t="n">
        <v>11.2</v>
      </c>
      <c r="H4923" s="56" t="n">
        <v>0</v>
      </c>
      <c r="I4923" s="56" t="n">
        <v>14.1</v>
      </c>
      <c r="J4923" s="56" t="n">
        <v>0</v>
      </c>
      <c r="K4923" s="56" t="n">
        <v>1008.2</v>
      </c>
      <c r="L4923" s="56" t="n">
        <v>0</v>
      </c>
      <c r="M4923" s="56" t="n">
        <v>73</v>
      </c>
      <c r="N4923" s="56" t="n">
        <v>2.6</v>
      </c>
      <c r="O4923" s="56" t="n">
        <f aca="false">IF(D4923=1,"",E4922)</f>
        <v>17</v>
      </c>
      <c r="P4923" s="56" t="n">
        <f aca="false">IF(OR(D4923=1,K4922=""),"",K4922)</f>
        <v>1022</v>
      </c>
      <c r="Q4923" s="56" t="n">
        <f aca="false">IF(OR(F4923&lt;&gt;0,AND(I4923&lt;&gt;"",E4923&lt;I4923)),1,0)</f>
        <v>0</v>
      </c>
      <c r="R4923" s="56" t="n">
        <f aca="false">IF(AND(D4923&gt;1,Q4923=0,ISNUMBER(O4923),ISNUMBER(P4923)),IF(Q4922=0,1,0),0)</f>
        <v>1</v>
      </c>
      <c r="S4923" s="56" t="n">
        <f aca="false">R4923*(B4923&gt;=Train_Start)*(B4923&lt;=Train_End)</f>
        <v>0</v>
      </c>
      <c r="T4923" s="84" t="n">
        <f aca="false">IF(AND(ISNUMBER(O4923),ISNUMBER(P4923)),Coef_A+Coef_B1*O4923+Coef_B2*P4923,"")</f>
        <v>18.075774019658</v>
      </c>
      <c r="U4923" s="84" t="n">
        <f aca="false">IF(AND(R4923=1,ISNUMBER(T4923)),E4923-T4923,"")</f>
        <v>-1.67577401965804</v>
      </c>
      <c r="V4923" s="84" t="n">
        <f aca="false">IF(ISNUMBER(T4923),T4923,-99)</f>
        <v>18.075774019658</v>
      </c>
      <c r="W4923" s="84" t="n">
        <f aca="false">IF(ISNUMBER(U4923),ABS(U4923),"")</f>
        <v>1.67577401965804</v>
      </c>
    </row>
    <row r="4924" customFormat="false" ht="15" hidden="false" customHeight="false" outlineLevel="0" collapsed="false">
      <c r="A4924" s="57" t="n">
        <v>40690</v>
      </c>
      <c r="B4924" s="56" t="n">
        <v>2011</v>
      </c>
      <c r="C4924" s="56" t="n">
        <v>5</v>
      </c>
      <c r="D4924" s="56" t="n">
        <v>27</v>
      </c>
      <c r="E4924" s="56" t="n">
        <v>17.6</v>
      </c>
      <c r="F4924" s="56" t="n">
        <v>0</v>
      </c>
      <c r="G4924" s="56" t="n">
        <v>10.3</v>
      </c>
      <c r="H4924" s="56" t="n">
        <v>0</v>
      </c>
      <c r="I4924" s="56" t="n">
        <v>13.4</v>
      </c>
      <c r="J4924" s="56" t="n">
        <v>0</v>
      </c>
      <c r="K4924" s="56" t="n">
        <v>1017.3</v>
      </c>
      <c r="L4924" s="56" t="n">
        <v>0</v>
      </c>
      <c r="M4924" s="56" t="n">
        <v>64</v>
      </c>
      <c r="N4924" s="56" t="n">
        <v>2.7</v>
      </c>
      <c r="O4924" s="56" t="n">
        <f aca="false">IF(D4924=1,"",E4923)</f>
        <v>16.4</v>
      </c>
      <c r="P4924" s="56" t="n">
        <f aca="false">IF(OR(D4924=1,K4923=""),"",K4923)</f>
        <v>1008.2</v>
      </c>
      <c r="Q4924" s="56" t="n">
        <f aca="false">IF(OR(F4924&lt;&gt;0,AND(I4924&lt;&gt;"",E4924&lt;I4924)),1,0)</f>
        <v>0</v>
      </c>
      <c r="R4924" s="56" t="n">
        <f aca="false">IF(AND(D4924&gt;1,Q4924=0,ISNUMBER(O4924),ISNUMBER(P4924)),IF(Q4923=0,1,0),0)</f>
        <v>1</v>
      </c>
      <c r="S4924" s="56" t="n">
        <f aca="false">R4924*(B4924&gt;=Train_Start)*(B4924&lt;=Train_End)</f>
        <v>0</v>
      </c>
      <c r="T4924" s="84" t="n">
        <f aca="false">IF(AND(ISNUMBER(O4924),ISNUMBER(P4924)),Coef_A+Coef_B1*O4924+Coef_B2*P4924,"")</f>
        <v>17.1512659578834</v>
      </c>
      <c r="U4924" s="84" t="n">
        <f aca="false">IF(AND(R4924=1,ISNUMBER(T4924)),E4924-T4924,"")</f>
        <v>0.448734042116612</v>
      </c>
      <c r="V4924" s="84" t="n">
        <f aca="false">IF(ISNUMBER(T4924),T4924,-99)</f>
        <v>17.1512659578834</v>
      </c>
      <c r="W4924" s="84" t="n">
        <f aca="false">IF(ISNUMBER(U4924),ABS(U4924),"")</f>
        <v>0.448734042116612</v>
      </c>
    </row>
    <row r="4925" customFormat="false" ht="15" hidden="false" customHeight="false" outlineLevel="0" collapsed="false">
      <c r="A4925" s="57" t="n">
        <v>40691</v>
      </c>
      <c r="B4925" s="56" t="n">
        <v>2011</v>
      </c>
      <c r="C4925" s="56" t="n">
        <v>5</v>
      </c>
      <c r="D4925" s="56" t="n">
        <v>28</v>
      </c>
      <c r="E4925" s="56" t="n">
        <v>20</v>
      </c>
      <c r="F4925" s="56" t="n">
        <v>0</v>
      </c>
      <c r="G4925" s="56" t="n">
        <v>8.9</v>
      </c>
      <c r="H4925" s="56" t="n">
        <v>0</v>
      </c>
      <c r="I4925" s="56" t="n">
        <v>13.3</v>
      </c>
      <c r="J4925" s="56" t="n">
        <v>0</v>
      </c>
      <c r="K4925" s="56" t="n">
        <v>1014.5</v>
      </c>
      <c r="L4925" s="56" t="n">
        <v>0</v>
      </c>
      <c r="M4925" s="56" t="n">
        <v>73</v>
      </c>
      <c r="N4925" s="56" t="n">
        <v>1.3</v>
      </c>
      <c r="O4925" s="56" t="n">
        <f aca="false">IF(D4925=1,"",E4924)</f>
        <v>17.6</v>
      </c>
      <c r="P4925" s="56" t="n">
        <f aca="false">IF(OR(D4925=1,K4924=""),"",K4924)</f>
        <v>1017.3</v>
      </c>
      <c r="Q4925" s="56" t="n">
        <f aca="false">IF(OR(F4925&lt;&gt;0,AND(I4925&lt;&gt;"",E4925&lt;I4925)),1,0)</f>
        <v>0</v>
      </c>
      <c r="R4925" s="56" t="n">
        <f aca="false">IF(AND(D4925&gt;1,Q4925=0,ISNUMBER(O4925),ISNUMBER(P4925)),IF(Q4924=0,1,0),0)</f>
        <v>1</v>
      </c>
      <c r="S4925" s="56" t="n">
        <f aca="false">R4925*(B4925&gt;=Train_Start)*(B4925&lt;=Train_End)</f>
        <v>0</v>
      </c>
      <c r="T4925" s="84" t="n">
        <f aca="false">IF(AND(ISNUMBER(O4925),ISNUMBER(P4925)),Coef_A+Coef_B1*O4925+Coef_B2*P4925,"")</f>
        <v>18.4199390307039</v>
      </c>
      <c r="U4925" s="84" t="n">
        <f aca="false">IF(AND(R4925=1,ISNUMBER(T4925)),E4925-T4925,"")</f>
        <v>1.58006096929612</v>
      </c>
      <c r="V4925" s="84" t="n">
        <f aca="false">IF(ISNUMBER(T4925),T4925,-99)</f>
        <v>18.4199390307039</v>
      </c>
      <c r="W4925" s="84" t="n">
        <f aca="false">IF(ISNUMBER(U4925),ABS(U4925),"")</f>
        <v>1.58006096929612</v>
      </c>
    </row>
    <row r="4926" customFormat="false" ht="15" hidden="false" customHeight="false" outlineLevel="0" collapsed="false">
      <c r="A4926" s="57" t="n">
        <v>40692</v>
      </c>
      <c r="B4926" s="56" t="n">
        <v>2011</v>
      </c>
      <c r="C4926" s="56" t="n">
        <v>5</v>
      </c>
      <c r="D4926" s="56" t="n">
        <v>29</v>
      </c>
      <c r="E4926" s="56" t="n">
        <v>20.6</v>
      </c>
      <c r="F4926" s="56" t="n">
        <v>0</v>
      </c>
      <c r="G4926" s="56" t="n">
        <v>12.7</v>
      </c>
      <c r="H4926" s="56" t="n">
        <v>0</v>
      </c>
      <c r="I4926" s="56" t="n">
        <v>16.4</v>
      </c>
      <c r="J4926" s="56" t="n">
        <v>0</v>
      </c>
      <c r="K4926" s="56" t="n">
        <v>1012.1</v>
      </c>
      <c r="L4926" s="56" t="n">
        <v>0</v>
      </c>
      <c r="M4926" s="56" t="n">
        <v>74</v>
      </c>
      <c r="N4926" s="56" t="n">
        <v>3.3</v>
      </c>
      <c r="O4926" s="56" t="n">
        <f aca="false">IF(D4926=1,"",E4925)</f>
        <v>20</v>
      </c>
      <c r="P4926" s="56" t="n">
        <f aca="false">IF(OR(D4926=1,K4925=""),"",K4925)</f>
        <v>1014.5</v>
      </c>
      <c r="Q4926" s="56" t="n">
        <f aca="false">IF(OR(F4926&lt;&gt;0,AND(I4926&lt;&gt;"",E4926&lt;I4926)),1,0)</f>
        <v>0</v>
      </c>
      <c r="R4926" s="56" t="n">
        <f aca="false">IF(AND(D4926&gt;1,Q4926=0,ISNUMBER(O4926),ISNUMBER(P4926)),IF(Q4925=0,1,0),0)</f>
        <v>1</v>
      </c>
      <c r="S4926" s="56" t="n">
        <f aca="false">R4926*(B4926&gt;=Train_Start)*(B4926&lt;=Train_End)</f>
        <v>0</v>
      </c>
      <c r="T4926" s="84" t="n">
        <f aca="false">IF(AND(ISNUMBER(O4926),ISNUMBER(P4926)),Coef_A+Coef_B1*O4926+Coef_B2*P4926,"")</f>
        <v>20.2985173890311</v>
      </c>
      <c r="U4926" s="84" t="n">
        <f aca="false">IF(AND(R4926=1,ISNUMBER(T4926)),E4926-T4926,"")</f>
        <v>0.301482610968915</v>
      </c>
      <c r="V4926" s="84" t="n">
        <f aca="false">IF(ISNUMBER(T4926),T4926,-99)</f>
        <v>20.2985173890311</v>
      </c>
      <c r="W4926" s="84" t="n">
        <f aca="false">IF(ISNUMBER(U4926),ABS(U4926),"")</f>
        <v>0.301482610968915</v>
      </c>
    </row>
    <row r="4927" customFormat="false" ht="15" hidden="false" customHeight="false" outlineLevel="0" collapsed="false">
      <c r="A4927" s="57" t="n">
        <v>40693</v>
      </c>
      <c r="B4927" s="56" t="n">
        <v>2011</v>
      </c>
      <c r="C4927" s="56" t="n">
        <v>5</v>
      </c>
      <c r="D4927" s="56" t="n">
        <v>30</v>
      </c>
      <c r="E4927" s="56" t="n">
        <v>18.7</v>
      </c>
      <c r="F4927" s="56" t="n">
        <v>0</v>
      </c>
      <c r="G4927" s="56" t="n">
        <v>12.8</v>
      </c>
      <c r="H4927" s="56" t="n">
        <v>0</v>
      </c>
      <c r="I4927" s="56" t="n">
        <v>16.7</v>
      </c>
      <c r="J4927" s="56" t="n">
        <v>0</v>
      </c>
      <c r="K4927" s="56" t="n">
        <v>1011</v>
      </c>
      <c r="L4927" s="56" t="n">
        <v>0</v>
      </c>
      <c r="M4927" s="56" t="n">
        <v>85</v>
      </c>
      <c r="N4927" s="56" t="n">
        <v>1.7</v>
      </c>
      <c r="O4927" s="56" t="n">
        <f aca="false">IF(D4927=1,"",E4926)</f>
        <v>20.6</v>
      </c>
      <c r="P4927" s="56" t="n">
        <f aca="false">IF(OR(D4927=1,K4926=""),"",K4926)</f>
        <v>1012.1</v>
      </c>
      <c r="Q4927" s="56" t="n">
        <f aca="false">IF(OR(F4927&lt;&gt;0,AND(I4927&lt;&gt;"",E4927&lt;I4927)),1,0)</f>
        <v>0</v>
      </c>
      <c r="R4927" s="56" t="n">
        <f aca="false">IF(AND(D4927&gt;1,Q4927=0,ISNUMBER(O4927),ISNUMBER(P4927)),IF(Q4926=0,1,0),0)</f>
        <v>1</v>
      </c>
      <c r="S4927" s="56" t="n">
        <f aca="false">R4927*(B4927&gt;=Train_Start)*(B4927&lt;=Train_End)</f>
        <v>0</v>
      </c>
      <c r="T4927" s="84" t="n">
        <f aca="false">IF(AND(ISNUMBER(O4927),ISNUMBER(P4927)),Coef_A+Coef_B1*O4927+Coef_B2*P4927,"")</f>
        <v>20.7148331577351</v>
      </c>
      <c r="U4927" s="84" t="n">
        <f aca="false">IF(AND(R4927=1,ISNUMBER(T4927)),E4927-T4927,"")</f>
        <v>-2.01483315773511</v>
      </c>
      <c r="V4927" s="84" t="n">
        <f aca="false">IF(ISNUMBER(T4927),T4927,-99)</f>
        <v>20.7148331577351</v>
      </c>
      <c r="W4927" s="84" t="n">
        <f aca="false">IF(ISNUMBER(U4927),ABS(U4927),"")</f>
        <v>2.01483315773511</v>
      </c>
    </row>
    <row r="4928" customFormat="false" ht="15" hidden="false" customHeight="false" outlineLevel="0" collapsed="false">
      <c r="A4928" s="57" t="n">
        <v>40694</v>
      </c>
      <c r="B4928" s="56" t="n">
        <v>2011</v>
      </c>
      <c r="C4928" s="56" t="n">
        <v>5</v>
      </c>
      <c r="D4928" s="56" t="n">
        <v>31</v>
      </c>
      <c r="E4928" s="56" t="n">
        <v>21.6</v>
      </c>
      <c r="F4928" s="56" t="n">
        <v>0</v>
      </c>
      <c r="G4928" s="56" t="n">
        <v>6.4</v>
      </c>
      <c r="H4928" s="56" t="n">
        <v>0</v>
      </c>
      <c r="I4928" s="56" t="n">
        <v>12.6</v>
      </c>
      <c r="J4928" s="56" t="n">
        <v>0</v>
      </c>
      <c r="K4928" s="56" t="n">
        <v>1020.2</v>
      </c>
      <c r="L4928" s="56" t="n">
        <v>0</v>
      </c>
      <c r="M4928" s="56" t="n">
        <v>62</v>
      </c>
      <c r="N4928" s="56" t="n">
        <v>10.4</v>
      </c>
      <c r="O4928" s="56" t="n">
        <f aca="false">IF(D4928=1,"",E4927)</f>
        <v>18.7</v>
      </c>
      <c r="P4928" s="56" t="n">
        <f aca="false">IF(OR(D4928=1,K4927=""),"",K4927)</f>
        <v>1011</v>
      </c>
      <c r="Q4928" s="56" t="n">
        <f aca="false">IF(OR(F4928&lt;&gt;0,AND(I4928&lt;&gt;"",E4928&lt;I4928)),1,0)</f>
        <v>0</v>
      </c>
      <c r="R4928" s="56" t="n">
        <f aca="false">IF(AND(D4928&gt;1,Q4928=0,ISNUMBER(O4928),ISNUMBER(P4928)),IF(Q4927=0,1,0),0)</f>
        <v>1</v>
      </c>
      <c r="S4928" s="56" t="n">
        <f aca="false">R4928*(B4928&gt;=Train_Start)*(B4928&lt;=Train_End)</f>
        <v>0</v>
      </c>
      <c r="T4928" s="84" t="n">
        <f aca="false">IF(AND(ISNUMBER(O4928),ISNUMBER(P4928)),Coef_A+Coef_B1*O4928+Coef_B2*P4928,"")</f>
        <v>19.1235818068567</v>
      </c>
      <c r="U4928" s="84" t="n">
        <f aca="false">IF(AND(R4928=1,ISNUMBER(T4928)),E4928-T4928,"")</f>
        <v>2.47641819314333</v>
      </c>
      <c r="V4928" s="84" t="n">
        <f aca="false">IF(ISNUMBER(T4928),T4928,-99)</f>
        <v>19.1235818068567</v>
      </c>
      <c r="W4928" s="84" t="n">
        <f aca="false">IF(ISNUMBER(U4928),ABS(U4928),"")</f>
        <v>2.47641819314333</v>
      </c>
    </row>
    <row r="4929" customFormat="false" ht="15" hidden="false" customHeight="false" outlineLevel="0" collapsed="false">
      <c r="A4929" s="57" t="n">
        <v>40695</v>
      </c>
      <c r="B4929" s="56" t="n">
        <v>2011</v>
      </c>
      <c r="C4929" s="56" t="n">
        <v>6</v>
      </c>
      <c r="D4929" s="56" t="n">
        <v>32</v>
      </c>
      <c r="E4929" s="56" t="n">
        <v>23.8</v>
      </c>
      <c r="F4929" s="56" t="n">
        <v>0</v>
      </c>
      <c r="G4929" s="56" t="n">
        <v>7.3</v>
      </c>
      <c r="H4929" s="56" t="n">
        <v>0</v>
      </c>
      <c r="I4929" s="56" t="n">
        <v>14.5</v>
      </c>
      <c r="J4929" s="56" t="n">
        <v>0</v>
      </c>
      <c r="K4929" s="56" t="n">
        <v>1030.4</v>
      </c>
      <c r="L4929" s="56" t="n">
        <v>0</v>
      </c>
      <c r="M4929" s="56" t="n">
        <v>62</v>
      </c>
      <c r="N4929" s="56" t="n">
        <v>10.4</v>
      </c>
      <c r="O4929" s="56" t="n">
        <f aca="false">IF(D4929=1,"",E4928)</f>
        <v>21.6</v>
      </c>
      <c r="P4929" s="56" t="n">
        <f aca="false">IF(OR(D4929=1,K4928=""),"",K4928)</f>
        <v>1020.2</v>
      </c>
      <c r="Q4929" s="56" t="n">
        <f aca="false">IF(OR(F4929&lt;&gt;0,AND(I4929&lt;&gt;"",E4929&lt;I4929)),1,0)</f>
        <v>0</v>
      </c>
      <c r="R4929" s="56" t="n">
        <f aca="false">IF(AND(D4929&gt;1,Q4929=0,ISNUMBER(O4929),ISNUMBER(P4929)),IF(Q4928=0,1,0),0)</f>
        <v>1</v>
      </c>
      <c r="S4929" s="56" t="n">
        <f aca="false">R4929*(B4929&gt;=Train_Start)*(B4929&lt;=Train_End)</f>
        <v>0</v>
      </c>
      <c r="T4929" s="84" t="n">
        <f aca="false">IF(AND(ISNUMBER(O4929),ISNUMBER(P4929)),Coef_A+Coef_B1*O4929+Coef_B2*P4929,"")</f>
        <v>21.7882684973131</v>
      </c>
      <c r="U4929" s="84" t="n">
        <f aca="false">IF(AND(R4929=1,ISNUMBER(T4929)),E4929-T4929,"")</f>
        <v>2.01173150268692</v>
      </c>
      <c r="V4929" s="84" t="n">
        <f aca="false">IF(ISNUMBER(T4929),T4929,-99)</f>
        <v>21.7882684973131</v>
      </c>
      <c r="W4929" s="84" t="n">
        <f aca="false">IF(ISNUMBER(U4929),ABS(U4929),"")</f>
        <v>2.01173150268692</v>
      </c>
    </row>
    <row r="4930" customFormat="false" ht="15" hidden="false" customHeight="false" outlineLevel="0" collapsed="false">
      <c r="A4930" s="57" t="n">
        <v>40696</v>
      </c>
      <c r="B4930" s="56" t="n">
        <v>2011</v>
      </c>
      <c r="C4930" s="56" t="n">
        <v>6</v>
      </c>
      <c r="D4930" s="56" t="n">
        <v>33</v>
      </c>
      <c r="E4930" s="56" t="n">
        <v>25.8</v>
      </c>
      <c r="F4930" s="56" t="n">
        <v>0</v>
      </c>
      <c r="G4930" s="56" t="n">
        <v>11.2</v>
      </c>
      <c r="H4930" s="56" t="n">
        <v>0</v>
      </c>
      <c r="I4930" s="56" t="n">
        <v>17.5</v>
      </c>
      <c r="J4930" s="56" t="n">
        <v>0</v>
      </c>
      <c r="K4930" s="56" t="n">
        <v>1033.4</v>
      </c>
      <c r="L4930" s="56" t="n">
        <v>0</v>
      </c>
      <c r="M4930" s="56" t="n">
        <v>66</v>
      </c>
      <c r="N4930" s="56" t="n">
        <v>7.8</v>
      </c>
      <c r="O4930" s="56" t="n">
        <f aca="false">IF(D4930=1,"",E4929)</f>
        <v>23.8</v>
      </c>
      <c r="P4930" s="56" t="n">
        <f aca="false">IF(OR(D4930=1,K4929=""),"",K4929)</f>
        <v>1030.4</v>
      </c>
      <c r="Q4930" s="56" t="n">
        <f aca="false">IF(OR(F4930&lt;&gt;0,AND(I4930&lt;&gt;"",E4930&lt;I4930)),1,0)</f>
        <v>0</v>
      </c>
      <c r="R4930" s="56" t="n">
        <f aca="false">IF(AND(D4930&gt;1,Q4930=0,ISNUMBER(O4930),ISNUMBER(P4930)),IF(Q4929=0,1,0),0)</f>
        <v>1</v>
      </c>
      <c r="S4930" s="56" t="n">
        <f aca="false">R4930*(B4930&gt;=Train_Start)*(B4930&lt;=Train_End)</f>
        <v>0</v>
      </c>
      <c r="T4930" s="84" t="n">
        <f aca="false">IF(AND(ISNUMBER(O4930),ISNUMBER(P4930)),Coef_A+Coef_B1*O4930+Coef_B2*P4930,"")</f>
        <v>23.9107876472736</v>
      </c>
      <c r="U4930" s="84" t="n">
        <f aca="false">IF(AND(R4930=1,ISNUMBER(T4930)),E4930-T4930,"")</f>
        <v>1.88921235272638</v>
      </c>
      <c r="V4930" s="84" t="n">
        <f aca="false">IF(ISNUMBER(T4930),T4930,-99)</f>
        <v>23.9107876472736</v>
      </c>
      <c r="W4930" s="84" t="n">
        <f aca="false">IF(ISNUMBER(U4930),ABS(U4930),"")</f>
        <v>1.88921235272638</v>
      </c>
    </row>
    <row r="4931" customFormat="false" ht="15" hidden="false" customHeight="false" outlineLevel="0" collapsed="false">
      <c r="A4931" s="57" t="n">
        <v>40697</v>
      </c>
      <c r="B4931" s="56" t="n">
        <v>2011</v>
      </c>
      <c r="C4931" s="56" t="n">
        <v>6</v>
      </c>
      <c r="D4931" s="56" t="n">
        <v>34</v>
      </c>
      <c r="E4931" s="56" t="n">
        <v>27</v>
      </c>
      <c r="F4931" s="56" t="n">
        <v>0</v>
      </c>
      <c r="G4931" s="56" t="n">
        <v>12.8</v>
      </c>
      <c r="H4931" s="56" t="n">
        <v>0</v>
      </c>
      <c r="I4931" s="56" t="n">
        <v>19.3</v>
      </c>
      <c r="J4931" s="56" t="n">
        <v>0</v>
      </c>
      <c r="K4931" s="56" t="n">
        <v>1030.5</v>
      </c>
      <c r="L4931" s="56" t="n">
        <v>0</v>
      </c>
      <c r="M4931" s="56" t="n">
        <v>60</v>
      </c>
      <c r="N4931" s="56" t="n">
        <v>14.7</v>
      </c>
      <c r="O4931" s="56" t="n">
        <f aca="false">IF(D4931=1,"",E4930)</f>
        <v>25.8</v>
      </c>
      <c r="P4931" s="56" t="n">
        <f aca="false">IF(OR(D4931=1,K4930=""),"",K4930)</f>
        <v>1033.4</v>
      </c>
      <c r="Q4931" s="56" t="n">
        <f aca="false">IF(OR(F4931&lt;&gt;0,AND(I4931&lt;&gt;"",E4931&lt;I4931)),1,0)</f>
        <v>0</v>
      </c>
      <c r="R4931" s="56" t="n">
        <f aca="false">IF(AND(D4931&gt;1,Q4931=0,ISNUMBER(O4931),ISNUMBER(P4931)),IF(Q4930=0,1,0),0)</f>
        <v>1</v>
      </c>
      <c r="S4931" s="56" t="n">
        <f aca="false">R4931*(B4931&gt;=Train_Start)*(B4931&lt;=Train_End)</f>
        <v>0</v>
      </c>
      <c r="T4931" s="84" t="n">
        <f aca="false">IF(AND(ISNUMBER(O4931),ISNUMBER(P4931)),Coef_A+Coef_B1*O4931+Coef_B2*P4931,"")</f>
        <v>25.6435757172609</v>
      </c>
      <c r="U4931" s="84" t="n">
        <f aca="false">IF(AND(R4931=1,ISNUMBER(T4931)),E4931-T4931,"")</f>
        <v>1.35642428273909</v>
      </c>
      <c r="V4931" s="84" t="n">
        <f aca="false">IF(ISNUMBER(T4931),T4931,-99)</f>
        <v>25.6435757172609</v>
      </c>
      <c r="W4931" s="84" t="n">
        <f aca="false">IF(ISNUMBER(U4931),ABS(U4931),"")</f>
        <v>1.35642428273909</v>
      </c>
    </row>
    <row r="4932" customFormat="false" ht="15" hidden="false" customHeight="false" outlineLevel="0" collapsed="false">
      <c r="A4932" s="57" t="n">
        <v>40698</v>
      </c>
      <c r="B4932" s="56" t="n">
        <v>2011</v>
      </c>
      <c r="C4932" s="56" t="n">
        <v>6</v>
      </c>
      <c r="D4932" s="56" t="n">
        <v>35</v>
      </c>
      <c r="E4932" s="56" t="n">
        <v>19.5</v>
      </c>
      <c r="F4932" s="56" t="n">
        <v>1</v>
      </c>
      <c r="G4932" s="56" t="n">
        <v>12.3</v>
      </c>
      <c r="H4932" s="56" t="n">
        <v>0</v>
      </c>
      <c r="I4932" s="56" t="n">
        <v>19.7</v>
      </c>
      <c r="J4932" s="56" t="n">
        <v>1</v>
      </c>
      <c r="K4932" s="56" t="n">
        <v>1021.5</v>
      </c>
      <c r="L4932" s="56" t="n">
        <v>0</v>
      </c>
      <c r="M4932" s="56" t="n">
        <v>66</v>
      </c>
      <c r="N4932" s="56" t="n">
        <v>8.8</v>
      </c>
      <c r="O4932" s="56" t="n">
        <f aca="false">IF(D4932=1,"",E4931)</f>
        <v>27</v>
      </c>
      <c r="P4932" s="56" t="n">
        <f aca="false">IF(OR(D4932=1,K4931=""),"",K4931)</f>
        <v>1030.5</v>
      </c>
      <c r="Q4932" s="56" t="n">
        <f aca="false">IF(OR(F4932&lt;&gt;0,AND(I4932&lt;&gt;"",E4932&lt;I4932)),1,0)</f>
        <v>1</v>
      </c>
      <c r="R4932" s="56" t="n">
        <f aca="false">IF(AND(D4932&gt;1,Q4932=0,ISNUMBER(O4932),ISNUMBER(P4932)),IF(Q4931=0,1,0),0)</f>
        <v>0</v>
      </c>
      <c r="S4932" s="56" t="n">
        <f aca="false">R4932*(B4932&gt;=Train_Start)*(B4932&lt;=Train_End)</f>
        <v>0</v>
      </c>
      <c r="T4932" s="84" t="n">
        <f aca="false">IF(AND(ISNUMBER(O4932),ISNUMBER(P4932)),Coef_A+Coef_B1*O4932+Coef_B2*P4932,"")</f>
        <v>26.5358100544735</v>
      </c>
      <c r="U4932" s="84" t="str">
        <f aca="false">IF(AND(R4932=1,ISNUMBER(T4932)),E4932-T4932,"")</f>
        <v/>
      </c>
      <c r="V4932" s="84" t="n">
        <f aca="false">IF(ISNUMBER(T4932),T4932,-99)</f>
        <v>26.5358100544735</v>
      </c>
      <c r="W4932" s="84" t="str">
        <f aca="false">IF(ISNUMBER(U4932),ABS(U4932),"")</f>
        <v/>
      </c>
    </row>
    <row r="4933" customFormat="false" ht="15" hidden="false" customHeight="false" outlineLevel="0" collapsed="false">
      <c r="A4933" s="57" t="n">
        <v>40699</v>
      </c>
      <c r="B4933" s="56" t="n">
        <v>2011</v>
      </c>
      <c r="C4933" s="56" t="n">
        <v>6</v>
      </c>
      <c r="D4933" s="56" t="n">
        <v>36</v>
      </c>
      <c r="E4933" s="56" t="n">
        <v>15.7</v>
      </c>
      <c r="F4933" s="56" t="n">
        <v>1</v>
      </c>
      <c r="G4933" s="56" t="n">
        <v>12.7</v>
      </c>
      <c r="H4933" s="56" t="n">
        <v>0</v>
      </c>
      <c r="I4933" s="56" t="n">
        <v>16.1</v>
      </c>
      <c r="J4933" s="56" t="n">
        <v>1</v>
      </c>
      <c r="K4933" s="56" t="n">
        <v>1011.7</v>
      </c>
      <c r="L4933" s="56" t="n">
        <v>0</v>
      </c>
      <c r="M4933" s="56" t="n">
        <v>77</v>
      </c>
      <c r="N4933" s="56" t="n">
        <v>1.1</v>
      </c>
      <c r="O4933" s="56" t="n">
        <f aca="false">IF(D4933=1,"",E4932)</f>
        <v>19.5</v>
      </c>
      <c r="P4933" s="56" t="n">
        <f aca="false">IF(OR(D4933=1,K4932=""),"",K4932)</f>
        <v>1021.5</v>
      </c>
      <c r="Q4933" s="56" t="n">
        <f aca="false">IF(OR(F4933&lt;&gt;0,AND(I4933&lt;&gt;"",E4933&lt;I4933)),1,0)</f>
        <v>1</v>
      </c>
      <c r="R4933" s="56" t="n">
        <f aca="false">IF(AND(D4933&gt;1,Q4933=0,ISNUMBER(O4933),ISNUMBER(P4933)),IF(Q4932=0,1,0),0)</f>
        <v>0</v>
      </c>
      <c r="S4933" s="56" t="n">
        <f aca="false">R4933*(B4933&gt;=Train_Start)*(B4933&lt;=Train_End)</f>
        <v>0</v>
      </c>
      <c r="T4933" s="84" t="n">
        <f aca="false">IF(AND(ISNUMBER(O4933),ISNUMBER(P4933)),Coef_A+Coef_B1*O4933+Coef_B2*P4933,"")</f>
        <v>20.1084370549477</v>
      </c>
      <c r="U4933" s="84" t="str">
        <f aca="false">IF(AND(R4933=1,ISNUMBER(T4933)),E4933-T4933,"")</f>
        <v/>
      </c>
      <c r="V4933" s="84" t="n">
        <f aca="false">IF(ISNUMBER(T4933),T4933,-99)</f>
        <v>20.1084370549477</v>
      </c>
      <c r="W4933" s="84" t="str">
        <f aca="false">IF(ISNUMBER(U4933),ABS(U4933),"")</f>
        <v/>
      </c>
    </row>
    <row r="4934" customFormat="false" ht="15" hidden="false" customHeight="false" outlineLevel="0" collapsed="false">
      <c r="A4934" s="57" t="n">
        <v>40700</v>
      </c>
      <c r="B4934" s="56" t="n">
        <v>2011</v>
      </c>
      <c r="C4934" s="56" t="n">
        <v>6</v>
      </c>
      <c r="D4934" s="56" t="n">
        <v>37</v>
      </c>
      <c r="E4934" s="56" t="n">
        <v>19.5</v>
      </c>
      <c r="F4934" s="56" t="n">
        <v>0</v>
      </c>
      <c r="G4934" s="56" t="n">
        <v>9</v>
      </c>
      <c r="H4934" s="56" t="n">
        <v>0</v>
      </c>
      <c r="I4934" s="56" t="n">
        <v>12.4</v>
      </c>
      <c r="J4934" s="56" t="n">
        <v>0</v>
      </c>
      <c r="K4934" s="56" t="n">
        <v>1006.3</v>
      </c>
      <c r="L4934" s="56" t="n">
        <v>0</v>
      </c>
      <c r="M4934" s="56" t="n">
        <v>80</v>
      </c>
      <c r="N4934" s="56" t="n">
        <v>0.2</v>
      </c>
      <c r="O4934" s="56" t="n">
        <f aca="false">IF(D4934=1,"",E4933)</f>
        <v>15.7</v>
      </c>
      <c r="P4934" s="56" t="n">
        <f aca="false">IF(OR(D4934=1,K4933=""),"",K4933)</f>
        <v>1011.7</v>
      </c>
      <c r="Q4934" s="56" t="n">
        <f aca="false">IF(OR(F4934&lt;&gt;0,AND(I4934&lt;&gt;"",E4934&lt;I4934)),1,0)</f>
        <v>0</v>
      </c>
      <c r="R4934" s="56" t="n">
        <f aca="false">IF(AND(D4934&gt;1,Q4934=0,ISNUMBER(O4934),ISNUMBER(P4934)),IF(Q4933=0,1,0),0)</f>
        <v>0</v>
      </c>
      <c r="S4934" s="56" t="n">
        <f aca="false">R4934*(B4934&gt;=Train_Start)*(B4934&lt;=Train_End)</f>
        <v>0</v>
      </c>
      <c r="T4934" s="84" t="n">
        <f aca="false">IF(AND(ISNUMBER(O4934),ISNUMBER(P4934)),Coef_A+Coef_B1*O4934+Coef_B2*P4934,"")</f>
        <v>16.6875231539725</v>
      </c>
      <c r="U4934" s="84" t="str">
        <f aca="false">IF(AND(R4934=1,ISNUMBER(T4934)),E4934-T4934,"")</f>
        <v/>
      </c>
      <c r="V4934" s="84" t="n">
        <f aca="false">IF(ISNUMBER(T4934),T4934,-99)</f>
        <v>16.6875231539725</v>
      </c>
      <c r="W4934" s="84" t="str">
        <f aca="false">IF(ISNUMBER(U4934),ABS(U4934),"")</f>
        <v/>
      </c>
    </row>
    <row r="4935" customFormat="false" ht="15" hidden="false" customHeight="false" outlineLevel="0" collapsed="false">
      <c r="A4935" s="57" t="n">
        <v>40701</v>
      </c>
      <c r="B4935" s="56" t="n">
        <v>2011</v>
      </c>
      <c r="C4935" s="56" t="n">
        <v>6</v>
      </c>
      <c r="D4935" s="56" t="n">
        <v>38</v>
      </c>
      <c r="E4935" s="56" t="n">
        <v>18.2</v>
      </c>
      <c r="F4935" s="56" t="n">
        <v>0</v>
      </c>
      <c r="G4935" s="56" t="n">
        <v>9</v>
      </c>
      <c r="H4935" s="56" t="n">
        <v>0</v>
      </c>
      <c r="I4935" s="56" t="n">
        <v>14.3</v>
      </c>
      <c r="J4935" s="56" t="n">
        <v>0</v>
      </c>
      <c r="K4935" s="56" t="n">
        <v>1004</v>
      </c>
      <c r="L4935" s="56" t="n">
        <v>0</v>
      </c>
      <c r="M4935" s="56" t="n">
        <v>66</v>
      </c>
      <c r="N4935" s="56" t="n">
        <v>8.9</v>
      </c>
      <c r="O4935" s="56" t="n">
        <f aca="false">IF(D4935=1,"",E4934)</f>
        <v>19.5</v>
      </c>
      <c r="P4935" s="56" t="n">
        <f aca="false">IF(OR(D4935=1,K4934=""),"",K4934)</f>
        <v>1006.3</v>
      </c>
      <c r="Q4935" s="56" t="n">
        <f aca="false">IF(OR(F4935&lt;&gt;0,AND(I4935&lt;&gt;"",E4935&lt;I4935)),1,0)</f>
        <v>0</v>
      </c>
      <c r="R4935" s="56" t="n">
        <f aca="false">IF(AND(D4935&gt;1,Q4935=0,ISNUMBER(O4935),ISNUMBER(P4935)),IF(Q4934=0,1,0),0)</f>
        <v>1</v>
      </c>
      <c r="S4935" s="56" t="n">
        <f aca="false">R4935*(B4935&gt;=Train_Start)*(B4935&lt;=Train_End)</f>
        <v>0</v>
      </c>
      <c r="T4935" s="84" t="n">
        <f aca="false">IF(AND(ISNUMBER(O4935),ISNUMBER(P4935)),Coef_A+Coef_B1*O4935+Coef_B2*P4935,"")</f>
        <v>19.631614656511</v>
      </c>
      <c r="U4935" s="84" t="n">
        <f aca="false">IF(AND(R4935=1,ISNUMBER(T4935)),E4935-T4935,"")</f>
        <v>-1.43161465651105</v>
      </c>
      <c r="V4935" s="84" t="n">
        <f aca="false">IF(ISNUMBER(T4935),T4935,-99)</f>
        <v>19.631614656511</v>
      </c>
      <c r="W4935" s="84" t="n">
        <f aca="false">IF(ISNUMBER(U4935),ABS(U4935),"")</f>
        <v>1.43161465651105</v>
      </c>
    </row>
    <row r="4936" customFormat="false" ht="15" hidden="false" customHeight="false" outlineLevel="0" collapsed="false">
      <c r="A4936" s="57" t="n">
        <v>40702</v>
      </c>
      <c r="B4936" s="56" t="n">
        <v>2011</v>
      </c>
      <c r="C4936" s="56" t="n">
        <v>6</v>
      </c>
      <c r="D4936" s="56" t="n">
        <v>39</v>
      </c>
      <c r="E4936" s="56" t="n">
        <v>17.9</v>
      </c>
      <c r="F4936" s="56" t="n">
        <v>0</v>
      </c>
      <c r="G4936" s="56" t="n">
        <v>8.4</v>
      </c>
      <c r="H4936" s="56" t="n">
        <v>0</v>
      </c>
      <c r="I4936" s="56" t="n">
        <v>13.3</v>
      </c>
      <c r="J4936" s="56" t="n">
        <v>0</v>
      </c>
      <c r="K4936" s="56" t="n">
        <v>1006</v>
      </c>
      <c r="L4936" s="56" t="n">
        <v>0</v>
      </c>
      <c r="M4936" s="56" t="n">
        <v>72</v>
      </c>
      <c r="N4936" s="56" t="n">
        <v>3.7</v>
      </c>
      <c r="O4936" s="56" t="n">
        <f aca="false">IF(D4936=1,"",E4935)</f>
        <v>18.2</v>
      </c>
      <c r="P4936" s="56" t="n">
        <f aca="false">IF(OR(D4936=1,K4935=""),"",K4935)</f>
        <v>1004</v>
      </c>
      <c r="Q4936" s="56" t="n">
        <f aca="false">IF(OR(F4936&lt;&gt;0,AND(I4936&lt;&gt;"",E4936&lt;I4936)),1,0)</f>
        <v>0</v>
      </c>
      <c r="R4936" s="56" t="n">
        <f aca="false">IF(AND(D4936&gt;1,Q4936=0,ISNUMBER(O4936),ISNUMBER(P4936)),IF(Q4935=0,1,0),0)</f>
        <v>1</v>
      </c>
      <c r="S4936" s="56" t="n">
        <f aca="false">R4936*(B4936&gt;=Train_Start)*(B4936&lt;=Train_End)</f>
        <v>0</v>
      </c>
      <c r="T4936" s="84" t="n">
        <f aca="false">IF(AND(ISNUMBER(O4936),ISNUMBER(P4936)),Coef_A+Coef_B1*O4936+Coef_B2*P4936,"")</f>
        <v>18.4943229478974</v>
      </c>
      <c r="U4936" s="84" t="n">
        <f aca="false">IF(AND(R4936=1,ISNUMBER(T4936)),E4936-T4936,"")</f>
        <v>-0.594322947897418</v>
      </c>
      <c r="V4936" s="84" t="n">
        <f aca="false">IF(ISNUMBER(T4936),T4936,-99)</f>
        <v>18.4943229478974</v>
      </c>
      <c r="W4936" s="84" t="n">
        <f aca="false">IF(ISNUMBER(U4936),ABS(U4936),"")</f>
        <v>0.594322947897418</v>
      </c>
    </row>
    <row r="4937" customFormat="false" ht="15" hidden="false" customHeight="false" outlineLevel="0" collapsed="false">
      <c r="A4937" s="57" t="n">
        <v>40703</v>
      </c>
      <c r="B4937" s="56" t="n">
        <v>2011</v>
      </c>
      <c r="C4937" s="56" t="n">
        <v>6</v>
      </c>
      <c r="D4937" s="56" t="n">
        <v>40</v>
      </c>
      <c r="E4937" s="56" t="n">
        <v>15.9</v>
      </c>
      <c r="F4937" s="56" t="n">
        <v>0</v>
      </c>
      <c r="G4937" s="56" t="n">
        <v>9.4</v>
      </c>
      <c r="H4937" s="56" t="n">
        <v>0</v>
      </c>
      <c r="I4937" s="56" t="n">
        <v>13.7</v>
      </c>
      <c r="J4937" s="56" t="n">
        <v>0</v>
      </c>
      <c r="K4937" s="56" t="n">
        <v>1013.1</v>
      </c>
      <c r="L4937" s="56" t="n">
        <v>0</v>
      </c>
      <c r="M4937" s="56" t="n">
        <v>69</v>
      </c>
      <c r="N4937" s="56" t="n">
        <v>5.9</v>
      </c>
      <c r="O4937" s="56" t="n">
        <f aca="false">IF(D4937=1,"",E4936)</f>
        <v>17.9</v>
      </c>
      <c r="P4937" s="56" t="n">
        <f aca="false">IF(OR(D4937=1,K4936=""),"",K4936)</f>
        <v>1006</v>
      </c>
      <c r="Q4937" s="56" t="n">
        <f aca="false">IF(OR(F4937&lt;&gt;0,AND(I4937&lt;&gt;"",E4937&lt;I4937)),1,0)</f>
        <v>0</v>
      </c>
      <c r="R4937" s="56" t="n">
        <f aca="false">IF(AND(D4937&gt;1,Q4937=0,ISNUMBER(O4937),ISNUMBER(P4937)),IF(Q4936=0,1,0),0)</f>
        <v>1</v>
      </c>
      <c r="S4937" s="56" t="n">
        <f aca="false">R4937*(B4937&gt;=Train_Start)*(B4937&lt;=Train_End)</f>
        <v>0</v>
      </c>
      <c r="T4937" s="84" t="n">
        <f aca="false">IF(AND(ISNUMBER(O4937),ISNUMBER(P4937)),Coef_A+Coef_B1*O4937+Coef_B2*P4937,"")</f>
        <v>18.3112609792526</v>
      </c>
      <c r="U4937" s="84" t="n">
        <f aca="false">IF(AND(R4937=1,ISNUMBER(T4937)),E4937-T4937,"")</f>
        <v>-2.41126097925259</v>
      </c>
      <c r="V4937" s="84" t="n">
        <f aca="false">IF(ISNUMBER(T4937),T4937,-99)</f>
        <v>18.3112609792526</v>
      </c>
      <c r="W4937" s="84" t="n">
        <f aca="false">IF(ISNUMBER(U4937),ABS(U4937),"")</f>
        <v>2.41126097925259</v>
      </c>
    </row>
    <row r="4938" customFormat="false" ht="15" hidden="false" customHeight="false" outlineLevel="0" collapsed="false">
      <c r="A4938" s="57" t="n">
        <v>40704</v>
      </c>
      <c r="B4938" s="56" t="n">
        <v>2011</v>
      </c>
      <c r="C4938" s="56" t="n">
        <v>6</v>
      </c>
      <c r="D4938" s="56" t="n">
        <v>41</v>
      </c>
      <c r="E4938" s="56" t="n">
        <v>18.9</v>
      </c>
      <c r="F4938" s="56" t="n">
        <v>0</v>
      </c>
      <c r="G4938" s="56" t="n">
        <v>7.9</v>
      </c>
      <c r="H4938" s="56" t="n">
        <v>0</v>
      </c>
      <c r="I4938" s="56" t="n">
        <v>11.9</v>
      </c>
      <c r="J4938" s="56" t="n">
        <v>0</v>
      </c>
      <c r="K4938" s="56" t="n">
        <v>1014.5</v>
      </c>
      <c r="L4938" s="56" t="n">
        <v>0</v>
      </c>
      <c r="M4938" s="56" t="n">
        <v>72</v>
      </c>
      <c r="N4938" s="56" t="n">
        <v>4.3</v>
      </c>
      <c r="O4938" s="56" t="n">
        <f aca="false">IF(D4938=1,"",E4937)</f>
        <v>15.9</v>
      </c>
      <c r="P4938" s="56" t="n">
        <f aca="false">IF(OR(D4938=1,K4937=""),"",K4937)</f>
        <v>1013.1</v>
      </c>
      <c r="Q4938" s="56" t="n">
        <f aca="false">IF(OR(F4938&lt;&gt;0,AND(I4938&lt;&gt;"",E4938&lt;I4938)),1,0)</f>
        <v>0</v>
      </c>
      <c r="R4938" s="56" t="n">
        <f aca="false">IF(AND(D4938&gt;1,Q4938=0,ISNUMBER(O4938),ISNUMBER(P4938)),IF(Q4937=0,1,0),0)</f>
        <v>1</v>
      </c>
      <c r="S4938" s="56" t="n">
        <f aca="false">R4938*(B4938&gt;=Train_Start)*(B4938&lt;=Train_End)</f>
        <v>0</v>
      </c>
      <c r="T4938" s="84" t="n">
        <f aca="false">IF(AND(ISNUMBER(O4938),ISNUMBER(P4938)),Coef_A+Coef_B1*O4938+Coef_B2*P4938,"")</f>
        <v>16.8953088450686</v>
      </c>
      <c r="U4938" s="84" t="n">
        <f aca="false">IF(AND(R4938=1,ISNUMBER(T4938)),E4938-T4938,"")</f>
        <v>2.00469115493139</v>
      </c>
      <c r="V4938" s="84" t="n">
        <f aca="false">IF(ISNUMBER(T4938),T4938,-99)</f>
        <v>16.8953088450686</v>
      </c>
      <c r="W4938" s="84" t="n">
        <f aca="false">IF(ISNUMBER(U4938),ABS(U4938),"")</f>
        <v>2.00469115493139</v>
      </c>
    </row>
    <row r="4939" customFormat="false" ht="15" hidden="false" customHeight="false" outlineLevel="0" collapsed="false">
      <c r="A4939" s="57" t="n">
        <v>40705</v>
      </c>
      <c r="B4939" s="56" t="n">
        <v>2011</v>
      </c>
      <c r="C4939" s="56" t="n">
        <v>6</v>
      </c>
      <c r="D4939" s="56" t="n">
        <v>42</v>
      </c>
      <c r="E4939" s="56" t="n">
        <v>17</v>
      </c>
      <c r="F4939" s="56" t="n">
        <v>0</v>
      </c>
      <c r="G4939" s="56" t="n">
        <v>7.2</v>
      </c>
      <c r="H4939" s="56" t="n">
        <v>0</v>
      </c>
      <c r="I4939" s="56" t="n">
        <v>13.1</v>
      </c>
      <c r="J4939" s="56" t="n">
        <v>0</v>
      </c>
      <c r="K4939" s="56" t="n">
        <v>1016.3</v>
      </c>
      <c r="L4939" s="56" t="n">
        <v>0</v>
      </c>
      <c r="M4939" s="56" t="n">
        <v>67</v>
      </c>
      <c r="N4939" s="56" t="n">
        <v>7.4</v>
      </c>
      <c r="O4939" s="56" t="n">
        <f aca="false">IF(D4939=1,"",E4938)</f>
        <v>18.9</v>
      </c>
      <c r="P4939" s="56" t="n">
        <f aca="false">IF(OR(D4939=1,K4938=""),"",K4938)</f>
        <v>1014.5</v>
      </c>
      <c r="Q4939" s="56" t="n">
        <f aca="false">IF(OR(F4939&lt;&gt;0,AND(I4939&lt;&gt;"",E4939&lt;I4939)),1,0)</f>
        <v>0</v>
      </c>
      <c r="R4939" s="56" t="n">
        <f aca="false">IF(AND(D4939&gt;1,Q4939=0,ISNUMBER(O4939),ISNUMBER(P4939)),IF(Q4938=0,1,0),0)</f>
        <v>1</v>
      </c>
      <c r="S4939" s="56" t="n">
        <f aca="false">R4939*(B4939&gt;=Train_Start)*(B4939&lt;=Train_End)</f>
        <v>0</v>
      </c>
      <c r="T4939" s="84" t="n">
        <f aca="false">IF(AND(ISNUMBER(O4939),ISNUMBER(P4939)),Coef_A+Coef_B1*O4939+Coef_B2*P4939,"")</f>
        <v>19.3972442766842</v>
      </c>
      <c r="U4939" s="84" t="n">
        <f aca="false">IF(AND(R4939=1,ISNUMBER(T4939)),E4939-T4939,"")</f>
        <v>-2.39724427668416</v>
      </c>
      <c r="V4939" s="84" t="n">
        <f aca="false">IF(ISNUMBER(T4939),T4939,-99)</f>
        <v>19.3972442766842</v>
      </c>
      <c r="W4939" s="84" t="n">
        <f aca="false">IF(ISNUMBER(U4939),ABS(U4939),"")</f>
        <v>2.39724427668416</v>
      </c>
    </row>
    <row r="4940" customFormat="false" ht="15" hidden="false" customHeight="false" outlineLevel="0" collapsed="false">
      <c r="A4940" s="57" t="n">
        <v>40706</v>
      </c>
      <c r="B4940" s="56" t="n">
        <v>2011</v>
      </c>
      <c r="C4940" s="56" t="n">
        <v>6</v>
      </c>
      <c r="D4940" s="56" t="n">
        <v>43</v>
      </c>
      <c r="E4940" s="56" t="n">
        <v>21.7</v>
      </c>
      <c r="F4940" s="56" t="n">
        <v>0</v>
      </c>
      <c r="G4940" s="56" t="n">
        <v>7</v>
      </c>
      <c r="H4940" s="56" t="n">
        <v>0</v>
      </c>
      <c r="I4940" s="56" t="n">
        <v>12</v>
      </c>
      <c r="J4940" s="56" t="n">
        <v>0</v>
      </c>
      <c r="K4940" s="56" t="n">
        <v>1013.7</v>
      </c>
      <c r="L4940" s="56" t="n">
        <v>0</v>
      </c>
      <c r="M4940" s="56" t="n">
        <v>88</v>
      </c>
      <c r="N4940" s="56" t="n">
        <v>0.8</v>
      </c>
      <c r="O4940" s="56" t="n">
        <f aca="false">IF(D4940=1,"",E4939)</f>
        <v>17</v>
      </c>
      <c r="P4940" s="56" t="n">
        <f aca="false">IF(OR(D4940=1,K4939=""),"",K4939)</f>
        <v>1016.3</v>
      </c>
      <c r="Q4940" s="56" t="n">
        <f aca="false">IF(OR(F4940&lt;&gt;0,AND(I4940&lt;&gt;"",E4940&lt;I4940)),1,0)</f>
        <v>0</v>
      </c>
      <c r="R4940" s="56" t="n">
        <f aca="false">IF(AND(D4940&gt;1,Q4940=0,ISNUMBER(O4940),ISNUMBER(P4940)),IF(Q4939=0,1,0),0)</f>
        <v>1</v>
      </c>
      <c r="S4940" s="56" t="n">
        <f aca="false">R4940*(B4940&gt;=Train_Start)*(B4940&lt;=Train_End)</f>
        <v>0</v>
      </c>
      <c r="T4940" s="84" t="n">
        <f aca="false">IF(AND(ISNUMBER(O4940),ISNUMBER(P4940)),Coef_A+Coef_B1*O4940+Coef_B2*P4940,"")</f>
        <v>17.8969656202443</v>
      </c>
      <c r="U4940" s="84" t="n">
        <f aca="false">IF(AND(R4940=1,ISNUMBER(T4940)),E4940-T4940,"")</f>
        <v>3.8030343797557</v>
      </c>
      <c r="V4940" s="84" t="n">
        <f aca="false">IF(ISNUMBER(T4940),T4940,-99)</f>
        <v>17.8969656202443</v>
      </c>
      <c r="W4940" s="84" t="n">
        <f aca="false">IF(ISNUMBER(U4940),ABS(U4940),"")</f>
        <v>3.8030343797557</v>
      </c>
    </row>
    <row r="4941" customFormat="false" ht="15" hidden="false" customHeight="false" outlineLevel="0" collapsed="false">
      <c r="A4941" s="57" t="n">
        <v>40707</v>
      </c>
      <c r="B4941" s="56" t="n">
        <v>2011</v>
      </c>
      <c r="C4941" s="56" t="n">
        <v>6</v>
      </c>
      <c r="D4941" s="56" t="n">
        <v>44</v>
      </c>
      <c r="E4941" s="56" t="n">
        <v>23</v>
      </c>
      <c r="F4941" s="56" t="n">
        <v>0</v>
      </c>
      <c r="G4941" s="56" t="n">
        <v>11.7</v>
      </c>
      <c r="H4941" s="56" t="n">
        <v>0</v>
      </c>
      <c r="I4941" s="56" t="n">
        <v>16.7</v>
      </c>
      <c r="J4941" s="56" t="n">
        <v>0</v>
      </c>
      <c r="K4941" s="56" t="n">
        <v>1011.3</v>
      </c>
      <c r="L4941" s="56" t="n">
        <v>0</v>
      </c>
      <c r="M4941" s="56" t="n">
        <v>75</v>
      </c>
      <c r="N4941" s="56" t="n">
        <v>6</v>
      </c>
      <c r="O4941" s="56" t="n">
        <f aca="false">IF(D4941=1,"",E4940)</f>
        <v>21.7</v>
      </c>
      <c r="P4941" s="56" t="n">
        <f aca="false">IF(OR(D4941=1,K4940=""),"",K4940)</f>
        <v>1013.7</v>
      </c>
      <c r="Q4941" s="56" t="n">
        <f aca="false">IF(OR(F4941&lt;&gt;0,AND(I4941&lt;&gt;"",E4941&lt;I4941)),1,0)</f>
        <v>0</v>
      </c>
      <c r="R4941" s="56" t="n">
        <f aca="false">IF(AND(D4941&gt;1,Q4941=0,ISNUMBER(O4941),ISNUMBER(P4941)),IF(Q4940=0,1,0),0)</f>
        <v>1</v>
      </c>
      <c r="S4941" s="56" t="n">
        <f aca="false">R4941*(B4941&gt;=Train_Start)*(B4941&lt;=Train_End)</f>
        <v>0</v>
      </c>
      <c r="T4941" s="84" t="n">
        <f aca="false">IF(AND(ISNUMBER(O4941),ISNUMBER(P4941)),Coef_A+Coef_B1*O4941+Coef_B2*P4941,"")</f>
        <v>21.6662981014964</v>
      </c>
      <c r="U4941" s="84" t="n">
        <f aca="false">IF(AND(R4941=1,ISNUMBER(T4941)),E4941-T4941,"")</f>
        <v>1.33370189850358</v>
      </c>
      <c r="V4941" s="84" t="n">
        <f aca="false">IF(ISNUMBER(T4941),T4941,-99)</f>
        <v>21.6662981014964</v>
      </c>
      <c r="W4941" s="84" t="n">
        <f aca="false">IF(ISNUMBER(U4941),ABS(U4941),"")</f>
        <v>1.33370189850358</v>
      </c>
    </row>
    <row r="4942" customFormat="false" ht="15" hidden="false" customHeight="false" outlineLevel="0" collapsed="false">
      <c r="A4942" s="57" t="n">
        <v>40708</v>
      </c>
      <c r="B4942" s="56" t="n">
        <v>2011</v>
      </c>
      <c r="C4942" s="56" t="n">
        <v>6</v>
      </c>
      <c r="D4942" s="56" t="n">
        <v>45</v>
      </c>
      <c r="E4942" s="56" t="n">
        <v>20.2</v>
      </c>
      <c r="F4942" s="56" t="n">
        <v>0</v>
      </c>
      <c r="G4942" s="56" t="n">
        <v>9.3</v>
      </c>
      <c r="H4942" s="56" t="n">
        <v>0</v>
      </c>
      <c r="I4942" s="56" t="n">
        <v>16.2</v>
      </c>
      <c r="J4942" s="56" t="n">
        <v>0</v>
      </c>
      <c r="K4942" s="56" t="n">
        <v>1018.3</v>
      </c>
      <c r="L4942" s="56" t="n">
        <v>0</v>
      </c>
      <c r="M4942" s="56" t="n">
        <v>64</v>
      </c>
      <c r="N4942" s="56" t="n">
        <v>12.6</v>
      </c>
      <c r="O4942" s="56" t="n">
        <f aca="false">IF(D4942=1,"",E4941)</f>
        <v>23</v>
      </c>
      <c r="P4942" s="56" t="n">
        <f aca="false">IF(OR(D4942=1,K4941=""),"",K4941)</f>
        <v>1011.3</v>
      </c>
      <c r="Q4942" s="56" t="n">
        <f aca="false">IF(OR(F4942&lt;&gt;0,AND(I4942&lt;&gt;"",E4942&lt;I4942)),1,0)</f>
        <v>0</v>
      </c>
      <c r="R4942" s="56" t="n">
        <f aca="false">IF(AND(D4942&gt;1,Q4942=0,ISNUMBER(O4942),ISNUMBER(P4942)),IF(Q4941=0,1,0),0)</f>
        <v>1</v>
      </c>
      <c r="S4942" s="56" t="n">
        <f aca="false">R4942*(B4942&gt;=Train_Start)*(B4942&lt;=Train_End)</f>
        <v>0</v>
      </c>
      <c r="T4942" s="84" t="n">
        <f aca="false">IF(AND(ISNUMBER(O4942),ISNUMBER(P4942)),Coef_A+Coef_B1*O4942+Coef_B2*P4942,"")</f>
        <v>22.6561513053303</v>
      </c>
      <c r="U4942" s="84" t="n">
        <f aca="false">IF(AND(R4942=1,ISNUMBER(T4942)),E4942-T4942,"")</f>
        <v>-2.45615130533029</v>
      </c>
      <c r="V4942" s="84" t="n">
        <f aca="false">IF(ISNUMBER(T4942),T4942,-99)</f>
        <v>22.6561513053303</v>
      </c>
      <c r="W4942" s="84" t="n">
        <f aca="false">IF(ISNUMBER(U4942),ABS(U4942),"")</f>
        <v>2.45615130533029</v>
      </c>
    </row>
    <row r="4943" customFormat="false" ht="15" hidden="false" customHeight="false" outlineLevel="0" collapsed="false">
      <c r="A4943" s="57" t="n">
        <v>40709</v>
      </c>
      <c r="B4943" s="56" t="n">
        <v>2011</v>
      </c>
      <c r="C4943" s="56" t="n">
        <v>6</v>
      </c>
      <c r="D4943" s="56" t="n">
        <v>46</v>
      </c>
      <c r="E4943" s="56" t="n">
        <v>17.7</v>
      </c>
      <c r="F4943" s="56" t="n">
        <v>0</v>
      </c>
      <c r="G4943" s="56" t="n">
        <v>14</v>
      </c>
      <c r="H4943" s="56" t="n">
        <v>0</v>
      </c>
      <c r="I4943" s="56" t="n">
        <v>17.1</v>
      </c>
      <c r="J4943" s="56" t="n">
        <v>0</v>
      </c>
      <c r="K4943" s="56" t="n">
        <v>1014.5</v>
      </c>
      <c r="L4943" s="56" t="n">
        <v>0</v>
      </c>
      <c r="M4943" s="56" t="n">
        <v>79</v>
      </c>
      <c r="N4943" s="56" t="n">
        <v>1.2</v>
      </c>
      <c r="O4943" s="56" t="n">
        <f aca="false">IF(D4943=1,"",E4942)</f>
        <v>20.2</v>
      </c>
      <c r="P4943" s="56" t="n">
        <f aca="false">IF(OR(D4943=1,K4942=""),"",K4942)</f>
        <v>1018.3</v>
      </c>
      <c r="Q4943" s="56" t="n">
        <f aca="false">IF(OR(F4943&lt;&gt;0,AND(I4943&lt;&gt;"",E4943&lt;I4943)),1,0)</f>
        <v>0</v>
      </c>
      <c r="R4943" s="56" t="n">
        <f aca="false">IF(AND(D4943&gt;1,Q4943=0,ISNUMBER(O4943),ISNUMBER(P4943)),IF(Q4942=0,1,0),0)</f>
        <v>1</v>
      </c>
      <c r="S4943" s="56" t="n">
        <f aca="false">R4943*(B4943&gt;=Train_Start)*(B4943&lt;=Train_End)</f>
        <v>0</v>
      </c>
      <c r="T4943" s="84" t="n">
        <f aca="false">IF(AND(ISNUMBER(O4943),ISNUMBER(P4943)),Coef_A+Coef_B1*O4943+Coef_B2*P4943,"")</f>
        <v>20.5815908272488</v>
      </c>
      <c r="U4943" s="84" t="n">
        <f aca="false">IF(AND(R4943=1,ISNUMBER(T4943)),E4943-T4943,"")</f>
        <v>-2.88159082724878</v>
      </c>
      <c r="V4943" s="84" t="n">
        <f aca="false">IF(ISNUMBER(T4943),T4943,-99)</f>
        <v>20.5815908272488</v>
      </c>
      <c r="W4943" s="84" t="n">
        <f aca="false">IF(ISNUMBER(U4943),ABS(U4943),"")</f>
        <v>2.88159082724878</v>
      </c>
    </row>
    <row r="4944" customFormat="false" ht="15" hidden="false" customHeight="false" outlineLevel="0" collapsed="false">
      <c r="A4944" s="57" t="n">
        <v>40710</v>
      </c>
      <c r="B4944" s="56" t="n">
        <v>2011</v>
      </c>
      <c r="C4944" s="56" t="n">
        <v>6</v>
      </c>
      <c r="D4944" s="56" t="n">
        <v>47</v>
      </c>
      <c r="E4944" s="56" t="n">
        <v>15.4</v>
      </c>
      <c r="F4944" s="56" t="n">
        <v>0</v>
      </c>
      <c r="G4944" s="56" t="n">
        <v>11.8</v>
      </c>
      <c r="H4944" s="56" t="n">
        <v>0</v>
      </c>
      <c r="I4944" s="56" t="n">
        <v>14.8</v>
      </c>
      <c r="J4944" s="56" t="n">
        <v>0</v>
      </c>
      <c r="K4944" s="56" t="n">
        <v>1011</v>
      </c>
      <c r="L4944" s="56" t="n">
        <v>0</v>
      </c>
      <c r="M4944" s="56" t="n">
        <v>82</v>
      </c>
      <c r="N4944" s="56" t="n">
        <v>1.6</v>
      </c>
      <c r="O4944" s="56" t="n">
        <f aca="false">IF(D4944=1,"",E4943)</f>
        <v>17.7</v>
      </c>
      <c r="P4944" s="56" t="n">
        <f aca="false">IF(OR(D4944=1,K4943=""),"",K4943)</f>
        <v>1014.5</v>
      </c>
      <c r="Q4944" s="56" t="n">
        <f aca="false">IF(OR(F4944&lt;&gt;0,AND(I4944&lt;&gt;"",E4944&lt;I4944)),1,0)</f>
        <v>0</v>
      </c>
      <c r="R4944" s="56" t="n">
        <f aca="false">IF(AND(D4944&gt;1,Q4944=0,ISNUMBER(O4944),ISNUMBER(P4944)),IF(Q4943=0,1,0),0)</f>
        <v>1</v>
      </c>
      <c r="S4944" s="56" t="n">
        <f aca="false">R4944*(B4944&gt;=Train_Start)*(B4944&lt;=Train_End)</f>
        <v>0</v>
      </c>
      <c r="T4944" s="84" t="n">
        <f aca="false">IF(AND(ISNUMBER(O4944),ISNUMBER(P4944)),Coef_A+Coef_B1*O4944+Coef_B2*P4944,"")</f>
        <v>18.414037245033</v>
      </c>
      <c r="U4944" s="84" t="n">
        <f aca="false">IF(AND(R4944=1,ISNUMBER(T4944)),E4944-T4944,"")</f>
        <v>-3.01403724503298</v>
      </c>
      <c r="V4944" s="84" t="n">
        <f aca="false">IF(ISNUMBER(T4944),T4944,-99)</f>
        <v>18.414037245033</v>
      </c>
      <c r="W4944" s="84" t="n">
        <f aca="false">IF(ISNUMBER(U4944),ABS(U4944),"")</f>
        <v>3.01403724503298</v>
      </c>
    </row>
    <row r="4945" customFormat="false" ht="15" hidden="false" customHeight="false" outlineLevel="0" collapsed="false">
      <c r="A4945" s="57" t="n">
        <v>40711</v>
      </c>
      <c r="B4945" s="56" t="n">
        <v>2011</v>
      </c>
      <c r="C4945" s="56" t="n">
        <v>6</v>
      </c>
      <c r="D4945" s="56" t="n">
        <v>48</v>
      </c>
      <c r="E4945" s="56" t="n">
        <v>18.6</v>
      </c>
      <c r="F4945" s="56" t="n">
        <v>0</v>
      </c>
      <c r="G4945" s="56" t="n">
        <v>9.7</v>
      </c>
      <c r="H4945" s="56" t="n">
        <v>0</v>
      </c>
      <c r="I4945" s="56" t="n">
        <v>12.6</v>
      </c>
      <c r="J4945" s="56" t="n">
        <v>0</v>
      </c>
      <c r="K4945" s="56" t="n">
        <v>1005.5</v>
      </c>
      <c r="L4945" s="56" t="n">
        <v>0</v>
      </c>
      <c r="M4945" s="56" t="n">
        <v>89</v>
      </c>
      <c r="N4945" s="56" t="n">
        <v>0.1</v>
      </c>
      <c r="O4945" s="56" t="n">
        <f aca="false">IF(D4945=1,"",E4944)</f>
        <v>15.4</v>
      </c>
      <c r="P4945" s="56" t="n">
        <f aca="false">IF(OR(D4945=1,K4944=""),"",K4944)</f>
        <v>1011</v>
      </c>
      <c r="Q4945" s="56" t="n">
        <f aca="false">IF(OR(F4945&lt;&gt;0,AND(I4945&lt;&gt;"",E4945&lt;I4945)),1,0)</f>
        <v>0</v>
      </c>
      <c r="R4945" s="56" t="n">
        <f aca="false">IF(AND(D4945&gt;1,Q4945=0,ISNUMBER(O4945),ISNUMBER(P4945)),IF(Q4944=0,1,0),0)</f>
        <v>1</v>
      </c>
      <c r="S4945" s="56" t="n">
        <f aca="false">R4945*(B4945&gt;=Train_Start)*(B4945&lt;=Train_End)</f>
        <v>0</v>
      </c>
      <c r="T4945" s="84" t="n">
        <f aca="false">IF(AND(ISNUMBER(O4945),ISNUMBER(P4945)),Coef_A+Coef_B1*O4945+Coef_B2*P4945,"")</f>
        <v>16.4197624698159</v>
      </c>
      <c r="U4945" s="84" t="n">
        <f aca="false">IF(AND(R4945=1,ISNUMBER(T4945)),E4945-T4945,"")</f>
        <v>2.1802375301841</v>
      </c>
      <c r="V4945" s="84" t="n">
        <f aca="false">IF(ISNUMBER(T4945),T4945,-99)</f>
        <v>16.4197624698159</v>
      </c>
      <c r="W4945" s="84" t="n">
        <f aca="false">IF(ISNUMBER(U4945),ABS(U4945),"")</f>
        <v>2.1802375301841</v>
      </c>
    </row>
    <row r="4946" customFormat="false" ht="15" hidden="false" customHeight="false" outlineLevel="0" collapsed="false">
      <c r="A4946" s="57" t="n">
        <v>40712</v>
      </c>
      <c r="B4946" s="56" t="n">
        <v>2011</v>
      </c>
      <c r="C4946" s="56" t="n">
        <v>6</v>
      </c>
      <c r="D4946" s="56" t="n">
        <v>49</v>
      </c>
      <c r="E4946" s="56" t="n">
        <v>19</v>
      </c>
      <c r="F4946" s="56" t="n">
        <v>0</v>
      </c>
      <c r="G4946" s="56" t="n">
        <v>10.7</v>
      </c>
      <c r="H4946" s="56" t="n">
        <v>0</v>
      </c>
      <c r="I4946" s="56" t="n">
        <v>14.7</v>
      </c>
      <c r="J4946" s="56" t="n">
        <v>0</v>
      </c>
      <c r="K4946" s="56" t="n">
        <v>1001.5</v>
      </c>
      <c r="L4946" s="56" t="n">
        <v>0</v>
      </c>
      <c r="M4946" s="56" t="n">
        <v>76</v>
      </c>
      <c r="N4946" s="56" t="n">
        <v>5.5</v>
      </c>
      <c r="O4946" s="56" t="n">
        <f aca="false">IF(D4946=1,"",E4945)</f>
        <v>18.6</v>
      </c>
      <c r="P4946" s="56" t="n">
        <f aca="false">IF(OR(D4946=1,K4945=""),"",K4945)</f>
        <v>1005.5</v>
      </c>
      <c r="Q4946" s="56" t="n">
        <f aca="false">IF(OR(F4946&lt;&gt;0,AND(I4946&lt;&gt;"",E4946&lt;I4946)),1,0)</f>
        <v>0</v>
      </c>
      <c r="R4946" s="56" t="n">
        <f aca="false">IF(AND(D4946&gt;1,Q4946=0,ISNUMBER(O4946),ISNUMBER(P4946)),IF(Q4945=0,1,0),0)</f>
        <v>1</v>
      </c>
      <c r="S4946" s="56" t="n">
        <f aca="false">R4946*(B4946&gt;=Train_Start)*(B4946&lt;=Train_End)</f>
        <v>0</v>
      </c>
      <c r="T4946" s="84" t="n">
        <f aca="false">IF(AND(ISNUMBER(O4946),ISNUMBER(P4946)),Coef_A+Coef_B1*O4946+Coef_B2*P4946,"")</f>
        <v>18.8691134670655</v>
      </c>
      <c r="U4946" s="84" t="n">
        <f aca="false">IF(AND(R4946=1,ISNUMBER(T4946)),E4946-T4946,"")</f>
        <v>0.130886532934536</v>
      </c>
      <c r="V4946" s="84" t="n">
        <f aca="false">IF(ISNUMBER(T4946),T4946,-99)</f>
        <v>18.8691134670655</v>
      </c>
      <c r="W4946" s="84" t="n">
        <f aca="false">IF(ISNUMBER(U4946),ABS(U4946),"")</f>
        <v>0.130886532934536</v>
      </c>
    </row>
    <row r="4947" customFormat="false" ht="15" hidden="false" customHeight="false" outlineLevel="0" collapsed="false">
      <c r="A4947" s="57" t="n">
        <v>40713</v>
      </c>
      <c r="B4947" s="56" t="n">
        <v>2011</v>
      </c>
      <c r="C4947" s="56" t="n">
        <v>6</v>
      </c>
      <c r="D4947" s="56" t="n">
        <v>50</v>
      </c>
      <c r="E4947" s="56" t="n">
        <v>21.3</v>
      </c>
      <c r="F4947" s="56" t="n">
        <v>0</v>
      </c>
      <c r="G4947" s="56" t="n">
        <v>10.9</v>
      </c>
      <c r="H4947" s="56" t="n">
        <v>0</v>
      </c>
      <c r="I4947" s="56" t="n">
        <v>15</v>
      </c>
      <c r="J4947" s="56" t="n">
        <v>0</v>
      </c>
      <c r="K4947" s="56" t="n">
        <v>1011.1</v>
      </c>
      <c r="L4947" s="56" t="n">
        <v>0</v>
      </c>
      <c r="M4947" s="56" t="n">
        <v>69</v>
      </c>
      <c r="N4947" s="56" t="n">
        <v>3.5</v>
      </c>
      <c r="O4947" s="56" t="n">
        <f aca="false">IF(D4947=1,"",E4946)</f>
        <v>19</v>
      </c>
      <c r="P4947" s="56" t="n">
        <f aca="false">IF(OR(D4947=1,K4946=""),"",K4946)</f>
        <v>1001.5</v>
      </c>
      <c r="Q4947" s="56" t="n">
        <f aca="false">IF(OR(F4947&lt;&gt;0,AND(I4947&lt;&gt;"",E4947&lt;I4947)),1,0)</f>
        <v>0</v>
      </c>
      <c r="R4947" s="56" t="n">
        <f aca="false">IF(AND(D4947&gt;1,Q4947=0,ISNUMBER(O4947),ISNUMBER(P4947)),IF(Q4946=0,1,0),0)</f>
        <v>1</v>
      </c>
      <c r="S4947" s="56" t="n">
        <f aca="false">R4947*(B4947&gt;=Train_Start)*(B4947&lt;=Train_End)</f>
        <v>0</v>
      </c>
      <c r="T4947" s="84" t="n">
        <f aca="false">IF(AND(ISNUMBER(O4947),ISNUMBER(P4947)),Coef_A+Coef_B1*O4947+Coef_B2*P4947,"")</f>
        <v>19.0713695657466</v>
      </c>
      <c r="U4947" s="84" t="n">
        <f aca="false">IF(AND(R4947=1,ISNUMBER(T4947)),E4947-T4947,"")</f>
        <v>2.22863043425344</v>
      </c>
      <c r="V4947" s="84" t="n">
        <f aca="false">IF(ISNUMBER(T4947),T4947,-99)</f>
        <v>19.0713695657466</v>
      </c>
      <c r="W4947" s="84" t="n">
        <f aca="false">IF(ISNUMBER(U4947),ABS(U4947),"")</f>
        <v>2.22863043425344</v>
      </c>
    </row>
    <row r="4948" customFormat="false" ht="15" hidden="false" customHeight="false" outlineLevel="0" collapsed="false">
      <c r="A4948" s="57" t="n">
        <v>40714</v>
      </c>
      <c r="B4948" s="56" t="n">
        <v>2011</v>
      </c>
      <c r="C4948" s="56" t="n">
        <v>6</v>
      </c>
      <c r="D4948" s="56" t="n">
        <v>51</v>
      </c>
      <c r="E4948" s="56" t="n">
        <v>21.5</v>
      </c>
      <c r="F4948" s="56" t="n">
        <v>0</v>
      </c>
      <c r="G4948" s="56" t="n">
        <v>9.5</v>
      </c>
      <c r="H4948" s="56" t="n">
        <v>0</v>
      </c>
      <c r="I4948" s="56" t="n">
        <v>15.4</v>
      </c>
      <c r="J4948" s="56" t="n">
        <v>0</v>
      </c>
      <c r="K4948" s="56" t="n">
        <v>1011.6</v>
      </c>
      <c r="L4948" s="56" t="n">
        <v>0</v>
      </c>
      <c r="M4948" s="56" t="n">
        <v>79</v>
      </c>
      <c r="N4948" s="56" t="n">
        <v>3.2</v>
      </c>
      <c r="O4948" s="56" t="n">
        <f aca="false">IF(D4948=1,"",E4947)</f>
        <v>21.3</v>
      </c>
      <c r="P4948" s="56" t="n">
        <f aca="false">IF(OR(D4948=1,K4947=""),"",K4947)</f>
        <v>1011.1</v>
      </c>
      <c r="Q4948" s="56" t="n">
        <f aca="false">IF(OR(F4948&lt;&gt;0,AND(I4948&lt;&gt;"",E4948&lt;I4948)),1,0)</f>
        <v>0</v>
      </c>
      <c r="R4948" s="56" t="n">
        <f aca="false">IF(AND(D4948&gt;1,Q4948=0,ISNUMBER(O4948),ISNUMBER(P4948)),IF(Q4947=0,1,0),0)</f>
        <v>1</v>
      </c>
      <c r="S4948" s="56" t="n">
        <f aca="false">R4948*(B4948&gt;=Train_Start)*(B4948&lt;=Train_End)</f>
        <v>0</v>
      </c>
      <c r="T4948" s="84" t="n">
        <f aca="false">IF(AND(ISNUMBER(O4948),ISNUMBER(P4948)),Coef_A+Coef_B1*O4948+Coef_B2*P4948,"")</f>
        <v>21.257000698231</v>
      </c>
      <c r="U4948" s="84" t="n">
        <f aca="false">IF(AND(R4948=1,ISNUMBER(T4948)),E4948-T4948,"")</f>
        <v>0.242999301769022</v>
      </c>
      <c r="V4948" s="84" t="n">
        <f aca="false">IF(ISNUMBER(T4948),T4948,-99)</f>
        <v>21.257000698231</v>
      </c>
      <c r="W4948" s="84" t="n">
        <f aca="false">IF(ISNUMBER(U4948),ABS(U4948),"")</f>
        <v>0.242999301769022</v>
      </c>
    </row>
    <row r="4949" customFormat="false" ht="15" hidden="false" customHeight="false" outlineLevel="0" collapsed="false">
      <c r="A4949" s="57" t="n">
        <v>40715</v>
      </c>
      <c r="B4949" s="56" t="n">
        <v>2011</v>
      </c>
      <c r="C4949" s="56" t="n">
        <v>6</v>
      </c>
      <c r="D4949" s="56" t="n">
        <v>52</v>
      </c>
      <c r="E4949" s="56" t="n">
        <v>18.9</v>
      </c>
      <c r="F4949" s="56" t="n">
        <v>0</v>
      </c>
      <c r="G4949" s="56" t="n">
        <v>14.1</v>
      </c>
      <c r="H4949" s="56" t="n">
        <v>0</v>
      </c>
      <c r="I4949" s="56" t="n">
        <v>17.8</v>
      </c>
      <c r="J4949" s="56" t="n">
        <v>0</v>
      </c>
      <c r="K4949" s="56" t="n">
        <v>1010</v>
      </c>
      <c r="L4949" s="56" t="n">
        <v>0</v>
      </c>
      <c r="M4949" s="56" t="n">
        <v>71</v>
      </c>
      <c r="N4949" s="56" t="n">
        <v>7</v>
      </c>
      <c r="O4949" s="56" t="n">
        <f aca="false">IF(D4949=1,"",E4948)</f>
        <v>21.5</v>
      </c>
      <c r="P4949" s="56" t="n">
        <f aca="false">IF(OR(D4949=1,K4948=""),"",K4948)</f>
        <v>1011.6</v>
      </c>
      <c r="Q4949" s="56" t="n">
        <f aca="false">IF(OR(F4949&lt;&gt;0,AND(I4949&lt;&gt;"",E4949&lt;I4949)),1,0)</f>
        <v>0</v>
      </c>
      <c r="R4949" s="56" t="n">
        <f aca="false">IF(AND(D4949&gt;1,Q4949=0,ISNUMBER(O4949),ISNUMBER(P4949)),IF(Q4948=0,1,0),0)</f>
        <v>1</v>
      </c>
      <c r="S4949" s="56" t="n">
        <f aca="false">R4949*(B4949&gt;=Train_Start)*(B4949&lt;=Train_End)</f>
        <v>0</v>
      </c>
      <c r="T4949" s="84" t="n">
        <f aca="false">IF(AND(ISNUMBER(O4949),ISNUMBER(P4949)),Coef_A+Coef_B1*O4949+Coef_B2*P4949,"")</f>
        <v>21.4365534841565</v>
      </c>
      <c r="U4949" s="84" t="n">
        <f aca="false">IF(AND(R4949=1,ISNUMBER(T4949)),E4949-T4949,"")</f>
        <v>-2.53655348415651</v>
      </c>
      <c r="V4949" s="84" t="n">
        <f aca="false">IF(ISNUMBER(T4949),T4949,-99)</f>
        <v>21.4365534841565</v>
      </c>
      <c r="W4949" s="84" t="n">
        <f aca="false">IF(ISNUMBER(U4949),ABS(U4949),"")</f>
        <v>2.53655348415651</v>
      </c>
    </row>
    <row r="4950" customFormat="false" ht="15" hidden="false" customHeight="false" outlineLevel="0" collapsed="false">
      <c r="A4950" s="57" t="n">
        <v>40716</v>
      </c>
      <c r="B4950" s="56" t="n">
        <v>2011</v>
      </c>
      <c r="C4950" s="56" t="n">
        <v>6</v>
      </c>
      <c r="D4950" s="56" t="n">
        <v>53</v>
      </c>
      <c r="E4950" s="56" t="n">
        <v>19.2</v>
      </c>
      <c r="F4950" s="56" t="n">
        <v>0</v>
      </c>
      <c r="G4950" s="56" t="n">
        <v>11.8</v>
      </c>
      <c r="H4950" s="56" t="n">
        <v>0</v>
      </c>
      <c r="I4950" s="56" t="n">
        <v>15.4</v>
      </c>
      <c r="J4950" s="56" t="n">
        <v>0</v>
      </c>
      <c r="K4950" s="56" t="n">
        <v>1009.1</v>
      </c>
      <c r="L4950" s="56" t="n">
        <v>0</v>
      </c>
      <c r="M4950" s="56" t="n">
        <v>77</v>
      </c>
      <c r="N4950" s="56" t="n">
        <v>3.5</v>
      </c>
      <c r="O4950" s="56" t="n">
        <f aca="false">IF(D4950=1,"",E4949)</f>
        <v>18.9</v>
      </c>
      <c r="P4950" s="56" t="n">
        <f aca="false">IF(OR(D4950=1,K4949=""),"",K4949)</f>
        <v>1010</v>
      </c>
      <c r="Q4950" s="56" t="n">
        <f aca="false">IF(OR(F4950&lt;&gt;0,AND(I4950&lt;&gt;"",E4950&lt;I4950)),1,0)</f>
        <v>0</v>
      </c>
      <c r="R4950" s="56" t="n">
        <f aca="false">IF(AND(D4950&gt;1,Q4950=0,ISNUMBER(O4950),ISNUMBER(P4950)),IF(Q4949=0,1,0),0)</f>
        <v>1</v>
      </c>
      <c r="S4950" s="56" t="n">
        <f aca="false">R4950*(B4950&gt;=Train_Start)*(B4950&lt;=Train_End)</f>
        <v>0</v>
      </c>
      <c r="T4950" s="84" t="n">
        <f aca="false">IF(AND(ISNUMBER(O4950),ISNUMBER(P4950)),Coef_A+Coef_B1*O4950+Coef_B2*P4950,"")</f>
        <v>19.2560797508312</v>
      </c>
      <c r="U4950" s="84" t="n">
        <f aca="false">IF(AND(R4950=1,ISNUMBER(T4950)),E4950-T4950,"")</f>
        <v>-0.0560797508312128</v>
      </c>
      <c r="V4950" s="84" t="n">
        <f aca="false">IF(ISNUMBER(T4950),T4950,-99)</f>
        <v>19.2560797508312</v>
      </c>
      <c r="W4950" s="84" t="n">
        <f aca="false">IF(ISNUMBER(U4950),ABS(U4950),"")</f>
        <v>0.0560797508312128</v>
      </c>
    </row>
    <row r="4951" customFormat="false" ht="15" hidden="false" customHeight="false" outlineLevel="0" collapsed="false">
      <c r="A4951" s="57" t="n">
        <v>40717</v>
      </c>
      <c r="B4951" s="56" t="n">
        <v>2011</v>
      </c>
      <c r="C4951" s="56" t="n">
        <v>6</v>
      </c>
      <c r="D4951" s="56" t="n">
        <v>54</v>
      </c>
      <c r="E4951" s="56" t="n">
        <v>19.6</v>
      </c>
      <c r="F4951" s="56" t="n">
        <v>0</v>
      </c>
      <c r="G4951" s="56" t="n">
        <v>11.3</v>
      </c>
      <c r="H4951" s="56" t="n">
        <v>0</v>
      </c>
      <c r="I4951" s="56" t="n">
        <v>15.3</v>
      </c>
      <c r="J4951" s="56" t="n">
        <v>0</v>
      </c>
      <c r="K4951" s="56" t="n">
        <v>1015.4</v>
      </c>
      <c r="L4951" s="56" t="n">
        <v>0</v>
      </c>
      <c r="M4951" s="56" t="n">
        <v>69</v>
      </c>
      <c r="N4951" s="56" t="n">
        <v>6.8</v>
      </c>
      <c r="O4951" s="56" t="n">
        <f aca="false">IF(D4951=1,"",E4950)</f>
        <v>19.2</v>
      </c>
      <c r="P4951" s="56" t="n">
        <f aca="false">IF(OR(D4951=1,K4950=""),"",K4950)</f>
        <v>1009.1</v>
      </c>
      <c r="Q4951" s="56" t="n">
        <f aca="false">IF(OR(F4951&lt;&gt;0,AND(I4951&lt;&gt;"",E4951&lt;I4951)),1,0)</f>
        <v>0</v>
      </c>
      <c r="R4951" s="56" t="n">
        <f aca="false">IF(AND(D4951&gt;1,Q4951=0,ISNUMBER(O4951),ISNUMBER(P4951)),IF(Q4950=0,1,0),0)</f>
        <v>1</v>
      </c>
      <c r="S4951" s="56" t="n">
        <f aca="false">R4951*(B4951&gt;=Train_Start)*(B4951&lt;=Train_End)</f>
        <v>0</v>
      </c>
      <c r="T4951" s="84" t="n">
        <f aca="false">IF(AND(ISNUMBER(O4951),ISNUMBER(P4951)),Coef_A+Coef_B1*O4951+Coef_B2*P4951,"")</f>
        <v>19.4736486035734</v>
      </c>
      <c r="U4951" s="84" t="n">
        <f aca="false">IF(AND(R4951=1,ISNUMBER(T4951)),E4951-T4951,"")</f>
        <v>0.126351396426578</v>
      </c>
      <c r="V4951" s="84" t="n">
        <f aca="false">IF(ISNUMBER(T4951),T4951,-99)</f>
        <v>19.4736486035734</v>
      </c>
      <c r="W4951" s="84" t="n">
        <f aca="false">IF(ISNUMBER(U4951),ABS(U4951),"")</f>
        <v>0.126351396426578</v>
      </c>
    </row>
    <row r="4952" customFormat="false" ht="15" hidden="false" customHeight="false" outlineLevel="0" collapsed="false">
      <c r="A4952" s="57" t="n">
        <v>40718</v>
      </c>
      <c r="B4952" s="56" t="n">
        <v>2011</v>
      </c>
      <c r="C4952" s="56" t="n">
        <v>6</v>
      </c>
      <c r="D4952" s="56" t="n">
        <v>55</v>
      </c>
      <c r="E4952" s="56" t="n">
        <v>23.9</v>
      </c>
      <c r="F4952" s="56" t="n">
        <v>0</v>
      </c>
      <c r="G4952" s="56" t="n">
        <v>9</v>
      </c>
      <c r="H4952" s="56" t="n">
        <v>0</v>
      </c>
      <c r="I4952" s="56" t="n">
        <v>14.3</v>
      </c>
      <c r="J4952" s="56" t="n">
        <v>0</v>
      </c>
      <c r="K4952" s="56" t="n">
        <v>1022.4</v>
      </c>
      <c r="L4952" s="56" t="n">
        <v>0</v>
      </c>
      <c r="M4952" s="56" t="n">
        <v>71</v>
      </c>
      <c r="N4952" s="56" t="n">
        <v>6.6</v>
      </c>
      <c r="O4952" s="56" t="n">
        <f aca="false">IF(D4952=1,"",E4951)</f>
        <v>19.6</v>
      </c>
      <c r="P4952" s="56" t="n">
        <f aca="false">IF(OR(D4952=1,K4951=""),"",K4951)</f>
        <v>1015.4</v>
      </c>
      <c r="Q4952" s="56" t="n">
        <f aca="false">IF(OR(F4952&lt;&gt;0,AND(I4952&lt;&gt;"",E4952&lt;I4952)),1,0)</f>
        <v>0</v>
      </c>
      <c r="R4952" s="56" t="n">
        <f aca="false">IF(AND(D4952&gt;1,Q4952=0,ISNUMBER(O4952),ISNUMBER(P4952)),IF(Q4951=0,1,0),0)</f>
        <v>1</v>
      </c>
      <c r="S4952" s="56" t="n">
        <f aca="false">R4952*(B4952&gt;=Train_Start)*(B4952&lt;=Train_End)</f>
        <v>0</v>
      </c>
      <c r="T4952" s="84" t="n">
        <f aca="false">IF(AND(ISNUMBER(O4952),ISNUMBER(P4952)),Coef_A+Coef_B1*O4952+Coef_B2*P4952,"")</f>
        <v>19.9990146169846</v>
      </c>
      <c r="U4952" s="84" t="n">
        <f aca="false">IF(AND(R4952=1,ISNUMBER(T4952)),E4952-T4952,"")</f>
        <v>3.90098538301538</v>
      </c>
      <c r="V4952" s="84" t="n">
        <f aca="false">IF(ISNUMBER(T4952),T4952,-99)</f>
        <v>19.9990146169846</v>
      </c>
      <c r="W4952" s="84" t="n">
        <f aca="false">IF(ISNUMBER(U4952),ABS(U4952),"")</f>
        <v>3.90098538301538</v>
      </c>
    </row>
    <row r="4953" customFormat="false" ht="15" hidden="false" customHeight="false" outlineLevel="0" collapsed="false">
      <c r="A4953" s="57" t="n">
        <v>40719</v>
      </c>
      <c r="B4953" s="56" t="n">
        <v>2011</v>
      </c>
      <c r="C4953" s="56" t="n">
        <v>6</v>
      </c>
      <c r="D4953" s="56" t="n">
        <v>56</v>
      </c>
      <c r="E4953" s="56" t="n">
        <v>28.4</v>
      </c>
      <c r="F4953" s="56" t="n">
        <v>0</v>
      </c>
      <c r="G4953" s="56" t="n">
        <v>11.2</v>
      </c>
      <c r="H4953" s="56" t="n">
        <v>0</v>
      </c>
      <c r="I4953" s="56" t="n">
        <v>17.6</v>
      </c>
      <c r="J4953" s="56" t="n">
        <v>0</v>
      </c>
      <c r="K4953" s="56" t="n">
        <v>1021.1</v>
      </c>
      <c r="L4953" s="56" t="n">
        <v>0</v>
      </c>
      <c r="M4953" s="56" t="n">
        <v>82</v>
      </c>
      <c r="N4953" s="56" t="n">
        <v>5.3</v>
      </c>
      <c r="O4953" s="56" t="n">
        <f aca="false">IF(D4953=1,"",E4952)</f>
        <v>23.9</v>
      </c>
      <c r="P4953" s="56" t="n">
        <f aca="false">IF(OR(D4953=1,K4952=""),"",K4952)</f>
        <v>1022.4</v>
      </c>
      <c r="Q4953" s="56" t="n">
        <f aca="false">IF(OR(F4953&lt;&gt;0,AND(I4953&lt;&gt;"",E4953&lt;I4953)),1,0)</f>
        <v>0</v>
      </c>
      <c r="R4953" s="56" t="n">
        <f aca="false">IF(AND(D4953&gt;1,Q4953=0,ISNUMBER(O4953),ISNUMBER(P4953)),IF(Q4952=0,1,0),0)</f>
        <v>1</v>
      </c>
      <c r="S4953" s="56" t="n">
        <f aca="false">R4953*(B4953&gt;=Train_Start)*(B4953&lt;=Train_End)</f>
        <v>0</v>
      </c>
      <c r="T4953" s="84" t="n">
        <f aca="false">IF(AND(ISNUMBER(O4953),ISNUMBER(P4953)),Coef_A+Coef_B1*O4953+Coef_B2*P4953,"")</f>
        <v>23.741762409506</v>
      </c>
      <c r="U4953" s="84" t="n">
        <f aca="false">IF(AND(R4953=1,ISNUMBER(T4953)),E4953-T4953,"")</f>
        <v>4.65823759049403</v>
      </c>
      <c r="V4953" s="84" t="n">
        <f aca="false">IF(ISNUMBER(T4953),T4953,-99)</f>
        <v>23.741762409506</v>
      </c>
      <c r="W4953" s="84" t="n">
        <f aca="false">IF(ISNUMBER(U4953),ABS(U4953),"")</f>
        <v>4.65823759049403</v>
      </c>
    </row>
    <row r="4954" customFormat="false" ht="15" hidden="false" customHeight="false" outlineLevel="0" collapsed="false">
      <c r="A4954" s="57" t="n">
        <v>40720</v>
      </c>
      <c r="B4954" s="56" t="n">
        <v>2011</v>
      </c>
      <c r="C4954" s="56" t="n">
        <v>6</v>
      </c>
      <c r="D4954" s="56" t="n">
        <v>57</v>
      </c>
      <c r="E4954" s="56" t="n">
        <v>31.2</v>
      </c>
      <c r="F4954" s="56" t="n">
        <v>0</v>
      </c>
      <c r="G4954" s="56" t="n">
        <v>15.2</v>
      </c>
      <c r="H4954" s="56" t="n">
        <v>0</v>
      </c>
      <c r="I4954" s="56" t="n">
        <v>21.8</v>
      </c>
      <c r="J4954" s="56" t="n">
        <v>0</v>
      </c>
      <c r="K4954" s="56" t="n">
        <v>1020.7</v>
      </c>
      <c r="L4954" s="56" t="n">
        <v>0</v>
      </c>
      <c r="M4954" s="56" t="n">
        <v>71</v>
      </c>
      <c r="N4954" s="56" t="n">
        <v>11.3</v>
      </c>
      <c r="O4954" s="56" t="n">
        <f aca="false">IF(D4954=1,"",E4953)</f>
        <v>28.4</v>
      </c>
      <c r="P4954" s="56" t="n">
        <f aca="false">IF(OR(D4954=1,K4953=""),"",K4953)</f>
        <v>1021.1</v>
      </c>
      <c r="Q4954" s="56" t="n">
        <f aca="false">IF(OR(F4954&lt;&gt;0,AND(I4954&lt;&gt;"",E4954&lt;I4954)),1,0)</f>
        <v>0</v>
      </c>
      <c r="R4954" s="56" t="n">
        <f aca="false">IF(AND(D4954&gt;1,Q4954=0,ISNUMBER(O4954),ISNUMBER(P4954)),IF(Q4953=0,1,0),0)</f>
        <v>1</v>
      </c>
      <c r="S4954" s="56" t="n">
        <f aca="false">R4954*(B4954&gt;=Train_Start)*(B4954&lt;=Train_End)</f>
        <v>0</v>
      </c>
      <c r="T4954" s="84" t="n">
        <f aca="false">IF(AND(ISNUMBER(O4954),ISNUMBER(P4954)),Coef_A+Coef_B1*O4954+Coef_B2*P4954,"")</f>
        <v>27.3880079151737</v>
      </c>
      <c r="U4954" s="84" t="n">
        <f aca="false">IF(AND(R4954=1,ISNUMBER(T4954)),E4954-T4954,"")</f>
        <v>3.81199208482626</v>
      </c>
      <c r="V4954" s="84" t="n">
        <f aca="false">IF(ISNUMBER(T4954),T4954,-99)</f>
        <v>27.3880079151737</v>
      </c>
      <c r="W4954" s="84" t="n">
        <f aca="false">IF(ISNUMBER(U4954),ABS(U4954),"")</f>
        <v>3.81199208482626</v>
      </c>
    </row>
    <row r="4955" customFormat="false" ht="15" hidden="false" customHeight="false" outlineLevel="0" collapsed="false">
      <c r="A4955" s="57" t="n">
        <v>40721</v>
      </c>
      <c r="B4955" s="56" t="n">
        <v>2011</v>
      </c>
      <c r="C4955" s="56" t="n">
        <v>6</v>
      </c>
      <c r="D4955" s="56" t="n">
        <v>58</v>
      </c>
      <c r="E4955" s="56" t="n">
        <v>20.1</v>
      </c>
      <c r="F4955" s="56" t="n">
        <v>1</v>
      </c>
      <c r="G4955" s="56" t="n">
        <v>18.8</v>
      </c>
      <c r="H4955" s="56" t="n">
        <v>0</v>
      </c>
      <c r="I4955" s="56" t="n">
        <v>25</v>
      </c>
      <c r="J4955" s="56" t="n">
        <v>1</v>
      </c>
      <c r="K4955" s="56" t="n">
        <v>1013.5</v>
      </c>
      <c r="L4955" s="56" t="n">
        <v>0</v>
      </c>
      <c r="M4955" s="56" t="n">
        <v>61</v>
      </c>
      <c r="N4955" s="56" t="n">
        <v>7.9</v>
      </c>
      <c r="O4955" s="56" t="n">
        <f aca="false">IF(D4955=1,"",E4954)</f>
        <v>31.2</v>
      </c>
      <c r="P4955" s="56" t="n">
        <f aca="false">IF(OR(D4955=1,K4954=""),"",K4954)</f>
        <v>1020.7</v>
      </c>
      <c r="Q4955" s="56" t="n">
        <f aca="false">IF(OR(F4955&lt;&gt;0,AND(I4955&lt;&gt;"",E4955&lt;I4955)),1,0)</f>
        <v>1</v>
      </c>
      <c r="R4955" s="56" t="n">
        <f aca="false">IF(AND(D4955&gt;1,Q4955=0,ISNUMBER(O4955),ISNUMBER(P4955)),IF(Q4954=0,1,0),0)</f>
        <v>0</v>
      </c>
      <c r="S4955" s="56" t="n">
        <f aca="false">R4955*(B4955&gt;=Train_Start)*(B4955&lt;=Train_End)</f>
        <v>0</v>
      </c>
      <c r="T4955" s="84" t="n">
        <f aca="false">IF(AND(ISNUMBER(O4955),ISNUMBER(P4955)),Coef_A+Coef_B1*O4955+Coef_B2*P4955,"")</f>
        <v>29.6696096978396</v>
      </c>
      <c r="U4955" s="84" t="str">
        <f aca="false">IF(AND(R4955=1,ISNUMBER(T4955)),E4955-T4955,"")</f>
        <v/>
      </c>
      <c r="V4955" s="84" t="n">
        <f aca="false">IF(ISNUMBER(T4955),T4955,-99)</f>
        <v>29.6696096978396</v>
      </c>
      <c r="W4955" s="84" t="str">
        <f aca="false">IF(ISNUMBER(U4955),ABS(U4955),"")</f>
        <v/>
      </c>
    </row>
    <row r="4956" customFormat="false" ht="15" hidden="false" customHeight="false" outlineLevel="0" collapsed="false">
      <c r="A4956" s="57" t="n">
        <v>40722</v>
      </c>
      <c r="B4956" s="56" t="n">
        <v>2011</v>
      </c>
      <c r="C4956" s="56" t="n">
        <v>6</v>
      </c>
      <c r="D4956" s="56" t="n">
        <v>59</v>
      </c>
      <c r="E4956" s="56" t="n">
        <v>20.5</v>
      </c>
      <c r="F4956" s="56" t="n">
        <v>0</v>
      </c>
      <c r="G4956" s="56" t="n">
        <v>17.8</v>
      </c>
      <c r="H4956" s="56" t="n">
        <v>0</v>
      </c>
      <c r="I4956" s="56" t="n">
        <v>19</v>
      </c>
      <c r="J4956" s="56" t="n">
        <v>0</v>
      </c>
      <c r="K4956" s="56" t="n">
        <v>1015.3</v>
      </c>
      <c r="L4956" s="56" t="n">
        <v>0</v>
      </c>
      <c r="M4956" s="56" t="n">
        <v>83</v>
      </c>
      <c r="N4956" s="56" t="n">
        <v>0.1</v>
      </c>
      <c r="O4956" s="56" t="n">
        <f aca="false">IF(D4956=1,"",E4955)</f>
        <v>20.1</v>
      </c>
      <c r="P4956" s="56" t="n">
        <f aca="false">IF(OR(D4956=1,K4955=""),"",K4955)</f>
        <v>1013.5</v>
      </c>
      <c r="Q4956" s="56" t="n">
        <f aca="false">IF(OR(F4956&lt;&gt;0,AND(I4956&lt;&gt;"",E4956&lt;I4956)),1,0)</f>
        <v>0</v>
      </c>
      <c r="R4956" s="56" t="n">
        <f aca="false">IF(AND(D4956&gt;1,Q4956=0,ISNUMBER(O4956),ISNUMBER(P4956)),IF(Q4955=0,1,0),0)</f>
        <v>0</v>
      </c>
      <c r="S4956" s="56" t="n">
        <f aca="false">R4956*(B4956&gt;=Train_Start)*(B4956&lt;=Train_End)</f>
        <v>0</v>
      </c>
      <c r="T4956" s="84" t="n">
        <f aca="false">IF(AND(ISNUMBER(O4956),ISNUMBER(P4956)),Coef_A+Coef_B1*O4956+Coef_B2*P4956,"")</f>
        <v>20.3490814137014</v>
      </c>
      <c r="U4956" s="84" t="str">
        <f aca="false">IF(AND(R4956=1,ISNUMBER(T4956)),E4956-T4956,"")</f>
        <v/>
      </c>
      <c r="V4956" s="84" t="n">
        <f aca="false">IF(ISNUMBER(T4956),T4956,-99)</f>
        <v>20.3490814137014</v>
      </c>
      <c r="W4956" s="84" t="str">
        <f aca="false">IF(ISNUMBER(U4956),ABS(U4956),"")</f>
        <v/>
      </c>
    </row>
    <row r="4957" customFormat="false" ht="15" hidden="false" customHeight="false" outlineLevel="0" collapsed="false">
      <c r="A4957" s="57" t="n">
        <v>40723</v>
      </c>
      <c r="B4957" s="56" t="n">
        <v>2011</v>
      </c>
      <c r="C4957" s="56" t="n">
        <v>6</v>
      </c>
      <c r="D4957" s="56" t="n">
        <v>60</v>
      </c>
      <c r="E4957" s="56" t="n">
        <v>20.3</v>
      </c>
      <c r="F4957" s="56" t="n">
        <v>0</v>
      </c>
      <c r="G4957" s="56" t="n">
        <v>10.3</v>
      </c>
      <c r="H4957" s="56" t="n">
        <v>0</v>
      </c>
      <c r="I4957" s="56" t="n">
        <v>15.4</v>
      </c>
      <c r="J4957" s="56" t="n">
        <v>0</v>
      </c>
      <c r="K4957" s="56" t="n">
        <v>1022.3</v>
      </c>
      <c r="L4957" s="56" t="n">
        <v>0</v>
      </c>
      <c r="M4957" s="56" t="n">
        <v>55</v>
      </c>
      <c r="N4957" s="56" t="n">
        <v>9.7</v>
      </c>
      <c r="O4957" s="56" t="n">
        <f aca="false">IF(D4957=1,"",E4956)</f>
        <v>20.5</v>
      </c>
      <c r="P4957" s="56" t="n">
        <f aca="false">IF(OR(D4957=1,K4956=""),"",K4956)</f>
        <v>1015.3</v>
      </c>
      <c r="Q4957" s="56" t="n">
        <f aca="false">IF(OR(F4957&lt;&gt;0,AND(I4957&lt;&gt;"",E4957&lt;I4957)),1,0)</f>
        <v>0</v>
      </c>
      <c r="R4957" s="56" t="n">
        <f aca="false">IF(AND(D4957&gt;1,Q4957=0,ISNUMBER(O4957),ISNUMBER(P4957)),IF(Q4956=0,1,0),0)</f>
        <v>1</v>
      </c>
      <c r="S4957" s="56" t="n">
        <f aca="false">R4957*(B4957&gt;=Train_Start)*(B4957&lt;=Train_End)</f>
        <v>0</v>
      </c>
      <c r="T4957" s="84" t="n">
        <f aca="false">IF(AND(ISNUMBER(O4957),ISNUMBER(P4957)),Coef_A+Coef_B1*O4957+Coef_B2*P4957,"")</f>
        <v>20.7332829012596</v>
      </c>
      <c r="U4957" s="84" t="n">
        <f aca="false">IF(AND(R4957=1,ISNUMBER(T4957)),E4957-T4957,"")</f>
        <v>-0.433282901259606</v>
      </c>
      <c r="V4957" s="84" t="n">
        <f aca="false">IF(ISNUMBER(T4957),T4957,-99)</f>
        <v>20.7332829012596</v>
      </c>
      <c r="W4957" s="84" t="n">
        <f aca="false">IF(ISNUMBER(U4957),ABS(U4957),"")</f>
        <v>0.433282901259606</v>
      </c>
    </row>
    <row r="4958" customFormat="false" ht="15" hidden="false" customHeight="false" outlineLevel="0" collapsed="false">
      <c r="A4958" s="57" t="n">
        <v>40724</v>
      </c>
      <c r="B4958" s="56" t="n">
        <v>2011</v>
      </c>
      <c r="C4958" s="56" t="n">
        <v>6</v>
      </c>
      <c r="D4958" s="56" t="n">
        <v>61</v>
      </c>
      <c r="E4958" s="56" t="n">
        <v>20.7</v>
      </c>
      <c r="F4958" s="56" t="n">
        <v>0</v>
      </c>
      <c r="G4958" s="56" t="n">
        <v>9.6</v>
      </c>
      <c r="H4958" s="56" t="n">
        <v>0</v>
      </c>
      <c r="I4958" s="56" t="n">
        <v>15</v>
      </c>
      <c r="J4958" s="56" t="n">
        <v>0</v>
      </c>
      <c r="K4958" s="56" t="n">
        <v>1025.3</v>
      </c>
      <c r="L4958" s="56" t="n">
        <v>0</v>
      </c>
      <c r="M4958" s="56" t="n">
        <v>60</v>
      </c>
      <c r="N4958" s="56" t="n">
        <v>7.6</v>
      </c>
      <c r="O4958" s="56" t="n">
        <f aca="false">IF(D4958=1,"",E4957)</f>
        <v>20.3</v>
      </c>
      <c r="P4958" s="56" t="n">
        <f aca="false">IF(OR(D4958=1,K4957=""),"",K4957)</f>
        <v>1022.3</v>
      </c>
      <c r="Q4958" s="56" t="n">
        <f aca="false">IF(OR(F4958&lt;&gt;0,AND(I4958&lt;&gt;"",E4958&lt;I4958)),1,0)</f>
        <v>0</v>
      </c>
      <c r="R4958" s="56" t="n">
        <f aca="false">IF(AND(D4958&gt;1,Q4958=0,ISNUMBER(O4958),ISNUMBER(P4958)),IF(Q4957=0,1,0),0)</f>
        <v>1</v>
      </c>
      <c r="S4958" s="56" t="n">
        <f aca="false">R4958*(B4958&gt;=Train_Start)*(B4958&lt;=Train_End)</f>
        <v>0</v>
      </c>
      <c r="T4958" s="84" t="n">
        <f aca="false">IF(AND(ISNUMBER(O4958),ISNUMBER(P4958)),Coef_A+Coef_B1*O4958+Coef_B2*P4958,"")</f>
        <v>20.789004325089</v>
      </c>
      <c r="U4958" s="84" t="n">
        <f aca="false">IF(AND(R4958=1,ISNUMBER(T4958)),E4958-T4958,"")</f>
        <v>-0.0890043250890038</v>
      </c>
      <c r="V4958" s="84" t="n">
        <f aca="false">IF(ISNUMBER(T4958),T4958,-99)</f>
        <v>20.789004325089</v>
      </c>
      <c r="W4958" s="84" t="n">
        <f aca="false">IF(ISNUMBER(U4958),ABS(U4958),"")</f>
        <v>0.0890043250890038</v>
      </c>
    </row>
    <row r="4959" customFormat="false" ht="15" hidden="false" customHeight="false" outlineLevel="0" collapsed="false">
      <c r="A4959" s="57" t="n">
        <v>40725</v>
      </c>
      <c r="B4959" s="56" t="n">
        <v>2011</v>
      </c>
      <c r="C4959" s="56" t="n">
        <v>7</v>
      </c>
      <c r="D4959" s="56" t="n">
        <v>62</v>
      </c>
      <c r="E4959" s="56" t="n">
        <v>22.8</v>
      </c>
      <c r="F4959" s="56" t="n">
        <v>0</v>
      </c>
      <c r="G4959" s="56" t="n">
        <v>9.9</v>
      </c>
      <c r="H4959" s="56" t="n">
        <v>0</v>
      </c>
      <c r="I4959" s="56" t="n">
        <v>15.3</v>
      </c>
      <c r="J4959" s="56" t="n">
        <v>0</v>
      </c>
      <c r="K4959" s="56" t="n">
        <v>1025.8</v>
      </c>
      <c r="L4959" s="56" t="n">
        <v>0</v>
      </c>
      <c r="M4959" s="56" t="n">
        <v>54</v>
      </c>
      <c r="N4959" s="56" t="n">
        <v>9.7</v>
      </c>
      <c r="O4959" s="56" t="n">
        <f aca="false">IF(D4959=1,"",E4958)</f>
        <v>20.7</v>
      </c>
      <c r="P4959" s="56" t="n">
        <f aca="false">IF(OR(D4959=1,K4958=""),"",K4958)</f>
        <v>1025.3</v>
      </c>
      <c r="Q4959" s="56" t="n">
        <f aca="false">IF(OR(F4959&lt;&gt;0,AND(I4959&lt;&gt;"",E4959&lt;I4959)),1,0)</f>
        <v>0</v>
      </c>
      <c r="R4959" s="56" t="n">
        <f aca="false">IF(AND(D4959&gt;1,Q4959=0,ISNUMBER(O4959),ISNUMBER(P4959)),IF(Q4958=0,1,0),0)</f>
        <v>1</v>
      </c>
      <c r="S4959" s="56" t="n">
        <f aca="false">R4959*(B4959&gt;=Train_Start)*(B4959&lt;=Train_End)</f>
        <v>0</v>
      </c>
      <c r="T4959" s="84" t="n">
        <f aca="false">IF(AND(ISNUMBER(O4959),ISNUMBER(P4959)),Coef_A+Coef_B1*O4959+Coef_B2*P4959,"")</f>
        <v>21.210849686208</v>
      </c>
      <c r="U4959" s="84" t="n">
        <f aca="false">IF(AND(R4959=1,ISNUMBER(T4959)),E4959-T4959,"")</f>
        <v>1.58915031379197</v>
      </c>
      <c r="V4959" s="84" t="n">
        <f aca="false">IF(ISNUMBER(T4959),T4959,-99)</f>
        <v>21.210849686208</v>
      </c>
      <c r="W4959" s="84" t="n">
        <f aca="false">IF(ISNUMBER(U4959),ABS(U4959),"")</f>
        <v>1.58915031379197</v>
      </c>
    </row>
    <row r="4960" customFormat="false" ht="15" hidden="false" customHeight="false" outlineLevel="0" collapsed="false">
      <c r="A4960" s="57" t="n">
        <v>40726</v>
      </c>
      <c r="B4960" s="56" t="n">
        <v>2011</v>
      </c>
      <c r="C4960" s="56" t="n">
        <v>7</v>
      </c>
      <c r="D4960" s="56" t="n">
        <v>63</v>
      </c>
      <c r="E4960" s="56" t="n">
        <v>24.1</v>
      </c>
      <c r="F4960" s="56" t="n">
        <v>0</v>
      </c>
      <c r="G4960" s="56" t="n">
        <v>13.4</v>
      </c>
      <c r="H4960" s="56" t="n">
        <v>0</v>
      </c>
      <c r="I4960" s="56" t="n">
        <v>18.1</v>
      </c>
      <c r="J4960" s="56" t="n">
        <v>0</v>
      </c>
      <c r="K4960" s="56" t="n">
        <v>1019.9</v>
      </c>
      <c r="L4960" s="56" t="n">
        <v>0</v>
      </c>
      <c r="M4960" s="56" t="n">
        <v>55</v>
      </c>
      <c r="N4960" s="56" t="n">
        <v>6.8</v>
      </c>
      <c r="O4960" s="56" t="n">
        <f aca="false">IF(D4960=1,"",E4959)</f>
        <v>22.8</v>
      </c>
      <c r="P4960" s="56" t="n">
        <f aca="false">IF(OR(D4960=1,K4959=""),"",K4959)</f>
        <v>1025.8</v>
      </c>
      <c r="Q4960" s="56" t="n">
        <f aca="false">IF(OR(F4960&lt;&gt;0,AND(I4960&lt;&gt;"",E4960&lt;I4960)),1,0)</f>
        <v>0</v>
      </c>
      <c r="R4960" s="56" t="n">
        <f aca="false">IF(AND(D4960&gt;1,Q4960=0,ISNUMBER(O4960),ISNUMBER(P4960)),IF(Q4959=0,1,0),0)</f>
        <v>1</v>
      </c>
      <c r="S4960" s="56" t="n">
        <f aca="false">R4960*(B4960&gt;=Train_Start)*(B4960&lt;=Train_End)</f>
        <v>0</v>
      </c>
      <c r="T4960" s="84" t="n">
        <f aca="false">IF(AND(ISNUMBER(O4960),ISNUMBER(P4960)),Coef_A+Coef_B1*O4960+Coef_B2*P4960,"")</f>
        <v>22.9471469389146</v>
      </c>
      <c r="U4960" s="84" t="n">
        <f aca="false">IF(AND(R4960=1,ISNUMBER(T4960)),E4960-T4960,"")</f>
        <v>1.15285306108539</v>
      </c>
      <c r="V4960" s="84" t="n">
        <f aca="false">IF(ISNUMBER(T4960),T4960,-99)</f>
        <v>22.9471469389146</v>
      </c>
      <c r="W4960" s="84" t="n">
        <f aca="false">IF(ISNUMBER(U4960),ABS(U4960),"")</f>
        <v>1.15285306108539</v>
      </c>
    </row>
    <row r="4961" customFormat="false" ht="15" hidden="false" customHeight="false" outlineLevel="0" collapsed="false">
      <c r="A4961" s="57" t="n">
        <v>40727</v>
      </c>
      <c r="B4961" s="56" t="n">
        <v>2011</v>
      </c>
      <c r="C4961" s="56" t="n">
        <v>7</v>
      </c>
      <c r="D4961" s="56" t="n">
        <v>64</v>
      </c>
      <c r="E4961" s="56" t="n">
        <v>25.5</v>
      </c>
      <c r="F4961" s="56" t="n">
        <v>0</v>
      </c>
      <c r="G4961" s="56" t="n">
        <v>11.3</v>
      </c>
      <c r="H4961" s="56" t="n">
        <v>0</v>
      </c>
      <c r="I4961" s="56" t="n">
        <v>17.7</v>
      </c>
      <c r="J4961" s="56" t="n">
        <v>0</v>
      </c>
      <c r="K4961" s="56" t="n">
        <v>1017.6</v>
      </c>
      <c r="L4961" s="56" t="n">
        <v>0</v>
      </c>
      <c r="M4961" s="56" t="n">
        <v>55</v>
      </c>
      <c r="N4961" s="56" t="n">
        <v>7.6</v>
      </c>
      <c r="O4961" s="56" t="n">
        <f aca="false">IF(D4961=1,"",E4960)</f>
        <v>24.1</v>
      </c>
      <c r="P4961" s="56" t="n">
        <f aca="false">IF(OR(D4961=1,K4960=""),"",K4960)</f>
        <v>1019.9</v>
      </c>
      <c r="Q4961" s="56" t="n">
        <f aca="false">IF(OR(F4961&lt;&gt;0,AND(I4961&lt;&gt;"",E4961&lt;I4961)),1,0)</f>
        <v>0</v>
      </c>
      <c r="R4961" s="56" t="n">
        <f aca="false">IF(AND(D4961&gt;1,Q4961=0,ISNUMBER(O4961),ISNUMBER(P4961)),IF(Q4960=0,1,0),0)</f>
        <v>1</v>
      </c>
      <c r="S4961" s="56" t="n">
        <f aca="false">R4961*(B4961&gt;=Train_Start)*(B4961&lt;=Train_End)</f>
        <v>0</v>
      </c>
      <c r="T4961" s="84" t="n">
        <f aca="false">IF(AND(ISNUMBER(O4961),ISNUMBER(P4961)),Coef_A+Coef_B1*O4961+Coef_B2*P4961,"")</f>
        <v>23.8272055115295</v>
      </c>
      <c r="U4961" s="84" t="n">
        <f aca="false">IF(AND(R4961=1,ISNUMBER(T4961)),E4961-T4961,"")</f>
        <v>1.67279448847047</v>
      </c>
      <c r="V4961" s="84" t="n">
        <f aca="false">IF(ISNUMBER(T4961),T4961,-99)</f>
        <v>23.8272055115295</v>
      </c>
      <c r="W4961" s="84" t="n">
        <f aca="false">IF(ISNUMBER(U4961),ABS(U4961),"")</f>
        <v>1.67279448847047</v>
      </c>
    </row>
    <row r="4962" customFormat="false" ht="15" hidden="false" customHeight="false" outlineLevel="0" collapsed="false">
      <c r="A4962" s="57" t="n">
        <v>40728</v>
      </c>
      <c r="B4962" s="56" t="n">
        <v>2011</v>
      </c>
      <c r="C4962" s="56" t="n">
        <v>7</v>
      </c>
      <c r="D4962" s="56" t="n">
        <v>65</v>
      </c>
      <c r="E4962" s="56" t="n">
        <v>25.9</v>
      </c>
      <c r="F4962" s="56" t="n">
        <v>0</v>
      </c>
      <c r="G4962" s="56" t="n">
        <v>13.4</v>
      </c>
      <c r="H4962" s="56" t="n">
        <v>0</v>
      </c>
      <c r="I4962" s="56" t="n">
        <v>19.5</v>
      </c>
      <c r="J4962" s="56" t="n">
        <v>0</v>
      </c>
      <c r="K4962" s="56" t="n">
        <v>1016.9</v>
      </c>
      <c r="L4962" s="56" t="n">
        <v>0</v>
      </c>
      <c r="M4962" s="56" t="n">
        <v>55</v>
      </c>
      <c r="N4962" s="56" t="n">
        <v>6</v>
      </c>
      <c r="O4962" s="56" t="n">
        <f aca="false">IF(D4962=1,"",E4961)</f>
        <v>25.5</v>
      </c>
      <c r="P4962" s="56" t="n">
        <f aca="false">IF(OR(D4962=1,K4961=""),"",K4961)</f>
        <v>1017.6</v>
      </c>
      <c r="Q4962" s="56" t="n">
        <f aca="false">IF(OR(F4962&lt;&gt;0,AND(I4962&lt;&gt;"",E4962&lt;I4962)),1,0)</f>
        <v>0</v>
      </c>
      <c r="R4962" s="56" t="n">
        <f aca="false">IF(AND(D4962&gt;1,Q4962=0,ISNUMBER(O4962),ISNUMBER(P4962)),IF(Q4961=0,1,0),0)</f>
        <v>1</v>
      </c>
      <c r="S4962" s="56" t="n">
        <f aca="false">R4962*(B4962&gt;=Train_Start)*(B4962&lt;=Train_End)</f>
        <v>0</v>
      </c>
      <c r="T4962" s="84" t="n">
        <f aca="false">IF(AND(ISNUMBER(O4962),ISNUMBER(P4962)),Coef_A+Coef_B1*O4962+Coef_B2*P4962,"")</f>
        <v>24.9021296241311</v>
      </c>
      <c r="U4962" s="84" t="n">
        <f aca="false">IF(AND(R4962=1,ISNUMBER(T4962)),E4962-T4962,"")</f>
        <v>0.997870375868924</v>
      </c>
      <c r="V4962" s="84" t="n">
        <f aca="false">IF(ISNUMBER(T4962),T4962,-99)</f>
        <v>24.9021296241311</v>
      </c>
      <c r="W4962" s="84" t="n">
        <f aca="false">IF(ISNUMBER(U4962),ABS(U4962),"")</f>
        <v>0.997870375868924</v>
      </c>
    </row>
    <row r="4963" customFormat="false" ht="15" hidden="false" customHeight="false" outlineLevel="0" collapsed="false">
      <c r="A4963" s="57" t="n">
        <v>40729</v>
      </c>
      <c r="B4963" s="56" t="n">
        <v>2011</v>
      </c>
      <c r="C4963" s="56" t="n">
        <v>7</v>
      </c>
      <c r="D4963" s="56" t="n">
        <v>66</v>
      </c>
      <c r="E4963" s="56" t="n">
        <v>20.8</v>
      </c>
      <c r="F4963" s="56" t="n">
        <v>0</v>
      </c>
      <c r="G4963" s="56" t="n">
        <v>12.2</v>
      </c>
      <c r="H4963" s="56" t="n">
        <v>0</v>
      </c>
      <c r="I4963" s="56" t="n">
        <v>19.1</v>
      </c>
      <c r="J4963" s="56" t="n">
        <v>0</v>
      </c>
      <c r="K4963" s="56" t="n">
        <v>1011.7</v>
      </c>
      <c r="L4963" s="56" t="n">
        <v>0</v>
      </c>
      <c r="M4963" s="56" t="n">
        <v>70</v>
      </c>
      <c r="N4963" s="56" t="n">
        <v>7.6</v>
      </c>
      <c r="O4963" s="56" t="n">
        <f aca="false">IF(D4963=1,"",E4962)</f>
        <v>25.9</v>
      </c>
      <c r="P4963" s="56" t="n">
        <f aca="false">IF(OR(D4963=1,K4962=""),"",K4962)</f>
        <v>1016.9</v>
      </c>
      <c r="Q4963" s="56" t="n">
        <f aca="false">IF(OR(F4963&lt;&gt;0,AND(I4963&lt;&gt;"",E4963&lt;I4963)),1,0)</f>
        <v>0</v>
      </c>
      <c r="R4963" s="56" t="n">
        <f aca="false">IF(AND(D4963&gt;1,Q4963=0,ISNUMBER(O4963),ISNUMBER(P4963)),IF(Q4962=0,1,0),0)</f>
        <v>1</v>
      </c>
      <c r="S4963" s="56" t="n">
        <f aca="false">R4963*(B4963&gt;=Train_Start)*(B4963&lt;=Train_End)</f>
        <v>0</v>
      </c>
      <c r="T4963" s="84" t="n">
        <f aca="false">IF(AND(ISNUMBER(O4963),ISNUMBER(P4963)),Coef_A+Coef_B1*O4963+Coef_B2*P4963,"")</f>
        <v>25.2079063751043</v>
      </c>
      <c r="U4963" s="84" t="n">
        <f aca="false">IF(AND(R4963=1,ISNUMBER(T4963)),E4963-T4963,"")</f>
        <v>-4.40790637510434</v>
      </c>
      <c r="V4963" s="84" t="n">
        <f aca="false">IF(ISNUMBER(T4963),T4963,-99)</f>
        <v>25.2079063751043</v>
      </c>
      <c r="W4963" s="84" t="n">
        <f aca="false">IF(ISNUMBER(U4963),ABS(U4963),"")</f>
        <v>4.40790637510434</v>
      </c>
    </row>
    <row r="4964" customFormat="false" ht="15" hidden="false" customHeight="false" outlineLevel="0" collapsed="false">
      <c r="A4964" s="57" t="n">
        <v>40730</v>
      </c>
      <c r="B4964" s="56" t="n">
        <v>2011</v>
      </c>
      <c r="C4964" s="56" t="n">
        <v>7</v>
      </c>
      <c r="D4964" s="56" t="n">
        <v>67</v>
      </c>
      <c r="E4964" s="56" t="n">
        <v>20.4</v>
      </c>
      <c r="F4964" s="56" t="n">
        <v>0</v>
      </c>
      <c r="G4964" s="56" t="n">
        <v>12.9</v>
      </c>
      <c r="H4964" s="56" t="n">
        <v>0</v>
      </c>
      <c r="I4964" s="56" t="n">
        <v>16.9</v>
      </c>
      <c r="J4964" s="56" t="n">
        <v>0</v>
      </c>
      <c r="K4964" s="56" t="n">
        <v>1005.2</v>
      </c>
      <c r="L4964" s="56" t="n">
        <v>0</v>
      </c>
      <c r="M4964" s="56" t="n">
        <v>69</v>
      </c>
      <c r="N4964" s="56" t="n">
        <v>7.9</v>
      </c>
      <c r="O4964" s="56" t="n">
        <f aca="false">IF(D4964=1,"",E4963)</f>
        <v>20.8</v>
      </c>
      <c r="P4964" s="56" t="n">
        <f aca="false">IF(OR(D4964=1,K4963=""),"",K4963)</f>
        <v>1011.7</v>
      </c>
      <c r="Q4964" s="56" t="n">
        <f aca="false">IF(OR(F4964&lt;&gt;0,AND(I4964&lt;&gt;"",E4964&lt;I4964)),1,0)</f>
        <v>0</v>
      </c>
      <c r="R4964" s="56" t="n">
        <f aca="false">IF(AND(D4964&gt;1,Q4964=0,ISNUMBER(O4964),ISNUMBER(P4964)),IF(Q4963=0,1,0),0)</f>
        <v>1</v>
      </c>
      <c r="S4964" s="56" t="n">
        <f aca="false">R4964*(B4964&gt;=Train_Start)*(B4964&lt;=Train_End)</f>
        <v>0</v>
      </c>
      <c r="T4964" s="84" t="n">
        <f aca="false">IF(AND(ISNUMBER(O4964),ISNUMBER(P4964)),Coef_A+Coef_B1*O4964+Coef_B2*P4964,"")</f>
        <v>20.86615303849</v>
      </c>
      <c r="U4964" s="84" t="n">
        <f aca="false">IF(AND(R4964=1,ISNUMBER(T4964)),E4964-T4964,"")</f>
        <v>-0.466153038490045</v>
      </c>
      <c r="V4964" s="84" t="n">
        <f aca="false">IF(ISNUMBER(T4964),T4964,-99)</f>
        <v>20.86615303849</v>
      </c>
      <c r="W4964" s="84" t="n">
        <f aca="false">IF(ISNUMBER(U4964),ABS(U4964),"")</f>
        <v>0.466153038490045</v>
      </c>
    </row>
    <row r="4965" customFormat="false" ht="15" hidden="false" customHeight="false" outlineLevel="0" collapsed="false">
      <c r="A4965" s="57" t="n">
        <v>40731</v>
      </c>
      <c r="B4965" s="56" t="n">
        <v>2011</v>
      </c>
      <c r="C4965" s="56" t="n">
        <v>7</v>
      </c>
      <c r="D4965" s="56" t="n">
        <v>68</v>
      </c>
      <c r="E4965" s="56" t="n">
        <v>19.8</v>
      </c>
      <c r="F4965" s="56" t="n">
        <v>0</v>
      </c>
      <c r="G4965" s="56" t="n">
        <v>14.3</v>
      </c>
      <c r="H4965" s="56" t="n">
        <v>0</v>
      </c>
      <c r="I4965" s="56" t="n">
        <v>17.4</v>
      </c>
      <c r="J4965" s="56" t="n">
        <v>0</v>
      </c>
      <c r="K4965" s="56" t="n">
        <v>1003.3</v>
      </c>
      <c r="L4965" s="56" t="n">
        <v>0</v>
      </c>
      <c r="M4965" s="56" t="n">
        <v>79</v>
      </c>
      <c r="N4965" s="56" t="n">
        <v>2.9</v>
      </c>
      <c r="O4965" s="56" t="n">
        <f aca="false">IF(D4965=1,"",E4964)</f>
        <v>20.4</v>
      </c>
      <c r="P4965" s="56" t="n">
        <f aca="false">IF(OR(D4965=1,K4964=""),"",K4964)</f>
        <v>1005.2</v>
      </c>
      <c r="Q4965" s="56" t="n">
        <f aca="false">IF(OR(F4965&lt;&gt;0,AND(I4965&lt;&gt;"",E4965&lt;I4965)),1,0)</f>
        <v>0</v>
      </c>
      <c r="R4965" s="56" t="n">
        <f aca="false">IF(AND(D4965&gt;1,Q4965=0,ISNUMBER(O4965),ISNUMBER(P4965)),IF(Q4964=0,1,0),0)</f>
        <v>1</v>
      </c>
      <c r="S4965" s="56" t="n">
        <f aca="false">R4965*(B4965&gt;=Train_Start)*(B4965&lt;=Train_End)</f>
        <v>0</v>
      </c>
      <c r="T4965" s="84" t="n">
        <f aca="false">IF(AND(ISNUMBER(O4965),ISNUMBER(P4965)),Coef_A+Coef_B1*O4965+Coef_B2*P4965,"")</f>
        <v>20.3345130461521</v>
      </c>
      <c r="U4965" s="84" t="n">
        <f aca="false">IF(AND(R4965=1,ISNUMBER(T4965)),E4965-T4965,"")</f>
        <v>-0.53451304615205</v>
      </c>
      <c r="V4965" s="84" t="n">
        <f aca="false">IF(ISNUMBER(T4965),T4965,-99)</f>
        <v>20.3345130461521</v>
      </c>
      <c r="W4965" s="84" t="n">
        <f aca="false">IF(ISNUMBER(U4965),ABS(U4965),"")</f>
        <v>0.53451304615205</v>
      </c>
    </row>
    <row r="4966" customFormat="false" ht="15" hidden="false" customHeight="false" outlineLevel="0" collapsed="false">
      <c r="A4966" s="57" t="n">
        <v>40732</v>
      </c>
      <c r="B4966" s="56" t="n">
        <v>2011</v>
      </c>
      <c r="C4966" s="56" t="n">
        <v>7</v>
      </c>
      <c r="D4966" s="56" t="n">
        <v>69</v>
      </c>
      <c r="E4966" s="56" t="n">
        <v>22.1</v>
      </c>
      <c r="F4966" s="56" t="n">
        <v>0</v>
      </c>
      <c r="G4966" s="56" t="n">
        <v>12.8</v>
      </c>
      <c r="H4966" s="56" t="n">
        <v>0</v>
      </c>
      <c r="I4966" s="56" t="n">
        <v>16.3</v>
      </c>
      <c r="J4966" s="56" t="n">
        <v>0</v>
      </c>
      <c r="K4966" s="56" t="n">
        <v>1004.5</v>
      </c>
      <c r="L4966" s="56" t="n">
        <v>0</v>
      </c>
      <c r="M4966" s="56" t="n">
        <v>78</v>
      </c>
      <c r="N4966" s="56" t="n">
        <v>3.1</v>
      </c>
      <c r="O4966" s="56" t="n">
        <f aca="false">IF(D4966=1,"",E4965)</f>
        <v>19.8</v>
      </c>
      <c r="P4966" s="56" t="n">
        <f aca="false">IF(OR(D4966=1,K4965=""),"",K4965)</f>
        <v>1003.3</v>
      </c>
      <c r="Q4966" s="56" t="n">
        <f aca="false">IF(OR(F4966&lt;&gt;0,AND(I4966&lt;&gt;"",E4966&lt;I4966)),1,0)</f>
        <v>0</v>
      </c>
      <c r="R4966" s="56" t="n">
        <f aca="false">IF(AND(D4966&gt;1,Q4966=0,ISNUMBER(O4966),ISNUMBER(P4966)),IF(Q4965=0,1,0),0)</f>
        <v>1</v>
      </c>
      <c r="S4966" s="56" t="n">
        <f aca="false">R4966*(B4966&gt;=Train_Start)*(B4966&lt;=Train_End)</f>
        <v>0</v>
      </c>
      <c r="T4966" s="84" t="n">
        <f aca="false">IF(AND(ISNUMBER(O4966),ISNUMBER(P4966)),Coef_A+Coef_B1*O4966+Coef_B2*P4966,"")</f>
        <v>19.7833067305219</v>
      </c>
      <c r="U4966" s="84" t="n">
        <f aca="false">IF(AND(R4966=1,ISNUMBER(T4966)),E4966-T4966,"")</f>
        <v>2.31669326947813</v>
      </c>
      <c r="V4966" s="84" t="n">
        <f aca="false">IF(ISNUMBER(T4966),T4966,-99)</f>
        <v>19.7833067305219</v>
      </c>
      <c r="W4966" s="84" t="n">
        <f aca="false">IF(ISNUMBER(U4966),ABS(U4966),"")</f>
        <v>2.31669326947813</v>
      </c>
    </row>
    <row r="4967" customFormat="false" ht="15" hidden="false" customHeight="false" outlineLevel="0" collapsed="false">
      <c r="A4967" s="57" t="n">
        <v>40733</v>
      </c>
      <c r="B4967" s="56" t="n">
        <v>2011</v>
      </c>
      <c r="C4967" s="56" t="n">
        <v>7</v>
      </c>
      <c r="D4967" s="56" t="n">
        <v>70</v>
      </c>
      <c r="E4967" s="56" t="n">
        <v>22.9</v>
      </c>
      <c r="F4967" s="56" t="n">
        <v>0</v>
      </c>
      <c r="G4967" s="56" t="n">
        <v>12.8</v>
      </c>
      <c r="H4967" s="56" t="n">
        <v>0</v>
      </c>
      <c r="I4967" s="56" t="n">
        <v>17.5</v>
      </c>
      <c r="J4967" s="56" t="n">
        <v>0</v>
      </c>
      <c r="K4967" s="56" t="n">
        <v>1011.5</v>
      </c>
      <c r="L4967" s="56" t="n">
        <v>0</v>
      </c>
      <c r="M4967" s="56" t="n">
        <v>73</v>
      </c>
      <c r="N4967" s="56" t="n">
        <v>6.5</v>
      </c>
      <c r="O4967" s="56" t="n">
        <f aca="false">IF(D4967=1,"",E4966)</f>
        <v>22.1</v>
      </c>
      <c r="P4967" s="56" t="n">
        <f aca="false">IF(OR(D4967=1,K4966=""),"",K4966)</f>
        <v>1004.5</v>
      </c>
      <c r="Q4967" s="56" t="n">
        <f aca="false">IF(OR(F4967&lt;&gt;0,AND(I4967&lt;&gt;"",E4967&lt;I4967)),1,0)</f>
        <v>0</v>
      </c>
      <c r="R4967" s="56" t="n">
        <f aca="false">IF(AND(D4967&gt;1,Q4967=0,ISNUMBER(O4967),ISNUMBER(P4967)),IF(Q4966=0,1,0),0)</f>
        <v>1</v>
      </c>
      <c r="S4967" s="56" t="n">
        <f aca="false">R4967*(B4967&gt;=Train_Start)*(B4967&lt;=Train_End)</f>
        <v>0</v>
      </c>
      <c r="T4967" s="84" t="n">
        <f aca="false">IF(AND(ISNUMBER(O4967),ISNUMBER(P4967)),Coef_A+Coef_B1*O4967+Coef_B2*P4967,"")</f>
        <v>21.7054307480808</v>
      </c>
      <c r="U4967" s="84" t="n">
        <f aca="false">IF(AND(R4967=1,ISNUMBER(T4967)),E4967-T4967,"")</f>
        <v>1.19456925191922</v>
      </c>
      <c r="V4967" s="84" t="n">
        <f aca="false">IF(ISNUMBER(T4967),T4967,-99)</f>
        <v>21.7054307480808</v>
      </c>
      <c r="W4967" s="84" t="n">
        <f aca="false">IF(ISNUMBER(U4967),ABS(U4967),"")</f>
        <v>1.19456925191922</v>
      </c>
    </row>
    <row r="4968" customFormat="false" ht="15" hidden="false" customHeight="false" outlineLevel="0" collapsed="false">
      <c r="A4968" s="57" t="n">
        <v>40734</v>
      </c>
      <c r="B4968" s="56" t="n">
        <v>2011</v>
      </c>
      <c r="C4968" s="56" t="n">
        <v>7</v>
      </c>
      <c r="D4968" s="56" t="n">
        <v>71</v>
      </c>
      <c r="E4968" s="56" t="n">
        <v>24.6</v>
      </c>
      <c r="F4968" s="56" t="n">
        <v>0</v>
      </c>
      <c r="G4968" s="56" t="n">
        <v>12.6</v>
      </c>
      <c r="H4968" s="56" t="n">
        <v>0</v>
      </c>
      <c r="I4968" s="56" t="n">
        <v>17.8</v>
      </c>
      <c r="J4968" s="56" t="n">
        <v>0</v>
      </c>
      <c r="K4968" s="56" t="n">
        <v>1017.6</v>
      </c>
      <c r="L4968" s="56" t="n">
        <v>0</v>
      </c>
      <c r="M4968" s="56" t="n">
        <v>71</v>
      </c>
      <c r="N4968" s="56" t="n">
        <v>4.3</v>
      </c>
      <c r="O4968" s="56" t="n">
        <f aca="false">IF(D4968=1,"",E4967)</f>
        <v>22.9</v>
      </c>
      <c r="P4968" s="56" t="n">
        <f aca="false">IF(OR(D4968=1,K4967=""),"",K4967)</f>
        <v>1011.5</v>
      </c>
      <c r="Q4968" s="56" t="n">
        <f aca="false">IF(OR(F4968&lt;&gt;0,AND(I4968&lt;&gt;"",E4968&lt;I4968)),1,0)</f>
        <v>0</v>
      </c>
      <c r="R4968" s="56" t="n">
        <f aca="false">IF(AND(D4968&gt;1,Q4968=0,ISNUMBER(O4968),ISNUMBER(P4968)),IF(Q4967=0,1,0),0)</f>
        <v>1</v>
      </c>
      <c r="S4968" s="56" t="n">
        <f aca="false">R4968*(B4968&gt;=Train_Start)*(B4968&lt;=Train_End)</f>
        <v>0</v>
      </c>
      <c r="T4968" s="84" t="n">
        <f aca="false">IF(AND(ISNUMBER(O4968),ISNUMBER(P4968)),Coef_A+Coef_B1*O4968+Coef_B2*P4968,"")</f>
        <v>22.5804913649528</v>
      </c>
      <c r="U4968" s="84" t="n">
        <f aca="false">IF(AND(R4968=1,ISNUMBER(T4968)),E4968-T4968,"")</f>
        <v>2.01950863504718</v>
      </c>
      <c r="V4968" s="84" t="n">
        <f aca="false">IF(ISNUMBER(T4968),T4968,-99)</f>
        <v>22.5804913649528</v>
      </c>
      <c r="W4968" s="84" t="n">
        <f aca="false">IF(ISNUMBER(U4968),ABS(U4968),"")</f>
        <v>2.01950863504718</v>
      </c>
    </row>
    <row r="4969" customFormat="false" ht="15" hidden="false" customHeight="false" outlineLevel="0" collapsed="false">
      <c r="A4969" s="57" t="n">
        <v>40735</v>
      </c>
      <c r="B4969" s="56" t="n">
        <v>2011</v>
      </c>
      <c r="C4969" s="56" t="n">
        <v>7</v>
      </c>
      <c r="D4969" s="56" t="n">
        <v>72</v>
      </c>
      <c r="E4969" s="56" t="n">
        <v>19.7</v>
      </c>
      <c r="F4969" s="56" t="n">
        <v>0</v>
      </c>
      <c r="G4969" s="56" t="n">
        <v>12.1</v>
      </c>
      <c r="H4969" s="56" t="n">
        <v>0</v>
      </c>
      <c r="I4969" s="56" t="n">
        <v>18.4</v>
      </c>
      <c r="J4969" s="56" t="n">
        <v>0</v>
      </c>
      <c r="K4969" s="56" t="n">
        <v>1019.7</v>
      </c>
      <c r="L4969" s="56" t="n">
        <v>0</v>
      </c>
      <c r="M4969" s="56" t="n">
        <v>60</v>
      </c>
      <c r="N4969" s="56" t="n">
        <v>10.9</v>
      </c>
      <c r="O4969" s="56" t="n">
        <f aca="false">IF(D4969=1,"",E4968)</f>
        <v>24.6</v>
      </c>
      <c r="P4969" s="56" t="n">
        <f aca="false">IF(OR(D4969=1,K4968=""),"",K4968)</f>
        <v>1017.6</v>
      </c>
      <c r="Q4969" s="56" t="n">
        <f aca="false">IF(OR(F4969&lt;&gt;0,AND(I4969&lt;&gt;"",E4969&lt;I4969)),1,0)</f>
        <v>0</v>
      </c>
      <c r="R4969" s="56" t="n">
        <f aca="false">IF(AND(D4969&gt;1,Q4969=0,ISNUMBER(O4969),ISNUMBER(P4969)),IF(Q4968=0,1,0),0)</f>
        <v>1</v>
      </c>
      <c r="S4969" s="56" t="n">
        <f aca="false">R4969*(B4969&gt;=Train_Start)*(B4969&lt;=Train_End)</f>
        <v>0</v>
      </c>
      <c r="T4969" s="84" t="n">
        <f aca="false">IF(AND(ISNUMBER(O4969),ISNUMBER(P4969)),Coef_A+Coef_B1*O4969+Coef_B2*P4969,"")</f>
        <v>24.1647243503927</v>
      </c>
      <c r="U4969" s="84" t="n">
        <f aca="false">IF(AND(R4969=1,ISNUMBER(T4969)),E4969-T4969,"")</f>
        <v>-4.46472435039268</v>
      </c>
      <c r="V4969" s="84" t="n">
        <f aca="false">IF(ISNUMBER(T4969),T4969,-99)</f>
        <v>24.1647243503927</v>
      </c>
      <c r="W4969" s="84" t="n">
        <f aca="false">IF(ISNUMBER(U4969),ABS(U4969),"")</f>
        <v>4.46472435039268</v>
      </c>
    </row>
    <row r="4970" customFormat="false" ht="15" hidden="false" customHeight="false" outlineLevel="0" collapsed="false">
      <c r="A4970" s="57" t="n">
        <v>40736</v>
      </c>
      <c r="B4970" s="56" t="n">
        <v>2011</v>
      </c>
      <c r="C4970" s="56" t="n">
        <v>7</v>
      </c>
      <c r="D4970" s="56" t="n">
        <v>73</v>
      </c>
      <c r="E4970" s="56" t="n">
        <v>18.4</v>
      </c>
      <c r="F4970" s="56" t="n">
        <v>0</v>
      </c>
      <c r="G4970" s="56" t="n">
        <v>15</v>
      </c>
      <c r="H4970" s="56" t="n">
        <v>0</v>
      </c>
      <c r="I4970" s="56" t="n">
        <v>17.4</v>
      </c>
      <c r="J4970" s="56" t="n">
        <v>0</v>
      </c>
      <c r="K4970" s="56" t="n">
        <v>1017.9</v>
      </c>
      <c r="L4970" s="56" t="n">
        <v>0</v>
      </c>
      <c r="M4970" s="56" t="n">
        <v>67</v>
      </c>
      <c r="N4970" s="56" t="n">
        <v>0.6</v>
      </c>
      <c r="O4970" s="56" t="n">
        <f aca="false">IF(D4970=1,"",E4969)</f>
        <v>19.7</v>
      </c>
      <c r="P4970" s="56" t="n">
        <f aca="false">IF(OR(D4970=1,K4969=""),"",K4969)</f>
        <v>1019.7</v>
      </c>
      <c r="Q4970" s="56" t="n">
        <f aca="false">IF(OR(F4970&lt;&gt;0,AND(I4970&lt;&gt;"",E4970&lt;I4970)),1,0)</f>
        <v>0</v>
      </c>
      <c r="R4970" s="56" t="n">
        <f aca="false">IF(AND(D4970&gt;1,Q4970=0,ISNUMBER(O4970),ISNUMBER(P4970)),IF(Q4969=0,1,0),0)</f>
        <v>1</v>
      </c>
      <c r="S4970" s="56" t="n">
        <f aca="false">R4970*(B4970&gt;=Train_Start)*(B4970&lt;=Train_End)</f>
        <v>0</v>
      </c>
      <c r="T4970" s="84" t="n">
        <f aca="false">IF(AND(ISNUMBER(O4970),ISNUMBER(P4970)),Coef_A+Coef_B1*O4970+Coef_B2*P4970,"")</f>
        <v>20.215839083215</v>
      </c>
      <c r="U4970" s="84" t="n">
        <f aca="false">IF(AND(R4970=1,ISNUMBER(T4970)),E4970-T4970,"")</f>
        <v>-1.81583908321504</v>
      </c>
      <c r="V4970" s="84" t="n">
        <f aca="false">IF(ISNUMBER(T4970),T4970,-99)</f>
        <v>20.215839083215</v>
      </c>
      <c r="W4970" s="84" t="n">
        <f aca="false">IF(ISNUMBER(U4970),ABS(U4970),"")</f>
        <v>1.81583908321504</v>
      </c>
    </row>
    <row r="4971" customFormat="false" ht="15" hidden="false" customHeight="false" outlineLevel="0" collapsed="false">
      <c r="A4971" s="57" t="n">
        <v>40737</v>
      </c>
      <c r="B4971" s="56" t="n">
        <v>2011</v>
      </c>
      <c r="C4971" s="56" t="n">
        <v>7</v>
      </c>
      <c r="D4971" s="56" t="n">
        <v>74</v>
      </c>
      <c r="E4971" s="56" t="n">
        <v>23.7</v>
      </c>
      <c r="F4971" s="56" t="n">
        <v>0</v>
      </c>
      <c r="G4971" s="56" t="n">
        <v>12.9</v>
      </c>
      <c r="H4971" s="56" t="n">
        <v>0</v>
      </c>
      <c r="I4971" s="56" t="n">
        <v>15.7</v>
      </c>
      <c r="J4971" s="56" t="n">
        <v>0</v>
      </c>
      <c r="K4971" s="56" t="n">
        <v>1019.4</v>
      </c>
      <c r="L4971" s="56" t="n">
        <v>0</v>
      </c>
      <c r="M4971" s="56" t="n">
        <v>61</v>
      </c>
      <c r="N4971" s="56" t="n">
        <v>1.2</v>
      </c>
      <c r="O4971" s="56" t="n">
        <f aca="false">IF(D4971=1,"",E4970)</f>
        <v>18.4</v>
      </c>
      <c r="P4971" s="56" t="n">
        <f aca="false">IF(OR(D4971=1,K4970=""),"",K4970)</f>
        <v>1017.9</v>
      </c>
      <c r="Q4971" s="56" t="n">
        <f aca="false">IF(OR(F4971&lt;&gt;0,AND(I4971&lt;&gt;"",E4971&lt;I4971)),1,0)</f>
        <v>0</v>
      </c>
      <c r="R4971" s="56" t="n">
        <f aca="false">IF(AND(D4971&gt;1,Q4971=0,ISNUMBER(O4971),ISNUMBER(P4971)),IF(Q4970=0,1,0),0)</f>
        <v>1</v>
      </c>
      <c r="S4971" s="56" t="n">
        <f aca="false">R4971*(B4971&gt;=Train_Start)*(B4971&lt;=Train_End)</f>
        <v>0</v>
      </c>
      <c r="T4971" s="84" t="n">
        <f aca="false">IF(AND(ISNUMBER(O4971),ISNUMBER(P4971)),Coef_A+Coef_B1*O4971+Coef_B2*P4971,"")</f>
        <v>19.0942323219184</v>
      </c>
      <c r="U4971" s="84" t="n">
        <f aca="false">IF(AND(R4971=1,ISNUMBER(T4971)),E4971-T4971,"")</f>
        <v>4.6057676780816</v>
      </c>
      <c r="V4971" s="84" t="n">
        <f aca="false">IF(ISNUMBER(T4971),T4971,-99)</f>
        <v>19.0942323219184</v>
      </c>
      <c r="W4971" s="84" t="n">
        <f aca="false">IF(ISNUMBER(U4971),ABS(U4971),"")</f>
        <v>4.6057676780816</v>
      </c>
    </row>
    <row r="4972" customFormat="false" ht="15" hidden="false" customHeight="false" outlineLevel="0" collapsed="false">
      <c r="A4972" s="57" t="n">
        <v>40738</v>
      </c>
      <c r="B4972" s="56" t="n">
        <v>2011</v>
      </c>
      <c r="C4972" s="56" t="n">
        <v>7</v>
      </c>
      <c r="D4972" s="56" t="n">
        <v>75</v>
      </c>
      <c r="E4972" s="56" t="n">
        <v>25.3</v>
      </c>
      <c r="F4972" s="56" t="n">
        <v>0</v>
      </c>
      <c r="G4972" s="56" t="n">
        <v>11.5</v>
      </c>
      <c r="H4972" s="56" t="n">
        <v>0</v>
      </c>
      <c r="I4972" s="56" t="n">
        <v>17.6</v>
      </c>
      <c r="J4972" s="56" t="n">
        <v>0</v>
      </c>
      <c r="K4972" s="56" t="n">
        <v>1018.7</v>
      </c>
      <c r="L4972" s="56" t="n">
        <v>0</v>
      </c>
      <c r="M4972" s="56" t="n">
        <v>53</v>
      </c>
      <c r="N4972" s="56" t="n">
        <v>9.3</v>
      </c>
      <c r="O4972" s="56" t="n">
        <f aca="false">IF(D4972=1,"",E4971)</f>
        <v>23.7</v>
      </c>
      <c r="P4972" s="56" t="n">
        <f aca="false">IF(OR(D4972=1,K4971=""),"",K4971)</f>
        <v>1019.4</v>
      </c>
      <c r="Q4972" s="56" t="n">
        <f aca="false">IF(OR(F4972&lt;&gt;0,AND(I4972&lt;&gt;"",E4972&lt;I4972)),1,0)</f>
        <v>0</v>
      </c>
      <c r="R4972" s="56" t="n">
        <f aca="false">IF(AND(D4972&gt;1,Q4972=0,ISNUMBER(O4972),ISNUMBER(P4972)),IF(Q4971=0,1,0),0)</f>
        <v>1</v>
      </c>
      <c r="S4972" s="56" t="n">
        <f aca="false">R4972*(B4972&gt;=Train_Start)*(B4972&lt;=Train_End)</f>
        <v>0</v>
      </c>
      <c r="T4972" s="84" t="n">
        <f aca="false">IF(AND(ISNUMBER(O4972),ISNUMBER(P4972)),Coef_A+Coef_B1*O4972+Coef_B2*P4972,"")</f>
        <v>23.4837848869955</v>
      </c>
      <c r="U4972" s="84" t="n">
        <f aca="false">IF(AND(R4972=1,ISNUMBER(T4972)),E4972-T4972,"")</f>
        <v>1.81621511300454</v>
      </c>
      <c r="V4972" s="84" t="n">
        <f aca="false">IF(ISNUMBER(T4972),T4972,-99)</f>
        <v>23.4837848869955</v>
      </c>
      <c r="W4972" s="84" t="n">
        <f aca="false">IF(ISNUMBER(U4972),ABS(U4972),"")</f>
        <v>1.81621511300454</v>
      </c>
    </row>
    <row r="4973" customFormat="false" ht="15" hidden="false" customHeight="false" outlineLevel="0" collapsed="false">
      <c r="A4973" s="57" t="n">
        <v>40739</v>
      </c>
      <c r="B4973" s="56" t="n">
        <v>2011</v>
      </c>
      <c r="C4973" s="56" t="n">
        <v>7</v>
      </c>
      <c r="D4973" s="56" t="n">
        <v>76</v>
      </c>
      <c r="E4973" s="56" t="n">
        <v>19.9</v>
      </c>
      <c r="F4973" s="56" t="n">
        <v>0</v>
      </c>
      <c r="G4973" s="56" t="n">
        <v>12.2</v>
      </c>
      <c r="H4973" s="56" t="n">
        <v>0</v>
      </c>
      <c r="I4973" s="56" t="n">
        <v>18.8</v>
      </c>
      <c r="J4973" s="56" t="n">
        <v>0</v>
      </c>
      <c r="K4973" s="56" t="n">
        <v>1016.5</v>
      </c>
      <c r="L4973" s="56" t="n">
        <v>0</v>
      </c>
      <c r="M4973" s="56" t="n">
        <v>58</v>
      </c>
      <c r="N4973" s="56" t="n">
        <v>9.9</v>
      </c>
      <c r="O4973" s="56" t="n">
        <f aca="false">IF(D4973=1,"",E4972)</f>
        <v>25.3</v>
      </c>
      <c r="P4973" s="56" t="n">
        <f aca="false">IF(OR(D4973=1,K4972=""),"",K4972)</f>
        <v>1018.7</v>
      </c>
      <c r="Q4973" s="56" t="n">
        <f aca="false">IF(OR(F4973&lt;&gt;0,AND(I4973&lt;&gt;"",E4973&lt;I4973)),1,0)</f>
        <v>0</v>
      </c>
      <c r="R4973" s="56" t="n">
        <f aca="false">IF(AND(D4973&gt;1,Q4973=0,ISNUMBER(O4973),ISNUMBER(P4973)),IF(Q4972=0,1,0),0)</f>
        <v>1</v>
      </c>
      <c r="S4973" s="56" t="n">
        <f aca="false">R4973*(B4973&gt;=Train_Start)*(B4973&lt;=Train_End)</f>
        <v>0</v>
      </c>
      <c r="T4973" s="84" t="n">
        <f aca="false">IF(AND(ISNUMBER(O4973),ISNUMBER(P4973)),Coef_A+Coef_B1*O4973+Coef_B2*P4973,"")</f>
        <v>24.7727686696199</v>
      </c>
      <c r="U4973" s="84" t="n">
        <f aca="false">IF(AND(R4973=1,ISNUMBER(T4973)),E4973-T4973,"")</f>
        <v>-4.87276866961993</v>
      </c>
      <c r="V4973" s="84" t="n">
        <f aca="false">IF(ISNUMBER(T4973),T4973,-99)</f>
        <v>24.7727686696199</v>
      </c>
      <c r="W4973" s="84" t="n">
        <f aca="false">IF(ISNUMBER(U4973),ABS(U4973),"")</f>
        <v>4.87276866961993</v>
      </c>
    </row>
    <row r="4974" customFormat="false" ht="15" hidden="false" customHeight="false" outlineLevel="0" collapsed="false">
      <c r="A4974" s="57" t="n">
        <v>40740</v>
      </c>
      <c r="B4974" s="56" t="n">
        <v>2011</v>
      </c>
      <c r="C4974" s="56" t="n">
        <v>7</v>
      </c>
      <c r="D4974" s="56" t="n">
        <v>77</v>
      </c>
      <c r="E4974" s="56" t="n">
        <v>19.3</v>
      </c>
      <c r="F4974" s="56" t="n">
        <v>0</v>
      </c>
      <c r="G4974" s="56" t="n">
        <v>14.7</v>
      </c>
      <c r="H4974" s="56" t="n">
        <v>0</v>
      </c>
      <c r="I4974" s="56" t="n">
        <v>17.3</v>
      </c>
      <c r="J4974" s="56" t="n">
        <v>0</v>
      </c>
      <c r="K4974" s="56" t="n">
        <v>1000.7</v>
      </c>
      <c r="L4974" s="56" t="n">
        <v>0</v>
      </c>
      <c r="M4974" s="56" t="n">
        <v>85</v>
      </c>
      <c r="N4974" s="56" t="n">
        <v>2.5</v>
      </c>
      <c r="O4974" s="56" t="n">
        <f aca="false">IF(D4974=1,"",E4973)</f>
        <v>19.9</v>
      </c>
      <c r="P4974" s="56" t="n">
        <f aca="false">IF(OR(D4974=1,K4973=""),"",K4973)</f>
        <v>1016.5</v>
      </c>
      <c r="Q4974" s="56" t="n">
        <f aca="false">IF(OR(F4974&lt;&gt;0,AND(I4974&lt;&gt;"",E4974&lt;I4974)),1,0)</f>
        <v>0</v>
      </c>
      <c r="R4974" s="56" t="n">
        <f aca="false">IF(AND(D4974&gt;1,Q4974=0,ISNUMBER(O4974),ISNUMBER(P4974)),IF(Q4973=0,1,0),0)</f>
        <v>1</v>
      </c>
      <c r="S4974" s="56" t="n">
        <f aca="false">R4974*(B4974&gt;=Train_Start)*(B4974&lt;=Train_End)</f>
        <v>0</v>
      </c>
      <c r="T4974" s="84" t="n">
        <f aca="false">IF(AND(ISNUMBER(O4974),ISNUMBER(P4974)),Coef_A+Coef_B1*O4974+Coef_B2*P4974,"")</f>
        <v>20.2793232589948</v>
      </c>
      <c r="U4974" s="84" t="n">
        <f aca="false">IF(AND(R4974=1,ISNUMBER(T4974)),E4974-T4974,"")</f>
        <v>-0.9793232589948</v>
      </c>
      <c r="V4974" s="84" t="n">
        <f aca="false">IF(ISNUMBER(T4974),T4974,-99)</f>
        <v>20.2793232589948</v>
      </c>
      <c r="W4974" s="84" t="n">
        <f aca="false">IF(ISNUMBER(U4974),ABS(U4974),"")</f>
        <v>0.9793232589948</v>
      </c>
    </row>
    <row r="4975" customFormat="false" ht="15" hidden="false" customHeight="false" outlineLevel="0" collapsed="false">
      <c r="A4975" s="57" t="n">
        <v>40741</v>
      </c>
      <c r="B4975" s="56" t="n">
        <v>2011</v>
      </c>
      <c r="C4975" s="56" t="n">
        <v>7</v>
      </c>
      <c r="D4975" s="56" t="n">
        <v>78</v>
      </c>
      <c r="E4975" s="56" t="n">
        <v>19.6</v>
      </c>
      <c r="F4975" s="56" t="n">
        <v>0</v>
      </c>
      <c r="G4975" s="56" t="n">
        <v>12.7</v>
      </c>
      <c r="H4975" s="56" t="n">
        <v>0</v>
      </c>
      <c r="I4975" s="56" t="n">
        <v>16</v>
      </c>
      <c r="J4975" s="56" t="n">
        <v>0</v>
      </c>
      <c r="K4975" s="56" t="n">
        <v>993.8</v>
      </c>
      <c r="L4975" s="56" t="n">
        <v>0</v>
      </c>
      <c r="M4975" s="56" t="n">
        <v>80</v>
      </c>
      <c r="N4975" s="56" t="n">
        <v>1.3</v>
      </c>
      <c r="O4975" s="56" t="n">
        <f aca="false">IF(D4975=1,"",E4974)</f>
        <v>19.3</v>
      </c>
      <c r="P4975" s="56" t="n">
        <f aca="false">IF(OR(D4975=1,K4974=""),"",K4974)</f>
        <v>1000.7</v>
      </c>
      <c r="Q4975" s="56" t="n">
        <f aca="false">IF(OR(F4975&lt;&gt;0,AND(I4975&lt;&gt;"",E4975&lt;I4975)),1,0)</f>
        <v>0</v>
      </c>
      <c r="R4975" s="56" t="n">
        <f aca="false">IF(AND(D4975&gt;1,Q4975=0,ISNUMBER(O4975),ISNUMBER(P4975)),IF(Q4974=0,1,0),0)</f>
        <v>1</v>
      </c>
      <c r="S4975" s="56" t="n">
        <f aca="false">R4975*(B4975&gt;=Train_Start)*(B4975&lt;=Train_End)</f>
        <v>0</v>
      </c>
      <c r="T4975" s="84" t="n">
        <f aca="false">IF(AND(ISNUMBER(O4975),ISNUMBER(P4975)),Coef_A+Coef_B1*O4975+Coef_B2*P4975,"")</f>
        <v>19.2920754079522</v>
      </c>
      <c r="U4975" s="84" t="n">
        <f aca="false">IF(AND(R4975=1,ISNUMBER(T4975)),E4975-T4975,"")</f>
        <v>0.307924592047826</v>
      </c>
      <c r="V4975" s="84" t="n">
        <f aca="false">IF(ISNUMBER(T4975),T4975,-99)</f>
        <v>19.2920754079522</v>
      </c>
      <c r="W4975" s="84" t="n">
        <f aca="false">IF(ISNUMBER(U4975),ABS(U4975),"")</f>
        <v>0.307924592047826</v>
      </c>
    </row>
    <row r="4976" customFormat="false" ht="15" hidden="false" customHeight="false" outlineLevel="0" collapsed="false">
      <c r="A4976" s="57" t="n">
        <v>40742</v>
      </c>
      <c r="B4976" s="56" t="n">
        <v>2011</v>
      </c>
      <c r="C4976" s="56" t="n">
        <v>7</v>
      </c>
      <c r="D4976" s="56" t="n">
        <v>79</v>
      </c>
      <c r="E4976" s="56" t="n">
        <v>19.4</v>
      </c>
      <c r="F4976" s="56" t="n">
        <v>0</v>
      </c>
      <c r="G4976" s="56" t="n">
        <v>13.8</v>
      </c>
      <c r="H4976" s="56" t="n">
        <v>0</v>
      </c>
      <c r="I4976" s="56" t="n">
        <v>16.7</v>
      </c>
      <c r="J4976" s="56" t="n">
        <v>0</v>
      </c>
      <c r="K4976" s="56" t="n">
        <v>997.3</v>
      </c>
      <c r="L4976" s="56" t="n">
        <v>0</v>
      </c>
      <c r="M4976" s="56" t="n">
        <v>81</v>
      </c>
      <c r="N4976" s="56" t="n">
        <v>1.1</v>
      </c>
      <c r="O4976" s="56" t="n">
        <f aca="false">IF(D4976=1,"",E4975)</f>
        <v>19.6</v>
      </c>
      <c r="P4976" s="56" t="n">
        <f aca="false">IF(OR(D4976=1,K4975=""),"",K4975)</f>
        <v>993.8</v>
      </c>
      <c r="Q4976" s="56" t="n">
        <f aca="false">IF(OR(F4976&lt;&gt;0,AND(I4976&lt;&gt;"",E4976&lt;I4976)),1,0)</f>
        <v>0</v>
      </c>
      <c r="R4976" s="56" t="n">
        <f aca="false">IF(AND(D4976&gt;1,Q4976=0,ISNUMBER(O4976),ISNUMBER(P4976)),IF(Q4975=0,1,0),0)</f>
        <v>1</v>
      </c>
      <c r="S4976" s="56" t="n">
        <f aca="false">R4976*(B4976&gt;=Train_Start)*(B4976&lt;=Train_End)</f>
        <v>0</v>
      </c>
      <c r="T4976" s="84" t="n">
        <f aca="false">IF(AND(ISNUMBER(O4976),ISNUMBER(P4976)),Coef_A+Coef_B1*O4976+Coef_B2*P4976,"")</f>
        <v>19.3214248928904</v>
      </c>
      <c r="U4976" s="84" t="n">
        <f aca="false">IF(AND(R4976=1,ISNUMBER(T4976)),E4976-T4976,"")</f>
        <v>0.078575107109554</v>
      </c>
      <c r="V4976" s="84" t="n">
        <f aca="false">IF(ISNUMBER(T4976),T4976,-99)</f>
        <v>19.3214248928904</v>
      </c>
      <c r="W4976" s="84" t="n">
        <f aca="false">IF(ISNUMBER(U4976),ABS(U4976),"")</f>
        <v>0.078575107109554</v>
      </c>
    </row>
    <row r="4977" customFormat="false" ht="15" hidden="false" customHeight="false" outlineLevel="0" collapsed="false">
      <c r="A4977" s="57" t="n">
        <v>40743</v>
      </c>
      <c r="B4977" s="56" t="n">
        <v>2011</v>
      </c>
      <c r="C4977" s="56" t="n">
        <v>7</v>
      </c>
      <c r="D4977" s="56" t="n">
        <v>80</v>
      </c>
      <c r="E4977" s="56" t="n">
        <v>18.1</v>
      </c>
      <c r="F4977" s="56" t="n">
        <v>0</v>
      </c>
      <c r="G4977" s="56" t="n">
        <v>11.1</v>
      </c>
      <c r="H4977" s="56" t="n">
        <v>0</v>
      </c>
      <c r="I4977" s="56" t="n">
        <v>15.3</v>
      </c>
      <c r="J4977" s="56" t="n">
        <v>0</v>
      </c>
      <c r="K4977" s="56" t="n">
        <v>1003.7</v>
      </c>
      <c r="L4977" s="56" t="n">
        <v>0</v>
      </c>
      <c r="M4977" s="56" t="n">
        <v>86</v>
      </c>
      <c r="N4977" s="56" t="n">
        <v>2.2</v>
      </c>
      <c r="O4977" s="56" t="n">
        <f aca="false">IF(D4977=1,"",E4976)</f>
        <v>19.4</v>
      </c>
      <c r="P4977" s="56" t="n">
        <f aca="false">IF(OR(D4977=1,K4976=""),"",K4976)</f>
        <v>997.3</v>
      </c>
      <c r="Q4977" s="56" t="n">
        <f aca="false">IF(OR(F4977&lt;&gt;0,AND(I4977&lt;&gt;"",E4977&lt;I4977)),1,0)</f>
        <v>0</v>
      </c>
      <c r="R4977" s="56" t="n">
        <f aca="false">IF(AND(D4977&gt;1,Q4977=0,ISNUMBER(O4977),ISNUMBER(P4977)),IF(Q4976=0,1,0),0)</f>
        <v>1</v>
      </c>
      <c r="S4977" s="56" t="n">
        <f aca="false">R4977*(B4977&gt;=Train_Start)*(B4977&lt;=Train_End)</f>
        <v>0</v>
      </c>
      <c r="T4977" s="84" t="n">
        <f aca="false">IF(AND(ISNUMBER(O4977),ISNUMBER(P4977)),Coef_A+Coef_B1*O4977+Coef_B2*P4977,"")</f>
        <v>19.2673516855009</v>
      </c>
      <c r="U4977" s="84" t="n">
        <f aca="false">IF(AND(R4977=1,ISNUMBER(T4977)),E4977-T4977,"")</f>
        <v>-1.16735168550087</v>
      </c>
      <c r="V4977" s="84" t="n">
        <f aca="false">IF(ISNUMBER(T4977),T4977,-99)</f>
        <v>19.2673516855009</v>
      </c>
      <c r="W4977" s="84" t="n">
        <f aca="false">IF(ISNUMBER(U4977),ABS(U4977),"")</f>
        <v>1.16735168550087</v>
      </c>
    </row>
    <row r="4978" customFormat="false" ht="15" hidden="false" customHeight="false" outlineLevel="0" collapsed="false">
      <c r="A4978" s="57" t="n">
        <v>40744</v>
      </c>
      <c r="B4978" s="56" t="n">
        <v>2011</v>
      </c>
      <c r="C4978" s="56" t="n">
        <v>7</v>
      </c>
      <c r="D4978" s="56" t="n">
        <v>81</v>
      </c>
      <c r="E4978" s="56" t="n">
        <v>19</v>
      </c>
      <c r="F4978" s="56" t="n">
        <v>0</v>
      </c>
      <c r="G4978" s="56" t="n">
        <v>12.8</v>
      </c>
      <c r="H4978" s="56" t="n">
        <v>0</v>
      </c>
      <c r="I4978" s="56" t="n">
        <v>15.5</v>
      </c>
      <c r="J4978" s="56" t="n">
        <v>0</v>
      </c>
      <c r="K4978" s="56" t="n">
        <v>1009.3</v>
      </c>
      <c r="L4978" s="56" t="n">
        <v>0</v>
      </c>
      <c r="M4978" s="56" t="n">
        <v>80</v>
      </c>
      <c r="N4978" s="56" t="n">
        <v>1.3</v>
      </c>
      <c r="O4978" s="56" t="n">
        <f aca="false">IF(D4978=1,"",E4977)</f>
        <v>18.1</v>
      </c>
      <c r="P4978" s="56" t="n">
        <f aca="false">IF(OR(D4978=1,K4977=""),"",K4977)</f>
        <v>1003.7</v>
      </c>
      <c r="Q4978" s="56" t="n">
        <f aca="false">IF(OR(F4978&lt;&gt;0,AND(I4978&lt;&gt;"",E4978&lt;I4978)),1,0)</f>
        <v>0</v>
      </c>
      <c r="R4978" s="56" t="n">
        <f aca="false">IF(AND(D4978&gt;1,Q4978=0,ISNUMBER(O4978),ISNUMBER(P4978)),IF(Q4977=0,1,0),0)</f>
        <v>1</v>
      </c>
      <c r="S4978" s="56" t="n">
        <f aca="false">R4978*(B4978&gt;=Train_Start)*(B4978&lt;=Train_End)</f>
        <v>0</v>
      </c>
      <c r="T4978" s="84" t="n">
        <f aca="false">IF(AND(ISNUMBER(O4978),ISNUMBER(P4978)),Coef_A+Coef_B1*O4978+Coef_B2*P4978,"")</f>
        <v>18.402978060203</v>
      </c>
      <c r="U4978" s="84" t="n">
        <f aca="false">IF(AND(R4978=1,ISNUMBER(T4978)),E4978-T4978,"")</f>
        <v>0.597021939797045</v>
      </c>
      <c r="V4978" s="84" t="n">
        <f aca="false">IF(ISNUMBER(T4978),T4978,-99)</f>
        <v>18.402978060203</v>
      </c>
      <c r="W4978" s="84" t="n">
        <f aca="false">IF(ISNUMBER(U4978),ABS(U4978),"")</f>
        <v>0.597021939797045</v>
      </c>
    </row>
    <row r="4979" customFormat="false" ht="15" hidden="false" customHeight="false" outlineLevel="0" collapsed="false">
      <c r="A4979" s="57" t="n">
        <v>40745</v>
      </c>
      <c r="B4979" s="56" t="n">
        <v>2011</v>
      </c>
      <c r="C4979" s="56" t="n">
        <v>7</v>
      </c>
      <c r="D4979" s="56" t="n">
        <v>82</v>
      </c>
      <c r="E4979" s="56" t="n">
        <v>20.2</v>
      </c>
      <c r="F4979" s="56" t="n">
        <v>0</v>
      </c>
      <c r="G4979" s="56" t="n">
        <v>13.7</v>
      </c>
      <c r="H4979" s="56" t="n">
        <v>0</v>
      </c>
      <c r="I4979" s="56" t="n">
        <v>16.4</v>
      </c>
      <c r="J4979" s="56" t="n">
        <v>0</v>
      </c>
      <c r="K4979" s="56" t="n">
        <v>1012.9</v>
      </c>
      <c r="L4979" s="56" t="n">
        <v>0</v>
      </c>
      <c r="M4979" s="56" t="n">
        <v>84</v>
      </c>
      <c r="N4979" s="56" t="n">
        <v>0</v>
      </c>
      <c r="O4979" s="56" t="n">
        <f aca="false">IF(D4979=1,"",E4978)</f>
        <v>19</v>
      </c>
      <c r="P4979" s="56" t="n">
        <f aca="false">IF(OR(D4979=1,K4978=""),"",K4978)</f>
        <v>1009.3</v>
      </c>
      <c r="Q4979" s="56" t="n">
        <f aca="false">IF(OR(F4979&lt;&gt;0,AND(I4979&lt;&gt;"",E4979&lt;I4979)),1,0)</f>
        <v>0</v>
      </c>
      <c r="R4979" s="56" t="n">
        <f aca="false">IF(AND(D4979&gt;1,Q4979=0,ISNUMBER(O4979),ISNUMBER(P4979)),IF(Q4978=0,1,0),0)</f>
        <v>1</v>
      </c>
      <c r="S4979" s="56" t="n">
        <f aca="false">R4979*(B4979&gt;=Train_Start)*(B4979&lt;=Train_End)</f>
        <v>0</v>
      </c>
      <c r="T4979" s="84" t="n">
        <f aca="false">IF(AND(ISNUMBER(O4979),ISNUMBER(P4979)),Coef_A+Coef_B1*O4979+Coef_B2*P4979,"")</f>
        <v>19.3160547438917</v>
      </c>
      <c r="U4979" s="84" t="n">
        <f aca="false">IF(AND(R4979=1,ISNUMBER(T4979)),E4979-T4979,"")</f>
        <v>0.883945256108316</v>
      </c>
      <c r="V4979" s="84" t="n">
        <f aca="false">IF(ISNUMBER(T4979),T4979,-99)</f>
        <v>19.3160547438917</v>
      </c>
      <c r="W4979" s="84" t="n">
        <f aca="false">IF(ISNUMBER(U4979),ABS(U4979),"")</f>
        <v>0.883945256108316</v>
      </c>
    </row>
    <row r="4980" customFormat="false" ht="15" hidden="false" customHeight="false" outlineLevel="0" collapsed="false">
      <c r="A4980" s="57" t="n">
        <v>40746</v>
      </c>
      <c r="B4980" s="56" t="n">
        <v>2011</v>
      </c>
      <c r="C4980" s="56" t="n">
        <v>7</v>
      </c>
      <c r="D4980" s="56" t="n">
        <v>83</v>
      </c>
      <c r="E4980" s="56" t="n">
        <v>18.9</v>
      </c>
      <c r="F4980" s="56" t="n">
        <v>0</v>
      </c>
      <c r="G4980" s="56" t="n">
        <v>10.8</v>
      </c>
      <c r="H4980" s="56" t="n">
        <v>0</v>
      </c>
      <c r="I4980" s="56" t="n">
        <v>15.5</v>
      </c>
      <c r="J4980" s="56" t="n">
        <v>0</v>
      </c>
      <c r="K4980" s="56" t="n">
        <v>1016.5</v>
      </c>
      <c r="L4980" s="56" t="n">
        <v>0</v>
      </c>
      <c r="M4980" s="56" t="n">
        <v>68</v>
      </c>
      <c r="N4980" s="56" t="n">
        <v>7.9</v>
      </c>
      <c r="O4980" s="56" t="n">
        <f aca="false">IF(D4980=1,"",E4979)</f>
        <v>20.2</v>
      </c>
      <c r="P4980" s="56" t="n">
        <f aca="false">IF(OR(D4980=1,K4979=""),"",K4979)</f>
        <v>1012.9</v>
      </c>
      <c r="Q4980" s="56" t="n">
        <f aca="false">IF(OR(F4980&lt;&gt;0,AND(I4980&lt;&gt;"",E4980&lt;I4980)),1,0)</f>
        <v>0</v>
      </c>
      <c r="R4980" s="56" t="n">
        <f aca="false">IF(AND(D4980&gt;1,Q4980=0,ISNUMBER(O4980),ISNUMBER(P4980)),IF(Q4979=0,1,0),0)</f>
        <v>1</v>
      </c>
      <c r="S4980" s="56" t="n">
        <f aca="false">R4980*(B4980&gt;=Train_Start)*(B4980&lt;=Train_End)</f>
        <v>0</v>
      </c>
      <c r="T4980" s="84" t="n">
        <f aca="false">IF(AND(ISNUMBER(O4980),ISNUMBER(P4980)),Coef_A+Coef_B1*O4980+Coef_B2*P4980,"")</f>
        <v>20.4121933962252</v>
      </c>
      <c r="U4980" s="84" t="n">
        <f aca="false">IF(AND(R4980=1,ISNUMBER(T4980)),E4980-T4980,"")</f>
        <v>-1.51219339622524</v>
      </c>
      <c r="V4980" s="84" t="n">
        <f aca="false">IF(ISNUMBER(T4980),T4980,-99)</f>
        <v>20.4121933962252</v>
      </c>
      <c r="W4980" s="84" t="n">
        <f aca="false">IF(ISNUMBER(U4980),ABS(U4980),"")</f>
        <v>1.51219339622524</v>
      </c>
    </row>
    <row r="4981" customFormat="false" ht="15" hidden="false" customHeight="false" outlineLevel="0" collapsed="false">
      <c r="A4981" s="57" t="n">
        <v>40747</v>
      </c>
      <c r="B4981" s="56" t="n">
        <v>2011</v>
      </c>
      <c r="C4981" s="56" t="n">
        <v>7</v>
      </c>
      <c r="D4981" s="56" t="n">
        <v>84</v>
      </c>
      <c r="E4981" s="56" t="n">
        <v>23.9</v>
      </c>
      <c r="F4981" s="56" t="n">
        <v>0</v>
      </c>
      <c r="G4981" s="56" t="n">
        <v>11.1</v>
      </c>
      <c r="H4981" s="56" t="n">
        <v>0</v>
      </c>
      <c r="I4981" s="56" t="n">
        <v>15</v>
      </c>
      <c r="J4981" s="56" t="n">
        <v>0</v>
      </c>
      <c r="K4981" s="56" t="n">
        <v>1013.8</v>
      </c>
      <c r="L4981" s="56" t="n">
        <v>0</v>
      </c>
      <c r="M4981" s="56" t="n">
        <v>65</v>
      </c>
      <c r="N4981" s="56" t="n">
        <v>4.9</v>
      </c>
      <c r="O4981" s="56" t="n">
        <f aca="false">IF(D4981=1,"",E4980)</f>
        <v>18.9</v>
      </c>
      <c r="P4981" s="56" t="n">
        <f aca="false">IF(OR(D4981=1,K4980=""),"",K4980)</f>
        <v>1016.5</v>
      </c>
      <c r="Q4981" s="56" t="n">
        <f aca="false">IF(OR(F4981&lt;&gt;0,AND(I4981&lt;&gt;"",E4981&lt;I4981)),1,0)</f>
        <v>0</v>
      </c>
      <c r="R4981" s="56" t="n">
        <f aca="false">IF(AND(D4981&gt;1,Q4981=0,ISNUMBER(O4981),ISNUMBER(P4981)),IF(Q4980=0,1,0),0)</f>
        <v>1</v>
      </c>
      <c r="S4981" s="56" t="n">
        <f aca="false">R4981*(B4981&gt;=Train_Start)*(B4981&lt;=Train_End)</f>
        <v>0</v>
      </c>
      <c r="T4981" s="84" t="n">
        <f aca="false">IF(AND(ISNUMBER(O4981),ISNUMBER(P4981)),Coef_A+Coef_B1*O4981+Coef_B2*P4981,"")</f>
        <v>19.4599840659521</v>
      </c>
      <c r="U4981" s="84" t="n">
        <f aca="false">IF(AND(R4981=1,ISNUMBER(T4981)),E4981-T4981,"")</f>
        <v>4.44001593404786</v>
      </c>
      <c r="V4981" s="84" t="n">
        <f aca="false">IF(ISNUMBER(T4981),T4981,-99)</f>
        <v>19.4599840659521</v>
      </c>
      <c r="W4981" s="84" t="n">
        <f aca="false">IF(ISNUMBER(U4981),ABS(U4981),"")</f>
        <v>4.44001593404786</v>
      </c>
    </row>
    <row r="4982" customFormat="false" ht="15" hidden="false" customHeight="false" outlineLevel="0" collapsed="false">
      <c r="A4982" s="57" t="n">
        <v>40748</v>
      </c>
      <c r="B4982" s="56" t="n">
        <v>2011</v>
      </c>
      <c r="C4982" s="56" t="n">
        <v>7</v>
      </c>
      <c r="D4982" s="56" t="n">
        <v>85</v>
      </c>
      <c r="E4982" s="56" t="n">
        <v>24</v>
      </c>
      <c r="F4982" s="56" t="n">
        <v>0</v>
      </c>
      <c r="G4982" s="56" t="n">
        <v>9.5</v>
      </c>
      <c r="H4982" s="56" t="n">
        <v>0</v>
      </c>
      <c r="I4982" s="56" t="n">
        <v>16.7</v>
      </c>
      <c r="J4982" s="56" t="n">
        <v>0</v>
      </c>
      <c r="K4982" s="56" t="n">
        <v>1010.3</v>
      </c>
      <c r="L4982" s="56" t="n">
        <v>0</v>
      </c>
      <c r="M4982" s="56" t="n">
        <v>62</v>
      </c>
      <c r="N4982" s="56" t="n">
        <v>11.5</v>
      </c>
      <c r="O4982" s="56" t="n">
        <f aca="false">IF(D4982=1,"",E4981)</f>
        <v>23.9</v>
      </c>
      <c r="P4982" s="56" t="n">
        <f aca="false">IF(OR(D4982=1,K4981=""),"",K4981)</f>
        <v>1013.8</v>
      </c>
      <c r="Q4982" s="56" t="n">
        <f aca="false">IF(OR(F4982&lt;&gt;0,AND(I4982&lt;&gt;"",E4982&lt;I4982)),1,0)</f>
        <v>0</v>
      </c>
      <c r="R4982" s="56" t="n">
        <f aca="false">IF(AND(D4982&gt;1,Q4982=0,ISNUMBER(O4982),ISNUMBER(P4982)),IF(Q4981=0,1,0),0)</f>
        <v>1</v>
      </c>
      <c r="S4982" s="56" t="n">
        <f aca="false">R4982*(B4982&gt;=Train_Start)*(B4982&lt;=Train_End)</f>
        <v>0</v>
      </c>
      <c r="T4982" s="84" t="n">
        <f aca="false">IF(AND(ISNUMBER(O4982),ISNUMBER(P4982)),Coef_A+Coef_B1*O4982+Coef_B2*P4982,"")</f>
        <v>23.4719813156537</v>
      </c>
      <c r="U4982" s="84" t="n">
        <f aca="false">IF(AND(R4982=1,ISNUMBER(T4982)),E4982-T4982,"")</f>
        <v>0.528018684346343</v>
      </c>
      <c r="V4982" s="84" t="n">
        <f aca="false">IF(ISNUMBER(T4982),T4982,-99)</f>
        <v>23.4719813156537</v>
      </c>
      <c r="W4982" s="84" t="n">
        <f aca="false">IF(ISNUMBER(U4982),ABS(U4982),"")</f>
        <v>0.528018684346343</v>
      </c>
    </row>
    <row r="4983" customFormat="false" ht="15" hidden="false" customHeight="false" outlineLevel="0" collapsed="false">
      <c r="A4983" s="57" t="n">
        <v>40749</v>
      </c>
      <c r="B4983" s="56" t="n">
        <v>2011</v>
      </c>
      <c r="C4983" s="56" t="n">
        <v>7</v>
      </c>
      <c r="D4983" s="56" t="n">
        <v>86</v>
      </c>
      <c r="E4983" s="56" t="n">
        <v>20.5</v>
      </c>
      <c r="F4983" s="56" t="n">
        <v>0</v>
      </c>
      <c r="G4983" s="56" t="n">
        <v>10.9</v>
      </c>
      <c r="H4983" s="56" t="n">
        <v>0</v>
      </c>
      <c r="I4983" s="56" t="n">
        <v>17.5</v>
      </c>
      <c r="J4983" s="56" t="n">
        <v>0</v>
      </c>
      <c r="K4983" s="56" t="n">
        <v>1009.3</v>
      </c>
      <c r="L4983" s="56" t="n">
        <v>0</v>
      </c>
      <c r="M4983" s="56" t="n">
        <v>52</v>
      </c>
      <c r="N4983" s="56" t="n">
        <v>11.2</v>
      </c>
      <c r="O4983" s="56" t="n">
        <f aca="false">IF(D4983=1,"",E4982)</f>
        <v>24</v>
      </c>
      <c r="P4983" s="56" t="n">
        <f aca="false">IF(OR(D4983=1,K4982=""),"",K4982)</f>
        <v>1010.3</v>
      </c>
      <c r="Q4983" s="56" t="n">
        <f aca="false">IF(OR(F4983&lt;&gt;0,AND(I4983&lt;&gt;"",E4983&lt;I4983)),1,0)</f>
        <v>0</v>
      </c>
      <c r="R4983" s="56" t="n">
        <f aca="false">IF(AND(D4983&gt;1,Q4983=0,ISNUMBER(O4983),ISNUMBER(P4983)),IF(Q4982=0,1,0),0)</f>
        <v>1</v>
      </c>
      <c r="S4983" s="56" t="n">
        <f aca="false">R4983*(B4983&gt;=Train_Start)*(B4983&lt;=Train_End)</f>
        <v>0</v>
      </c>
      <c r="T4983" s="84" t="n">
        <f aca="false">IF(AND(ISNUMBER(O4983),ISNUMBER(P4983)),Coef_A+Coef_B1*O4983+Coef_B2*P4983,"")</f>
        <v>23.444120603739</v>
      </c>
      <c r="U4983" s="84" t="n">
        <f aca="false">IF(AND(R4983=1,ISNUMBER(T4983)),E4983-T4983,"")</f>
        <v>-2.94412060373896</v>
      </c>
      <c r="V4983" s="84" t="n">
        <f aca="false">IF(ISNUMBER(T4983),T4983,-99)</f>
        <v>23.444120603739</v>
      </c>
      <c r="W4983" s="84" t="n">
        <f aca="false">IF(ISNUMBER(U4983),ABS(U4983),"")</f>
        <v>2.94412060373896</v>
      </c>
    </row>
    <row r="4984" customFormat="false" ht="15" hidden="false" customHeight="false" outlineLevel="0" collapsed="false">
      <c r="A4984" s="57" t="n">
        <v>40750</v>
      </c>
      <c r="B4984" s="56" t="n">
        <v>2011</v>
      </c>
      <c r="C4984" s="56" t="n">
        <v>7</v>
      </c>
      <c r="D4984" s="56" t="n">
        <v>87</v>
      </c>
      <c r="E4984" s="56" t="n">
        <v>20.8</v>
      </c>
      <c r="F4984" s="56" t="n">
        <v>0</v>
      </c>
      <c r="G4984" s="56" t="n">
        <v>13.9</v>
      </c>
      <c r="H4984" s="56" t="n">
        <v>0</v>
      </c>
      <c r="I4984" s="56" t="n">
        <v>17.2</v>
      </c>
      <c r="J4984" s="56" t="n">
        <v>0</v>
      </c>
      <c r="K4984" s="56" t="n">
        <v>1015.2</v>
      </c>
      <c r="L4984" s="56" t="n">
        <v>0</v>
      </c>
      <c r="M4984" s="56" t="n">
        <v>71</v>
      </c>
      <c r="N4984" s="56" t="n">
        <v>0.5</v>
      </c>
      <c r="O4984" s="56" t="n">
        <f aca="false">IF(D4984=1,"",E4983)</f>
        <v>20.5</v>
      </c>
      <c r="P4984" s="56" t="n">
        <f aca="false">IF(OR(D4984=1,K4983=""),"",K4983)</f>
        <v>1009.3</v>
      </c>
      <c r="Q4984" s="56" t="n">
        <f aca="false">IF(OR(F4984&lt;&gt;0,AND(I4984&lt;&gt;"",E4984&lt;I4984)),1,0)</f>
        <v>0</v>
      </c>
      <c r="R4984" s="56" t="n">
        <f aca="false">IF(AND(D4984&gt;1,Q4984=0,ISNUMBER(O4984),ISNUMBER(P4984)),IF(Q4983=0,1,0),0)</f>
        <v>1</v>
      </c>
      <c r="S4984" s="56" t="n">
        <f aca="false">R4984*(B4984&gt;=Train_Start)*(B4984&lt;=Train_End)</f>
        <v>0</v>
      </c>
      <c r="T4984" s="84" t="n">
        <f aca="false">IF(AND(ISNUMBER(O4984),ISNUMBER(P4984)),Coef_A+Coef_B1*O4984+Coef_B2*P4984,"")</f>
        <v>20.5450635334557</v>
      </c>
      <c r="U4984" s="84" t="n">
        <f aca="false">IF(AND(R4984=1,ISNUMBER(T4984)),E4984-T4984,"")</f>
        <v>0.254936466544333</v>
      </c>
      <c r="V4984" s="84" t="n">
        <f aca="false">IF(ISNUMBER(T4984),T4984,-99)</f>
        <v>20.5450635334557</v>
      </c>
      <c r="W4984" s="84" t="n">
        <f aca="false">IF(ISNUMBER(U4984),ABS(U4984),"")</f>
        <v>0.254936466544333</v>
      </c>
    </row>
    <row r="4985" customFormat="false" ht="15" hidden="false" customHeight="false" outlineLevel="0" collapsed="false">
      <c r="A4985" s="57" t="n">
        <v>40751</v>
      </c>
      <c r="B4985" s="56" t="n">
        <v>2011</v>
      </c>
      <c r="C4985" s="56" t="n">
        <v>7</v>
      </c>
      <c r="D4985" s="56" t="n">
        <v>88</v>
      </c>
      <c r="E4985" s="56" t="n">
        <v>24.5</v>
      </c>
      <c r="F4985" s="56" t="n">
        <v>0</v>
      </c>
      <c r="G4985" s="56" t="n">
        <v>14.8</v>
      </c>
      <c r="H4985" s="56" t="n">
        <v>0</v>
      </c>
      <c r="I4985" s="56" t="n">
        <v>17.8</v>
      </c>
      <c r="J4985" s="56" t="n">
        <v>0</v>
      </c>
      <c r="K4985" s="56" t="n">
        <v>1020.6</v>
      </c>
      <c r="L4985" s="56" t="n">
        <v>0</v>
      </c>
      <c r="M4985" s="56" t="n">
        <v>71</v>
      </c>
      <c r="N4985" s="56" t="n">
        <v>1.2</v>
      </c>
      <c r="O4985" s="56" t="n">
        <f aca="false">IF(D4985=1,"",E4984)</f>
        <v>20.8</v>
      </c>
      <c r="P4985" s="56" t="n">
        <f aca="false">IF(OR(D4985=1,K4984=""),"",K4984)</f>
        <v>1015.2</v>
      </c>
      <c r="Q4985" s="56" t="n">
        <f aca="false">IF(OR(F4985&lt;&gt;0,AND(I4985&lt;&gt;"",E4985&lt;I4985)),1,0)</f>
        <v>0</v>
      </c>
      <c r="R4985" s="56" t="n">
        <f aca="false">IF(AND(D4985&gt;1,Q4985=0,ISNUMBER(O4985),ISNUMBER(P4985)),IF(Q4984=0,1,0),0)</f>
        <v>1</v>
      </c>
      <c r="S4985" s="56" t="n">
        <f aca="false">R4985*(B4985&gt;=Train_Start)*(B4985&lt;=Train_End)</f>
        <v>0</v>
      </c>
      <c r="T4985" s="84" t="n">
        <f aca="false">IF(AND(ISNUMBER(O4985),ISNUMBER(P4985)),Coef_A+Coef_B1*O4985+Coef_B2*P4985,"")</f>
        <v>20.975947669709</v>
      </c>
      <c r="U4985" s="84" t="n">
        <f aca="false">IF(AND(R4985=1,ISNUMBER(T4985)),E4985-T4985,"")</f>
        <v>3.52405233029099</v>
      </c>
      <c r="V4985" s="84" t="n">
        <f aca="false">IF(ISNUMBER(T4985),T4985,-99)</f>
        <v>20.975947669709</v>
      </c>
      <c r="W4985" s="84" t="n">
        <f aca="false">IF(ISNUMBER(U4985),ABS(U4985),"")</f>
        <v>3.52405233029099</v>
      </c>
    </row>
    <row r="4986" customFormat="false" ht="15" hidden="false" customHeight="false" outlineLevel="0" collapsed="false">
      <c r="A4986" s="57" t="n">
        <v>40752</v>
      </c>
      <c r="B4986" s="56" t="n">
        <v>2011</v>
      </c>
      <c r="C4986" s="56" t="n">
        <v>7</v>
      </c>
      <c r="D4986" s="56" t="n">
        <v>89</v>
      </c>
      <c r="E4986" s="56" t="n">
        <v>21.1</v>
      </c>
      <c r="F4986" s="56" t="n">
        <v>0</v>
      </c>
      <c r="G4986" s="56" t="n">
        <v>14.5</v>
      </c>
      <c r="H4986" s="56" t="n">
        <v>0</v>
      </c>
      <c r="I4986" s="56" t="n">
        <v>19.5</v>
      </c>
      <c r="J4986" s="56" t="n">
        <v>0</v>
      </c>
      <c r="K4986" s="56" t="n">
        <v>1022.2</v>
      </c>
      <c r="L4986" s="56" t="n">
        <v>0</v>
      </c>
      <c r="M4986" s="56" t="n">
        <v>65</v>
      </c>
      <c r="N4986" s="56" t="n">
        <v>6.7</v>
      </c>
      <c r="O4986" s="56" t="n">
        <f aca="false">IF(D4986=1,"",E4985)</f>
        <v>24.5</v>
      </c>
      <c r="P4986" s="56" t="n">
        <f aca="false">IF(OR(D4986=1,K4985=""),"",K4985)</f>
        <v>1020.6</v>
      </c>
      <c r="Q4986" s="56" t="n">
        <f aca="false">IF(OR(F4986&lt;&gt;0,AND(I4986&lt;&gt;"",E4986&lt;I4986)),1,0)</f>
        <v>0</v>
      </c>
      <c r="R4986" s="56" t="n">
        <f aca="false">IF(AND(D4986&gt;1,Q4986=0,ISNUMBER(O4986),ISNUMBER(P4986)),IF(Q4985=0,1,0),0)</f>
        <v>1</v>
      </c>
      <c r="S4986" s="56" t="n">
        <f aca="false">R4986*(B4986&gt;=Train_Start)*(B4986&lt;=Train_End)</f>
        <v>0</v>
      </c>
      <c r="T4986" s="84" t="n">
        <f aca="false">IF(AND(ISNUMBER(O4986),ISNUMBER(P4986)),Coef_A+Coef_B1*O4986+Coef_B2*P4986,"")</f>
        <v>24.1769001149904</v>
      </c>
      <c r="U4986" s="84" t="n">
        <f aca="false">IF(AND(R4986=1,ISNUMBER(T4986)),E4986-T4986,"")</f>
        <v>-3.07690011499038</v>
      </c>
      <c r="V4986" s="84" t="n">
        <f aca="false">IF(ISNUMBER(T4986),T4986,-99)</f>
        <v>24.1769001149904</v>
      </c>
      <c r="W4986" s="84" t="n">
        <f aca="false">IF(ISNUMBER(U4986),ABS(U4986),"")</f>
        <v>3.07690011499038</v>
      </c>
    </row>
    <row r="4987" customFormat="false" ht="15" hidden="false" customHeight="false" outlineLevel="0" collapsed="false">
      <c r="A4987" s="57" t="n">
        <v>40753</v>
      </c>
      <c r="B4987" s="56" t="n">
        <v>2011</v>
      </c>
      <c r="C4987" s="56" t="n">
        <v>7</v>
      </c>
      <c r="D4987" s="56" t="n">
        <v>90</v>
      </c>
      <c r="E4987" s="56" t="n">
        <v>22.6</v>
      </c>
      <c r="F4987" s="56" t="n">
        <v>0</v>
      </c>
      <c r="G4987" s="56" t="n">
        <v>13.7</v>
      </c>
      <c r="H4987" s="56" t="n">
        <v>0</v>
      </c>
      <c r="I4987" s="56" t="n">
        <v>17.4</v>
      </c>
      <c r="J4987" s="56" t="n">
        <v>0</v>
      </c>
      <c r="K4987" s="56" t="n">
        <v>1023.3</v>
      </c>
      <c r="L4987" s="56" t="n">
        <v>0</v>
      </c>
      <c r="M4987" s="56" t="n">
        <v>71</v>
      </c>
      <c r="N4987" s="56" t="n">
        <v>1.7</v>
      </c>
      <c r="O4987" s="56" t="n">
        <f aca="false">IF(D4987=1,"",E4986)</f>
        <v>21.1</v>
      </c>
      <c r="P4987" s="56" t="n">
        <f aca="false">IF(OR(D4987=1,K4986=""),"",K4986)</f>
        <v>1022.2</v>
      </c>
      <c r="Q4987" s="56" t="n">
        <f aca="false">IF(OR(F4987&lt;&gt;0,AND(I4987&lt;&gt;"",E4987&lt;I4987)),1,0)</f>
        <v>0</v>
      </c>
      <c r="R4987" s="56" t="n">
        <f aca="false">IF(AND(D4987&gt;1,Q4987=0,ISNUMBER(O4987),ISNUMBER(P4987)),IF(Q4986=0,1,0),0)</f>
        <v>1</v>
      </c>
      <c r="S4987" s="56" t="n">
        <f aca="false">R4987*(B4987&gt;=Train_Start)*(B4987&lt;=Train_End)</f>
        <v>0</v>
      </c>
      <c r="T4987" s="84" t="n">
        <f aca="false">IF(AND(ISNUMBER(O4987),ISNUMBER(P4987)),Coef_A+Coef_B1*O4987+Coef_B2*P4987,"")</f>
        <v>21.4413386900597</v>
      </c>
      <c r="U4987" s="84" t="n">
        <f aca="false">IF(AND(R4987=1,ISNUMBER(T4987)),E4987-T4987,"")</f>
        <v>1.15866130994027</v>
      </c>
      <c r="V4987" s="84" t="n">
        <f aca="false">IF(ISNUMBER(T4987),T4987,-99)</f>
        <v>21.4413386900597</v>
      </c>
      <c r="W4987" s="84" t="n">
        <f aca="false">IF(ISNUMBER(U4987),ABS(U4987),"")</f>
        <v>1.15866130994027</v>
      </c>
    </row>
    <row r="4988" customFormat="false" ht="15" hidden="false" customHeight="false" outlineLevel="0" collapsed="false">
      <c r="A4988" s="57" t="n">
        <v>40754</v>
      </c>
      <c r="B4988" s="56" t="n">
        <v>2011</v>
      </c>
      <c r="C4988" s="56" t="n">
        <v>7</v>
      </c>
      <c r="D4988" s="56" t="n">
        <v>91</v>
      </c>
      <c r="E4988" s="56" t="n">
        <v>24.5</v>
      </c>
      <c r="F4988" s="56" t="n">
        <v>0</v>
      </c>
      <c r="G4988" s="56" t="n">
        <v>12</v>
      </c>
      <c r="H4988" s="56" t="n">
        <v>0</v>
      </c>
      <c r="I4988" s="56" t="n">
        <v>17.3</v>
      </c>
      <c r="J4988" s="56" t="n">
        <v>0</v>
      </c>
      <c r="K4988" s="56" t="n">
        <v>1021.6</v>
      </c>
      <c r="L4988" s="56" t="n">
        <v>0</v>
      </c>
      <c r="M4988" s="56" t="n">
        <v>56</v>
      </c>
      <c r="N4988" s="56" t="n">
        <v>12.9</v>
      </c>
      <c r="O4988" s="56" t="n">
        <f aca="false">IF(D4988=1,"",E4987)</f>
        <v>22.6</v>
      </c>
      <c r="P4988" s="56" t="n">
        <f aca="false">IF(OR(D4988=1,K4987=""),"",K4987)</f>
        <v>1023.3</v>
      </c>
      <c r="Q4988" s="56" t="n">
        <f aca="false">IF(OR(F4988&lt;&gt;0,AND(I4988&lt;&gt;"",E4988&lt;I4988)),1,0)</f>
        <v>0</v>
      </c>
      <c r="R4988" s="56" t="n">
        <f aca="false">IF(AND(D4988&gt;1,Q4988=0,ISNUMBER(O4988),ISNUMBER(P4988)),IF(Q4987=0,1,0),0)</f>
        <v>1</v>
      </c>
      <c r="S4988" s="56" t="n">
        <f aca="false">R4988*(B4988&gt;=Train_Start)*(B4988&lt;=Train_End)</f>
        <v>0</v>
      </c>
      <c r="T4988" s="84" t="n">
        <f aca="false">IF(AND(ISNUMBER(O4988),ISNUMBER(P4988)),Coef_A+Coef_B1*O4988+Coef_B2*P4988,"")</f>
        <v>22.7048543637211</v>
      </c>
      <c r="U4988" s="84" t="n">
        <f aca="false">IF(AND(R4988=1,ISNUMBER(T4988)),E4988-T4988,"")</f>
        <v>1.79514563627889</v>
      </c>
      <c r="V4988" s="84" t="n">
        <f aca="false">IF(ISNUMBER(T4988),T4988,-99)</f>
        <v>22.7048543637211</v>
      </c>
      <c r="W4988" s="84" t="n">
        <f aca="false">IF(ISNUMBER(U4988),ABS(U4988),"")</f>
        <v>1.79514563627889</v>
      </c>
    </row>
    <row r="4989" customFormat="false" ht="15" hidden="false" customHeight="false" outlineLevel="0" collapsed="false">
      <c r="A4989" s="57" t="n">
        <v>40755</v>
      </c>
      <c r="B4989" s="56" t="n">
        <v>2011</v>
      </c>
      <c r="C4989" s="56" t="n">
        <v>7</v>
      </c>
      <c r="D4989" s="56" t="n">
        <v>92</v>
      </c>
      <c r="E4989" s="56" t="n">
        <v>29</v>
      </c>
      <c r="F4989" s="56" t="n">
        <v>0</v>
      </c>
      <c r="G4989" s="56" t="n">
        <v>12.6</v>
      </c>
      <c r="H4989" s="56" t="n">
        <v>0</v>
      </c>
      <c r="I4989" s="56" t="n">
        <v>18.6</v>
      </c>
      <c r="J4989" s="56" t="n">
        <v>0</v>
      </c>
      <c r="K4989" s="56" t="n">
        <v>1016.2</v>
      </c>
      <c r="L4989" s="56" t="n">
        <v>0</v>
      </c>
      <c r="M4989" s="56" t="n">
        <v>65</v>
      </c>
      <c r="N4989" s="56" t="n">
        <v>12.4</v>
      </c>
      <c r="O4989" s="56" t="n">
        <f aca="false">IF(D4989=1,"",E4988)</f>
        <v>24.5</v>
      </c>
      <c r="P4989" s="56" t="n">
        <f aca="false">IF(OR(D4989=1,K4988=""),"",K4988)</f>
        <v>1021.6</v>
      </c>
      <c r="Q4989" s="56" t="n">
        <f aca="false">IF(OR(F4989&lt;&gt;0,AND(I4989&lt;&gt;"",E4989&lt;I4989)),1,0)</f>
        <v>0</v>
      </c>
      <c r="R4989" s="56" t="n">
        <f aca="false">IF(AND(D4989&gt;1,Q4989=0,ISNUMBER(O4989),ISNUMBER(P4989)),IF(Q4988=0,1,0),0)</f>
        <v>1</v>
      </c>
      <c r="S4989" s="56" t="n">
        <f aca="false">R4989*(B4989&gt;=Train_Start)*(B4989&lt;=Train_End)</f>
        <v>0</v>
      </c>
      <c r="T4989" s="84" t="n">
        <f aca="false">IF(AND(ISNUMBER(O4989),ISNUMBER(P4989)),Coef_A+Coef_B1*O4989+Coef_B2*P4989,"")</f>
        <v>24.2082700096244</v>
      </c>
      <c r="U4989" s="84" t="n">
        <f aca="false">IF(AND(R4989=1,ISNUMBER(T4989)),E4989-T4989,"")</f>
        <v>4.79172999037563</v>
      </c>
      <c r="V4989" s="84" t="n">
        <f aca="false">IF(ISNUMBER(T4989),T4989,-99)</f>
        <v>24.2082700096244</v>
      </c>
      <c r="W4989" s="84" t="n">
        <f aca="false">IF(ISNUMBER(U4989),ABS(U4989),"")</f>
        <v>4.79172999037563</v>
      </c>
    </row>
    <row r="4990" customFormat="false" ht="15" hidden="false" customHeight="false" outlineLevel="0" collapsed="false">
      <c r="A4990" s="57" t="n">
        <v>40756</v>
      </c>
      <c r="B4990" s="56" t="n">
        <v>2011</v>
      </c>
      <c r="C4990" s="56" t="n">
        <v>8</v>
      </c>
      <c r="D4990" s="56" t="n">
        <v>93</v>
      </c>
      <c r="E4990" s="56" t="n">
        <v>28.3</v>
      </c>
      <c r="F4990" s="56" t="n">
        <v>0</v>
      </c>
      <c r="G4990" s="56" t="n">
        <v>16</v>
      </c>
      <c r="H4990" s="56" t="n">
        <v>0</v>
      </c>
      <c r="I4990" s="56" t="n">
        <v>22.5</v>
      </c>
      <c r="J4990" s="56" t="n">
        <v>0</v>
      </c>
      <c r="K4990" s="56" t="n">
        <v>1013.1</v>
      </c>
      <c r="L4990" s="56" t="n">
        <v>0</v>
      </c>
      <c r="M4990" s="56" t="n">
        <v>52</v>
      </c>
      <c r="N4990" s="56" t="n">
        <v>10.8</v>
      </c>
      <c r="O4990" s="56" t="n">
        <f aca="false">IF(D4990=1,"",E4989)</f>
        <v>29</v>
      </c>
      <c r="P4990" s="56" t="n">
        <f aca="false">IF(OR(D4990=1,K4989=""),"",K4989)</f>
        <v>1016.2</v>
      </c>
      <c r="Q4990" s="56" t="n">
        <f aca="false">IF(OR(F4990&lt;&gt;0,AND(I4990&lt;&gt;"",E4990&lt;I4990)),1,0)</f>
        <v>0</v>
      </c>
      <c r="R4990" s="56" t="n">
        <f aca="false">IF(AND(D4990&gt;1,Q4990=0,ISNUMBER(O4990),ISNUMBER(P4990)),IF(Q4989=0,1,0),0)</f>
        <v>1</v>
      </c>
      <c r="S4990" s="56" t="n">
        <f aca="false">R4990*(B4990&gt;=Train_Start)*(B4990&lt;=Train_End)</f>
        <v>0</v>
      </c>
      <c r="T4990" s="84" t="n">
        <f aca="false">IF(AND(ISNUMBER(O4990),ISNUMBER(P4990)),Coef_A+Coef_B1*O4990+Coef_B2*P4990,"")</f>
        <v>27.7258989472928</v>
      </c>
      <c r="U4990" s="84" t="n">
        <f aca="false">IF(AND(R4990=1,ISNUMBER(T4990)),E4990-T4990,"")</f>
        <v>0.57410105270721</v>
      </c>
      <c r="V4990" s="84" t="n">
        <f aca="false">IF(ISNUMBER(T4990),T4990,-99)</f>
        <v>27.7258989472928</v>
      </c>
      <c r="W4990" s="84" t="n">
        <f aca="false">IF(ISNUMBER(U4990),ABS(U4990),"")</f>
        <v>0.57410105270721</v>
      </c>
    </row>
    <row r="4991" customFormat="false" ht="15" hidden="false" customHeight="false" outlineLevel="0" collapsed="false">
      <c r="A4991" s="57" t="n">
        <v>40757</v>
      </c>
      <c r="B4991" s="56" t="n">
        <v>2011</v>
      </c>
      <c r="C4991" s="56" t="n">
        <v>8</v>
      </c>
      <c r="D4991" s="56" t="n">
        <v>94</v>
      </c>
      <c r="E4991" s="56" t="n">
        <v>30.1</v>
      </c>
      <c r="F4991" s="56" t="n">
        <v>0</v>
      </c>
      <c r="G4991" s="56" t="n">
        <v>17.6</v>
      </c>
      <c r="H4991" s="56" t="n">
        <v>0</v>
      </c>
      <c r="I4991" s="56" t="n">
        <v>23</v>
      </c>
      <c r="J4991" s="56" t="n">
        <v>0</v>
      </c>
      <c r="K4991" s="56" t="n">
        <v>1013.8</v>
      </c>
      <c r="L4991" s="56" t="n">
        <v>0</v>
      </c>
      <c r="M4991" s="56" t="n">
        <v>61</v>
      </c>
      <c r="N4991" s="56" t="n">
        <v>5.8</v>
      </c>
      <c r="O4991" s="56" t="n">
        <f aca="false">IF(D4991=1,"",E4990)</f>
        <v>28.3</v>
      </c>
      <c r="P4991" s="56" t="n">
        <f aca="false">IF(OR(D4991=1,K4990=""),"",K4990)</f>
        <v>1013.1</v>
      </c>
      <c r="Q4991" s="56" t="n">
        <f aca="false">IF(OR(F4991&lt;&gt;0,AND(I4991&lt;&gt;"",E4991&lt;I4991)),1,0)</f>
        <v>0</v>
      </c>
      <c r="R4991" s="56" t="n">
        <f aca="false">IF(AND(D4991&gt;1,Q4991=0,ISNUMBER(O4991),ISNUMBER(P4991)),IF(Q4990=0,1,0),0)</f>
        <v>1</v>
      </c>
      <c r="S4991" s="56" t="n">
        <f aca="false">R4991*(B4991&gt;=Train_Start)*(B4991&lt;=Train_End)</f>
        <v>0</v>
      </c>
      <c r="T4991" s="84" t="n">
        <f aca="false">IF(AND(ISNUMBER(O4991),ISNUMBER(P4991)),Coef_A+Coef_B1*O4991+Coef_B2*P4991,"")</f>
        <v>27.0551148387976</v>
      </c>
      <c r="U4991" s="84" t="n">
        <f aca="false">IF(AND(R4991=1,ISNUMBER(T4991)),E4991-T4991,"")</f>
        <v>3.04488516120244</v>
      </c>
      <c r="V4991" s="84" t="n">
        <f aca="false">IF(ISNUMBER(T4991),T4991,-99)</f>
        <v>27.0551148387976</v>
      </c>
      <c r="W4991" s="84" t="n">
        <f aca="false">IF(ISNUMBER(U4991),ABS(U4991),"")</f>
        <v>3.04488516120244</v>
      </c>
    </row>
    <row r="4992" customFormat="false" ht="15" hidden="false" customHeight="false" outlineLevel="0" collapsed="false">
      <c r="A4992" s="57" t="n">
        <v>40758</v>
      </c>
      <c r="B4992" s="56" t="n">
        <v>2011</v>
      </c>
      <c r="C4992" s="56" t="n">
        <v>8</v>
      </c>
      <c r="D4992" s="56" t="n">
        <v>95</v>
      </c>
      <c r="E4992" s="56" t="n">
        <v>21.8</v>
      </c>
      <c r="F4992" s="56" t="n">
        <v>1</v>
      </c>
      <c r="G4992" s="56" t="n">
        <v>17.2</v>
      </c>
      <c r="H4992" s="56" t="n">
        <v>0</v>
      </c>
      <c r="I4992" s="56" t="n">
        <v>23.7</v>
      </c>
      <c r="J4992" s="56" t="n">
        <v>1</v>
      </c>
      <c r="K4992" s="56" t="n">
        <v>1014.2</v>
      </c>
      <c r="L4992" s="56" t="n">
        <v>0</v>
      </c>
      <c r="M4992" s="56" t="n">
        <v>57</v>
      </c>
      <c r="N4992" s="56" t="n">
        <v>9.3</v>
      </c>
      <c r="O4992" s="56" t="n">
        <f aca="false">IF(D4992=1,"",E4991)</f>
        <v>30.1</v>
      </c>
      <c r="P4992" s="56" t="n">
        <f aca="false">IF(OR(D4992=1,K4991=""),"",K4991)</f>
        <v>1013.8</v>
      </c>
      <c r="Q4992" s="56" t="n">
        <f aca="false">IF(OR(F4992&lt;&gt;0,AND(I4992&lt;&gt;"",E4992&lt;I4992)),1,0)</f>
        <v>1</v>
      </c>
      <c r="R4992" s="56" t="n">
        <f aca="false">IF(AND(D4992&gt;1,Q4992=0,ISNUMBER(O4992),ISNUMBER(P4992)),IF(Q4991=0,1,0),0)</f>
        <v>0</v>
      </c>
      <c r="S4992" s="56" t="n">
        <f aca="false">R4992*(B4992&gt;=Train_Start)*(B4992&lt;=Train_End)</f>
        <v>0</v>
      </c>
      <c r="T4992" s="84" t="n">
        <f aca="false">IF(AND(ISNUMBER(O4992),ISNUMBER(P4992)),Coef_A+Coef_B1*O4992+Coef_B2*P4992,"")</f>
        <v>28.5518843125181</v>
      </c>
      <c r="U4992" s="84" t="str">
        <f aca="false">IF(AND(R4992=1,ISNUMBER(T4992)),E4992-T4992,"")</f>
        <v/>
      </c>
      <c r="V4992" s="84" t="n">
        <f aca="false">IF(ISNUMBER(T4992),T4992,-99)</f>
        <v>28.5518843125181</v>
      </c>
      <c r="W4992" s="84" t="str">
        <f aca="false">IF(ISNUMBER(U4992),ABS(U4992),"")</f>
        <v/>
      </c>
    </row>
    <row r="4993" customFormat="false" ht="15" hidden="false" customHeight="false" outlineLevel="0" collapsed="false">
      <c r="A4993" s="57" t="n">
        <v>40759</v>
      </c>
      <c r="B4993" s="56" t="n">
        <v>2011</v>
      </c>
      <c r="C4993" s="56" t="n">
        <v>8</v>
      </c>
      <c r="D4993" s="56" t="n">
        <v>96</v>
      </c>
      <c r="E4993" s="56" t="n">
        <v>25.5</v>
      </c>
      <c r="F4993" s="56" t="n">
        <v>0</v>
      </c>
      <c r="G4993" s="56" t="n">
        <v>16.4</v>
      </c>
      <c r="H4993" s="56" t="n">
        <v>0</v>
      </c>
      <c r="I4993" s="56" t="n">
        <v>19.1</v>
      </c>
      <c r="J4993" s="56" t="n">
        <v>0</v>
      </c>
      <c r="K4993" s="56" t="n">
        <v>1010.3</v>
      </c>
      <c r="L4993" s="56" t="n">
        <v>0</v>
      </c>
      <c r="M4993" s="56" t="n">
        <v>85</v>
      </c>
      <c r="N4993" s="56" t="n">
        <v>1</v>
      </c>
      <c r="O4993" s="56" t="n">
        <f aca="false">IF(D4993=1,"",E4992)</f>
        <v>21.8</v>
      </c>
      <c r="P4993" s="56" t="n">
        <f aca="false">IF(OR(D4993=1,K4992=""),"",K4992)</f>
        <v>1014.2</v>
      </c>
      <c r="Q4993" s="56" t="n">
        <f aca="false">IF(OR(F4993&lt;&gt;0,AND(I4993&lt;&gt;"",E4993&lt;I4993)),1,0)</f>
        <v>0</v>
      </c>
      <c r="R4993" s="56" t="n">
        <f aca="false">IF(AND(D4993&gt;1,Q4993=0,ISNUMBER(O4993),ISNUMBER(P4993)),IF(Q4992=0,1,0),0)</f>
        <v>0</v>
      </c>
      <c r="S4993" s="56" t="n">
        <f aca="false">R4993*(B4993&gt;=Train_Start)*(B4993&lt;=Train_End)</f>
        <v>0</v>
      </c>
      <c r="T4993" s="84" t="n">
        <f aca="false">IF(AND(ISNUMBER(O4993),ISNUMBER(P4993)),Coef_A+Coef_B1*O4993+Coef_B2*P4993,"")</f>
        <v>21.7639169681177</v>
      </c>
      <c r="U4993" s="84" t="str">
        <f aca="false">IF(AND(R4993=1,ISNUMBER(T4993)),E4993-T4993,"")</f>
        <v/>
      </c>
      <c r="V4993" s="84" t="n">
        <f aca="false">IF(ISNUMBER(T4993),T4993,-99)</f>
        <v>21.7639169681177</v>
      </c>
      <c r="W4993" s="84" t="str">
        <f aca="false">IF(ISNUMBER(U4993),ABS(U4993),"")</f>
        <v/>
      </c>
    </row>
    <row r="4994" customFormat="false" ht="15" hidden="false" customHeight="false" outlineLevel="0" collapsed="false">
      <c r="A4994" s="57" t="n">
        <v>40760</v>
      </c>
      <c r="B4994" s="56" t="n">
        <v>2011</v>
      </c>
      <c r="C4994" s="56" t="n">
        <v>8</v>
      </c>
      <c r="D4994" s="56" t="n">
        <v>97</v>
      </c>
      <c r="E4994" s="56" t="n">
        <v>20.6</v>
      </c>
      <c r="F4994" s="56" t="n">
        <v>0</v>
      </c>
      <c r="G4994" s="56" t="n">
        <v>14.5</v>
      </c>
      <c r="H4994" s="56" t="n">
        <v>0</v>
      </c>
      <c r="I4994" s="56" t="n">
        <v>20</v>
      </c>
      <c r="J4994" s="56" t="n">
        <v>0</v>
      </c>
      <c r="K4994" s="56" t="n">
        <v>1011.1</v>
      </c>
      <c r="L4994" s="56" t="n">
        <v>0</v>
      </c>
      <c r="M4994" s="56" t="n">
        <v>70</v>
      </c>
      <c r="N4994" s="56" t="n">
        <v>7.7</v>
      </c>
      <c r="O4994" s="56" t="n">
        <f aca="false">IF(D4994=1,"",E4993)</f>
        <v>25.5</v>
      </c>
      <c r="P4994" s="56" t="n">
        <f aca="false">IF(OR(D4994=1,K4993=""),"",K4993)</f>
        <v>1010.3</v>
      </c>
      <c r="Q4994" s="56" t="n">
        <f aca="false">IF(OR(F4994&lt;&gt;0,AND(I4994&lt;&gt;"",E4994&lt;I4994)),1,0)</f>
        <v>0</v>
      </c>
      <c r="R4994" s="56" t="n">
        <f aca="false">IF(AND(D4994&gt;1,Q4994=0,ISNUMBER(O4994),ISNUMBER(P4994)),IF(Q4993=0,1,0),0)</f>
        <v>1</v>
      </c>
      <c r="S4994" s="56" t="n">
        <f aca="false">R4994*(B4994&gt;=Train_Start)*(B4994&lt;=Train_End)</f>
        <v>0</v>
      </c>
      <c r="T4994" s="84" t="n">
        <f aca="false">IF(AND(ISNUMBER(O4994),ISNUMBER(P4994)),Coef_A+Coef_B1*O4994+Coef_B2*P4994,"")</f>
        <v>24.6731293933029</v>
      </c>
      <c r="U4994" s="84" t="n">
        <f aca="false">IF(AND(R4994=1,ISNUMBER(T4994)),E4994-T4994,"")</f>
        <v>-4.07312939330295</v>
      </c>
      <c r="V4994" s="84" t="n">
        <f aca="false">IF(ISNUMBER(T4994),T4994,-99)</f>
        <v>24.6731293933029</v>
      </c>
      <c r="W4994" s="84" t="n">
        <f aca="false">IF(ISNUMBER(U4994),ABS(U4994),"")</f>
        <v>4.07312939330295</v>
      </c>
    </row>
    <row r="4995" customFormat="false" ht="15" hidden="false" customHeight="false" outlineLevel="0" collapsed="false">
      <c r="A4995" s="57" t="n">
        <v>40761</v>
      </c>
      <c r="B4995" s="56" t="n">
        <v>2011</v>
      </c>
      <c r="C4995" s="56" t="n">
        <v>8</v>
      </c>
      <c r="D4995" s="56" t="n">
        <v>98</v>
      </c>
      <c r="E4995" s="56" t="n">
        <v>20.3</v>
      </c>
      <c r="F4995" s="56" t="n">
        <v>0</v>
      </c>
      <c r="G4995" s="56" t="n">
        <v>14.1</v>
      </c>
      <c r="H4995" s="56" t="n">
        <v>0</v>
      </c>
      <c r="I4995" s="56" t="n">
        <v>17.4</v>
      </c>
      <c r="J4995" s="56" t="n">
        <v>0</v>
      </c>
      <c r="K4995" s="56" t="n">
        <v>1003.8</v>
      </c>
      <c r="L4995" s="56" t="n">
        <v>0</v>
      </c>
      <c r="M4995" s="56" t="n">
        <v>73</v>
      </c>
      <c r="N4995" s="56" t="n">
        <v>1.1</v>
      </c>
      <c r="O4995" s="56" t="n">
        <f aca="false">IF(D4995=1,"",E4994)</f>
        <v>20.6</v>
      </c>
      <c r="P4995" s="56" t="n">
        <f aca="false">IF(OR(D4995=1,K4994=""),"",K4994)</f>
        <v>1011.1</v>
      </c>
      <c r="Q4995" s="56" t="n">
        <f aca="false">IF(OR(F4995&lt;&gt;0,AND(I4995&lt;&gt;"",E4995&lt;I4995)),1,0)</f>
        <v>0</v>
      </c>
      <c r="R4995" s="56" t="n">
        <f aca="false">IF(AND(D4995&gt;1,Q4995=0,ISNUMBER(O4995),ISNUMBER(P4995)),IF(Q4994=0,1,0),0)</f>
        <v>1</v>
      </c>
      <c r="S4995" s="56" t="n">
        <f aca="false">R4995*(B4995&gt;=Train_Start)*(B4995&lt;=Train_End)</f>
        <v>0</v>
      </c>
      <c r="T4995" s="84" t="n">
        <f aca="false">IF(AND(ISNUMBER(O4995),ISNUMBER(P4995)),Coef_A+Coef_B1*O4995+Coef_B2*P4995,"")</f>
        <v>20.6834632631011</v>
      </c>
      <c r="U4995" s="84" t="n">
        <f aca="false">IF(AND(R4995=1,ISNUMBER(T4995)),E4995-T4995,"")</f>
        <v>-0.38346326310112</v>
      </c>
      <c r="V4995" s="84" t="n">
        <f aca="false">IF(ISNUMBER(T4995),T4995,-99)</f>
        <v>20.6834632631011</v>
      </c>
      <c r="W4995" s="84" t="n">
        <f aca="false">IF(ISNUMBER(U4995),ABS(U4995),"")</f>
        <v>0.38346326310112</v>
      </c>
    </row>
    <row r="4996" customFormat="false" ht="15" hidden="false" customHeight="false" outlineLevel="0" collapsed="false">
      <c r="A4996" s="57" t="n">
        <v>40762</v>
      </c>
      <c r="B4996" s="56" t="n">
        <v>2011</v>
      </c>
      <c r="C4996" s="56" t="n">
        <v>8</v>
      </c>
      <c r="D4996" s="56" t="n">
        <v>99</v>
      </c>
      <c r="E4996" s="56" t="n">
        <v>21.9</v>
      </c>
      <c r="F4996" s="56" t="n">
        <v>0</v>
      </c>
      <c r="G4996" s="56" t="n">
        <v>12.1</v>
      </c>
      <c r="H4996" s="56" t="n">
        <v>0</v>
      </c>
      <c r="I4996" s="56" t="n">
        <v>16.2</v>
      </c>
      <c r="J4996" s="56" t="n">
        <v>0</v>
      </c>
      <c r="K4996" s="56" t="n">
        <v>1002.6</v>
      </c>
      <c r="L4996" s="56" t="n">
        <v>0</v>
      </c>
      <c r="M4996" s="56" t="n">
        <v>75</v>
      </c>
      <c r="N4996" s="56" t="n">
        <v>5</v>
      </c>
      <c r="O4996" s="56" t="n">
        <f aca="false">IF(D4996=1,"",E4995)</f>
        <v>20.3</v>
      </c>
      <c r="P4996" s="56" t="n">
        <f aca="false">IF(OR(D4996=1,K4995=""),"",K4995)</f>
        <v>1003.8</v>
      </c>
      <c r="Q4996" s="56" t="n">
        <f aca="false">IF(OR(F4996&lt;&gt;0,AND(I4996&lt;&gt;"",E4996&lt;I4996)),1,0)</f>
        <v>0</v>
      </c>
      <c r="R4996" s="56" t="n">
        <f aca="false">IF(AND(D4996&gt;1,Q4996=0,ISNUMBER(O4996),ISNUMBER(P4996)),IF(Q4995=0,1,0),0)</f>
        <v>1</v>
      </c>
      <c r="S4996" s="56" t="n">
        <f aca="false">R4996*(B4996&gt;=Train_Start)*(B4996&lt;=Train_End)</f>
        <v>0</v>
      </c>
      <c r="T4996" s="84" t="n">
        <f aca="false">IF(AND(ISNUMBER(O4996),ISNUMBER(P4996)),Coef_A+Coef_B1*O4996+Coef_B2*P4996,"")</f>
        <v>20.2086612743602</v>
      </c>
      <c r="U4996" s="84" t="n">
        <f aca="false">IF(AND(R4996=1,ISNUMBER(T4996)),E4996-T4996,"")</f>
        <v>1.6913387256398</v>
      </c>
      <c r="V4996" s="84" t="n">
        <f aca="false">IF(ISNUMBER(T4996),T4996,-99)</f>
        <v>20.2086612743602</v>
      </c>
      <c r="W4996" s="84" t="n">
        <f aca="false">IF(ISNUMBER(U4996),ABS(U4996),"")</f>
        <v>1.6913387256398</v>
      </c>
    </row>
    <row r="4997" customFormat="false" ht="15" hidden="false" customHeight="false" outlineLevel="0" collapsed="false">
      <c r="A4997" s="57" t="n">
        <v>40763</v>
      </c>
      <c r="B4997" s="56" t="n">
        <v>2011</v>
      </c>
      <c r="C4997" s="56" t="n">
        <v>8</v>
      </c>
      <c r="D4997" s="56" t="n">
        <v>100</v>
      </c>
      <c r="E4997" s="56" t="n">
        <v>21.6</v>
      </c>
      <c r="F4997" s="56" t="n">
        <v>0</v>
      </c>
      <c r="G4997" s="56" t="n">
        <v>10.9</v>
      </c>
      <c r="H4997" s="56" t="n">
        <v>0</v>
      </c>
      <c r="I4997" s="56" t="n">
        <v>16.4</v>
      </c>
      <c r="J4997" s="56" t="n">
        <v>0</v>
      </c>
      <c r="K4997" s="56" t="n">
        <v>1007.5</v>
      </c>
      <c r="L4997" s="56" t="n">
        <v>0</v>
      </c>
      <c r="M4997" s="56" t="n">
        <v>70</v>
      </c>
      <c r="N4997" s="56" t="n">
        <v>7.3</v>
      </c>
      <c r="O4997" s="56" t="n">
        <f aca="false">IF(D4997=1,"",E4996)</f>
        <v>21.9</v>
      </c>
      <c r="P4997" s="56" t="n">
        <f aca="false">IF(OR(D4997=1,K4996=""),"",K4996)</f>
        <v>1002.6</v>
      </c>
      <c r="Q4997" s="56" t="n">
        <f aca="false">IF(OR(F4997&lt;&gt;0,AND(I4997&lt;&gt;"",E4997&lt;I4997)),1,0)</f>
        <v>0</v>
      </c>
      <c r="R4997" s="56" t="n">
        <f aca="false">IF(AND(D4997&gt;1,Q4997=0,ISNUMBER(O4997),ISNUMBER(P4997)),IF(Q4996=0,1,0),0)</f>
        <v>1</v>
      </c>
      <c r="S4997" s="56" t="n">
        <f aca="false">R4997*(B4997&gt;=Train_Start)*(B4997&lt;=Train_End)</f>
        <v>0</v>
      </c>
      <c r="T4997" s="84" t="n">
        <f aca="false">IF(AND(ISNUMBER(O4997),ISNUMBER(P4997)),Coef_A+Coef_B1*O4997+Coef_B2*P4997,"")</f>
        <v>21.4819601096677</v>
      </c>
      <c r="U4997" s="84" t="n">
        <f aca="false">IF(AND(R4997=1,ISNUMBER(T4997)),E4997-T4997,"")</f>
        <v>0.118039890332337</v>
      </c>
      <c r="V4997" s="84" t="n">
        <f aca="false">IF(ISNUMBER(T4997),T4997,-99)</f>
        <v>21.4819601096677</v>
      </c>
      <c r="W4997" s="84" t="n">
        <f aca="false">IF(ISNUMBER(U4997),ABS(U4997),"")</f>
        <v>0.118039890332337</v>
      </c>
    </row>
    <row r="4998" customFormat="false" ht="15" hidden="false" customHeight="false" outlineLevel="0" collapsed="false">
      <c r="A4998" s="57" t="n">
        <v>40764</v>
      </c>
      <c r="B4998" s="56" t="n">
        <v>2011</v>
      </c>
      <c r="C4998" s="56" t="n">
        <v>8</v>
      </c>
      <c r="D4998" s="56" t="n">
        <v>101</v>
      </c>
      <c r="E4998" s="56" t="n">
        <v>23.9</v>
      </c>
      <c r="F4998" s="56" t="n">
        <v>0</v>
      </c>
      <c r="G4998" s="56" t="n">
        <v>11.7</v>
      </c>
      <c r="H4998" s="56" t="n">
        <v>0</v>
      </c>
      <c r="I4998" s="56" t="n">
        <v>16.7</v>
      </c>
      <c r="J4998" s="56" t="n">
        <v>0</v>
      </c>
      <c r="K4998" s="56" t="n">
        <v>1021.9</v>
      </c>
      <c r="L4998" s="56" t="n">
        <v>0</v>
      </c>
      <c r="M4998" s="56" t="n">
        <v>55</v>
      </c>
      <c r="N4998" s="56" t="n">
        <v>9.4</v>
      </c>
      <c r="O4998" s="56" t="n">
        <f aca="false">IF(D4998=1,"",E4997)</f>
        <v>21.6</v>
      </c>
      <c r="P4998" s="56" t="n">
        <f aca="false">IF(OR(D4998=1,K4997=""),"",K4997)</f>
        <v>1007.5</v>
      </c>
      <c r="Q4998" s="56" t="n">
        <f aca="false">IF(OR(F4998&lt;&gt;0,AND(I4998&lt;&gt;"",E4998&lt;I4998)),1,0)</f>
        <v>0</v>
      </c>
      <c r="R4998" s="56" t="n">
        <f aca="false">IF(AND(D4998&gt;1,Q4998=0,ISNUMBER(O4998),ISNUMBER(P4998)),IF(Q4997=0,1,0),0)</f>
        <v>1</v>
      </c>
      <c r="S4998" s="56" t="n">
        <f aca="false">R4998*(B4998&gt;=Train_Start)*(B4998&lt;=Train_End)</f>
        <v>0</v>
      </c>
      <c r="T4998" s="84" t="n">
        <f aca="false">IF(AND(ISNUMBER(O4998),ISNUMBER(P4998)),Coef_A+Coef_B1*O4998+Coef_B2*P4998,"")</f>
        <v>21.3898708354614</v>
      </c>
      <c r="U4998" s="84" t="n">
        <f aca="false">IF(AND(R4998=1,ISNUMBER(T4998)),E4998-T4998,"")</f>
        <v>2.51012916453858</v>
      </c>
      <c r="V4998" s="84" t="n">
        <f aca="false">IF(ISNUMBER(T4998),T4998,-99)</f>
        <v>21.3898708354614</v>
      </c>
      <c r="W4998" s="84" t="n">
        <f aca="false">IF(ISNUMBER(U4998),ABS(U4998),"")</f>
        <v>2.51012916453858</v>
      </c>
    </row>
    <row r="4999" customFormat="false" ht="15" hidden="false" customHeight="false" outlineLevel="0" collapsed="false">
      <c r="A4999" s="57" t="n">
        <v>40765</v>
      </c>
      <c r="B4999" s="56" t="n">
        <v>2011</v>
      </c>
      <c r="C4999" s="56" t="n">
        <v>8</v>
      </c>
      <c r="D4999" s="56" t="n">
        <v>102</v>
      </c>
      <c r="E4999" s="56" t="n">
        <v>22.6</v>
      </c>
      <c r="F4999" s="56" t="n">
        <v>0</v>
      </c>
      <c r="G4999" s="56" t="n">
        <v>10.1</v>
      </c>
      <c r="H4999" s="56" t="n">
        <v>0</v>
      </c>
      <c r="I4999" s="56" t="n">
        <v>17</v>
      </c>
      <c r="J4999" s="56" t="n">
        <v>0</v>
      </c>
      <c r="K4999" s="56" t="n">
        <v>1021.6</v>
      </c>
      <c r="L4999" s="56" t="n">
        <v>0</v>
      </c>
      <c r="M4999" s="56" t="n">
        <v>64</v>
      </c>
      <c r="N4999" s="56" t="n">
        <v>7.8</v>
      </c>
      <c r="O4999" s="56" t="n">
        <f aca="false">IF(D4999=1,"",E4998)</f>
        <v>23.9</v>
      </c>
      <c r="P4999" s="56" t="n">
        <f aca="false">IF(OR(D4999=1,K4998=""),"",K4998)</f>
        <v>1021.9</v>
      </c>
      <c r="Q4999" s="56" t="n">
        <f aca="false">IF(OR(F4999&lt;&gt;0,AND(I4999&lt;&gt;"",E4999&lt;I4999)),1,0)</f>
        <v>0</v>
      </c>
      <c r="R4999" s="56" t="n">
        <f aca="false">IF(AND(D4999&gt;1,Q4999=0,ISNUMBER(O4999),ISNUMBER(P4999)),IF(Q4998=0,1,0),0)</f>
        <v>1</v>
      </c>
      <c r="S4999" s="56" t="n">
        <f aca="false">R4999*(B4999&gt;=Train_Start)*(B4999&lt;=Train_End)</f>
        <v>0</v>
      </c>
      <c r="T4999" s="84" t="n">
        <f aca="false">IF(AND(ISNUMBER(O4999),ISNUMBER(P4999)),Coef_A+Coef_B1*O4999+Coef_B2*P4999,"")</f>
        <v>23.726077462189</v>
      </c>
      <c r="U4999" s="84" t="n">
        <f aca="false">IF(AND(R4999=1,ISNUMBER(T4999)),E4999-T4999,"")</f>
        <v>-1.12607746218897</v>
      </c>
      <c r="V4999" s="84" t="n">
        <f aca="false">IF(ISNUMBER(T4999),T4999,-99)</f>
        <v>23.726077462189</v>
      </c>
      <c r="W4999" s="84" t="n">
        <f aca="false">IF(ISNUMBER(U4999),ABS(U4999),"")</f>
        <v>1.12607746218897</v>
      </c>
    </row>
    <row r="5000" customFormat="false" ht="15" hidden="false" customHeight="false" outlineLevel="0" collapsed="false">
      <c r="A5000" s="57" t="n">
        <v>40766</v>
      </c>
      <c r="B5000" s="56" t="n">
        <v>2011</v>
      </c>
      <c r="C5000" s="56" t="n">
        <v>8</v>
      </c>
      <c r="D5000" s="56" t="n">
        <v>103</v>
      </c>
      <c r="E5000" s="56" t="n">
        <v>23.4</v>
      </c>
      <c r="F5000" s="56" t="n">
        <v>0</v>
      </c>
      <c r="G5000" s="56" t="n">
        <v>15.1</v>
      </c>
      <c r="H5000" s="56" t="n">
        <v>0</v>
      </c>
      <c r="I5000" s="56" t="n">
        <v>18.9</v>
      </c>
      <c r="J5000" s="56" t="n">
        <v>0</v>
      </c>
      <c r="K5000" s="56" t="n">
        <v>1011.1</v>
      </c>
      <c r="L5000" s="56" t="n">
        <v>0</v>
      </c>
      <c r="M5000" s="56" t="n">
        <v>79</v>
      </c>
      <c r="N5000" s="56" t="n">
        <v>2.8</v>
      </c>
      <c r="O5000" s="56" t="n">
        <f aca="false">IF(D5000=1,"",E4999)</f>
        <v>22.6</v>
      </c>
      <c r="P5000" s="56" t="n">
        <f aca="false">IF(OR(D5000=1,K4999=""),"",K4999)</f>
        <v>1021.6</v>
      </c>
      <c r="Q5000" s="56" t="n">
        <f aca="false">IF(OR(F5000&lt;&gt;0,AND(I5000&lt;&gt;"",E5000&lt;I5000)),1,0)</f>
        <v>0</v>
      </c>
      <c r="R5000" s="56" t="n">
        <f aca="false">IF(AND(D5000&gt;1,Q5000=0,ISNUMBER(O5000),ISNUMBER(P5000)),IF(Q4999=0,1,0),0)</f>
        <v>1</v>
      </c>
      <c r="S5000" s="56" t="n">
        <f aca="false">R5000*(B5000&gt;=Train_Start)*(B5000&lt;=Train_End)</f>
        <v>0</v>
      </c>
      <c r="T5000" s="84" t="n">
        <f aca="false">IF(AND(ISNUMBER(O5000),ISNUMBER(P5000)),Coef_A+Coef_B1*O5000+Coef_B2*P5000,"")</f>
        <v>22.6515255428433</v>
      </c>
      <c r="U5000" s="84" t="n">
        <f aca="false">IF(AND(R5000=1,ISNUMBER(T5000)),E5000-T5000,"")</f>
        <v>0.748474457156672</v>
      </c>
      <c r="V5000" s="84" t="n">
        <f aca="false">IF(ISNUMBER(T5000),T5000,-99)</f>
        <v>22.6515255428433</v>
      </c>
      <c r="W5000" s="84" t="n">
        <f aca="false">IF(ISNUMBER(U5000),ABS(U5000),"")</f>
        <v>0.748474457156672</v>
      </c>
    </row>
    <row r="5001" customFormat="false" ht="15" hidden="false" customHeight="false" outlineLevel="0" collapsed="false">
      <c r="A5001" s="57" t="n">
        <v>40767</v>
      </c>
      <c r="B5001" s="56" t="n">
        <v>2011</v>
      </c>
      <c r="C5001" s="56" t="n">
        <v>8</v>
      </c>
      <c r="D5001" s="56" t="n">
        <v>104</v>
      </c>
      <c r="E5001" s="56" t="n">
        <v>22.2</v>
      </c>
      <c r="F5001" s="56" t="n">
        <v>0</v>
      </c>
      <c r="G5001" s="56" t="n">
        <v>15.8</v>
      </c>
      <c r="H5001" s="56" t="n">
        <v>0</v>
      </c>
      <c r="I5001" s="56" t="n">
        <v>19.6</v>
      </c>
      <c r="J5001" s="56" t="n">
        <v>0</v>
      </c>
      <c r="K5001" s="56" t="n">
        <v>1010.4</v>
      </c>
      <c r="L5001" s="56" t="n">
        <v>0</v>
      </c>
      <c r="M5001" s="56" t="n">
        <v>78</v>
      </c>
      <c r="N5001" s="56" t="n">
        <v>1.3</v>
      </c>
      <c r="O5001" s="56" t="n">
        <f aca="false">IF(D5001=1,"",E5000)</f>
        <v>23.4</v>
      </c>
      <c r="P5001" s="56" t="n">
        <f aca="false">IF(OR(D5001=1,K5000=""),"",K5000)</f>
        <v>1011.1</v>
      </c>
      <c r="Q5001" s="56" t="n">
        <f aca="false">IF(OR(F5001&lt;&gt;0,AND(I5001&lt;&gt;"",E5001&lt;I5001)),1,0)</f>
        <v>0</v>
      </c>
      <c r="R5001" s="56" t="n">
        <f aca="false">IF(AND(D5001&gt;1,Q5001=0,ISNUMBER(O5001),ISNUMBER(P5001)),IF(Q5000=0,1,0),0)</f>
        <v>1</v>
      </c>
      <c r="S5001" s="56" t="n">
        <f aca="false">R5001*(B5001&gt;=Train_Start)*(B5001&lt;=Train_End)</f>
        <v>0</v>
      </c>
      <c r="T5001" s="84" t="n">
        <f aca="false">IF(AND(ISNUMBER(O5001),ISNUMBER(P5001)),Coef_A+Coef_B1*O5001+Coef_B2*P5001,"")</f>
        <v>22.9776130036206</v>
      </c>
      <c r="U5001" s="84" t="n">
        <f aca="false">IF(AND(R5001=1,ISNUMBER(T5001)),E5001-T5001,"")</f>
        <v>-0.777613003620559</v>
      </c>
      <c r="V5001" s="84" t="n">
        <f aca="false">IF(ISNUMBER(T5001),T5001,-99)</f>
        <v>22.9776130036206</v>
      </c>
      <c r="W5001" s="84" t="n">
        <f aca="false">IF(ISNUMBER(U5001),ABS(U5001),"")</f>
        <v>0.777613003620559</v>
      </c>
    </row>
    <row r="5002" customFormat="false" ht="15" hidden="false" customHeight="false" outlineLevel="0" collapsed="false">
      <c r="A5002" s="57" t="n">
        <v>40768</v>
      </c>
      <c r="B5002" s="56" t="n">
        <v>2011</v>
      </c>
      <c r="C5002" s="56" t="n">
        <v>8</v>
      </c>
      <c r="D5002" s="56" t="n">
        <v>105</v>
      </c>
      <c r="E5002" s="56" t="n">
        <v>23.2</v>
      </c>
      <c r="F5002" s="56" t="n">
        <v>0</v>
      </c>
      <c r="G5002" s="56" t="n">
        <v>15.8</v>
      </c>
      <c r="H5002" s="56" t="n">
        <v>0</v>
      </c>
      <c r="I5002" s="56" t="n">
        <v>19</v>
      </c>
      <c r="J5002" s="56" t="n">
        <v>0</v>
      </c>
      <c r="K5002" s="56" t="n">
        <v>1006.1</v>
      </c>
      <c r="L5002" s="56" t="n">
        <v>0</v>
      </c>
      <c r="M5002" s="56" t="n">
        <v>78</v>
      </c>
      <c r="N5002" s="56" t="n">
        <v>3.3</v>
      </c>
      <c r="O5002" s="56" t="n">
        <f aca="false">IF(D5002=1,"",E5001)</f>
        <v>22.2</v>
      </c>
      <c r="P5002" s="56" t="n">
        <f aca="false">IF(OR(D5002=1,K5001=""),"",K5001)</f>
        <v>1010.4</v>
      </c>
      <c r="Q5002" s="56" t="n">
        <f aca="false">IF(OR(F5002&lt;&gt;0,AND(I5002&lt;&gt;"",E5002&lt;I5002)),1,0)</f>
        <v>0</v>
      </c>
      <c r="R5002" s="56" t="n">
        <f aca="false">IF(AND(D5002&gt;1,Q5002=0,ISNUMBER(O5002),ISNUMBER(P5002)),IF(Q5001=0,1,0),0)</f>
        <v>1</v>
      </c>
      <c r="S5002" s="56" t="n">
        <f aca="false">R5002*(B5002&gt;=Train_Start)*(B5002&lt;=Train_End)</f>
        <v>0</v>
      </c>
      <c r="T5002" s="84" t="n">
        <f aca="false">IF(AND(ISNUMBER(O5002),ISNUMBER(P5002)),Coef_A+Coef_B1*O5002+Coef_B2*P5002,"")</f>
        <v>21.9724470457256</v>
      </c>
      <c r="U5002" s="84" t="n">
        <f aca="false">IF(AND(R5002=1,ISNUMBER(T5002)),E5002-T5002,"")</f>
        <v>1.22755295427442</v>
      </c>
      <c r="V5002" s="84" t="n">
        <f aca="false">IF(ISNUMBER(T5002),T5002,-99)</f>
        <v>21.9724470457256</v>
      </c>
      <c r="W5002" s="84" t="n">
        <f aca="false">IF(ISNUMBER(U5002),ABS(U5002),"")</f>
        <v>1.22755295427442</v>
      </c>
    </row>
    <row r="5003" customFormat="false" ht="15" hidden="false" customHeight="false" outlineLevel="0" collapsed="false">
      <c r="A5003" s="57" t="n">
        <v>40769</v>
      </c>
      <c r="B5003" s="56" t="n">
        <v>2011</v>
      </c>
      <c r="C5003" s="56" t="n">
        <v>8</v>
      </c>
      <c r="D5003" s="56" t="n">
        <v>106</v>
      </c>
      <c r="E5003" s="56" t="n">
        <v>22.9</v>
      </c>
      <c r="F5003" s="56" t="n">
        <v>0</v>
      </c>
      <c r="G5003" s="56" t="n">
        <v>14.9</v>
      </c>
      <c r="H5003" s="56" t="n">
        <v>0</v>
      </c>
      <c r="I5003" s="56" t="n">
        <v>19.1</v>
      </c>
      <c r="J5003" s="56" t="n">
        <v>0</v>
      </c>
      <c r="K5003" s="56" t="n">
        <v>1007.1</v>
      </c>
      <c r="L5003" s="56" t="n">
        <v>0</v>
      </c>
      <c r="M5003" s="56" t="n">
        <v>65</v>
      </c>
      <c r="N5003" s="56" t="n">
        <v>3.7</v>
      </c>
      <c r="O5003" s="56" t="n">
        <f aca="false">IF(D5003=1,"",E5002)</f>
        <v>23.2</v>
      </c>
      <c r="P5003" s="56" t="n">
        <f aca="false">IF(OR(D5003=1,K5002=""),"",K5002)</f>
        <v>1006.1</v>
      </c>
      <c r="Q5003" s="56" t="n">
        <f aca="false">IF(OR(F5003&lt;&gt;0,AND(I5003&lt;&gt;"",E5003&lt;I5003)),1,0)</f>
        <v>0</v>
      </c>
      <c r="R5003" s="56" t="n">
        <f aca="false">IF(AND(D5003&gt;1,Q5003=0,ISNUMBER(O5003),ISNUMBER(P5003)),IF(Q5002=0,1,0),0)</f>
        <v>1</v>
      </c>
      <c r="S5003" s="56" t="n">
        <f aca="false">R5003*(B5003&gt;=Train_Start)*(B5003&lt;=Train_End)</f>
        <v>0</v>
      </c>
      <c r="T5003" s="84" t="n">
        <f aca="false">IF(AND(ISNUMBER(O5003),ISNUMBER(P5003)),Coef_A+Coef_B1*O5003+Coef_B2*P5003,"")</f>
        <v>22.6568956918421</v>
      </c>
      <c r="U5003" s="84" t="n">
        <f aca="false">IF(AND(R5003=1,ISNUMBER(T5003)),E5003-T5003,"")</f>
        <v>0.243104308157918</v>
      </c>
      <c r="V5003" s="84" t="n">
        <f aca="false">IF(ISNUMBER(T5003),T5003,-99)</f>
        <v>22.6568956918421</v>
      </c>
      <c r="W5003" s="84" t="n">
        <f aca="false">IF(ISNUMBER(U5003),ABS(U5003),"")</f>
        <v>0.243104308157918</v>
      </c>
    </row>
    <row r="5004" customFormat="false" ht="15" hidden="false" customHeight="false" outlineLevel="0" collapsed="false">
      <c r="A5004" s="57" t="n">
        <v>40770</v>
      </c>
      <c r="B5004" s="56" t="n">
        <v>2011</v>
      </c>
      <c r="C5004" s="56" t="n">
        <v>8</v>
      </c>
      <c r="D5004" s="56" t="n">
        <v>107</v>
      </c>
      <c r="E5004" s="56" t="n">
        <v>21.7</v>
      </c>
      <c r="F5004" s="56" t="n">
        <v>0</v>
      </c>
      <c r="G5004" s="56" t="n">
        <v>10.8</v>
      </c>
      <c r="H5004" s="56" t="n">
        <v>0</v>
      </c>
      <c r="I5004" s="56" t="n">
        <v>16.9</v>
      </c>
      <c r="J5004" s="56" t="n">
        <v>0</v>
      </c>
      <c r="K5004" s="56" t="n">
        <v>1016</v>
      </c>
      <c r="L5004" s="56" t="n">
        <v>0</v>
      </c>
      <c r="M5004" s="56" t="n">
        <v>66</v>
      </c>
      <c r="N5004" s="56" t="n">
        <v>7.9</v>
      </c>
      <c r="O5004" s="56" t="n">
        <f aca="false">IF(D5004=1,"",E5003)</f>
        <v>22.9</v>
      </c>
      <c r="P5004" s="56" t="n">
        <f aca="false">IF(OR(D5004=1,K5003=""),"",K5003)</f>
        <v>1007.1</v>
      </c>
      <c r="Q5004" s="56" t="n">
        <f aca="false">IF(OR(F5004&lt;&gt;0,AND(I5004&lt;&gt;"",E5004&lt;I5004)),1,0)</f>
        <v>0</v>
      </c>
      <c r="R5004" s="56" t="n">
        <f aca="false">IF(AND(D5004&gt;1,Q5004=0,ISNUMBER(O5004),ISNUMBER(P5004)),IF(Q5003=0,1,0),0)</f>
        <v>1</v>
      </c>
      <c r="S5004" s="56" t="n">
        <f aca="false">R5004*(B5004&gt;=Train_Start)*(B5004&lt;=Train_End)</f>
        <v>0</v>
      </c>
      <c r="T5004" s="84" t="n">
        <f aca="false">IF(AND(ISNUMBER(O5004),ISNUMBER(P5004)),Coef_A+Coef_B1*O5004+Coef_B2*P5004,"")</f>
        <v>22.4424638285633</v>
      </c>
      <c r="U5004" s="84" t="n">
        <f aca="false">IF(AND(R5004=1,ISNUMBER(T5004)),E5004-T5004,"")</f>
        <v>-0.742463828563274</v>
      </c>
      <c r="V5004" s="84" t="n">
        <f aca="false">IF(ISNUMBER(T5004),T5004,-99)</f>
        <v>22.4424638285633</v>
      </c>
      <c r="W5004" s="84" t="n">
        <f aca="false">IF(ISNUMBER(U5004),ABS(U5004),"")</f>
        <v>0.742463828563274</v>
      </c>
    </row>
    <row r="5005" customFormat="false" ht="15" hidden="false" customHeight="false" outlineLevel="0" collapsed="false">
      <c r="A5005" s="57" t="n">
        <v>40771</v>
      </c>
      <c r="B5005" s="56" t="n">
        <v>2011</v>
      </c>
      <c r="C5005" s="56" t="n">
        <v>8</v>
      </c>
      <c r="D5005" s="56" t="n">
        <v>108</v>
      </c>
      <c r="E5005" s="56" t="n">
        <v>21.1</v>
      </c>
      <c r="F5005" s="56" t="n">
        <v>0</v>
      </c>
      <c r="G5005" s="56" t="n">
        <v>13.9</v>
      </c>
      <c r="H5005" s="56" t="n">
        <v>0</v>
      </c>
      <c r="I5005" s="56" t="n">
        <v>17.8</v>
      </c>
      <c r="J5005" s="56" t="n">
        <v>0</v>
      </c>
      <c r="K5005" s="56" t="n">
        <v>1016.1</v>
      </c>
      <c r="L5005" s="56" t="n">
        <v>0</v>
      </c>
      <c r="M5005" s="56" t="n">
        <v>79</v>
      </c>
      <c r="N5005" s="56" t="n">
        <v>1</v>
      </c>
      <c r="O5005" s="56" t="n">
        <f aca="false">IF(D5005=1,"",E5004)</f>
        <v>21.7</v>
      </c>
      <c r="P5005" s="56" t="n">
        <f aca="false">IF(OR(D5005=1,K5004=""),"",K5004)</f>
        <v>1016</v>
      </c>
      <c r="Q5005" s="56" t="n">
        <f aca="false">IF(OR(F5005&lt;&gt;0,AND(I5005&lt;&gt;"",E5005&lt;I5005)),1,0)</f>
        <v>0</v>
      </c>
      <c r="R5005" s="56" t="n">
        <f aca="false">IF(AND(D5005&gt;1,Q5005=0,ISNUMBER(O5005),ISNUMBER(P5005)),IF(Q5004=0,1,0),0)</f>
        <v>1</v>
      </c>
      <c r="S5005" s="56" t="n">
        <f aca="false">R5005*(B5005&gt;=Train_Start)*(B5005&lt;=Train_End)</f>
        <v>0</v>
      </c>
      <c r="T5005" s="84" t="n">
        <f aca="false">IF(AND(ISNUMBER(O5005),ISNUMBER(P5005)),Coef_A+Coef_B1*O5005+Coef_B2*P5005,"")</f>
        <v>21.7384488591546</v>
      </c>
      <c r="U5005" s="84" t="n">
        <f aca="false">IF(AND(R5005=1,ISNUMBER(T5005)),E5005-T5005,"")</f>
        <v>-0.63844885915459</v>
      </c>
      <c r="V5005" s="84" t="n">
        <f aca="false">IF(ISNUMBER(T5005),T5005,-99)</f>
        <v>21.7384488591546</v>
      </c>
      <c r="W5005" s="84" t="n">
        <f aca="false">IF(ISNUMBER(U5005),ABS(U5005),"")</f>
        <v>0.63844885915459</v>
      </c>
    </row>
    <row r="5006" customFormat="false" ht="15" hidden="false" customHeight="false" outlineLevel="0" collapsed="false">
      <c r="A5006" s="57" t="n">
        <v>40772</v>
      </c>
      <c r="B5006" s="56" t="n">
        <v>2011</v>
      </c>
      <c r="C5006" s="56" t="n">
        <v>8</v>
      </c>
      <c r="D5006" s="56" t="n">
        <v>109</v>
      </c>
      <c r="E5006" s="56" t="n">
        <v>16.6</v>
      </c>
      <c r="F5006" s="56" t="n">
        <v>1</v>
      </c>
      <c r="G5006" s="56" t="n">
        <v>13.1</v>
      </c>
      <c r="H5006" s="56" t="n">
        <v>0</v>
      </c>
      <c r="I5006" s="56" t="n">
        <v>17.1</v>
      </c>
      <c r="J5006" s="56" t="n">
        <v>1</v>
      </c>
      <c r="K5006" s="56" t="n">
        <v>1017.1</v>
      </c>
      <c r="L5006" s="56" t="n">
        <v>0</v>
      </c>
      <c r="M5006" s="56" t="n">
        <v>71</v>
      </c>
      <c r="N5006" s="56" t="n">
        <v>0.7</v>
      </c>
      <c r="O5006" s="56" t="n">
        <f aca="false">IF(D5006=1,"",E5005)</f>
        <v>21.1</v>
      </c>
      <c r="P5006" s="56" t="n">
        <f aca="false">IF(OR(D5006=1,K5005=""),"",K5005)</f>
        <v>1016.1</v>
      </c>
      <c r="Q5006" s="56" t="n">
        <f aca="false">IF(OR(F5006&lt;&gt;0,AND(I5006&lt;&gt;"",E5006&lt;I5006)),1,0)</f>
        <v>1</v>
      </c>
      <c r="R5006" s="56" t="n">
        <f aca="false">IF(AND(D5006&gt;1,Q5006=0,ISNUMBER(O5006),ISNUMBER(P5006)),IF(Q5005=0,1,0),0)</f>
        <v>0</v>
      </c>
      <c r="S5006" s="56" t="n">
        <f aca="false">R5006*(B5006&gt;=Train_Start)*(B5006&lt;=Train_End)</f>
        <v>0</v>
      </c>
      <c r="T5006" s="84" t="n">
        <f aca="false">IF(AND(ISNUMBER(O5006),ISNUMBER(P5006)),Coef_A+Coef_B1*O5006+Coef_B2*P5006,"")</f>
        <v>21.2499823327924</v>
      </c>
      <c r="U5006" s="84" t="str">
        <f aca="false">IF(AND(R5006=1,ISNUMBER(T5006)),E5006-T5006,"")</f>
        <v/>
      </c>
      <c r="V5006" s="84" t="n">
        <f aca="false">IF(ISNUMBER(T5006),T5006,-99)</f>
        <v>21.2499823327924</v>
      </c>
      <c r="W5006" s="84" t="str">
        <f aca="false">IF(ISNUMBER(U5006),ABS(U5006),"")</f>
        <v/>
      </c>
    </row>
    <row r="5007" customFormat="false" ht="15" hidden="false" customHeight="false" outlineLevel="0" collapsed="false">
      <c r="A5007" s="57" t="n">
        <v>40773</v>
      </c>
      <c r="B5007" s="56" t="n">
        <v>2011</v>
      </c>
      <c r="C5007" s="56" t="n">
        <v>8</v>
      </c>
      <c r="D5007" s="56" t="n">
        <v>110</v>
      </c>
      <c r="E5007" s="56" t="n">
        <v>21.7</v>
      </c>
      <c r="F5007" s="56" t="n">
        <v>0</v>
      </c>
      <c r="G5007" s="56" t="n">
        <v>13</v>
      </c>
      <c r="H5007" s="56" t="n">
        <v>0</v>
      </c>
      <c r="I5007" s="56" t="n">
        <v>14.8</v>
      </c>
      <c r="J5007" s="56" t="n">
        <v>0</v>
      </c>
      <c r="K5007" s="56" t="n">
        <v>1015.2</v>
      </c>
      <c r="L5007" s="56" t="n">
        <v>0</v>
      </c>
      <c r="M5007" s="56" t="n">
        <v>84</v>
      </c>
      <c r="N5007" s="56" t="n">
        <v>0</v>
      </c>
      <c r="O5007" s="56" t="n">
        <f aca="false">IF(D5007=1,"",E5006)</f>
        <v>16.6</v>
      </c>
      <c r="P5007" s="56" t="n">
        <f aca="false">IF(OR(D5007=1,K5006=""),"",K5006)</f>
        <v>1017.1</v>
      </c>
      <c r="Q5007" s="56" t="n">
        <f aca="false">IF(OR(F5007&lt;&gt;0,AND(I5007&lt;&gt;"",E5007&lt;I5007)),1,0)</f>
        <v>0</v>
      </c>
      <c r="R5007" s="56" t="n">
        <f aca="false">IF(AND(D5007&gt;1,Q5007=0,ISNUMBER(O5007),ISNUMBER(P5007)),IF(Q5006=0,1,0),0)</f>
        <v>0</v>
      </c>
      <c r="S5007" s="56" t="n">
        <f aca="false">R5007*(B5007&gt;=Train_Start)*(B5007&lt;=Train_End)</f>
        <v>0</v>
      </c>
      <c r="T5007" s="84" t="n">
        <f aca="false">IF(AND(ISNUMBER(O5007),ISNUMBER(P5007)),Coef_A+Coef_B1*O5007+Coef_B2*P5007,"")</f>
        <v>17.5943258587344</v>
      </c>
      <c r="U5007" s="84" t="str">
        <f aca="false">IF(AND(R5007=1,ISNUMBER(T5007)),E5007-T5007,"")</f>
        <v/>
      </c>
      <c r="V5007" s="84" t="n">
        <f aca="false">IF(ISNUMBER(T5007),T5007,-99)</f>
        <v>17.5943258587344</v>
      </c>
      <c r="W5007" s="84" t="str">
        <f aca="false">IF(ISNUMBER(U5007),ABS(U5007),"")</f>
        <v/>
      </c>
    </row>
    <row r="5008" customFormat="false" ht="15" hidden="false" customHeight="false" outlineLevel="0" collapsed="false">
      <c r="A5008" s="57" t="n">
        <v>40774</v>
      </c>
      <c r="B5008" s="56" t="n">
        <v>2011</v>
      </c>
      <c r="C5008" s="56" t="n">
        <v>8</v>
      </c>
      <c r="D5008" s="56" t="n">
        <v>111</v>
      </c>
      <c r="E5008" s="56" t="n">
        <v>21.6</v>
      </c>
      <c r="F5008" s="56" t="n">
        <v>0</v>
      </c>
      <c r="G5008" s="56" t="n">
        <v>8.7</v>
      </c>
      <c r="H5008" s="56" t="n">
        <v>0</v>
      </c>
      <c r="I5008" s="56" t="n">
        <v>15.2</v>
      </c>
      <c r="J5008" s="56" t="n">
        <v>0</v>
      </c>
      <c r="K5008" s="56" t="n">
        <v>1018.7</v>
      </c>
      <c r="L5008" s="56" t="n">
        <v>0</v>
      </c>
      <c r="M5008" s="56" t="n">
        <v>74</v>
      </c>
      <c r="N5008" s="56" t="n">
        <v>10.5</v>
      </c>
      <c r="O5008" s="56" t="n">
        <f aca="false">IF(D5008=1,"",E5007)</f>
        <v>21.7</v>
      </c>
      <c r="P5008" s="56" t="n">
        <f aca="false">IF(OR(D5008=1,K5007=""),"",K5007)</f>
        <v>1015.2</v>
      </c>
      <c r="Q5008" s="56" t="n">
        <f aca="false">IF(OR(F5008&lt;&gt;0,AND(I5008&lt;&gt;"",E5008&lt;I5008)),1,0)</f>
        <v>0</v>
      </c>
      <c r="R5008" s="56" t="n">
        <f aca="false">IF(AND(D5008&gt;1,Q5008=0,ISNUMBER(O5008),ISNUMBER(P5008)),IF(Q5007=0,1,0),0)</f>
        <v>1</v>
      </c>
      <c r="S5008" s="56" t="n">
        <f aca="false">R5008*(B5008&gt;=Train_Start)*(B5008&lt;=Train_End)</f>
        <v>0</v>
      </c>
      <c r="T5008" s="84" t="n">
        <f aca="false">IF(AND(ISNUMBER(O5008),ISNUMBER(P5008)),Coef_A+Coef_B1*O5008+Coef_B2*P5008,"")</f>
        <v>21.7133529434474</v>
      </c>
      <c r="U5008" s="84" t="n">
        <f aca="false">IF(AND(R5008=1,ISNUMBER(T5008)),E5008-T5008,"")</f>
        <v>-0.113352943447399</v>
      </c>
      <c r="V5008" s="84" t="n">
        <f aca="false">IF(ISNUMBER(T5008),T5008,-99)</f>
        <v>21.7133529434474</v>
      </c>
      <c r="W5008" s="84" t="n">
        <f aca="false">IF(ISNUMBER(U5008),ABS(U5008),"")</f>
        <v>0.113352943447399</v>
      </c>
    </row>
    <row r="5009" customFormat="false" ht="15" hidden="false" customHeight="false" outlineLevel="0" collapsed="false">
      <c r="A5009" s="57" t="n">
        <v>40775</v>
      </c>
      <c r="B5009" s="56" t="n">
        <v>2011</v>
      </c>
      <c r="C5009" s="56" t="n">
        <v>8</v>
      </c>
      <c r="D5009" s="56" t="n">
        <v>112</v>
      </c>
      <c r="E5009" s="56" t="n">
        <v>24.1</v>
      </c>
      <c r="F5009" s="56" t="n">
        <v>0</v>
      </c>
      <c r="G5009" s="56" t="n">
        <v>14</v>
      </c>
      <c r="H5009" s="56" t="n">
        <v>0</v>
      </c>
      <c r="I5009" s="56" t="n">
        <v>17.8</v>
      </c>
      <c r="J5009" s="56" t="n">
        <v>0</v>
      </c>
      <c r="K5009" s="56" t="n">
        <v>1018.3</v>
      </c>
      <c r="L5009" s="56" t="n">
        <v>0</v>
      </c>
      <c r="M5009" s="56" t="n">
        <v>75</v>
      </c>
      <c r="N5009" s="56" t="n">
        <v>7.6</v>
      </c>
      <c r="O5009" s="56" t="n">
        <f aca="false">IF(D5009=1,"",E5008)</f>
        <v>21.6</v>
      </c>
      <c r="P5009" s="56" t="n">
        <f aca="false">IF(OR(D5009=1,K5008=""),"",K5008)</f>
        <v>1018.7</v>
      </c>
      <c r="Q5009" s="56" t="n">
        <f aca="false">IF(OR(F5009&lt;&gt;0,AND(I5009&lt;&gt;"",E5009&lt;I5009)),1,0)</f>
        <v>0</v>
      </c>
      <c r="R5009" s="56" t="n">
        <f aca="false">IF(AND(D5009&gt;1,Q5009=0,ISNUMBER(O5009),ISNUMBER(P5009)),IF(Q5008=0,1,0),0)</f>
        <v>1</v>
      </c>
      <c r="S5009" s="56" t="n">
        <f aca="false">R5009*(B5009&gt;=Train_Start)*(B5009&lt;=Train_End)</f>
        <v>0</v>
      </c>
      <c r="T5009" s="84" t="n">
        <f aca="false">IF(AND(ISNUMBER(O5009),ISNUMBER(P5009)),Coef_A+Coef_B1*O5009+Coef_B2*P5009,"")</f>
        <v>21.7412136553621</v>
      </c>
      <c r="U5009" s="84" t="n">
        <f aca="false">IF(AND(R5009=1,ISNUMBER(T5009)),E5009-T5009,"")</f>
        <v>2.3587863446379</v>
      </c>
      <c r="V5009" s="84" t="n">
        <f aca="false">IF(ISNUMBER(T5009),T5009,-99)</f>
        <v>21.7412136553621</v>
      </c>
      <c r="W5009" s="84" t="n">
        <f aca="false">IF(ISNUMBER(U5009),ABS(U5009),"")</f>
        <v>2.3587863446379</v>
      </c>
    </row>
    <row r="5010" customFormat="false" ht="15" hidden="false" customHeight="false" outlineLevel="0" collapsed="false">
      <c r="A5010" s="57" t="n">
        <v>40776</v>
      </c>
      <c r="B5010" s="56" t="n">
        <v>2011</v>
      </c>
      <c r="C5010" s="56" t="n">
        <v>8</v>
      </c>
      <c r="D5010" s="56" t="n">
        <v>113</v>
      </c>
      <c r="E5010" s="56" t="n">
        <v>23.5</v>
      </c>
      <c r="F5010" s="56" t="n">
        <v>0</v>
      </c>
      <c r="G5010" s="56" t="n">
        <v>13.4</v>
      </c>
      <c r="H5010" s="56" t="n">
        <v>0</v>
      </c>
      <c r="I5010" s="56" t="n">
        <v>18.8</v>
      </c>
      <c r="J5010" s="56" t="n">
        <v>0</v>
      </c>
      <c r="K5010" s="56" t="n">
        <v>1014</v>
      </c>
      <c r="L5010" s="56" t="n">
        <v>0</v>
      </c>
      <c r="M5010" s="56" t="n">
        <v>68</v>
      </c>
      <c r="N5010" s="56" t="n">
        <v>6.3</v>
      </c>
      <c r="O5010" s="56" t="n">
        <f aca="false">IF(D5010=1,"",E5009)</f>
        <v>24.1</v>
      </c>
      <c r="P5010" s="56" t="n">
        <f aca="false">IF(OR(D5010=1,K5009=""),"",K5009)</f>
        <v>1018.3</v>
      </c>
      <c r="Q5010" s="56" t="n">
        <f aca="false">IF(OR(F5010&lt;&gt;0,AND(I5010&lt;&gt;"",E5010&lt;I5010)),1,0)</f>
        <v>0</v>
      </c>
      <c r="R5010" s="56" t="n">
        <f aca="false">IF(AND(D5010&gt;1,Q5010=0,ISNUMBER(O5010),ISNUMBER(P5010)),IF(Q5009=0,1,0),0)</f>
        <v>1</v>
      </c>
      <c r="S5010" s="56" t="n">
        <f aca="false">R5010*(B5010&gt;=Train_Start)*(B5010&lt;=Train_End)</f>
        <v>0</v>
      </c>
      <c r="T5010" s="84" t="n">
        <f aca="false">IF(AND(ISNUMBER(O5010),ISNUMBER(P5010)),Coef_A+Coef_B1*O5010+Coef_B2*P5010,"")</f>
        <v>23.7770136801151</v>
      </c>
      <c r="U5010" s="84" t="n">
        <f aca="false">IF(AND(R5010=1,ISNUMBER(T5010)),E5010-T5010,"")</f>
        <v>-0.277013680115147</v>
      </c>
      <c r="V5010" s="84" t="n">
        <f aca="false">IF(ISNUMBER(T5010),T5010,-99)</f>
        <v>23.7770136801151</v>
      </c>
      <c r="W5010" s="84" t="n">
        <f aca="false">IF(ISNUMBER(U5010),ABS(U5010),"")</f>
        <v>0.277013680115147</v>
      </c>
    </row>
    <row r="5011" customFormat="false" ht="15" hidden="false" customHeight="false" outlineLevel="0" collapsed="false">
      <c r="A5011" s="57" t="n">
        <v>40777</v>
      </c>
      <c r="B5011" s="56" t="n">
        <v>2011</v>
      </c>
      <c r="C5011" s="56" t="n">
        <v>8</v>
      </c>
      <c r="D5011" s="56" t="n">
        <v>114</v>
      </c>
      <c r="E5011" s="56" t="n">
        <v>15.6</v>
      </c>
      <c r="F5011" s="56" t="n">
        <v>1</v>
      </c>
      <c r="G5011" s="56" t="n">
        <v>10.9</v>
      </c>
      <c r="H5011" s="56" t="n">
        <v>0</v>
      </c>
      <c r="I5011" s="56" t="n">
        <v>17.2</v>
      </c>
      <c r="J5011" s="56" t="n">
        <v>1</v>
      </c>
      <c r="K5011" s="56" t="n">
        <v>1018.7</v>
      </c>
      <c r="L5011" s="56" t="n">
        <v>0</v>
      </c>
      <c r="M5011" s="56" t="n">
        <v>66</v>
      </c>
      <c r="N5011" s="56" t="n">
        <v>9</v>
      </c>
      <c r="O5011" s="56" t="n">
        <f aca="false">IF(D5011=1,"",E5010)</f>
        <v>23.5</v>
      </c>
      <c r="P5011" s="56" t="n">
        <f aca="false">IF(OR(D5011=1,K5010=""),"",K5010)</f>
        <v>1014</v>
      </c>
      <c r="Q5011" s="56" t="n">
        <f aca="false">IF(OR(F5011&lt;&gt;0,AND(I5011&lt;&gt;"",E5011&lt;I5011)),1,0)</f>
        <v>1</v>
      </c>
      <c r="R5011" s="56" t="n">
        <f aca="false">IF(AND(D5011&gt;1,Q5011=0,ISNUMBER(O5011),ISNUMBER(P5011)),IF(Q5010=0,1,0),0)</f>
        <v>0</v>
      </c>
      <c r="S5011" s="56" t="n">
        <f aca="false">R5011*(B5011&gt;=Train_Start)*(B5011&lt;=Train_End)</f>
        <v>0</v>
      </c>
      <c r="T5011" s="84" t="n">
        <f aca="false">IF(AND(ISNUMBER(O5011),ISNUMBER(P5011)),Coef_A+Coef_B1*O5011+Coef_B2*P5011,"")</f>
        <v>23.1505196173634</v>
      </c>
      <c r="U5011" s="84" t="str">
        <f aca="false">IF(AND(R5011=1,ISNUMBER(T5011)),E5011-T5011,"")</f>
        <v/>
      </c>
      <c r="V5011" s="84" t="n">
        <f aca="false">IF(ISNUMBER(T5011),T5011,-99)</f>
        <v>23.1505196173634</v>
      </c>
      <c r="W5011" s="84" t="str">
        <f aca="false">IF(ISNUMBER(U5011),ABS(U5011),"")</f>
        <v/>
      </c>
    </row>
    <row r="5012" customFormat="false" ht="15" hidden="false" customHeight="false" outlineLevel="0" collapsed="false">
      <c r="A5012" s="57" t="n">
        <v>40778</v>
      </c>
      <c r="B5012" s="56" t="n">
        <v>2011</v>
      </c>
      <c r="C5012" s="56" t="n">
        <v>8</v>
      </c>
      <c r="D5012" s="56" t="n">
        <v>115</v>
      </c>
      <c r="E5012" s="56" t="n">
        <v>22</v>
      </c>
      <c r="F5012" s="56" t="n">
        <v>0</v>
      </c>
      <c r="G5012" s="56" t="n">
        <v>13.7</v>
      </c>
      <c r="H5012" s="56" t="n">
        <v>0</v>
      </c>
      <c r="I5012" s="56" t="n">
        <v>14.7</v>
      </c>
      <c r="J5012" s="56" t="n">
        <v>0</v>
      </c>
      <c r="K5012" s="56" t="n">
        <v>1013.1</v>
      </c>
      <c r="L5012" s="56" t="n">
        <v>0</v>
      </c>
      <c r="M5012" s="56" t="n">
        <v>89</v>
      </c>
      <c r="N5012" s="56" t="n">
        <v>0</v>
      </c>
      <c r="O5012" s="56" t="n">
        <f aca="false">IF(D5012=1,"",E5011)</f>
        <v>15.6</v>
      </c>
      <c r="P5012" s="56" t="n">
        <f aca="false">IF(OR(D5012=1,K5011=""),"",K5011)</f>
        <v>1018.7</v>
      </c>
      <c r="Q5012" s="56" t="n">
        <f aca="false">IF(OR(F5012&lt;&gt;0,AND(I5012&lt;&gt;"",E5012&lt;I5012)),1,0)</f>
        <v>0</v>
      </c>
      <c r="R5012" s="56" t="n">
        <f aca="false">IF(AND(D5012&gt;1,Q5012=0,ISNUMBER(O5012),ISNUMBER(P5012)),IF(Q5011=0,1,0),0)</f>
        <v>0</v>
      </c>
      <c r="S5012" s="56" t="n">
        <f aca="false">R5012*(B5012&gt;=Train_Start)*(B5012&lt;=Train_End)</f>
        <v>0</v>
      </c>
      <c r="T5012" s="84" t="n">
        <f aca="false">IF(AND(ISNUMBER(O5012),ISNUMBER(P5012)),Coef_A+Coef_B1*O5012+Coef_B2*P5012,"")</f>
        <v>16.8251784971062</v>
      </c>
      <c r="U5012" s="84" t="str">
        <f aca="false">IF(AND(R5012=1,ISNUMBER(T5012)),E5012-T5012,"")</f>
        <v/>
      </c>
      <c r="V5012" s="84" t="n">
        <f aca="false">IF(ISNUMBER(T5012),T5012,-99)</f>
        <v>16.8251784971062</v>
      </c>
      <c r="W5012" s="84" t="str">
        <f aca="false">IF(ISNUMBER(U5012),ABS(U5012),"")</f>
        <v/>
      </c>
    </row>
    <row r="5013" customFormat="false" ht="15" hidden="false" customHeight="false" outlineLevel="0" collapsed="false">
      <c r="A5013" s="57" t="n">
        <v>40779</v>
      </c>
      <c r="B5013" s="56" t="n">
        <v>2011</v>
      </c>
      <c r="C5013" s="56" t="n">
        <v>8</v>
      </c>
      <c r="D5013" s="56" t="n">
        <v>116</v>
      </c>
      <c r="E5013" s="56" t="n">
        <v>20.6</v>
      </c>
      <c r="F5013" s="56" t="n">
        <v>0</v>
      </c>
      <c r="G5013" s="56" t="n">
        <v>13.7</v>
      </c>
      <c r="H5013" s="56" t="n">
        <v>0</v>
      </c>
      <c r="I5013" s="56" t="n">
        <v>17.9</v>
      </c>
      <c r="J5013" s="56" t="n">
        <v>0</v>
      </c>
      <c r="K5013" s="56" t="n">
        <v>1013.2</v>
      </c>
      <c r="L5013" s="56" t="n">
        <v>0</v>
      </c>
      <c r="M5013" s="56" t="n">
        <v>77</v>
      </c>
      <c r="N5013" s="56" t="n">
        <v>4.4</v>
      </c>
      <c r="O5013" s="56" t="n">
        <f aca="false">IF(D5013=1,"",E5012)</f>
        <v>22</v>
      </c>
      <c r="P5013" s="56" t="n">
        <f aca="false">IF(OR(D5013=1,K5012=""),"",K5012)</f>
        <v>1013.1</v>
      </c>
      <c r="Q5013" s="56" t="n">
        <f aca="false">IF(OR(F5013&lt;&gt;0,AND(I5013&lt;&gt;"",E5013&lt;I5013)),1,0)</f>
        <v>0</v>
      </c>
      <c r="R5013" s="56" t="n">
        <f aca="false">IF(AND(D5013&gt;1,Q5013=0,ISNUMBER(O5013),ISNUMBER(P5013)),IF(Q5012=0,1,0),0)</f>
        <v>1</v>
      </c>
      <c r="S5013" s="56" t="n">
        <f aca="false">R5013*(B5013&gt;=Train_Start)*(B5013&lt;=Train_End)</f>
        <v>0</v>
      </c>
      <c r="T5013" s="84" t="n">
        <f aca="false">IF(AND(ISNUMBER(O5013),ISNUMBER(P5013)),Coef_A+Coef_B1*O5013+Coef_B2*P5013,"")</f>
        <v>21.8932779226288</v>
      </c>
      <c r="U5013" s="84" t="n">
        <f aca="false">IF(AND(R5013=1,ISNUMBER(T5013)),E5013-T5013,"")</f>
        <v>-1.29327792262882</v>
      </c>
      <c r="V5013" s="84" t="n">
        <f aca="false">IF(ISNUMBER(T5013),T5013,-99)</f>
        <v>21.8932779226288</v>
      </c>
      <c r="W5013" s="84" t="n">
        <f aca="false">IF(ISNUMBER(U5013),ABS(U5013),"")</f>
        <v>1.29327792262882</v>
      </c>
    </row>
    <row r="5014" customFormat="false" ht="15" hidden="false" customHeight="false" outlineLevel="0" collapsed="false">
      <c r="A5014" s="57" t="n">
        <v>40780</v>
      </c>
      <c r="B5014" s="56" t="n">
        <v>2011</v>
      </c>
      <c r="C5014" s="56" t="n">
        <v>8</v>
      </c>
      <c r="D5014" s="56" t="n">
        <v>117</v>
      </c>
      <c r="E5014" s="56" t="n">
        <v>17.5</v>
      </c>
      <c r="F5014" s="56" t="n">
        <v>0</v>
      </c>
      <c r="G5014" s="56" t="n">
        <v>14</v>
      </c>
      <c r="H5014" s="56" t="n">
        <v>0</v>
      </c>
      <c r="I5014" s="56" t="n">
        <v>17.3</v>
      </c>
      <c r="J5014" s="56" t="n">
        <v>0</v>
      </c>
      <c r="K5014" s="56" t="n">
        <v>1009.8</v>
      </c>
      <c r="L5014" s="56" t="n">
        <v>0</v>
      </c>
      <c r="M5014" s="56" t="n">
        <v>76</v>
      </c>
      <c r="N5014" s="56" t="n">
        <v>4</v>
      </c>
      <c r="O5014" s="56" t="n">
        <f aca="false">IF(D5014=1,"",E5013)</f>
        <v>20.6</v>
      </c>
      <c r="P5014" s="56" t="n">
        <f aca="false">IF(OR(D5014=1,K5013=""),"",K5013)</f>
        <v>1013.2</v>
      </c>
      <c r="Q5014" s="56" t="n">
        <f aca="false">IF(OR(F5014&lt;&gt;0,AND(I5014&lt;&gt;"",E5014&lt;I5014)),1,0)</f>
        <v>0</v>
      </c>
      <c r="R5014" s="56" t="n">
        <f aca="false">IF(AND(D5014&gt;1,Q5014=0,ISNUMBER(O5014),ISNUMBER(P5014)),IF(Q5013=0,1,0),0)</f>
        <v>1</v>
      </c>
      <c r="S5014" s="56" t="n">
        <f aca="false">R5014*(B5014&gt;=Train_Start)*(B5014&lt;=Train_End)</f>
        <v>0</v>
      </c>
      <c r="T5014" s="84" t="n">
        <f aca="false">IF(AND(ISNUMBER(O5014),ISNUMBER(P5014)),Coef_A+Coef_B1*O5014+Coef_B2*P5014,"")</f>
        <v>20.7493400418325</v>
      </c>
      <c r="U5014" s="84" t="n">
        <f aca="false">IF(AND(R5014=1,ISNUMBER(T5014)),E5014-T5014,"")</f>
        <v>-3.2493400418325</v>
      </c>
      <c r="V5014" s="84" t="n">
        <f aca="false">IF(ISNUMBER(T5014),T5014,-99)</f>
        <v>20.7493400418325</v>
      </c>
      <c r="W5014" s="84" t="n">
        <f aca="false">IF(ISNUMBER(U5014),ABS(U5014),"")</f>
        <v>3.2493400418325</v>
      </c>
    </row>
    <row r="5015" customFormat="false" ht="15" hidden="false" customHeight="false" outlineLevel="0" collapsed="false">
      <c r="A5015" s="57" t="n">
        <v>40781</v>
      </c>
      <c r="B5015" s="56" t="n">
        <v>2011</v>
      </c>
      <c r="C5015" s="56" t="n">
        <v>8</v>
      </c>
      <c r="D5015" s="56" t="n">
        <v>118</v>
      </c>
      <c r="E5015" s="56" t="n">
        <v>19</v>
      </c>
      <c r="F5015" s="56" t="n">
        <v>0</v>
      </c>
      <c r="G5015" s="56" t="n">
        <v>13</v>
      </c>
      <c r="H5015" s="56" t="n">
        <v>0</v>
      </c>
      <c r="I5015" s="56" t="n">
        <v>15.3</v>
      </c>
      <c r="J5015" s="56" t="n">
        <v>0</v>
      </c>
      <c r="K5015" s="56" t="n">
        <v>1004.4</v>
      </c>
      <c r="L5015" s="56" t="n">
        <v>0</v>
      </c>
      <c r="M5015" s="56" t="n">
        <v>89</v>
      </c>
      <c r="N5015" s="56" t="n">
        <v>0.9</v>
      </c>
      <c r="O5015" s="56" t="n">
        <f aca="false">IF(D5015=1,"",E5014)</f>
        <v>17.5</v>
      </c>
      <c r="P5015" s="56" t="n">
        <f aca="false">IF(OR(D5015=1,K5014=""),"",K5014)</f>
        <v>1009.8</v>
      </c>
      <c r="Q5015" s="56" t="n">
        <f aca="false">IF(OR(F5015&lt;&gt;0,AND(I5015&lt;&gt;"",E5015&lt;I5015)),1,0)</f>
        <v>0</v>
      </c>
      <c r="R5015" s="56" t="n">
        <f aca="false">IF(AND(D5015&gt;1,Q5015=0,ISNUMBER(O5015),ISNUMBER(P5015)),IF(Q5014=0,1,0),0)</f>
        <v>1</v>
      </c>
      <c r="S5015" s="56" t="n">
        <f aca="false">R5015*(B5015&gt;=Train_Start)*(B5015&lt;=Train_End)</f>
        <v>0</v>
      </c>
      <c r="T5015" s="84" t="n">
        <f aca="false">IF(AND(ISNUMBER(O5015),ISNUMBER(P5015)),Coef_A+Coef_B1*O5015+Coef_B2*P5015,"")</f>
        <v>18.1027309016447</v>
      </c>
      <c r="U5015" s="84" t="n">
        <f aca="false">IF(AND(R5015=1,ISNUMBER(T5015)),E5015-T5015,"")</f>
        <v>0.897269098355309</v>
      </c>
      <c r="V5015" s="84" t="n">
        <f aca="false">IF(ISNUMBER(T5015),T5015,-99)</f>
        <v>18.1027309016447</v>
      </c>
      <c r="W5015" s="84" t="n">
        <f aca="false">IF(ISNUMBER(U5015),ABS(U5015),"")</f>
        <v>0.897269098355309</v>
      </c>
    </row>
    <row r="5016" customFormat="false" ht="15" hidden="false" customHeight="false" outlineLevel="0" collapsed="false">
      <c r="A5016" s="57" t="n">
        <v>40782</v>
      </c>
      <c r="B5016" s="56" t="n">
        <v>2011</v>
      </c>
      <c r="C5016" s="56" t="n">
        <v>8</v>
      </c>
      <c r="D5016" s="56" t="n">
        <v>119</v>
      </c>
      <c r="E5016" s="56" t="n">
        <v>19.5</v>
      </c>
      <c r="F5016" s="56" t="n">
        <v>0</v>
      </c>
      <c r="G5016" s="56" t="n">
        <v>11.1</v>
      </c>
      <c r="H5016" s="56" t="n">
        <v>0</v>
      </c>
      <c r="I5016" s="56" t="n">
        <v>15.1</v>
      </c>
      <c r="J5016" s="56" t="n">
        <v>0</v>
      </c>
      <c r="K5016" s="56" t="n">
        <v>1012.3</v>
      </c>
      <c r="L5016" s="56" t="n">
        <v>0</v>
      </c>
      <c r="M5016" s="56" t="n">
        <v>76</v>
      </c>
      <c r="N5016" s="56" t="n">
        <v>6.6</v>
      </c>
      <c r="O5016" s="56" t="n">
        <f aca="false">IF(D5016=1,"",E5015)</f>
        <v>19</v>
      </c>
      <c r="P5016" s="56" t="n">
        <f aca="false">IF(OR(D5016=1,K5015=""),"",K5015)</f>
        <v>1004.4</v>
      </c>
      <c r="Q5016" s="56" t="n">
        <f aca="false">IF(OR(F5016&lt;&gt;0,AND(I5016&lt;&gt;"",E5016&lt;I5016)),1,0)</f>
        <v>0</v>
      </c>
      <c r="R5016" s="56" t="n">
        <f aca="false">IF(AND(D5016&gt;1,Q5016=0,ISNUMBER(O5016),ISNUMBER(P5016)),IF(Q5015=0,1,0),0)</f>
        <v>1</v>
      </c>
      <c r="S5016" s="56" t="n">
        <f aca="false">R5016*(B5016&gt;=Train_Start)*(B5016&lt;=Train_End)</f>
        <v>0</v>
      </c>
      <c r="T5016" s="84" t="n">
        <f aca="false">IF(AND(ISNUMBER(O5016),ISNUMBER(P5016)),Coef_A+Coef_B1*O5016+Coef_B2*P5016,"")</f>
        <v>19.1623422601851</v>
      </c>
      <c r="U5016" s="84" t="n">
        <f aca="false">IF(AND(R5016=1,ISNUMBER(T5016)),E5016-T5016,"")</f>
        <v>0.337657739814865</v>
      </c>
      <c r="V5016" s="84" t="n">
        <f aca="false">IF(ISNUMBER(T5016),T5016,-99)</f>
        <v>19.1623422601851</v>
      </c>
      <c r="W5016" s="84" t="n">
        <f aca="false">IF(ISNUMBER(U5016),ABS(U5016),"")</f>
        <v>0.337657739814865</v>
      </c>
    </row>
    <row r="5017" customFormat="false" ht="15" hidden="false" customHeight="false" outlineLevel="0" collapsed="false">
      <c r="A5017" s="57" t="n">
        <v>40783</v>
      </c>
      <c r="B5017" s="56" t="n">
        <v>2011</v>
      </c>
      <c r="C5017" s="56" t="n">
        <v>8</v>
      </c>
      <c r="D5017" s="56" t="n">
        <v>120</v>
      </c>
      <c r="E5017" s="56" t="n">
        <v>18.1</v>
      </c>
      <c r="F5017" s="56" t="n">
        <v>0</v>
      </c>
      <c r="G5017" s="56" t="n">
        <v>12.7</v>
      </c>
      <c r="H5017" s="56" t="n">
        <v>0</v>
      </c>
      <c r="I5017" s="56" t="n">
        <v>16.1</v>
      </c>
      <c r="J5017" s="56" t="n">
        <v>0</v>
      </c>
      <c r="K5017" s="56" t="n">
        <v>1015.7</v>
      </c>
      <c r="L5017" s="56" t="n">
        <v>0</v>
      </c>
      <c r="M5017" s="56" t="n">
        <v>76</v>
      </c>
      <c r="N5017" s="56" t="n">
        <v>3.9</v>
      </c>
      <c r="O5017" s="56" t="n">
        <f aca="false">IF(D5017=1,"",E5016)</f>
        <v>19.5</v>
      </c>
      <c r="P5017" s="56" t="n">
        <f aca="false">IF(OR(D5017=1,K5016=""),"",K5016)</f>
        <v>1012.3</v>
      </c>
      <c r="Q5017" s="56" t="n">
        <f aca="false">IF(OR(F5017&lt;&gt;0,AND(I5017&lt;&gt;"",E5017&lt;I5017)),1,0)</f>
        <v>0</v>
      </c>
      <c r="R5017" s="56" t="n">
        <f aca="false">IF(AND(D5017&gt;1,Q5017=0,ISNUMBER(O5017),ISNUMBER(P5017)),IF(Q5016=0,1,0),0)</f>
        <v>1</v>
      </c>
      <c r="S5017" s="56" t="n">
        <f aca="false">R5017*(B5017&gt;=Train_Start)*(B5017&lt;=Train_End)</f>
        <v>0</v>
      </c>
      <c r="T5017" s="84" t="n">
        <f aca="false">IF(AND(ISNUMBER(O5017),ISNUMBER(P5017)),Coef_A+Coef_B1*O5017+Coef_B2*P5017,"")</f>
        <v>19.819834024315</v>
      </c>
      <c r="U5017" s="84" t="n">
        <f aca="false">IF(AND(R5017=1,ISNUMBER(T5017)),E5017-T5017,"")</f>
        <v>-1.71983402431498</v>
      </c>
      <c r="V5017" s="84" t="n">
        <f aca="false">IF(ISNUMBER(T5017),T5017,-99)</f>
        <v>19.819834024315</v>
      </c>
      <c r="W5017" s="84" t="n">
        <f aca="false">IF(ISNUMBER(U5017),ABS(U5017),"")</f>
        <v>1.71983402431498</v>
      </c>
    </row>
    <row r="5018" customFormat="false" ht="15" hidden="false" customHeight="false" outlineLevel="0" collapsed="false">
      <c r="A5018" s="57" t="n">
        <v>40784</v>
      </c>
      <c r="B5018" s="56" t="n">
        <v>2011</v>
      </c>
      <c r="C5018" s="56" t="n">
        <v>8</v>
      </c>
      <c r="D5018" s="56" t="n">
        <v>121</v>
      </c>
      <c r="E5018" s="56" t="n">
        <v>17.3</v>
      </c>
      <c r="F5018" s="56" t="n">
        <v>0</v>
      </c>
      <c r="G5018" s="56" t="n">
        <v>9.9</v>
      </c>
      <c r="H5018" s="56" t="n">
        <v>0</v>
      </c>
      <c r="I5018" s="56" t="n">
        <v>14</v>
      </c>
      <c r="J5018" s="56" t="n">
        <v>0</v>
      </c>
      <c r="K5018" s="56" t="n">
        <v>1017.7</v>
      </c>
      <c r="L5018" s="56" t="n">
        <v>0</v>
      </c>
      <c r="M5018" s="56" t="n">
        <v>65</v>
      </c>
      <c r="N5018" s="56" t="n">
        <v>4.9</v>
      </c>
      <c r="O5018" s="56" t="n">
        <f aca="false">IF(D5018=1,"",E5017)</f>
        <v>18.1</v>
      </c>
      <c r="P5018" s="56" t="n">
        <f aca="false">IF(OR(D5018=1,K5017=""),"",K5017)</f>
        <v>1015.7</v>
      </c>
      <c r="Q5018" s="56" t="n">
        <f aca="false">IF(OR(F5018&lt;&gt;0,AND(I5018&lt;&gt;"",E5018&lt;I5018)),1,0)</f>
        <v>0</v>
      </c>
      <c r="R5018" s="56" t="n">
        <f aca="false">IF(AND(D5018&gt;1,Q5018=0,ISNUMBER(O5018),ISNUMBER(P5018)),IF(Q5017=0,1,0),0)</f>
        <v>1</v>
      </c>
      <c r="S5018" s="56" t="n">
        <f aca="false">R5018*(B5018&gt;=Train_Start)*(B5018&lt;=Train_End)</f>
        <v>0</v>
      </c>
      <c r="T5018" s="84" t="n">
        <f aca="false">IF(AND(ISNUMBER(O5018),ISNUMBER(P5018)),Coef_A+Coef_B1*O5018+Coef_B2*P5018,"")</f>
        <v>18.7794167958108</v>
      </c>
      <c r="U5018" s="84" t="n">
        <f aca="false">IF(AND(R5018=1,ISNUMBER(T5018)),E5018-T5018,"")</f>
        <v>-1.47941679581083</v>
      </c>
      <c r="V5018" s="84" t="n">
        <f aca="false">IF(ISNUMBER(T5018),T5018,-99)</f>
        <v>18.7794167958108</v>
      </c>
      <c r="W5018" s="84" t="n">
        <f aca="false">IF(ISNUMBER(U5018),ABS(U5018),"")</f>
        <v>1.47941679581083</v>
      </c>
    </row>
    <row r="5019" customFormat="false" ht="15" hidden="false" customHeight="false" outlineLevel="0" collapsed="false">
      <c r="A5019" s="57" t="n">
        <v>40785</v>
      </c>
      <c r="B5019" s="56" t="n">
        <v>2011</v>
      </c>
      <c r="C5019" s="56" t="n">
        <v>8</v>
      </c>
      <c r="D5019" s="56" t="n">
        <v>122</v>
      </c>
      <c r="E5019" s="56" t="n">
        <v>18.5</v>
      </c>
      <c r="F5019" s="56" t="n">
        <v>0</v>
      </c>
      <c r="G5019" s="56" t="n">
        <v>13</v>
      </c>
      <c r="H5019" s="56" t="n">
        <v>0</v>
      </c>
      <c r="I5019" s="56" t="n">
        <v>15.2</v>
      </c>
      <c r="J5019" s="56" t="n">
        <v>0</v>
      </c>
      <c r="K5019" s="56" t="n">
        <v>1017.2</v>
      </c>
      <c r="L5019" s="56" t="n">
        <v>0</v>
      </c>
      <c r="M5019" s="56" t="n">
        <v>65</v>
      </c>
      <c r="N5019" s="56" t="n">
        <v>0</v>
      </c>
      <c r="O5019" s="56" t="n">
        <f aca="false">IF(D5019=1,"",E5018)</f>
        <v>17.3</v>
      </c>
      <c r="P5019" s="56" t="n">
        <f aca="false">IF(OR(D5019=1,K5018=""),"",K5018)</f>
        <v>1017.7</v>
      </c>
      <c r="Q5019" s="56" t="n">
        <f aca="false">IF(OR(F5019&lt;&gt;0,AND(I5019&lt;&gt;"",E5019&lt;I5019)),1,0)</f>
        <v>0</v>
      </c>
      <c r="R5019" s="56" t="n">
        <f aca="false">IF(AND(D5019&gt;1,Q5019=0,ISNUMBER(O5019),ISNUMBER(P5019)),IF(Q5018=0,1,0),0)</f>
        <v>1</v>
      </c>
      <c r="S5019" s="56" t="n">
        <f aca="false">R5019*(B5019&gt;=Train_Start)*(B5019&lt;=Train_End)</f>
        <v>0</v>
      </c>
      <c r="T5019" s="84" t="n">
        <f aca="false">IF(AND(ISNUMBER(O5019),ISNUMBER(P5019)),Coef_A+Coef_B1*O5019+Coef_B2*P5019,"")</f>
        <v>18.1866852306447</v>
      </c>
      <c r="U5019" s="84" t="n">
        <f aca="false">IF(AND(R5019=1,ISNUMBER(T5019)),E5019-T5019,"")</f>
        <v>0.313314769355316</v>
      </c>
      <c r="V5019" s="84" t="n">
        <f aca="false">IF(ISNUMBER(T5019),T5019,-99)</f>
        <v>18.1866852306447</v>
      </c>
      <c r="W5019" s="84" t="n">
        <f aca="false">IF(ISNUMBER(U5019),ABS(U5019),"")</f>
        <v>0.313314769355316</v>
      </c>
    </row>
    <row r="5020" customFormat="false" ht="15" hidden="false" customHeight="false" outlineLevel="0" collapsed="false">
      <c r="A5020" s="57" t="n">
        <v>40786</v>
      </c>
      <c r="B5020" s="56" t="n">
        <v>2011</v>
      </c>
      <c r="C5020" s="56" t="n">
        <v>8</v>
      </c>
      <c r="D5020" s="56" t="n">
        <v>123</v>
      </c>
      <c r="E5020" s="56" t="n">
        <v>21.2</v>
      </c>
      <c r="F5020" s="56" t="n">
        <v>0</v>
      </c>
      <c r="G5020" s="56" t="n">
        <v>13.6</v>
      </c>
      <c r="H5020" s="56" t="n">
        <v>0</v>
      </c>
      <c r="I5020" s="56" t="n">
        <v>16.1</v>
      </c>
      <c r="J5020" s="56" t="n">
        <v>0</v>
      </c>
      <c r="K5020" s="56" t="n">
        <v>1015.7</v>
      </c>
      <c r="L5020" s="56" t="n">
        <v>0</v>
      </c>
      <c r="M5020" s="56" t="n">
        <v>68</v>
      </c>
      <c r="N5020" s="56" t="n">
        <v>0.1</v>
      </c>
      <c r="O5020" s="56" t="n">
        <f aca="false">IF(D5020=1,"",E5019)</f>
        <v>18.5</v>
      </c>
      <c r="P5020" s="56" t="n">
        <f aca="false">IF(OR(D5020=1,K5019=""),"",K5019)</f>
        <v>1017.2</v>
      </c>
      <c r="Q5020" s="56" t="n">
        <f aca="false">IF(OR(F5020&lt;&gt;0,AND(I5020&lt;&gt;"",E5020&lt;I5020)),1,0)</f>
        <v>0</v>
      </c>
      <c r="R5020" s="56" t="n">
        <f aca="false">IF(AND(D5020&gt;1,Q5020=0,ISNUMBER(O5020),ISNUMBER(P5020)),IF(Q5019=0,1,0),0)</f>
        <v>1</v>
      </c>
      <c r="S5020" s="56" t="n">
        <f aca="false">R5020*(B5020&gt;=Train_Start)*(B5020&lt;=Train_End)</f>
        <v>0</v>
      </c>
      <c r="T5020" s="84" t="n">
        <f aca="false">IF(AND(ISNUMBER(O5020),ISNUMBER(P5020)),Coef_A+Coef_B1*O5020+Coef_B2*P5020,"")</f>
        <v>19.1542073149789</v>
      </c>
      <c r="U5020" s="84" t="n">
        <f aca="false">IF(AND(R5020=1,ISNUMBER(T5020)),E5020-T5020,"")</f>
        <v>2.04579268502112</v>
      </c>
      <c r="V5020" s="84" t="n">
        <f aca="false">IF(ISNUMBER(T5020),T5020,-99)</f>
        <v>19.1542073149789</v>
      </c>
      <c r="W5020" s="84" t="n">
        <f aca="false">IF(ISNUMBER(U5020),ABS(U5020),"")</f>
        <v>2.04579268502112</v>
      </c>
    </row>
    <row r="5021" customFormat="false" ht="15" hidden="false" customHeight="false" outlineLevel="0" collapsed="false">
      <c r="A5021" s="57" t="n">
        <v>40787</v>
      </c>
      <c r="B5021" s="56" t="n">
        <v>2011</v>
      </c>
      <c r="C5021" s="56" t="n">
        <v>9</v>
      </c>
      <c r="D5021" s="56" t="n">
        <v>124</v>
      </c>
      <c r="E5021" s="56" t="n">
        <v>27</v>
      </c>
      <c r="F5021" s="56" t="n">
        <v>0</v>
      </c>
      <c r="G5021" s="56" t="n">
        <v>10.8</v>
      </c>
      <c r="H5021" s="56" t="n">
        <v>0</v>
      </c>
      <c r="I5021" s="56" t="n">
        <v>16</v>
      </c>
      <c r="J5021" s="56" t="n">
        <v>0</v>
      </c>
      <c r="K5021" s="56" t="n">
        <v>1014</v>
      </c>
      <c r="L5021" s="56" t="n">
        <v>0</v>
      </c>
      <c r="M5021" s="56" t="n">
        <v>74</v>
      </c>
      <c r="N5021" s="56" t="n">
        <v>8.9</v>
      </c>
      <c r="O5021" s="56" t="n">
        <f aca="false">IF(D5021=1,"",E5020)</f>
        <v>21.2</v>
      </c>
      <c r="P5021" s="56" t="n">
        <f aca="false">IF(OR(D5021=1,K5020=""),"",K5020)</f>
        <v>1015.7</v>
      </c>
      <c r="Q5021" s="56" t="n">
        <f aca="false">IF(OR(F5021&lt;&gt;0,AND(I5021&lt;&gt;"",E5021&lt;I5021)),1,0)</f>
        <v>0</v>
      </c>
      <c r="R5021" s="56" t="n">
        <f aca="false">IF(AND(D5021&gt;1,Q5021=0,ISNUMBER(O5021),ISNUMBER(P5021)),IF(Q5020=0,1,0),0)</f>
        <v>1</v>
      </c>
      <c r="S5021" s="56" t="n">
        <f aca="false">R5021*(B5021&gt;=Train_Start)*(B5021&lt;=Train_End)</f>
        <v>0</v>
      </c>
      <c r="T5021" s="84" t="n">
        <f aca="false">IF(AND(ISNUMBER(O5021),ISNUMBER(P5021)),Coef_A+Coef_B1*O5021+Coef_B2*P5021,"")</f>
        <v>21.3193682942431</v>
      </c>
      <c r="U5021" s="84" t="n">
        <f aca="false">IF(AND(R5021=1,ISNUMBER(T5021)),E5021-T5021,"")</f>
        <v>5.68063170575693</v>
      </c>
      <c r="V5021" s="84" t="n">
        <f aca="false">IF(ISNUMBER(T5021),T5021,-99)</f>
        <v>21.3193682942431</v>
      </c>
      <c r="W5021" s="84" t="n">
        <f aca="false">IF(ISNUMBER(U5021),ABS(U5021),"")</f>
        <v>5.68063170575693</v>
      </c>
    </row>
    <row r="5022" customFormat="false" ht="15" hidden="false" customHeight="false" outlineLevel="0" collapsed="false">
      <c r="A5022" s="57" t="n">
        <v>40788</v>
      </c>
      <c r="B5022" s="56" t="n">
        <v>2011</v>
      </c>
      <c r="C5022" s="56" t="n">
        <v>9</v>
      </c>
      <c r="D5022" s="56" t="n">
        <v>125</v>
      </c>
      <c r="E5022" s="56" t="n">
        <v>24.1</v>
      </c>
      <c r="F5022" s="56" t="n">
        <v>0</v>
      </c>
      <c r="G5022" s="56" t="n">
        <v>12.9</v>
      </c>
      <c r="H5022" s="56" t="n">
        <v>0</v>
      </c>
      <c r="I5022" s="56" t="n">
        <v>20</v>
      </c>
      <c r="J5022" s="56" t="n">
        <v>0</v>
      </c>
      <c r="K5022" s="56" t="n">
        <v>1010.9</v>
      </c>
      <c r="L5022" s="56" t="n">
        <v>0</v>
      </c>
      <c r="M5022" s="56" t="n">
        <v>73</v>
      </c>
      <c r="N5022" s="56" t="n">
        <v>8.6</v>
      </c>
      <c r="O5022" s="56" t="n">
        <f aca="false">IF(D5022=1,"",E5021)</f>
        <v>27</v>
      </c>
      <c r="P5022" s="56" t="n">
        <f aca="false">IF(OR(D5022=1,K5021=""),"",K5021)</f>
        <v>1014</v>
      </c>
      <c r="Q5022" s="56" t="n">
        <f aca="false">IF(OR(F5022&lt;&gt;0,AND(I5022&lt;&gt;"",E5022&lt;I5022)),1,0)</f>
        <v>0</v>
      </c>
      <c r="R5022" s="56" t="n">
        <f aca="false">IF(AND(D5022&gt;1,Q5022=0,ISNUMBER(O5022),ISNUMBER(P5022)),IF(Q5021=0,1,0),0)</f>
        <v>1</v>
      </c>
      <c r="S5022" s="56" t="n">
        <f aca="false">R5022*(B5022&gt;=Train_Start)*(B5022&lt;=Train_End)</f>
        <v>0</v>
      </c>
      <c r="T5022" s="84" t="n">
        <f aca="false">IF(AND(ISNUMBER(O5022),ISNUMBER(P5022)),Coef_A+Coef_B1*O5022+Coef_B2*P5022,"")</f>
        <v>26.0182067930127</v>
      </c>
      <c r="U5022" s="84" t="n">
        <f aca="false">IF(AND(R5022=1,ISNUMBER(T5022)),E5022-T5022,"")</f>
        <v>-1.91820679301269</v>
      </c>
      <c r="V5022" s="84" t="n">
        <f aca="false">IF(ISNUMBER(T5022),T5022,-99)</f>
        <v>26.0182067930127</v>
      </c>
      <c r="W5022" s="84" t="n">
        <f aca="false">IF(ISNUMBER(U5022),ABS(U5022),"")</f>
        <v>1.91820679301269</v>
      </c>
    </row>
    <row r="5023" customFormat="false" ht="15" hidden="false" customHeight="false" outlineLevel="0" collapsed="false">
      <c r="A5023" s="57" t="n">
        <v>40789</v>
      </c>
      <c r="B5023" s="56" t="n">
        <v>2011</v>
      </c>
      <c r="C5023" s="56" t="n">
        <v>9</v>
      </c>
      <c r="D5023" s="56" t="n">
        <v>126</v>
      </c>
      <c r="E5023" s="56" t="n">
        <v>19.4</v>
      </c>
      <c r="F5023" s="56" t="n">
        <v>0</v>
      </c>
      <c r="G5023" s="56" t="n">
        <v>14.7</v>
      </c>
      <c r="H5023" s="56" t="n">
        <v>0</v>
      </c>
      <c r="I5023" s="56" t="n">
        <v>19.4</v>
      </c>
      <c r="J5023" s="56" t="n">
        <v>0</v>
      </c>
      <c r="K5023" s="56" t="n">
        <v>1008.8</v>
      </c>
      <c r="L5023" s="56" t="n">
        <v>0</v>
      </c>
      <c r="M5023" s="56" t="n">
        <v>77</v>
      </c>
      <c r="N5023" s="56" t="n">
        <v>5.9</v>
      </c>
      <c r="O5023" s="56" t="n">
        <f aca="false">IF(D5023=1,"",E5022)</f>
        <v>24.1</v>
      </c>
      <c r="P5023" s="56" t="n">
        <f aca="false">IF(OR(D5023=1,K5022=""),"",K5022)</f>
        <v>1010.9</v>
      </c>
      <c r="Q5023" s="56" t="n">
        <f aca="false">IF(OR(F5023&lt;&gt;0,AND(I5023&lt;&gt;"",E5023&lt;I5023)),1,0)</f>
        <v>0</v>
      </c>
      <c r="R5023" s="56" t="n">
        <f aca="false">IF(AND(D5023&gt;1,Q5023=0,ISNUMBER(O5023),ISNUMBER(P5023)),IF(Q5022=0,1,0),0)</f>
        <v>1</v>
      </c>
      <c r="S5023" s="56" t="n">
        <f aca="false">R5023*(B5023&gt;=Train_Start)*(B5023&lt;=Train_End)</f>
        <v>0</v>
      </c>
      <c r="T5023" s="84" t="n">
        <f aca="false">IF(AND(ISNUMBER(O5023),ISNUMBER(P5023)),Coef_A+Coef_B1*O5023+Coef_B2*P5023,"")</f>
        <v>23.5448764598236</v>
      </c>
      <c r="U5023" s="84" t="n">
        <f aca="false">IF(AND(R5023=1,ISNUMBER(T5023)),E5023-T5023,"")</f>
        <v>-4.14487645982362</v>
      </c>
      <c r="V5023" s="84" t="n">
        <f aca="false">IF(ISNUMBER(T5023),T5023,-99)</f>
        <v>23.5448764598236</v>
      </c>
      <c r="W5023" s="84" t="n">
        <f aca="false">IF(ISNUMBER(U5023),ABS(U5023),"")</f>
        <v>4.14487645982362</v>
      </c>
    </row>
    <row r="5024" customFormat="false" ht="15" hidden="false" customHeight="false" outlineLevel="0" collapsed="false">
      <c r="A5024" s="57" t="n">
        <v>40790</v>
      </c>
      <c r="B5024" s="56" t="n">
        <v>2011</v>
      </c>
      <c r="C5024" s="56" t="n">
        <v>9</v>
      </c>
      <c r="D5024" s="56" t="n">
        <v>127</v>
      </c>
      <c r="E5024" s="56" t="n">
        <v>19.7</v>
      </c>
      <c r="F5024" s="56" t="n">
        <v>0</v>
      </c>
      <c r="G5024" s="56" t="n">
        <v>15.1</v>
      </c>
      <c r="H5024" s="56" t="n">
        <v>0</v>
      </c>
      <c r="I5024" s="56" t="n">
        <v>17.3</v>
      </c>
      <c r="J5024" s="56" t="n">
        <v>0</v>
      </c>
      <c r="K5024" s="56" t="n">
        <v>1006.5</v>
      </c>
      <c r="L5024" s="56" t="n">
        <v>0</v>
      </c>
      <c r="M5024" s="56" t="n">
        <v>83</v>
      </c>
      <c r="N5024" s="56" t="n">
        <v>2.1</v>
      </c>
      <c r="O5024" s="56" t="n">
        <f aca="false">IF(D5024=1,"",E5023)</f>
        <v>19.4</v>
      </c>
      <c r="P5024" s="56" t="n">
        <f aca="false">IF(OR(D5024=1,K5023=""),"",K5023)</f>
        <v>1008.8</v>
      </c>
      <c r="Q5024" s="56" t="n">
        <f aca="false">IF(OR(F5024&lt;&gt;0,AND(I5024&lt;&gt;"",E5024&lt;I5024)),1,0)</f>
        <v>0</v>
      </c>
      <c r="R5024" s="56" t="n">
        <f aca="false">IF(AND(D5024&gt;1,Q5024=0,ISNUMBER(O5024),ISNUMBER(P5024)),IF(Q5023=0,1,0),0)</f>
        <v>1</v>
      </c>
      <c r="S5024" s="56" t="n">
        <f aca="false">R5024*(B5024&gt;=Train_Start)*(B5024&lt;=Train_End)</f>
        <v>0</v>
      </c>
      <c r="T5024" s="84" t="n">
        <f aca="false">IF(AND(ISNUMBER(O5024),ISNUMBER(P5024)),Coef_A+Coef_B1*O5024+Coef_B2*P5024,"")</f>
        <v>19.6281054737918</v>
      </c>
      <c r="U5024" s="84" t="n">
        <f aca="false">IF(AND(R5024=1,ISNUMBER(T5024)),E5024-T5024,"")</f>
        <v>0.0718945262082471</v>
      </c>
      <c r="V5024" s="84" t="n">
        <f aca="false">IF(ISNUMBER(T5024),T5024,-99)</f>
        <v>19.6281054737918</v>
      </c>
      <c r="W5024" s="84" t="n">
        <f aca="false">IF(ISNUMBER(U5024),ABS(U5024),"")</f>
        <v>0.0718945262082471</v>
      </c>
    </row>
    <row r="5025" customFormat="false" ht="15" hidden="false" customHeight="false" outlineLevel="0" collapsed="false">
      <c r="A5025" s="57" t="n">
        <v>40791</v>
      </c>
      <c r="B5025" s="56" t="n">
        <v>2011</v>
      </c>
      <c r="C5025" s="56" t="n">
        <v>9</v>
      </c>
      <c r="D5025" s="56" t="n">
        <v>128</v>
      </c>
      <c r="E5025" s="56" t="n">
        <v>18.7</v>
      </c>
      <c r="F5025" s="56" t="n">
        <v>0</v>
      </c>
      <c r="G5025" s="56" t="n">
        <v>11.2</v>
      </c>
      <c r="H5025" s="56" t="n">
        <v>0</v>
      </c>
      <c r="I5025" s="56" t="n">
        <v>15.5</v>
      </c>
      <c r="J5025" s="56" t="n">
        <v>0</v>
      </c>
      <c r="K5025" s="56" t="n">
        <v>1011.1</v>
      </c>
      <c r="L5025" s="56" t="n">
        <v>0</v>
      </c>
      <c r="M5025" s="56" t="n">
        <v>72</v>
      </c>
      <c r="N5025" s="56" t="n">
        <v>5.6</v>
      </c>
      <c r="O5025" s="56" t="n">
        <f aca="false">IF(D5025=1,"",E5024)</f>
        <v>19.7</v>
      </c>
      <c r="P5025" s="56" t="n">
        <f aca="false">IF(OR(D5025=1,K5024=""),"",K5024)</f>
        <v>1006.5</v>
      </c>
      <c r="Q5025" s="56" t="n">
        <f aca="false">IF(OR(F5025&lt;&gt;0,AND(I5025&lt;&gt;"",E5025&lt;I5025)),1,0)</f>
        <v>0</v>
      </c>
      <c r="R5025" s="56" t="n">
        <f aca="false">IF(AND(D5025&gt;1,Q5025=0,ISNUMBER(O5025),ISNUMBER(P5025)),IF(Q5024=0,1,0),0)</f>
        <v>1</v>
      </c>
      <c r="S5025" s="56" t="n">
        <f aca="false">R5025*(B5025&gt;=Train_Start)*(B5025&lt;=Train_End)</f>
        <v>0</v>
      </c>
      <c r="T5025" s="84" t="n">
        <f aca="false">IF(AND(ISNUMBER(O5025),ISNUMBER(P5025)),Coef_A+Coef_B1*O5025+Coef_B2*P5025,"")</f>
        <v>19.8017564740464</v>
      </c>
      <c r="U5025" s="84" t="n">
        <f aca="false">IF(AND(R5025=1,ISNUMBER(T5025)),E5025-T5025,"")</f>
        <v>-1.10175647404638</v>
      </c>
      <c r="V5025" s="84" t="n">
        <f aca="false">IF(ISNUMBER(T5025),T5025,-99)</f>
        <v>19.8017564740464</v>
      </c>
      <c r="W5025" s="84" t="n">
        <f aca="false">IF(ISNUMBER(U5025),ABS(U5025),"")</f>
        <v>1.10175647404638</v>
      </c>
    </row>
    <row r="5026" customFormat="false" ht="15" hidden="false" customHeight="false" outlineLevel="0" collapsed="false">
      <c r="A5026" s="57" t="n">
        <v>40792</v>
      </c>
      <c r="B5026" s="56" t="n">
        <v>2011</v>
      </c>
      <c r="C5026" s="56" t="n">
        <v>9</v>
      </c>
      <c r="D5026" s="56" t="n">
        <v>129</v>
      </c>
      <c r="E5026" s="56" t="n">
        <v>17.1</v>
      </c>
      <c r="F5026" s="56" t="n">
        <v>0</v>
      </c>
      <c r="G5026" s="56" t="n">
        <v>15</v>
      </c>
      <c r="H5026" s="56" t="n">
        <v>0</v>
      </c>
      <c r="I5026" s="56" t="n">
        <v>16.9</v>
      </c>
      <c r="J5026" s="56" t="n">
        <v>0</v>
      </c>
      <c r="K5026" s="56" t="n">
        <v>1007.3</v>
      </c>
      <c r="L5026" s="56" t="n">
        <v>0</v>
      </c>
      <c r="M5026" s="56" t="n">
        <v>84</v>
      </c>
      <c r="N5026" s="56" t="n">
        <v>0</v>
      </c>
      <c r="O5026" s="56" t="n">
        <f aca="false">IF(D5026=1,"",E5025)</f>
        <v>18.7</v>
      </c>
      <c r="P5026" s="56" t="n">
        <f aca="false">IF(OR(D5026=1,K5025=""),"",K5025)</f>
        <v>1011.1</v>
      </c>
      <c r="Q5026" s="56" t="n">
        <f aca="false">IF(OR(F5026&lt;&gt;0,AND(I5026&lt;&gt;"",E5026&lt;I5026)),1,0)</f>
        <v>0</v>
      </c>
      <c r="R5026" s="56" t="n">
        <f aca="false">IF(AND(D5026&gt;1,Q5026=0,ISNUMBER(O5026),ISNUMBER(P5026)),IF(Q5025=0,1,0),0)</f>
        <v>1</v>
      </c>
      <c r="S5026" s="56" t="n">
        <f aca="false">R5026*(B5026&gt;=Train_Start)*(B5026&lt;=Train_End)</f>
        <v>0</v>
      </c>
      <c r="T5026" s="84" t="n">
        <f aca="false">IF(AND(ISNUMBER(O5026),ISNUMBER(P5026)),Coef_A+Coef_B1*O5026+Coef_B2*P5026,"")</f>
        <v>19.1267187963201</v>
      </c>
      <c r="U5026" s="84" t="n">
        <f aca="false">IF(AND(R5026=1,ISNUMBER(T5026)),E5026-T5026,"")</f>
        <v>-2.02671879632007</v>
      </c>
      <c r="V5026" s="84" t="n">
        <f aca="false">IF(ISNUMBER(T5026),T5026,-99)</f>
        <v>19.1267187963201</v>
      </c>
      <c r="W5026" s="84" t="n">
        <f aca="false">IF(ISNUMBER(U5026),ABS(U5026),"")</f>
        <v>2.02671879632007</v>
      </c>
    </row>
    <row r="5027" customFormat="false" ht="15" hidden="false" customHeight="false" outlineLevel="0" collapsed="false">
      <c r="A5027" s="57" t="n">
        <v>40793</v>
      </c>
      <c r="B5027" s="56" t="n">
        <v>2011</v>
      </c>
      <c r="C5027" s="56" t="n">
        <v>9</v>
      </c>
      <c r="D5027" s="56" t="n">
        <v>130</v>
      </c>
      <c r="E5027" s="56" t="n">
        <v>20.8</v>
      </c>
      <c r="F5027" s="56" t="n">
        <v>0</v>
      </c>
      <c r="G5027" s="56" t="n">
        <v>11.9</v>
      </c>
      <c r="H5027" s="56" t="n">
        <v>0</v>
      </c>
      <c r="I5027" s="56" t="n">
        <v>14.5</v>
      </c>
      <c r="J5027" s="56" t="n">
        <v>0</v>
      </c>
      <c r="K5027" s="56" t="n">
        <v>1011.1</v>
      </c>
      <c r="L5027" s="56" t="n">
        <v>0</v>
      </c>
      <c r="M5027" s="56" t="n">
        <v>78</v>
      </c>
      <c r="N5027" s="56" t="n">
        <v>1.3</v>
      </c>
      <c r="O5027" s="56" t="n">
        <f aca="false">IF(D5027=1,"",E5026)</f>
        <v>17.1</v>
      </c>
      <c r="P5027" s="56" t="n">
        <f aca="false">IF(OR(D5027=1,K5026=""),"",K5026)</f>
        <v>1007.3</v>
      </c>
      <c r="Q5027" s="56" t="n">
        <f aca="false">IF(OR(F5027&lt;&gt;0,AND(I5027&lt;&gt;"",E5027&lt;I5027)),1,0)</f>
        <v>0</v>
      </c>
      <c r="R5027" s="56" t="n">
        <f aca="false">IF(AND(D5027&gt;1,Q5027=0,ISNUMBER(O5027),ISNUMBER(P5027)),IF(Q5026=0,1,0),0)</f>
        <v>1</v>
      </c>
      <c r="S5027" s="56" t="n">
        <f aca="false">R5027*(B5027&gt;=Train_Start)*(B5027&lt;=Train_End)</f>
        <v>0</v>
      </c>
      <c r="T5027" s="84" t="n">
        <f aca="false">IF(AND(ISNUMBER(O5027),ISNUMBER(P5027)),Coef_A+Coef_B1*O5027+Coef_B2*P5027,"")</f>
        <v>17.6965704878427</v>
      </c>
      <c r="U5027" s="84" t="n">
        <f aca="false">IF(AND(R5027=1,ISNUMBER(T5027)),E5027-T5027,"")</f>
        <v>3.10342951215734</v>
      </c>
      <c r="V5027" s="84" t="n">
        <f aca="false">IF(ISNUMBER(T5027),T5027,-99)</f>
        <v>17.6965704878427</v>
      </c>
      <c r="W5027" s="84" t="n">
        <f aca="false">IF(ISNUMBER(U5027),ABS(U5027),"")</f>
        <v>3.10342951215734</v>
      </c>
    </row>
    <row r="5028" customFormat="false" ht="15" hidden="false" customHeight="false" outlineLevel="0" collapsed="false">
      <c r="A5028" s="57" t="n">
        <v>40794</v>
      </c>
      <c r="B5028" s="56" t="n">
        <v>2011</v>
      </c>
      <c r="C5028" s="56" t="n">
        <v>9</v>
      </c>
      <c r="D5028" s="56" t="n">
        <v>131</v>
      </c>
      <c r="E5028" s="56" t="n">
        <v>21.5</v>
      </c>
      <c r="F5028" s="56" t="n">
        <v>0</v>
      </c>
      <c r="G5028" s="56" t="n">
        <v>12.7</v>
      </c>
      <c r="H5028" s="56" t="n">
        <v>0</v>
      </c>
      <c r="I5028" s="56" t="n">
        <v>16.8</v>
      </c>
      <c r="J5028" s="56" t="n">
        <v>0</v>
      </c>
      <c r="K5028" s="56" t="n">
        <v>1009</v>
      </c>
      <c r="L5028" s="56" t="n">
        <v>0</v>
      </c>
      <c r="M5028" s="56" t="n">
        <v>79</v>
      </c>
      <c r="N5028" s="56" t="n">
        <v>2.1</v>
      </c>
      <c r="O5028" s="56" t="n">
        <f aca="false">IF(D5028=1,"",E5027)</f>
        <v>20.8</v>
      </c>
      <c r="P5028" s="56" t="n">
        <f aca="false">IF(OR(D5028=1,K5027=""),"",K5027)</f>
        <v>1011.1</v>
      </c>
      <c r="Q5028" s="56" t="n">
        <f aca="false">IF(OR(F5028&lt;&gt;0,AND(I5028&lt;&gt;"",E5028&lt;I5028)),1,0)</f>
        <v>0</v>
      </c>
      <c r="R5028" s="56" t="n">
        <f aca="false">IF(AND(D5028&gt;1,Q5028=0,ISNUMBER(O5028),ISNUMBER(P5028)),IF(Q5027=0,1,0),0)</f>
        <v>1</v>
      </c>
      <c r="S5028" s="56" t="n">
        <f aca="false">R5028*(B5028&gt;=Train_Start)*(B5028&lt;=Train_End)</f>
        <v>0</v>
      </c>
      <c r="T5028" s="84" t="n">
        <f aca="false">IF(AND(ISNUMBER(O5028),ISNUMBER(P5028)),Coef_A+Coef_B1*O5028+Coef_B2*P5028,"")</f>
        <v>20.8473311017097</v>
      </c>
      <c r="U5028" s="84" t="n">
        <f aca="false">IF(AND(R5028=1,ISNUMBER(T5028)),E5028-T5028,"")</f>
        <v>0.652668898290351</v>
      </c>
      <c r="V5028" s="84" t="n">
        <f aca="false">IF(ISNUMBER(T5028),T5028,-99)</f>
        <v>20.8473311017097</v>
      </c>
      <c r="W5028" s="84" t="n">
        <f aca="false">IF(ISNUMBER(U5028),ABS(U5028),"")</f>
        <v>0.652668898290351</v>
      </c>
    </row>
    <row r="5029" customFormat="false" ht="15" hidden="false" customHeight="false" outlineLevel="0" collapsed="false">
      <c r="A5029" s="57" t="n">
        <v>40795</v>
      </c>
      <c r="B5029" s="56" t="n">
        <v>2011</v>
      </c>
      <c r="C5029" s="56" t="n">
        <v>9</v>
      </c>
      <c r="D5029" s="56" t="n">
        <v>132</v>
      </c>
      <c r="E5029" s="56" t="n">
        <v>22.7</v>
      </c>
      <c r="F5029" s="56" t="n">
        <v>0</v>
      </c>
      <c r="G5029" s="56" t="n">
        <v>15.6</v>
      </c>
      <c r="H5029" s="56" t="n">
        <v>0</v>
      </c>
      <c r="I5029" s="56" t="n">
        <v>18.6</v>
      </c>
      <c r="J5029" s="56" t="n">
        <v>0</v>
      </c>
      <c r="K5029" s="56" t="n">
        <v>1009.5</v>
      </c>
      <c r="L5029" s="56" t="n">
        <v>0</v>
      </c>
      <c r="M5029" s="56" t="n">
        <v>86</v>
      </c>
      <c r="N5029" s="56" t="n">
        <v>0</v>
      </c>
      <c r="O5029" s="56" t="n">
        <f aca="false">IF(D5029=1,"",E5028)</f>
        <v>21.5</v>
      </c>
      <c r="P5029" s="56" t="n">
        <f aca="false">IF(OR(D5029=1,K5028=""),"",K5028)</f>
        <v>1009</v>
      </c>
      <c r="Q5029" s="56" t="n">
        <f aca="false">IF(OR(F5029&lt;&gt;0,AND(I5029&lt;&gt;"",E5029&lt;I5029)),1,0)</f>
        <v>0</v>
      </c>
      <c r="R5029" s="56" t="n">
        <f aca="false">IF(AND(D5029&gt;1,Q5029=0,ISNUMBER(O5029),ISNUMBER(P5029)),IF(Q5028=0,1,0),0)</f>
        <v>1</v>
      </c>
      <c r="S5029" s="56" t="n">
        <f aca="false">R5029*(B5029&gt;=Train_Start)*(B5029&lt;=Train_End)</f>
        <v>0</v>
      </c>
      <c r="T5029" s="84" t="n">
        <f aca="false">IF(AND(ISNUMBER(O5029),ISNUMBER(P5029)),Coef_A+Coef_B1*O5029+Coef_B2*P5029,"")</f>
        <v>21.3549917581081</v>
      </c>
      <c r="U5029" s="84" t="n">
        <f aca="false">IF(AND(R5029=1,ISNUMBER(T5029)),E5029-T5029,"")</f>
        <v>1.34500824189186</v>
      </c>
      <c r="V5029" s="84" t="n">
        <f aca="false">IF(ISNUMBER(T5029),T5029,-99)</f>
        <v>21.3549917581081</v>
      </c>
      <c r="W5029" s="84" t="n">
        <f aca="false">IF(ISNUMBER(U5029),ABS(U5029),"")</f>
        <v>1.34500824189186</v>
      </c>
    </row>
    <row r="5030" customFormat="false" ht="15" hidden="false" customHeight="false" outlineLevel="0" collapsed="false">
      <c r="A5030" s="57" t="n">
        <v>40796</v>
      </c>
      <c r="B5030" s="56" t="n">
        <v>2011</v>
      </c>
      <c r="C5030" s="56" t="n">
        <v>9</v>
      </c>
      <c r="D5030" s="56" t="n">
        <v>133</v>
      </c>
      <c r="E5030" s="56" t="n">
        <v>21</v>
      </c>
      <c r="F5030" s="56" t="n">
        <v>0</v>
      </c>
      <c r="G5030" s="56" t="n">
        <v>17.3</v>
      </c>
      <c r="H5030" s="56" t="n">
        <v>0</v>
      </c>
      <c r="I5030" s="56" t="n">
        <v>20</v>
      </c>
      <c r="J5030" s="56" t="n">
        <v>0</v>
      </c>
      <c r="K5030" s="56" t="n">
        <v>1004.3</v>
      </c>
      <c r="L5030" s="56" t="n">
        <v>0</v>
      </c>
      <c r="M5030" s="56" t="n">
        <v>83</v>
      </c>
      <c r="N5030" s="56" t="n">
        <v>0.7</v>
      </c>
      <c r="O5030" s="56" t="n">
        <f aca="false">IF(D5030=1,"",E5029)</f>
        <v>22.7</v>
      </c>
      <c r="P5030" s="56" t="n">
        <f aca="false">IF(OR(D5030=1,K5029=""),"",K5029)</f>
        <v>1009.5</v>
      </c>
      <c r="Q5030" s="56" t="n">
        <f aca="false">IF(OR(F5030&lt;&gt;0,AND(I5030&lt;&gt;"",E5030&lt;I5030)),1,0)</f>
        <v>0</v>
      </c>
      <c r="R5030" s="56" t="n">
        <f aca="false">IF(AND(D5030&gt;1,Q5030=0,ISNUMBER(O5030),ISNUMBER(P5030)),IF(Q5029=0,1,0),0)</f>
        <v>1</v>
      </c>
      <c r="S5030" s="56" t="n">
        <f aca="false">R5030*(B5030&gt;=Train_Start)*(B5030&lt;=Train_End)</f>
        <v>0</v>
      </c>
      <c r="T5030" s="84" t="n">
        <f aca="false">IF(AND(ISNUMBER(O5030),ISNUMBER(P5030)),Coef_A+Coef_B1*O5030+Coef_B2*P5030,"")</f>
        <v>22.3538837370763</v>
      </c>
      <c r="U5030" s="84" t="n">
        <f aca="false">IF(AND(R5030=1,ISNUMBER(T5030)),E5030-T5030,"")</f>
        <v>-1.35388373707631</v>
      </c>
      <c r="V5030" s="84" t="n">
        <f aca="false">IF(ISNUMBER(T5030),T5030,-99)</f>
        <v>22.3538837370763</v>
      </c>
      <c r="W5030" s="84" t="n">
        <f aca="false">IF(ISNUMBER(U5030),ABS(U5030),"")</f>
        <v>1.35388373707631</v>
      </c>
    </row>
    <row r="5031" customFormat="false" ht="15" hidden="false" customHeight="false" outlineLevel="0" collapsed="false">
      <c r="A5031" s="57" t="n">
        <v>40797</v>
      </c>
      <c r="B5031" s="56" t="n">
        <v>2011</v>
      </c>
      <c r="C5031" s="56" t="n">
        <v>9</v>
      </c>
      <c r="D5031" s="56" t="n">
        <v>134</v>
      </c>
      <c r="E5031" s="56" t="n">
        <v>21.7</v>
      </c>
      <c r="F5031" s="56" t="n">
        <v>0</v>
      </c>
      <c r="G5031" s="56" t="n">
        <v>14.7</v>
      </c>
      <c r="H5031" s="56" t="n">
        <v>0</v>
      </c>
      <c r="I5031" s="56" t="n">
        <v>17.9</v>
      </c>
      <c r="J5031" s="56" t="n">
        <v>0</v>
      </c>
      <c r="K5031" s="56" t="n">
        <v>1005</v>
      </c>
      <c r="L5031" s="56" t="n">
        <v>0</v>
      </c>
      <c r="M5031" s="56" t="n">
        <v>77</v>
      </c>
      <c r="N5031" s="56" t="n">
        <v>6.7</v>
      </c>
      <c r="O5031" s="56" t="n">
        <f aca="false">IF(D5031=1,"",E5030)</f>
        <v>21</v>
      </c>
      <c r="P5031" s="56" t="n">
        <f aca="false">IF(OR(D5031=1,K5030=""),"",K5030)</f>
        <v>1004.3</v>
      </c>
      <c r="Q5031" s="56" t="n">
        <f aca="false">IF(OR(F5031&lt;&gt;0,AND(I5031&lt;&gt;"",E5031&lt;I5031)),1,0)</f>
        <v>0</v>
      </c>
      <c r="R5031" s="56" t="n">
        <f aca="false">IF(AND(D5031&gt;1,Q5031=0,ISNUMBER(O5031),ISNUMBER(P5031)),IF(Q5030=0,1,0),0)</f>
        <v>1</v>
      </c>
      <c r="S5031" s="56" t="n">
        <f aca="false">R5031*(B5031&gt;=Train_Start)*(B5031&lt;=Train_End)</f>
        <v>0</v>
      </c>
      <c r="T5031" s="84" t="n">
        <f aca="false">IF(AND(ISNUMBER(O5031),ISNUMBER(P5031)),Coef_A+Coef_B1*O5031+Coef_B2*P5031,"")</f>
        <v>20.7978836568071</v>
      </c>
      <c r="U5031" s="84" t="n">
        <f aca="false">IF(AND(R5031=1,ISNUMBER(T5031)),E5031-T5031,"")</f>
        <v>0.902116343192947</v>
      </c>
      <c r="V5031" s="84" t="n">
        <f aca="false">IF(ISNUMBER(T5031),T5031,-99)</f>
        <v>20.7978836568071</v>
      </c>
      <c r="W5031" s="84" t="n">
        <f aca="false">IF(ISNUMBER(U5031),ABS(U5031),"")</f>
        <v>0.902116343192947</v>
      </c>
    </row>
    <row r="5032" customFormat="false" ht="15" hidden="false" customHeight="false" outlineLevel="0" collapsed="false">
      <c r="A5032" s="57" t="n">
        <v>40798</v>
      </c>
      <c r="B5032" s="56" t="n">
        <v>2011</v>
      </c>
      <c r="C5032" s="56" t="n">
        <v>9</v>
      </c>
      <c r="D5032" s="56" t="n">
        <v>135</v>
      </c>
      <c r="E5032" s="56" t="n">
        <v>19.5</v>
      </c>
      <c r="F5032" s="56" t="n">
        <v>0</v>
      </c>
      <c r="G5032" s="56" t="n">
        <v>15.5</v>
      </c>
      <c r="H5032" s="56" t="n">
        <v>0</v>
      </c>
      <c r="I5032" s="56" t="n">
        <v>18.6</v>
      </c>
      <c r="J5032" s="56" t="n">
        <v>0</v>
      </c>
      <c r="K5032" s="56" t="n">
        <v>1004.4</v>
      </c>
      <c r="L5032" s="56" t="n">
        <v>0</v>
      </c>
      <c r="M5032" s="56" t="n">
        <v>72</v>
      </c>
      <c r="N5032" s="56" t="n">
        <v>6.5</v>
      </c>
      <c r="O5032" s="56" t="n">
        <f aca="false">IF(D5032=1,"",E5031)</f>
        <v>21.7</v>
      </c>
      <c r="P5032" s="56" t="n">
        <f aca="false">IF(OR(D5032=1,K5031=""),"",K5031)</f>
        <v>1005</v>
      </c>
      <c r="Q5032" s="56" t="n">
        <f aca="false">IF(OR(F5032&lt;&gt;0,AND(I5032&lt;&gt;"",E5032&lt;I5032)),1,0)</f>
        <v>0</v>
      </c>
      <c r="R5032" s="56" t="n">
        <f aca="false">IF(AND(D5032&gt;1,Q5032=0,ISNUMBER(O5032),ISNUMBER(P5032)),IF(Q5031=0,1,0),0)</f>
        <v>1</v>
      </c>
      <c r="S5032" s="56" t="n">
        <f aca="false">R5032*(B5032&gt;=Train_Start)*(B5032&lt;=Train_End)</f>
        <v>0</v>
      </c>
      <c r="T5032" s="84" t="n">
        <f aca="false">IF(AND(ISNUMBER(O5032),ISNUMBER(P5032)),Coef_A+Coef_B1*O5032+Coef_B2*P5032,"")</f>
        <v>21.3933800181807</v>
      </c>
      <c r="U5032" s="84" t="n">
        <f aca="false">IF(AND(R5032=1,ISNUMBER(T5032)),E5032-T5032,"")</f>
        <v>-1.89338001818071</v>
      </c>
      <c r="V5032" s="84" t="n">
        <f aca="false">IF(ISNUMBER(T5032),T5032,-99)</f>
        <v>21.3933800181807</v>
      </c>
      <c r="W5032" s="84" t="n">
        <f aca="false">IF(ISNUMBER(U5032),ABS(U5032),"")</f>
        <v>1.89338001818071</v>
      </c>
    </row>
    <row r="5033" customFormat="false" ht="15" hidden="false" customHeight="false" outlineLevel="0" collapsed="false">
      <c r="A5033" s="57" t="n">
        <v>40799</v>
      </c>
      <c r="B5033" s="56" t="n">
        <v>2011</v>
      </c>
      <c r="C5033" s="56" t="n">
        <v>9</v>
      </c>
      <c r="D5033" s="56" t="n">
        <v>136</v>
      </c>
      <c r="E5033" s="56" t="n">
        <v>20</v>
      </c>
      <c r="F5033" s="56" t="n">
        <v>0</v>
      </c>
      <c r="G5033" s="56" t="n">
        <v>12.6</v>
      </c>
      <c r="H5033" s="56" t="n">
        <v>0</v>
      </c>
      <c r="I5033" s="56" t="n">
        <v>16.1</v>
      </c>
      <c r="J5033" s="56" t="n">
        <v>0</v>
      </c>
      <c r="K5033" s="56" t="n">
        <v>1012.2</v>
      </c>
      <c r="L5033" s="56" t="n">
        <v>0</v>
      </c>
      <c r="M5033" s="56" t="n">
        <v>68</v>
      </c>
      <c r="N5033" s="56" t="n">
        <v>7.5</v>
      </c>
      <c r="O5033" s="56" t="n">
        <f aca="false">IF(D5033=1,"",E5032)</f>
        <v>19.5</v>
      </c>
      <c r="P5033" s="56" t="n">
        <f aca="false">IF(OR(D5033=1,K5032=""),"",K5032)</f>
        <v>1004.4</v>
      </c>
      <c r="Q5033" s="56" t="n">
        <f aca="false">IF(OR(F5033&lt;&gt;0,AND(I5033&lt;&gt;"",E5033&lt;I5033)),1,0)</f>
        <v>0</v>
      </c>
      <c r="R5033" s="56" t="n">
        <f aca="false">IF(AND(D5033&gt;1,Q5033=0,ISNUMBER(O5033),ISNUMBER(P5033)),IF(Q5032=0,1,0),0)</f>
        <v>1</v>
      </c>
      <c r="S5033" s="56" t="n">
        <f aca="false">R5033*(B5033&gt;=Train_Start)*(B5033&lt;=Train_End)</f>
        <v>0</v>
      </c>
      <c r="T5033" s="84" t="n">
        <f aca="false">IF(AND(ISNUMBER(O5033),ISNUMBER(P5033)),Coef_A+Coef_B1*O5033+Coef_B2*P5033,"")</f>
        <v>19.5720118567065</v>
      </c>
      <c r="U5033" s="84" t="n">
        <f aca="false">IF(AND(R5033=1,ISNUMBER(T5033)),E5033-T5033,"")</f>
        <v>0.427988143293533</v>
      </c>
      <c r="V5033" s="84" t="n">
        <f aca="false">IF(ISNUMBER(T5033),T5033,-99)</f>
        <v>19.5720118567065</v>
      </c>
      <c r="W5033" s="84" t="n">
        <f aca="false">IF(ISNUMBER(U5033),ABS(U5033),"")</f>
        <v>0.427988143293533</v>
      </c>
    </row>
    <row r="5034" customFormat="false" ht="15" hidden="false" customHeight="false" outlineLevel="0" collapsed="false">
      <c r="A5034" s="57" t="n">
        <v>40800</v>
      </c>
      <c r="B5034" s="56" t="n">
        <v>2011</v>
      </c>
      <c r="C5034" s="56" t="n">
        <v>9</v>
      </c>
      <c r="D5034" s="56" t="n">
        <v>137</v>
      </c>
      <c r="E5034" s="56" t="n">
        <v>20.1</v>
      </c>
      <c r="F5034" s="56" t="n">
        <v>0</v>
      </c>
      <c r="G5034" s="56" t="n">
        <v>10</v>
      </c>
      <c r="H5034" s="56" t="n">
        <v>0</v>
      </c>
      <c r="I5034" s="56" t="n">
        <v>15</v>
      </c>
      <c r="J5034" s="56" t="n">
        <v>0</v>
      </c>
      <c r="K5034" s="56" t="n">
        <v>1017.9</v>
      </c>
      <c r="L5034" s="56" t="n">
        <v>0</v>
      </c>
      <c r="M5034" s="56" t="n">
        <v>66</v>
      </c>
      <c r="N5034" s="56" t="n">
        <v>9.9</v>
      </c>
      <c r="O5034" s="56" t="n">
        <f aca="false">IF(D5034=1,"",E5033)</f>
        <v>20</v>
      </c>
      <c r="P5034" s="56" t="n">
        <f aca="false">IF(OR(D5034=1,K5033=""),"",K5033)</f>
        <v>1012.2</v>
      </c>
      <c r="Q5034" s="56" t="n">
        <f aca="false">IF(OR(F5034&lt;&gt;0,AND(I5034&lt;&gt;"",E5034&lt;I5034)),1,0)</f>
        <v>0</v>
      </c>
      <c r="R5034" s="56" t="n">
        <f aca="false">IF(AND(D5034&gt;1,Q5034=0,ISNUMBER(O5034),ISNUMBER(P5034)),IF(Q5033=0,1,0),0)</f>
        <v>1</v>
      </c>
      <c r="S5034" s="56" t="n">
        <f aca="false">R5034*(B5034&gt;=Train_Start)*(B5034&lt;=Train_End)</f>
        <v>0</v>
      </c>
      <c r="T5034" s="84" t="n">
        <f aca="false">IF(AND(ISNUMBER(O5034),ISNUMBER(P5034)),Coef_A+Coef_B1*O5034+Coef_B2*P5034,"")</f>
        <v>20.2263666313729</v>
      </c>
      <c r="U5034" s="84" t="n">
        <f aca="false">IF(AND(R5034=1,ISNUMBER(T5034)),E5034-T5034,"")</f>
        <v>-0.12636663137291</v>
      </c>
      <c r="V5034" s="84" t="n">
        <f aca="false">IF(ISNUMBER(T5034),T5034,-99)</f>
        <v>20.2263666313729</v>
      </c>
      <c r="W5034" s="84" t="n">
        <f aca="false">IF(ISNUMBER(U5034),ABS(U5034),"")</f>
        <v>0.12636663137291</v>
      </c>
    </row>
    <row r="5035" customFormat="false" ht="15" hidden="false" customHeight="false" outlineLevel="0" collapsed="false">
      <c r="A5035" s="57" t="n">
        <v>40801</v>
      </c>
      <c r="B5035" s="56" t="n">
        <v>2011</v>
      </c>
      <c r="C5035" s="56" t="n">
        <v>9</v>
      </c>
      <c r="D5035" s="56" t="n">
        <v>138</v>
      </c>
      <c r="E5035" s="56" t="n">
        <v>22.7</v>
      </c>
      <c r="F5035" s="56" t="n">
        <v>0</v>
      </c>
      <c r="G5035" s="56" t="n">
        <v>8.2</v>
      </c>
      <c r="H5035" s="56" t="n">
        <v>0</v>
      </c>
      <c r="I5035" s="56" t="n">
        <v>14.2</v>
      </c>
      <c r="J5035" s="56" t="n">
        <v>0</v>
      </c>
      <c r="K5035" s="56" t="n">
        <v>1020.1</v>
      </c>
      <c r="L5035" s="56" t="n">
        <v>0</v>
      </c>
      <c r="M5035" s="56" t="n">
        <v>71</v>
      </c>
      <c r="N5035" s="56" t="n">
        <v>9.9</v>
      </c>
      <c r="O5035" s="56" t="n">
        <f aca="false">IF(D5035=1,"",E5034)</f>
        <v>20.1</v>
      </c>
      <c r="P5035" s="56" t="n">
        <f aca="false">IF(OR(D5035=1,K5034=""),"",K5034)</f>
        <v>1017.9</v>
      </c>
      <c r="Q5035" s="56" t="n">
        <f aca="false">IF(OR(F5035&lt;&gt;0,AND(I5035&lt;&gt;"",E5035&lt;I5035)),1,0)</f>
        <v>0</v>
      </c>
      <c r="R5035" s="56" t="n">
        <f aca="false">IF(AND(D5035&gt;1,Q5035=0,ISNUMBER(O5035),ISNUMBER(P5035)),IF(Q5034=0,1,0),0)</f>
        <v>1</v>
      </c>
      <c r="S5035" s="56" t="n">
        <f aca="false">R5035*(B5035&gt;=Train_Start)*(B5035&lt;=Train_End)</f>
        <v>0</v>
      </c>
      <c r="T5035" s="84" t="n">
        <f aca="false">IF(AND(ISNUMBER(O5035),ISNUMBER(P5035)),Coef_A+Coef_B1*O5035+Coef_B2*P5035,"")</f>
        <v>20.4871089500909</v>
      </c>
      <c r="U5035" s="84" t="n">
        <f aca="false">IF(AND(R5035=1,ISNUMBER(T5035)),E5035-T5035,"")</f>
        <v>2.21289104990908</v>
      </c>
      <c r="V5035" s="84" t="n">
        <f aca="false">IF(ISNUMBER(T5035),T5035,-99)</f>
        <v>20.4871089500909</v>
      </c>
      <c r="W5035" s="84" t="n">
        <f aca="false">IF(ISNUMBER(U5035),ABS(U5035),"")</f>
        <v>2.21289104990908</v>
      </c>
    </row>
    <row r="5036" customFormat="false" ht="15" hidden="false" customHeight="false" outlineLevel="0" collapsed="false">
      <c r="A5036" s="57" t="n">
        <v>40802</v>
      </c>
      <c r="B5036" s="56" t="n">
        <v>2011</v>
      </c>
      <c r="C5036" s="56" t="n">
        <v>9</v>
      </c>
      <c r="D5036" s="56" t="n">
        <v>139</v>
      </c>
      <c r="E5036" s="56" t="n">
        <v>19.6</v>
      </c>
      <c r="F5036" s="56" t="n">
        <v>0</v>
      </c>
      <c r="G5036" s="56" t="n">
        <v>11.7</v>
      </c>
      <c r="H5036" s="56" t="n">
        <v>0</v>
      </c>
      <c r="I5036" s="56" t="n">
        <v>17.2</v>
      </c>
      <c r="J5036" s="56" t="n">
        <v>0</v>
      </c>
      <c r="K5036" s="56" t="n">
        <v>1012.7</v>
      </c>
      <c r="L5036" s="56" t="n">
        <v>0</v>
      </c>
      <c r="M5036" s="56" t="n">
        <v>73</v>
      </c>
      <c r="N5036" s="56" t="n">
        <v>5.5</v>
      </c>
      <c r="O5036" s="56" t="n">
        <f aca="false">IF(D5036=1,"",E5035)</f>
        <v>22.7</v>
      </c>
      <c r="P5036" s="56" t="n">
        <f aca="false">IF(OR(D5036=1,K5035=""),"",K5035)</f>
        <v>1020.1</v>
      </c>
      <c r="Q5036" s="56" t="n">
        <f aca="false">IF(OR(F5036&lt;&gt;0,AND(I5036&lt;&gt;"",E5036&lt;I5036)),1,0)</f>
        <v>0</v>
      </c>
      <c r="R5036" s="56" t="n">
        <f aca="false">IF(AND(D5036&gt;1,Q5036=0,ISNUMBER(O5036),ISNUMBER(P5036)),IF(Q5035=0,1,0),0)</f>
        <v>1</v>
      </c>
      <c r="S5036" s="56" t="n">
        <f aca="false">R5036*(B5036&gt;=Train_Start)*(B5036&lt;=Train_End)</f>
        <v>0</v>
      </c>
      <c r="T5036" s="84" t="n">
        <f aca="false">IF(AND(ISNUMBER(O5036),ISNUMBER(P5036)),Coef_A+Coef_B1*O5036+Coef_B2*P5036,"")</f>
        <v>22.6864046201966</v>
      </c>
      <c r="U5036" s="84" t="n">
        <f aca="false">IF(AND(R5036=1,ISNUMBER(T5036)),E5036-T5036,"")</f>
        <v>-3.0864046201966</v>
      </c>
      <c r="V5036" s="84" t="n">
        <f aca="false">IF(ISNUMBER(T5036),T5036,-99)</f>
        <v>22.6864046201966</v>
      </c>
      <c r="W5036" s="84" t="n">
        <f aca="false">IF(ISNUMBER(U5036),ABS(U5036),"")</f>
        <v>3.0864046201966</v>
      </c>
    </row>
    <row r="5037" customFormat="false" ht="15" hidden="false" customHeight="false" outlineLevel="0" collapsed="false">
      <c r="A5037" s="57" t="n">
        <v>40803</v>
      </c>
      <c r="B5037" s="56" t="n">
        <v>2011</v>
      </c>
      <c r="C5037" s="56" t="n">
        <v>9</v>
      </c>
      <c r="D5037" s="56" t="n">
        <v>140</v>
      </c>
      <c r="E5037" s="56" t="n">
        <v>17</v>
      </c>
      <c r="F5037" s="56" t="n">
        <v>0</v>
      </c>
      <c r="G5037" s="56" t="n">
        <v>14</v>
      </c>
      <c r="H5037" s="56" t="n">
        <v>0</v>
      </c>
      <c r="I5037" s="56" t="n">
        <v>16.8</v>
      </c>
      <c r="J5037" s="56" t="n">
        <v>0</v>
      </c>
      <c r="K5037" s="56" t="n">
        <v>1005.8</v>
      </c>
      <c r="L5037" s="56" t="n">
        <v>0</v>
      </c>
      <c r="M5037" s="56" t="n">
        <v>77</v>
      </c>
      <c r="N5037" s="56" t="n">
        <v>3.5</v>
      </c>
      <c r="O5037" s="56" t="n">
        <f aca="false">IF(D5037=1,"",E5036)</f>
        <v>19.6</v>
      </c>
      <c r="P5037" s="56" t="n">
        <f aca="false">IF(OR(D5037=1,K5036=""),"",K5036)</f>
        <v>1012.7</v>
      </c>
      <c r="Q5037" s="56" t="n">
        <f aca="false">IF(OR(F5037&lt;&gt;0,AND(I5037&lt;&gt;"",E5037&lt;I5037)),1,0)</f>
        <v>0</v>
      </c>
      <c r="R5037" s="56" t="n">
        <f aca="false">IF(AND(D5037&gt;1,Q5037=0,ISNUMBER(O5037),ISNUMBER(P5037)),IF(Q5036=0,1,0),0)</f>
        <v>1</v>
      </c>
      <c r="S5037" s="56" t="n">
        <f aca="false">R5037*(B5037&gt;=Train_Start)*(B5037&lt;=Train_End)</f>
        <v>0</v>
      </c>
      <c r="T5037" s="84" t="n">
        <f aca="false">IF(AND(ISNUMBER(O5037),ISNUMBER(P5037)),Coef_A+Coef_B1*O5037+Coef_B2*P5037,"")</f>
        <v>19.9143159014728</v>
      </c>
      <c r="U5037" s="84" t="n">
        <f aca="false">IF(AND(R5037=1,ISNUMBER(T5037)),E5037-T5037,"")</f>
        <v>-2.91431590147285</v>
      </c>
      <c r="V5037" s="84" t="n">
        <f aca="false">IF(ISNUMBER(T5037),T5037,-99)</f>
        <v>19.9143159014728</v>
      </c>
      <c r="W5037" s="84" t="n">
        <f aca="false">IF(ISNUMBER(U5037),ABS(U5037),"")</f>
        <v>2.91431590147285</v>
      </c>
    </row>
    <row r="5038" customFormat="false" ht="15" hidden="false" customHeight="false" outlineLevel="0" collapsed="false">
      <c r="A5038" s="57" t="n">
        <v>40804</v>
      </c>
      <c r="B5038" s="56" t="n">
        <v>2011</v>
      </c>
      <c r="C5038" s="56" t="n">
        <v>9</v>
      </c>
      <c r="D5038" s="56" t="n">
        <v>141</v>
      </c>
      <c r="E5038" s="56" t="n">
        <v>19.4</v>
      </c>
      <c r="F5038" s="56" t="n">
        <v>0</v>
      </c>
      <c r="G5038" s="56" t="n">
        <v>7.4</v>
      </c>
      <c r="H5038" s="56" t="n">
        <v>0</v>
      </c>
      <c r="I5038" s="56" t="n">
        <v>12.2</v>
      </c>
      <c r="J5038" s="56" t="n">
        <v>0</v>
      </c>
      <c r="K5038" s="56" t="n">
        <v>1003.8</v>
      </c>
      <c r="L5038" s="56" t="n">
        <v>0</v>
      </c>
      <c r="M5038" s="56" t="n">
        <v>81</v>
      </c>
      <c r="N5038" s="56" t="n">
        <v>2.5</v>
      </c>
      <c r="O5038" s="56" t="n">
        <f aca="false">IF(D5038=1,"",E5037)</f>
        <v>17</v>
      </c>
      <c r="P5038" s="56" t="n">
        <f aca="false">IF(OR(D5038=1,K5037=""),"",K5037)</f>
        <v>1005.8</v>
      </c>
      <c r="Q5038" s="56" t="n">
        <f aca="false">IF(OR(F5038&lt;&gt;0,AND(I5038&lt;&gt;"",E5038&lt;I5038)),1,0)</f>
        <v>0</v>
      </c>
      <c r="R5038" s="56" t="n">
        <f aca="false">IF(AND(D5038&gt;1,Q5038=0,ISNUMBER(O5038),ISNUMBER(P5038)),IF(Q5037=0,1,0),0)</f>
        <v>1</v>
      </c>
      <c r="S5038" s="56" t="n">
        <f aca="false">R5038*(B5038&gt;=Train_Start)*(B5038&lt;=Train_End)</f>
        <v>0</v>
      </c>
      <c r="T5038" s="84" t="n">
        <f aca="false">IF(AND(ISNUMBER(O5038),ISNUMBER(P5038)),Coef_A+Coef_B1*O5038+Coef_B2*P5038,"")</f>
        <v>17.5675817265874</v>
      </c>
      <c r="U5038" s="84" t="n">
        <f aca="false">IF(AND(R5038=1,ISNUMBER(T5038)),E5038-T5038,"")</f>
        <v>1.83241827341259</v>
      </c>
      <c r="V5038" s="84" t="n">
        <f aca="false">IF(ISNUMBER(T5038),T5038,-99)</f>
        <v>17.5675817265874</v>
      </c>
      <c r="W5038" s="84" t="n">
        <f aca="false">IF(ISNUMBER(U5038),ABS(U5038),"")</f>
        <v>1.83241827341259</v>
      </c>
    </row>
    <row r="5039" customFormat="false" ht="15" hidden="false" customHeight="false" outlineLevel="0" collapsed="false">
      <c r="A5039" s="57" t="n">
        <v>40805</v>
      </c>
      <c r="B5039" s="56" t="n">
        <v>2011</v>
      </c>
      <c r="C5039" s="56" t="n">
        <v>9</v>
      </c>
      <c r="D5039" s="56" t="n">
        <v>142</v>
      </c>
      <c r="E5039" s="56" t="n">
        <v>20.2</v>
      </c>
      <c r="F5039" s="56" t="n">
        <v>0</v>
      </c>
      <c r="G5039" s="56" t="n">
        <v>8.7</v>
      </c>
      <c r="H5039" s="56" t="n">
        <v>0</v>
      </c>
      <c r="I5039" s="56" t="n">
        <v>14.1</v>
      </c>
      <c r="J5039" s="56" t="n">
        <v>0</v>
      </c>
      <c r="K5039" s="56" t="n">
        <v>1013.3</v>
      </c>
      <c r="L5039" s="56" t="n">
        <v>0</v>
      </c>
      <c r="M5039" s="56" t="n">
        <v>78</v>
      </c>
      <c r="N5039" s="56" t="n">
        <v>5.3</v>
      </c>
      <c r="O5039" s="56" t="n">
        <f aca="false">IF(D5039=1,"",E5038)</f>
        <v>19.4</v>
      </c>
      <c r="P5039" s="56" t="n">
        <f aca="false">IF(OR(D5039=1,K5038=""),"",K5038)</f>
        <v>1003.8</v>
      </c>
      <c r="Q5039" s="56" t="n">
        <f aca="false">IF(OR(F5039&lt;&gt;0,AND(I5039&lt;&gt;"",E5039&lt;I5039)),1,0)</f>
        <v>0</v>
      </c>
      <c r="R5039" s="56" t="n">
        <f aca="false">IF(AND(D5039&gt;1,Q5039=0,ISNUMBER(O5039),ISNUMBER(P5039)),IF(Q5038=0,1,0),0)</f>
        <v>1</v>
      </c>
      <c r="S5039" s="56" t="n">
        <f aca="false">R5039*(B5039&gt;=Train_Start)*(B5039&lt;=Train_End)</f>
        <v>0</v>
      </c>
      <c r="T5039" s="84" t="n">
        <f aca="false">IF(AND(ISNUMBER(O5039),ISNUMBER(P5039)),Coef_A+Coef_B1*O5039+Coef_B2*P5039,"")</f>
        <v>19.4712560006218</v>
      </c>
      <c r="U5039" s="84" t="n">
        <f aca="false">IF(AND(R5039=1,ISNUMBER(T5039)),E5039-T5039,"")</f>
        <v>0.728743999378196</v>
      </c>
      <c r="V5039" s="84" t="n">
        <f aca="false">IF(ISNUMBER(T5039),T5039,-99)</f>
        <v>19.4712560006218</v>
      </c>
      <c r="W5039" s="84" t="n">
        <f aca="false">IF(ISNUMBER(U5039),ABS(U5039),"")</f>
        <v>0.728743999378196</v>
      </c>
    </row>
    <row r="5040" customFormat="false" ht="15" hidden="false" customHeight="false" outlineLevel="0" collapsed="false">
      <c r="A5040" s="57" t="n">
        <v>40806</v>
      </c>
      <c r="B5040" s="56" t="n">
        <v>2011</v>
      </c>
      <c r="C5040" s="56" t="n">
        <v>9</v>
      </c>
      <c r="D5040" s="56" t="n">
        <v>143</v>
      </c>
      <c r="E5040" s="56" t="n">
        <v>18.5</v>
      </c>
      <c r="F5040" s="56" t="n">
        <v>0</v>
      </c>
      <c r="G5040" s="56" t="n">
        <v>13.7</v>
      </c>
      <c r="H5040" s="56" t="n">
        <v>0</v>
      </c>
      <c r="I5040" s="56" t="n">
        <v>17</v>
      </c>
      <c r="J5040" s="56" t="n">
        <v>0</v>
      </c>
      <c r="K5040" s="56" t="n">
        <v>1017.7</v>
      </c>
      <c r="L5040" s="56" t="n">
        <v>0</v>
      </c>
      <c r="M5040" s="56" t="n">
        <v>80</v>
      </c>
      <c r="N5040" s="56" t="n">
        <v>0.7</v>
      </c>
      <c r="O5040" s="56" t="n">
        <f aca="false">IF(D5040=1,"",E5039)</f>
        <v>20.2</v>
      </c>
      <c r="P5040" s="56" t="n">
        <f aca="false">IF(OR(D5040=1,K5039=""),"",K5039)</f>
        <v>1013.3</v>
      </c>
      <c r="Q5040" s="56" t="n">
        <f aca="false">IF(OR(F5040&lt;&gt;0,AND(I5040&lt;&gt;"",E5040&lt;I5040)),1,0)</f>
        <v>0</v>
      </c>
      <c r="R5040" s="56" t="n">
        <f aca="false">IF(AND(D5040&gt;1,Q5040=0,ISNUMBER(O5040),ISNUMBER(P5040)),IF(Q5039=0,1,0),0)</f>
        <v>1</v>
      </c>
      <c r="S5040" s="56" t="n">
        <f aca="false">R5040*(B5040&gt;=Train_Start)*(B5040&lt;=Train_End)</f>
        <v>0</v>
      </c>
      <c r="T5040" s="84" t="n">
        <f aca="false">IF(AND(ISNUMBER(O5040),ISNUMBER(P5040)),Coef_A+Coef_B1*O5040+Coef_B2*P5040,"")</f>
        <v>20.4247413540788</v>
      </c>
      <c r="U5040" s="84" t="n">
        <f aca="false">IF(AND(R5040=1,ISNUMBER(T5040)),E5040-T5040,"")</f>
        <v>-1.92474135407883</v>
      </c>
      <c r="V5040" s="84" t="n">
        <f aca="false">IF(ISNUMBER(T5040),T5040,-99)</f>
        <v>20.4247413540788</v>
      </c>
      <c r="W5040" s="84" t="n">
        <f aca="false">IF(ISNUMBER(U5040),ABS(U5040),"")</f>
        <v>1.92474135407883</v>
      </c>
    </row>
    <row r="5041" customFormat="false" ht="15" hidden="false" customHeight="false" outlineLevel="0" collapsed="false">
      <c r="A5041" s="57" t="n">
        <v>40807</v>
      </c>
      <c r="B5041" s="56" t="n">
        <v>2011</v>
      </c>
      <c r="C5041" s="56" t="n">
        <v>9</v>
      </c>
      <c r="D5041" s="56" t="n">
        <v>144</v>
      </c>
      <c r="E5041" s="56" t="n">
        <v>19.2</v>
      </c>
      <c r="F5041" s="56" t="n">
        <v>0</v>
      </c>
      <c r="G5041" s="56" t="n">
        <v>13</v>
      </c>
      <c r="H5041" s="56" t="n">
        <v>0</v>
      </c>
      <c r="I5041" s="56" t="n">
        <v>15.8</v>
      </c>
      <c r="J5041" s="56" t="n">
        <v>0</v>
      </c>
      <c r="K5041" s="56" t="n">
        <v>1017</v>
      </c>
      <c r="L5041" s="56" t="n">
        <v>0</v>
      </c>
      <c r="M5041" s="56" t="n">
        <v>79</v>
      </c>
      <c r="N5041" s="56" t="n">
        <v>3.9</v>
      </c>
      <c r="O5041" s="56" t="n">
        <f aca="false">IF(D5041=1,"",E5040)</f>
        <v>18.5</v>
      </c>
      <c r="P5041" s="56" t="n">
        <f aca="false">IF(OR(D5041=1,K5040=""),"",K5040)</f>
        <v>1017.7</v>
      </c>
      <c r="Q5041" s="56" t="n">
        <f aca="false">IF(OR(F5041&lt;&gt;0,AND(I5041&lt;&gt;"",E5041&lt;I5041)),1,0)</f>
        <v>0</v>
      </c>
      <c r="R5041" s="56" t="n">
        <f aca="false">IF(AND(D5041&gt;1,Q5041=0,ISNUMBER(O5041),ISNUMBER(P5041)),IF(Q5040=0,1,0),0)</f>
        <v>1</v>
      </c>
      <c r="S5041" s="56" t="n">
        <f aca="false">R5041*(B5041&gt;=Train_Start)*(B5041&lt;=Train_End)</f>
        <v>0</v>
      </c>
      <c r="T5041" s="84" t="n">
        <f aca="false">IF(AND(ISNUMBER(O5041),ISNUMBER(P5041)),Coef_A+Coef_B1*O5041+Coef_B2*P5041,"")</f>
        <v>19.1698922622959</v>
      </c>
      <c r="U5041" s="84" t="n">
        <f aca="false">IF(AND(R5041=1,ISNUMBER(T5041)),E5041-T5041,"")</f>
        <v>0.0301077377041281</v>
      </c>
      <c r="V5041" s="84" t="n">
        <f aca="false">IF(ISNUMBER(T5041),T5041,-99)</f>
        <v>19.1698922622959</v>
      </c>
      <c r="W5041" s="84" t="n">
        <f aca="false">IF(ISNUMBER(U5041),ABS(U5041),"")</f>
        <v>0.0301077377041281</v>
      </c>
    </row>
    <row r="5042" customFormat="false" ht="15" hidden="false" customHeight="false" outlineLevel="0" collapsed="false">
      <c r="A5042" s="57" t="n">
        <v>40808</v>
      </c>
      <c r="B5042" s="56" t="n">
        <v>2011</v>
      </c>
      <c r="C5042" s="56" t="n">
        <v>9</v>
      </c>
      <c r="D5042" s="56" t="n">
        <v>145</v>
      </c>
      <c r="E5042" s="56" t="n">
        <v>19</v>
      </c>
      <c r="F5042" s="56" t="n">
        <v>0</v>
      </c>
      <c r="G5042" s="56" t="n">
        <v>12.2</v>
      </c>
      <c r="H5042" s="56" t="n">
        <v>0</v>
      </c>
      <c r="I5042" s="56" t="n">
        <v>15.7</v>
      </c>
      <c r="J5042" s="56" t="n">
        <v>0</v>
      </c>
      <c r="K5042" s="56" t="n">
        <v>1019.5</v>
      </c>
      <c r="L5042" s="56" t="n">
        <v>0</v>
      </c>
      <c r="M5042" s="56" t="n">
        <v>73</v>
      </c>
      <c r="N5042" s="56" t="n">
        <v>4</v>
      </c>
      <c r="O5042" s="56" t="n">
        <f aca="false">IF(D5042=1,"",E5041)</f>
        <v>19.2</v>
      </c>
      <c r="P5042" s="56" t="n">
        <f aca="false">IF(OR(D5042=1,K5041=""),"",K5041)</f>
        <v>1017</v>
      </c>
      <c r="Q5042" s="56" t="n">
        <f aca="false">IF(OR(F5042&lt;&gt;0,AND(I5042&lt;&gt;"",E5042&lt;I5042)),1,0)</f>
        <v>0</v>
      </c>
      <c r="R5042" s="56" t="n">
        <f aca="false">IF(AND(D5042&gt;1,Q5042=0,ISNUMBER(O5042),ISNUMBER(P5042)),IF(Q5041=0,1,0),0)</f>
        <v>1</v>
      </c>
      <c r="S5042" s="56" t="n">
        <f aca="false">R5042*(B5042&gt;=Train_Start)*(B5042&lt;=Train_End)</f>
        <v>0</v>
      </c>
      <c r="T5042" s="84" t="n">
        <f aca="false">IF(AND(ISNUMBER(O5042),ISNUMBER(P5042)),Coef_A+Coef_B1*O5042+Coef_B2*P5042,"")</f>
        <v>19.7214707711819</v>
      </c>
      <c r="U5042" s="84" t="n">
        <f aca="false">IF(AND(R5042=1,ISNUMBER(T5042)),E5042-T5042,"")</f>
        <v>-0.721470771181934</v>
      </c>
      <c r="V5042" s="84" t="n">
        <f aca="false">IF(ISNUMBER(T5042),T5042,-99)</f>
        <v>19.7214707711819</v>
      </c>
      <c r="W5042" s="84" t="n">
        <f aca="false">IF(ISNUMBER(U5042),ABS(U5042),"")</f>
        <v>0.721470771181934</v>
      </c>
    </row>
    <row r="5043" customFormat="false" ht="15" hidden="false" customHeight="false" outlineLevel="0" collapsed="false">
      <c r="A5043" s="57" t="n">
        <v>40809</v>
      </c>
      <c r="B5043" s="56" t="n">
        <v>2011</v>
      </c>
      <c r="C5043" s="56" t="n">
        <v>9</v>
      </c>
      <c r="D5043" s="56" t="n">
        <v>146</v>
      </c>
      <c r="E5043" s="56" t="n">
        <v>20.9</v>
      </c>
      <c r="F5043" s="56" t="n">
        <v>0</v>
      </c>
      <c r="G5043" s="56" t="n">
        <v>8.4</v>
      </c>
      <c r="H5043" s="56" t="n">
        <v>0</v>
      </c>
      <c r="I5043" s="56" t="n">
        <v>13.7</v>
      </c>
      <c r="J5043" s="56" t="n">
        <v>0</v>
      </c>
      <c r="K5043" s="56" t="n">
        <v>1018</v>
      </c>
      <c r="L5043" s="56" t="n">
        <v>0</v>
      </c>
      <c r="M5043" s="56"/>
      <c r="N5043" s="56" t="n">
        <v>8.8</v>
      </c>
      <c r="O5043" s="56" t="n">
        <f aca="false">IF(D5043=1,"",E5042)</f>
        <v>19</v>
      </c>
      <c r="P5043" s="56" t="n">
        <f aca="false">IF(OR(D5043=1,K5042=""),"",K5042)</f>
        <v>1019.5</v>
      </c>
      <c r="Q5043" s="56" t="n">
        <f aca="false">IF(OR(F5043&lt;&gt;0,AND(I5043&lt;&gt;"",E5043&lt;I5043)),1,0)</f>
        <v>0</v>
      </c>
      <c r="R5043" s="56" t="n">
        <f aca="false">IF(AND(D5043&gt;1,Q5043=0,ISNUMBER(O5043),ISNUMBER(P5043)),IF(Q5042=0,1,0),0)</f>
        <v>1</v>
      </c>
      <c r="S5043" s="56" t="n">
        <f aca="false">R5043*(B5043&gt;=Train_Start)*(B5043&lt;=Train_End)</f>
        <v>0</v>
      </c>
      <c r="T5043" s="84" t="n">
        <f aca="false">IF(AND(ISNUMBER(O5043),ISNUMBER(P5043)),Coef_A+Coef_B1*O5043+Coef_B2*P5043,"")</f>
        <v>19.6360276691584</v>
      </c>
      <c r="U5043" s="84" t="n">
        <f aca="false">IF(AND(R5043=1,ISNUMBER(T5043)),E5043-T5043,"")</f>
        <v>1.26397233084163</v>
      </c>
      <c r="V5043" s="84" t="n">
        <f aca="false">IF(ISNUMBER(T5043),T5043,-99)</f>
        <v>19.6360276691584</v>
      </c>
      <c r="W5043" s="84" t="n">
        <f aca="false">IF(ISNUMBER(U5043),ABS(U5043),"")</f>
        <v>1.26397233084163</v>
      </c>
    </row>
    <row r="5044" customFormat="false" ht="15" hidden="false" customHeight="false" outlineLevel="0" collapsed="false">
      <c r="A5044" s="57" t="n">
        <v>40810</v>
      </c>
      <c r="B5044" s="56" t="n">
        <v>2011</v>
      </c>
      <c r="C5044" s="56" t="n">
        <v>9</v>
      </c>
      <c r="D5044" s="56" t="n">
        <v>147</v>
      </c>
      <c r="E5044" s="56" t="n">
        <v>21.8</v>
      </c>
      <c r="F5044" s="56" t="n">
        <v>0</v>
      </c>
      <c r="G5044" s="56" t="n">
        <v>8.6</v>
      </c>
      <c r="H5044" s="56" t="n">
        <v>0</v>
      </c>
      <c r="I5044" s="56" t="n">
        <v>14.8</v>
      </c>
      <c r="J5044" s="56" t="n">
        <v>0</v>
      </c>
      <c r="K5044" s="56" t="n">
        <v>1014.4</v>
      </c>
      <c r="L5044" s="56" t="n">
        <v>0</v>
      </c>
      <c r="M5044" s="56" t="n">
        <v>80</v>
      </c>
      <c r="N5044" s="56" t="n">
        <v>5.8</v>
      </c>
      <c r="O5044" s="56" t="n">
        <f aca="false">IF(D5044=1,"",E5043)</f>
        <v>20.9</v>
      </c>
      <c r="P5044" s="56" t="n">
        <f aca="false">IF(OR(D5044=1,K5043=""),"",K5043)</f>
        <v>1018</v>
      </c>
      <c r="Q5044" s="56" t="n">
        <f aca="false">IF(OR(F5044&lt;&gt;0,AND(I5044&lt;&gt;"",E5044&lt;I5044)),1,0)</f>
        <v>0</v>
      </c>
      <c r="R5044" s="56" t="n">
        <f aca="false">IF(AND(D5044&gt;1,Q5044=0,ISNUMBER(O5044),ISNUMBER(P5044)),IF(Q5043=0,1,0),0)</f>
        <v>1</v>
      </c>
      <c r="S5044" s="56" t="n">
        <f aca="false">R5044*(B5044&gt;=Train_Start)*(B5044&lt;=Train_End)</f>
        <v>0</v>
      </c>
      <c r="T5044" s="84" t="n">
        <f aca="false">IF(AND(ISNUMBER(O5044),ISNUMBER(P5044)),Coef_A+Coef_B1*O5044+Coef_B2*P5044,"")</f>
        <v>21.1457172939884</v>
      </c>
      <c r="U5044" s="84" t="n">
        <f aca="false">IF(AND(R5044=1,ISNUMBER(T5044)),E5044-T5044,"")</f>
        <v>0.654282706011557</v>
      </c>
      <c r="V5044" s="84" t="n">
        <f aca="false">IF(ISNUMBER(T5044),T5044,-99)</f>
        <v>21.1457172939884</v>
      </c>
      <c r="W5044" s="84" t="n">
        <f aca="false">IF(ISNUMBER(U5044),ABS(U5044),"")</f>
        <v>0.654282706011557</v>
      </c>
    </row>
    <row r="5045" customFormat="false" ht="15" hidden="false" customHeight="false" outlineLevel="0" collapsed="false">
      <c r="A5045" s="57" t="n">
        <v>40811</v>
      </c>
      <c r="B5045" s="56" t="n">
        <v>2011</v>
      </c>
      <c r="C5045" s="56" t="n">
        <v>9</v>
      </c>
      <c r="D5045" s="56" t="n">
        <v>148</v>
      </c>
      <c r="E5045" s="56" t="n">
        <v>22.7</v>
      </c>
      <c r="F5045" s="56" t="n">
        <v>0</v>
      </c>
      <c r="G5045" s="56" t="n">
        <v>11</v>
      </c>
      <c r="H5045" s="56" t="n">
        <v>0</v>
      </c>
      <c r="I5045" s="56" t="n">
        <v>16.4</v>
      </c>
      <c r="J5045" s="56" t="n">
        <v>0</v>
      </c>
      <c r="K5045" s="56" t="n">
        <v>1015.5</v>
      </c>
      <c r="L5045" s="56" t="n">
        <v>0</v>
      </c>
      <c r="M5045" s="56" t="n">
        <v>79</v>
      </c>
      <c r="N5045" s="56" t="n">
        <v>7.1</v>
      </c>
      <c r="O5045" s="56" t="n">
        <f aca="false">IF(D5045=1,"",E5044)</f>
        <v>21.8</v>
      </c>
      <c r="P5045" s="56" t="n">
        <f aca="false">IF(OR(D5045=1,K5044=""),"",K5044)</f>
        <v>1014.4</v>
      </c>
      <c r="Q5045" s="56" t="n">
        <f aca="false">IF(OR(F5045&lt;&gt;0,AND(I5045&lt;&gt;"",E5045&lt;I5045)),1,0)</f>
        <v>0</v>
      </c>
      <c r="R5045" s="56" t="n">
        <f aca="false">IF(AND(D5045&gt;1,Q5045=0,ISNUMBER(O5045),ISNUMBER(P5045)),IF(Q5044=0,1,0),0)</f>
        <v>1</v>
      </c>
      <c r="S5045" s="56" t="n">
        <f aca="false">R5045*(B5045&gt;=Train_Start)*(B5045&lt;=Train_End)</f>
        <v>0</v>
      </c>
      <c r="T5045" s="84" t="n">
        <f aca="false">IF(AND(ISNUMBER(O5045),ISNUMBER(P5045)),Coef_A+Coef_B1*O5045+Coef_B2*P5045,"")</f>
        <v>21.7701909470445</v>
      </c>
      <c r="U5045" s="84" t="n">
        <f aca="false">IF(AND(R5045=1,ISNUMBER(T5045)),E5045-T5045,"")</f>
        <v>0.929809052955527</v>
      </c>
      <c r="V5045" s="84" t="n">
        <f aca="false">IF(ISNUMBER(T5045),T5045,-99)</f>
        <v>21.7701909470445</v>
      </c>
      <c r="W5045" s="84" t="n">
        <f aca="false">IF(ISNUMBER(U5045),ABS(U5045),"")</f>
        <v>0.929809052955527</v>
      </c>
    </row>
    <row r="5046" customFormat="false" ht="15" hidden="false" customHeight="false" outlineLevel="0" collapsed="false">
      <c r="A5046" s="57" t="n">
        <v>40812</v>
      </c>
      <c r="B5046" s="56" t="n">
        <v>2011</v>
      </c>
      <c r="C5046" s="56" t="n">
        <v>9</v>
      </c>
      <c r="D5046" s="56" t="n">
        <v>149</v>
      </c>
      <c r="E5046" s="56" t="n">
        <v>21.8</v>
      </c>
      <c r="F5046" s="56" t="n">
        <v>0</v>
      </c>
      <c r="G5046" s="56" t="n">
        <v>16.1</v>
      </c>
      <c r="H5046" s="56" t="n">
        <v>0</v>
      </c>
      <c r="I5046" s="56" t="n">
        <v>19.4</v>
      </c>
      <c r="J5046" s="56" t="n">
        <v>0</v>
      </c>
      <c r="K5046" s="56" t="n">
        <v>1020.5</v>
      </c>
      <c r="L5046" s="56" t="n">
        <v>0</v>
      </c>
      <c r="M5046" s="56" t="n">
        <v>81</v>
      </c>
      <c r="N5046" s="56" t="n">
        <v>1.6</v>
      </c>
      <c r="O5046" s="56" t="n">
        <f aca="false">IF(D5046=1,"",E5045)</f>
        <v>22.7</v>
      </c>
      <c r="P5046" s="56" t="n">
        <f aca="false">IF(OR(D5046=1,K5045=""),"",K5045)</f>
        <v>1015.5</v>
      </c>
      <c r="Q5046" s="56" t="n">
        <f aca="false">IF(OR(F5046&lt;&gt;0,AND(I5046&lt;&gt;"",E5046&lt;I5046)),1,0)</f>
        <v>0</v>
      </c>
      <c r="R5046" s="56" t="n">
        <f aca="false">IF(AND(D5046&gt;1,Q5046=0,ISNUMBER(O5046),ISNUMBER(P5046)),IF(Q5045=0,1,0),0)</f>
        <v>1</v>
      </c>
      <c r="S5046" s="56" t="n">
        <f aca="false">R5046*(B5046&gt;=Train_Start)*(B5046&lt;=Train_End)</f>
        <v>0</v>
      </c>
      <c r="T5046" s="84" t="n">
        <f aca="false">IF(AND(ISNUMBER(O5046),ISNUMBER(P5046)),Coef_A+Coef_B1*O5046+Coef_B2*P5046,"")</f>
        <v>22.5421031048803</v>
      </c>
      <c r="U5046" s="84" t="n">
        <f aca="false">IF(AND(R5046=1,ISNUMBER(T5046)),E5046-T5046,"")</f>
        <v>-0.74210310488025</v>
      </c>
      <c r="V5046" s="84" t="n">
        <f aca="false">IF(ISNUMBER(T5046),T5046,-99)</f>
        <v>22.5421031048803</v>
      </c>
      <c r="W5046" s="84" t="n">
        <f aca="false">IF(ISNUMBER(U5046),ABS(U5046),"")</f>
        <v>0.74210310488025</v>
      </c>
    </row>
    <row r="5047" customFormat="false" ht="15" hidden="false" customHeight="false" outlineLevel="0" collapsed="false">
      <c r="A5047" s="57" t="n">
        <v>40813</v>
      </c>
      <c r="B5047" s="56" t="n">
        <v>2011</v>
      </c>
      <c r="C5047" s="56" t="n">
        <v>9</v>
      </c>
      <c r="D5047" s="56" t="n">
        <v>150</v>
      </c>
      <c r="E5047" s="56" t="n">
        <v>25.9</v>
      </c>
      <c r="F5047" s="56" t="n">
        <v>0</v>
      </c>
      <c r="G5047" s="56" t="n">
        <v>11.8</v>
      </c>
      <c r="H5047" s="56" t="n">
        <v>0</v>
      </c>
      <c r="I5047" s="56" t="n">
        <v>16.8</v>
      </c>
      <c r="J5047" s="56" t="n">
        <v>0</v>
      </c>
      <c r="K5047" s="56" t="n">
        <v>1028.4</v>
      </c>
      <c r="L5047" s="56" t="n">
        <v>0</v>
      </c>
      <c r="M5047" s="56" t="n">
        <v>85</v>
      </c>
      <c r="N5047" s="56" t="n">
        <v>4.5</v>
      </c>
      <c r="O5047" s="56" t="n">
        <f aca="false">IF(D5047=1,"",E5046)</f>
        <v>21.8</v>
      </c>
      <c r="P5047" s="56" t="n">
        <f aca="false">IF(OR(D5047=1,K5046=""),"",K5046)</f>
        <v>1020.5</v>
      </c>
      <c r="Q5047" s="56" t="n">
        <f aca="false">IF(OR(F5047&lt;&gt;0,AND(I5047&lt;&gt;"",E5047&lt;I5047)),1,0)</f>
        <v>0</v>
      </c>
      <c r="R5047" s="56" t="n">
        <f aca="false">IF(AND(D5047&gt;1,Q5047=0,ISNUMBER(O5047),ISNUMBER(P5047)),IF(Q5046=0,1,0),0)</f>
        <v>1</v>
      </c>
      <c r="S5047" s="56" t="n">
        <f aca="false">R5047*(B5047&gt;=Train_Start)*(B5047&lt;=Train_End)</f>
        <v>0</v>
      </c>
      <c r="T5047" s="84" t="n">
        <f aca="false">IF(AND(ISNUMBER(O5047),ISNUMBER(P5047)),Coef_A+Coef_B1*O5047+Coef_B2*P5047,"")</f>
        <v>21.9615473043118</v>
      </c>
      <c r="U5047" s="84" t="n">
        <f aca="false">IF(AND(R5047=1,ISNUMBER(T5047)),E5047-T5047,"")</f>
        <v>3.93845269568819</v>
      </c>
      <c r="V5047" s="84" t="n">
        <f aca="false">IF(ISNUMBER(T5047),T5047,-99)</f>
        <v>21.9615473043118</v>
      </c>
      <c r="W5047" s="84" t="n">
        <f aca="false">IF(ISNUMBER(U5047),ABS(U5047),"")</f>
        <v>3.93845269568819</v>
      </c>
    </row>
    <row r="5048" customFormat="false" ht="15" hidden="false" customHeight="false" outlineLevel="0" collapsed="false">
      <c r="A5048" s="57" t="n">
        <v>40814</v>
      </c>
      <c r="B5048" s="56" t="n">
        <v>2011</v>
      </c>
      <c r="C5048" s="56" t="n">
        <v>9</v>
      </c>
      <c r="D5048" s="56" t="n">
        <v>151</v>
      </c>
      <c r="E5048" s="56" t="n">
        <v>28.1</v>
      </c>
      <c r="F5048" s="56" t="n">
        <v>0</v>
      </c>
      <c r="G5048" s="56" t="n">
        <v>12.3</v>
      </c>
      <c r="H5048" s="56" t="n">
        <v>0</v>
      </c>
      <c r="I5048" s="56" t="n">
        <v>19.1</v>
      </c>
      <c r="J5048" s="56" t="n">
        <v>0</v>
      </c>
      <c r="K5048" s="56" t="n">
        <v>1026.3</v>
      </c>
      <c r="L5048" s="56" t="n">
        <v>0</v>
      </c>
      <c r="M5048" s="56" t="n">
        <v>76</v>
      </c>
      <c r="N5048" s="56" t="n">
        <v>10.9</v>
      </c>
      <c r="O5048" s="56" t="n">
        <f aca="false">IF(D5048=1,"",E5047)</f>
        <v>25.9</v>
      </c>
      <c r="P5048" s="56" t="n">
        <f aca="false">IF(OR(D5048=1,K5047=""),"",K5047)</f>
        <v>1028.4</v>
      </c>
      <c r="Q5048" s="56" t="n">
        <f aca="false">IF(OR(F5048&lt;&gt;0,AND(I5048&lt;&gt;"",E5048&lt;I5048)),1,0)</f>
        <v>0</v>
      </c>
      <c r="R5048" s="56" t="n">
        <f aca="false">IF(AND(D5048&gt;1,Q5048=0,ISNUMBER(O5048),ISNUMBER(P5048)),IF(Q5047=0,1,0),0)</f>
        <v>1</v>
      </c>
      <c r="S5048" s="56" t="n">
        <f aca="false">R5048*(B5048&gt;=Train_Start)*(B5048&lt;=Train_End)</f>
        <v>0</v>
      </c>
      <c r="T5048" s="84" t="n">
        <f aca="false">IF(AND(ISNUMBER(O5048),ISNUMBER(P5048)),Coef_A+Coef_B1*O5048+Coef_B2*P5048,"")</f>
        <v>25.5686601633952</v>
      </c>
      <c r="U5048" s="84" t="n">
        <f aca="false">IF(AND(R5048=1,ISNUMBER(T5048)),E5048-T5048,"")</f>
        <v>2.53133983660478</v>
      </c>
      <c r="V5048" s="84" t="n">
        <f aca="false">IF(ISNUMBER(T5048),T5048,-99)</f>
        <v>25.5686601633952</v>
      </c>
      <c r="W5048" s="84" t="n">
        <f aca="false">IF(ISNUMBER(U5048),ABS(U5048),"")</f>
        <v>2.53133983660478</v>
      </c>
    </row>
    <row r="5049" customFormat="false" ht="15" hidden="false" customHeight="false" outlineLevel="0" collapsed="false">
      <c r="A5049" s="57" t="n">
        <v>40815</v>
      </c>
      <c r="B5049" s="56" t="n">
        <v>2011</v>
      </c>
      <c r="C5049" s="56" t="n">
        <v>9</v>
      </c>
      <c r="D5049" s="56" t="n">
        <v>152</v>
      </c>
      <c r="E5049" s="56" t="n">
        <v>28.5</v>
      </c>
      <c r="F5049" s="56" t="n">
        <v>0</v>
      </c>
      <c r="G5049" s="56" t="n">
        <v>12.7</v>
      </c>
      <c r="H5049" s="56" t="n">
        <v>0</v>
      </c>
      <c r="I5049" s="56" t="n">
        <v>20.4</v>
      </c>
      <c r="J5049" s="56" t="n">
        <v>0</v>
      </c>
      <c r="K5049" s="56" t="n">
        <v>1023.4</v>
      </c>
      <c r="L5049" s="56" t="n">
        <v>0</v>
      </c>
      <c r="M5049" s="56" t="n">
        <v>71</v>
      </c>
      <c r="N5049" s="56" t="n">
        <v>10.8</v>
      </c>
      <c r="O5049" s="56" t="n">
        <f aca="false">IF(D5049=1,"",E5048)</f>
        <v>28.1</v>
      </c>
      <c r="P5049" s="56" t="n">
        <f aca="false">IF(OR(D5049=1,K5048=""),"",K5048)</f>
        <v>1026.3</v>
      </c>
      <c r="Q5049" s="56" t="n">
        <f aca="false">IF(OR(F5049&lt;&gt;0,AND(I5049&lt;&gt;"",E5049&lt;I5049)),1,0)</f>
        <v>0</v>
      </c>
      <c r="R5049" s="56" t="n">
        <f aca="false">IF(AND(D5049&gt;1,Q5049=0,ISNUMBER(O5049),ISNUMBER(P5049)),IF(Q5048=0,1,0),0)</f>
        <v>1</v>
      </c>
      <c r="S5049" s="56" t="n">
        <f aca="false">R5049*(B5049&gt;=Train_Start)*(B5049&lt;=Train_End)</f>
        <v>0</v>
      </c>
      <c r="T5049" s="84" t="n">
        <f aca="false">IF(AND(ISNUMBER(O5049),ISNUMBER(P5049)),Coef_A+Coef_B1*O5049+Coef_B2*P5049,"")</f>
        <v>27.3053296093577</v>
      </c>
      <c r="U5049" s="84" t="n">
        <f aca="false">IF(AND(R5049=1,ISNUMBER(T5049)),E5049-T5049,"")</f>
        <v>1.19467039064232</v>
      </c>
      <c r="V5049" s="84" t="n">
        <f aca="false">IF(ISNUMBER(T5049),T5049,-99)</f>
        <v>27.3053296093577</v>
      </c>
      <c r="W5049" s="84" t="n">
        <f aca="false">IF(ISNUMBER(U5049),ABS(U5049),"")</f>
        <v>1.19467039064232</v>
      </c>
    </row>
    <row r="5050" customFormat="false" ht="15" hidden="false" customHeight="false" outlineLevel="0" collapsed="false">
      <c r="A5050" s="57" t="n">
        <v>40816</v>
      </c>
      <c r="B5050" s="56" t="n">
        <v>2011</v>
      </c>
      <c r="C5050" s="56" t="n">
        <v>9</v>
      </c>
      <c r="D5050" s="56" t="n">
        <v>153</v>
      </c>
      <c r="E5050" s="56" t="n">
        <v>28.8</v>
      </c>
      <c r="F5050" s="56" t="n">
        <v>0</v>
      </c>
      <c r="G5050" s="56" t="n">
        <v>12.4</v>
      </c>
      <c r="H5050" s="56" t="n">
        <v>0</v>
      </c>
      <c r="I5050" s="56" t="n">
        <v>20.5</v>
      </c>
      <c r="J5050" s="56" t="n">
        <v>0</v>
      </c>
      <c r="K5050" s="56" t="n">
        <v>1022.6</v>
      </c>
      <c r="L5050" s="56" t="n">
        <v>0</v>
      </c>
      <c r="M5050" s="56" t="n">
        <v>68</v>
      </c>
      <c r="N5050" s="56" t="n">
        <v>10.6</v>
      </c>
      <c r="O5050" s="56" t="n">
        <f aca="false">IF(D5050=1,"",E5049)</f>
        <v>28.5</v>
      </c>
      <c r="P5050" s="56" t="n">
        <f aca="false">IF(OR(D5050=1,K5049=""),"",K5049)</f>
        <v>1023.4</v>
      </c>
      <c r="Q5050" s="56" t="n">
        <f aca="false">IF(OR(F5050&lt;&gt;0,AND(I5050&lt;&gt;"",E5050&lt;I5050)),1,0)</f>
        <v>0</v>
      </c>
      <c r="R5050" s="56" t="n">
        <f aca="false">IF(AND(D5050&gt;1,Q5050=0,ISNUMBER(O5050),ISNUMBER(P5050)),IF(Q5049=0,1,0),0)</f>
        <v>1</v>
      </c>
      <c r="S5050" s="56" t="n">
        <f aca="false">R5050*(B5050&gt;=Train_Start)*(B5050&lt;=Train_End)</f>
        <v>0</v>
      </c>
      <c r="T5050" s="84" t="n">
        <f aca="false">IF(AND(ISNUMBER(O5050),ISNUMBER(P5050)),Coef_A+Coef_B1*O5050+Coef_B2*P5050,"")</f>
        <v>27.5420925921362</v>
      </c>
      <c r="U5050" s="84" t="n">
        <f aca="false">IF(AND(R5050=1,ISNUMBER(T5050)),E5050-T5050,"")</f>
        <v>1.25790740786382</v>
      </c>
      <c r="V5050" s="84" t="n">
        <f aca="false">IF(ISNUMBER(T5050),T5050,-99)</f>
        <v>27.5420925921362</v>
      </c>
      <c r="W5050" s="84" t="n">
        <f aca="false">IF(ISNUMBER(U5050),ABS(U5050),"")</f>
        <v>1.25790740786382</v>
      </c>
    </row>
    <row r="5051" customFormat="false" ht="15" hidden="false" customHeight="false" outlineLevel="0" collapsed="false">
      <c r="A5051" s="57" t="n">
        <v>41030</v>
      </c>
      <c r="B5051" s="56" t="n">
        <v>2012</v>
      </c>
      <c r="C5051" s="56" t="n">
        <v>5</v>
      </c>
      <c r="D5051" s="56" t="n">
        <v>1</v>
      </c>
      <c r="E5051" s="56" t="n">
        <v>14.7</v>
      </c>
      <c r="F5051" s="56" t="n">
        <v>0</v>
      </c>
      <c r="G5051" s="56" t="n">
        <v>11.3</v>
      </c>
      <c r="H5051" s="56" t="n">
        <v>0</v>
      </c>
      <c r="I5051" s="56" t="n">
        <v>14.5</v>
      </c>
      <c r="J5051" s="56" t="n">
        <v>0</v>
      </c>
      <c r="K5051" s="56" t="n">
        <v>1016.2</v>
      </c>
      <c r="L5051" s="56" t="n">
        <v>0</v>
      </c>
      <c r="M5051" s="56" t="n">
        <v>81</v>
      </c>
      <c r="N5051" s="56" t="n">
        <v>5.3</v>
      </c>
      <c r="O5051" s="56" t="str">
        <f aca="false">IF(D5051=1,"",E5050)</f>
        <v/>
      </c>
      <c r="P5051" s="56" t="str">
        <f aca="false">IF(OR(D5051=1,K5050=""),"",K5050)</f>
        <v/>
      </c>
      <c r="Q5051" s="56" t="n">
        <f aca="false">IF(OR(F5051&lt;&gt;0,AND(I5051&lt;&gt;"",E5051&lt;I5051)),1,0)</f>
        <v>0</v>
      </c>
      <c r="R5051" s="56" t="n">
        <f aca="false">IF(AND(D5051&gt;1,Q5051=0,ISNUMBER(O5051),ISNUMBER(P5051)),IF(Q5050=0,1,0),0)</f>
        <v>0</v>
      </c>
      <c r="S5051" s="56" t="n">
        <f aca="false">R5051*(B5051&gt;=Train_Start)*(B5051&lt;=Train_End)</f>
        <v>0</v>
      </c>
      <c r="T5051" s="84" t="str">
        <f aca="false">IF(AND(ISNUMBER(O5051),ISNUMBER(P5051)),Coef_A+Coef_B1*O5051+Coef_B2*P5051,"")</f>
        <v/>
      </c>
      <c r="U5051" s="84" t="str">
        <f aca="false">IF(AND(R5051=1,ISNUMBER(T5051)),E5051-T5051,"")</f>
        <v/>
      </c>
      <c r="V5051" s="84" t="n">
        <f aca="false">IF(ISNUMBER(T5051),T5051,-99)</f>
        <v>-99</v>
      </c>
      <c r="W5051" s="84" t="str">
        <f aca="false">IF(ISNUMBER(U5051),ABS(U5051),"")</f>
        <v/>
      </c>
    </row>
    <row r="5052" customFormat="false" ht="15" hidden="false" customHeight="false" outlineLevel="0" collapsed="false">
      <c r="A5052" s="57" t="n">
        <v>41031</v>
      </c>
      <c r="B5052" s="56" t="n">
        <v>2012</v>
      </c>
      <c r="C5052" s="56" t="n">
        <v>5</v>
      </c>
      <c r="D5052" s="56" t="n">
        <v>2</v>
      </c>
      <c r="E5052" s="56" t="n">
        <v>9.4</v>
      </c>
      <c r="F5052" s="56" t="n">
        <v>1</v>
      </c>
      <c r="G5052" s="56" t="n">
        <v>9.8</v>
      </c>
      <c r="H5052" s="56" t="n">
        <v>1</v>
      </c>
      <c r="I5052" s="56" t="n">
        <v>12.3</v>
      </c>
      <c r="J5052" s="56" t="n">
        <v>1</v>
      </c>
      <c r="K5052" s="56" t="n">
        <v>1019.6</v>
      </c>
      <c r="L5052" s="56" t="n">
        <v>0</v>
      </c>
      <c r="M5052" s="56" t="n">
        <v>82</v>
      </c>
      <c r="N5052" s="56" t="n">
        <v>0.1</v>
      </c>
      <c r="O5052" s="56" t="n">
        <f aca="false">IF(D5052=1,"",E5051)</f>
        <v>14.7</v>
      </c>
      <c r="P5052" s="56" t="n">
        <f aca="false">IF(OR(D5052=1,K5051=""),"",K5051)</f>
        <v>1016.2</v>
      </c>
      <c r="Q5052" s="56" t="n">
        <f aca="false">IF(OR(F5052&lt;&gt;0,AND(I5052&lt;&gt;"",E5052&lt;I5052)),1,0)</f>
        <v>1</v>
      </c>
      <c r="R5052" s="56" t="n">
        <f aca="false">IF(AND(D5052&gt;1,Q5052=0,ISNUMBER(O5052),ISNUMBER(P5052)),IF(Q5051=0,1,0),0)</f>
        <v>0</v>
      </c>
      <c r="S5052" s="56" t="n">
        <f aca="false">R5052*(B5052&gt;=Train_Start)*(B5052&lt;=Train_End)</f>
        <v>0</v>
      </c>
      <c r="T5052" s="84" t="n">
        <f aca="false">IF(AND(ISNUMBER(O5052),ISNUMBER(P5052)),Coef_A+Coef_B1*O5052+Coef_B2*P5052,"")</f>
        <v>16.0093484867828</v>
      </c>
      <c r="U5052" s="84" t="str">
        <f aca="false">IF(AND(R5052=1,ISNUMBER(T5052)),E5052-T5052,"")</f>
        <v/>
      </c>
      <c r="V5052" s="84" t="n">
        <f aca="false">IF(ISNUMBER(T5052),T5052,-99)</f>
        <v>16.0093484867828</v>
      </c>
      <c r="W5052" s="84" t="str">
        <f aca="false">IF(ISNUMBER(U5052),ABS(U5052),"")</f>
        <v/>
      </c>
    </row>
    <row r="5053" customFormat="false" ht="15" hidden="false" customHeight="false" outlineLevel="0" collapsed="false">
      <c r="A5053" s="57" t="n">
        <v>41032</v>
      </c>
      <c r="B5053" s="56" t="n">
        <v>2012</v>
      </c>
      <c r="C5053" s="56" t="n">
        <v>5</v>
      </c>
      <c r="D5053" s="56" t="n">
        <v>3</v>
      </c>
      <c r="E5053" s="56" t="n">
        <v>10</v>
      </c>
      <c r="F5053" s="56" t="n">
        <v>0</v>
      </c>
      <c r="G5053" s="56" t="n">
        <v>8.1</v>
      </c>
      <c r="H5053" s="56" t="n">
        <v>0</v>
      </c>
      <c r="I5053" s="56" t="n">
        <v>8.8</v>
      </c>
      <c r="J5053" s="56" t="n">
        <v>0</v>
      </c>
      <c r="K5053" s="56" t="n">
        <v>1012</v>
      </c>
      <c r="L5053" s="56" t="n">
        <v>0</v>
      </c>
      <c r="M5053" s="56" t="n">
        <v>88</v>
      </c>
      <c r="N5053" s="56" t="n">
        <v>0</v>
      </c>
      <c r="O5053" s="56" t="n">
        <f aca="false">IF(D5053=1,"",E5052)</f>
        <v>9.4</v>
      </c>
      <c r="P5053" s="56" t="n">
        <f aca="false">IF(OR(D5053=1,K5052=""),"",K5052)</f>
        <v>1019.6</v>
      </c>
      <c r="Q5053" s="56" t="n">
        <f aca="false">IF(OR(F5053&lt;&gt;0,AND(I5053&lt;&gt;"",E5053&lt;I5053)),1,0)</f>
        <v>0</v>
      </c>
      <c r="R5053" s="56" t="n">
        <f aca="false">IF(AND(D5053&gt;1,Q5053=0,ISNUMBER(O5053),ISNUMBER(P5053)),IF(Q5052=0,1,0),0)</f>
        <v>0</v>
      </c>
      <c r="S5053" s="56" t="n">
        <f aca="false">R5053*(B5053&gt;=Train_Start)*(B5053&lt;=Train_End)</f>
        <v>0</v>
      </c>
      <c r="T5053" s="84" t="n">
        <f aca="false">IF(AND(ISNUMBER(O5053),ISNUMBER(P5053)),Coef_A+Coef_B1*O5053+Coef_B2*P5053,"")</f>
        <v>11.7735084054123</v>
      </c>
      <c r="U5053" s="84" t="str">
        <f aca="false">IF(AND(R5053=1,ISNUMBER(T5053)),E5053-T5053,"")</f>
        <v/>
      </c>
      <c r="V5053" s="84" t="n">
        <f aca="false">IF(ISNUMBER(T5053),T5053,-99)</f>
        <v>11.7735084054123</v>
      </c>
      <c r="W5053" s="84" t="str">
        <f aca="false">IF(ISNUMBER(U5053),ABS(U5053),"")</f>
        <v/>
      </c>
    </row>
    <row r="5054" customFormat="false" ht="15" hidden="false" customHeight="false" outlineLevel="0" collapsed="false">
      <c r="A5054" s="57" t="n">
        <v>41033</v>
      </c>
      <c r="B5054" s="56" t="n">
        <v>2012</v>
      </c>
      <c r="C5054" s="56" t="n">
        <v>5</v>
      </c>
      <c r="D5054" s="56" t="n">
        <v>4</v>
      </c>
      <c r="E5054" s="56" t="n">
        <v>10.3</v>
      </c>
      <c r="F5054" s="56" t="n">
        <v>0</v>
      </c>
      <c r="G5054" s="56" t="n">
        <v>7.2</v>
      </c>
      <c r="H5054" s="56" t="n">
        <v>0</v>
      </c>
      <c r="I5054" s="56" t="n">
        <v>8.6</v>
      </c>
      <c r="J5054" s="56" t="n">
        <v>0</v>
      </c>
      <c r="K5054" s="56" t="n">
        <v>1007</v>
      </c>
      <c r="L5054" s="56" t="n">
        <v>0</v>
      </c>
      <c r="M5054" s="56" t="n">
        <v>82</v>
      </c>
      <c r="N5054" s="56" t="n">
        <v>0</v>
      </c>
      <c r="O5054" s="56" t="n">
        <f aca="false">IF(D5054=1,"",E5053)</f>
        <v>10</v>
      </c>
      <c r="P5054" s="56" t="n">
        <f aca="false">IF(OR(D5054=1,K5053=""),"",K5053)</f>
        <v>1012</v>
      </c>
      <c r="Q5054" s="56" t="n">
        <f aca="false">IF(OR(F5054&lt;&gt;0,AND(I5054&lt;&gt;"",E5054&lt;I5054)),1,0)</f>
        <v>0</v>
      </c>
      <c r="R5054" s="56" t="n">
        <f aca="false">IF(AND(D5054&gt;1,Q5054=0,ISNUMBER(O5054),ISNUMBER(P5054)),IF(Q5053=0,1,0),0)</f>
        <v>1</v>
      </c>
      <c r="S5054" s="56" t="n">
        <f aca="false">R5054*(B5054&gt;=Train_Start)*(B5054&lt;=Train_End)</f>
        <v>0</v>
      </c>
      <c r="T5054" s="84" t="n">
        <f aca="false">IF(AND(ISNUMBER(O5054),ISNUMBER(P5054)),Coef_A+Coef_B1*O5054+Coef_B2*P5054,"")</f>
        <v>12.0267007220195</v>
      </c>
      <c r="U5054" s="84" t="n">
        <f aca="false">IF(AND(R5054=1,ISNUMBER(T5054)),E5054-T5054,"")</f>
        <v>-1.72670072201954</v>
      </c>
      <c r="V5054" s="84" t="n">
        <f aca="false">IF(ISNUMBER(T5054),T5054,-99)</f>
        <v>12.0267007220195</v>
      </c>
      <c r="W5054" s="84" t="n">
        <f aca="false">IF(ISNUMBER(U5054),ABS(U5054),"")</f>
        <v>1.72670072201954</v>
      </c>
    </row>
    <row r="5055" customFormat="false" ht="15" hidden="false" customHeight="false" outlineLevel="0" collapsed="false">
      <c r="A5055" s="57" t="n">
        <v>41034</v>
      </c>
      <c r="B5055" s="56" t="n">
        <v>2012</v>
      </c>
      <c r="C5055" s="56" t="n">
        <v>5</v>
      </c>
      <c r="D5055" s="56" t="n">
        <v>5</v>
      </c>
      <c r="E5055" s="56" t="n">
        <v>10.4</v>
      </c>
      <c r="F5055" s="56" t="n">
        <v>0</v>
      </c>
      <c r="G5055" s="56" t="n">
        <v>5.6</v>
      </c>
      <c r="H5055" s="56" t="n">
        <v>0</v>
      </c>
      <c r="I5055" s="56" t="n">
        <v>8</v>
      </c>
      <c r="J5055" s="56" t="n">
        <v>0</v>
      </c>
      <c r="K5055" s="56" t="n">
        <v>1009.9</v>
      </c>
      <c r="L5055" s="56" t="n">
        <v>0</v>
      </c>
      <c r="M5055" s="56" t="n">
        <v>71</v>
      </c>
      <c r="N5055" s="56" t="n">
        <v>0.4</v>
      </c>
      <c r="O5055" s="56" t="n">
        <f aca="false">IF(D5055=1,"",E5054)</f>
        <v>10.3</v>
      </c>
      <c r="P5055" s="56" t="n">
        <f aca="false">IF(OR(D5055=1,K5054=""),"",K5054)</f>
        <v>1007</v>
      </c>
      <c r="Q5055" s="56" t="n">
        <f aca="false">IF(OR(F5055&lt;&gt;0,AND(I5055&lt;&gt;"",E5055&lt;I5055)),1,0)</f>
        <v>0</v>
      </c>
      <c r="R5055" s="56" t="n">
        <f aca="false">IF(AND(D5055&gt;1,Q5055=0,ISNUMBER(O5055),ISNUMBER(P5055)),IF(Q5054=0,1,0),0)</f>
        <v>1</v>
      </c>
      <c r="S5055" s="56" t="n">
        <f aca="false">R5055*(B5055&gt;=Train_Start)*(B5055&lt;=Train_End)</f>
        <v>0</v>
      </c>
      <c r="T5055" s="84" t="n">
        <f aca="false">IF(AND(ISNUMBER(O5055),ISNUMBER(P5055)),Coef_A+Coef_B1*O5055+Coef_B2*P5055,"")</f>
        <v>12.1156530067624</v>
      </c>
      <c r="U5055" s="84" t="n">
        <f aca="false">IF(AND(R5055=1,ISNUMBER(T5055)),E5055-T5055,"")</f>
        <v>-1.71565300676239</v>
      </c>
      <c r="V5055" s="84" t="n">
        <f aca="false">IF(ISNUMBER(T5055),T5055,-99)</f>
        <v>12.1156530067624</v>
      </c>
      <c r="W5055" s="84" t="n">
        <f aca="false">IF(ISNUMBER(U5055),ABS(U5055),"")</f>
        <v>1.71565300676239</v>
      </c>
    </row>
    <row r="5056" customFormat="false" ht="15" hidden="false" customHeight="false" outlineLevel="0" collapsed="false">
      <c r="A5056" s="57" t="n">
        <v>41035</v>
      </c>
      <c r="B5056" s="56" t="n">
        <v>2012</v>
      </c>
      <c r="C5056" s="56" t="n">
        <v>5</v>
      </c>
      <c r="D5056" s="56" t="n">
        <v>6</v>
      </c>
      <c r="E5056" s="56" t="n">
        <v>15.1</v>
      </c>
      <c r="F5056" s="56" t="n">
        <v>0</v>
      </c>
      <c r="G5056" s="56" t="n">
        <v>5.3</v>
      </c>
      <c r="H5056" s="56" t="n">
        <v>0</v>
      </c>
      <c r="I5056" s="56" t="n">
        <v>7.9</v>
      </c>
      <c r="J5056" s="56" t="n">
        <v>0</v>
      </c>
      <c r="K5056" s="56" t="n">
        <v>1014.2</v>
      </c>
      <c r="L5056" s="56" t="n">
        <v>0</v>
      </c>
      <c r="M5056" s="56" t="n">
        <v>70</v>
      </c>
      <c r="N5056" s="56" t="n">
        <v>0</v>
      </c>
      <c r="O5056" s="56" t="n">
        <f aca="false">IF(D5056=1,"",E5055)</f>
        <v>10.4</v>
      </c>
      <c r="P5056" s="56" t="n">
        <f aca="false">IF(OR(D5056=1,K5055=""),"",K5055)</f>
        <v>1009.9</v>
      </c>
      <c r="Q5056" s="56" t="n">
        <f aca="false">IF(OR(F5056&lt;&gt;0,AND(I5056&lt;&gt;"",E5056&lt;I5056)),1,0)</f>
        <v>0</v>
      </c>
      <c r="R5056" s="56" t="n">
        <f aca="false">IF(AND(D5056&gt;1,Q5056=0,ISNUMBER(O5056),ISNUMBER(P5056)),IF(Q5055=0,1,0),0)</f>
        <v>1</v>
      </c>
      <c r="S5056" s="56" t="n">
        <f aca="false">R5056*(B5056&gt;=Train_Start)*(B5056&lt;=Train_End)</f>
        <v>0</v>
      </c>
      <c r="T5056" s="84" t="n">
        <f aca="false">IF(AND(ISNUMBER(O5056),ISNUMBER(P5056)),Coef_A+Coef_B1*O5056+Coef_B2*P5056,"")</f>
        <v>12.2885596205052</v>
      </c>
      <c r="U5056" s="84" t="n">
        <f aca="false">IF(AND(R5056=1,ISNUMBER(T5056)),E5056-T5056,"")</f>
        <v>2.81144037949478</v>
      </c>
      <c r="V5056" s="84" t="n">
        <f aca="false">IF(ISNUMBER(T5056),T5056,-99)</f>
        <v>12.2885596205052</v>
      </c>
      <c r="W5056" s="84" t="n">
        <f aca="false">IF(ISNUMBER(U5056),ABS(U5056),"")</f>
        <v>2.81144037949478</v>
      </c>
    </row>
    <row r="5057" customFormat="false" ht="15" hidden="false" customHeight="false" outlineLevel="0" collapsed="false">
      <c r="A5057" s="57" t="n">
        <v>41036</v>
      </c>
      <c r="B5057" s="56" t="n">
        <v>2012</v>
      </c>
      <c r="C5057" s="56" t="n">
        <v>5</v>
      </c>
      <c r="D5057" s="56" t="n">
        <v>7</v>
      </c>
      <c r="E5057" s="56" t="n">
        <v>18.1</v>
      </c>
      <c r="F5057" s="56" t="n">
        <v>0</v>
      </c>
      <c r="G5057" s="56" t="n">
        <v>3.1</v>
      </c>
      <c r="H5057" s="56" t="n">
        <v>0</v>
      </c>
      <c r="I5057" s="56" t="n">
        <v>9.1</v>
      </c>
      <c r="J5057" s="56" t="n">
        <v>0</v>
      </c>
      <c r="K5057" s="56" t="n">
        <v>1013.8</v>
      </c>
      <c r="L5057" s="56" t="n">
        <v>0</v>
      </c>
      <c r="M5057" s="56" t="n">
        <v>83</v>
      </c>
      <c r="N5057" s="56" t="n">
        <v>2.8</v>
      </c>
      <c r="O5057" s="56" t="n">
        <f aca="false">IF(D5057=1,"",E5056)</f>
        <v>15.1</v>
      </c>
      <c r="P5057" s="56" t="n">
        <f aca="false">IF(OR(D5057=1,K5056=""),"",K5056)</f>
        <v>1014.2</v>
      </c>
      <c r="Q5057" s="56" t="n">
        <f aca="false">IF(OR(F5057&lt;&gt;0,AND(I5057&lt;&gt;"",E5057&lt;I5057)),1,0)</f>
        <v>0</v>
      </c>
      <c r="R5057" s="56" t="n">
        <f aca="false">IF(AND(D5057&gt;1,Q5057=0,ISNUMBER(O5057),ISNUMBER(P5057)),IF(Q5056=0,1,0),0)</f>
        <v>1</v>
      </c>
      <c r="S5057" s="56" t="n">
        <f aca="false">R5057*(B5057&gt;=Train_Start)*(B5057&lt;=Train_End)</f>
        <v>0</v>
      </c>
      <c r="T5057" s="84" t="n">
        <f aca="false">IF(AND(ISNUMBER(O5057),ISNUMBER(P5057)),Coef_A+Coef_B1*O5057+Coef_B2*P5057,"")</f>
        <v>16.2743443747319</v>
      </c>
      <c r="U5057" s="84" t="n">
        <f aca="false">IF(AND(R5057=1,ISNUMBER(T5057)),E5057-T5057,"")</f>
        <v>1.82565562526813</v>
      </c>
      <c r="V5057" s="84" t="n">
        <f aca="false">IF(ISNUMBER(T5057),T5057,-99)</f>
        <v>16.2743443747319</v>
      </c>
      <c r="W5057" s="84" t="n">
        <f aca="false">IF(ISNUMBER(U5057),ABS(U5057),"")</f>
        <v>1.82565562526813</v>
      </c>
    </row>
    <row r="5058" customFormat="false" ht="15" hidden="false" customHeight="false" outlineLevel="0" collapsed="false">
      <c r="A5058" s="57" t="n">
        <v>41037</v>
      </c>
      <c r="B5058" s="56" t="n">
        <v>2012</v>
      </c>
      <c r="C5058" s="56" t="n">
        <v>5</v>
      </c>
      <c r="D5058" s="56" t="n">
        <v>8</v>
      </c>
      <c r="E5058" s="56" t="n">
        <v>16.8</v>
      </c>
      <c r="F5058" s="56" t="n">
        <v>0</v>
      </c>
      <c r="G5058" s="56" t="n">
        <v>9.9</v>
      </c>
      <c r="H5058" s="56" t="n">
        <v>0</v>
      </c>
      <c r="I5058" s="56" t="n">
        <v>14</v>
      </c>
      <c r="J5058" s="56" t="n">
        <v>0</v>
      </c>
      <c r="K5058" s="56" t="n">
        <v>1007.1</v>
      </c>
      <c r="L5058" s="56" t="n">
        <v>0</v>
      </c>
      <c r="M5058" s="56" t="n">
        <v>78</v>
      </c>
      <c r="N5058" s="56" t="n">
        <v>2.8</v>
      </c>
      <c r="O5058" s="56" t="n">
        <f aca="false">IF(D5058=1,"",E5057)</f>
        <v>18.1</v>
      </c>
      <c r="P5058" s="56" t="n">
        <f aca="false">IF(OR(D5058=1,K5057=""),"",K5057)</f>
        <v>1013.8</v>
      </c>
      <c r="Q5058" s="56" t="n">
        <f aca="false">IF(OR(F5058&lt;&gt;0,AND(I5058&lt;&gt;"",E5058&lt;I5058)),1,0)</f>
        <v>0</v>
      </c>
      <c r="R5058" s="56" t="n">
        <f aca="false">IF(AND(D5058&gt;1,Q5058=0,ISNUMBER(O5058),ISNUMBER(P5058)),IF(Q5057=0,1,0),0)</f>
        <v>1</v>
      </c>
      <c r="S5058" s="56" t="n">
        <f aca="false">R5058*(B5058&gt;=Train_Start)*(B5058&lt;=Train_End)</f>
        <v>0</v>
      </c>
      <c r="T5058" s="84" t="n">
        <f aca="false">IF(AND(ISNUMBER(O5058),ISNUMBER(P5058)),Coef_A+Coef_B1*O5058+Coef_B2*P5058,"")</f>
        <v>18.7198139960062</v>
      </c>
      <c r="U5058" s="84" t="n">
        <f aca="false">IF(AND(R5058=1,ISNUMBER(T5058)),E5058-T5058,"")</f>
        <v>-1.91981399600624</v>
      </c>
      <c r="V5058" s="84" t="n">
        <f aca="false">IF(ISNUMBER(T5058),T5058,-99)</f>
        <v>18.7198139960062</v>
      </c>
      <c r="W5058" s="84" t="n">
        <f aca="false">IF(ISNUMBER(U5058),ABS(U5058),"")</f>
        <v>1.91981399600624</v>
      </c>
    </row>
    <row r="5059" customFormat="false" ht="15" hidden="false" customHeight="false" outlineLevel="0" collapsed="false">
      <c r="A5059" s="57" t="n">
        <v>41038</v>
      </c>
      <c r="B5059" s="56" t="n">
        <v>2012</v>
      </c>
      <c r="C5059" s="56" t="n">
        <v>5</v>
      </c>
      <c r="D5059" s="56" t="n">
        <v>9</v>
      </c>
      <c r="E5059" s="56" t="n">
        <v>17.1</v>
      </c>
      <c r="F5059" s="56" t="n">
        <v>0</v>
      </c>
      <c r="G5059" s="56" t="n">
        <v>9.8</v>
      </c>
      <c r="H5059" s="56" t="n">
        <v>0</v>
      </c>
      <c r="I5059" s="56" t="n">
        <v>13.3</v>
      </c>
      <c r="J5059" s="56" t="n">
        <v>0</v>
      </c>
      <c r="K5059" s="56" t="n">
        <v>1008.3</v>
      </c>
      <c r="L5059" s="56" t="n">
        <v>0</v>
      </c>
      <c r="M5059" s="56" t="n">
        <v>92</v>
      </c>
      <c r="N5059" s="56" t="n">
        <v>0</v>
      </c>
      <c r="O5059" s="56" t="n">
        <f aca="false">IF(D5059=1,"",E5058)</f>
        <v>16.8</v>
      </c>
      <c r="P5059" s="56" t="n">
        <f aca="false">IF(OR(D5059=1,K5058=""),"",K5058)</f>
        <v>1007.1</v>
      </c>
      <c r="Q5059" s="56" t="n">
        <f aca="false">IF(OR(F5059&lt;&gt;0,AND(I5059&lt;&gt;"",E5059&lt;I5059)),1,0)</f>
        <v>0</v>
      </c>
      <c r="R5059" s="56" t="n">
        <f aca="false">IF(AND(D5059&gt;1,Q5059=0,ISNUMBER(O5059),ISNUMBER(P5059)),IF(Q5058=0,1,0),0)</f>
        <v>1</v>
      </c>
      <c r="S5059" s="56" t="n">
        <f aca="false">R5059*(B5059&gt;=Train_Start)*(B5059&lt;=Train_End)</f>
        <v>0</v>
      </c>
      <c r="T5059" s="84" t="n">
        <f aca="false">IF(AND(ISNUMBER(O5059),ISNUMBER(P5059)),Coef_A+Coef_B1*O5059+Coef_B2*P5059,"")</f>
        <v>17.4444947510031</v>
      </c>
      <c r="U5059" s="84" t="n">
        <f aca="false">IF(AND(R5059=1,ISNUMBER(T5059)),E5059-T5059,"")</f>
        <v>-0.344494751003062</v>
      </c>
      <c r="V5059" s="84" t="n">
        <f aca="false">IF(ISNUMBER(T5059),T5059,-99)</f>
        <v>17.4444947510031</v>
      </c>
      <c r="W5059" s="84" t="n">
        <f aca="false">IF(ISNUMBER(U5059),ABS(U5059),"")</f>
        <v>0.344494751003062</v>
      </c>
    </row>
    <row r="5060" customFormat="false" ht="15" hidden="false" customHeight="false" outlineLevel="0" collapsed="false">
      <c r="A5060" s="57" t="n">
        <v>41039</v>
      </c>
      <c r="B5060" s="56" t="n">
        <v>2012</v>
      </c>
      <c r="C5060" s="56" t="n">
        <v>5</v>
      </c>
      <c r="D5060" s="56" t="n">
        <v>10</v>
      </c>
      <c r="E5060" s="56" t="n">
        <v>16.5</v>
      </c>
      <c r="F5060" s="56" t="n">
        <v>0</v>
      </c>
      <c r="G5060" s="56" t="n">
        <v>12</v>
      </c>
      <c r="H5060" s="56" t="n">
        <v>0</v>
      </c>
      <c r="I5060" s="56" t="n">
        <v>14.6</v>
      </c>
      <c r="J5060" s="56" t="n">
        <v>0</v>
      </c>
      <c r="K5060" s="56" t="n">
        <v>1009.3</v>
      </c>
      <c r="L5060" s="56" t="n">
        <v>0</v>
      </c>
      <c r="M5060" s="56" t="n">
        <v>89</v>
      </c>
      <c r="N5060" s="56" t="n">
        <v>0</v>
      </c>
      <c r="O5060" s="56" t="n">
        <f aca="false">IF(D5060=1,"",E5059)</f>
        <v>17.1</v>
      </c>
      <c r="P5060" s="56" t="n">
        <f aca="false">IF(OR(D5060=1,K5059=""),"",K5059)</f>
        <v>1008.3</v>
      </c>
      <c r="Q5060" s="56" t="n">
        <f aca="false">IF(OR(F5060&lt;&gt;0,AND(I5060&lt;&gt;"",E5060&lt;I5060)),1,0)</f>
        <v>0</v>
      </c>
      <c r="R5060" s="56" t="n">
        <f aca="false">IF(AND(D5060&gt;1,Q5060=0,ISNUMBER(O5060),ISNUMBER(P5060)),IF(Q5059=0,1,0),0)</f>
        <v>1</v>
      </c>
      <c r="S5060" s="56" t="n">
        <f aca="false">R5060*(B5060&gt;=Train_Start)*(B5060&lt;=Train_End)</f>
        <v>0</v>
      </c>
      <c r="T5060" s="84" t="n">
        <f aca="false">IF(AND(ISNUMBER(O5060),ISNUMBER(P5060)),Coef_A+Coef_B1*O5060+Coef_B2*P5060,"")</f>
        <v>17.7279403824766</v>
      </c>
      <c r="U5060" s="84" t="n">
        <f aca="false">IF(AND(R5060=1,ISNUMBER(T5060)),E5060-T5060,"")</f>
        <v>-1.22794038247665</v>
      </c>
      <c r="V5060" s="84" t="n">
        <f aca="false">IF(ISNUMBER(T5060),T5060,-99)</f>
        <v>17.7279403824766</v>
      </c>
      <c r="W5060" s="84" t="n">
        <f aca="false">IF(ISNUMBER(U5060),ABS(U5060),"")</f>
        <v>1.22794038247665</v>
      </c>
    </row>
    <row r="5061" customFormat="false" ht="15" hidden="false" customHeight="false" outlineLevel="0" collapsed="false">
      <c r="A5061" s="57" t="n">
        <v>41040</v>
      </c>
      <c r="B5061" s="56" t="n">
        <v>2012</v>
      </c>
      <c r="C5061" s="56" t="n">
        <v>5</v>
      </c>
      <c r="D5061" s="56" t="n">
        <v>11</v>
      </c>
      <c r="E5061" s="56" t="n">
        <v>15.7</v>
      </c>
      <c r="F5061" s="56" t="n">
        <v>0</v>
      </c>
      <c r="G5061" s="56" t="n">
        <v>10.7</v>
      </c>
      <c r="H5061" s="56" t="n">
        <v>0</v>
      </c>
      <c r="I5061" s="56" t="n">
        <v>13.6</v>
      </c>
      <c r="J5061" s="56" t="n">
        <v>0</v>
      </c>
      <c r="K5061" s="56" t="n">
        <v>1022.4</v>
      </c>
      <c r="L5061" s="56" t="n">
        <v>0</v>
      </c>
      <c r="M5061" s="56" t="n">
        <v>62</v>
      </c>
      <c r="N5061" s="56" t="n">
        <v>9.5</v>
      </c>
      <c r="O5061" s="56" t="n">
        <f aca="false">IF(D5061=1,"",E5060)</f>
        <v>16.5</v>
      </c>
      <c r="P5061" s="56" t="n">
        <f aca="false">IF(OR(D5061=1,K5060=""),"",K5060)</f>
        <v>1009.3</v>
      </c>
      <c r="Q5061" s="56" t="n">
        <f aca="false">IF(OR(F5061&lt;&gt;0,AND(I5061&lt;&gt;"",E5061&lt;I5061)),1,0)</f>
        <v>0</v>
      </c>
      <c r="R5061" s="56" t="n">
        <f aca="false">IF(AND(D5061&gt;1,Q5061=0,ISNUMBER(O5061),ISNUMBER(P5061)),IF(Q5060=0,1,0),0)</f>
        <v>1</v>
      </c>
      <c r="S5061" s="56" t="n">
        <f aca="false">R5061*(B5061&gt;=Train_Start)*(B5061&lt;=Train_End)</f>
        <v>0</v>
      </c>
      <c r="T5061" s="84" t="n">
        <f aca="false">IF(AND(ISNUMBER(O5061),ISNUMBER(P5061)),Coef_A+Coef_B1*O5061+Coef_B2*P5061,"")</f>
        <v>17.267706761285</v>
      </c>
      <c r="U5061" s="84" t="n">
        <f aca="false">IF(AND(R5061=1,ISNUMBER(T5061)),E5061-T5061,"")</f>
        <v>-1.56770676128504</v>
      </c>
      <c r="V5061" s="84" t="n">
        <f aca="false">IF(ISNUMBER(T5061),T5061,-99)</f>
        <v>17.267706761285</v>
      </c>
      <c r="W5061" s="84" t="n">
        <f aca="false">IF(ISNUMBER(U5061),ABS(U5061),"")</f>
        <v>1.56770676128504</v>
      </c>
    </row>
    <row r="5062" customFormat="false" ht="15" hidden="false" customHeight="false" outlineLevel="0" collapsed="false">
      <c r="A5062" s="57" t="n">
        <v>41041</v>
      </c>
      <c r="B5062" s="56" t="n">
        <v>2012</v>
      </c>
      <c r="C5062" s="56" t="n">
        <v>5</v>
      </c>
      <c r="D5062" s="56" t="n">
        <v>12</v>
      </c>
      <c r="E5062" s="56" t="n">
        <v>17.3</v>
      </c>
      <c r="F5062" s="56" t="n">
        <v>0</v>
      </c>
      <c r="G5062" s="56" t="n">
        <v>4.6</v>
      </c>
      <c r="H5062" s="56" t="n">
        <v>0</v>
      </c>
      <c r="I5062" s="56" t="n">
        <v>10.2</v>
      </c>
      <c r="J5062" s="56" t="n">
        <v>0</v>
      </c>
      <c r="K5062" s="56" t="n">
        <v>1037.1</v>
      </c>
      <c r="L5062" s="56" t="n">
        <v>0</v>
      </c>
      <c r="M5062" s="56" t="n">
        <v>54</v>
      </c>
      <c r="N5062" s="56" t="n">
        <v>10.6</v>
      </c>
      <c r="O5062" s="56" t="n">
        <f aca="false">IF(D5062=1,"",E5061)</f>
        <v>15.7</v>
      </c>
      <c r="P5062" s="56" t="n">
        <f aca="false">IF(OR(D5062=1,K5061=""),"",K5061)</f>
        <v>1022.4</v>
      </c>
      <c r="Q5062" s="56" t="n">
        <f aca="false">IF(OR(F5062&lt;&gt;0,AND(I5062&lt;&gt;"",E5062&lt;I5062)),1,0)</f>
        <v>0</v>
      </c>
      <c r="R5062" s="56" t="n">
        <f aca="false">IF(AND(D5062&gt;1,Q5062=0,ISNUMBER(O5062),ISNUMBER(P5062)),IF(Q5061=0,1,0),0)</f>
        <v>1</v>
      </c>
      <c r="S5062" s="56" t="n">
        <f aca="false">R5062*(B5062&gt;=Train_Start)*(B5062&lt;=Train_End)</f>
        <v>0</v>
      </c>
      <c r="T5062" s="84" t="n">
        <f aca="false">IF(AND(ISNUMBER(O5062),ISNUMBER(P5062)),Coef_A+Coef_B1*O5062+Coef_B2*P5062,"")</f>
        <v>17.0231810265562</v>
      </c>
      <c r="U5062" s="84" t="n">
        <f aca="false">IF(AND(R5062=1,ISNUMBER(T5062)),E5062-T5062,"")</f>
        <v>0.27681897344382</v>
      </c>
      <c r="V5062" s="84" t="n">
        <f aca="false">IF(ISNUMBER(T5062),T5062,-99)</f>
        <v>17.0231810265562</v>
      </c>
      <c r="W5062" s="84" t="n">
        <f aca="false">IF(ISNUMBER(U5062),ABS(U5062),"")</f>
        <v>0.27681897344382</v>
      </c>
    </row>
    <row r="5063" customFormat="false" ht="15" hidden="false" customHeight="false" outlineLevel="0" collapsed="false">
      <c r="A5063" s="57" t="n">
        <v>41042</v>
      </c>
      <c r="B5063" s="56" t="n">
        <v>2012</v>
      </c>
      <c r="C5063" s="56" t="n">
        <v>5</v>
      </c>
      <c r="D5063" s="56" t="n">
        <v>13</v>
      </c>
      <c r="E5063" s="56" t="n">
        <v>12.5</v>
      </c>
      <c r="F5063" s="56" t="n">
        <v>0</v>
      </c>
      <c r="G5063" s="56" t="n">
        <v>4.9</v>
      </c>
      <c r="H5063" s="56" t="n">
        <v>0</v>
      </c>
      <c r="I5063" s="56" t="n">
        <v>11.1</v>
      </c>
      <c r="J5063" s="56" t="n">
        <v>0</v>
      </c>
      <c r="K5063" s="56" t="n">
        <v>1030.2</v>
      </c>
      <c r="L5063" s="56" t="n">
        <v>0</v>
      </c>
      <c r="M5063" s="56" t="n">
        <v>60</v>
      </c>
      <c r="N5063" s="56" t="n">
        <v>9.5</v>
      </c>
      <c r="O5063" s="56" t="n">
        <f aca="false">IF(D5063=1,"",E5062)</f>
        <v>17.3</v>
      </c>
      <c r="P5063" s="56" t="n">
        <f aca="false">IF(OR(D5063=1,K5062=""),"",K5062)</f>
        <v>1037.1</v>
      </c>
      <c r="Q5063" s="56" t="n">
        <f aca="false">IF(OR(F5063&lt;&gt;0,AND(I5063&lt;&gt;"",E5063&lt;I5063)),1,0)</f>
        <v>0</v>
      </c>
      <c r="R5063" s="56" t="n">
        <f aca="false">IF(AND(D5063&gt;1,Q5063=0,ISNUMBER(O5063),ISNUMBER(P5063)),IF(Q5062=0,1,0),0)</f>
        <v>1</v>
      </c>
      <c r="S5063" s="56" t="n">
        <f aca="false">R5063*(B5063&gt;=Train_Start)*(B5063&lt;=Train_End)</f>
        <v>0</v>
      </c>
      <c r="T5063" s="84" t="n">
        <f aca="false">IF(AND(ISNUMBER(O5063),ISNUMBER(P5063)),Coef_A+Coef_B1*O5063+Coef_B2*P5063,"")</f>
        <v>18.7952611865441</v>
      </c>
      <c r="U5063" s="84" t="n">
        <f aca="false">IF(AND(R5063=1,ISNUMBER(T5063)),E5063-T5063,"")</f>
        <v>-6.29526118654407</v>
      </c>
      <c r="V5063" s="84" t="n">
        <f aca="false">IF(ISNUMBER(T5063),T5063,-99)</f>
        <v>18.7952611865441</v>
      </c>
      <c r="W5063" s="84" t="n">
        <f aca="false">IF(ISNUMBER(U5063),ABS(U5063),"")</f>
        <v>6.29526118654407</v>
      </c>
    </row>
    <row r="5064" customFormat="false" ht="15" hidden="false" customHeight="false" outlineLevel="0" collapsed="false">
      <c r="A5064" s="57" t="n">
        <v>41043</v>
      </c>
      <c r="B5064" s="56" t="n">
        <v>2012</v>
      </c>
      <c r="C5064" s="56" t="n">
        <v>5</v>
      </c>
      <c r="D5064" s="56" t="n">
        <v>14</v>
      </c>
      <c r="E5064" s="56" t="n">
        <v>12.4</v>
      </c>
      <c r="F5064" s="56" t="n">
        <v>0</v>
      </c>
      <c r="G5064" s="56" t="n">
        <v>6.4</v>
      </c>
      <c r="H5064" s="56" t="n">
        <v>0</v>
      </c>
      <c r="I5064" s="56" t="n">
        <v>9.5</v>
      </c>
      <c r="J5064" s="56" t="n">
        <v>0</v>
      </c>
      <c r="K5064" s="56" t="n">
        <v>1016.4</v>
      </c>
      <c r="L5064" s="56" t="n">
        <v>0</v>
      </c>
      <c r="M5064" s="56" t="n">
        <v>79</v>
      </c>
      <c r="N5064" s="56" t="n">
        <v>1.1</v>
      </c>
      <c r="O5064" s="56" t="n">
        <f aca="false">IF(D5064=1,"",E5063)</f>
        <v>12.5</v>
      </c>
      <c r="P5064" s="56" t="n">
        <f aca="false">IF(OR(D5064=1,K5063=""),"",K5063)</f>
        <v>1030.2</v>
      </c>
      <c r="Q5064" s="56" t="n">
        <f aca="false">IF(OR(F5064&lt;&gt;0,AND(I5064&lt;&gt;"",E5064&lt;I5064)),1,0)</f>
        <v>0</v>
      </c>
      <c r="R5064" s="56" t="n">
        <f aca="false">IF(AND(D5064&gt;1,Q5064=0,ISNUMBER(O5064),ISNUMBER(P5064)),IF(Q5063=0,1,0),0)</f>
        <v>1</v>
      </c>
      <c r="S5064" s="56" t="n">
        <f aca="false">R5064*(B5064&gt;=Train_Start)*(B5064&lt;=Train_End)</f>
        <v>0</v>
      </c>
      <c r="T5064" s="84" t="n">
        <f aca="false">IF(AND(ISNUMBER(O5064),ISNUMBER(P5064)),Coef_A+Coef_B1*O5064+Coef_B2*P5064,"")</f>
        <v>14.6459807869648</v>
      </c>
      <c r="U5064" s="84" t="n">
        <f aca="false">IF(AND(R5064=1,ISNUMBER(T5064)),E5064-T5064,"")</f>
        <v>-2.24598078696479</v>
      </c>
      <c r="V5064" s="84" t="n">
        <f aca="false">IF(ISNUMBER(T5064),T5064,-99)</f>
        <v>14.6459807869648</v>
      </c>
      <c r="W5064" s="84" t="n">
        <f aca="false">IF(ISNUMBER(U5064),ABS(U5064),"")</f>
        <v>2.24598078696479</v>
      </c>
    </row>
    <row r="5065" customFormat="false" ht="15" hidden="false" customHeight="false" outlineLevel="0" collapsed="false">
      <c r="A5065" s="57" t="n">
        <v>41044</v>
      </c>
      <c r="B5065" s="56" t="n">
        <v>2012</v>
      </c>
      <c r="C5065" s="56" t="n">
        <v>5</v>
      </c>
      <c r="D5065" s="56" t="n">
        <v>15</v>
      </c>
      <c r="E5065" s="56" t="n">
        <v>14.9</v>
      </c>
      <c r="F5065" s="56" t="n">
        <v>0</v>
      </c>
      <c r="G5065" s="56" t="n">
        <v>5</v>
      </c>
      <c r="H5065" s="56" t="n">
        <v>0</v>
      </c>
      <c r="I5065" s="56" t="n">
        <v>8.7</v>
      </c>
      <c r="J5065" s="56" t="n">
        <v>0</v>
      </c>
      <c r="K5065" s="56" t="n">
        <v>1016.2</v>
      </c>
      <c r="L5065" s="56" t="n">
        <v>0</v>
      </c>
      <c r="M5065" s="56" t="n">
        <v>80</v>
      </c>
      <c r="N5065" s="56" t="n">
        <v>2.7</v>
      </c>
      <c r="O5065" s="56" t="n">
        <f aca="false">IF(D5065=1,"",E5064)</f>
        <v>12.4</v>
      </c>
      <c r="P5065" s="56" t="n">
        <f aca="false">IF(OR(D5065=1,K5064=""),"",K5064)</f>
        <v>1016.4</v>
      </c>
      <c r="Q5065" s="56" t="n">
        <f aca="false">IF(OR(F5065&lt;&gt;0,AND(I5065&lt;&gt;"",E5065&lt;I5065)),1,0)</f>
        <v>0</v>
      </c>
      <c r="R5065" s="56" t="n">
        <f aca="false">IF(AND(D5065&gt;1,Q5065=0,ISNUMBER(O5065),ISNUMBER(P5065)),IF(Q5064=0,1,0),0)</f>
        <v>1</v>
      </c>
      <c r="S5065" s="56" t="n">
        <f aca="false">R5065*(B5065&gt;=Train_Start)*(B5065&lt;=Train_End)</f>
        <v>0</v>
      </c>
      <c r="T5065" s="84" t="n">
        <f aca="false">IF(AND(ISNUMBER(O5065),ISNUMBER(P5065)),Coef_A+Coef_B1*O5065+Coef_B2*P5065,"")</f>
        <v>14.1311423217115</v>
      </c>
      <c r="U5065" s="84" t="n">
        <f aca="false">IF(AND(R5065=1,ISNUMBER(T5065)),E5065-T5065,"")</f>
        <v>0.768857678288528</v>
      </c>
      <c r="V5065" s="84" t="n">
        <f aca="false">IF(ISNUMBER(T5065),T5065,-99)</f>
        <v>14.1311423217115</v>
      </c>
      <c r="W5065" s="84" t="n">
        <f aca="false">IF(ISNUMBER(U5065),ABS(U5065),"")</f>
        <v>0.768857678288528</v>
      </c>
    </row>
    <row r="5066" customFormat="false" ht="15" hidden="false" customHeight="false" outlineLevel="0" collapsed="false">
      <c r="A5066" s="57" t="n">
        <v>41045</v>
      </c>
      <c r="B5066" s="56" t="n">
        <v>2012</v>
      </c>
      <c r="C5066" s="56" t="n">
        <v>5</v>
      </c>
      <c r="D5066" s="56" t="n">
        <v>16</v>
      </c>
      <c r="E5066" s="56" t="n">
        <v>15.5</v>
      </c>
      <c r="F5066" s="56" t="n">
        <v>0</v>
      </c>
      <c r="G5066" s="56" t="n">
        <v>3.1</v>
      </c>
      <c r="H5066" s="56" t="n">
        <v>0</v>
      </c>
      <c r="I5066" s="56" t="n">
        <v>9</v>
      </c>
      <c r="J5066" s="56" t="n">
        <v>0</v>
      </c>
      <c r="K5066" s="56" t="n">
        <v>1025.3</v>
      </c>
      <c r="L5066" s="56" t="n">
        <v>0</v>
      </c>
      <c r="M5066" s="56" t="n">
        <v>62</v>
      </c>
      <c r="N5066" s="56" t="n">
        <v>8</v>
      </c>
      <c r="O5066" s="56" t="n">
        <f aca="false">IF(D5066=1,"",E5065)</f>
        <v>14.9</v>
      </c>
      <c r="P5066" s="56" t="n">
        <f aca="false">IF(OR(D5066=1,K5065=""),"",K5065)</f>
        <v>1016.2</v>
      </c>
      <c r="Q5066" s="56" t="n">
        <f aca="false">IF(OR(F5066&lt;&gt;0,AND(I5066&lt;&gt;"",E5066&lt;I5066)),1,0)</f>
        <v>0</v>
      </c>
      <c r="R5066" s="56" t="n">
        <f aca="false">IF(AND(D5066&gt;1,Q5066=0,ISNUMBER(O5066),ISNUMBER(P5066)),IF(Q5065=0,1,0),0)</f>
        <v>1</v>
      </c>
      <c r="S5066" s="56" t="n">
        <f aca="false">R5066*(B5066&gt;=Train_Start)*(B5066&lt;=Train_End)</f>
        <v>0</v>
      </c>
      <c r="T5066" s="84" t="n">
        <f aca="false">IF(AND(ISNUMBER(O5066),ISNUMBER(P5066)),Coef_A+Coef_B1*O5066+Coef_B2*P5066,"")</f>
        <v>16.1732163253913</v>
      </c>
      <c r="U5066" s="84" t="n">
        <f aca="false">IF(AND(R5066=1,ISNUMBER(T5066)),E5066-T5066,"")</f>
        <v>-0.673216325391319</v>
      </c>
      <c r="V5066" s="84" t="n">
        <f aca="false">IF(ISNUMBER(T5066),T5066,-99)</f>
        <v>16.1732163253913</v>
      </c>
      <c r="W5066" s="84" t="n">
        <f aca="false">IF(ISNUMBER(U5066),ABS(U5066),"")</f>
        <v>0.673216325391319</v>
      </c>
    </row>
    <row r="5067" customFormat="false" ht="15" hidden="false" customHeight="false" outlineLevel="0" collapsed="false">
      <c r="A5067" s="57" t="n">
        <v>41046</v>
      </c>
      <c r="B5067" s="56" t="n">
        <v>2012</v>
      </c>
      <c r="C5067" s="56" t="n">
        <v>5</v>
      </c>
      <c r="D5067" s="56" t="n">
        <v>17</v>
      </c>
      <c r="E5067" s="56" t="n">
        <v>16.2</v>
      </c>
      <c r="F5067" s="56" t="n">
        <v>0</v>
      </c>
      <c r="G5067" s="56" t="n">
        <v>6.6</v>
      </c>
      <c r="H5067" s="56" t="n">
        <v>0</v>
      </c>
      <c r="I5067" s="56" t="n">
        <v>11.1</v>
      </c>
      <c r="J5067" s="56" t="n">
        <v>0</v>
      </c>
      <c r="K5067" s="56" t="n">
        <v>1016.7</v>
      </c>
      <c r="L5067" s="56" t="n">
        <v>0</v>
      </c>
      <c r="M5067" s="56" t="n">
        <v>66</v>
      </c>
      <c r="N5067" s="56" t="n">
        <v>0.7</v>
      </c>
      <c r="O5067" s="56" t="n">
        <f aca="false">IF(D5067=1,"",E5066)</f>
        <v>15.5</v>
      </c>
      <c r="P5067" s="56" t="n">
        <f aca="false">IF(OR(D5067=1,K5066=""),"",K5066)</f>
        <v>1025.3</v>
      </c>
      <c r="Q5067" s="56" t="n">
        <f aca="false">IF(OR(F5067&lt;&gt;0,AND(I5067&lt;&gt;"",E5067&lt;I5067)),1,0)</f>
        <v>0</v>
      </c>
      <c r="R5067" s="56" t="n">
        <f aca="false">IF(AND(D5067&gt;1,Q5067=0,ISNUMBER(O5067),ISNUMBER(P5067)),IF(Q5066=0,1,0),0)</f>
        <v>1</v>
      </c>
      <c r="S5067" s="56" t="n">
        <f aca="false">R5067*(B5067&gt;=Train_Start)*(B5067&lt;=Train_End)</f>
        <v>0</v>
      </c>
      <c r="T5067" s="84" t="n">
        <f aca="false">IF(AND(ISNUMBER(O5067),ISNUMBER(P5067)),Coef_A+Coef_B1*O5067+Coef_B2*P5067,"")</f>
        <v>16.9502858823862</v>
      </c>
      <c r="U5067" s="84" t="n">
        <f aca="false">IF(AND(R5067=1,ISNUMBER(T5067)),E5067-T5067,"")</f>
        <v>-0.750285882386212</v>
      </c>
      <c r="V5067" s="84" t="n">
        <f aca="false">IF(ISNUMBER(T5067),T5067,-99)</f>
        <v>16.9502858823862</v>
      </c>
      <c r="W5067" s="84" t="n">
        <f aca="false">IF(ISNUMBER(U5067),ABS(U5067),"")</f>
        <v>0.750285882386212</v>
      </c>
    </row>
    <row r="5068" customFormat="false" ht="15" hidden="false" customHeight="false" outlineLevel="0" collapsed="false">
      <c r="A5068" s="57" t="n">
        <v>41047</v>
      </c>
      <c r="B5068" s="56" t="n">
        <v>2012</v>
      </c>
      <c r="C5068" s="56" t="n">
        <v>5</v>
      </c>
      <c r="D5068" s="56" t="n">
        <v>18</v>
      </c>
      <c r="E5068" s="56" t="n">
        <v>17.4</v>
      </c>
      <c r="F5068" s="56" t="n">
        <v>0</v>
      </c>
      <c r="G5068" s="56" t="n">
        <v>9.2</v>
      </c>
      <c r="H5068" s="56" t="n">
        <v>0</v>
      </c>
      <c r="I5068" s="56" t="n">
        <v>12.7</v>
      </c>
      <c r="J5068" s="56" t="n">
        <v>0</v>
      </c>
      <c r="K5068" s="56" t="n">
        <v>1004.4</v>
      </c>
      <c r="L5068" s="56" t="n">
        <v>0</v>
      </c>
      <c r="M5068" s="56" t="n">
        <v>75</v>
      </c>
      <c r="N5068" s="56" t="n">
        <v>0.7</v>
      </c>
      <c r="O5068" s="56" t="n">
        <f aca="false">IF(D5068=1,"",E5067)</f>
        <v>16.2</v>
      </c>
      <c r="P5068" s="56" t="n">
        <f aca="false">IF(OR(D5068=1,K5067=""),"",K5067)</f>
        <v>1016.7</v>
      </c>
      <c r="Q5068" s="56" t="n">
        <f aca="false">IF(OR(F5068&lt;&gt;0,AND(I5068&lt;&gt;"",E5068&lt;I5068)),1,0)</f>
        <v>0</v>
      </c>
      <c r="R5068" s="56" t="n">
        <f aca="false">IF(AND(D5068&gt;1,Q5068=0,ISNUMBER(O5068),ISNUMBER(P5068)),IF(Q5067=0,1,0),0)</f>
        <v>1</v>
      </c>
      <c r="S5068" s="56" t="n">
        <f aca="false">R5068*(B5068&gt;=Train_Start)*(B5068&lt;=Train_End)</f>
        <v>0</v>
      </c>
      <c r="T5068" s="84" t="n">
        <f aca="false">IF(AND(ISNUMBER(O5068),ISNUMBER(P5068)),Coef_A+Coef_B1*O5068+Coef_B2*P5068,"")</f>
        <v>17.2540422236638</v>
      </c>
      <c r="U5068" s="84" t="n">
        <f aca="false">IF(AND(R5068=1,ISNUMBER(T5068)),E5068-T5068,"")</f>
        <v>0.145957776336232</v>
      </c>
      <c r="V5068" s="84" t="n">
        <f aca="false">IF(ISNUMBER(T5068),T5068,-99)</f>
        <v>17.2540422236638</v>
      </c>
      <c r="W5068" s="84" t="n">
        <f aca="false">IF(ISNUMBER(U5068),ABS(U5068),"")</f>
        <v>0.145957776336232</v>
      </c>
    </row>
    <row r="5069" customFormat="false" ht="15" hidden="false" customHeight="false" outlineLevel="0" collapsed="false">
      <c r="A5069" s="57" t="n">
        <v>41048</v>
      </c>
      <c r="B5069" s="56" t="n">
        <v>2012</v>
      </c>
      <c r="C5069" s="56" t="n">
        <v>5</v>
      </c>
      <c r="D5069" s="56" t="n">
        <v>19</v>
      </c>
      <c r="E5069" s="56" t="n">
        <v>11.9</v>
      </c>
      <c r="F5069" s="56" t="n">
        <v>1</v>
      </c>
      <c r="G5069" s="56" t="n">
        <v>11.3</v>
      </c>
      <c r="H5069" s="56" t="n">
        <v>0</v>
      </c>
      <c r="I5069" s="56" t="n">
        <v>14.4</v>
      </c>
      <c r="J5069" s="56" t="n">
        <v>1</v>
      </c>
      <c r="K5069" s="56" t="n">
        <v>1009.6</v>
      </c>
      <c r="L5069" s="56" t="n">
        <v>0</v>
      </c>
      <c r="M5069" s="56" t="n">
        <v>77</v>
      </c>
      <c r="N5069" s="56" t="n">
        <v>1.6</v>
      </c>
      <c r="O5069" s="56" t="n">
        <f aca="false">IF(D5069=1,"",E5068)</f>
        <v>17.4</v>
      </c>
      <c r="P5069" s="56" t="n">
        <f aca="false">IF(OR(D5069=1,K5068=""),"",K5068)</f>
        <v>1004.4</v>
      </c>
      <c r="Q5069" s="56" t="n">
        <f aca="false">IF(OR(F5069&lt;&gt;0,AND(I5069&lt;&gt;"",E5069&lt;I5069)),1,0)</f>
        <v>1</v>
      </c>
      <c r="R5069" s="56" t="n">
        <f aca="false">IF(AND(D5069&gt;1,Q5069=0,ISNUMBER(O5069),ISNUMBER(P5069)),IF(Q5068=0,1,0),0)</f>
        <v>0</v>
      </c>
      <c r="S5069" s="56" t="n">
        <f aca="false">R5069*(B5069&gt;=Train_Start)*(B5069&lt;=Train_End)</f>
        <v>0</v>
      </c>
      <c r="T5069" s="84" t="n">
        <f aca="false">IF(AND(ISNUMBER(O5069),ISNUMBER(P5069)),Coef_A+Coef_B1*O5069+Coef_B2*P5069,"")</f>
        <v>17.8513995513169</v>
      </c>
      <c r="U5069" s="84" t="str">
        <f aca="false">IF(AND(R5069=1,ISNUMBER(T5069)),E5069-T5069,"")</f>
        <v/>
      </c>
      <c r="V5069" s="84" t="n">
        <f aca="false">IF(ISNUMBER(T5069),T5069,-99)</f>
        <v>17.8513995513169</v>
      </c>
      <c r="W5069" s="84" t="str">
        <f aca="false">IF(ISNUMBER(U5069),ABS(U5069),"")</f>
        <v/>
      </c>
    </row>
    <row r="5070" customFormat="false" ht="15" hidden="false" customHeight="false" outlineLevel="0" collapsed="false">
      <c r="A5070" s="57" t="n">
        <v>41049</v>
      </c>
      <c r="B5070" s="56" t="n">
        <v>2012</v>
      </c>
      <c r="C5070" s="56" t="n">
        <v>5</v>
      </c>
      <c r="D5070" s="56" t="n">
        <v>20</v>
      </c>
      <c r="E5070" s="56" t="n">
        <v>17.5</v>
      </c>
      <c r="F5070" s="56" t="n">
        <v>0</v>
      </c>
      <c r="G5070" s="56" t="n">
        <v>8.7</v>
      </c>
      <c r="H5070" s="56" t="n">
        <v>0</v>
      </c>
      <c r="I5070" s="56" t="n">
        <v>10.3</v>
      </c>
      <c r="J5070" s="56" t="n">
        <v>0</v>
      </c>
      <c r="K5070" s="56" t="n">
        <v>1010.9</v>
      </c>
      <c r="L5070" s="56" t="n">
        <v>0</v>
      </c>
      <c r="M5070" s="56" t="n">
        <v>81</v>
      </c>
      <c r="N5070" s="56" t="n">
        <v>0</v>
      </c>
      <c r="O5070" s="56" t="n">
        <f aca="false">IF(D5070=1,"",E5069)</f>
        <v>11.9</v>
      </c>
      <c r="P5070" s="56" t="n">
        <f aca="false">IF(OR(D5070=1,K5069=""),"",K5069)</f>
        <v>1009.6</v>
      </c>
      <c r="Q5070" s="56" t="n">
        <f aca="false">IF(OR(F5070&lt;&gt;0,AND(I5070&lt;&gt;"",E5070&lt;I5070)),1,0)</f>
        <v>0</v>
      </c>
      <c r="R5070" s="56" t="n">
        <f aca="false">IF(AND(D5070&gt;1,Q5070=0,ISNUMBER(O5070),ISNUMBER(P5070)),IF(Q5069=0,1,0),0)</f>
        <v>0</v>
      </c>
      <c r="S5070" s="56" t="n">
        <f aca="false">R5070*(B5070&gt;=Train_Start)*(B5070&lt;=Train_End)</f>
        <v>0</v>
      </c>
      <c r="T5070" s="84" t="n">
        <f aca="false">IF(AND(ISNUMBER(O5070),ISNUMBER(P5070)),Coef_A+Coef_B1*O5070+Coef_B2*P5070,"")</f>
        <v>13.508157441679</v>
      </c>
      <c r="U5070" s="84" t="str">
        <f aca="false">IF(AND(R5070=1,ISNUMBER(T5070)),E5070-T5070,"")</f>
        <v/>
      </c>
      <c r="V5070" s="84" t="n">
        <f aca="false">IF(ISNUMBER(T5070),T5070,-99)</f>
        <v>13.508157441679</v>
      </c>
      <c r="W5070" s="84" t="str">
        <f aca="false">IF(ISNUMBER(U5070),ABS(U5070),"")</f>
        <v/>
      </c>
    </row>
    <row r="5071" customFormat="false" ht="15" hidden="false" customHeight="false" outlineLevel="0" collapsed="false">
      <c r="A5071" s="57" t="n">
        <v>41050</v>
      </c>
      <c r="B5071" s="56" t="n">
        <v>2012</v>
      </c>
      <c r="C5071" s="56" t="n">
        <v>5</v>
      </c>
      <c r="D5071" s="56" t="n">
        <v>21</v>
      </c>
      <c r="E5071" s="56" t="n">
        <v>25.7</v>
      </c>
      <c r="F5071" s="56" t="n">
        <v>0</v>
      </c>
      <c r="G5071" s="56" t="n">
        <v>9.2</v>
      </c>
      <c r="H5071" s="56" t="n">
        <v>0</v>
      </c>
      <c r="I5071" s="56" t="n">
        <v>13.4</v>
      </c>
      <c r="J5071" s="56" t="n">
        <v>0</v>
      </c>
      <c r="K5071" s="56" t="n">
        <v>1009.6</v>
      </c>
      <c r="L5071" s="56" t="n">
        <v>0</v>
      </c>
      <c r="M5071" s="56" t="n">
        <v>78</v>
      </c>
      <c r="N5071" s="56" t="n">
        <v>2.7</v>
      </c>
      <c r="O5071" s="56" t="n">
        <f aca="false">IF(D5071=1,"",E5070)</f>
        <v>17.5</v>
      </c>
      <c r="P5071" s="56" t="n">
        <f aca="false">IF(OR(D5071=1,K5070=""),"",K5070)</f>
        <v>1010.9</v>
      </c>
      <c r="Q5071" s="56" t="n">
        <f aca="false">IF(OR(F5071&lt;&gt;0,AND(I5071&lt;&gt;"",E5071&lt;I5071)),1,0)</f>
        <v>0</v>
      </c>
      <c r="R5071" s="56" t="n">
        <f aca="false">IF(AND(D5071&gt;1,Q5071=0,ISNUMBER(O5071),ISNUMBER(P5071)),IF(Q5070=0,1,0),0)</f>
        <v>1</v>
      </c>
      <c r="S5071" s="56" t="n">
        <f aca="false">R5071*(B5071&gt;=Train_Start)*(B5071&lt;=Train_End)</f>
        <v>0</v>
      </c>
      <c r="T5071" s="84" t="n">
        <f aca="false">IF(AND(ISNUMBER(O5071),ISNUMBER(P5071)),Coef_A+Coef_B1*O5071+Coef_B2*P5071,"")</f>
        <v>18.1372377857421</v>
      </c>
      <c r="U5071" s="84" t="n">
        <f aca="false">IF(AND(R5071=1,ISNUMBER(T5071)),E5071-T5071,"")</f>
        <v>7.56276221425792</v>
      </c>
      <c r="V5071" s="84" t="n">
        <f aca="false">IF(ISNUMBER(T5071),T5071,-99)</f>
        <v>18.1372377857421</v>
      </c>
      <c r="W5071" s="84" t="n">
        <f aca="false">IF(ISNUMBER(U5071),ABS(U5071),"")</f>
        <v>7.56276221425792</v>
      </c>
    </row>
    <row r="5072" customFormat="false" ht="15" hidden="false" customHeight="false" outlineLevel="0" collapsed="false">
      <c r="A5072" s="57" t="n">
        <v>41051</v>
      </c>
      <c r="B5072" s="56" t="n">
        <v>2012</v>
      </c>
      <c r="C5072" s="56" t="n">
        <v>5</v>
      </c>
      <c r="D5072" s="56" t="n">
        <v>22</v>
      </c>
      <c r="E5072" s="56" t="n">
        <v>27.2</v>
      </c>
      <c r="F5072" s="56" t="n">
        <v>0</v>
      </c>
      <c r="G5072" s="56" t="n">
        <v>10.9</v>
      </c>
      <c r="H5072" s="56" t="n">
        <v>0</v>
      </c>
      <c r="I5072" s="56" t="n">
        <v>18.3</v>
      </c>
      <c r="J5072" s="56" t="n">
        <v>0</v>
      </c>
      <c r="K5072" s="56" t="n">
        <v>1014.9</v>
      </c>
      <c r="L5072" s="56" t="n">
        <v>0</v>
      </c>
      <c r="M5072" s="56" t="n">
        <v>69</v>
      </c>
      <c r="N5072" s="56" t="n">
        <v>11.2</v>
      </c>
      <c r="O5072" s="56" t="n">
        <f aca="false">IF(D5072=1,"",E5071)</f>
        <v>25.7</v>
      </c>
      <c r="P5072" s="56" t="n">
        <f aca="false">IF(OR(D5072=1,K5071=""),"",K5071)</f>
        <v>1009.6</v>
      </c>
      <c r="Q5072" s="56" t="n">
        <f aca="false">IF(OR(F5072&lt;&gt;0,AND(I5072&lt;&gt;"",E5072&lt;I5072)),1,0)</f>
        <v>0</v>
      </c>
      <c r="R5072" s="56" t="n">
        <f aca="false">IF(AND(D5072&gt;1,Q5072=0,ISNUMBER(O5072),ISNUMBER(P5072)),IF(Q5071=0,1,0),0)</f>
        <v>1</v>
      </c>
      <c r="S5072" s="56" t="n">
        <f aca="false">R5072*(B5072&gt;=Train_Start)*(B5072&lt;=Train_End)</f>
        <v>0</v>
      </c>
      <c r="T5072" s="84" t="n">
        <f aca="false">IF(AND(ISNUMBER(O5072),ISNUMBER(P5072)),Coef_A+Coef_B1*O5072+Coef_B2*P5072,"")</f>
        <v>24.8150383056677</v>
      </c>
      <c r="U5072" s="84" t="n">
        <f aca="false">IF(AND(R5072=1,ISNUMBER(T5072)),E5072-T5072,"")</f>
        <v>2.38496169433231</v>
      </c>
      <c r="V5072" s="84" t="n">
        <f aca="false">IF(ISNUMBER(T5072),T5072,-99)</f>
        <v>24.8150383056677</v>
      </c>
      <c r="W5072" s="84" t="n">
        <f aca="false">IF(ISNUMBER(U5072),ABS(U5072),"")</f>
        <v>2.38496169433231</v>
      </c>
    </row>
    <row r="5073" customFormat="false" ht="15" hidden="false" customHeight="false" outlineLevel="0" collapsed="false">
      <c r="A5073" s="57" t="n">
        <v>41052</v>
      </c>
      <c r="B5073" s="56" t="n">
        <v>2012</v>
      </c>
      <c r="C5073" s="56" t="n">
        <v>5</v>
      </c>
      <c r="D5073" s="56" t="n">
        <v>23</v>
      </c>
      <c r="E5073" s="56" t="n">
        <v>27</v>
      </c>
      <c r="F5073" s="56" t="n">
        <v>0</v>
      </c>
      <c r="G5073" s="56" t="n">
        <v>14.2</v>
      </c>
      <c r="H5073" s="56" t="n">
        <v>0</v>
      </c>
      <c r="I5073" s="56" t="n">
        <v>20.7</v>
      </c>
      <c r="J5073" s="56" t="n">
        <v>0</v>
      </c>
      <c r="K5073" s="56" t="n">
        <v>1022.7</v>
      </c>
      <c r="L5073" s="56" t="n">
        <v>0</v>
      </c>
      <c r="M5073" s="56" t="n">
        <v>69</v>
      </c>
      <c r="N5073" s="56" t="n">
        <v>11.7</v>
      </c>
      <c r="O5073" s="56" t="n">
        <f aca="false">IF(D5073=1,"",E5072)</f>
        <v>27.2</v>
      </c>
      <c r="P5073" s="56" t="n">
        <f aca="false">IF(OR(D5073=1,K5072=""),"",K5072)</f>
        <v>1014.9</v>
      </c>
      <c r="Q5073" s="56" t="n">
        <f aca="false">IF(OR(F5073&lt;&gt;0,AND(I5073&lt;&gt;"",E5073&lt;I5073)),1,0)</f>
        <v>0</v>
      </c>
      <c r="R5073" s="56" t="n">
        <f aca="false">IF(AND(D5073&gt;1,Q5073=0,ISNUMBER(O5073),ISNUMBER(P5073)),IF(Q5072=0,1,0),0)</f>
        <v>1</v>
      </c>
      <c r="S5073" s="56" t="n">
        <f aca="false">R5073*(B5073&gt;=Train_Start)*(B5073&lt;=Train_End)</f>
        <v>0</v>
      </c>
      <c r="T5073" s="84" t="n">
        <f aca="false">IF(AND(ISNUMBER(O5073),ISNUMBER(P5073)),Coef_A+Coef_B1*O5073+Coef_B2*P5073,"")</f>
        <v>26.2103075367918</v>
      </c>
      <c r="U5073" s="84" t="n">
        <f aca="false">IF(AND(R5073=1,ISNUMBER(T5073)),E5073-T5073,"")</f>
        <v>0.789692463208183</v>
      </c>
      <c r="V5073" s="84" t="n">
        <f aca="false">IF(ISNUMBER(T5073),T5073,-99)</f>
        <v>26.2103075367918</v>
      </c>
      <c r="W5073" s="84" t="n">
        <f aca="false">IF(ISNUMBER(U5073),ABS(U5073),"")</f>
        <v>0.789692463208183</v>
      </c>
    </row>
    <row r="5074" customFormat="false" ht="15" hidden="false" customHeight="false" outlineLevel="0" collapsed="false">
      <c r="A5074" s="57" t="n">
        <v>41053</v>
      </c>
      <c r="B5074" s="56" t="n">
        <v>2012</v>
      </c>
      <c r="C5074" s="56" t="n">
        <v>5</v>
      </c>
      <c r="D5074" s="56" t="n">
        <v>24</v>
      </c>
      <c r="E5074" s="56" t="n">
        <v>25.9</v>
      </c>
      <c r="F5074" s="56" t="n">
        <v>0</v>
      </c>
      <c r="G5074" s="56" t="n">
        <v>16</v>
      </c>
      <c r="H5074" s="56" t="n">
        <v>0</v>
      </c>
      <c r="I5074" s="56" t="n">
        <v>21.5</v>
      </c>
      <c r="J5074" s="56" t="n">
        <v>0</v>
      </c>
      <c r="K5074" s="56" t="n">
        <v>1025.8</v>
      </c>
      <c r="L5074" s="56" t="n">
        <v>0</v>
      </c>
      <c r="M5074" s="56" t="n">
        <v>72</v>
      </c>
      <c r="N5074" s="56" t="n">
        <v>12.3</v>
      </c>
      <c r="O5074" s="56" t="n">
        <f aca="false">IF(D5074=1,"",E5073)</f>
        <v>27</v>
      </c>
      <c r="P5074" s="56" t="n">
        <f aca="false">IF(OR(D5074=1,K5073=""),"",K5073)</f>
        <v>1022.7</v>
      </c>
      <c r="Q5074" s="56" t="n">
        <f aca="false">IF(OR(F5074&lt;&gt;0,AND(I5074&lt;&gt;"",E5074&lt;I5074)),1,0)</f>
        <v>0</v>
      </c>
      <c r="R5074" s="56" t="n">
        <f aca="false">IF(AND(D5074&gt;1,Q5074=0,ISNUMBER(O5074),ISNUMBER(P5074)),IF(Q5073=0,1,0),0)</f>
        <v>1</v>
      </c>
      <c r="S5074" s="56" t="n">
        <f aca="false">R5074*(B5074&gt;=Train_Start)*(B5074&lt;=Train_End)</f>
        <v>0</v>
      </c>
      <c r="T5074" s="84" t="n">
        <f aca="false">IF(AND(ISNUMBER(O5074),ISNUMBER(P5074)),Coef_A+Coef_B1*O5074+Coef_B2*P5074,"")</f>
        <v>26.2911248763284</v>
      </c>
      <c r="U5074" s="84" t="n">
        <f aca="false">IF(AND(R5074=1,ISNUMBER(T5074)),E5074-T5074,"")</f>
        <v>-0.391124876328409</v>
      </c>
      <c r="V5074" s="84" t="n">
        <f aca="false">IF(ISNUMBER(T5074),T5074,-99)</f>
        <v>26.2911248763284</v>
      </c>
      <c r="W5074" s="84" t="n">
        <f aca="false">IF(ISNUMBER(U5074),ABS(U5074),"")</f>
        <v>0.391124876328409</v>
      </c>
    </row>
    <row r="5075" customFormat="false" ht="15" hidden="false" customHeight="false" outlineLevel="0" collapsed="false">
      <c r="A5075" s="57" t="n">
        <v>41054</v>
      </c>
      <c r="B5075" s="56" t="n">
        <v>2012</v>
      </c>
      <c r="C5075" s="56" t="n">
        <v>5</v>
      </c>
      <c r="D5075" s="56" t="n">
        <v>25</v>
      </c>
      <c r="E5075" s="56" t="n">
        <v>25.9</v>
      </c>
      <c r="F5075" s="56" t="n">
        <v>0</v>
      </c>
      <c r="G5075" s="56" t="n">
        <v>16.2</v>
      </c>
      <c r="H5075" s="56" t="n">
        <v>0</v>
      </c>
      <c r="I5075" s="56" t="n">
        <v>21.1</v>
      </c>
      <c r="J5075" s="56" t="n">
        <v>0</v>
      </c>
      <c r="K5075" s="56" t="n">
        <v>1023.2</v>
      </c>
      <c r="L5075" s="56" t="n">
        <v>0</v>
      </c>
      <c r="M5075" s="56" t="n">
        <v>58</v>
      </c>
      <c r="N5075" s="56" t="n">
        <v>13.9</v>
      </c>
      <c r="O5075" s="56" t="n">
        <f aca="false">IF(D5075=1,"",E5074)</f>
        <v>25.9</v>
      </c>
      <c r="P5075" s="56" t="n">
        <f aca="false">IF(OR(D5075=1,K5074=""),"",K5074)</f>
        <v>1025.8</v>
      </c>
      <c r="Q5075" s="56" t="n">
        <f aca="false">IF(OR(F5075&lt;&gt;0,AND(I5075&lt;&gt;"",E5075&lt;I5075)),1,0)</f>
        <v>0</v>
      </c>
      <c r="R5075" s="56" t="n">
        <f aca="false">IF(AND(D5075&gt;1,Q5075=0,ISNUMBER(O5075),ISNUMBER(P5075)),IF(Q5074=0,1,0),0)</f>
        <v>1</v>
      </c>
      <c r="S5075" s="56" t="n">
        <f aca="false">R5075*(B5075&gt;=Train_Start)*(B5075&lt;=Train_End)</f>
        <v>0</v>
      </c>
      <c r="T5075" s="84" t="n">
        <f aca="false">IF(AND(ISNUMBER(O5075),ISNUMBER(P5075)),Coef_A+Coef_B1*O5075+Coef_B2*P5075,"")</f>
        <v>25.4870984373468</v>
      </c>
      <c r="U5075" s="84" t="n">
        <f aca="false">IF(AND(R5075=1,ISNUMBER(T5075)),E5075-T5075,"")</f>
        <v>0.412901562653154</v>
      </c>
      <c r="V5075" s="84" t="n">
        <f aca="false">IF(ISNUMBER(T5075),T5075,-99)</f>
        <v>25.4870984373468</v>
      </c>
      <c r="W5075" s="84" t="n">
        <f aca="false">IF(ISNUMBER(U5075),ABS(U5075),"")</f>
        <v>0.412901562653154</v>
      </c>
    </row>
    <row r="5076" customFormat="false" ht="15" hidden="false" customHeight="false" outlineLevel="0" collapsed="false">
      <c r="A5076" s="57" t="n">
        <v>41055</v>
      </c>
      <c r="B5076" s="56" t="n">
        <v>2012</v>
      </c>
      <c r="C5076" s="56" t="n">
        <v>5</v>
      </c>
      <c r="D5076" s="56" t="n">
        <v>26</v>
      </c>
      <c r="E5076" s="56" t="n">
        <v>27.6</v>
      </c>
      <c r="F5076" s="56" t="n">
        <v>0</v>
      </c>
      <c r="G5076" s="56" t="n">
        <v>14.3</v>
      </c>
      <c r="H5076" s="56" t="n">
        <v>0</v>
      </c>
      <c r="I5076" s="56" t="n">
        <v>20.1</v>
      </c>
      <c r="J5076" s="56" t="n">
        <v>0</v>
      </c>
      <c r="K5076" s="56" t="n">
        <v>1020.1</v>
      </c>
      <c r="L5076" s="56" t="n">
        <v>0</v>
      </c>
      <c r="M5076" s="56" t="n">
        <v>53</v>
      </c>
      <c r="N5076" s="56" t="n">
        <v>14.3</v>
      </c>
      <c r="O5076" s="56" t="n">
        <f aca="false">IF(D5076=1,"",E5075)</f>
        <v>25.9</v>
      </c>
      <c r="P5076" s="56" t="n">
        <f aca="false">IF(OR(D5076=1,K5075=""),"",K5075)</f>
        <v>1023.2</v>
      </c>
      <c r="Q5076" s="56" t="n">
        <f aca="false">IF(OR(F5076&lt;&gt;0,AND(I5076&lt;&gt;"",E5076&lt;I5076)),1,0)</f>
        <v>0</v>
      </c>
      <c r="R5076" s="56" t="n">
        <f aca="false">IF(AND(D5076&gt;1,Q5076=0,ISNUMBER(O5076),ISNUMBER(P5076)),IF(Q5075=0,1,0),0)</f>
        <v>1</v>
      </c>
      <c r="S5076" s="56" t="n">
        <f aca="false">R5076*(B5076&gt;=Train_Start)*(B5076&lt;=Train_End)</f>
        <v>0</v>
      </c>
      <c r="T5076" s="84" t="n">
        <f aca="false">IF(AND(ISNUMBER(O5076),ISNUMBER(P5076)),Coef_A+Coef_B1*O5076+Coef_B2*P5076,"")</f>
        <v>25.4055367112985</v>
      </c>
      <c r="U5076" s="84" t="n">
        <f aca="false">IF(AND(R5076=1,ISNUMBER(T5076)),E5076-T5076,"")</f>
        <v>2.19446328870153</v>
      </c>
      <c r="V5076" s="84" t="n">
        <f aca="false">IF(ISNUMBER(T5076),T5076,-99)</f>
        <v>25.4055367112985</v>
      </c>
      <c r="W5076" s="84" t="n">
        <f aca="false">IF(ISNUMBER(U5076),ABS(U5076),"")</f>
        <v>2.19446328870153</v>
      </c>
    </row>
    <row r="5077" customFormat="false" ht="15" hidden="false" customHeight="false" outlineLevel="0" collapsed="false">
      <c r="A5077" s="57" t="n">
        <v>41056</v>
      </c>
      <c r="B5077" s="56" t="n">
        <v>2012</v>
      </c>
      <c r="C5077" s="56" t="n">
        <v>5</v>
      </c>
      <c r="D5077" s="56" t="n">
        <v>27</v>
      </c>
      <c r="E5077" s="56" t="n">
        <v>26.3</v>
      </c>
      <c r="F5077" s="56" t="n">
        <v>0</v>
      </c>
      <c r="G5077" s="56" t="n">
        <v>13.8</v>
      </c>
      <c r="H5077" s="56" t="n">
        <v>0</v>
      </c>
      <c r="I5077" s="56" t="n">
        <v>20.7</v>
      </c>
      <c r="J5077" s="56" t="n">
        <v>0</v>
      </c>
      <c r="K5077" s="56" t="n">
        <v>1018.4</v>
      </c>
      <c r="L5077" s="56" t="n">
        <v>0</v>
      </c>
      <c r="M5077" s="56" t="n">
        <v>51</v>
      </c>
      <c r="N5077" s="56" t="n">
        <v>14.1</v>
      </c>
      <c r="O5077" s="56" t="n">
        <f aca="false">IF(D5077=1,"",E5076)</f>
        <v>27.6</v>
      </c>
      <c r="P5077" s="56" t="n">
        <f aca="false">IF(OR(D5077=1,K5076=""),"",K5076)</f>
        <v>1020.1</v>
      </c>
      <c r="Q5077" s="56" t="n">
        <f aca="false">IF(OR(F5077&lt;&gt;0,AND(I5077&lt;&gt;"",E5077&lt;I5077)),1,0)</f>
        <v>0</v>
      </c>
      <c r="R5077" s="56" t="n">
        <f aca="false">IF(AND(D5077&gt;1,Q5077=0,ISNUMBER(O5077),ISNUMBER(P5077)),IF(Q5076=0,1,0),0)</f>
        <v>1</v>
      </c>
      <c r="S5077" s="56" t="n">
        <f aca="false">R5077*(B5077&gt;=Train_Start)*(B5077&lt;=Train_End)</f>
        <v>0</v>
      </c>
      <c r="T5077" s="84" t="n">
        <f aca="false">IF(AND(ISNUMBER(O5077),ISNUMBER(P5077)),Coef_A+Coef_B1*O5077+Coef_B2*P5077,"")</f>
        <v>26.7011666661056</v>
      </c>
      <c r="U5077" s="84" t="n">
        <f aca="false">IF(AND(R5077=1,ISNUMBER(T5077)),E5077-T5077,"")</f>
        <v>-0.401166666105627</v>
      </c>
      <c r="V5077" s="84" t="n">
        <f aca="false">IF(ISNUMBER(T5077),T5077,-99)</f>
        <v>26.7011666661056</v>
      </c>
      <c r="W5077" s="84" t="n">
        <f aca="false">IF(ISNUMBER(U5077),ABS(U5077),"")</f>
        <v>0.401166666105627</v>
      </c>
    </row>
    <row r="5078" customFormat="false" ht="15" hidden="false" customHeight="false" outlineLevel="0" collapsed="false">
      <c r="A5078" s="57" t="n">
        <v>41057</v>
      </c>
      <c r="B5078" s="56" t="n">
        <v>2012</v>
      </c>
      <c r="C5078" s="56" t="n">
        <v>5</v>
      </c>
      <c r="D5078" s="56" t="n">
        <v>28</v>
      </c>
      <c r="E5078" s="56" t="n">
        <v>23.8</v>
      </c>
      <c r="F5078" s="56" t="n">
        <v>0</v>
      </c>
      <c r="G5078" s="56" t="n">
        <v>13.6</v>
      </c>
      <c r="H5078" s="56" t="n">
        <v>0</v>
      </c>
      <c r="I5078" s="56" t="n">
        <v>20</v>
      </c>
      <c r="J5078" s="56" t="n">
        <v>0</v>
      </c>
      <c r="K5078" s="56" t="n">
        <v>1017.8</v>
      </c>
      <c r="L5078" s="56" t="n">
        <v>0</v>
      </c>
      <c r="M5078" s="56" t="n">
        <v>58</v>
      </c>
      <c r="N5078" s="56" t="n">
        <v>11.9</v>
      </c>
      <c r="O5078" s="56" t="n">
        <f aca="false">IF(D5078=1,"",E5077)</f>
        <v>26.3</v>
      </c>
      <c r="P5078" s="56" t="n">
        <f aca="false">IF(OR(D5078=1,K5077=""),"",K5077)</f>
        <v>1018.4</v>
      </c>
      <c r="Q5078" s="56" t="n">
        <f aca="false">IF(OR(F5078&lt;&gt;0,AND(I5078&lt;&gt;"",E5078&lt;I5078)),1,0)</f>
        <v>0</v>
      </c>
      <c r="R5078" s="56" t="n">
        <f aca="false">IF(AND(D5078&gt;1,Q5078=0,ISNUMBER(O5078),ISNUMBER(P5078)),IF(Q5077=0,1,0),0)</f>
        <v>1</v>
      </c>
      <c r="S5078" s="56" t="n">
        <f aca="false">R5078*(B5078&gt;=Train_Start)*(B5078&lt;=Train_End)</f>
        <v>0</v>
      </c>
      <c r="T5078" s="84" t="n">
        <f aca="false">IF(AND(ISNUMBER(O5078),ISNUMBER(P5078)),Coef_A+Coef_B1*O5078+Coef_B2*P5078,"")</f>
        <v>25.5826968942724</v>
      </c>
      <c r="U5078" s="84" t="n">
        <f aca="false">IF(AND(R5078=1,ISNUMBER(T5078)),E5078-T5078,"")</f>
        <v>-1.78269689427239</v>
      </c>
      <c r="V5078" s="84" t="n">
        <f aca="false">IF(ISNUMBER(T5078),T5078,-99)</f>
        <v>25.5826968942724</v>
      </c>
      <c r="W5078" s="84" t="n">
        <f aca="false">IF(ISNUMBER(U5078),ABS(U5078),"")</f>
        <v>1.78269689427239</v>
      </c>
    </row>
    <row r="5079" customFormat="false" ht="15" hidden="false" customHeight="false" outlineLevel="0" collapsed="false">
      <c r="A5079" s="57" t="n">
        <v>41058</v>
      </c>
      <c r="B5079" s="56" t="n">
        <v>2012</v>
      </c>
      <c r="C5079" s="56" t="n">
        <v>5</v>
      </c>
      <c r="D5079" s="56" t="n">
        <v>29</v>
      </c>
      <c r="E5079" s="56" t="n">
        <v>25.4</v>
      </c>
      <c r="F5079" s="56" t="n">
        <v>0</v>
      </c>
      <c r="G5079" s="56" t="n">
        <v>14.4</v>
      </c>
      <c r="H5079" s="56" t="n">
        <v>0</v>
      </c>
      <c r="I5079" s="56" t="n">
        <v>19.1</v>
      </c>
      <c r="J5079" s="56" t="n">
        <v>0</v>
      </c>
      <c r="K5079" s="56" t="n">
        <v>1017.4</v>
      </c>
      <c r="L5079" s="56" t="n">
        <v>0</v>
      </c>
      <c r="M5079" s="56" t="n">
        <v>70</v>
      </c>
      <c r="N5079" s="56" t="n">
        <v>8.9</v>
      </c>
      <c r="O5079" s="56" t="n">
        <f aca="false">IF(D5079=1,"",E5078)</f>
        <v>23.8</v>
      </c>
      <c r="P5079" s="56" t="n">
        <f aca="false">IF(OR(D5079=1,K5078=""),"",K5078)</f>
        <v>1017.8</v>
      </c>
      <c r="Q5079" s="56" t="n">
        <f aca="false">IF(OR(F5079&lt;&gt;0,AND(I5079&lt;&gt;"",E5079&lt;I5079)),1,0)</f>
        <v>0</v>
      </c>
      <c r="R5079" s="56" t="n">
        <f aca="false">IF(AND(D5079&gt;1,Q5079=0,ISNUMBER(O5079),ISNUMBER(P5079)),IF(Q5078=0,1,0),0)</f>
        <v>1</v>
      </c>
      <c r="S5079" s="56" t="n">
        <f aca="false">R5079*(B5079&gt;=Train_Start)*(B5079&lt;=Train_End)</f>
        <v>0</v>
      </c>
      <c r="T5079" s="84" t="n">
        <f aca="false">IF(AND(ISNUMBER(O5079),ISNUMBER(P5079)),Coef_A+Coef_B1*O5079+Coef_B2*P5079,"")</f>
        <v>23.5155269748854</v>
      </c>
      <c r="U5079" s="84" t="n">
        <f aca="false">IF(AND(R5079=1,ISNUMBER(T5079)),E5079-T5079,"")</f>
        <v>1.88447302511465</v>
      </c>
      <c r="V5079" s="84" t="n">
        <f aca="false">IF(ISNUMBER(T5079),T5079,-99)</f>
        <v>23.5155269748854</v>
      </c>
      <c r="W5079" s="84" t="n">
        <f aca="false">IF(ISNUMBER(U5079),ABS(U5079),"")</f>
        <v>1.88447302511465</v>
      </c>
    </row>
    <row r="5080" customFormat="false" ht="15" hidden="false" customHeight="false" outlineLevel="0" collapsed="false">
      <c r="A5080" s="57" t="n">
        <v>41059</v>
      </c>
      <c r="B5080" s="56" t="n">
        <v>2012</v>
      </c>
      <c r="C5080" s="56" t="n">
        <v>5</v>
      </c>
      <c r="D5080" s="56" t="n">
        <v>30</v>
      </c>
      <c r="E5080" s="56" t="n">
        <v>20.8</v>
      </c>
      <c r="F5080" s="56" t="n">
        <v>0</v>
      </c>
      <c r="G5080" s="56" t="n">
        <v>12.8</v>
      </c>
      <c r="H5080" s="56" t="n">
        <v>0</v>
      </c>
      <c r="I5080" s="56" t="n">
        <v>19.1</v>
      </c>
      <c r="J5080" s="56" t="n">
        <v>0</v>
      </c>
      <c r="K5080" s="56" t="n">
        <v>1017.9</v>
      </c>
      <c r="L5080" s="56" t="n">
        <v>0</v>
      </c>
      <c r="M5080" s="56" t="n">
        <v>71</v>
      </c>
      <c r="N5080" s="56" t="n">
        <v>9.3</v>
      </c>
      <c r="O5080" s="56" t="n">
        <f aca="false">IF(D5080=1,"",E5079)</f>
        <v>25.4</v>
      </c>
      <c r="P5080" s="56" t="n">
        <f aca="false">IF(OR(D5080=1,K5079=""),"",K5079)</f>
        <v>1017.4</v>
      </c>
      <c r="Q5080" s="56" t="n">
        <f aca="false">IF(OR(F5080&lt;&gt;0,AND(I5080&lt;&gt;"",E5080&lt;I5080)),1,0)</f>
        <v>0</v>
      </c>
      <c r="R5080" s="56" t="n">
        <f aca="false">IF(AND(D5080&gt;1,Q5080=0,ISNUMBER(O5080),ISNUMBER(P5080)),IF(Q5079=0,1,0),0)</f>
        <v>1</v>
      </c>
      <c r="S5080" s="56" t="n">
        <f aca="false">R5080*(B5080&gt;=Train_Start)*(B5080&lt;=Train_End)</f>
        <v>0</v>
      </c>
      <c r="T5080" s="84" t="n">
        <f aca="false">IF(AND(ISNUMBER(O5080),ISNUMBER(P5080)),Coef_A+Coef_B1*O5080+Coef_B2*P5080,"")</f>
        <v>24.8139217259</v>
      </c>
      <c r="U5080" s="84" t="n">
        <f aca="false">IF(AND(R5080=1,ISNUMBER(T5080)),E5080-T5080,"")</f>
        <v>-4.01392172590001</v>
      </c>
      <c r="V5080" s="84" t="n">
        <f aca="false">IF(ISNUMBER(T5080),T5080,-99)</f>
        <v>24.8139217259</v>
      </c>
      <c r="W5080" s="84" t="n">
        <f aca="false">IF(ISNUMBER(U5080),ABS(U5080),"")</f>
        <v>4.01392172590001</v>
      </c>
    </row>
    <row r="5081" customFormat="false" ht="15" hidden="false" customHeight="false" outlineLevel="0" collapsed="false">
      <c r="A5081" s="57" t="n">
        <v>41060</v>
      </c>
      <c r="B5081" s="56" t="n">
        <v>2012</v>
      </c>
      <c r="C5081" s="56" t="n">
        <v>5</v>
      </c>
      <c r="D5081" s="56" t="n">
        <v>31</v>
      </c>
      <c r="E5081" s="56" t="n">
        <v>21.4</v>
      </c>
      <c r="F5081" s="56" t="n">
        <v>0</v>
      </c>
      <c r="G5081" s="56" t="n">
        <v>12.8</v>
      </c>
      <c r="H5081" s="56" t="n">
        <v>0</v>
      </c>
      <c r="I5081" s="56" t="n">
        <v>16.8</v>
      </c>
      <c r="J5081" s="56" t="n">
        <v>0</v>
      </c>
      <c r="K5081" s="56" t="n">
        <v>1018.8</v>
      </c>
      <c r="L5081" s="56" t="n">
        <v>0</v>
      </c>
      <c r="M5081" s="56" t="n">
        <v>75</v>
      </c>
      <c r="N5081" s="56" t="n">
        <v>0.5</v>
      </c>
      <c r="O5081" s="56" t="n">
        <f aca="false">IF(D5081=1,"",E5080)</f>
        <v>20.8</v>
      </c>
      <c r="P5081" s="56" t="n">
        <f aca="false">IF(OR(D5081=1,K5080=""),"",K5080)</f>
        <v>1017.9</v>
      </c>
      <c r="Q5081" s="56" t="n">
        <f aca="false">IF(OR(F5081&lt;&gt;0,AND(I5081&lt;&gt;"",E5081&lt;I5081)),1,0)</f>
        <v>0</v>
      </c>
      <c r="R5081" s="56" t="n">
        <f aca="false">IF(AND(D5081&gt;1,Q5081=0,ISNUMBER(O5081),ISNUMBER(P5081)),IF(Q5080=0,1,0),0)</f>
        <v>1</v>
      </c>
      <c r="S5081" s="56" t="n">
        <f aca="false">R5081*(B5081&gt;=Train_Start)*(B5081&lt;=Train_End)</f>
        <v>0</v>
      </c>
      <c r="T5081" s="84" t="n">
        <f aca="false">IF(AND(ISNUMBER(O5081),ISNUMBER(P5081)),Coef_A+Coef_B1*O5081+Coef_B2*P5081,"")</f>
        <v>21.0606463852208</v>
      </c>
      <c r="U5081" s="84" t="n">
        <f aca="false">IF(AND(R5081=1,ISNUMBER(T5081)),E5081-T5081,"")</f>
        <v>0.33935361477922</v>
      </c>
      <c r="V5081" s="84" t="n">
        <f aca="false">IF(ISNUMBER(T5081),T5081,-99)</f>
        <v>21.0606463852208</v>
      </c>
      <c r="W5081" s="84" t="n">
        <f aca="false">IF(ISNUMBER(U5081),ABS(U5081),"")</f>
        <v>0.33935361477922</v>
      </c>
    </row>
    <row r="5082" customFormat="false" ht="15" hidden="false" customHeight="false" outlineLevel="0" collapsed="false">
      <c r="A5082" s="57" t="n">
        <v>41061</v>
      </c>
      <c r="B5082" s="56" t="n">
        <v>2012</v>
      </c>
      <c r="C5082" s="56" t="n">
        <v>6</v>
      </c>
      <c r="D5082" s="56" t="n">
        <v>32</v>
      </c>
      <c r="E5082" s="56" t="n">
        <v>19.5</v>
      </c>
      <c r="F5082" s="56" t="n">
        <v>0</v>
      </c>
      <c r="G5082" s="56" t="n">
        <v>12.8</v>
      </c>
      <c r="H5082" s="56" t="n">
        <v>0</v>
      </c>
      <c r="I5082" s="56" t="n">
        <v>17.1</v>
      </c>
      <c r="J5082" s="56" t="n">
        <v>0</v>
      </c>
      <c r="K5082" s="56" t="n">
        <v>1019.1</v>
      </c>
      <c r="L5082" s="56" t="n">
        <v>0</v>
      </c>
      <c r="M5082" s="56" t="n">
        <v>75</v>
      </c>
      <c r="N5082" s="56" t="n">
        <v>1.4</v>
      </c>
      <c r="O5082" s="56" t="n">
        <f aca="false">IF(D5082=1,"",E5081)</f>
        <v>21.4</v>
      </c>
      <c r="P5082" s="56" t="n">
        <f aca="false">IF(OR(D5082=1,K5081=""),"",K5081)</f>
        <v>1018.8</v>
      </c>
      <c r="Q5082" s="56" t="n">
        <f aca="false">IF(OR(F5082&lt;&gt;0,AND(I5082&lt;&gt;"",E5082&lt;I5082)),1,0)</f>
        <v>0</v>
      </c>
      <c r="R5082" s="56" t="n">
        <f aca="false">IF(AND(D5082&gt;1,Q5082=0,ISNUMBER(O5082),ISNUMBER(P5082)),IF(Q5081=0,1,0),0)</f>
        <v>1</v>
      </c>
      <c r="S5082" s="56" t="n">
        <f aca="false">R5082*(B5082&gt;=Train_Start)*(B5082&lt;=Train_End)</f>
        <v>0</v>
      </c>
      <c r="T5082" s="84" t="n">
        <f aca="false">IF(AND(ISNUMBER(O5082),ISNUMBER(P5082)),Coef_A+Coef_B1*O5082+Coef_B2*P5082,"")</f>
        <v>21.580482806217</v>
      </c>
      <c r="U5082" s="84" t="n">
        <f aca="false">IF(AND(R5082=1,ISNUMBER(T5082)),E5082-T5082,"")</f>
        <v>-2.08048280621696</v>
      </c>
      <c r="V5082" s="84" t="n">
        <f aca="false">IF(ISNUMBER(T5082),T5082,-99)</f>
        <v>21.580482806217</v>
      </c>
      <c r="W5082" s="84" t="n">
        <f aca="false">IF(ISNUMBER(U5082),ABS(U5082),"")</f>
        <v>2.08048280621696</v>
      </c>
    </row>
    <row r="5083" customFormat="false" ht="15" hidden="false" customHeight="false" outlineLevel="0" collapsed="false">
      <c r="A5083" s="57" t="n">
        <v>41062</v>
      </c>
      <c r="B5083" s="56" t="n">
        <v>2012</v>
      </c>
      <c r="C5083" s="56" t="n">
        <v>6</v>
      </c>
      <c r="D5083" s="56" t="n">
        <v>33</v>
      </c>
      <c r="E5083" s="56" t="n">
        <v>12.7</v>
      </c>
      <c r="F5083" s="56" t="n">
        <v>1</v>
      </c>
      <c r="G5083" s="56" t="n">
        <v>12.4</v>
      </c>
      <c r="H5083" s="56" t="n">
        <v>0</v>
      </c>
      <c r="I5083" s="56" t="n">
        <v>16</v>
      </c>
      <c r="J5083" s="56" t="n">
        <v>1</v>
      </c>
      <c r="K5083" s="56" t="n">
        <v>1014.4</v>
      </c>
      <c r="L5083" s="56" t="n">
        <v>0</v>
      </c>
      <c r="M5083" s="56" t="n">
        <v>83</v>
      </c>
      <c r="N5083" s="56" t="n">
        <v>1.6</v>
      </c>
      <c r="O5083" s="56" t="n">
        <f aca="false">IF(D5083=1,"",E5082)</f>
        <v>19.5</v>
      </c>
      <c r="P5083" s="56" t="n">
        <f aca="false">IF(OR(D5083=1,K5082=""),"",K5082)</f>
        <v>1019.1</v>
      </c>
      <c r="Q5083" s="56" t="n">
        <f aca="false">IF(OR(F5083&lt;&gt;0,AND(I5083&lt;&gt;"",E5083&lt;I5083)),1,0)</f>
        <v>1</v>
      </c>
      <c r="R5083" s="56" t="n">
        <f aca="false">IF(AND(D5083&gt;1,Q5083=0,ISNUMBER(O5083),ISNUMBER(P5083)),IF(Q5082=0,1,0),0)</f>
        <v>0</v>
      </c>
      <c r="S5083" s="56" t="n">
        <f aca="false">R5083*(B5083&gt;=Train_Start)*(B5083&lt;=Train_End)</f>
        <v>0</v>
      </c>
      <c r="T5083" s="84" t="n">
        <f aca="false">IF(AND(ISNUMBER(O5083),ISNUMBER(P5083)),Coef_A+Coef_B1*O5083+Coef_B2*P5083,"")</f>
        <v>20.0331493078261</v>
      </c>
      <c r="U5083" s="84" t="str">
        <f aca="false">IF(AND(R5083=1,ISNUMBER(T5083)),E5083-T5083,"")</f>
        <v/>
      </c>
      <c r="V5083" s="84" t="n">
        <f aca="false">IF(ISNUMBER(T5083),T5083,-99)</f>
        <v>20.0331493078261</v>
      </c>
      <c r="W5083" s="84" t="str">
        <f aca="false">IF(ISNUMBER(U5083),ABS(U5083),"")</f>
        <v/>
      </c>
    </row>
    <row r="5084" customFormat="false" ht="15" hidden="false" customHeight="false" outlineLevel="0" collapsed="false">
      <c r="A5084" s="57" t="n">
        <v>41063</v>
      </c>
      <c r="B5084" s="56" t="n">
        <v>2012</v>
      </c>
      <c r="C5084" s="56" t="n">
        <v>6</v>
      </c>
      <c r="D5084" s="56" t="n">
        <v>34</v>
      </c>
      <c r="E5084" s="56" t="n">
        <v>14.9</v>
      </c>
      <c r="F5084" s="56" t="n">
        <v>0</v>
      </c>
      <c r="G5084" s="56" t="n">
        <v>10.9</v>
      </c>
      <c r="H5084" s="56" t="n">
        <v>0</v>
      </c>
      <c r="I5084" s="56" t="n">
        <v>11.8</v>
      </c>
      <c r="J5084" s="56" t="n">
        <v>0</v>
      </c>
      <c r="K5084" s="56" t="n">
        <v>1007.2</v>
      </c>
      <c r="L5084" s="56" t="n">
        <v>0</v>
      </c>
      <c r="M5084" s="56" t="n">
        <v>94</v>
      </c>
      <c r="N5084" s="56" t="n">
        <v>0</v>
      </c>
      <c r="O5084" s="56" t="n">
        <f aca="false">IF(D5084=1,"",E5083)</f>
        <v>12.7</v>
      </c>
      <c r="P5084" s="56" t="n">
        <f aca="false">IF(OR(D5084=1,K5083=""),"",K5083)</f>
        <v>1014.4</v>
      </c>
      <c r="Q5084" s="56" t="n">
        <f aca="false">IF(OR(F5084&lt;&gt;0,AND(I5084&lt;&gt;"",E5084&lt;I5084)),1,0)</f>
        <v>0</v>
      </c>
      <c r="R5084" s="56" t="n">
        <f aca="false">IF(AND(D5084&gt;1,Q5084=0,ISNUMBER(O5084),ISNUMBER(P5084)),IF(Q5083=0,1,0),0)</f>
        <v>0</v>
      </c>
      <c r="S5084" s="56" t="n">
        <f aca="false">R5084*(B5084&gt;=Train_Start)*(B5084&lt;=Train_End)</f>
        <v>0</v>
      </c>
      <c r="T5084" s="84" t="n">
        <f aca="false">IF(AND(ISNUMBER(O5084),ISNUMBER(P5084)),Coef_A+Coef_B1*O5084+Coef_B2*P5084,"")</f>
        <v>14.3142042903563</v>
      </c>
      <c r="U5084" s="84" t="str">
        <f aca="false">IF(AND(R5084=1,ISNUMBER(T5084)),E5084-T5084,"")</f>
        <v/>
      </c>
      <c r="V5084" s="84" t="n">
        <f aca="false">IF(ISNUMBER(T5084),T5084,-99)</f>
        <v>14.3142042903563</v>
      </c>
      <c r="W5084" s="84" t="str">
        <f aca="false">IF(ISNUMBER(U5084),ABS(U5084),"")</f>
        <v/>
      </c>
    </row>
    <row r="5085" customFormat="false" ht="15" hidden="false" customHeight="false" outlineLevel="0" collapsed="false">
      <c r="A5085" s="57" t="n">
        <v>41064</v>
      </c>
      <c r="B5085" s="56" t="n">
        <v>2012</v>
      </c>
      <c r="C5085" s="56" t="n">
        <v>6</v>
      </c>
      <c r="D5085" s="56" t="n">
        <v>35</v>
      </c>
      <c r="E5085" s="56" t="n">
        <v>16.2</v>
      </c>
      <c r="F5085" s="56" t="n">
        <v>0</v>
      </c>
      <c r="G5085" s="56" t="n">
        <v>7.3</v>
      </c>
      <c r="H5085" s="56" t="n">
        <v>0</v>
      </c>
      <c r="I5085" s="56" t="n">
        <v>11.1</v>
      </c>
      <c r="J5085" s="56" t="n">
        <v>0</v>
      </c>
      <c r="K5085" s="56" t="n">
        <v>1014.5</v>
      </c>
      <c r="L5085" s="56" t="n">
        <v>0</v>
      </c>
      <c r="M5085" s="56" t="n">
        <v>75</v>
      </c>
      <c r="N5085" s="56" t="n">
        <v>3.1</v>
      </c>
      <c r="O5085" s="56" t="n">
        <f aca="false">IF(D5085=1,"",E5084)</f>
        <v>14.9</v>
      </c>
      <c r="P5085" s="56" t="n">
        <f aca="false">IF(OR(D5085=1,K5084=""),"",K5084)</f>
        <v>1007.2</v>
      </c>
      <c r="Q5085" s="56" t="n">
        <f aca="false">IF(OR(F5085&lt;&gt;0,AND(I5085&lt;&gt;"",E5085&lt;I5085)),1,0)</f>
        <v>0</v>
      </c>
      <c r="R5085" s="56" t="n">
        <f aca="false">IF(AND(D5085&gt;1,Q5085=0,ISNUMBER(O5085),ISNUMBER(P5085)),IF(Q5084=0,1,0),0)</f>
        <v>1</v>
      </c>
      <c r="S5085" s="56" t="n">
        <f aca="false">R5085*(B5085&gt;=Train_Start)*(B5085&lt;=Train_End)</f>
        <v>0</v>
      </c>
      <c r="T5085" s="84" t="n">
        <f aca="false">IF(AND(ISNUMBER(O5085),ISNUMBER(P5085)),Coef_A+Coef_B1*O5085+Coef_B2*P5085,"")</f>
        <v>15.8908872736854</v>
      </c>
      <c r="U5085" s="84" t="n">
        <f aca="false">IF(AND(R5085=1,ISNUMBER(T5085)),E5085-T5085,"")</f>
        <v>0.309112726314584</v>
      </c>
      <c r="V5085" s="84" t="n">
        <f aca="false">IF(ISNUMBER(T5085),T5085,-99)</f>
        <v>15.8908872736854</v>
      </c>
      <c r="W5085" s="84" t="n">
        <f aca="false">IF(ISNUMBER(U5085),ABS(U5085),"")</f>
        <v>0.309112726314584</v>
      </c>
    </row>
    <row r="5086" customFormat="false" ht="15" hidden="false" customHeight="false" outlineLevel="0" collapsed="false">
      <c r="A5086" s="57" t="n">
        <v>41065</v>
      </c>
      <c r="B5086" s="56" t="n">
        <v>2012</v>
      </c>
      <c r="C5086" s="56" t="n">
        <v>6</v>
      </c>
      <c r="D5086" s="56" t="n">
        <v>36</v>
      </c>
      <c r="E5086" s="56" t="n">
        <v>18.8</v>
      </c>
      <c r="F5086" s="56" t="n">
        <v>0</v>
      </c>
      <c r="G5086" s="56" t="n">
        <v>7</v>
      </c>
      <c r="H5086" s="56" t="n">
        <v>0</v>
      </c>
      <c r="I5086" s="56" t="n">
        <v>11.6</v>
      </c>
      <c r="J5086" s="56" t="n">
        <v>0</v>
      </c>
      <c r="K5086" s="56" t="n">
        <v>1013.9</v>
      </c>
      <c r="L5086" s="56" t="n">
        <v>0</v>
      </c>
      <c r="M5086" s="56" t="n">
        <v>82</v>
      </c>
      <c r="N5086" s="56" t="n">
        <v>0.1</v>
      </c>
      <c r="O5086" s="56" t="n">
        <f aca="false">IF(D5086=1,"",E5085)</f>
        <v>16.2</v>
      </c>
      <c r="P5086" s="56" t="n">
        <f aca="false">IF(OR(D5086=1,K5085=""),"",K5085)</f>
        <v>1014.5</v>
      </c>
      <c r="Q5086" s="56" t="n">
        <f aca="false">IF(OR(F5086&lt;&gt;0,AND(I5086&lt;&gt;"",E5086&lt;I5086)),1,0)</f>
        <v>0</v>
      </c>
      <c r="R5086" s="56" t="n">
        <f aca="false">IF(AND(D5086&gt;1,Q5086=0,ISNUMBER(O5086),ISNUMBER(P5086)),IF(Q5085=0,1,0),0)</f>
        <v>1</v>
      </c>
      <c r="S5086" s="56" t="n">
        <f aca="false">R5086*(B5086&gt;=Train_Start)*(B5086&lt;=Train_End)</f>
        <v>0</v>
      </c>
      <c r="T5086" s="84" t="n">
        <f aca="false">IF(AND(ISNUMBER(O5086),ISNUMBER(P5086)),Coef_A+Coef_B1*O5086+Coef_B2*P5086,"")</f>
        <v>17.185028455469</v>
      </c>
      <c r="U5086" s="84" t="n">
        <f aca="false">IF(AND(R5086=1,ISNUMBER(T5086)),E5086-T5086,"")</f>
        <v>1.61497154453101</v>
      </c>
      <c r="V5086" s="84" t="n">
        <f aca="false">IF(ISNUMBER(T5086),T5086,-99)</f>
        <v>17.185028455469</v>
      </c>
      <c r="W5086" s="84" t="n">
        <f aca="false">IF(ISNUMBER(U5086),ABS(U5086),"")</f>
        <v>1.61497154453101</v>
      </c>
    </row>
    <row r="5087" customFormat="false" ht="15" hidden="false" customHeight="false" outlineLevel="0" collapsed="false">
      <c r="A5087" s="57" t="n">
        <v>41066</v>
      </c>
      <c r="B5087" s="56" t="n">
        <v>2012</v>
      </c>
      <c r="C5087" s="56" t="n">
        <v>6</v>
      </c>
      <c r="D5087" s="56" t="n">
        <v>37</v>
      </c>
      <c r="E5087" s="56" t="n">
        <v>17.8</v>
      </c>
      <c r="F5087" s="56" t="n">
        <v>0</v>
      </c>
      <c r="G5087" s="56" t="n">
        <v>11.4</v>
      </c>
      <c r="H5087" s="56" t="n">
        <v>0</v>
      </c>
      <c r="I5087" s="56" t="n">
        <v>15.1</v>
      </c>
      <c r="J5087" s="56" t="n">
        <v>0</v>
      </c>
      <c r="K5087" s="56" t="n">
        <v>1002.4</v>
      </c>
      <c r="L5087" s="56" t="n">
        <v>0</v>
      </c>
      <c r="M5087" s="56" t="n">
        <v>80</v>
      </c>
      <c r="N5087" s="56" t="n">
        <v>5.4</v>
      </c>
      <c r="O5087" s="56" t="n">
        <f aca="false">IF(D5087=1,"",E5086)</f>
        <v>18.8</v>
      </c>
      <c r="P5087" s="56" t="n">
        <f aca="false">IF(OR(D5087=1,K5086=""),"",K5086)</f>
        <v>1013.9</v>
      </c>
      <c r="Q5087" s="56" t="n">
        <f aca="false">IF(OR(F5087&lt;&gt;0,AND(I5087&lt;&gt;"",E5087&lt;I5087)),1,0)</f>
        <v>0</v>
      </c>
      <c r="R5087" s="56" t="n">
        <f aca="false">IF(AND(D5087&gt;1,Q5087=0,ISNUMBER(O5087),ISNUMBER(P5087)),IF(Q5086=0,1,0),0)</f>
        <v>1</v>
      </c>
      <c r="S5087" s="56" t="n">
        <f aca="false">R5087*(B5087&gt;=Train_Start)*(B5087&lt;=Train_End)</f>
        <v>0</v>
      </c>
      <c r="T5087" s="84" t="n">
        <f aca="false">IF(AND(ISNUMBER(O5087),ISNUMBER(P5087)),Coef_A+Coef_B1*O5087+Coef_B2*P5087,"")</f>
        <v>19.2964884205995</v>
      </c>
      <c r="U5087" s="84" t="n">
        <f aca="false">IF(AND(R5087=1,ISNUMBER(T5087)),E5087-T5087,"")</f>
        <v>-1.4964884205995</v>
      </c>
      <c r="V5087" s="84" t="n">
        <f aca="false">IF(ISNUMBER(T5087),T5087,-99)</f>
        <v>19.2964884205995</v>
      </c>
      <c r="W5087" s="84" t="n">
        <f aca="false">IF(ISNUMBER(U5087),ABS(U5087),"")</f>
        <v>1.4964884205995</v>
      </c>
    </row>
    <row r="5088" customFormat="false" ht="15" hidden="false" customHeight="false" outlineLevel="0" collapsed="false">
      <c r="A5088" s="57" t="n">
        <v>41067</v>
      </c>
      <c r="B5088" s="56" t="n">
        <v>2012</v>
      </c>
      <c r="C5088" s="56" t="n">
        <v>6</v>
      </c>
      <c r="D5088" s="56" t="n">
        <v>38</v>
      </c>
      <c r="E5088" s="56" t="n">
        <v>16.3</v>
      </c>
      <c r="F5088" s="56" t="n">
        <v>0</v>
      </c>
      <c r="G5088" s="56" t="n">
        <v>12.4</v>
      </c>
      <c r="H5088" s="56" t="n">
        <v>0</v>
      </c>
      <c r="I5088" s="56" t="n">
        <v>15.1</v>
      </c>
      <c r="J5088" s="56" t="n">
        <v>0</v>
      </c>
      <c r="K5088" s="56" t="n">
        <v>997.6</v>
      </c>
      <c r="L5088" s="56" t="n">
        <v>0</v>
      </c>
      <c r="M5088" s="56" t="n">
        <v>85</v>
      </c>
      <c r="N5088" s="56" t="n">
        <v>0.3</v>
      </c>
      <c r="O5088" s="56" t="n">
        <f aca="false">IF(D5088=1,"",E5087)</f>
        <v>17.8</v>
      </c>
      <c r="P5088" s="56" t="n">
        <f aca="false">IF(OR(D5088=1,K5087=""),"",K5087)</f>
        <v>1002.4</v>
      </c>
      <c r="Q5088" s="56" t="n">
        <f aca="false">IF(OR(F5088&lt;&gt;0,AND(I5088&lt;&gt;"",E5088&lt;I5088)),1,0)</f>
        <v>0</v>
      </c>
      <c r="R5088" s="56" t="n">
        <f aca="false">IF(AND(D5088&gt;1,Q5088=0,ISNUMBER(O5088),ISNUMBER(P5088)),IF(Q5087=0,1,0),0)</f>
        <v>1</v>
      </c>
      <c r="S5088" s="56" t="n">
        <f aca="false">R5088*(B5088&gt;=Train_Start)*(B5088&lt;=Train_End)</f>
        <v>0</v>
      </c>
      <c r="T5088" s="84" t="n">
        <f aca="false">IF(AND(ISNUMBER(O5088),ISNUMBER(P5088)),Coef_A+Coef_B1*O5088+Coef_B2*P5088,"")</f>
        <v>18.116395439266</v>
      </c>
      <c r="U5088" s="84" t="n">
        <f aca="false">IF(AND(R5088=1,ISNUMBER(T5088)),E5088-T5088,"")</f>
        <v>-1.81639543926597</v>
      </c>
      <c r="V5088" s="84" t="n">
        <f aca="false">IF(ISNUMBER(T5088),T5088,-99)</f>
        <v>18.116395439266</v>
      </c>
      <c r="W5088" s="84" t="n">
        <f aca="false">IF(ISNUMBER(U5088),ABS(U5088),"")</f>
        <v>1.81639543926597</v>
      </c>
    </row>
    <row r="5089" customFormat="false" ht="15" hidden="false" customHeight="false" outlineLevel="0" collapsed="false">
      <c r="A5089" s="57" t="n">
        <v>41068</v>
      </c>
      <c r="B5089" s="56" t="n">
        <v>2012</v>
      </c>
      <c r="C5089" s="56" t="n">
        <v>6</v>
      </c>
      <c r="D5089" s="56" t="n">
        <v>39</v>
      </c>
      <c r="E5089" s="56" t="n">
        <v>19.5</v>
      </c>
      <c r="F5089" s="56" t="n">
        <v>0</v>
      </c>
      <c r="G5089" s="56" t="n">
        <v>12.2</v>
      </c>
      <c r="H5089" s="56" t="n">
        <v>0</v>
      </c>
      <c r="I5089" s="56" t="n">
        <v>14.3</v>
      </c>
      <c r="J5089" s="56" t="n">
        <v>0</v>
      </c>
      <c r="K5089" s="56" t="n">
        <v>998.5</v>
      </c>
      <c r="L5089" s="56" t="n">
        <v>0</v>
      </c>
      <c r="M5089" s="56" t="n">
        <v>76</v>
      </c>
      <c r="N5089" s="56" t="n">
        <v>1</v>
      </c>
      <c r="O5089" s="56" t="n">
        <f aca="false">IF(D5089=1,"",E5088)</f>
        <v>16.3</v>
      </c>
      <c r="P5089" s="56" t="n">
        <f aca="false">IF(OR(D5089=1,K5088=""),"",K5088)</f>
        <v>997.6</v>
      </c>
      <c r="Q5089" s="56" t="n">
        <f aca="false">IF(OR(F5089&lt;&gt;0,AND(I5089&lt;&gt;"",E5089&lt;I5089)),1,0)</f>
        <v>0</v>
      </c>
      <c r="R5089" s="56" t="n">
        <f aca="false">IF(AND(D5089&gt;1,Q5089=0,ISNUMBER(O5089),ISNUMBER(P5089)),IF(Q5088=0,1,0),0)</f>
        <v>1</v>
      </c>
      <c r="S5089" s="56" t="n">
        <f aca="false">R5089*(B5089&gt;=Train_Start)*(B5089&lt;=Train_End)</f>
        <v>0</v>
      </c>
      <c r="T5089" s="84" t="n">
        <f aca="false">IF(AND(ISNUMBER(O5089),ISNUMBER(P5089)),Coef_A+Coef_B1*O5089+Coef_B2*P5089,"")</f>
        <v>16.7368111554588</v>
      </c>
      <c r="U5089" s="84" t="n">
        <f aca="false">IF(AND(R5089=1,ISNUMBER(T5089)),E5089-T5089,"")</f>
        <v>2.76318884454116</v>
      </c>
      <c r="V5089" s="84" t="n">
        <f aca="false">IF(ISNUMBER(T5089),T5089,-99)</f>
        <v>16.7368111554588</v>
      </c>
      <c r="W5089" s="84" t="n">
        <f aca="false">IF(ISNUMBER(U5089),ABS(U5089),"")</f>
        <v>2.76318884454116</v>
      </c>
    </row>
    <row r="5090" customFormat="false" ht="15" hidden="false" customHeight="false" outlineLevel="0" collapsed="false">
      <c r="A5090" s="57" t="n">
        <v>41069</v>
      </c>
      <c r="B5090" s="56" t="n">
        <v>2012</v>
      </c>
      <c r="C5090" s="56" t="n">
        <v>6</v>
      </c>
      <c r="D5090" s="56" t="n">
        <v>40</v>
      </c>
      <c r="E5090" s="56" t="n">
        <v>17.3</v>
      </c>
      <c r="F5090" s="56" t="n">
        <v>0</v>
      </c>
      <c r="G5090" s="56" t="n">
        <v>10.8</v>
      </c>
      <c r="H5090" s="56" t="n">
        <v>0</v>
      </c>
      <c r="I5090" s="56" t="n">
        <v>15.2</v>
      </c>
      <c r="J5090" s="56" t="n">
        <v>0</v>
      </c>
      <c r="K5090" s="56" t="n">
        <v>1009.8</v>
      </c>
      <c r="L5090" s="56" t="n">
        <v>0</v>
      </c>
      <c r="M5090" s="56" t="n">
        <v>59</v>
      </c>
      <c r="N5090" s="56" t="n">
        <v>7.7</v>
      </c>
      <c r="O5090" s="56" t="n">
        <f aca="false">IF(D5090=1,"",E5089)</f>
        <v>19.5</v>
      </c>
      <c r="P5090" s="56" t="n">
        <f aca="false">IF(OR(D5090=1,K5089=""),"",K5089)</f>
        <v>998.5</v>
      </c>
      <c r="Q5090" s="56" t="n">
        <f aca="false">IF(OR(F5090&lt;&gt;0,AND(I5090&lt;&gt;"",E5090&lt;I5090)),1,0)</f>
        <v>0</v>
      </c>
      <c r="R5090" s="56" t="n">
        <f aca="false">IF(AND(D5090&gt;1,Q5090=0,ISNUMBER(O5090),ISNUMBER(P5090)),IF(Q5089=0,1,0),0)</f>
        <v>1</v>
      </c>
      <c r="S5090" s="56" t="n">
        <f aca="false">R5090*(B5090&gt;=Train_Start)*(B5090&lt;=Train_End)</f>
        <v>0</v>
      </c>
      <c r="T5090" s="84" t="n">
        <f aca="false">IF(AND(ISNUMBER(O5090),ISNUMBER(P5090)),Coef_A+Coef_B1*O5090+Coef_B2*P5090,"")</f>
        <v>19.3869294783659</v>
      </c>
      <c r="U5090" s="84" t="n">
        <f aca="false">IF(AND(R5090=1,ISNUMBER(T5090)),E5090-T5090,"")</f>
        <v>-2.08692947836593</v>
      </c>
      <c r="V5090" s="84" t="n">
        <f aca="false">IF(ISNUMBER(T5090),T5090,-99)</f>
        <v>19.3869294783659</v>
      </c>
      <c r="W5090" s="84" t="n">
        <f aca="false">IF(ISNUMBER(U5090),ABS(U5090),"")</f>
        <v>2.08692947836593</v>
      </c>
    </row>
    <row r="5091" customFormat="false" ht="15" hidden="false" customHeight="false" outlineLevel="0" collapsed="false">
      <c r="A5091" s="57" t="n">
        <v>41070</v>
      </c>
      <c r="B5091" s="56" t="n">
        <v>2012</v>
      </c>
      <c r="C5091" s="56" t="n">
        <v>6</v>
      </c>
      <c r="D5091" s="56" t="n">
        <v>41</v>
      </c>
      <c r="E5091" s="56" t="n">
        <v>13</v>
      </c>
      <c r="F5091" s="56" t="n">
        <v>0</v>
      </c>
      <c r="G5091" s="56" t="n">
        <v>7.9</v>
      </c>
      <c r="H5091" s="56" t="n">
        <v>0</v>
      </c>
      <c r="I5091" s="56" t="n">
        <v>12.6</v>
      </c>
      <c r="J5091" s="56" t="n">
        <v>0</v>
      </c>
      <c r="K5091" s="56" t="n">
        <v>1008.2</v>
      </c>
      <c r="L5091" s="56" t="n">
        <v>0</v>
      </c>
      <c r="M5091" s="56" t="n">
        <v>78</v>
      </c>
      <c r="N5091" s="56" t="n">
        <v>1.8</v>
      </c>
      <c r="O5091" s="56" t="n">
        <f aca="false">IF(D5091=1,"",E5090)</f>
        <v>17.3</v>
      </c>
      <c r="P5091" s="56" t="n">
        <f aca="false">IF(OR(D5091=1,K5090=""),"",K5090)</f>
        <v>1009.8</v>
      </c>
      <c r="Q5091" s="56" t="n">
        <f aca="false">IF(OR(F5091&lt;&gt;0,AND(I5091&lt;&gt;"",E5091&lt;I5091)),1,0)</f>
        <v>0</v>
      </c>
      <c r="R5091" s="56" t="n">
        <f aca="false">IF(AND(D5091&gt;1,Q5091=0,ISNUMBER(O5091),ISNUMBER(P5091)),IF(Q5090=0,1,0),0)</f>
        <v>1</v>
      </c>
      <c r="S5091" s="56" t="n">
        <f aca="false">R5091*(B5091&gt;=Train_Start)*(B5091&lt;=Train_End)</f>
        <v>0</v>
      </c>
      <c r="T5091" s="84" t="n">
        <f aca="false">IF(AND(ISNUMBER(O5091),ISNUMBER(P5091)),Coef_A+Coef_B1*O5091+Coef_B2*P5091,"")</f>
        <v>17.9388630630362</v>
      </c>
      <c r="U5091" s="84" t="n">
        <f aca="false">IF(AND(R5091=1,ISNUMBER(T5091)),E5091-T5091,"")</f>
        <v>-4.93886306303616</v>
      </c>
      <c r="V5091" s="84" t="n">
        <f aca="false">IF(ISNUMBER(T5091),T5091,-99)</f>
        <v>17.9388630630362</v>
      </c>
      <c r="W5091" s="84" t="n">
        <f aca="false">IF(ISNUMBER(U5091),ABS(U5091),"")</f>
        <v>4.93886306303616</v>
      </c>
    </row>
    <row r="5092" customFormat="false" ht="15" hidden="false" customHeight="false" outlineLevel="0" collapsed="false">
      <c r="A5092" s="57" t="n">
        <v>41071</v>
      </c>
      <c r="B5092" s="56" t="n">
        <v>2012</v>
      </c>
      <c r="C5092" s="56" t="n">
        <v>6</v>
      </c>
      <c r="D5092" s="56" t="n">
        <v>42</v>
      </c>
      <c r="E5092" s="56" t="n">
        <v>15.4</v>
      </c>
      <c r="F5092" s="56" t="n">
        <v>0</v>
      </c>
      <c r="G5092" s="56" t="n">
        <v>11.6</v>
      </c>
      <c r="H5092" s="56" t="n">
        <v>0</v>
      </c>
      <c r="I5092" s="56" t="n">
        <v>12.3</v>
      </c>
      <c r="J5092" s="56" t="n">
        <v>0</v>
      </c>
      <c r="K5092" s="56" t="n">
        <v>1002.2</v>
      </c>
      <c r="L5092" s="56" t="n">
        <v>0</v>
      </c>
      <c r="M5092" s="56" t="n">
        <v>94</v>
      </c>
      <c r="N5092" s="56" t="n">
        <v>0</v>
      </c>
      <c r="O5092" s="56" t="n">
        <f aca="false">IF(D5092=1,"",E5091)</f>
        <v>13</v>
      </c>
      <c r="P5092" s="56" t="n">
        <f aca="false">IF(OR(D5092=1,K5091=""),"",K5091)</f>
        <v>1008.2</v>
      </c>
      <c r="Q5092" s="56" t="n">
        <f aca="false">IF(OR(F5092&lt;&gt;0,AND(I5092&lt;&gt;"",E5092&lt;I5092)),1,0)</f>
        <v>0</v>
      </c>
      <c r="R5092" s="56" t="n">
        <f aca="false">IF(AND(D5092&gt;1,Q5092=0,ISNUMBER(O5092),ISNUMBER(P5092)),IF(Q5091=0,1,0),0)</f>
        <v>1</v>
      </c>
      <c r="S5092" s="56" t="n">
        <f aca="false">R5092*(B5092&gt;=Train_Start)*(B5092&lt;=Train_End)</f>
        <v>0</v>
      </c>
      <c r="T5092" s="84" t="n">
        <f aca="false">IF(AND(ISNUMBER(O5092),ISNUMBER(P5092)),Coef_A+Coef_B1*O5092+Coef_B2*P5092,"")</f>
        <v>14.3655127015384</v>
      </c>
      <c r="U5092" s="84" t="n">
        <f aca="false">IF(AND(R5092=1,ISNUMBER(T5092)),E5092-T5092,"")</f>
        <v>1.03448729846164</v>
      </c>
      <c r="V5092" s="84" t="n">
        <f aca="false">IF(ISNUMBER(T5092),T5092,-99)</f>
        <v>14.3655127015384</v>
      </c>
      <c r="W5092" s="84" t="n">
        <f aca="false">IF(ISNUMBER(U5092),ABS(U5092),"")</f>
        <v>1.03448729846164</v>
      </c>
    </row>
    <row r="5093" customFormat="false" ht="15" hidden="false" customHeight="false" outlineLevel="0" collapsed="false">
      <c r="A5093" s="57" t="n">
        <v>41072</v>
      </c>
      <c r="B5093" s="56" t="n">
        <v>2012</v>
      </c>
      <c r="C5093" s="56" t="n">
        <v>6</v>
      </c>
      <c r="D5093" s="56" t="n">
        <v>43</v>
      </c>
      <c r="E5093" s="56" t="n">
        <v>18.3</v>
      </c>
      <c r="F5093" s="56" t="n">
        <v>0</v>
      </c>
      <c r="G5093" s="56" t="n">
        <v>10.3</v>
      </c>
      <c r="H5093" s="56" t="n">
        <v>0</v>
      </c>
      <c r="I5093" s="56" t="n">
        <v>12.9</v>
      </c>
      <c r="J5093" s="56" t="n">
        <v>0</v>
      </c>
      <c r="K5093" s="56" t="n">
        <v>1009.4</v>
      </c>
      <c r="L5093" s="56" t="n">
        <v>0</v>
      </c>
      <c r="M5093" s="56" t="n">
        <v>80</v>
      </c>
      <c r="N5093" s="56" t="n">
        <v>0</v>
      </c>
      <c r="O5093" s="56" t="n">
        <f aca="false">IF(D5093=1,"",E5092)</f>
        <v>15.4</v>
      </c>
      <c r="P5093" s="56" t="n">
        <f aca="false">IF(OR(D5093=1,K5092=""),"",K5092)</f>
        <v>1002.2</v>
      </c>
      <c r="Q5093" s="56" t="n">
        <f aca="false">IF(OR(F5093&lt;&gt;0,AND(I5093&lt;&gt;"",E5093&lt;I5093)),1,0)</f>
        <v>0</v>
      </c>
      <c r="R5093" s="56" t="n">
        <f aca="false">IF(AND(D5093&gt;1,Q5093=0,ISNUMBER(O5093),ISNUMBER(P5093)),IF(Q5092=0,1,0),0)</f>
        <v>1</v>
      </c>
      <c r="S5093" s="56" t="n">
        <f aca="false">R5093*(B5093&gt;=Train_Start)*(B5093&lt;=Train_End)</f>
        <v>0</v>
      </c>
      <c r="T5093" s="84" t="n">
        <f aca="false">IF(AND(ISNUMBER(O5093),ISNUMBER(P5093)),Coef_A+Coef_B1*O5093+Coef_B2*P5093,"")</f>
        <v>16.1437073970368</v>
      </c>
      <c r="U5093" s="84" t="n">
        <f aca="false">IF(AND(R5093=1,ISNUMBER(T5093)),E5093-T5093,"")</f>
        <v>2.15629260296321</v>
      </c>
      <c r="V5093" s="84" t="n">
        <f aca="false">IF(ISNUMBER(T5093),T5093,-99)</f>
        <v>16.1437073970368</v>
      </c>
      <c r="W5093" s="84" t="n">
        <f aca="false">IF(ISNUMBER(U5093),ABS(U5093),"")</f>
        <v>2.15629260296321</v>
      </c>
    </row>
    <row r="5094" customFormat="false" ht="15" hidden="false" customHeight="false" outlineLevel="0" collapsed="false">
      <c r="A5094" s="57" t="n">
        <v>41073</v>
      </c>
      <c r="B5094" s="56" t="n">
        <v>2012</v>
      </c>
      <c r="C5094" s="56" t="n">
        <v>6</v>
      </c>
      <c r="D5094" s="56" t="n">
        <v>44</v>
      </c>
      <c r="E5094" s="56" t="n">
        <v>18.6</v>
      </c>
      <c r="F5094" s="56" t="n">
        <v>0</v>
      </c>
      <c r="G5094" s="56" t="n">
        <v>7.6</v>
      </c>
      <c r="H5094" s="56" t="n">
        <v>0</v>
      </c>
      <c r="I5094" s="56" t="n">
        <v>13</v>
      </c>
      <c r="J5094" s="56" t="n">
        <v>0</v>
      </c>
      <c r="K5094" s="56" t="n">
        <v>1016.5</v>
      </c>
      <c r="L5094" s="56" t="n">
        <v>0</v>
      </c>
      <c r="M5094" s="56" t="n">
        <v>63</v>
      </c>
      <c r="N5094" s="56" t="n">
        <v>7.3</v>
      </c>
      <c r="O5094" s="56" t="n">
        <f aca="false">IF(D5094=1,"",E5093)</f>
        <v>18.3</v>
      </c>
      <c r="P5094" s="56" t="n">
        <f aca="false">IF(OR(D5094=1,K5093=""),"",K5093)</f>
        <v>1009.4</v>
      </c>
      <c r="Q5094" s="56" t="n">
        <f aca="false">IF(OR(F5094&lt;&gt;0,AND(I5094&lt;&gt;"",E5094&lt;I5094)),1,0)</f>
        <v>0</v>
      </c>
      <c r="R5094" s="56" t="n">
        <f aca="false">IF(AND(D5094&gt;1,Q5094=0,ISNUMBER(O5094),ISNUMBER(P5094)),IF(Q5093=0,1,0),0)</f>
        <v>1</v>
      </c>
      <c r="S5094" s="56" t="n">
        <f aca="false">R5094*(B5094&gt;=Train_Start)*(B5094&lt;=Train_End)</f>
        <v>0</v>
      </c>
      <c r="T5094" s="84" t="n">
        <f aca="false">IF(AND(ISNUMBER(O5094),ISNUMBER(P5094)),Coef_A+Coef_B1*O5094+Coef_B2*P5094,"")</f>
        <v>18.7456542982252</v>
      </c>
      <c r="U5094" s="84" t="n">
        <f aca="false">IF(AND(R5094=1,ISNUMBER(T5094)),E5094-T5094,"")</f>
        <v>-0.145654298225221</v>
      </c>
      <c r="V5094" s="84" t="n">
        <f aca="false">IF(ISNUMBER(T5094),T5094,-99)</f>
        <v>18.7456542982252</v>
      </c>
      <c r="W5094" s="84" t="n">
        <f aca="false">IF(ISNUMBER(U5094),ABS(U5094),"")</f>
        <v>0.145654298225221</v>
      </c>
    </row>
    <row r="5095" customFormat="false" ht="15" hidden="false" customHeight="false" outlineLevel="0" collapsed="false">
      <c r="A5095" s="57" t="n">
        <v>41074</v>
      </c>
      <c r="B5095" s="56" t="n">
        <v>2012</v>
      </c>
      <c r="C5095" s="56" t="n">
        <v>6</v>
      </c>
      <c r="D5095" s="56" t="n">
        <v>45</v>
      </c>
      <c r="E5095" s="56" t="n">
        <v>19.3</v>
      </c>
      <c r="F5095" s="56" t="n">
        <v>0</v>
      </c>
      <c r="G5095" s="56" t="n">
        <v>8.3</v>
      </c>
      <c r="H5095" s="56" t="n">
        <v>0</v>
      </c>
      <c r="I5095" s="56" t="n">
        <v>13.5</v>
      </c>
      <c r="J5095" s="56" t="n">
        <v>0</v>
      </c>
      <c r="K5095" s="56" t="n">
        <v>1015.7</v>
      </c>
      <c r="L5095" s="56" t="n">
        <v>0</v>
      </c>
      <c r="M5095" s="56" t="n">
        <v>70</v>
      </c>
      <c r="N5095" s="56" t="n">
        <v>5.4</v>
      </c>
      <c r="O5095" s="56" t="n">
        <f aca="false">IF(D5095=1,"",E5094)</f>
        <v>18.6</v>
      </c>
      <c r="P5095" s="56" t="n">
        <f aca="false">IF(OR(D5095=1,K5094=""),"",K5094)</f>
        <v>1016.5</v>
      </c>
      <c r="Q5095" s="56" t="n">
        <f aca="false">IF(OR(F5095&lt;&gt;0,AND(I5095&lt;&gt;"",E5095&lt;I5095)),1,0)</f>
        <v>0</v>
      </c>
      <c r="R5095" s="56" t="n">
        <f aca="false">IF(AND(D5095&gt;1,Q5095=0,ISNUMBER(O5095),ISNUMBER(P5095)),IF(Q5094=0,1,0),0)</f>
        <v>1</v>
      </c>
      <c r="S5095" s="56" t="n">
        <f aca="false">R5095*(B5095&gt;=Train_Start)*(B5095&lt;=Train_End)</f>
        <v>0</v>
      </c>
      <c r="T5095" s="84" t="n">
        <f aca="false">IF(AND(ISNUMBER(O5095),ISNUMBER(P5095)),Coef_A+Coef_B1*O5095+Coef_B2*P5095,"")</f>
        <v>19.2141823080393</v>
      </c>
      <c r="U5095" s="84" t="n">
        <f aca="false">IF(AND(R5095=1,ISNUMBER(T5095)),E5095-T5095,"")</f>
        <v>0.0858176919606528</v>
      </c>
      <c r="V5095" s="84" t="n">
        <f aca="false">IF(ISNUMBER(T5095),T5095,-99)</f>
        <v>19.2141823080393</v>
      </c>
      <c r="W5095" s="84" t="n">
        <f aca="false">IF(ISNUMBER(U5095),ABS(U5095),"")</f>
        <v>0.0858176919606528</v>
      </c>
    </row>
    <row r="5096" customFormat="false" ht="15" hidden="false" customHeight="false" outlineLevel="0" collapsed="false">
      <c r="A5096" s="57" t="n">
        <v>41075</v>
      </c>
      <c r="B5096" s="56" t="n">
        <v>2012</v>
      </c>
      <c r="C5096" s="56" t="n">
        <v>6</v>
      </c>
      <c r="D5096" s="56" t="n">
        <v>46</v>
      </c>
      <c r="E5096" s="56" t="n">
        <v>19.3</v>
      </c>
      <c r="F5096" s="56" t="n">
        <v>0</v>
      </c>
      <c r="G5096" s="56" t="n">
        <v>12.4</v>
      </c>
      <c r="H5096" s="56" t="n">
        <v>0</v>
      </c>
      <c r="I5096" s="56" t="n">
        <v>15.9</v>
      </c>
      <c r="J5096" s="56" t="n">
        <v>0</v>
      </c>
      <c r="K5096" s="56" t="n">
        <v>1007.9</v>
      </c>
      <c r="L5096" s="56" t="n">
        <v>0</v>
      </c>
      <c r="M5096" s="56" t="n">
        <v>75</v>
      </c>
      <c r="N5096" s="56" t="n">
        <v>5.3</v>
      </c>
      <c r="O5096" s="56" t="n">
        <f aca="false">IF(D5096=1,"",E5095)</f>
        <v>19.3</v>
      </c>
      <c r="P5096" s="56" t="n">
        <f aca="false">IF(OR(D5096=1,K5095=""),"",K5095)</f>
        <v>1015.7</v>
      </c>
      <c r="Q5096" s="56" t="n">
        <f aca="false">IF(OR(F5096&lt;&gt;0,AND(I5096&lt;&gt;"",E5096&lt;I5096)),1,0)</f>
        <v>0</v>
      </c>
      <c r="R5096" s="56" t="n">
        <f aca="false">IF(AND(D5096&gt;1,Q5096=0,ISNUMBER(O5096),ISNUMBER(P5096)),IF(Q5095=0,1,0),0)</f>
        <v>1</v>
      </c>
      <c r="S5096" s="56" t="n">
        <f aca="false">R5096*(B5096&gt;=Train_Start)*(B5096&lt;=Train_End)</f>
        <v>0</v>
      </c>
      <c r="T5096" s="84" t="n">
        <f aca="false">IF(AND(ISNUMBER(O5096),ISNUMBER(P5096)),Coef_A+Coef_B1*O5096+Coef_B2*P5096,"")</f>
        <v>19.762623827462</v>
      </c>
      <c r="U5096" s="84" t="n">
        <f aca="false">IF(AND(R5096=1,ISNUMBER(T5096)),E5096-T5096,"")</f>
        <v>-0.462623827462014</v>
      </c>
      <c r="V5096" s="84" t="n">
        <f aca="false">IF(ISNUMBER(T5096),T5096,-99)</f>
        <v>19.762623827462</v>
      </c>
      <c r="W5096" s="84" t="n">
        <f aca="false">IF(ISNUMBER(U5096),ABS(U5096),"")</f>
        <v>0.462623827462014</v>
      </c>
    </row>
    <row r="5097" customFormat="false" ht="15" hidden="false" customHeight="false" outlineLevel="0" collapsed="false">
      <c r="A5097" s="57" t="n">
        <v>41076</v>
      </c>
      <c r="B5097" s="56" t="n">
        <v>2012</v>
      </c>
      <c r="C5097" s="56" t="n">
        <v>6</v>
      </c>
      <c r="D5097" s="56" t="n">
        <v>47</v>
      </c>
      <c r="E5097" s="56" t="n">
        <v>20.4</v>
      </c>
      <c r="F5097" s="56" t="n">
        <v>0</v>
      </c>
      <c r="G5097" s="56" t="n">
        <v>12.4</v>
      </c>
      <c r="H5097" s="56" t="n">
        <v>0</v>
      </c>
      <c r="I5097" s="56" t="n">
        <v>15.9</v>
      </c>
      <c r="J5097" s="56" t="n">
        <v>0</v>
      </c>
      <c r="K5097" s="56" t="n">
        <v>1008.6</v>
      </c>
      <c r="L5097" s="56" t="n">
        <v>0</v>
      </c>
      <c r="M5097" s="56" t="n">
        <v>70</v>
      </c>
      <c r="N5097" s="56" t="n">
        <v>3.9</v>
      </c>
      <c r="O5097" s="56" t="n">
        <f aca="false">IF(D5097=1,"",E5096)</f>
        <v>19.3</v>
      </c>
      <c r="P5097" s="56" t="n">
        <f aca="false">IF(OR(D5097=1,K5096=""),"",K5096)</f>
        <v>1007.9</v>
      </c>
      <c r="Q5097" s="56" t="n">
        <f aca="false">IF(OR(F5097&lt;&gt;0,AND(I5097&lt;&gt;"",E5097&lt;I5097)),1,0)</f>
        <v>0</v>
      </c>
      <c r="R5097" s="56" t="n">
        <f aca="false">IF(AND(D5097&gt;1,Q5097=0,ISNUMBER(O5097),ISNUMBER(P5097)),IF(Q5096=0,1,0),0)</f>
        <v>1</v>
      </c>
      <c r="S5097" s="56" t="n">
        <f aca="false">R5097*(B5097&gt;=Train_Start)*(B5097&lt;=Train_End)</f>
        <v>0</v>
      </c>
      <c r="T5097" s="84" t="n">
        <f aca="false">IF(AND(ISNUMBER(O5097),ISNUMBER(P5097)),Coef_A+Coef_B1*O5097+Coef_B2*P5097,"")</f>
        <v>19.5179386493169</v>
      </c>
      <c r="U5097" s="84" t="n">
        <f aca="false">IF(AND(R5097=1,ISNUMBER(T5097)),E5097-T5097,"")</f>
        <v>0.882061350683102</v>
      </c>
      <c r="V5097" s="84" t="n">
        <f aca="false">IF(ISNUMBER(T5097),T5097,-99)</f>
        <v>19.5179386493169</v>
      </c>
      <c r="W5097" s="84" t="n">
        <f aca="false">IF(ISNUMBER(U5097),ABS(U5097),"")</f>
        <v>0.882061350683102</v>
      </c>
    </row>
    <row r="5098" customFormat="false" ht="15" hidden="false" customHeight="false" outlineLevel="0" collapsed="false">
      <c r="A5098" s="57" t="n">
        <v>41077</v>
      </c>
      <c r="B5098" s="56" t="n">
        <v>2012</v>
      </c>
      <c r="C5098" s="56" t="n">
        <v>6</v>
      </c>
      <c r="D5098" s="56" t="n">
        <v>48</v>
      </c>
      <c r="E5098" s="56" t="n">
        <v>19.5</v>
      </c>
      <c r="F5098" s="56" t="n">
        <v>0</v>
      </c>
      <c r="G5098" s="56" t="n">
        <v>11.8</v>
      </c>
      <c r="H5098" s="56" t="n">
        <v>0</v>
      </c>
      <c r="I5098" s="56" t="n">
        <v>16.1</v>
      </c>
      <c r="J5098" s="56" t="n">
        <v>0</v>
      </c>
      <c r="K5098" s="56" t="n">
        <v>1016.4</v>
      </c>
      <c r="L5098" s="56" t="n">
        <v>0</v>
      </c>
      <c r="M5098" s="56" t="n">
        <v>66</v>
      </c>
      <c r="N5098" s="56" t="n">
        <v>6.1</v>
      </c>
      <c r="O5098" s="56" t="n">
        <f aca="false">IF(D5098=1,"",E5097)</f>
        <v>20.4</v>
      </c>
      <c r="P5098" s="56" t="n">
        <f aca="false">IF(OR(D5098=1,K5097=""),"",K5097)</f>
        <v>1008.6</v>
      </c>
      <c r="Q5098" s="56" t="n">
        <f aca="false">IF(OR(F5098&lt;&gt;0,AND(I5098&lt;&gt;"",E5098&lt;I5098)),1,0)</f>
        <v>0</v>
      </c>
      <c r="R5098" s="56" t="n">
        <f aca="false">IF(AND(D5098&gt;1,Q5098=0,ISNUMBER(O5098),ISNUMBER(P5098)),IF(Q5097=0,1,0),0)</f>
        <v>1</v>
      </c>
      <c r="S5098" s="56" t="n">
        <f aca="false">R5098*(B5098&gt;=Train_Start)*(B5098&lt;=Train_End)</f>
        <v>0</v>
      </c>
      <c r="T5098" s="84" t="n">
        <f aca="false">IF(AND(ISNUMBER(O5098),ISNUMBER(P5098)),Coef_A+Coef_B1*O5098+Coef_B2*P5098,"")</f>
        <v>20.4411706879076</v>
      </c>
      <c r="U5098" s="84" t="n">
        <f aca="false">IF(AND(R5098=1,ISNUMBER(T5098)),E5098-T5098,"")</f>
        <v>-0.941170687907615</v>
      </c>
      <c r="V5098" s="84" t="n">
        <f aca="false">IF(ISNUMBER(T5098),T5098,-99)</f>
        <v>20.4411706879076</v>
      </c>
      <c r="W5098" s="84" t="n">
        <f aca="false">IF(ISNUMBER(U5098),ABS(U5098),"")</f>
        <v>0.941170687907615</v>
      </c>
    </row>
    <row r="5099" customFormat="false" ht="15" hidden="false" customHeight="false" outlineLevel="0" collapsed="false">
      <c r="A5099" s="57" t="n">
        <v>41078</v>
      </c>
      <c r="B5099" s="56" t="n">
        <v>2012</v>
      </c>
      <c r="C5099" s="56" t="n">
        <v>6</v>
      </c>
      <c r="D5099" s="56" t="n">
        <v>49</v>
      </c>
      <c r="E5099" s="56" t="n">
        <v>20.5</v>
      </c>
      <c r="F5099" s="56" t="n">
        <v>0</v>
      </c>
      <c r="G5099" s="56" t="n">
        <v>11</v>
      </c>
      <c r="H5099" s="56" t="n">
        <v>0</v>
      </c>
      <c r="I5099" s="56" t="n">
        <v>15.3</v>
      </c>
      <c r="J5099" s="56" t="n">
        <v>0</v>
      </c>
      <c r="K5099" s="56" t="n">
        <v>1017.2</v>
      </c>
      <c r="L5099" s="56" t="n">
        <v>0</v>
      </c>
      <c r="M5099" s="56" t="n">
        <v>71</v>
      </c>
      <c r="N5099" s="56" t="n">
        <v>4.6</v>
      </c>
      <c r="O5099" s="56" t="n">
        <f aca="false">IF(D5099=1,"",E5098)</f>
        <v>19.5</v>
      </c>
      <c r="P5099" s="56" t="n">
        <f aca="false">IF(OR(D5099=1,K5098=""),"",K5098)</f>
        <v>1016.4</v>
      </c>
      <c r="Q5099" s="56" t="n">
        <f aca="false">IF(OR(F5099&lt;&gt;0,AND(I5099&lt;&gt;"",E5099&lt;I5099)),1,0)</f>
        <v>0</v>
      </c>
      <c r="R5099" s="56" t="n">
        <f aca="false">IF(AND(D5099&gt;1,Q5099=0,ISNUMBER(O5099),ISNUMBER(P5099)),IF(Q5098=0,1,0),0)</f>
        <v>1</v>
      </c>
      <c r="S5099" s="56" t="n">
        <f aca="false">R5099*(B5099&gt;=Train_Start)*(B5099&lt;=Train_End)</f>
        <v>0</v>
      </c>
      <c r="T5099" s="84" t="n">
        <f aca="false">IF(AND(ISNUMBER(O5099),ISNUMBER(P5099)),Coef_A+Coef_B1*O5099+Coef_B2*P5099,"")</f>
        <v>19.9484505923143</v>
      </c>
      <c r="U5099" s="84" t="n">
        <f aca="false">IF(AND(R5099=1,ISNUMBER(T5099)),E5099-T5099,"")</f>
        <v>0.551549407685663</v>
      </c>
      <c r="V5099" s="84" t="n">
        <f aca="false">IF(ISNUMBER(T5099),T5099,-99)</f>
        <v>19.9484505923143</v>
      </c>
      <c r="W5099" s="84" t="n">
        <f aca="false">IF(ISNUMBER(U5099),ABS(U5099),"")</f>
        <v>0.551549407685663</v>
      </c>
    </row>
    <row r="5100" customFormat="false" ht="15" hidden="false" customHeight="false" outlineLevel="0" collapsed="false">
      <c r="A5100" s="57" t="n">
        <v>41079</v>
      </c>
      <c r="B5100" s="56" t="n">
        <v>2012</v>
      </c>
      <c r="C5100" s="56" t="n">
        <v>6</v>
      </c>
      <c r="D5100" s="56" t="n">
        <v>50</v>
      </c>
      <c r="E5100" s="56" t="n">
        <v>22.7</v>
      </c>
      <c r="F5100" s="56" t="n">
        <v>0</v>
      </c>
      <c r="G5100" s="56" t="n">
        <v>9.5</v>
      </c>
      <c r="H5100" s="56" t="n">
        <v>0</v>
      </c>
      <c r="I5100" s="56" t="n">
        <v>15</v>
      </c>
      <c r="J5100" s="56" t="n">
        <v>0</v>
      </c>
      <c r="K5100" s="56" t="n">
        <v>1019.2</v>
      </c>
      <c r="L5100" s="56" t="n">
        <v>0</v>
      </c>
      <c r="M5100" s="56" t="n">
        <v>66</v>
      </c>
      <c r="N5100" s="56" t="n">
        <v>7.1</v>
      </c>
      <c r="O5100" s="56" t="n">
        <f aca="false">IF(D5100=1,"",E5099)</f>
        <v>20.5</v>
      </c>
      <c r="P5100" s="56" t="n">
        <f aca="false">IF(OR(D5100=1,K5099=""),"",K5099)</f>
        <v>1017.2</v>
      </c>
      <c r="Q5100" s="56" t="n">
        <f aca="false">IF(OR(F5100&lt;&gt;0,AND(I5100&lt;&gt;"",E5100&lt;I5100)),1,0)</f>
        <v>0</v>
      </c>
      <c r="R5100" s="56" t="n">
        <f aca="false">IF(AND(D5100&gt;1,Q5100=0,ISNUMBER(O5100),ISNUMBER(P5100)),IF(Q5099=0,1,0),0)</f>
        <v>1</v>
      </c>
      <c r="S5100" s="56" t="n">
        <f aca="false">R5100*(B5100&gt;=Train_Start)*(B5100&lt;=Train_End)</f>
        <v>0</v>
      </c>
      <c r="T5100" s="84" t="n">
        <f aca="false">IF(AND(ISNUMBER(O5100),ISNUMBER(P5100)),Coef_A+Coef_B1*O5100+Coef_B2*P5100,"")</f>
        <v>20.7928857010642</v>
      </c>
      <c r="U5100" s="84" t="n">
        <f aca="false">IF(AND(R5100=1,ISNUMBER(T5100)),E5100-T5100,"")</f>
        <v>1.90711429893581</v>
      </c>
      <c r="V5100" s="84" t="n">
        <f aca="false">IF(ISNUMBER(T5100),T5100,-99)</f>
        <v>20.7928857010642</v>
      </c>
      <c r="W5100" s="84" t="n">
        <f aca="false">IF(ISNUMBER(U5100),ABS(U5100),"")</f>
        <v>1.90711429893581</v>
      </c>
    </row>
    <row r="5101" customFormat="false" ht="15" hidden="false" customHeight="false" outlineLevel="0" collapsed="false">
      <c r="A5101" s="57" t="n">
        <v>41080</v>
      </c>
      <c r="B5101" s="56" t="n">
        <v>2012</v>
      </c>
      <c r="C5101" s="56" t="n">
        <v>6</v>
      </c>
      <c r="D5101" s="56" t="n">
        <v>51</v>
      </c>
      <c r="E5101" s="56" t="n">
        <v>20.4</v>
      </c>
      <c r="F5101" s="56" t="n">
        <v>0</v>
      </c>
      <c r="G5101" s="56" t="n">
        <v>11.6</v>
      </c>
      <c r="H5101" s="56" t="n">
        <v>0</v>
      </c>
      <c r="I5101" s="56" t="n">
        <v>17.2</v>
      </c>
      <c r="J5101" s="56" t="n">
        <v>0</v>
      </c>
      <c r="K5101" s="56" t="n">
        <v>1016.3</v>
      </c>
      <c r="L5101" s="56" t="n">
        <v>0</v>
      </c>
      <c r="M5101" s="56" t="n">
        <v>59</v>
      </c>
      <c r="N5101" s="56" t="n">
        <v>7.7</v>
      </c>
      <c r="O5101" s="56" t="n">
        <f aca="false">IF(D5101=1,"",E5100)</f>
        <v>22.7</v>
      </c>
      <c r="P5101" s="56" t="n">
        <f aca="false">IF(OR(D5101=1,K5100=""),"",K5100)</f>
        <v>1019.2</v>
      </c>
      <c r="Q5101" s="56" t="n">
        <f aca="false">IF(OR(F5101&lt;&gt;0,AND(I5101&lt;&gt;"",E5101&lt;I5101)),1,0)</f>
        <v>0</v>
      </c>
      <c r="R5101" s="56" t="n">
        <f aca="false">IF(AND(D5101&gt;1,Q5101=0,ISNUMBER(O5101),ISNUMBER(P5101)),IF(Q5100=0,1,0),0)</f>
        <v>1</v>
      </c>
      <c r="S5101" s="56" t="n">
        <f aca="false">R5101*(B5101&gt;=Train_Start)*(B5101&lt;=Train_End)</f>
        <v>0</v>
      </c>
      <c r="T5101" s="84" t="n">
        <f aca="false">IF(AND(ISNUMBER(O5101),ISNUMBER(P5101)),Coef_A+Coef_B1*O5101+Coef_B2*P5101,"")</f>
        <v>22.658171715026</v>
      </c>
      <c r="U5101" s="84" t="n">
        <f aca="false">IF(AND(R5101=1,ISNUMBER(T5101)),E5101-T5101,"")</f>
        <v>-2.25817171502601</v>
      </c>
      <c r="V5101" s="84" t="n">
        <f aca="false">IF(ISNUMBER(T5101),T5101,-99)</f>
        <v>22.658171715026</v>
      </c>
      <c r="W5101" s="84" t="n">
        <f aca="false">IF(ISNUMBER(U5101),ABS(U5101),"")</f>
        <v>2.25817171502601</v>
      </c>
    </row>
    <row r="5102" customFormat="false" ht="15" hidden="false" customHeight="false" outlineLevel="0" collapsed="false">
      <c r="A5102" s="57" t="n">
        <v>41081</v>
      </c>
      <c r="B5102" s="56" t="n">
        <v>2012</v>
      </c>
      <c r="C5102" s="56" t="n">
        <v>6</v>
      </c>
      <c r="D5102" s="56" t="n">
        <v>52</v>
      </c>
      <c r="E5102" s="56" t="n">
        <v>18.7</v>
      </c>
      <c r="F5102" s="56" t="n">
        <v>0</v>
      </c>
      <c r="G5102" s="56" t="n">
        <v>13.9</v>
      </c>
      <c r="H5102" s="56" t="n">
        <v>0</v>
      </c>
      <c r="I5102" s="56" t="n">
        <v>17.2</v>
      </c>
      <c r="J5102" s="56" t="n">
        <v>0</v>
      </c>
      <c r="K5102" s="56" t="n">
        <v>1005.7</v>
      </c>
      <c r="L5102" s="56" t="n">
        <v>0</v>
      </c>
      <c r="M5102" s="56" t="n">
        <v>84</v>
      </c>
      <c r="N5102" s="56" t="n">
        <v>1.3</v>
      </c>
      <c r="O5102" s="56" t="n">
        <f aca="false">IF(D5102=1,"",E5101)</f>
        <v>20.4</v>
      </c>
      <c r="P5102" s="56" t="n">
        <f aca="false">IF(OR(D5102=1,K5101=""),"",K5101)</f>
        <v>1016.3</v>
      </c>
      <c r="Q5102" s="56" t="n">
        <f aca="false">IF(OR(F5102&lt;&gt;0,AND(I5102&lt;&gt;"",E5102&lt;I5102)),1,0)</f>
        <v>0</v>
      </c>
      <c r="R5102" s="56" t="n">
        <f aca="false">IF(AND(D5102&gt;1,Q5102=0,ISNUMBER(O5102),ISNUMBER(P5102)),IF(Q5101=0,1,0),0)</f>
        <v>1</v>
      </c>
      <c r="S5102" s="56" t="n">
        <f aca="false">R5102*(B5102&gt;=Train_Start)*(B5102&lt;=Train_End)</f>
        <v>0</v>
      </c>
      <c r="T5102" s="84" t="n">
        <f aca="false">IF(AND(ISNUMBER(O5102),ISNUMBER(P5102)),Coef_A+Coef_B1*O5102+Coef_B2*P5102,"")</f>
        <v>20.6827188765893</v>
      </c>
      <c r="U5102" s="84" t="n">
        <f aca="false">IF(AND(R5102=1,ISNUMBER(T5102)),E5102-T5102,"")</f>
        <v>-1.98271887658933</v>
      </c>
      <c r="V5102" s="84" t="n">
        <f aca="false">IF(ISNUMBER(T5102),T5102,-99)</f>
        <v>20.6827188765893</v>
      </c>
      <c r="W5102" s="84" t="n">
        <f aca="false">IF(ISNUMBER(U5102),ABS(U5102),"")</f>
        <v>1.98271887658933</v>
      </c>
    </row>
    <row r="5103" customFormat="false" ht="15" hidden="false" customHeight="false" outlineLevel="0" collapsed="false">
      <c r="A5103" s="57" t="n">
        <v>41082</v>
      </c>
      <c r="B5103" s="56" t="n">
        <v>2012</v>
      </c>
      <c r="C5103" s="56" t="n">
        <v>6</v>
      </c>
      <c r="D5103" s="56" t="n">
        <v>53</v>
      </c>
      <c r="E5103" s="56" t="n">
        <v>20.2</v>
      </c>
      <c r="F5103" s="56" t="n">
        <v>0</v>
      </c>
      <c r="G5103" s="56" t="n">
        <v>11.1</v>
      </c>
      <c r="H5103" s="56" t="n">
        <v>0</v>
      </c>
      <c r="I5103" s="56" t="n">
        <v>14.9</v>
      </c>
      <c r="J5103" s="56" t="n">
        <v>0</v>
      </c>
      <c r="K5103" s="56" t="n">
        <v>1010.7</v>
      </c>
      <c r="L5103" s="56" t="n">
        <v>0</v>
      </c>
      <c r="M5103" s="56" t="n">
        <v>74</v>
      </c>
      <c r="N5103" s="56" t="n">
        <v>0.7</v>
      </c>
      <c r="O5103" s="56" t="n">
        <f aca="false">IF(D5103=1,"",E5102)</f>
        <v>18.7</v>
      </c>
      <c r="P5103" s="56" t="n">
        <f aca="false">IF(OR(D5103=1,K5102=""),"",K5102)</f>
        <v>1005.7</v>
      </c>
      <c r="Q5103" s="56" t="n">
        <f aca="false">IF(OR(F5103&lt;&gt;0,AND(I5103&lt;&gt;"",E5103&lt;I5103)),1,0)</f>
        <v>0</v>
      </c>
      <c r="R5103" s="56" t="n">
        <f aca="false">IF(AND(D5103&gt;1,Q5103=0,ISNUMBER(O5103),ISNUMBER(P5103)),IF(Q5102=0,1,0),0)</f>
        <v>1</v>
      </c>
      <c r="S5103" s="56" t="n">
        <f aca="false">R5103*(B5103&gt;=Train_Start)*(B5103&lt;=Train_End)</f>
        <v>0</v>
      </c>
      <c r="T5103" s="84" t="n">
        <f aca="false">IF(AND(ISNUMBER(O5103),ISNUMBER(P5103)),Coef_A+Coef_B1*O5103+Coef_B2*P5103,"")</f>
        <v>18.9573213652965</v>
      </c>
      <c r="U5103" s="84" t="n">
        <f aca="false">IF(AND(R5103=1,ISNUMBER(T5103)),E5103-T5103,"")</f>
        <v>1.24267863470347</v>
      </c>
      <c r="V5103" s="84" t="n">
        <f aca="false">IF(ISNUMBER(T5103),T5103,-99)</f>
        <v>18.9573213652965</v>
      </c>
      <c r="W5103" s="84" t="n">
        <f aca="false">IF(ISNUMBER(U5103),ABS(U5103),"")</f>
        <v>1.24267863470347</v>
      </c>
    </row>
    <row r="5104" customFormat="false" ht="15" hidden="false" customHeight="false" outlineLevel="0" collapsed="false">
      <c r="A5104" s="57" t="n">
        <v>41083</v>
      </c>
      <c r="B5104" s="56" t="n">
        <v>2012</v>
      </c>
      <c r="C5104" s="56" t="n">
        <v>6</v>
      </c>
      <c r="D5104" s="56" t="n">
        <v>54</v>
      </c>
      <c r="E5104" s="56" t="n">
        <v>20.9</v>
      </c>
      <c r="F5104" s="56" t="n">
        <v>0</v>
      </c>
      <c r="G5104" s="56" t="n">
        <v>10.8</v>
      </c>
      <c r="H5104" s="56" t="n">
        <v>0</v>
      </c>
      <c r="I5104" s="56" t="n">
        <v>15.5</v>
      </c>
      <c r="J5104" s="56" t="n">
        <v>0</v>
      </c>
      <c r="K5104" s="56" t="n">
        <v>1019.4</v>
      </c>
      <c r="L5104" s="56" t="n">
        <v>0</v>
      </c>
      <c r="M5104" s="56" t="n">
        <v>69</v>
      </c>
      <c r="N5104" s="56" t="n">
        <v>5</v>
      </c>
      <c r="O5104" s="56" t="n">
        <f aca="false">IF(D5104=1,"",E5103)</f>
        <v>20.2</v>
      </c>
      <c r="P5104" s="56" t="n">
        <f aca="false">IF(OR(D5104=1,K5103=""),"",K5103)</f>
        <v>1010.7</v>
      </c>
      <c r="Q5104" s="56" t="n">
        <f aca="false">IF(OR(F5104&lt;&gt;0,AND(I5104&lt;&gt;"",E5104&lt;I5104)),1,0)</f>
        <v>0</v>
      </c>
      <c r="R5104" s="56" t="n">
        <f aca="false">IF(AND(D5104&gt;1,Q5104=0,ISNUMBER(O5104),ISNUMBER(P5104)),IF(Q5103=0,1,0),0)</f>
        <v>1</v>
      </c>
      <c r="S5104" s="56" t="n">
        <f aca="false">R5104*(B5104&gt;=Train_Start)*(B5104&lt;=Train_End)</f>
        <v>0</v>
      </c>
      <c r="T5104" s="84" t="n">
        <f aca="false">IF(AND(ISNUMBER(O5104),ISNUMBER(P5104)),Coef_A+Coef_B1*O5104+Coef_B2*P5104,"")</f>
        <v>20.3431796280305</v>
      </c>
      <c r="U5104" s="84" t="n">
        <f aca="false">IF(AND(R5104=1,ISNUMBER(T5104)),E5104-T5104,"")</f>
        <v>0.55682037196954</v>
      </c>
      <c r="V5104" s="84" t="n">
        <f aca="false">IF(ISNUMBER(T5104),T5104,-99)</f>
        <v>20.3431796280305</v>
      </c>
      <c r="W5104" s="84" t="n">
        <f aca="false">IF(ISNUMBER(U5104),ABS(U5104),"")</f>
        <v>0.55682037196954</v>
      </c>
    </row>
    <row r="5105" customFormat="false" ht="15" hidden="false" customHeight="false" outlineLevel="0" collapsed="false">
      <c r="A5105" s="57" t="n">
        <v>41084</v>
      </c>
      <c r="B5105" s="56" t="n">
        <v>2012</v>
      </c>
      <c r="C5105" s="56" t="n">
        <v>6</v>
      </c>
      <c r="D5105" s="56" t="n">
        <v>55</v>
      </c>
      <c r="E5105" s="56" t="n">
        <v>22.5</v>
      </c>
      <c r="F5105" s="56" t="n">
        <v>0</v>
      </c>
      <c r="G5105" s="56" t="n">
        <v>11.6</v>
      </c>
      <c r="H5105" s="56" t="n">
        <v>0</v>
      </c>
      <c r="I5105" s="56" t="n">
        <v>16.3</v>
      </c>
      <c r="J5105" s="56" t="n">
        <v>0</v>
      </c>
      <c r="K5105" s="56" t="n">
        <v>1012.2</v>
      </c>
      <c r="L5105" s="56" t="n">
        <v>0</v>
      </c>
      <c r="M5105" s="56" t="n">
        <v>75</v>
      </c>
      <c r="N5105" s="56" t="n">
        <v>6.5</v>
      </c>
      <c r="O5105" s="56" t="n">
        <f aca="false">IF(D5105=1,"",E5104)</f>
        <v>20.9</v>
      </c>
      <c r="P5105" s="56" t="n">
        <f aca="false">IF(OR(D5105=1,K5104=""),"",K5104)</f>
        <v>1019.4</v>
      </c>
      <c r="Q5105" s="56" t="n">
        <f aca="false">IF(OR(F5105&lt;&gt;0,AND(I5105&lt;&gt;"",E5105&lt;I5105)),1,0)</f>
        <v>0</v>
      </c>
      <c r="R5105" s="56" t="n">
        <f aca="false">IF(AND(D5105&gt;1,Q5105=0,ISNUMBER(O5105),ISNUMBER(P5105)),IF(Q5104=0,1,0),0)</f>
        <v>1</v>
      </c>
      <c r="S5105" s="56" t="n">
        <f aca="false">R5105*(B5105&gt;=Train_Start)*(B5105&lt;=Train_End)</f>
        <v>0</v>
      </c>
      <c r="T5105" s="84" t="n">
        <f aca="false">IF(AND(ISNUMBER(O5105),ISNUMBER(P5105)),Coef_A+Coef_B1*O5105+Coef_B2*P5105,"")</f>
        <v>21.189635146476</v>
      </c>
      <c r="U5105" s="84" t="n">
        <f aca="false">IF(AND(R5105=1,ISNUMBER(T5105)),E5105-T5105,"")</f>
        <v>1.31036485352398</v>
      </c>
      <c r="V5105" s="84" t="n">
        <f aca="false">IF(ISNUMBER(T5105),T5105,-99)</f>
        <v>21.189635146476</v>
      </c>
      <c r="W5105" s="84" t="n">
        <f aca="false">IF(ISNUMBER(U5105),ABS(U5105),"")</f>
        <v>1.31036485352398</v>
      </c>
    </row>
    <row r="5106" customFormat="false" ht="15" hidden="false" customHeight="false" outlineLevel="0" collapsed="false">
      <c r="A5106" s="57" t="n">
        <v>41085</v>
      </c>
      <c r="B5106" s="56" t="n">
        <v>2012</v>
      </c>
      <c r="C5106" s="56" t="n">
        <v>6</v>
      </c>
      <c r="D5106" s="56" t="n">
        <v>56</v>
      </c>
      <c r="E5106" s="56" t="n">
        <v>22.3</v>
      </c>
      <c r="F5106" s="56" t="n">
        <v>0</v>
      </c>
      <c r="G5106" s="56" t="n">
        <v>11.9</v>
      </c>
      <c r="H5106" s="56" t="n">
        <v>0</v>
      </c>
      <c r="I5106" s="56" t="n">
        <v>17.2</v>
      </c>
      <c r="J5106" s="56" t="n">
        <v>0</v>
      </c>
      <c r="K5106" s="56" t="n">
        <v>1017.6</v>
      </c>
      <c r="L5106" s="56" t="n">
        <v>0</v>
      </c>
      <c r="M5106" s="56" t="n">
        <v>67</v>
      </c>
      <c r="N5106" s="56" t="n">
        <v>8.9</v>
      </c>
      <c r="O5106" s="56" t="n">
        <f aca="false">IF(D5106=1,"",E5105)</f>
        <v>22.5</v>
      </c>
      <c r="P5106" s="56" t="n">
        <f aca="false">IF(OR(D5106=1,K5105=""),"",K5105)</f>
        <v>1012.2</v>
      </c>
      <c r="Q5106" s="56" t="n">
        <f aca="false">IF(OR(F5106&lt;&gt;0,AND(I5106&lt;&gt;"",E5106&lt;I5106)),1,0)</f>
        <v>0</v>
      </c>
      <c r="R5106" s="56" t="n">
        <f aca="false">IF(AND(D5106&gt;1,Q5106=0,ISNUMBER(O5106),ISNUMBER(P5106)),IF(Q5105=0,1,0),0)</f>
        <v>1</v>
      </c>
      <c r="S5106" s="56" t="n">
        <f aca="false">R5106*(B5106&gt;=Train_Start)*(B5106&lt;=Train_End)</f>
        <v>0</v>
      </c>
      <c r="T5106" s="84" t="n">
        <f aca="false">IF(AND(ISNUMBER(O5106),ISNUMBER(P5106)),Coef_A+Coef_B1*O5106+Coef_B2*P5106,"")</f>
        <v>22.2747146139796</v>
      </c>
      <c r="U5106" s="84" t="n">
        <f aca="false">IF(AND(R5106=1,ISNUMBER(T5106)),E5106-T5106,"")</f>
        <v>0.0252853860204425</v>
      </c>
      <c r="V5106" s="84" t="n">
        <f aca="false">IF(ISNUMBER(T5106),T5106,-99)</f>
        <v>22.2747146139796</v>
      </c>
      <c r="W5106" s="84" t="n">
        <f aca="false">IF(ISNUMBER(U5106),ABS(U5106),"")</f>
        <v>0.0252853860204425</v>
      </c>
    </row>
    <row r="5107" customFormat="false" ht="15" hidden="false" customHeight="false" outlineLevel="0" collapsed="false">
      <c r="A5107" s="57" t="n">
        <v>41086</v>
      </c>
      <c r="B5107" s="56" t="n">
        <v>2012</v>
      </c>
      <c r="C5107" s="56" t="n">
        <v>6</v>
      </c>
      <c r="D5107" s="56" t="n">
        <v>57</v>
      </c>
      <c r="E5107" s="56" t="n">
        <v>23.4</v>
      </c>
      <c r="F5107" s="56" t="n">
        <v>0</v>
      </c>
      <c r="G5107" s="56" t="n">
        <v>13.8</v>
      </c>
      <c r="H5107" s="56" t="n">
        <v>0</v>
      </c>
      <c r="I5107" s="56" t="n">
        <v>18.1</v>
      </c>
      <c r="J5107" s="56" t="n">
        <v>0</v>
      </c>
      <c r="K5107" s="56" t="n">
        <v>1020</v>
      </c>
      <c r="L5107" s="56" t="n">
        <v>0</v>
      </c>
      <c r="M5107" s="56" t="n">
        <v>70</v>
      </c>
      <c r="N5107" s="56" t="n">
        <v>4.3</v>
      </c>
      <c r="O5107" s="56" t="n">
        <f aca="false">IF(D5107=1,"",E5106)</f>
        <v>22.3</v>
      </c>
      <c r="P5107" s="56" t="n">
        <f aca="false">IF(OR(D5107=1,K5106=""),"",K5106)</f>
        <v>1017.6</v>
      </c>
      <c r="Q5107" s="56" t="n">
        <f aca="false">IF(OR(F5107&lt;&gt;0,AND(I5107&lt;&gt;"",E5107&lt;I5107)),1,0)</f>
        <v>0</v>
      </c>
      <c r="R5107" s="56" t="n">
        <f aca="false">IF(AND(D5107&gt;1,Q5107=0,ISNUMBER(O5107),ISNUMBER(P5107)),IF(Q5106=0,1,0),0)</f>
        <v>1</v>
      </c>
      <c r="S5107" s="56" t="n">
        <f aca="false">R5107*(B5107&gt;=Train_Start)*(B5107&lt;=Train_End)</f>
        <v>0</v>
      </c>
      <c r="T5107" s="84" t="n">
        <f aca="false">IF(AND(ISNUMBER(O5107),ISNUMBER(P5107)),Coef_A+Coef_B1*O5107+Coef_B2*P5107,"")</f>
        <v>22.2802442063946</v>
      </c>
      <c r="U5107" s="84" t="n">
        <f aca="false">IF(AND(R5107=1,ISNUMBER(T5107)),E5107-T5107,"")</f>
        <v>1.11975579360543</v>
      </c>
      <c r="V5107" s="84" t="n">
        <f aca="false">IF(ISNUMBER(T5107),T5107,-99)</f>
        <v>22.2802442063946</v>
      </c>
      <c r="W5107" s="84" t="n">
        <f aca="false">IF(ISNUMBER(U5107),ABS(U5107),"")</f>
        <v>1.11975579360543</v>
      </c>
    </row>
    <row r="5108" customFormat="false" ht="15" hidden="false" customHeight="false" outlineLevel="0" collapsed="false">
      <c r="A5108" s="57" t="n">
        <v>41087</v>
      </c>
      <c r="B5108" s="56" t="n">
        <v>2012</v>
      </c>
      <c r="C5108" s="56" t="n">
        <v>6</v>
      </c>
      <c r="D5108" s="56" t="n">
        <v>58</v>
      </c>
      <c r="E5108" s="56" t="n">
        <v>27.6</v>
      </c>
      <c r="F5108" s="56" t="n">
        <v>0</v>
      </c>
      <c r="G5108" s="56" t="n">
        <v>17.4</v>
      </c>
      <c r="H5108" s="56" t="n">
        <v>0</v>
      </c>
      <c r="I5108" s="56" t="n">
        <v>20.4</v>
      </c>
      <c r="J5108" s="56" t="n">
        <v>0</v>
      </c>
      <c r="K5108" s="56" t="n">
        <v>1017.3</v>
      </c>
      <c r="L5108" s="56" t="n">
        <v>0</v>
      </c>
      <c r="M5108" s="56" t="n">
        <v>81</v>
      </c>
      <c r="N5108" s="56" t="n">
        <v>1.6</v>
      </c>
      <c r="O5108" s="56" t="n">
        <f aca="false">IF(D5108=1,"",E5107)</f>
        <v>23.4</v>
      </c>
      <c r="P5108" s="56" t="n">
        <f aca="false">IF(OR(D5108=1,K5107=""),"",K5107)</f>
        <v>1020</v>
      </c>
      <c r="Q5108" s="56" t="n">
        <f aca="false">IF(OR(F5108&lt;&gt;0,AND(I5108&lt;&gt;"",E5108&lt;I5108)),1,0)</f>
        <v>0</v>
      </c>
      <c r="R5108" s="56" t="n">
        <f aca="false">IF(AND(D5108&gt;1,Q5108=0,ISNUMBER(O5108),ISNUMBER(P5108)),IF(Q5107=0,1,0),0)</f>
        <v>1</v>
      </c>
      <c r="S5108" s="56" t="n">
        <f aca="false">R5108*(B5108&gt;=Train_Start)*(B5108&lt;=Train_End)</f>
        <v>0</v>
      </c>
      <c r="T5108" s="84" t="n">
        <f aca="false">IF(AND(ISNUMBER(O5108),ISNUMBER(P5108)),Coef_A+Coef_B1*O5108+Coef_B2*P5108,"")</f>
        <v>23.2568050658631</v>
      </c>
      <c r="U5108" s="84" t="n">
        <f aca="false">IF(AND(R5108=1,ISNUMBER(T5108)),E5108-T5108,"")</f>
        <v>4.34319493413694</v>
      </c>
      <c r="V5108" s="84" t="n">
        <f aca="false">IF(ISNUMBER(T5108),T5108,-99)</f>
        <v>23.2568050658631</v>
      </c>
      <c r="W5108" s="84" t="n">
        <f aca="false">IF(ISNUMBER(U5108),ABS(U5108),"")</f>
        <v>4.34319493413694</v>
      </c>
    </row>
    <row r="5109" customFormat="false" ht="15" hidden="false" customHeight="false" outlineLevel="0" collapsed="false">
      <c r="A5109" s="57" t="n">
        <v>41088</v>
      </c>
      <c r="B5109" s="56" t="n">
        <v>2012</v>
      </c>
      <c r="C5109" s="56" t="n">
        <v>6</v>
      </c>
      <c r="D5109" s="56" t="n">
        <v>59</v>
      </c>
      <c r="E5109" s="56" t="n">
        <v>21.6</v>
      </c>
      <c r="F5109" s="56" t="n">
        <v>1</v>
      </c>
      <c r="G5109" s="56" t="n">
        <v>16.7</v>
      </c>
      <c r="H5109" s="56" t="n">
        <v>0</v>
      </c>
      <c r="I5109" s="56" t="n">
        <v>22.2</v>
      </c>
      <c r="J5109" s="56" t="n">
        <v>1</v>
      </c>
      <c r="K5109" s="56" t="n">
        <v>1005.1</v>
      </c>
      <c r="L5109" s="56" t="n">
        <v>0</v>
      </c>
      <c r="M5109" s="56" t="n">
        <v>73</v>
      </c>
      <c r="N5109" s="56" t="n">
        <v>9.4</v>
      </c>
      <c r="O5109" s="56" t="n">
        <f aca="false">IF(D5109=1,"",E5108)</f>
        <v>27.6</v>
      </c>
      <c r="P5109" s="56" t="n">
        <f aca="false">IF(OR(D5109=1,K5108=""),"",K5108)</f>
        <v>1017.3</v>
      </c>
      <c r="Q5109" s="56" t="n">
        <f aca="false">IF(OR(F5109&lt;&gt;0,AND(I5109&lt;&gt;"",E5109&lt;I5109)),1,0)</f>
        <v>1</v>
      </c>
      <c r="R5109" s="56" t="n">
        <f aca="false">IF(AND(D5109&gt;1,Q5109=0,ISNUMBER(O5109),ISNUMBER(P5109)),IF(Q5108=0,1,0),0)</f>
        <v>0</v>
      </c>
      <c r="S5109" s="56" t="n">
        <f aca="false">R5109*(B5109&gt;=Train_Start)*(B5109&lt;=Train_End)</f>
        <v>0</v>
      </c>
      <c r="T5109" s="84" t="n">
        <f aca="false">IF(AND(ISNUMBER(O5109),ISNUMBER(P5109)),Coef_A+Coef_B1*O5109+Coef_B2*P5109,"")</f>
        <v>26.6133309611305</v>
      </c>
      <c r="U5109" s="84" t="str">
        <f aca="false">IF(AND(R5109=1,ISNUMBER(T5109)),E5109-T5109,"")</f>
        <v/>
      </c>
      <c r="V5109" s="84" t="n">
        <f aca="false">IF(ISNUMBER(T5109),T5109,-99)</f>
        <v>26.6133309611305</v>
      </c>
      <c r="W5109" s="84" t="str">
        <f aca="false">IF(ISNUMBER(U5109),ABS(U5109),"")</f>
        <v/>
      </c>
    </row>
    <row r="5110" customFormat="false" ht="15" hidden="false" customHeight="false" outlineLevel="0" collapsed="false">
      <c r="A5110" s="57" t="n">
        <v>41089</v>
      </c>
      <c r="B5110" s="56" t="n">
        <v>2012</v>
      </c>
      <c r="C5110" s="56" t="n">
        <v>6</v>
      </c>
      <c r="D5110" s="56" t="n">
        <v>60</v>
      </c>
      <c r="E5110" s="56" t="n">
        <v>21.6</v>
      </c>
      <c r="F5110" s="56" t="n">
        <v>0</v>
      </c>
      <c r="G5110" s="56" t="n">
        <v>13.5</v>
      </c>
      <c r="H5110" s="56" t="n">
        <v>0</v>
      </c>
      <c r="I5110" s="56" t="n">
        <v>17.6</v>
      </c>
      <c r="J5110" s="56" t="n">
        <v>0</v>
      </c>
      <c r="K5110" s="56" t="n">
        <v>1004.8</v>
      </c>
      <c r="L5110" s="56" t="n">
        <v>0</v>
      </c>
      <c r="M5110" s="56" t="n">
        <v>75</v>
      </c>
      <c r="N5110" s="56" t="n">
        <v>2.7</v>
      </c>
      <c r="O5110" s="56" t="n">
        <f aca="false">IF(D5110=1,"",E5109)</f>
        <v>21.6</v>
      </c>
      <c r="P5110" s="56" t="n">
        <f aca="false">IF(OR(D5110=1,K5109=""),"",K5109)</f>
        <v>1005.1</v>
      </c>
      <c r="Q5110" s="56" t="n">
        <f aca="false">IF(OR(F5110&lt;&gt;0,AND(I5110&lt;&gt;"",E5110&lt;I5110)),1,0)</f>
        <v>0</v>
      </c>
      <c r="R5110" s="56" t="n">
        <f aca="false">IF(AND(D5110&gt;1,Q5110=0,ISNUMBER(O5110),ISNUMBER(P5110)),IF(Q5109=0,1,0),0)</f>
        <v>0</v>
      </c>
      <c r="S5110" s="56" t="n">
        <f aca="false">R5110*(B5110&gt;=Train_Start)*(B5110&lt;=Train_End)</f>
        <v>0</v>
      </c>
      <c r="T5110" s="84" t="n">
        <f aca="false">IF(AND(ISNUMBER(O5110),ISNUMBER(P5110)),Coef_A+Coef_B1*O5110+Coef_B2*P5110,"")</f>
        <v>21.3145830883398</v>
      </c>
      <c r="U5110" s="84" t="str">
        <f aca="false">IF(AND(R5110=1,ISNUMBER(T5110)),E5110-T5110,"")</f>
        <v/>
      </c>
      <c r="V5110" s="84" t="n">
        <f aca="false">IF(ISNUMBER(T5110),T5110,-99)</f>
        <v>21.3145830883398</v>
      </c>
      <c r="W5110" s="84" t="str">
        <f aca="false">IF(ISNUMBER(U5110),ABS(U5110),"")</f>
        <v/>
      </c>
    </row>
    <row r="5111" customFormat="false" ht="15" hidden="false" customHeight="false" outlineLevel="0" collapsed="false">
      <c r="A5111" s="57" t="n">
        <v>41090</v>
      </c>
      <c r="B5111" s="56" t="n">
        <v>2012</v>
      </c>
      <c r="C5111" s="56" t="n">
        <v>6</v>
      </c>
      <c r="D5111" s="56" t="n">
        <v>61</v>
      </c>
      <c r="E5111" s="56" t="n">
        <v>19.3</v>
      </c>
      <c r="F5111" s="56" t="n">
        <v>0</v>
      </c>
      <c r="G5111" s="56" t="n">
        <v>15.2</v>
      </c>
      <c r="H5111" s="56" t="n">
        <v>0</v>
      </c>
      <c r="I5111" s="56" t="n">
        <v>18.4</v>
      </c>
      <c r="J5111" s="56" t="n">
        <v>0</v>
      </c>
      <c r="K5111" s="56" t="n">
        <v>1008.1</v>
      </c>
      <c r="L5111" s="56" t="n">
        <v>0</v>
      </c>
      <c r="M5111" s="56" t="n">
        <v>69</v>
      </c>
      <c r="N5111" s="56" t="n">
        <v>8.3</v>
      </c>
      <c r="O5111" s="56" t="n">
        <f aca="false">IF(D5111=1,"",E5110)</f>
        <v>21.6</v>
      </c>
      <c r="P5111" s="56" t="n">
        <f aca="false">IF(OR(D5111=1,K5110=""),"",K5110)</f>
        <v>1004.8</v>
      </c>
      <c r="Q5111" s="56" t="n">
        <f aca="false">IF(OR(F5111&lt;&gt;0,AND(I5111&lt;&gt;"",E5111&lt;I5111)),1,0)</f>
        <v>0</v>
      </c>
      <c r="R5111" s="56" t="n">
        <f aca="false">IF(AND(D5111&gt;1,Q5111=0,ISNUMBER(O5111),ISNUMBER(P5111)),IF(Q5110=0,1,0),0)</f>
        <v>1</v>
      </c>
      <c r="S5111" s="56" t="n">
        <f aca="false">R5111*(B5111&gt;=Train_Start)*(B5111&lt;=Train_End)</f>
        <v>0</v>
      </c>
      <c r="T5111" s="84" t="n">
        <f aca="false">IF(AND(ISNUMBER(O5111),ISNUMBER(P5111)),Coef_A+Coef_B1*O5111+Coef_B2*P5111,"")</f>
        <v>21.3051721199496</v>
      </c>
      <c r="U5111" s="84" t="n">
        <f aca="false">IF(AND(R5111=1,ISNUMBER(T5111)),E5111-T5111,"")</f>
        <v>-2.00517211994964</v>
      </c>
      <c r="V5111" s="84" t="n">
        <f aca="false">IF(ISNUMBER(T5111),T5111,-99)</f>
        <v>21.3051721199496</v>
      </c>
      <c r="W5111" s="84" t="n">
        <f aca="false">IF(ISNUMBER(U5111),ABS(U5111),"")</f>
        <v>2.00517211994964</v>
      </c>
    </row>
    <row r="5112" customFormat="false" ht="15" hidden="false" customHeight="false" outlineLevel="0" collapsed="false">
      <c r="A5112" s="57" t="n">
        <v>41091</v>
      </c>
      <c r="B5112" s="56" t="n">
        <v>2012</v>
      </c>
      <c r="C5112" s="56" t="n">
        <v>7</v>
      </c>
      <c r="D5112" s="56" t="n">
        <v>62</v>
      </c>
      <c r="E5112" s="56" t="n">
        <v>17.9</v>
      </c>
      <c r="F5112" s="56" t="n">
        <v>0</v>
      </c>
      <c r="G5112" s="56" t="n">
        <v>10.6</v>
      </c>
      <c r="H5112" s="56" t="n">
        <v>0</v>
      </c>
      <c r="I5112" s="56" t="n">
        <v>15</v>
      </c>
      <c r="J5112" s="56" t="n">
        <v>0</v>
      </c>
      <c r="K5112" s="56" t="n">
        <v>1014.4</v>
      </c>
      <c r="L5112" s="56" t="n">
        <v>0</v>
      </c>
      <c r="M5112" s="56" t="n">
        <v>69</v>
      </c>
      <c r="N5112" s="56" t="n">
        <v>7.2</v>
      </c>
      <c r="O5112" s="56" t="n">
        <f aca="false">IF(D5112=1,"",E5111)</f>
        <v>19.3</v>
      </c>
      <c r="P5112" s="56" t="n">
        <f aca="false">IF(OR(D5112=1,K5111=""),"",K5111)</f>
        <v>1008.1</v>
      </c>
      <c r="Q5112" s="56" t="n">
        <f aca="false">IF(OR(F5112&lt;&gt;0,AND(I5112&lt;&gt;"",E5112&lt;I5112)),1,0)</f>
        <v>0</v>
      </c>
      <c r="R5112" s="56" t="n">
        <f aca="false">IF(AND(D5112&gt;1,Q5112=0,ISNUMBER(O5112),ISNUMBER(P5112)),IF(Q5111=0,1,0),0)</f>
        <v>1</v>
      </c>
      <c r="S5112" s="56" t="n">
        <f aca="false">R5112*(B5112&gt;=Train_Start)*(B5112&lt;=Train_End)</f>
        <v>0</v>
      </c>
      <c r="T5112" s="84" t="n">
        <f aca="false">IF(AND(ISNUMBER(O5112),ISNUMBER(P5112)),Coef_A+Coef_B1*O5112+Coef_B2*P5112,"")</f>
        <v>19.5242126282437</v>
      </c>
      <c r="U5112" s="84" t="n">
        <f aca="false">IF(AND(R5112=1,ISNUMBER(T5112)),E5112-T5112,"")</f>
        <v>-1.6242126282437</v>
      </c>
      <c r="V5112" s="84" t="n">
        <f aca="false">IF(ISNUMBER(T5112),T5112,-99)</f>
        <v>19.5242126282437</v>
      </c>
      <c r="W5112" s="84" t="n">
        <f aca="false">IF(ISNUMBER(U5112),ABS(U5112),"")</f>
        <v>1.6242126282437</v>
      </c>
    </row>
    <row r="5113" customFormat="false" ht="15" hidden="false" customHeight="false" outlineLevel="0" collapsed="false">
      <c r="A5113" s="57" t="n">
        <v>41092</v>
      </c>
      <c r="B5113" s="56" t="n">
        <v>2012</v>
      </c>
      <c r="C5113" s="56" t="n">
        <v>7</v>
      </c>
      <c r="D5113" s="56" t="n">
        <v>63</v>
      </c>
      <c r="E5113" s="56" t="n">
        <v>19.3</v>
      </c>
      <c r="F5113" s="56" t="n">
        <v>0</v>
      </c>
      <c r="G5113" s="56" t="n">
        <v>12.4</v>
      </c>
      <c r="H5113" s="56" t="n">
        <v>0</v>
      </c>
      <c r="I5113" s="56" t="n">
        <v>15.2</v>
      </c>
      <c r="J5113" s="56" t="n">
        <v>0</v>
      </c>
      <c r="K5113" s="56" t="n">
        <v>1015.2</v>
      </c>
      <c r="L5113" s="56" t="n">
        <v>0</v>
      </c>
      <c r="M5113" s="56" t="n">
        <v>84</v>
      </c>
      <c r="N5113" s="56" t="n">
        <v>0</v>
      </c>
      <c r="O5113" s="56" t="n">
        <f aca="false">IF(D5113=1,"",E5112)</f>
        <v>17.9</v>
      </c>
      <c r="P5113" s="56" t="n">
        <f aca="false">IF(OR(D5113=1,K5112=""),"",K5112)</f>
        <v>1014.4</v>
      </c>
      <c r="Q5113" s="56" t="n">
        <f aca="false">IF(OR(F5113&lt;&gt;0,AND(I5113&lt;&gt;"",E5113&lt;I5113)),1,0)</f>
        <v>0</v>
      </c>
      <c r="R5113" s="56" t="n">
        <f aca="false">IF(AND(D5113&gt;1,Q5113=0,ISNUMBER(O5113),ISNUMBER(P5113)),IF(Q5112=0,1,0),0)</f>
        <v>1</v>
      </c>
      <c r="S5113" s="56" t="n">
        <f aca="false">R5113*(B5113&gt;=Train_Start)*(B5113&lt;=Train_End)</f>
        <v>0</v>
      </c>
      <c r="T5113" s="84" t="n">
        <f aca="false">IF(AND(ISNUMBER(O5113),ISNUMBER(P5113)),Coef_A+Coef_B1*O5113+Coef_B2*P5113,"")</f>
        <v>18.5747680941781</v>
      </c>
      <c r="U5113" s="84" t="n">
        <f aca="false">IF(AND(R5113=1,ISNUMBER(T5113)),E5113-T5113,"")</f>
        <v>0.725231905821897</v>
      </c>
      <c r="V5113" s="84" t="n">
        <f aca="false">IF(ISNUMBER(T5113),T5113,-99)</f>
        <v>18.5747680941781</v>
      </c>
      <c r="W5113" s="84" t="n">
        <f aca="false">IF(ISNUMBER(U5113),ABS(U5113),"")</f>
        <v>0.725231905821897</v>
      </c>
    </row>
    <row r="5114" customFormat="false" ht="15" hidden="false" customHeight="false" outlineLevel="0" collapsed="false">
      <c r="A5114" s="57" t="n">
        <v>41093</v>
      </c>
      <c r="B5114" s="56" t="n">
        <v>2012</v>
      </c>
      <c r="C5114" s="56" t="n">
        <v>7</v>
      </c>
      <c r="D5114" s="56" t="n">
        <v>64</v>
      </c>
      <c r="E5114" s="56" t="n">
        <v>22.2</v>
      </c>
      <c r="F5114" s="56" t="n">
        <v>0</v>
      </c>
      <c r="G5114" s="56" t="n">
        <v>14.7</v>
      </c>
      <c r="H5114" s="56" t="n">
        <v>0</v>
      </c>
      <c r="I5114" s="56" t="n">
        <v>17</v>
      </c>
      <c r="J5114" s="56" t="n">
        <v>0</v>
      </c>
      <c r="K5114" s="56" t="n">
        <v>1013.5</v>
      </c>
      <c r="L5114" s="56" t="n">
        <v>0</v>
      </c>
      <c r="M5114" s="56" t="n">
        <v>90</v>
      </c>
      <c r="N5114" s="56" t="n">
        <v>0</v>
      </c>
      <c r="O5114" s="56" t="n">
        <f aca="false">IF(D5114=1,"",E5113)</f>
        <v>19.3</v>
      </c>
      <c r="P5114" s="56" t="n">
        <f aca="false">IF(OR(D5114=1,K5113=""),"",K5113)</f>
        <v>1015.2</v>
      </c>
      <c r="Q5114" s="56" t="n">
        <f aca="false">IF(OR(F5114&lt;&gt;0,AND(I5114&lt;&gt;"",E5114&lt;I5114)),1,0)</f>
        <v>0</v>
      </c>
      <c r="R5114" s="56" t="n">
        <f aca="false">IF(AND(D5114&gt;1,Q5114=0,ISNUMBER(O5114),ISNUMBER(P5114)),IF(Q5113=0,1,0),0)</f>
        <v>1</v>
      </c>
      <c r="S5114" s="56" t="n">
        <f aca="false">R5114*(B5114&gt;=Train_Start)*(B5114&lt;=Train_End)</f>
        <v>0</v>
      </c>
      <c r="T5114" s="84" t="n">
        <f aca="false">IF(AND(ISNUMBER(O5114),ISNUMBER(P5114)),Coef_A+Coef_B1*O5114+Coef_B2*P5114,"")</f>
        <v>19.746938880145</v>
      </c>
      <c r="U5114" s="84" t="n">
        <f aca="false">IF(AND(R5114=1,ISNUMBER(T5114)),E5114-T5114,"")</f>
        <v>2.45306111985498</v>
      </c>
      <c r="V5114" s="84" t="n">
        <f aca="false">IF(ISNUMBER(T5114),T5114,-99)</f>
        <v>19.746938880145</v>
      </c>
      <c r="W5114" s="84" t="n">
        <f aca="false">IF(ISNUMBER(U5114),ABS(U5114),"")</f>
        <v>2.45306111985498</v>
      </c>
    </row>
    <row r="5115" customFormat="false" ht="15" hidden="false" customHeight="false" outlineLevel="0" collapsed="false">
      <c r="A5115" s="57" t="n">
        <v>41094</v>
      </c>
      <c r="B5115" s="56" t="n">
        <v>2012</v>
      </c>
      <c r="C5115" s="56" t="n">
        <v>7</v>
      </c>
      <c r="D5115" s="56" t="n">
        <v>65</v>
      </c>
      <c r="E5115" s="56" t="n">
        <v>22.5</v>
      </c>
      <c r="F5115" s="56" t="n">
        <v>0</v>
      </c>
      <c r="G5115" s="56" t="n">
        <v>15.7</v>
      </c>
      <c r="H5115" s="56" t="n">
        <v>0</v>
      </c>
      <c r="I5115" s="56" t="n">
        <v>19</v>
      </c>
      <c r="J5115" s="56" t="n">
        <v>0</v>
      </c>
      <c r="K5115" s="56" t="n">
        <v>1009.4</v>
      </c>
      <c r="L5115" s="56" t="n">
        <v>0</v>
      </c>
      <c r="M5115" s="56" t="n">
        <v>86</v>
      </c>
      <c r="N5115" s="56" t="n">
        <v>1.7</v>
      </c>
      <c r="O5115" s="56" t="n">
        <f aca="false">IF(D5115=1,"",E5114)</f>
        <v>22.2</v>
      </c>
      <c r="P5115" s="56" t="n">
        <f aca="false">IF(OR(D5115=1,K5114=""),"",K5114)</f>
        <v>1013.5</v>
      </c>
      <c r="Q5115" s="56" t="n">
        <f aca="false">IF(OR(F5115&lt;&gt;0,AND(I5115&lt;&gt;"",E5115&lt;I5115)),1,0)</f>
        <v>0</v>
      </c>
      <c r="R5115" s="56" t="n">
        <f aca="false">IF(AND(D5115&gt;1,Q5115=0,ISNUMBER(O5115),ISNUMBER(P5115)),IF(Q5114=0,1,0),0)</f>
        <v>1</v>
      </c>
      <c r="S5115" s="56" t="n">
        <f aca="false">R5115*(B5115&gt;=Train_Start)*(B5115&lt;=Train_End)</f>
        <v>0</v>
      </c>
      <c r="T5115" s="84" t="n">
        <f aca="false">IF(AND(ISNUMBER(O5115),ISNUMBER(P5115)),Coef_A+Coef_B1*O5115+Coef_B2*P5115,"")</f>
        <v>22.0696937190909</v>
      </c>
      <c r="U5115" s="84" t="n">
        <f aca="false">IF(AND(R5115=1,ISNUMBER(T5115)),E5115-T5115,"")</f>
        <v>0.430306280909054</v>
      </c>
      <c r="V5115" s="84" t="n">
        <f aca="false">IF(ISNUMBER(T5115),T5115,-99)</f>
        <v>22.0696937190909</v>
      </c>
      <c r="W5115" s="84" t="n">
        <f aca="false">IF(ISNUMBER(U5115),ABS(U5115),"")</f>
        <v>0.430306280909054</v>
      </c>
    </row>
    <row r="5116" customFormat="false" ht="15" hidden="false" customHeight="false" outlineLevel="0" collapsed="false">
      <c r="A5116" s="57" t="n">
        <v>41095</v>
      </c>
      <c r="B5116" s="56" t="n">
        <v>2012</v>
      </c>
      <c r="C5116" s="56" t="n">
        <v>7</v>
      </c>
      <c r="D5116" s="56" t="n">
        <v>66</v>
      </c>
      <c r="E5116" s="56" t="n">
        <v>19</v>
      </c>
      <c r="F5116" s="56" t="n">
        <v>0</v>
      </c>
      <c r="G5116" s="56" t="n">
        <v>13.7</v>
      </c>
      <c r="H5116" s="56" t="n">
        <v>0</v>
      </c>
      <c r="I5116" s="56" t="n">
        <v>18.1</v>
      </c>
      <c r="J5116" s="56" t="n">
        <v>0</v>
      </c>
      <c r="K5116" s="56" t="n">
        <v>1009.3</v>
      </c>
      <c r="L5116" s="56" t="n">
        <v>0</v>
      </c>
      <c r="M5116" s="56" t="n">
        <v>72</v>
      </c>
      <c r="N5116" s="56" t="n">
        <v>4.2</v>
      </c>
      <c r="O5116" s="56" t="n">
        <f aca="false">IF(D5116=1,"",E5115)</f>
        <v>22.5</v>
      </c>
      <c r="P5116" s="56" t="n">
        <f aca="false">IF(OR(D5116=1,K5115=""),"",K5115)</f>
        <v>1009.4</v>
      </c>
      <c r="Q5116" s="56" t="n">
        <f aca="false">IF(OR(F5116&lt;&gt;0,AND(I5116&lt;&gt;"",E5116&lt;I5116)),1,0)</f>
        <v>0</v>
      </c>
      <c r="R5116" s="56" t="n">
        <f aca="false">IF(AND(D5116&gt;1,Q5116=0,ISNUMBER(O5116),ISNUMBER(P5116)),IF(Q5115=0,1,0),0)</f>
        <v>1</v>
      </c>
      <c r="S5116" s="56" t="n">
        <f aca="false">R5116*(B5116&gt;=Train_Start)*(B5116&lt;=Train_End)</f>
        <v>0</v>
      </c>
      <c r="T5116" s="84" t="n">
        <f aca="false">IF(AND(ISNUMBER(O5116),ISNUMBER(P5116)),Coef_A+Coef_B1*O5116+Coef_B2*P5116,"")</f>
        <v>22.1868789090044</v>
      </c>
      <c r="U5116" s="84" t="n">
        <f aca="false">IF(AND(R5116=1,ISNUMBER(T5116)),E5116-T5116,"")</f>
        <v>-3.18687890900438</v>
      </c>
      <c r="V5116" s="84" t="n">
        <f aca="false">IF(ISNUMBER(T5116),T5116,-99)</f>
        <v>22.1868789090044</v>
      </c>
      <c r="W5116" s="84" t="n">
        <f aca="false">IF(ISNUMBER(U5116),ABS(U5116),"")</f>
        <v>3.18687890900438</v>
      </c>
    </row>
    <row r="5117" customFormat="false" ht="15" hidden="false" customHeight="false" outlineLevel="0" collapsed="false">
      <c r="A5117" s="57" t="n">
        <v>41096</v>
      </c>
      <c r="B5117" s="56" t="n">
        <v>2012</v>
      </c>
      <c r="C5117" s="56" t="n">
        <v>7</v>
      </c>
      <c r="D5117" s="56" t="n">
        <v>67</v>
      </c>
      <c r="E5117" s="56" t="n">
        <v>19.4</v>
      </c>
      <c r="F5117" s="56" t="n">
        <v>0</v>
      </c>
      <c r="G5117" s="56" t="n">
        <v>15</v>
      </c>
      <c r="H5117" s="56" t="n">
        <v>0</v>
      </c>
      <c r="I5117" s="56" t="n">
        <v>17</v>
      </c>
      <c r="J5117" s="56" t="n">
        <v>0</v>
      </c>
      <c r="K5117" s="56" t="n">
        <v>1007.4</v>
      </c>
      <c r="L5117" s="56" t="n">
        <v>0</v>
      </c>
      <c r="M5117" s="56" t="n">
        <v>85</v>
      </c>
      <c r="N5117" s="56" t="n">
        <v>1.3</v>
      </c>
      <c r="O5117" s="56" t="n">
        <f aca="false">IF(D5117=1,"",E5116)</f>
        <v>19</v>
      </c>
      <c r="P5117" s="56" t="n">
        <f aca="false">IF(OR(D5117=1,K5116=""),"",K5116)</f>
        <v>1009.3</v>
      </c>
      <c r="Q5117" s="56" t="n">
        <f aca="false">IF(OR(F5117&lt;&gt;0,AND(I5117&lt;&gt;"",E5117&lt;I5117)),1,0)</f>
        <v>0</v>
      </c>
      <c r="R5117" s="56" t="n">
        <f aca="false">IF(AND(D5117&gt;1,Q5117=0,ISNUMBER(O5117),ISNUMBER(P5117)),IF(Q5116=0,1,0),0)</f>
        <v>1</v>
      </c>
      <c r="S5117" s="56" t="n">
        <f aca="false">R5117*(B5117&gt;=Train_Start)*(B5117&lt;=Train_End)</f>
        <v>0</v>
      </c>
      <c r="T5117" s="84" t="n">
        <f aca="false">IF(AND(ISNUMBER(O5117),ISNUMBER(P5117)),Coef_A+Coef_B1*O5117+Coef_B2*P5117,"")</f>
        <v>19.3160547438917</v>
      </c>
      <c r="U5117" s="84" t="n">
        <f aca="false">IF(AND(R5117=1,ISNUMBER(T5117)),E5117-T5117,"")</f>
        <v>0.0839452561083149</v>
      </c>
      <c r="V5117" s="84" t="n">
        <f aca="false">IF(ISNUMBER(T5117),T5117,-99)</f>
        <v>19.3160547438917</v>
      </c>
      <c r="W5117" s="84" t="n">
        <f aca="false">IF(ISNUMBER(U5117),ABS(U5117),"")</f>
        <v>0.0839452561083149</v>
      </c>
    </row>
    <row r="5118" customFormat="false" ht="15" hidden="false" customHeight="false" outlineLevel="0" collapsed="false">
      <c r="A5118" s="57" t="n">
        <v>41097</v>
      </c>
      <c r="B5118" s="56" t="n">
        <v>2012</v>
      </c>
      <c r="C5118" s="56" t="n">
        <v>7</v>
      </c>
      <c r="D5118" s="56" t="n">
        <v>68</v>
      </c>
      <c r="E5118" s="56" t="n">
        <v>22</v>
      </c>
      <c r="F5118" s="56" t="n">
        <v>0</v>
      </c>
      <c r="G5118" s="56" t="n">
        <v>12</v>
      </c>
      <c r="H5118" s="56" t="n">
        <v>0</v>
      </c>
      <c r="I5118" s="56" t="n">
        <v>15.7</v>
      </c>
      <c r="J5118" s="56" t="n">
        <v>0</v>
      </c>
      <c r="K5118" s="56" t="n">
        <v>1007</v>
      </c>
      <c r="L5118" s="56" t="n">
        <v>0</v>
      </c>
      <c r="M5118" s="56" t="n">
        <v>82</v>
      </c>
      <c r="N5118" s="56" t="n">
        <v>1.8</v>
      </c>
      <c r="O5118" s="56" t="n">
        <f aca="false">IF(D5118=1,"",E5117)</f>
        <v>19.4</v>
      </c>
      <c r="P5118" s="56" t="n">
        <f aca="false">IF(OR(D5118=1,K5117=""),"",K5117)</f>
        <v>1007.4</v>
      </c>
      <c r="Q5118" s="56" t="n">
        <f aca="false">IF(OR(F5118&lt;&gt;0,AND(I5118&lt;&gt;"",E5118&lt;I5118)),1,0)</f>
        <v>0</v>
      </c>
      <c r="R5118" s="56" t="n">
        <f aca="false">IF(AND(D5118&gt;1,Q5118=0,ISNUMBER(O5118),ISNUMBER(P5118)),IF(Q5117=0,1,0),0)</f>
        <v>1</v>
      </c>
      <c r="S5118" s="56" t="n">
        <f aca="false">R5118*(B5118&gt;=Train_Start)*(B5118&lt;=Train_End)</f>
        <v>0</v>
      </c>
      <c r="T5118" s="84" t="n">
        <f aca="false">IF(AND(ISNUMBER(O5118),ISNUMBER(P5118)),Coef_A+Coef_B1*O5118+Coef_B2*P5118,"")</f>
        <v>19.5841876213042</v>
      </c>
      <c r="U5118" s="84" t="n">
        <f aca="false">IF(AND(R5118=1,ISNUMBER(T5118)),E5118-T5118,"")</f>
        <v>2.41581237869583</v>
      </c>
      <c r="V5118" s="84" t="n">
        <f aca="false">IF(ISNUMBER(T5118),T5118,-99)</f>
        <v>19.5841876213042</v>
      </c>
      <c r="W5118" s="84" t="n">
        <f aca="false">IF(ISNUMBER(U5118),ABS(U5118),"")</f>
        <v>2.41581237869583</v>
      </c>
    </row>
    <row r="5119" customFormat="false" ht="15" hidden="false" customHeight="false" outlineLevel="0" collapsed="false">
      <c r="A5119" s="57" t="n">
        <v>41098</v>
      </c>
      <c r="B5119" s="56" t="n">
        <v>2012</v>
      </c>
      <c r="C5119" s="56" t="n">
        <v>7</v>
      </c>
      <c r="D5119" s="56" t="n">
        <v>69</v>
      </c>
      <c r="E5119" s="56" t="n">
        <v>18.8</v>
      </c>
      <c r="F5119" s="56" t="n">
        <v>0</v>
      </c>
      <c r="G5119" s="56" t="n">
        <v>14.1</v>
      </c>
      <c r="H5119" s="56" t="n">
        <v>0</v>
      </c>
      <c r="I5119" s="56" t="n">
        <v>18.1</v>
      </c>
      <c r="J5119" s="56" t="n">
        <v>0</v>
      </c>
      <c r="K5119" s="56" t="n">
        <v>1005.7</v>
      </c>
      <c r="L5119" s="56" t="n">
        <v>0</v>
      </c>
      <c r="M5119" s="56" t="n">
        <v>82</v>
      </c>
      <c r="N5119" s="56" t="n">
        <v>4</v>
      </c>
      <c r="O5119" s="56" t="n">
        <f aca="false">IF(D5119=1,"",E5118)</f>
        <v>22</v>
      </c>
      <c r="P5119" s="56" t="n">
        <f aca="false">IF(OR(D5119=1,K5118=""),"",K5118)</f>
        <v>1007</v>
      </c>
      <c r="Q5119" s="56" t="n">
        <f aca="false">IF(OR(F5119&lt;&gt;0,AND(I5119&lt;&gt;"",E5119&lt;I5119)),1,0)</f>
        <v>0</v>
      </c>
      <c r="R5119" s="56" t="n">
        <f aca="false">IF(AND(D5119&gt;1,Q5119=0,ISNUMBER(O5119),ISNUMBER(P5119)),IF(Q5118=0,1,0),0)</f>
        <v>1</v>
      </c>
      <c r="S5119" s="56" t="n">
        <f aca="false">R5119*(B5119&gt;=Train_Start)*(B5119&lt;=Train_End)</f>
        <v>0</v>
      </c>
      <c r="T5119" s="84" t="n">
        <f aca="false">IF(AND(ISNUMBER(O5119),ISNUMBER(P5119)),Coef_A+Coef_B1*O5119+Coef_B2*P5119,"")</f>
        <v>21.7019215653615</v>
      </c>
      <c r="U5119" s="84" t="n">
        <f aca="false">IF(AND(R5119=1,ISNUMBER(T5119)),E5119-T5119,"")</f>
        <v>-2.90192156536148</v>
      </c>
      <c r="V5119" s="84" t="n">
        <f aca="false">IF(ISNUMBER(T5119),T5119,-99)</f>
        <v>21.7019215653615</v>
      </c>
      <c r="W5119" s="84" t="n">
        <f aca="false">IF(ISNUMBER(U5119),ABS(U5119),"")</f>
        <v>2.90192156536148</v>
      </c>
    </row>
    <row r="5120" customFormat="false" ht="15" hidden="false" customHeight="false" outlineLevel="0" collapsed="false">
      <c r="A5120" s="57" t="n">
        <v>41099</v>
      </c>
      <c r="B5120" s="56" t="n">
        <v>2012</v>
      </c>
      <c r="C5120" s="56" t="n">
        <v>7</v>
      </c>
      <c r="D5120" s="56" t="n">
        <v>70</v>
      </c>
      <c r="E5120" s="56" t="n">
        <v>18.7</v>
      </c>
      <c r="F5120" s="56" t="n">
        <v>0</v>
      </c>
      <c r="G5120" s="56" t="n">
        <v>14.4</v>
      </c>
      <c r="H5120" s="56" t="n">
        <v>0</v>
      </c>
      <c r="I5120" s="56" t="n">
        <v>16.6</v>
      </c>
      <c r="J5120" s="56" t="n">
        <v>0</v>
      </c>
      <c r="K5120" s="56" t="n">
        <v>1011.1</v>
      </c>
      <c r="L5120" s="56" t="n">
        <v>0</v>
      </c>
      <c r="M5120" s="56" t="n">
        <v>83</v>
      </c>
      <c r="N5120" s="56" t="n">
        <v>0</v>
      </c>
      <c r="O5120" s="56" t="n">
        <f aca="false">IF(D5120=1,"",E5119)</f>
        <v>18.8</v>
      </c>
      <c r="P5120" s="56" t="n">
        <f aca="false">IF(OR(D5120=1,K5119=""),"",K5119)</f>
        <v>1005.7</v>
      </c>
      <c r="Q5120" s="56" t="n">
        <f aca="false">IF(OR(F5120&lt;&gt;0,AND(I5120&lt;&gt;"",E5120&lt;I5120)),1,0)</f>
        <v>0</v>
      </c>
      <c r="R5120" s="56" t="n">
        <f aca="false">IF(AND(D5120&gt;1,Q5120=0,ISNUMBER(O5120),ISNUMBER(P5120)),IF(Q5119=0,1,0),0)</f>
        <v>1</v>
      </c>
      <c r="S5120" s="56" t="n">
        <f aca="false">R5120*(B5120&gt;=Train_Start)*(B5120&lt;=Train_End)</f>
        <v>0</v>
      </c>
      <c r="T5120" s="84" t="n">
        <f aca="false">IF(AND(ISNUMBER(O5120),ISNUMBER(P5120)),Coef_A+Coef_B1*O5120+Coef_B2*P5120,"")</f>
        <v>19.0392552846008</v>
      </c>
      <c r="U5120" s="84" t="n">
        <f aca="false">IF(AND(R5120=1,ISNUMBER(T5120)),E5120-T5120,"")</f>
        <v>-0.339255284600796</v>
      </c>
      <c r="V5120" s="84" t="n">
        <f aca="false">IF(ISNUMBER(T5120),T5120,-99)</f>
        <v>19.0392552846008</v>
      </c>
      <c r="W5120" s="84" t="n">
        <f aca="false">IF(ISNUMBER(U5120),ABS(U5120),"")</f>
        <v>0.339255284600796</v>
      </c>
    </row>
    <row r="5121" customFormat="false" ht="15" hidden="false" customHeight="false" outlineLevel="0" collapsed="false">
      <c r="A5121" s="57" t="n">
        <v>41100</v>
      </c>
      <c r="B5121" s="56" t="n">
        <v>2012</v>
      </c>
      <c r="C5121" s="56" t="n">
        <v>7</v>
      </c>
      <c r="D5121" s="56" t="n">
        <v>71</v>
      </c>
      <c r="E5121" s="56" t="n">
        <v>20.2</v>
      </c>
      <c r="F5121" s="56" t="n">
        <v>0</v>
      </c>
      <c r="G5121" s="56" t="n">
        <v>13.1</v>
      </c>
      <c r="H5121" s="56" t="n">
        <v>0</v>
      </c>
      <c r="I5121" s="56" t="n">
        <v>15.9</v>
      </c>
      <c r="J5121" s="56" t="n">
        <v>0</v>
      </c>
      <c r="K5121" s="56" t="n">
        <v>1010.8</v>
      </c>
      <c r="L5121" s="56" t="n">
        <v>0</v>
      </c>
      <c r="M5121" s="56" t="n">
        <v>83</v>
      </c>
      <c r="N5121" s="56" t="n">
        <v>1.7</v>
      </c>
      <c r="O5121" s="56" t="n">
        <f aca="false">IF(D5121=1,"",E5120)</f>
        <v>18.7</v>
      </c>
      <c r="P5121" s="56" t="n">
        <f aca="false">IF(OR(D5121=1,K5120=""),"",K5120)</f>
        <v>1011.1</v>
      </c>
      <c r="Q5121" s="56" t="n">
        <f aca="false">IF(OR(F5121&lt;&gt;0,AND(I5121&lt;&gt;"",E5121&lt;I5121)),1,0)</f>
        <v>0</v>
      </c>
      <c r="R5121" s="56" t="n">
        <f aca="false">IF(AND(D5121&gt;1,Q5121=0,ISNUMBER(O5121),ISNUMBER(P5121)),IF(Q5120=0,1,0),0)</f>
        <v>1</v>
      </c>
      <c r="S5121" s="56" t="n">
        <f aca="false">R5121*(B5121&gt;=Train_Start)*(B5121&lt;=Train_End)</f>
        <v>0</v>
      </c>
      <c r="T5121" s="84" t="n">
        <f aca="false">IF(AND(ISNUMBER(O5121),ISNUMBER(P5121)),Coef_A+Coef_B1*O5121+Coef_B2*P5121,"")</f>
        <v>19.1267187963201</v>
      </c>
      <c r="U5121" s="84" t="n">
        <f aca="false">IF(AND(R5121=1,ISNUMBER(T5121)),E5121-T5121,"")</f>
        <v>1.07328120367993</v>
      </c>
      <c r="V5121" s="84" t="n">
        <f aca="false">IF(ISNUMBER(T5121),T5121,-99)</f>
        <v>19.1267187963201</v>
      </c>
      <c r="W5121" s="84" t="n">
        <f aca="false">IF(ISNUMBER(U5121),ABS(U5121),"")</f>
        <v>1.07328120367993</v>
      </c>
    </row>
    <row r="5122" customFormat="false" ht="15" hidden="false" customHeight="false" outlineLevel="0" collapsed="false">
      <c r="A5122" s="57" t="n">
        <v>41101</v>
      </c>
      <c r="B5122" s="56" t="n">
        <v>2012</v>
      </c>
      <c r="C5122" s="56" t="n">
        <v>7</v>
      </c>
      <c r="D5122" s="56" t="n">
        <v>72</v>
      </c>
      <c r="E5122" s="56" t="n">
        <v>19.3</v>
      </c>
      <c r="F5122" s="56" t="n">
        <v>0</v>
      </c>
      <c r="G5122" s="56" t="n">
        <v>11.8</v>
      </c>
      <c r="H5122" s="56" t="n">
        <v>0</v>
      </c>
      <c r="I5122" s="56" t="n">
        <v>16</v>
      </c>
      <c r="J5122" s="56" t="n">
        <v>0</v>
      </c>
      <c r="K5122" s="56" t="n">
        <v>1010.9</v>
      </c>
      <c r="L5122" s="56" t="n">
        <v>0</v>
      </c>
      <c r="M5122" s="56" t="n">
        <v>75</v>
      </c>
      <c r="N5122" s="56" t="n">
        <v>7.8</v>
      </c>
      <c r="O5122" s="56" t="n">
        <f aca="false">IF(D5122=1,"",E5121)</f>
        <v>20.2</v>
      </c>
      <c r="P5122" s="56" t="n">
        <f aca="false">IF(OR(D5122=1,K5121=""),"",K5121)</f>
        <v>1010.8</v>
      </c>
      <c r="Q5122" s="56" t="n">
        <f aca="false">IF(OR(F5122&lt;&gt;0,AND(I5122&lt;&gt;"",E5122&lt;I5122)),1,0)</f>
        <v>0</v>
      </c>
      <c r="R5122" s="56" t="n">
        <f aca="false">IF(AND(D5122&gt;1,Q5122=0,ISNUMBER(O5122),ISNUMBER(P5122)),IF(Q5121=0,1,0),0)</f>
        <v>1</v>
      </c>
      <c r="S5122" s="56" t="n">
        <f aca="false">R5122*(B5122&gt;=Train_Start)*(B5122&lt;=Train_End)</f>
        <v>0</v>
      </c>
      <c r="T5122" s="84" t="n">
        <f aca="false">IF(AND(ISNUMBER(O5122),ISNUMBER(P5122)),Coef_A+Coef_B1*O5122+Coef_B2*P5122,"")</f>
        <v>20.3463166174939</v>
      </c>
      <c r="U5122" s="84" t="n">
        <f aca="false">IF(AND(R5122=1,ISNUMBER(T5122)),E5122-T5122,"")</f>
        <v>-1.04631661749385</v>
      </c>
      <c r="V5122" s="84" t="n">
        <f aca="false">IF(ISNUMBER(T5122),T5122,-99)</f>
        <v>20.3463166174939</v>
      </c>
      <c r="W5122" s="84" t="n">
        <f aca="false">IF(ISNUMBER(U5122),ABS(U5122),"")</f>
        <v>1.04631661749385</v>
      </c>
    </row>
    <row r="5123" customFormat="false" ht="15" hidden="false" customHeight="false" outlineLevel="0" collapsed="false">
      <c r="A5123" s="57" t="n">
        <v>41102</v>
      </c>
      <c r="B5123" s="56" t="n">
        <v>2012</v>
      </c>
      <c r="C5123" s="56" t="n">
        <v>7</v>
      </c>
      <c r="D5123" s="56" t="n">
        <v>73</v>
      </c>
      <c r="E5123" s="56" t="n">
        <v>20.1</v>
      </c>
      <c r="F5123" s="56" t="n">
        <v>0</v>
      </c>
      <c r="G5123" s="56" t="n">
        <v>9.6</v>
      </c>
      <c r="H5123" s="56" t="n">
        <v>0</v>
      </c>
      <c r="I5123" s="56" t="n">
        <v>14.5</v>
      </c>
      <c r="J5123" s="56" t="n">
        <v>0</v>
      </c>
      <c r="K5123" s="56" t="n">
        <v>1011.9</v>
      </c>
      <c r="L5123" s="56" t="n">
        <v>0</v>
      </c>
      <c r="M5123" s="56" t="n">
        <v>81</v>
      </c>
      <c r="N5123" s="56" t="n">
        <v>7.2</v>
      </c>
      <c r="O5123" s="56" t="n">
        <f aca="false">IF(D5123=1,"",E5122)</f>
        <v>19.3</v>
      </c>
      <c r="P5123" s="56" t="n">
        <f aca="false">IF(OR(D5123=1,K5122=""),"",K5122)</f>
        <v>1010.9</v>
      </c>
      <c r="Q5123" s="56" t="n">
        <f aca="false">IF(OR(F5123&lt;&gt;0,AND(I5123&lt;&gt;"",E5123&lt;I5123)),1,0)</f>
        <v>0</v>
      </c>
      <c r="R5123" s="56" t="n">
        <f aca="false">IF(AND(D5123&gt;1,Q5123=0,ISNUMBER(O5123),ISNUMBER(P5123)),IF(Q5122=0,1,0),0)</f>
        <v>1</v>
      </c>
      <c r="S5123" s="56" t="n">
        <f aca="false">R5123*(B5123&gt;=Train_Start)*(B5123&lt;=Train_End)</f>
        <v>0</v>
      </c>
      <c r="T5123" s="84" t="n">
        <f aca="false">IF(AND(ISNUMBER(O5123),ISNUMBER(P5123)),Coef_A+Coef_B1*O5123+Coef_B2*P5123,"")</f>
        <v>19.6120483332189</v>
      </c>
      <c r="U5123" s="84" t="n">
        <f aca="false">IF(AND(R5123=1,ISNUMBER(T5123)),E5123-T5123,"")</f>
        <v>0.487951666781136</v>
      </c>
      <c r="V5123" s="84" t="n">
        <f aca="false">IF(ISNUMBER(T5123),T5123,-99)</f>
        <v>19.6120483332189</v>
      </c>
      <c r="W5123" s="84" t="n">
        <f aca="false">IF(ISNUMBER(U5123),ABS(U5123),"")</f>
        <v>0.487951666781136</v>
      </c>
    </row>
    <row r="5124" customFormat="false" ht="15" hidden="false" customHeight="false" outlineLevel="0" collapsed="false">
      <c r="A5124" s="57" t="n">
        <v>41103</v>
      </c>
      <c r="B5124" s="56" t="n">
        <v>2012</v>
      </c>
      <c r="C5124" s="56" t="n">
        <v>7</v>
      </c>
      <c r="D5124" s="56" t="n">
        <v>74</v>
      </c>
      <c r="E5124" s="56" t="n">
        <v>16.9</v>
      </c>
      <c r="F5124" s="56" t="n">
        <v>0</v>
      </c>
      <c r="G5124" s="56" t="n">
        <v>13</v>
      </c>
      <c r="H5124" s="56" t="n">
        <v>0</v>
      </c>
      <c r="I5124" s="56" t="n">
        <v>16.6</v>
      </c>
      <c r="J5124" s="56" t="n">
        <v>0</v>
      </c>
      <c r="K5124" s="56" t="n">
        <v>1001.8</v>
      </c>
      <c r="L5124" s="56" t="n">
        <v>0</v>
      </c>
      <c r="M5124" s="56" t="n">
        <v>83</v>
      </c>
      <c r="N5124" s="56" t="n">
        <v>3.5</v>
      </c>
      <c r="O5124" s="56" t="n">
        <f aca="false">IF(D5124=1,"",E5123)</f>
        <v>20.1</v>
      </c>
      <c r="P5124" s="56" t="n">
        <f aca="false">IF(OR(D5124=1,K5123=""),"",K5123)</f>
        <v>1011.9</v>
      </c>
      <c r="Q5124" s="56" t="n">
        <f aca="false">IF(OR(F5124&lt;&gt;0,AND(I5124&lt;&gt;"",E5124&lt;I5124)),1,0)</f>
        <v>0</v>
      </c>
      <c r="R5124" s="56" t="n">
        <f aca="false">IF(AND(D5124&gt;1,Q5124=0,ISNUMBER(O5124),ISNUMBER(P5124)),IF(Q5123=0,1,0),0)</f>
        <v>1</v>
      </c>
      <c r="S5124" s="56" t="n">
        <f aca="false">R5124*(B5124&gt;=Train_Start)*(B5124&lt;=Train_End)</f>
        <v>0</v>
      </c>
      <c r="T5124" s="84" t="n">
        <f aca="false">IF(AND(ISNUMBER(O5124),ISNUMBER(P5124)),Coef_A+Coef_B1*O5124+Coef_B2*P5124,"")</f>
        <v>20.298889582287</v>
      </c>
      <c r="U5124" s="84" t="n">
        <f aca="false">IF(AND(R5124=1,ISNUMBER(T5124)),E5124-T5124,"")</f>
        <v>-3.39888958228698</v>
      </c>
      <c r="V5124" s="84" t="n">
        <f aca="false">IF(ISNUMBER(T5124),T5124,-99)</f>
        <v>20.298889582287</v>
      </c>
      <c r="W5124" s="84" t="n">
        <f aca="false">IF(ISNUMBER(U5124),ABS(U5124),"")</f>
        <v>3.39888958228698</v>
      </c>
    </row>
    <row r="5125" customFormat="false" ht="15" hidden="false" customHeight="false" outlineLevel="0" collapsed="false">
      <c r="A5125" s="57" t="n">
        <v>41104</v>
      </c>
      <c r="B5125" s="56" t="n">
        <v>2012</v>
      </c>
      <c r="C5125" s="56" t="n">
        <v>7</v>
      </c>
      <c r="D5125" s="56" t="n">
        <v>75</v>
      </c>
      <c r="E5125" s="56" t="n">
        <v>18.8</v>
      </c>
      <c r="F5125" s="56" t="n">
        <v>0</v>
      </c>
      <c r="G5125" s="56" t="n">
        <v>13.5</v>
      </c>
      <c r="H5125" s="56" t="n">
        <v>0</v>
      </c>
      <c r="I5125" s="56" t="n">
        <v>15.2</v>
      </c>
      <c r="J5125" s="56" t="n">
        <v>0</v>
      </c>
      <c r="K5125" s="56" t="n">
        <v>1005.1</v>
      </c>
      <c r="L5125" s="56" t="n">
        <v>0</v>
      </c>
      <c r="M5125" s="56" t="n">
        <v>87</v>
      </c>
      <c r="N5125" s="56" t="n">
        <v>1.2</v>
      </c>
      <c r="O5125" s="56" t="n">
        <f aca="false">IF(D5125=1,"",E5124)</f>
        <v>16.9</v>
      </c>
      <c r="P5125" s="56" t="n">
        <f aca="false">IF(OR(D5125=1,K5124=""),"",K5124)</f>
        <v>1001.8</v>
      </c>
      <c r="Q5125" s="56" t="n">
        <f aca="false">IF(OR(F5125&lt;&gt;0,AND(I5125&lt;&gt;"",E5125&lt;I5125)),1,0)</f>
        <v>0</v>
      </c>
      <c r="R5125" s="56" t="n">
        <f aca="false">IF(AND(D5125&gt;1,Q5125=0,ISNUMBER(O5125),ISNUMBER(P5125)),IF(Q5124=0,1,0),0)</f>
        <v>1</v>
      </c>
      <c r="S5125" s="56" t="n">
        <f aca="false">R5125*(B5125&gt;=Train_Start)*(B5125&lt;=Train_End)</f>
        <v>0</v>
      </c>
      <c r="T5125" s="84" t="n">
        <f aca="false">IF(AND(ISNUMBER(O5125),ISNUMBER(P5125)),Coef_A+Coef_B1*O5125+Coef_B2*P5125,"")</f>
        <v>17.3601682287472</v>
      </c>
      <c r="U5125" s="84" t="n">
        <f aca="false">IF(AND(R5125=1,ISNUMBER(T5125)),E5125-T5125,"")</f>
        <v>1.43983177125282</v>
      </c>
      <c r="V5125" s="84" t="n">
        <f aca="false">IF(ISNUMBER(T5125),T5125,-99)</f>
        <v>17.3601682287472</v>
      </c>
      <c r="W5125" s="84" t="n">
        <f aca="false">IF(ISNUMBER(U5125),ABS(U5125),"")</f>
        <v>1.43983177125282</v>
      </c>
    </row>
    <row r="5126" customFormat="false" ht="15" hidden="false" customHeight="false" outlineLevel="0" collapsed="false">
      <c r="A5126" s="57" t="n">
        <v>41105</v>
      </c>
      <c r="B5126" s="56" t="n">
        <v>2012</v>
      </c>
      <c r="C5126" s="56" t="n">
        <v>7</v>
      </c>
      <c r="D5126" s="56" t="n">
        <v>76</v>
      </c>
      <c r="E5126" s="56" t="n">
        <v>18.7</v>
      </c>
      <c r="F5126" s="56" t="n">
        <v>0</v>
      </c>
      <c r="G5126" s="56" t="n">
        <v>12.3</v>
      </c>
      <c r="H5126" s="56" t="n">
        <v>0</v>
      </c>
      <c r="I5126" s="56" t="n">
        <v>15.6</v>
      </c>
      <c r="J5126" s="56" t="n">
        <v>0</v>
      </c>
      <c r="K5126" s="56" t="n">
        <v>1015.7</v>
      </c>
      <c r="L5126" s="56" t="n">
        <v>0</v>
      </c>
      <c r="M5126" s="56" t="n">
        <v>69</v>
      </c>
      <c r="N5126" s="56" t="n">
        <v>5.4</v>
      </c>
      <c r="O5126" s="56" t="n">
        <f aca="false">IF(D5126=1,"",E5125)</f>
        <v>18.8</v>
      </c>
      <c r="P5126" s="56" t="n">
        <f aca="false">IF(OR(D5126=1,K5125=""),"",K5125)</f>
        <v>1005.1</v>
      </c>
      <c r="Q5126" s="56" t="n">
        <f aca="false">IF(OR(F5126&lt;&gt;0,AND(I5126&lt;&gt;"",E5126&lt;I5126)),1,0)</f>
        <v>0</v>
      </c>
      <c r="R5126" s="56" t="n">
        <f aca="false">IF(AND(D5126&gt;1,Q5126=0,ISNUMBER(O5126),ISNUMBER(P5126)),IF(Q5125=0,1,0),0)</f>
        <v>1</v>
      </c>
      <c r="S5126" s="56" t="n">
        <f aca="false">R5126*(B5126&gt;=Train_Start)*(B5126&lt;=Train_End)</f>
        <v>0</v>
      </c>
      <c r="T5126" s="84" t="n">
        <f aca="false">IF(AND(ISNUMBER(O5126),ISNUMBER(P5126)),Coef_A+Coef_B1*O5126+Coef_B2*P5126,"")</f>
        <v>19.0204333478204</v>
      </c>
      <c r="U5126" s="84" t="n">
        <f aca="false">IF(AND(R5126=1,ISNUMBER(T5126)),E5126-T5126,"")</f>
        <v>-0.320433347820401</v>
      </c>
      <c r="V5126" s="84" t="n">
        <f aca="false">IF(ISNUMBER(T5126),T5126,-99)</f>
        <v>19.0204333478204</v>
      </c>
      <c r="W5126" s="84" t="n">
        <f aca="false">IF(ISNUMBER(U5126),ABS(U5126),"")</f>
        <v>0.320433347820401</v>
      </c>
    </row>
    <row r="5127" customFormat="false" ht="15" hidden="false" customHeight="false" outlineLevel="0" collapsed="false">
      <c r="A5127" s="57" t="n">
        <v>41106</v>
      </c>
      <c r="B5127" s="56" t="n">
        <v>2012</v>
      </c>
      <c r="C5127" s="56" t="n">
        <v>7</v>
      </c>
      <c r="D5127" s="56" t="n">
        <v>77</v>
      </c>
      <c r="E5127" s="56" t="n">
        <v>23.8</v>
      </c>
      <c r="F5127" s="56" t="n">
        <v>0</v>
      </c>
      <c r="G5127" s="56" t="n">
        <v>12.8</v>
      </c>
      <c r="H5127" s="56" t="n">
        <v>0</v>
      </c>
      <c r="I5127" s="56" t="n">
        <v>15.8</v>
      </c>
      <c r="J5127" s="56" t="n">
        <v>0</v>
      </c>
      <c r="K5127" s="56" t="n">
        <v>1019.8</v>
      </c>
      <c r="L5127" s="56" t="n">
        <v>0</v>
      </c>
      <c r="M5127" s="56" t="n">
        <v>85</v>
      </c>
      <c r="N5127" s="56" t="n">
        <v>0</v>
      </c>
      <c r="O5127" s="56" t="n">
        <f aca="false">IF(D5127=1,"",E5126)</f>
        <v>18.7</v>
      </c>
      <c r="P5127" s="56" t="n">
        <f aca="false">IF(OR(D5127=1,K5126=""),"",K5126)</f>
        <v>1015.7</v>
      </c>
      <c r="Q5127" s="56" t="n">
        <f aca="false">IF(OR(F5127&lt;&gt;0,AND(I5127&lt;&gt;"",E5127&lt;I5127)),1,0)</f>
        <v>0</v>
      </c>
      <c r="R5127" s="56" t="n">
        <f aca="false">IF(AND(D5127&gt;1,Q5127=0,ISNUMBER(O5127),ISNUMBER(P5127)),IF(Q5126=0,1,0),0)</f>
        <v>1</v>
      </c>
      <c r="S5127" s="56" t="n">
        <f aca="false">R5127*(B5127&gt;=Train_Start)*(B5127&lt;=Train_End)</f>
        <v>0</v>
      </c>
      <c r="T5127" s="84" t="n">
        <f aca="false">IF(AND(ISNUMBER(O5127),ISNUMBER(P5127)),Coef_A+Coef_B1*O5127+Coef_B2*P5127,"")</f>
        <v>19.2710203116364</v>
      </c>
      <c r="U5127" s="84" t="n">
        <f aca="false">IF(AND(R5127=1,ISNUMBER(T5127)),E5127-T5127,"")</f>
        <v>4.52897968836358</v>
      </c>
      <c r="V5127" s="84" t="n">
        <f aca="false">IF(ISNUMBER(T5127),T5127,-99)</f>
        <v>19.2710203116364</v>
      </c>
      <c r="W5127" s="84" t="n">
        <f aca="false">IF(ISNUMBER(U5127),ABS(U5127),"")</f>
        <v>4.52897968836358</v>
      </c>
    </row>
    <row r="5128" customFormat="false" ht="15" hidden="false" customHeight="false" outlineLevel="0" collapsed="false">
      <c r="A5128" s="57" t="n">
        <v>41107</v>
      </c>
      <c r="B5128" s="56" t="n">
        <v>2012</v>
      </c>
      <c r="C5128" s="56" t="n">
        <v>7</v>
      </c>
      <c r="D5128" s="56" t="n">
        <v>78</v>
      </c>
      <c r="E5128" s="56" t="n">
        <v>19.2</v>
      </c>
      <c r="F5128" s="56" t="n">
        <v>0</v>
      </c>
      <c r="G5128" s="56" t="n">
        <v>13.7</v>
      </c>
      <c r="H5128" s="56" t="n">
        <v>0</v>
      </c>
      <c r="I5128" s="56" t="n">
        <v>18.8</v>
      </c>
      <c r="J5128" s="56" t="n">
        <v>0</v>
      </c>
      <c r="K5128" s="56" t="n">
        <v>1022.3</v>
      </c>
      <c r="L5128" s="56" t="n">
        <v>0</v>
      </c>
      <c r="M5128" s="56" t="n">
        <v>77</v>
      </c>
      <c r="N5128" s="56" t="n">
        <v>4.2</v>
      </c>
      <c r="O5128" s="56" t="n">
        <f aca="false">IF(D5128=1,"",E5127)</f>
        <v>23.8</v>
      </c>
      <c r="P5128" s="56" t="n">
        <f aca="false">IF(OR(D5128=1,K5127=""),"",K5127)</f>
        <v>1019.8</v>
      </c>
      <c r="Q5128" s="56" t="n">
        <f aca="false">IF(OR(F5128&lt;&gt;0,AND(I5128&lt;&gt;"",E5128&lt;I5128)),1,0)</f>
        <v>0</v>
      </c>
      <c r="R5128" s="56" t="n">
        <f aca="false">IF(AND(D5128&gt;1,Q5128=0,ISNUMBER(O5128),ISNUMBER(P5128)),IF(Q5127=0,1,0),0)</f>
        <v>1</v>
      </c>
      <c r="S5128" s="56" t="n">
        <f aca="false">R5128*(B5128&gt;=Train_Start)*(B5128&lt;=Train_End)</f>
        <v>0</v>
      </c>
      <c r="T5128" s="84" t="n">
        <f aca="false">IF(AND(ISNUMBER(O5128),ISNUMBER(P5128)),Coef_A+Coef_B1*O5128+Coef_B2*P5128,"")</f>
        <v>23.5782667641533</v>
      </c>
      <c r="U5128" s="84" t="n">
        <f aca="false">IF(AND(R5128=1,ISNUMBER(T5128)),E5128-T5128,"")</f>
        <v>-4.37826676415333</v>
      </c>
      <c r="V5128" s="84" t="n">
        <f aca="false">IF(ISNUMBER(T5128),T5128,-99)</f>
        <v>23.5782667641533</v>
      </c>
      <c r="W5128" s="84" t="n">
        <f aca="false">IF(ISNUMBER(U5128),ABS(U5128),"")</f>
        <v>4.37826676415333</v>
      </c>
    </row>
    <row r="5129" customFormat="false" ht="15" hidden="false" customHeight="false" outlineLevel="0" collapsed="false">
      <c r="A5129" s="57" t="n">
        <v>41108</v>
      </c>
      <c r="B5129" s="56" t="n">
        <v>2012</v>
      </c>
      <c r="C5129" s="56" t="n">
        <v>7</v>
      </c>
      <c r="D5129" s="56" t="n">
        <v>79</v>
      </c>
      <c r="E5129" s="56" t="n">
        <v>20.3</v>
      </c>
      <c r="F5129" s="56" t="n">
        <v>0</v>
      </c>
      <c r="G5129" s="56" t="n">
        <v>14.5</v>
      </c>
      <c r="H5129" s="56" t="n">
        <v>0</v>
      </c>
      <c r="I5129" s="56" t="n">
        <v>16.9</v>
      </c>
      <c r="J5129" s="56" t="n">
        <v>0</v>
      </c>
      <c r="K5129" s="56" t="n">
        <v>1013.1</v>
      </c>
      <c r="L5129" s="56" t="n">
        <v>0</v>
      </c>
      <c r="M5129" s="56" t="n">
        <v>85</v>
      </c>
      <c r="N5129" s="56" t="n">
        <v>0.4</v>
      </c>
      <c r="O5129" s="56" t="n">
        <f aca="false">IF(D5129=1,"",E5128)</f>
        <v>19.2</v>
      </c>
      <c r="P5129" s="56" t="n">
        <f aca="false">IF(OR(D5129=1,K5128=""),"",K5128)</f>
        <v>1022.3</v>
      </c>
      <c r="Q5129" s="56" t="n">
        <f aca="false">IF(OR(F5129&lt;&gt;0,AND(I5129&lt;&gt;"",E5129&lt;I5129)),1,0)</f>
        <v>0</v>
      </c>
      <c r="R5129" s="56" t="n">
        <f aca="false">IF(AND(D5129&gt;1,Q5129=0,ISNUMBER(O5129),ISNUMBER(P5129)),IF(Q5128=0,1,0),0)</f>
        <v>1</v>
      </c>
      <c r="S5129" s="56" t="n">
        <f aca="false">R5129*(B5129&gt;=Train_Start)*(B5129&lt;=Train_End)</f>
        <v>0</v>
      </c>
      <c r="T5129" s="84" t="n">
        <f aca="false">IF(AND(ISNUMBER(O5129),ISNUMBER(P5129)),Coef_A+Coef_B1*O5129+Coef_B2*P5129,"")</f>
        <v>19.8877312127421</v>
      </c>
      <c r="U5129" s="84" t="n">
        <f aca="false">IF(AND(R5129=1,ISNUMBER(T5129)),E5129-T5129,"")</f>
        <v>0.412268787257919</v>
      </c>
      <c r="V5129" s="84" t="n">
        <f aca="false">IF(ISNUMBER(T5129),T5129,-99)</f>
        <v>19.8877312127421</v>
      </c>
      <c r="W5129" s="84" t="n">
        <f aca="false">IF(ISNUMBER(U5129),ABS(U5129),"")</f>
        <v>0.412268787257919</v>
      </c>
    </row>
    <row r="5130" customFormat="false" ht="15" hidden="false" customHeight="false" outlineLevel="0" collapsed="false">
      <c r="A5130" s="57" t="n">
        <v>41109</v>
      </c>
      <c r="B5130" s="56" t="n">
        <v>2012</v>
      </c>
      <c r="C5130" s="56" t="n">
        <v>7</v>
      </c>
      <c r="D5130" s="56" t="n">
        <v>80</v>
      </c>
      <c r="E5130" s="56" t="n">
        <v>19</v>
      </c>
      <c r="F5130" s="56" t="n">
        <v>0</v>
      </c>
      <c r="G5130" s="56" t="n">
        <v>13.1</v>
      </c>
      <c r="H5130" s="56" t="n">
        <v>0</v>
      </c>
      <c r="I5130" s="56" t="n">
        <v>16.7</v>
      </c>
      <c r="J5130" s="56" t="n">
        <v>0</v>
      </c>
      <c r="K5130" s="56" t="n">
        <v>1010.8</v>
      </c>
      <c r="L5130" s="56" t="n">
        <v>0</v>
      </c>
      <c r="M5130" s="56" t="n">
        <v>72</v>
      </c>
      <c r="N5130" s="56" t="n">
        <v>5.5</v>
      </c>
      <c r="O5130" s="56" t="n">
        <f aca="false">IF(D5130=1,"",E5129)</f>
        <v>20.3</v>
      </c>
      <c r="P5130" s="56" t="n">
        <f aca="false">IF(OR(D5130=1,K5129=""),"",K5129)</f>
        <v>1013.1</v>
      </c>
      <c r="Q5130" s="56" t="n">
        <f aca="false">IF(OR(F5130&lt;&gt;0,AND(I5130&lt;&gt;"",E5130&lt;I5130)),1,0)</f>
        <v>0</v>
      </c>
      <c r="R5130" s="56" t="n">
        <f aca="false">IF(AND(D5130&gt;1,Q5130=0,ISNUMBER(O5130),ISNUMBER(P5130)),IF(Q5129=0,1,0),0)</f>
        <v>1</v>
      </c>
      <c r="S5130" s="56" t="n">
        <f aca="false">R5130*(B5130&gt;=Train_Start)*(B5130&lt;=Train_End)</f>
        <v>0</v>
      </c>
      <c r="T5130" s="84" t="n">
        <f aca="false">IF(AND(ISNUMBER(O5130),ISNUMBER(P5130)),Coef_A+Coef_B1*O5130+Coef_B2*P5130,"")</f>
        <v>20.5004012944563</v>
      </c>
      <c r="U5130" s="84" t="n">
        <f aca="false">IF(AND(R5130=1,ISNUMBER(T5130)),E5130-T5130,"")</f>
        <v>-1.5004012944563</v>
      </c>
      <c r="V5130" s="84" t="n">
        <f aca="false">IF(ISNUMBER(T5130),T5130,-99)</f>
        <v>20.5004012944563</v>
      </c>
      <c r="W5130" s="84" t="n">
        <f aca="false">IF(ISNUMBER(U5130),ABS(U5130),"")</f>
        <v>1.5004012944563</v>
      </c>
    </row>
    <row r="5131" customFormat="false" ht="15" hidden="false" customHeight="false" outlineLevel="0" collapsed="false">
      <c r="A5131" s="57" t="n">
        <v>41110</v>
      </c>
      <c r="B5131" s="56" t="n">
        <v>2012</v>
      </c>
      <c r="C5131" s="56" t="n">
        <v>7</v>
      </c>
      <c r="D5131" s="56" t="n">
        <v>81</v>
      </c>
      <c r="E5131" s="56" t="n">
        <v>20.7</v>
      </c>
      <c r="F5131" s="56" t="n">
        <v>0</v>
      </c>
      <c r="G5131" s="56" t="n">
        <v>12.4</v>
      </c>
      <c r="H5131" s="56" t="n">
        <v>0</v>
      </c>
      <c r="I5131" s="56" t="n">
        <v>15.7</v>
      </c>
      <c r="J5131" s="56" t="n">
        <v>0</v>
      </c>
      <c r="K5131" s="56" t="n">
        <v>1016.6</v>
      </c>
      <c r="L5131" s="56" t="n">
        <v>0</v>
      </c>
      <c r="M5131" s="56" t="n">
        <v>75</v>
      </c>
      <c r="N5131" s="56" t="n">
        <v>3.8</v>
      </c>
      <c r="O5131" s="56" t="n">
        <f aca="false">IF(D5131=1,"",E5130)</f>
        <v>19</v>
      </c>
      <c r="P5131" s="56" t="n">
        <f aca="false">IF(OR(D5131=1,K5130=""),"",K5130)</f>
        <v>1010.8</v>
      </c>
      <c r="Q5131" s="56" t="n">
        <f aca="false">IF(OR(F5131&lt;&gt;0,AND(I5131&lt;&gt;"",E5131&lt;I5131)),1,0)</f>
        <v>0</v>
      </c>
      <c r="R5131" s="56" t="n">
        <f aca="false">IF(AND(D5131&gt;1,Q5131=0,ISNUMBER(O5131),ISNUMBER(P5131)),IF(Q5130=0,1,0),0)</f>
        <v>1</v>
      </c>
      <c r="S5131" s="56" t="n">
        <f aca="false">R5131*(B5131&gt;=Train_Start)*(B5131&lt;=Train_End)</f>
        <v>0</v>
      </c>
      <c r="T5131" s="84" t="n">
        <f aca="false">IF(AND(ISNUMBER(O5131),ISNUMBER(P5131)),Coef_A+Coef_B1*O5131+Coef_B2*P5131,"")</f>
        <v>19.3631095858427</v>
      </c>
      <c r="U5131" s="84" t="n">
        <f aca="false">IF(AND(R5131=1,ISNUMBER(T5131)),E5131-T5131,"")</f>
        <v>1.33689041415733</v>
      </c>
      <c r="V5131" s="84" t="n">
        <f aca="false">IF(ISNUMBER(T5131),T5131,-99)</f>
        <v>19.3631095858427</v>
      </c>
      <c r="W5131" s="84" t="n">
        <f aca="false">IF(ISNUMBER(U5131),ABS(U5131),"")</f>
        <v>1.33689041415733</v>
      </c>
    </row>
    <row r="5132" customFormat="false" ht="15" hidden="false" customHeight="false" outlineLevel="0" collapsed="false">
      <c r="A5132" s="57" t="n">
        <v>41111</v>
      </c>
      <c r="B5132" s="56" t="n">
        <v>2012</v>
      </c>
      <c r="C5132" s="56" t="n">
        <v>7</v>
      </c>
      <c r="D5132" s="56" t="n">
        <v>82</v>
      </c>
      <c r="E5132" s="56" t="n">
        <v>23.3</v>
      </c>
      <c r="F5132" s="56" t="n">
        <v>0</v>
      </c>
      <c r="G5132" s="56" t="n">
        <v>11.7</v>
      </c>
      <c r="H5132" s="56" t="n">
        <v>0</v>
      </c>
      <c r="I5132" s="56" t="n">
        <v>16.2</v>
      </c>
      <c r="J5132" s="56" t="n">
        <v>0</v>
      </c>
      <c r="K5132" s="56" t="n">
        <v>1023.9</v>
      </c>
      <c r="L5132" s="56" t="n">
        <v>0</v>
      </c>
      <c r="M5132" s="56" t="n">
        <v>66</v>
      </c>
      <c r="N5132" s="56" t="n">
        <v>7.3</v>
      </c>
      <c r="O5132" s="56" t="n">
        <f aca="false">IF(D5132=1,"",E5131)</f>
        <v>20.7</v>
      </c>
      <c r="P5132" s="56" t="n">
        <f aca="false">IF(OR(D5132=1,K5131=""),"",K5131)</f>
        <v>1016.6</v>
      </c>
      <c r="Q5132" s="56" t="n">
        <f aca="false">IF(OR(F5132&lt;&gt;0,AND(I5132&lt;&gt;"",E5132&lt;I5132)),1,0)</f>
        <v>0</v>
      </c>
      <c r="R5132" s="56" t="n">
        <f aca="false">IF(AND(D5132&gt;1,Q5132=0,ISNUMBER(O5132),ISNUMBER(P5132)),IF(Q5131=0,1,0),0)</f>
        <v>1</v>
      </c>
      <c r="S5132" s="56" t="n">
        <f aca="false">R5132*(B5132&gt;=Train_Start)*(B5132&lt;=Train_End)</f>
        <v>0</v>
      </c>
      <c r="T5132" s="84" t="n">
        <f aca="false">IF(AND(ISNUMBER(O5132),ISNUMBER(P5132)),Coef_A+Coef_B1*O5132+Coef_B2*P5132,"")</f>
        <v>20.9379316028923</v>
      </c>
      <c r="U5132" s="84" t="n">
        <f aca="false">IF(AND(R5132=1,ISNUMBER(T5132)),E5132-T5132,"")</f>
        <v>2.36206839710767</v>
      </c>
      <c r="V5132" s="84" t="n">
        <f aca="false">IF(ISNUMBER(T5132),T5132,-99)</f>
        <v>20.9379316028923</v>
      </c>
      <c r="W5132" s="84" t="n">
        <f aca="false">IF(ISNUMBER(U5132),ABS(U5132),"")</f>
        <v>2.36206839710767</v>
      </c>
    </row>
    <row r="5133" customFormat="false" ht="15" hidden="false" customHeight="false" outlineLevel="0" collapsed="false">
      <c r="A5133" s="57" t="n">
        <v>41112</v>
      </c>
      <c r="B5133" s="56" t="n">
        <v>2012</v>
      </c>
      <c r="C5133" s="56" t="n">
        <v>7</v>
      </c>
      <c r="D5133" s="56" t="n">
        <v>83</v>
      </c>
      <c r="E5133" s="56" t="n">
        <v>27.4</v>
      </c>
      <c r="F5133" s="56" t="n">
        <v>0</v>
      </c>
      <c r="G5133" s="56" t="n">
        <v>12.6</v>
      </c>
      <c r="H5133" s="56" t="n">
        <v>0</v>
      </c>
      <c r="I5133" s="56" t="n">
        <v>18</v>
      </c>
      <c r="J5133" s="56" t="n">
        <v>0</v>
      </c>
      <c r="K5133" s="56" t="n">
        <v>1026.7</v>
      </c>
      <c r="L5133" s="56" t="n">
        <v>0</v>
      </c>
      <c r="M5133" s="56" t="n">
        <v>64</v>
      </c>
      <c r="N5133" s="56" t="n">
        <v>13.5</v>
      </c>
      <c r="O5133" s="56" t="n">
        <f aca="false">IF(D5133=1,"",E5132)</f>
        <v>23.3</v>
      </c>
      <c r="P5133" s="56" t="n">
        <f aca="false">IF(OR(D5133=1,K5132=""),"",K5132)</f>
        <v>1023.9</v>
      </c>
      <c r="Q5133" s="56" t="n">
        <f aca="false">IF(OR(F5133&lt;&gt;0,AND(I5133&lt;&gt;"",E5133&lt;I5133)),1,0)</f>
        <v>0</v>
      </c>
      <c r="R5133" s="56" t="n">
        <f aca="false">IF(AND(D5133&gt;1,Q5133=0,ISNUMBER(O5133),ISNUMBER(P5133)),IF(Q5132=0,1,0),0)</f>
        <v>1</v>
      </c>
      <c r="S5133" s="56" t="n">
        <f aca="false">R5133*(B5133&gt;=Train_Start)*(B5133&lt;=Train_End)</f>
        <v>0</v>
      </c>
      <c r="T5133" s="84" t="n">
        <f aca="false">IF(AND(ISNUMBER(O5133),ISNUMBER(P5133)),Coef_A+Coef_B1*O5133+Coef_B2*P5133,"")</f>
        <v>23.2972137356314</v>
      </c>
      <c r="U5133" s="84" t="n">
        <f aca="false">IF(AND(R5133=1,ISNUMBER(T5133)),E5133-T5133,"")</f>
        <v>4.10278626436864</v>
      </c>
      <c r="V5133" s="84" t="n">
        <f aca="false">IF(ISNUMBER(T5133),T5133,-99)</f>
        <v>23.2972137356314</v>
      </c>
      <c r="W5133" s="84" t="n">
        <f aca="false">IF(ISNUMBER(U5133),ABS(U5133),"")</f>
        <v>4.10278626436864</v>
      </c>
    </row>
    <row r="5134" customFormat="false" ht="15" hidden="false" customHeight="false" outlineLevel="0" collapsed="false">
      <c r="A5134" s="57" t="n">
        <v>41113</v>
      </c>
      <c r="B5134" s="56" t="n">
        <v>2012</v>
      </c>
      <c r="C5134" s="56" t="n">
        <v>7</v>
      </c>
      <c r="D5134" s="56" t="n">
        <v>84</v>
      </c>
      <c r="E5134" s="56" t="n">
        <v>28.9</v>
      </c>
      <c r="F5134" s="56" t="n">
        <v>0</v>
      </c>
      <c r="G5134" s="56" t="n">
        <v>12.6</v>
      </c>
      <c r="H5134" s="56" t="n">
        <v>0</v>
      </c>
      <c r="I5134" s="56" t="n">
        <v>20</v>
      </c>
      <c r="J5134" s="56" t="n">
        <v>0</v>
      </c>
      <c r="K5134" s="56" t="n">
        <v>1022.8</v>
      </c>
      <c r="L5134" s="56" t="n">
        <v>0</v>
      </c>
      <c r="M5134" s="56" t="n">
        <v>57</v>
      </c>
      <c r="N5134" s="56" t="n">
        <v>14.4</v>
      </c>
      <c r="O5134" s="56" t="n">
        <f aca="false">IF(D5134=1,"",E5133)</f>
        <v>27.4</v>
      </c>
      <c r="P5134" s="56" t="n">
        <f aca="false">IF(OR(D5134=1,K5133=""),"",K5133)</f>
        <v>1026.7</v>
      </c>
      <c r="Q5134" s="56" t="n">
        <f aca="false">IF(OR(F5134&lt;&gt;0,AND(I5134&lt;&gt;"",E5134&lt;I5134)),1,0)</f>
        <v>0</v>
      </c>
      <c r="R5134" s="56" t="n">
        <f aca="false">IF(AND(D5134&gt;1,Q5134=0,ISNUMBER(O5134),ISNUMBER(P5134)),IF(Q5133=0,1,0),0)</f>
        <v>1</v>
      </c>
      <c r="S5134" s="56" t="n">
        <f aca="false">R5134*(B5134&gt;=Train_Start)*(B5134&lt;=Train_End)</f>
        <v>0</v>
      </c>
      <c r="T5134" s="84" t="n">
        <f aca="false">IF(AND(ISNUMBER(O5134),ISNUMBER(P5134)),Coef_A+Coef_B1*O5134+Coef_B2*P5134,"")</f>
        <v>26.7443401320814</v>
      </c>
      <c r="U5134" s="84" t="n">
        <f aca="false">IF(AND(R5134=1,ISNUMBER(T5134)),E5134-T5134,"")</f>
        <v>2.15565986791858</v>
      </c>
      <c r="V5134" s="84" t="n">
        <f aca="false">IF(ISNUMBER(T5134),T5134,-99)</f>
        <v>26.7443401320814</v>
      </c>
      <c r="W5134" s="84" t="n">
        <f aca="false">IF(ISNUMBER(U5134),ABS(U5134),"")</f>
        <v>2.15565986791858</v>
      </c>
    </row>
    <row r="5135" customFormat="false" ht="15" hidden="false" customHeight="false" outlineLevel="0" collapsed="false">
      <c r="A5135" s="57" t="n">
        <v>41114</v>
      </c>
      <c r="B5135" s="56" t="n">
        <v>2012</v>
      </c>
      <c r="C5135" s="56" t="n">
        <v>7</v>
      </c>
      <c r="D5135" s="56" t="n">
        <v>85</v>
      </c>
      <c r="E5135" s="56" t="n">
        <v>30.2</v>
      </c>
      <c r="F5135" s="56" t="n">
        <v>0</v>
      </c>
      <c r="G5135" s="56" t="n">
        <v>14.7</v>
      </c>
      <c r="H5135" s="56" t="n">
        <v>0</v>
      </c>
      <c r="I5135" s="56" t="n">
        <v>21.8</v>
      </c>
      <c r="J5135" s="56" t="n">
        <v>0</v>
      </c>
      <c r="K5135" s="56" t="n">
        <v>1018</v>
      </c>
      <c r="L5135" s="56" t="n">
        <v>0</v>
      </c>
      <c r="M5135" s="56" t="n">
        <v>55</v>
      </c>
      <c r="N5135" s="56" t="n">
        <v>14.4</v>
      </c>
      <c r="O5135" s="56" t="n">
        <f aca="false">IF(D5135=1,"",E5134)</f>
        <v>28.9</v>
      </c>
      <c r="P5135" s="56" t="n">
        <f aca="false">IF(OR(D5135=1,K5134=""),"",K5134)</f>
        <v>1022.8</v>
      </c>
      <c r="Q5135" s="56" t="n">
        <f aca="false">IF(OR(F5135&lt;&gt;0,AND(I5135&lt;&gt;"",E5135&lt;I5135)),1,0)</f>
        <v>0</v>
      </c>
      <c r="R5135" s="56" t="n">
        <f aca="false">IF(AND(D5135&gt;1,Q5135=0,ISNUMBER(O5135),ISNUMBER(P5135)),IF(Q5134=0,1,0),0)</f>
        <v>1</v>
      </c>
      <c r="S5135" s="56" t="n">
        <f aca="false">R5135*(B5135&gt;=Train_Start)*(B5135&lt;=Train_End)</f>
        <v>0</v>
      </c>
      <c r="T5135" s="84" t="n">
        <f aca="false">IF(AND(ISNUMBER(O5135),ISNUMBER(P5135)),Coef_A+Coef_B1*O5135+Coef_B2*P5135,"")</f>
        <v>27.8510063325729</v>
      </c>
      <c r="U5135" s="84" t="n">
        <f aca="false">IF(AND(R5135=1,ISNUMBER(T5135)),E5135-T5135,"")</f>
        <v>2.34899366742715</v>
      </c>
      <c r="V5135" s="84" t="n">
        <f aca="false">IF(ISNUMBER(T5135),T5135,-99)</f>
        <v>27.8510063325729</v>
      </c>
      <c r="W5135" s="84" t="n">
        <f aca="false">IF(ISNUMBER(U5135),ABS(U5135),"")</f>
        <v>2.34899366742715</v>
      </c>
    </row>
    <row r="5136" customFormat="false" ht="15" hidden="false" customHeight="false" outlineLevel="0" collapsed="false">
      <c r="A5136" s="57" t="n">
        <v>41115</v>
      </c>
      <c r="B5136" s="56" t="n">
        <v>2012</v>
      </c>
      <c r="C5136" s="56" t="n">
        <v>7</v>
      </c>
      <c r="D5136" s="56" t="n">
        <v>86</v>
      </c>
      <c r="E5136" s="56" t="n">
        <v>27.4</v>
      </c>
      <c r="F5136" s="56" t="n">
        <v>0</v>
      </c>
      <c r="G5136" s="56" t="n">
        <v>16.4</v>
      </c>
      <c r="H5136" s="56" t="n">
        <v>0</v>
      </c>
      <c r="I5136" s="56" t="n">
        <v>23.3</v>
      </c>
      <c r="J5136" s="56" t="n">
        <v>0</v>
      </c>
      <c r="K5136" s="56" t="n">
        <v>1016.6</v>
      </c>
      <c r="L5136" s="56" t="n">
        <v>0</v>
      </c>
      <c r="M5136" s="56" t="n">
        <v>50</v>
      </c>
      <c r="N5136" s="56" t="n">
        <v>11.6</v>
      </c>
      <c r="O5136" s="56" t="n">
        <f aca="false">IF(D5136=1,"",E5135)</f>
        <v>30.2</v>
      </c>
      <c r="P5136" s="56" t="n">
        <f aca="false">IF(OR(D5136=1,K5135=""),"",K5135)</f>
        <v>1018</v>
      </c>
      <c r="Q5136" s="56" t="n">
        <f aca="false">IF(OR(F5136&lt;&gt;0,AND(I5136&lt;&gt;"",E5136&lt;I5136)),1,0)</f>
        <v>0</v>
      </c>
      <c r="R5136" s="56" t="n">
        <f aca="false">IF(AND(D5136&gt;1,Q5136=0,ISNUMBER(O5136),ISNUMBER(P5136)),IF(Q5135=0,1,0),0)</f>
        <v>1</v>
      </c>
      <c r="S5136" s="56" t="n">
        <f aca="false">R5136*(B5136&gt;=Train_Start)*(B5136&lt;=Train_End)</f>
        <v>0</v>
      </c>
      <c r="T5136" s="84" t="n">
        <f aca="false">IF(AND(ISNUMBER(O5136),ISNUMBER(P5136)),Coef_A+Coef_B1*O5136+Coef_B2*P5136,"")</f>
        <v>28.7655717892852</v>
      </c>
      <c r="U5136" s="84" t="n">
        <f aca="false">IF(AND(R5136=1,ISNUMBER(T5136)),E5136-T5136,"")</f>
        <v>-1.36557178928516</v>
      </c>
      <c r="V5136" s="84" t="n">
        <f aca="false">IF(ISNUMBER(T5136),T5136,-99)</f>
        <v>28.7655717892852</v>
      </c>
      <c r="W5136" s="84" t="n">
        <f aca="false">IF(ISNUMBER(U5136),ABS(U5136),"")</f>
        <v>1.36557178928516</v>
      </c>
    </row>
    <row r="5137" customFormat="false" ht="15" hidden="false" customHeight="false" outlineLevel="0" collapsed="false">
      <c r="A5137" s="57" t="n">
        <v>41116</v>
      </c>
      <c r="B5137" s="56" t="n">
        <v>2012</v>
      </c>
      <c r="C5137" s="56" t="n">
        <v>7</v>
      </c>
      <c r="D5137" s="56" t="n">
        <v>87</v>
      </c>
      <c r="E5137" s="56" t="n">
        <v>24.8</v>
      </c>
      <c r="F5137" s="56" t="n">
        <v>0</v>
      </c>
      <c r="G5137" s="56" t="n">
        <v>16.2</v>
      </c>
      <c r="H5137" s="56" t="n">
        <v>0</v>
      </c>
      <c r="I5137" s="56" t="n">
        <v>21.8</v>
      </c>
      <c r="J5137" s="56" t="n">
        <v>0</v>
      </c>
      <c r="K5137" s="56" t="n">
        <v>1017.9</v>
      </c>
      <c r="L5137" s="56" t="n">
        <v>0</v>
      </c>
      <c r="M5137" s="56" t="n">
        <v>56</v>
      </c>
      <c r="N5137" s="56" t="n">
        <v>13.5</v>
      </c>
      <c r="O5137" s="56" t="n">
        <f aca="false">IF(D5137=1,"",E5136)</f>
        <v>27.4</v>
      </c>
      <c r="P5137" s="56" t="n">
        <f aca="false">IF(OR(D5137=1,K5136=""),"",K5136)</f>
        <v>1016.6</v>
      </c>
      <c r="Q5137" s="56" t="n">
        <f aca="false">IF(OR(F5137&lt;&gt;0,AND(I5137&lt;&gt;"",E5137&lt;I5137)),1,0)</f>
        <v>0</v>
      </c>
      <c r="R5137" s="56" t="n">
        <f aca="false">IF(AND(D5137&gt;1,Q5137=0,ISNUMBER(O5137),ISNUMBER(P5137)),IF(Q5136=0,1,0),0)</f>
        <v>1</v>
      </c>
      <c r="S5137" s="56" t="n">
        <f aca="false">R5137*(B5137&gt;=Train_Start)*(B5137&lt;=Train_End)</f>
        <v>0</v>
      </c>
      <c r="T5137" s="84" t="n">
        <f aca="false">IF(AND(ISNUMBER(O5137),ISNUMBER(P5137)),Coef_A+Coef_B1*O5137+Coef_B2*P5137,"")</f>
        <v>26.4275041962781</v>
      </c>
      <c r="U5137" s="84" t="n">
        <f aca="false">IF(AND(R5137=1,ISNUMBER(T5137)),E5137-T5137,"")</f>
        <v>-1.62750419627813</v>
      </c>
      <c r="V5137" s="84" t="n">
        <f aca="false">IF(ISNUMBER(T5137),T5137,-99)</f>
        <v>26.4275041962781</v>
      </c>
      <c r="W5137" s="84" t="n">
        <f aca="false">IF(ISNUMBER(U5137),ABS(U5137),"")</f>
        <v>1.62750419627813</v>
      </c>
    </row>
    <row r="5138" customFormat="false" ht="15" hidden="false" customHeight="false" outlineLevel="0" collapsed="false">
      <c r="A5138" s="57" t="n">
        <v>41117</v>
      </c>
      <c r="B5138" s="56" t="n">
        <v>2012</v>
      </c>
      <c r="C5138" s="56" t="n">
        <v>7</v>
      </c>
      <c r="D5138" s="56" t="n">
        <v>88</v>
      </c>
      <c r="E5138" s="56" t="n">
        <v>21.6</v>
      </c>
      <c r="F5138" s="56" t="n">
        <v>0</v>
      </c>
      <c r="G5138" s="56" t="n">
        <v>16.1</v>
      </c>
      <c r="H5138" s="56" t="n">
        <v>0</v>
      </c>
      <c r="I5138" s="56" t="n">
        <v>20.5</v>
      </c>
      <c r="J5138" s="56" t="n">
        <v>0</v>
      </c>
      <c r="K5138" s="56" t="n">
        <v>1012.6</v>
      </c>
      <c r="L5138" s="56" t="n">
        <v>0</v>
      </c>
      <c r="M5138" s="56" t="n">
        <v>69</v>
      </c>
      <c r="N5138" s="56" t="n">
        <v>0.4</v>
      </c>
      <c r="O5138" s="56" t="n">
        <f aca="false">IF(D5138=1,"",E5137)</f>
        <v>24.8</v>
      </c>
      <c r="P5138" s="56" t="n">
        <f aca="false">IF(OR(D5138=1,K5137=""),"",K5137)</f>
        <v>1017.9</v>
      </c>
      <c r="Q5138" s="56" t="n">
        <f aca="false">IF(OR(F5138&lt;&gt;0,AND(I5138&lt;&gt;"",E5138&lt;I5138)),1,0)</f>
        <v>0</v>
      </c>
      <c r="R5138" s="56" t="n">
        <f aca="false">IF(AND(D5138&gt;1,Q5138=0,ISNUMBER(O5138),ISNUMBER(P5138)),IF(Q5137=0,1,0),0)</f>
        <v>1</v>
      </c>
      <c r="S5138" s="56" t="n">
        <f aca="false">R5138*(B5138&gt;=Train_Start)*(B5138&lt;=Train_End)</f>
        <v>0</v>
      </c>
      <c r="T5138" s="84" t="n">
        <f aca="false">IF(AND(ISNUMBER(O5138),ISNUMBER(P5138)),Coef_A+Coef_B1*O5138+Coef_B2*P5138,"")</f>
        <v>24.3380031573914</v>
      </c>
      <c r="U5138" s="84" t="n">
        <f aca="false">IF(AND(R5138=1,ISNUMBER(T5138)),E5138-T5138,"")</f>
        <v>-2.73800315739141</v>
      </c>
      <c r="V5138" s="84" t="n">
        <f aca="false">IF(ISNUMBER(T5138),T5138,-99)</f>
        <v>24.3380031573914</v>
      </c>
      <c r="W5138" s="84" t="n">
        <f aca="false">IF(ISNUMBER(U5138),ABS(U5138),"")</f>
        <v>2.73800315739141</v>
      </c>
    </row>
    <row r="5139" customFormat="false" ht="15" hidden="false" customHeight="false" outlineLevel="0" collapsed="false">
      <c r="A5139" s="57" t="n">
        <v>41118</v>
      </c>
      <c r="B5139" s="56" t="n">
        <v>2012</v>
      </c>
      <c r="C5139" s="56" t="n">
        <v>7</v>
      </c>
      <c r="D5139" s="56" t="n">
        <v>89</v>
      </c>
      <c r="E5139" s="56" t="n">
        <v>18.9</v>
      </c>
      <c r="F5139" s="56" t="n">
        <v>0</v>
      </c>
      <c r="G5139" s="56" t="n">
        <v>14.5</v>
      </c>
      <c r="H5139" s="56" t="n">
        <v>0</v>
      </c>
      <c r="I5139" s="56" t="n">
        <v>18.1</v>
      </c>
      <c r="J5139" s="56" t="n">
        <v>0</v>
      </c>
      <c r="K5139" s="56" t="n">
        <v>1010.8</v>
      </c>
      <c r="L5139" s="56" t="n">
        <v>0</v>
      </c>
      <c r="M5139" s="56" t="n">
        <v>54</v>
      </c>
      <c r="N5139" s="56" t="n">
        <v>7.2</v>
      </c>
      <c r="O5139" s="56" t="n">
        <f aca="false">IF(D5139=1,"",E5138)</f>
        <v>21.6</v>
      </c>
      <c r="P5139" s="56" t="n">
        <f aca="false">IF(OR(D5139=1,K5138=""),"",K5138)</f>
        <v>1012.6</v>
      </c>
      <c r="Q5139" s="56" t="n">
        <f aca="false">IF(OR(F5139&lt;&gt;0,AND(I5139&lt;&gt;"",E5139&lt;I5139)),1,0)</f>
        <v>0</v>
      </c>
      <c r="R5139" s="56" t="n">
        <f aca="false">IF(AND(D5139&gt;1,Q5139=0,ISNUMBER(O5139),ISNUMBER(P5139)),IF(Q5138=0,1,0),0)</f>
        <v>1</v>
      </c>
      <c r="S5139" s="56" t="n">
        <f aca="false">R5139*(B5139&gt;=Train_Start)*(B5139&lt;=Train_End)</f>
        <v>0</v>
      </c>
      <c r="T5139" s="84" t="n">
        <f aca="false">IF(AND(ISNUMBER(O5139),ISNUMBER(P5139)),Coef_A+Coef_B1*O5139+Coef_B2*P5139,"")</f>
        <v>21.5498572980948</v>
      </c>
      <c r="U5139" s="84" t="n">
        <f aca="false">IF(AND(R5139=1,ISNUMBER(T5139)),E5139-T5139,"")</f>
        <v>-2.64985729809476</v>
      </c>
      <c r="V5139" s="84" t="n">
        <f aca="false">IF(ISNUMBER(T5139),T5139,-99)</f>
        <v>21.5498572980948</v>
      </c>
      <c r="W5139" s="84" t="n">
        <f aca="false">IF(ISNUMBER(U5139),ABS(U5139),"")</f>
        <v>2.64985729809476</v>
      </c>
    </row>
    <row r="5140" customFormat="false" ht="15" hidden="false" customHeight="false" outlineLevel="0" collapsed="false">
      <c r="A5140" s="57" t="n">
        <v>41119</v>
      </c>
      <c r="B5140" s="56" t="n">
        <v>2012</v>
      </c>
      <c r="C5140" s="56" t="n">
        <v>7</v>
      </c>
      <c r="D5140" s="56" t="n">
        <v>90</v>
      </c>
      <c r="E5140" s="56" t="n">
        <v>20.7</v>
      </c>
      <c r="F5140" s="56" t="n">
        <v>0</v>
      </c>
      <c r="G5140" s="56" t="n">
        <v>11</v>
      </c>
      <c r="H5140" s="56" t="n">
        <v>0</v>
      </c>
      <c r="I5140" s="56" t="n">
        <v>15</v>
      </c>
      <c r="J5140" s="56" t="n">
        <v>0</v>
      </c>
      <c r="K5140" s="56" t="n">
        <v>1011.8</v>
      </c>
      <c r="L5140" s="56" t="n">
        <v>0</v>
      </c>
      <c r="M5140" s="56" t="n">
        <v>73</v>
      </c>
      <c r="N5140" s="56" t="n">
        <v>7.7</v>
      </c>
      <c r="O5140" s="56" t="n">
        <f aca="false">IF(D5140=1,"",E5139)</f>
        <v>18.9</v>
      </c>
      <c r="P5140" s="56" t="n">
        <f aca="false">IF(OR(D5140=1,K5139=""),"",K5139)</f>
        <v>1010.8</v>
      </c>
      <c r="Q5140" s="56" t="n">
        <f aca="false">IF(OR(F5140&lt;&gt;0,AND(I5140&lt;&gt;"",E5140&lt;I5140)),1,0)</f>
        <v>0</v>
      </c>
      <c r="R5140" s="56" t="n">
        <f aca="false">IF(AND(D5140&gt;1,Q5140=0,ISNUMBER(O5140),ISNUMBER(P5140)),IF(Q5139=0,1,0),0)</f>
        <v>1</v>
      </c>
      <c r="S5140" s="56" t="n">
        <f aca="false">R5140*(B5140&gt;=Train_Start)*(B5140&lt;=Train_End)</f>
        <v>0</v>
      </c>
      <c r="T5140" s="84" t="n">
        <f aca="false">IF(AND(ISNUMBER(O5140),ISNUMBER(P5140)),Coef_A+Coef_B1*O5140+Coef_B2*P5140,"")</f>
        <v>19.2811756665384</v>
      </c>
      <c r="U5140" s="84" t="n">
        <f aca="false">IF(AND(R5140=1,ISNUMBER(T5140)),E5140-T5140,"")</f>
        <v>1.4188243334616</v>
      </c>
      <c r="V5140" s="84" t="n">
        <f aca="false">IF(ISNUMBER(T5140),T5140,-99)</f>
        <v>19.2811756665384</v>
      </c>
      <c r="W5140" s="84" t="n">
        <f aca="false">IF(ISNUMBER(U5140),ABS(U5140),"")</f>
        <v>1.4188243334616</v>
      </c>
    </row>
    <row r="5141" customFormat="false" ht="15" hidden="false" customHeight="false" outlineLevel="0" collapsed="false">
      <c r="A5141" s="57" t="n">
        <v>41120</v>
      </c>
      <c r="B5141" s="56" t="n">
        <v>2012</v>
      </c>
      <c r="C5141" s="56" t="n">
        <v>7</v>
      </c>
      <c r="D5141" s="56" t="n">
        <v>91</v>
      </c>
      <c r="E5141" s="56" t="n">
        <v>20.8</v>
      </c>
      <c r="F5141" s="56" t="n">
        <v>0</v>
      </c>
      <c r="G5141" s="56" t="n">
        <v>9.8</v>
      </c>
      <c r="H5141" s="56" t="n">
        <v>0</v>
      </c>
      <c r="I5141" s="56" t="n">
        <v>15.3</v>
      </c>
      <c r="J5141" s="56" t="n">
        <v>0</v>
      </c>
      <c r="K5141" s="56" t="n">
        <v>1015.3</v>
      </c>
      <c r="L5141" s="56" t="n">
        <v>0</v>
      </c>
      <c r="M5141" s="56" t="n">
        <v>58</v>
      </c>
      <c r="N5141" s="56" t="n">
        <v>10.2</v>
      </c>
      <c r="O5141" s="56" t="n">
        <f aca="false">IF(D5141=1,"",E5140)</f>
        <v>20.7</v>
      </c>
      <c r="P5141" s="56" t="n">
        <f aca="false">IF(OR(D5141=1,K5140=""),"",K5140)</f>
        <v>1011.8</v>
      </c>
      <c r="Q5141" s="56" t="n">
        <f aca="false">IF(OR(F5141&lt;&gt;0,AND(I5141&lt;&gt;"",E5141&lt;I5141)),1,0)</f>
        <v>0</v>
      </c>
      <c r="R5141" s="56" t="n">
        <f aca="false">IF(AND(D5141&gt;1,Q5141=0,ISNUMBER(O5141),ISNUMBER(P5141)),IF(Q5140=0,1,0),0)</f>
        <v>1</v>
      </c>
      <c r="S5141" s="56" t="n">
        <f aca="false">R5141*(B5141&gt;=Train_Start)*(B5141&lt;=Train_End)</f>
        <v>0</v>
      </c>
      <c r="T5141" s="84" t="n">
        <f aca="false">IF(AND(ISNUMBER(O5141),ISNUMBER(P5141)),Coef_A+Coef_B1*O5141+Coef_B2*P5141,"")</f>
        <v>20.7873561086492</v>
      </c>
      <c r="U5141" s="84" t="n">
        <f aca="false">IF(AND(R5141=1,ISNUMBER(T5141)),E5141-T5141,"")</f>
        <v>0.0126438913508267</v>
      </c>
      <c r="V5141" s="84" t="n">
        <f aca="false">IF(ISNUMBER(T5141),T5141,-99)</f>
        <v>20.7873561086492</v>
      </c>
      <c r="W5141" s="84" t="n">
        <f aca="false">IF(ISNUMBER(U5141),ABS(U5141),"")</f>
        <v>0.0126438913508267</v>
      </c>
    </row>
    <row r="5142" customFormat="false" ht="15" hidden="false" customHeight="false" outlineLevel="0" collapsed="false">
      <c r="A5142" s="57" t="n">
        <v>41121</v>
      </c>
      <c r="B5142" s="56" t="n">
        <v>2012</v>
      </c>
      <c r="C5142" s="56" t="n">
        <v>7</v>
      </c>
      <c r="D5142" s="56" t="n">
        <v>92</v>
      </c>
      <c r="E5142" s="56" t="n">
        <v>23.6</v>
      </c>
      <c r="F5142" s="56" t="n">
        <v>0</v>
      </c>
      <c r="G5142" s="56" t="n">
        <v>10.8</v>
      </c>
      <c r="H5142" s="56" t="n">
        <v>0</v>
      </c>
      <c r="I5142" s="56" t="n">
        <v>15.8</v>
      </c>
      <c r="J5142" s="56" t="n">
        <v>0</v>
      </c>
      <c r="K5142" s="56" t="n">
        <v>1014.4</v>
      </c>
      <c r="L5142" s="56" t="n">
        <v>0</v>
      </c>
      <c r="M5142" s="56" t="n">
        <v>85</v>
      </c>
      <c r="N5142" s="56" t="n">
        <v>0.5</v>
      </c>
      <c r="O5142" s="56" t="n">
        <f aca="false">IF(D5142=1,"",E5141)</f>
        <v>20.8</v>
      </c>
      <c r="P5142" s="56" t="n">
        <f aca="false">IF(OR(D5142=1,K5141=""),"",K5141)</f>
        <v>1015.3</v>
      </c>
      <c r="Q5142" s="56" t="n">
        <f aca="false">IF(OR(F5142&lt;&gt;0,AND(I5142&lt;&gt;"",E5142&lt;I5142)),1,0)</f>
        <v>0</v>
      </c>
      <c r="R5142" s="56" t="n">
        <f aca="false">IF(AND(D5142&gt;1,Q5142=0,ISNUMBER(O5142),ISNUMBER(P5142)),IF(Q5141=0,1,0),0)</f>
        <v>1</v>
      </c>
      <c r="S5142" s="56" t="n">
        <f aca="false">R5142*(B5142&gt;=Train_Start)*(B5142&lt;=Train_End)</f>
        <v>0</v>
      </c>
      <c r="T5142" s="84" t="n">
        <f aca="false">IF(AND(ISNUMBER(O5142),ISNUMBER(P5142)),Coef_A+Coef_B1*O5142+Coef_B2*P5142,"")</f>
        <v>20.9790846591724</v>
      </c>
      <c r="U5142" s="84" t="n">
        <f aca="false">IF(AND(R5142=1,ISNUMBER(T5142)),E5142-T5142,"")</f>
        <v>2.6209153408276</v>
      </c>
      <c r="V5142" s="84" t="n">
        <f aca="false">IF(ISNUMBER(T5142),T5142,-99)</f>
        <v>20.9790846591724</v>
      </c>
      <c r="W5142" s="84" t="n">
        <f aca="false">IF(ISNUMBER(U5142),ABS(U5142),"")</f>
        <v>2.6209153408276</v>
      </c>
    </row>
    <row r="5143" customFormat="false" ht="15" hidden="false" customHeight="false" outlineLevel="0" collapsed="false">
      <c r="A5143" s="57" t="n">
        <v>41122</v>
      </c>
      <c r="B5143" s="56" t="n">
        <v>2012</v>
      </c>
      <c r="C5143" s="56" t="n">
        <v>8</v>
      </c>
      <c r="D5143" s="56" t="n">
        <v>93</v>
      </c>
      <c r="E5143" s="56" t="n">
        <v>22.8</v>
      </c>
      <c r="F5143" s="56" t="n">
        <v>0</v>
      </c>
      <c r="G5143" s="56" t="n">
        <v>12.8</v>
      </c>
      <c r="H5143" s="56" t="n">
        <v>0</v>
      </c>
      <c r="I5143" s="56" t="n">
        <v>18.2</v>
      </c>
      <c r="J5143" s="56" t="n">
        <v>0</v>
      </c>
      <c r="K5143" s="56" t="n">
        <v>1009.2</v>
      </c>
      <c r="L5143" s="56" t="n">
        <v>0</v>
      </c>
      <c r="M5143" s="56" t="n">
        <v>78</v>
      </c>
      <c r="N5143" s="56" t="n">
        <v>2.1</v>
      </c>
      <c r="O5143" s="56" t="n">
        <f aca="false">IF(D5143=1,"",E5142)</f>
        <v>23.6</v>
      </c>
      <c r="P5143" s="56" t="n">
        <f aca="false">IF(OR(D5143=1,K5142=""),"",K5142)</f>
        <v>1014.4</v>
      </c>
      <c r="Q5143" s="56" t="n">
        <f aca="false">IF(OR(F5143&lt;&gt;0,AND(I5143&lt;&gt;"",E5143&lt;I5143)),1,0)</f>
        <v>0</v>
      </c>
      <c r="R5143" s="56" t="n">
        <f aca="false">IF(AND(D5143&gt;1,Q5143=0,ISNUMBER(O5143),ISNUMBER(P5143)),IF(Q5142=0,1,0),0)</f>
        <v>1</v>
      </c>
      <c r="S5143" s="56" t="n">
        <f aca="false">R5143*(B5143&gt;=Train_Start)*(B5143&lt;=Train_End)</f>
        <v>0</v>
      </c>
      <c r="T5143" s="84" t="n">
        <f aca="false">IF(AND(ISNUMBER(O5143),ISNUMBER(P5143)),Coef_A+Coef_B1*O5143+Coef_B2*P5143,"")</f>
        <v>23.2450014945213</v>
      </c>
      <c r="U5143" s="84" t="n">
        <f aca="false">IF(AND(R5143=1,ISNUMBER(T5143)),E5143-T5143,"")</f>
        <v>-0.445001494521257</v>
      </c>
      <c r="V5143" s="84" t="n">
        <f aca="false">IF(ISNUMBER(T5143),T5143,-99)</f>
        <v>23.2450014945213</v>
      </c>
      <c r="W5143" s="84" t="n">
        <f aca="false">IF(ISNUMBER(U5143),ABS(U5143),"")</f>
        <v>0.445001494521257</v>
      </c>
    </row>
    <row r="5144" customFormat="false" ht="15" hidden="false" customHeight="false" outlineLevel="0" collapsed="false">
      <c r="A5144" s="57" t="n">
        <v>41123</v>
      </c>
      <c r="B5144" s="56" t="n">
        <v>2012</v>
      </c>
      <c r="C5144" s="56" t="n">
        <v>8</v>
      </c>
      <c r="D5144" s="56" t="n">
        <v>94</v>
      </c>
      <c r="E5144" s="56" t="n">
        <v>23</v>
      </c>
      <c r="F5144" s="56" t="n">
        <v>0</v>
      </c>
      <c r="G5144" s="56" t="n">
        <v>14.9</v>
      </c>
      <c r="H5144" s="56" t="n">
        <v>0</v>
      </c>
      <c r="I5144" s="56" t="n">
        <v>18.9</v>
      </c>
      <c r="J5144" s="56" t="n">
        <v>0</v>
      </c>
      <c r="K5144" s="56" t="n">
        <v>1010.4</v>
      </c>
      <c r="L5144" s="56" t="n">
        <v>0</v>
      </c>
      <c r="M5144" s="56" t="n">
        <v>74</v>
      </c>
      <c r="N5144" s="56" t="n">
        <v>6.6</v>
      </c>
      <c r="O5144" s="56" t="n">
        <f aca="false">IF(D5144=1,"",E5143)</f>
        <v>22.8</v>
      </c>
      <c r="P5144" s="56" t="n">
        <f aca="false">IF(OR(D5144=1,K5143=""),"",K5143)</f>
        <v>1009.2</v>
      </c>
      <c r="Q5144" s="56" t="n">
        <f aca="false">IF(OR(F5144&lt;&gt;0,AND(I5144&lt;&gt;"",E5144&lt;I5144)),1,0)</f>
        <v>0</v>
      </c>
      <c r="R5144" s="56" t="n">
        <f aca="false">IF(AND(D5144&gt;1,Q5144=0,ISNUMBER(O5144),ISNUMBER(P5144)),IF(Q5143=0,1,0),0)</f>
        <v>1</v>
      </c>
      <c r="S5144" s="56" t="n">
        <f aca="false">R5144*(B5144&gt;=Train_Start)*(B5144&lt;=Train_End)</f>
        <v>0</v>
      </c>
      <c r="T5144" s="84" t="n">
        <f aca="false">IF(AND(ISNUMBER(O5144),ISNUMBER(P5144)),Coef_A+Coef_B1*O5144+Coef_B2*P5144,"")</f>
        <v>22.4264066879904</v>
      </c>
      <c r="U5144" s="84" t="n">
        <f aca="false">IF(AND(R5144=1,ISNUMBER(T5144)),E5144-T5144,"")</f>
        <v>0.57359331200961</v>
      </c>
      <c r="V5144" s="84" t="n">
        <f aca="false">IF(ISNUMBER(T5144),T5144,-99)</f>
        <v>22.4264066879904</v>
      </c>
      <c r="W5144" s="84" t="n">
        <f aca="false">IF(ISNUMBER(U5144),ABS(U5144),"")</f>
        <v>0.57359331200961</v>
      </c>
    </row>
    <row r="5145" customFormat="false" ht="15" hidden="false" customHeight="false" outlineLevel="0" collapsed="false">
      <c r="A5145" s="57" t="n">
        <v>41124</v>
      </c>
      <c r="B5145" s="56" t="n">
        <v>2012</v>
      </c>
      <c r="C5145" s="56" t="n">
        <v>8</v>
      </c>
      <c r="D5145" s="56" t="n">
        <v>95</v>
      </c>
      <c r="E5145" s="56" t="n">
        <v>21.3</v>
      </c>
      <c r="F5145" s="56" t="n">
        <v>0</v>
      </c>
      <c r="G5145" s="56" t="n">
        <v>12.8</v>
      </c>
      <c r="H5145" s="56" t="n">
        <v>0</v>
      </c>
      <c r="I5145" s="56" t="n">
        <v>17.9</v>
      </c>
      <c r="J5145" s="56" t="n">
        <v>0</v>
      </c>
      <c r="K5145" s="56" t="n">
        <v>1012.4</v>
      </c>
      <c r="L5145" s="56" t="n">
        <v>0</v>
      </c>
      <c r="M5145" s="56" t="n">
        <v>72</v>
      </c>
      <c r="N5145" s="56" t="n">
        <v>9.8</v>
      </c>
      <c r="O5145" s="56" t="n">
        <f aca="false">IF(D5145=1,"",E5144)</f>
        <v>23</v>
      </c>
      <c r="P5145" s="56" t="n">
        <f aca="false">IF(OR(D5145=1,K5144=""),"",K5144)</f>
        <v>1010.4</v>
      </c>
      <c r="Q5145" s="56" t="n">
        <f aca="false">IF(OR(F5145&lt;&gt;0,AND(I5145&lt;&gt;"",E5145&lt;I5145)),1,0)</f>
        <v>0</v>
      </c>
      <c r="R5145" s="56" t="n">
        <f aca="false">IF(AND(D5145&gt;1,Q5145=0,ISNUMBER(O5145),ISNUMBER(P5145)),IF(Q5144=0,1,0),0)</f>
        <v>1</v>
      </c>
      <c r="S5145" s="56" t="n">
        <f aca="false">R5145*(B5145&gt;=Train_Start)*(B5145&lt;=Train_End)</f>
        <v>0</v>
      </c>
      <c r="T5145" s="84" t="n">
        <f aca="false">IF(AND(ISNUMBER(O5145),ISNUMBER(P5145)),Coef_A+Coef_B1*O5145+Coef_B2*P5145,"")</f>
        <v>22.6279184001597</v>
      </c>
      <c r="U5145" s="84" t="n">
        <f aca="false">IF(AND(R5145=1,ISNUMBER(T5145)),E5145-T5145,"")</f>
        <v>-1.3279184001597</v>
      </c>
      <c r="V5145" s="84" t="n">
        <f aca="false">IF(ISNUMBER(T5145),T5145,-99)</f>
        <v>22.6279184001597</v>
      </c>
      <c r="W5145" s="84" t="n">
        <f aca="false">IF(ISNUMBER(U5145),ABS(U5145),"")</f>
        <v>1.3279184001597</v>
      </c>
    </row>
    <row r="5146" customFormat="false" ht="15" hidden="false" customHeight="false" outlineLevel="0" collapsed="false">
      <c r="A5146" s="57" t="n">
        <v>41125</v>
      </c>
      <c r="B5146" s="56" t="n">
        <v>2012</v>
      </c>
      <c r="C5146" s="56" t="n">
        <v>8</v>
      </c>
      <c r="D5146" s="56" t="n">
        <v>96</v>
      </c>
      <c r="E5146" s="56" t="n">
        <v>21.5</v>
      </c>
      <c r="F5146" s="56" t="n">
        <v>0</v>
      </c>
      <c r="G5146" s="56" t="n">
        <v>14.2</v>
      </c>
      <c r="H5146" s="56" t="n">
        <v>0</v>
      </c>
      <c r="I5146" s="56" t="n">
        <v>17.8</v>
      </c>
      <c r="J5146" s="56" t="n">
        <v>0</v>
      </c>
      <c r="K5146" s="56" t="n">
        <v>1009.7</v>
      </c>
      <c r="L5146" s="56" t="n">
        <v>0</v>
      </c>
      <c r="M5146" s="56" t="n">
        <v>78</v>
      </c>
      <c r="N5146" s="56" t="n">
        <v>5.5</v>
      </c>
      <c r="O5146" s="56" t="n">
        <f aca="false">IF(D5146=1,"",E5145)</f>
        <v>21.3</v>
      </c>
      <c r="P5146" s="56" t="n">
        <f aca="false">IF(OR(D5146=1,K5145=""),"",K5145)</f>
        <v>1012.4</v>
      </c>
      <c r="Q5146" s="56" t="n">
        <f aca="false">IF(OR(F5146&lt;&gt;0,AND(I5146&lt;&gt;"",E5146&lt;I5146)),1,0)</f>
        <v>0</v>
      </c>
      <c r="R5146" s="56" t="n">
        <f aca="false">IF(AND(D5146&gt;1,Q5146=0,ISNUMBER(O5146),ISNUMBER(P5146)),IF(Q5145=0,1,0),0)</f>
        <v>1</v>
      </c>
      <c r="S5146" s="56" t="n">
        <f aca="false">R5146*(B5146&gt;=Train_Start)*(B5146&lt;=Train_End)</f>
        <v>0</v>
      </c>
      <c r="T5146" s="84" t="n">
        <f aca="false">IF(AND(ISNUMBER(O5146),ISNUMBER(P5146)),Coef_A+Coef_B1*O5146+Coef_B2*P5146,"")</f>
        <v>21.2977815612552</v>
      </c>
      <c r="U5146" s="84" t="n">
        <f aca="false">IF(AND(R5146=1,ISNUMBER(T5146)),E5146-T5146,"")</f>
        <v>0.202218438744836</v>
      </c>
      <c r="V5146" s="84" t="n">
        <f aca="false">IF(ISNUMBER(T5146),T5146,-99)</f>
        <v>21.2977815612552</v>
      </c>
      <c r="W5146" s="84" t="n">
        <f aca="false">IF(ISNUMBER(U5146),ABS(U5146),"")</f>
        <v>0.202218438744836</v>
      </c>
    </row>
    <row r="5147" customFormat="false" ht="15" hidden="false" customHeight="false" outlineLevel="0" collapsed="false">
      <c r="A5147" s="57" t="n">
        <v>41126</v>
      </c>
      <c r="B5147" s="56" t="n">
        <v>2012</v>
      </c>
      <c r="C5147" s="56" t="n">
        <v>8</v>
      </c>
      <c r="D5147" s="56" t="n">
        <v>97</v>
      </c>
      <c r="E5147" s="56" t="n">
        <v>22.3</v>
      </c>
      <c r="F5147" s="56" t="n">
        <v>0</v>
      </c>
      <c r="G5147" s="56" t="n">
        <v>12.5</v>
      </c>
      <c r="H5147" s="56" t="n">
        <v>0</v>
      </c>
      <c r="I5147" s="56" t="n">
        <v>17</v>
      </c>
      <c r="J5147" s="56" t="n">
        <v>0</v>
      </c>
      <c r="K5147" s="56" t="n">
        <v>1007.1</v>
      </c>
      <c r="L5147" s="56" t="n">
        <v>0</v>
      </c>
      <c r="M5147" s="56" t="n">
        <v>80</v>
      </c>
      <c r="N5147" s="56" t="n">
        <v>6.3</v>
      </c>
      <c r="O5147" s="56" t="n">
        <f aca="false">IF(D5147=1,"",E5146)</f>
        <v>21.5</v>
      </c>
      <c r="P5147" s="56" t="n">
        <f aca="false">IF(OR(D5147=1,K5146=""),"",K5146)</f>
        <v>1009.7</v>
      </c>
      <c r="Q5147" s="56" t="n">
        <f aca="false">IF(OR(F5147&lt;&gt;0,AND(I5147&lt;&gt;"",E5147&lt;I5147)),1,0)</f>
        <v>0</v>
      </c>
      <c r="R5147" s="56" t="n">
        <f aca="false">IF(AND(D5147&gt;1,Q5147=0,ISNUMBER(O5147),ISNUMBER(P5147)),IF(Q5146=0,1,0),0)</f>
        <v>1</v>
      </c>
      <c r="S5147" s="56" t="n">
        <f aca="false">R5147*(B5147&gt;=Train_Start)*(B5147&lt;=Train_End)</f>
        <v>0</v>
      </c>
      <c r="T5147" s="84" t="n">
        <f aca="false">IF(AND(ISNUMBER(O5147),ISNUMBER(P5147)),Coef_A+Coef_B1*O5147+Coef_B2*P5147,"")</f>
        <v>21.3769506843519</v>
      </c>
      <c r="U5147" s="84" t="n">
        <f aca="false">IF(AND(R5147=1,ISNUMBER(T5147)),E5147-T5147,"")</f>
        <v>0.923049315648076</v>
      </c>
      <c r="V5147" s="84" t="n">
        <f aca="false">IF(ISNUMBER(T5147),T5147,-99)</f>
        <v>21.3769506843519</v>
      </c>
      <c r="W5147" s="84" t="n">
        <f aca="false">IF(ISNUMBER(U5147),ABS(U5147),"")</f>
        <v>0.923049315648076</v>
      </c>
    </row>
    <row r="5148" customFormat="false" ht="15" hidden="false" customHeight="false" outlineLevel="0" collapsed="false">
      <c r="A5148" s="57" t="n">
        <v>41127</v>
      </c>
      <c r="B5148" s="56" t="n">
        <v>2012</v>
      </c>
      <c r="C5148" s="56" t="n">
        <v>8</v>
      </c>
      <c r="D5148" s="56" t="n">
        <v>98</v>
      </c>
      <c r="E5148" s="56" t="n">
        <v>20.3</v>
      </c>
      <c r="F5148" s="56" t="n">
        <v>0</v>
      </c>
      <c r="G5148" s="56" t="n">
        <v>14.7</v>
      </c>
      <c r="H5148" s="56" t="n">
        <v>0</v>
      </c>
      <c r="I5148" s="56" t="n">
        <v>18.5</v>
      </c>
      <c r="J5148" s="56" t="n">
        <v>0</v>
      </c>
      <c r="K5148" s="56" t="n">
        <v>1009.5</v>
      </c>
      <c r="L5148" s="56" t="n">
        <v>0</v>
      </c>
      <c r="M5148" s="56" t="n">
        <v>78</v>
      </c>
      <c r="N5148" s="56" t="n">
        <v>4.7</v>
      </c>
      <c r="O5148" s="56" t="n">
        <f aca="false">IF(D5148=1,"",E5147)</f>
        <v>22.3</v>
      </c>
      <c r="P5148" s="56" t="n">
        <f aca="false">IF(OR(D5148=1,K5147=""),"",K5147)</f>
        <v>1007.1</v>
      </c>
      <c r="Q5148" s="56" t="n">
        <f aca="false">IF(OR(F5148&lt;&gt;0,AND(I5148&lt;&gt;"",E5148&lt;I5148)),1,0)</f>
        <v>0</v>
      </c>
      <c r="R5148" s="56" t="n">
        <f aca="false">IF(AND(D5148&gt;1,Q5148=0,ISNUMBER(O5148),ISNUMBER(P5148)),IF(Q5147=0,1,0),0)</f>
        <v>1</v>
      </c>
      <c r="S5148" s="56" t="n">
        <f aca="false">R5148*(B5148&gt;=Train_Start)*(B5148&lt;=Train_End)</f>
        <v>0</v>
      </c>
      <c r="T5148" s="84" t="n">
        <f aca="false">IF(AND(ISNUMBER(O5148),ISNUMBER(P5148)),Coef_A+Coef_B1*O5148+Coef_B2*P5148,"")</f>
        <v>21.9508603127377</v>
      </c>
      <c r="U5148" s="84" t="n">
        <f aca="false">IF(AND(R5148=1,ISNUMBER(T5148)),E5148-T5148,"")</f>
        <v>-1.65086031273768</v>
      </c>
      <c r="V5148" s="84" t="n">
        <f aca="false">IF(ISNUMBER(T5148),T5148,-99)</f>
        <v>21.9508603127377</v>
      </c>
      <c r="W5148" s="84" t="n">
        <f aca="false">IF(ISNUMBER(U5148),ABS(U5148),"")</f>
        <v>1.65086031273768</v>
      </c>
    </row>
    <row r="5149" customFormat="false" ht="15" hidden="false" customHeight="false" outlineLevel="0" collapsed="false">
      <c r="A5149" s="57" t="n">
        <v>41128</v>
      </c>
      <c r="B5149" s="56" t="n">
        <v>2012</v>
      </c>
      <c r="C5149" s="56" t="n">
        <v>8</v>
      </c>
      <c r="D5149" s="56" t="n">
        <v>99</v>
      </c>
      <c r="E5149" s="56" t="n">
        <v>23.7</v>
      </c>
      <c r="F5149" s="56" t="n">
        <v>0</v>
      </c>
      <c r="G5149" s="56" t="n">
        <v>11</v>
      </c>
      <c r="H5149" s="56" t="n">
        <v>0</v>
      </c>
      <c r="I5149" s="56" t="n">
        <v>15.7</v>
      </c>
      <c r="J5149" s="56" t="n">
        <v>0</v>
      </c>
      <c r="K5149" s="56" t="n">
        <v>1019.8</v>
      </c>
      <c r="L5149" s="56" t="n">
        <v>0</v>
      </c>
      <c r="M5149" s="56" t="n">
        <v>79</v>
      </c>
      <c r="N5149" s="56" t="n">
        <v>1</v>
      </c>
      <c r="O5149" s="56" t="n">
        <f aca="false">IF(D5149=1,"",E5148)</f>
        <v>20.3</v>
      </c>
      <c r="P5149" s="56" t="n">
        <f aca="false">IF(OR(D5149=1,K5148=""),"",K5148)</f>
        <v>1009.5</v>
      </c>
      <c r="Q5149" s="56" t="n">
        <f aca="false">IF(OR(F5149&lt;&gt;0,AND(I5149&lt;&gt;"",E5149&lt;I5149)),1,0)</f>
        <v>0</v>
      </c>
      <c r="R5149" s="56" t="n">
        <f aca="false">IF(AND(D5149&gt;1,Q5149=0,ISNUMBER(O5149),ISNUMBER(P5149)),IF(Q5148=0,1,0),0)</f>
        <v>1</v>
      </c>
      <c r="S5149" s="56" t="n">
        <f aca="false">R5149*(B5149&gt;=Train_Start)*(B5149&lt;=Train_End)</f>
        <v>0</v>
      </c>
      <c r="T5149" s="84" t="n">
        <f aca="false">IF(AND(ISNUMBER(O5149),ISNUMBER(P5149)),Coef_A+Coef_B1*O5149+Coef_B2*P5149,"")</f>
        <v>20.3874696737739</v>
      </c>
      <c r="U5149" s="84" t="n">
        <f aca="false">IF(AND(R5149=1,ISNUMBER(T5149)),E5149-T5149,"")</f>
        <v>3.31253032622606</v>
      </c>
      <c r="V5149" s="84" t="n">
        <f aca="false">IF(ISNUMBER(T5149),T5149,-99)</f>
        <v>20.3874696737739</v>
      </c>
      <c r="W5149" s="84" t="n">
        <f aca="false">IF(ISNUMBER(U5149),ABS(U5149),"")</f>
        <v>3.31253032622606</v>
      </c>
    </row>
    <row r="5150" customFormat="false" ht="15" hidden="false" customHeight="false" outlineLevel="0" collapsed="false">
      <c r="A5150" s="57" t="n">
        <v>41129</v>
      </c>
      <c r="B5150" s="56" t="n">
        <v>2012</v>
      </c>
      <c r="C5150" s="56" t="n">
        <v>8</v>
      </c>
      <c r="D5150" s="56" t="n">
        <v>100</v>
      </c>
      <c r="E5150" s="56" t="n">
        <v>26.3</v>
      </c>
      <c r="F5150" s="56" t="n">
        <v>0</v>
      </c>
      <c r="G5150" s="56" t="n">
        <v>14.7</v>
      </c>
      <c r="H5150" s="56" t="n">
        <v>0</v>
      </c>
      <c r="I5150" s="56" t="n">
        <v>19.2</v>
      </c>
      <c r="J5150" s="56" t="n">
        <v>0</v>
      </c>
      <c r="K5150" s="56" t="n">
        <v>1022.7</v>
      </c>
      <c r="L5150" s="56" t="n">
        <v>0</v>
      </c>
      <c r="M5150" s="56" t="n">
        <v>76</v>
      </c>
      <c r="N5150" s="56" t="n">
        <v>4</v>
      </c>
      <c r="O5150" s="56" t="n">
        <f aca="false">IF(D5150=1,"",E5149)</f>
        <v>23.7</v>
      </c>
      <c r="P5150" s="56" t="n">
        <f aca="false">IF(OR(D5150=1,K5149=""),"",K5149)</f>
        <v>1019.8</v>
      </c>
      <c r="Q5150" s="56" t="n">
        <f aca="false">IF(OR(F5150&lt;&gt;0,AND(I5150&lt;&gt;"",E5150&lt;I5150)),1,0)</f>
        <v>0</v>
      </c>
      <c r="R5150" s="56" t="n">
        <f aca="false">IF(AND(D5150&gt;1,Q5150=0,ISNUMBER(O5150),ISNUMBER(P5150)),IF(Q5149=0,1,0),0)</f>
        <v>1</v>
      </c>
      <c r="S5150" s="56" t="n">
        <f aca="false">R5150*(B5150&gt;=Train_Start)*(B5150&lt;=Train_End)</f>
        <v>0</v>
      </c>
      <c r="T5150" s="84" t="n">
        <f aca="false">IF(AND(ISNUMBER(O5150),ISNUMBER(P5150)),Coef_A+Coef_B1*O5150+Coef_B2*P5150,"")</f>
        <v>23.4963328448491</v>
      </c>
      <c r="U5150" s="84" t="n">
        <f aca="false">IF(AND(R5150=1,ISNUMBER(T5150)),E5150-T5150,"")</f>
        <v>2.80366715515094</v>
      </c>
      <c r="V5150" s="84" t="n">
        <f aca="false">IF(ISNUMBER(T5150),T5150,-99)</f>
        <v>23.4963328448491</v>
      </c>
      <c r="W5150" s="84" t="n">
        <f aca="false">IF(ISNUMBER(U5150),ABS(U5150),"")</f>
        <v>2.80366715515094</v>
      </c>
    </row>
    <row r="5151" customFormat="false" ht="15" hidden="false" customHeight="false" outlineLevel="0" collapsed="false">
      <c r="A5151" s="57" t="n">
        <v>41130</v>
      </c>
      <c r="B5151" s="56" t="n">
        <v>2012</v>
      </c>
      <c r="C5151" s="56" t="n">
        <v>8</v>
      </c>
      <c r="D5151" s="56" t="n">
        <v>101</v>
      </c>
      <c r="E5151" s="56" t="n">
        <v>26.9</v>
      </c>
      <c r="F5151" s="56" t="n">
        <v>0</v>
      </c>
      <c r="G5151" s="56" t="n">
        <v>13.2</v>
      </c>
      <c r="H5151" s="56" t="n">
        <v>0</v>
      </c>
      <c r="I5151" s="56" t="n">
        <v>19.8</v>
      </c>
      <c r="J5151" s="56" t="n">
        <v>0</v>
      </c>
      <c r="K5151" s="56" t="n">
        <v>1025.7</v>
      </c>
      <c r="L5151" s="56" t="n">
        <v>0</v>
      </c>
      <c r="M5151" s="56" t="n">
        <v>64</v>
      </c>
      <c r="N5151" s="56" t="n">
        <v>11.2</v>
      </c>
      <c r="O5151" s="56" t="n">
        <f aca="false">IF(D5151=1,"",E5150)</f>
        <v>26.3</v>
      </c>
      <c r="P5151" s="56" t="n">
        <f aca="false">IF(OR(D5151=1,K5150=""),"",K5150)</f>
        <v>1022.7</v>
      </c>
      <c r="Q5151" s="56" t="n">
        <f aca="false">IF(OR(F5151&lt;&gt;0,AND(I5151&lt;&gt;"",E5151&lt;I5151)),1,0)</f>
        <v>0</v>
      </c>
      <c r="R5151" s="56" t="n">
        <f aca="false">IF(AND(D5151&gt;1,Q5151=0,ISNUMBER(O5151),ISNUMBER(P5151)),IF(Q5150=0,1,0),0)</f>
        <v>1</v>
      </c>
      <c r="S5151" s="56" t="n">
        <f aca="false">R5151*(B5151&gt;=Train_Start)*(B5151&lt;=Train_End)</f>
        <v>0</v>
      </c>
      <c r="T5151" s="84" t="n">
        <f aca="false">IF(AND(ISNUMBER(O5151),ISNUMBER(P5151)),Coef_A+Coef_B1*O5151+Coef_B2*P5151,"")</f>
        <v>25.7175874411986</v>
      </c>
      <c r="U5151" s="84" t="n">
        <f aca="false">IF(AND(R5151=1,ISNUMBER(T5151)),E5151-T5151,"")</f>
        <v>1.18241255880145</v>
      </c>
      <c r="V5151" s="84" t="n">
        <f aca="false">IF(ISNUMBER(T5151),T5151,-99)</f>
        <v>25.7175874411986</v>
      </c>
      <c r="W5151" s="84" t="n">
        <f aca="false">IF(ISNUMBER(U5151),ABS(U5151),"")</f>
        <v>1.18241255880145</v>
      </c>
    </row>
    <row r="5152" customFormat="false" ht="15" hidden="false" customHeight="false" outlineLevel="0" collapsed="false">
      <c r="A5152" s="57" t="n">
        <v>41131</v>
      </c>
      <c r="B5152" s="56" t="n">
        <v>2012</v>
      </c>
      <c r="C5152" s="56" t="n">
        <v>8</v>
      </c>
      <c r="D5152" s="56" t="n">
        <v>102</v>
      </c>
      <c r="E5152" s="56" t="n">
        <v>24.1</v>
      </c>
      <c r="F5152" s="56" t="n">
        <v>0</v>
      </c>
      <c r="G5152" s="56" t="n">
        <v>14.8</v>
      </c>
      <c r="H5152" s="56" t="n">
        <v>0</v>
      </c>
      <c r="I5152" s="56" t="n">
        <v>20.9</v>
      </c>
      <c r="J5152" s="56" t="n">
        <v>0</v>
      </c>
      <c r="K5152" s="56" t="n">
        <v>1025.9</v>
      </c>
      <c r="L5152" s="56" t="n">
        <v>0</v>
      </c>
      <c r="M5152" s="56" t="n">
        <v>65</v>
      </c>
      <c r="N5152" s="56" t="n">
        <v>10.5</v>
      </c>
      <c r="O5152" s="56" t="n">
        <f aca="false">IF(D5152=1,"",E5151)</f>
        <v>26.9</v>
      </c>
      <c r="P5152" s="56" t="n">
        <f aca="false">IF(OR(D5152=1,K5151=""),"",K5151)</f>
        <v>1025.7</v>
      </c>
      <c r="Q5152" s="56" t="n">
        <f aca="false">IF(OR(F5152&lt;&gt;0,AND(I5152&lt;&gt;"",E5152&lt;I5152)),1,0)</f>
        <v>0</v>
      </c>
      <c r="R5152" s="56" t="n">
        <f aca="false">IF(AND(D5152&gt;1,Q5152=0,ISNUMBER(O5152),ISNUMBER(P5152)),IF(Q5151=0,1,0),0)</f>
        <v>1</v>
      </c>
      <c r="S5152" s="56" t="n">
        <f aca="false">R5152*(B5152&gt;=Train_Start)*(B5152&lt;=Train_End)</f>
        <v>0</v>
      </c>
      <c r="T5152" s="84" t="n">
        <f aca="false">IF(AND(ISNUMBER(O5152),ISNUMBER(P5152)),Coef_A+Coef_B1*O5152+Coef_B2*P5152,"")</f>
        <v>26.3033006409261</v>
      </c>
      <c r="U5152" s="84" t="n">
        <f aca="false">IF(AND(R5152=1,ISNUMBER(T5152)),E5152-T5152,"")</f>
        <v>-2.2033006409261</v>
      </c>
      <c r="V5152" s="84" t="n">
        <f aca="false">IF(ISNUMBER(T5152),T5152,-99)</f>
        <v>26.3033006409261</v>
      </c>
      <c r="W5152" s="84" t="n">
        <f aca="false">IF(ISNUMBER(U5152),ABS(U5152),"")</f>
        <v>2.2033006409261</v>
      </c>
    </row>
    <row r="5153" customFormat="false" ht="15" hidden="false" customHeight="false" outlineLevel="0" collapsed="false">
      <c r="A5153" s="57" t="n">
        <v>41132</v>
      </c>
      <c r="B5153" s="56" t="n">
        <v>2012</v>
      </c>
      <c r="C5153" s="56" t="n">
        <v>8</v>
      </c>
      <c r="D5153" s="56" t="n">
        <v>103</v>
      </c>
      <c r="E5153" s="56" t="n">
        <v>26.9</v>
      </c>
      <c r="F5153" s="56" t="n">
        <v>0</v>
      </c>
      <c r="G5153" s="56" t="n">
        <v>14.7</v>
      </c>
      <c r="H5153" s="56" t="n">
        <v>0</v>
      </c>
      <c r="I5153" s="56" t="n">
        <v>19.4</v>
      </c>
      <c r="J5153" s="56" t="n">
        <v>0</v>
      </c>
      <c r="K5153" s="56" t="n">
        <v>1020.5</v>
      </c>
      <c r="L5153" s="56" t="n">
        <v>0</v>
      </c>
      <c r="M5153" s="56" t="n">
        <v>64</v>
      </c>
      <c r="N5153" s="56" t="n">
        <v>10</v>
      </c>
      <c r="O5153" s="56" t="n">
        <f aca="false">IF(D5153=1,"",E5152)</f>
        <v>24.1</v>
      </c>
      <c r="P5153" s="56" t="n">
        <f aca="false">IF(OR(D5153=1,K5152=""),"",K5152)</f>
        <v>1025.9</v>
      </c>
      <c r="Q5153" s="56" t="n">
        <f aca="false">IF(OR(F5153&lt;&gt;0,AND(I5153&lt;&gt;"",E5153&lt;I5153)),1,0)</f>
        <v>0</v>
      </c>
      <c r="R5153" s="56" t="n">
        <f aca="false">IF(AND(D5153&gt;1,Q5153=0,ISNUMBER(O5153),ISNUMBER(P5153)),IF(Q5152=0,1,0),0)</f>
        <v>1</v>
      </c>
      <c r="S5153" s="56" t="n">
        <f aca="false">R5153*(B5153&gt;=Train_Start)*(B5153&lt;=Train_End)</f>
        <v>0</v>
      </c>
      <c r="T5153" s="84" t="n">
        <f aca="false">IF(AND(ISNUMBER(O5153),ISNUMBER(P5153)),Coef_A+Coef_B1*O5153+Coef_B2*P5153,"")</f>
        <v>24.0154248793335</v>
      </c>
      <c r="U5153" s="84" t="n">
        <f aca="false">IF(AND(R5153=1,ISNUMBER(T5153)),E5153-T5153,"")</f>
        <v>2.88457512066653</v>
      </c>
      <c r="V5153" s="84" t="n">
        <f aca="false">IF(ISNUMBER(T5153),T5153,-99)</f>
        <v>24.0154248793335</v>
      </c>
      <c r="W5153" s="84" t="n">
        <f aca="false">IF(ISNUMBER(U5153),ABS(U5153),"")</f>
        <v>2.88457512066653</v>
      </c>
    </row>
    <row r="5154" customFormat="false" ht="15" hidden="false" customHeight="false" outlineLevel="0" collapsed="false">
      <c r="A5154" s="57" t="n">
        <v>41133</v>
      </c>
      <c r="B5154" s="56" t="n">
        <v>2012</v>
      </c>
      <c r="C5154" s="56" t="n">
        <v>8</v>
      </c>
      <c r="D5154" s="56" t="n">
        <v>104</v>
      </c>
      <c r="E5154" s="56" t="n">
        <v>23.8</v>
      </c>
      <c r="F5154" s="56" t="n">
        <v>0</v>
      </c>
      <c r="G5154" s="56" t="n">
        <v>15.3</v>
      </c>
      <c r="H5154" s="56" t="n">
        <v>0</v>
      </c>
      <c r="I5154" s="56" t="n">
        <v>21.1</v>
      </c>
      <c r="J5154" s="56" t="n">
        <v>0</v>
      </c>
      <c r="K5154" s="56" t="n">
        <v>1012</v>
      </c>
      <c r="L5154" s="56" t="n">
        <v>0</v>
      </c>
      <c r="M5154" s="56" t="n">
        <v>68</v>
      </c>
      <c r="N5154" s="56" t="n">
        <v>7.8</v>
      </c>
      <c r="O5154" s="56" t="n">
        <f aca="false">IF(D5154=1,"",E5153)</f>
        <v>26.9</v>
      </c>
      <c r="P5154" s="56" t="n">
        <f aca="false">IF(OR(D5154=1,K5153=""),"",K5153)</f>
        <v>1020.5</v>
      </c>
      <c r="Q5154" s="56" t="n">
        <f aca="false">IF(OR(F5154&lt;&gt;0,AND(I5154&lt;&gt;"",E5154&lt;I5154)),1,0)</f>
        <v>0</v>
      </c>
      <c r="R5154" s="56" t="n">
        <f aca="false">IF(AND(D5154&gt;1,Q5154=0,ISNUMBER(O5154),ISNUMBER(P5154)),IF(Q5153=0,1,0),0)</f>
        <v>1</v>
      </c>
      <c r="S5154" s="56" t="n">
        <f aca="false">R5154*(B5154&gt;=Train_Start)*(B5154&lt;=Train_End)</f>
        <v>0</v>
      </c>
      <c r="T5154" s="84" t="n">
        <f aca="false">IF(AND(ISNUMBER(O5154),ISNUMBER(P5154)),Coef_A+Coef_B1*O5154+Coef_B2*P5154,"")</f>
        <v>26.1401771888294</v>
      </c>
      <c r="U5154" s="84" t="n">
        <f aca="false">IF(AND(R5154=1,ISNUMBER(T5154)),E5154-T5154,"")</f>
        <v>-2.34017718882936</v>
      </c>
      <c r="V5154" s="84" t="n">
        <f aca="false">IF(ISNUMBER(T5154),T5154,-99)</f>
        <v>26.1401771888294</v>
      </c>
      <c r="W5154" s="84" t="n">
        <f aca="false">IF(ISNUMBER(U5154),ABS(U5154),"")</f>
        <v>2.34017718882936</v>
      </c>
    </row>
    <row r="5155" customFormat="false" ht="15" hidden="false" customHeight="false" outlineLevel="0" collapsed="false">
      <c r="A5155" s="57" t="n">
        <v>41134</v>
      </c>
      <c r="B5155" s="56" t="n">
        <v>2012</v>
      </c>
      <c r="C5155" s="56" t="n">
        <v>8</v>
      </c>
      <c r="D5155" s="56" t="n">
        <v>105</v>
      </c>
      <c r="E5155" s="56" t="n">
        <v>25.1</v>
      </c>
      <c r="F5155" s="56" t="n">
        <v>0</v>
      </c>
      <c r="G5155" s="56" t="n">
        <v>14.6</v>
      </c>
      <c r="H5155" s="56" t="n">
        <v>0</v>
      </c>
      <c r="I5155" s="56" t="n">
        <v>19.2</v>
      </c>
      <c r="J5155" s="56" t="n">
        <v>0</v>
      </c>
      <c r="K5155" s="56" t="n">
        <v>1011</v>
      </c>
      <c r="L5155" s="56" t="n">
        <v>0</v>
      </c>
      <c r="M5155" s="56" t="n">
        <v>80</v>
      </c>
      <c r="N5155" s="56" t="n">
        <v>0.8</v>
      </c>
      <c r="O5155" s="56" t="n">
        <f aca="false">IF(D5155=1,"",E5154)</f>
        <v>23.8</v>
      </c>
      <c r="P5155" s="56" t="n">
        <f aca="false">IF(OR(D5155=1,K5154=""),"",K5154)</f>
        <v>1012</v>
      </c>
      <c r="Q5155" s="56" t="n">
        <f aca="false">IF(OR(F5155&lt;&gt;0,AND(I5155&lt;&gt;"",E5155&lt;I5155)),1,0)</f>
        <v>0</v>
      </c>
      <c r="R5155" s="56" t="n">
        <f aca="false">IF(AND(D5155&gt;1,Q5155=0,ISNUMBER(O5155),ISNUMBER(P5155)),IF(Q5154=0,1,0),0)</f>
        <v>1</v>
      </c>
      <c r="S5155" s="56" t="n">
        <f aca="false">R5155*(B5155&gt;=Train_Start)*(B5155&lt;=Train_End)</f>
        <v>0</v>
      </c>
      <c r="T5155" s="84" t="n">
        <f aca="false">IF(AND(ISNUMBER(O5155),ISNUMBER(P5155)),Coef_A+Coef_B1*O5155+Coef_B2*P5155,"")</f>
        <v>23.3335815860082</v>
      </c>
      <c r="U5155" s="84" t="n">
        <f aca="false">IF(AND(R5155=1,ISNUMBER(T5155)),E5155-T5155,"")</f>
        <v>1.76641841399179</v>
      </c>
      <c r="V5155" s="84" t="n">
        <f aca="false">IF(ISNUMBER(T5155),T5155,-99)</f>
        <v>23.3335815860082</v>
      </c>
      <c r="W5155" s="84" t="n">
        <f aca="false">IF(ISNUMBER(U5155),ABS(U5155),"")</f>
        <v>1.76641841399179</v>
      </c>
    </row>
    <row r="5156" customFormat="false" ht="15" hidden="false" customHeight="false" outlineLevel="0" collapsed="false">
      <c r="A5156" s="57" t="n">
        <v>41135</v>
      </c>
      <c r="B5156" s="56" t="n">
        <v>2012</v>
      </c>
      <c r="C5156" s="56" t="n">
        <v>8</v>
      </c>
      <c r="D5156" s="56" t="n">
        <v>106</v>
      </c>
      <c r="E5156" s="56" t="n">
        <v>23</v>
      </c>
      <c r="F5156" s="56" t="n">
        <v>0</v>
      </c>
      <c r="G5156" s="56" t="n">
        <v>17.3</v>
      </c>
      <c r="H5156" s="56" t="n">
        <v>0</v>
      </c>
      <c r="I5156" s="56" t="n">
        <v>21.2</v>
      </c>
      <c r="J5156" s="56" t="n">
        <v>0</v>
      </c>
      <c r="K5156" s="56" t="n">
        <v>1011</v>
      </c>
      <c r="L5156" s="56" t="n">
        <v>0</v>
      </c>
      <c r="M5156" s="56" t="n">
        <v>73</v>
      </c>
      <c r="N5156" s="56" t="n">
        <v>8.7</v>
      </c>
      <c r="O5156" s="56" t="n">
        <f aca="false">IF(D5156=1,"",E5155)</f>
        <v>25.1</v>
      </c>
      <c r="P5156" s="56" t="n">
        <f aca="false">IF(OR(D5156=1,K5155=""),"",K5155)</f>
        <v>1011</v>
      </c>
      <c r="Q5156" s="56" t="n">
        <f aca="false">IF(OR(F5156&lt;&gt;0,AND(I5156&lt;&gt;"",E5156&lt;I5156)),1,0)</f>
        <v>0</v>
      </c>
      <c r="R5156" s="56" t="n">
        <f aca="false">IF(AND(D5156&gt;1,Q5156=0,ISNUMBER(O5156),ISNUMBER(P5156)),IF(Q5155=0,1,0),0)</f>
        <v>1</v>
      </c>
      <c r="S5156" s="56" t="n">
        <f aca="false">R5156*(B5156&gt;=Train_Start)*(B5156&lt;=Train_End)</f>
        <v>0</v>
      </c>
      <c r="T5156" s="84" t="n">
        <f aca="false">IF(AND(ISNUMBER(O5156),ISNUMBER(P5156)),Coef_A+Coef_B1*O5156+Coef_B2*P5156,"")</f>
        <v>24.3673526423297</v>
      </c>
      <c r="U5156" s="84" t="n">
        <f aca="false">IF(AND(R5156=1,ISNUMBER(T5156)),E5156-T5156,"")</f>
        <v>-1.36735264232968</v>
      </c>
      <c r="V5156" s="84" t="n">
        <f aca="false">IF(ISNUMBER(T5156),T5156,-99)</f>
        <v>24.3673526423297</v>
      </c>
      <c r="W5156" s="84" t="n">
        <f aca="false">IF(ISNUMBER(U5156),ABS(U5156),"")</f>
        <v>1.36735264232968</v>
      </c>
    </row>
    <row r="5157" customFormat="false" ht="15" hidden="false" customHeight="false" outlineLevel="0" collapsed="false">
      <c r="A5157" s="57" t="n">
        <v>41136</v>
      </c>
      <c r="B5157" s="56" t="n">
        <v>2012</v>
      </c>
      <c r="C5157" s="56" t="n">
        <v>8</v>
      </c>
      <c r="D5157" s="56" t="n">
        <v>107</v>
      </c>
      <c r="E5157" s="56" t="n">
        <v>22.9</v>
      </c>
      <c r="F5157" s="56" t="n">
        <v>0</v>
      </c>
      <c r="G5157" s="56" t="n">
        <v>18</v>
      </c>
      <c r="H5157" s="56" t="n">
        <v>0</v>
      </c>
      <c r="I5157" s="56" t="n">
        <v>20.5</v>
      </c>
      <c r="J5157" s="56" t="n">
        <v>0</v>
      </c>
      <c r="K5157" s="56" t="n">
        <v>1006.2</v>
      </c>
      <c r="L5157" s="56" t="n">
        <v>0</v>
      </c>
      <c r="M5157" s="56" t="n">
        <v>74</v>
      </c>
      <c r="N5157" s="56" t="n">
        <v>1.5</v>
      </c>
      <c r="O5157" s="56" t="n">
        <f aca="false">IF(D5157=1,"",E5156)</f>
        <v>23</v>
      </c>
      <c r="P5157" s="56" t="n">
        <f aca="false">IF(OR(D5157=1,K5156=""),"",K5156)</f>
        <v>1011</v>
      </c>
      <c r="Q5157" s="56" t="n">
        <f aca="false">IF(OR(F5157&lt;&gt;0,AND(I5157&lt;&gt;"",E5157&lt;I5157)),1,0)</f>
        <v>0</v>
      </c>
      <c r="R5157" s="56" t="n">
        <f aca="false">IF(AND(D5157&gt;1,Q5157=0,ISNUMBER(O5157),ISNUMBER(P5157)),IF(Q5156=0,1,0),0)</f>
        <v>1</v>
      </c>
      <c r="S5157" s="56" t="n">
        <f aca="false">R5157*(B5157&gt;=Train_Start)*(B5157&lt;=Train_End)</f>
        <v>0</v>
      </c>
      <c r="T5157" s="84" t="n">
        <f aca="false">IF(AND(ISNUMBER(O5157),ISNUMBER(P5157)),Coef_A+Coef_B1*O5157+Coef_B2*P5157,"")</f>
        <v>22.6467403369401</v>
      </c>
      <c r="U5157" s="84" t="n">
        <f aca="false">IF(AND(R5157=1,ISNUMBER(T5157)),E5157-T5157,"")</f>
        <v>0.2532596630599</v>
      </c>
      <c r="V5157" s="84" t="n">
        <f aca="false">IF(ISNUMBER(T5157),T5157,-99)</f>
        <v>22.6467403369401</v>
      </c>
      <c r="W5157" s="84" t="n">
        <f aca="false">IF(ISNUMBER(U5157),ABS(U5157),"")</f>
        <v>0.2532596630599</v>
      </c>
    </row>
    <row r="5158" customFormat="false" ht="15" hidden="false" customHeight="false" outlineLevel="0" collapsed="false">
      <c r="A5158" s="57" t="n">
        <v>41137</v>
      </c>
      <c r="B5158" s="56" t="n">
        <v>2012</v>
      </c>
      <c r="C5158" s="56" t="n">
        <v>8</v>
      </c>
      <c r="D5158" s="56" t="n">
        <v>108</v>
      </c>
      <c r="E5158" s="56" t="n">
        <v>28.5</v>
      </c>
      <c r="F5158" s="56" t="n">
        <v>0</v>
      </c>
      <c r="G5158" s="56" t="n">
        <v>15.9</v>
      </c>
      <c r="H5158" s="56" t="n">
        <v>0</v>
      </c>
      <c r="I5158" s="56" t="n">
        <v>19.4</v>
      </c>
      <c r="J5158" s="56" t="n">
        <v>0</v>
      </c>
      <c r="K5158" s="56" t="n">
        <v>1014.1</v>
      </c>
      <c r="L5158" s="56" t="n">
        <v>0</v>
      </c>
      <c r="M5158" s="56" t="n">
        <v>68</v>
      </c>
      <c r="N5158" s="56" t="n">
        <v>3.9</v>
      </c>
      <c r="O5158" s="56" t="n">
        <f aca="false">IF(D5158=1,"",E5157)</f>
        <v>22.9</v>
      </c>
      <c r="P5158" s="56" t="n">
        <f aca="false">IF(OR(D5158=1,K5157=""),"",K5157)</f>
        <v>1006.2</v>
      </c>
      <c r="Q5158" s="56" t="n">
        <f aca="false">IF(OR(F5158&lt;&gt;0,AND(I5158&lt;&gt;"",E5158&lt;I5158)),1,0)</f>
        <v>0</v>
      </c>
      <c r="R5158" s="56" t="n">
        <f aca="false">IF(AND(D5158&gt;1,Q5158=0,ISNUMBER(O5158),ISNUMBER(P5158)),IF(Q5157=0,1,0),0)</f>
        <v>1</v>
      </c>
      <c r="S5158" s="56" t="n">
        <f aca="false">R5158*(B5158&gt;=Train_Start)*(B5158&lt;=Train_End)</f>
        <v>0</v>
      </c>
      <c r="T5158" s="84" t="n">
        <f aca="false">IF(AND(ISNUMBER(O5158),ISNUMBER(P5158)),Coef_A+Coef_B1*O5158+Coef_B2*P5158,"")</f>
        <v>22.4142309233927</v>
      </c>
      <c r="U5158" s="84" t="n">
        <f aca="false">IF(AND(R5158=1,ISNUMBER(T5158)),E5158-T5158,"")</f>
        <v>6.08576907660732</v>
      </c>
      <c r="V5158" s="84" t="n">
        <f aca="false">IF(ISNUMBER(T5158),T5158,-99)</f>
        <v>22.4142309233927</v>
      </c>
      <c r="W5158" s="84" t="n">
        <f aca="false">IF(ISNUMBER(U5158),ABS(U5158),"")</f>
        <v>6.08576907660732</v>
      </c>
    </row>
    <row r="5159" customFormat="false" ht="15" hidden="false" customHeight="false" outlineLevel="0" collapsed="false">
      <c r="A5159" s="57" t="n">
        <v>41138</v>
      </c>
      <c r="B5159" s="56" t="n">
        <v>2012</v>
      </c>
      <c r="C5159" s="56" t="n">
        <v>8</v>
      </c>
      <c r="D5159" s="56" t="n">
        <v>109</v>
      </c>
      <c r="E5159" s="56" t="n">
        <v>30.3</v>
      </c>
      <c r="F5159" s="56" t="n">
        <v>0</v>
      </c>
      <c r="G5159" s="56" t="n">
        <v>17.9</v>
      </c>
      <c r="H5159" s="56" t="n">
        <v>0</v>
      </c>
      <c r="I5159" s="56" t="n">
        <v>23.2</v>
      </c>
      <c r="J5159" s="56" t="n">
        <v>0</v>
      </c>
      <c r="K5159" s="56" t="n">
        <v>1013.6</v>
      </c>
      <c r="L5159" s="56" t="n">
        <v>0</v>
      </c>
      <c r="M5159" s="56" t="n">
        <v>60</v>
      </c>
      <c r="N5159" s="56" t="n">
        <v>6.7</v>
      </c>
      <c r="O5159" s="56" t="n">
        <f aca="false">IF(D5159=1,"",E5158)</f>
        <v>28.5</v>
      </c>
      <c r="P5159" s="56" t="n">
        <f aca="false">IF(OR(D5159=1,K5158=""),"",K5158)</f>
        <v>1014.1</v>
      </c>
      <c r="Q5159" s="56" t="n">
        <f aca="false">IF(OR(F5159&lt;&gt;0,AND(I5159&lt;&gt;"",E5159&lt;I5159)),1,0)</f>
        <v>0</v>
      </c>
      <c r="R5159" s="56" t="n">
        <f aca="false">IF(AND(D5159&gt;1,Q5159=0,ISNUMBER(O5159),ISNUMBER(P5159)),IF(Q5158=0,1,0),0)</f>
        <v>1</v>
      </c>
      <c r="S5159" s="56" t="n">
        <f aca="false">R5159*(B5159&gt;=Train_Start)*(B5159&lt;=Train_End)</f>
        <v>0</v>
      </c>
      <c r="T5159" s="84" t="n">
        <f aca="false">IF(AND(ISNUMBER(O5159),ISNUMBER(P5159)),Coef_A+Coef_B1*O5159+Coef_B2*P5159,"")</f>
        <v>27.2503525720401</v>
      </c>
      <c r="U5159" s="84" t="n">
        <f aca="false">IF(AND(R5159=1,ISNUMBER(T5159)),E5159-T5159,"")</f>
        <v>3.04964742795992</v>
      </c>
      <c r="V5159" s="84" t="n">
        <f aca="false">IF(ISNUMBER(T5159),T5159,-99)</f>
        <v>27.2503525720401</v>
      </c>
      <c r="W5159" s="84" t="n">
        <f aca="false">IF(ISNUMBER(U5159),ABS(U5159),"")</f>
        <v>3.04964742795992</v>
      </c>
    </row>
    <row r="5160" customFormat="false" ht="15" hidden="false" customHeight="false" outlineLevel="0" collapsed="false">
      <c r="A5160" s="57" t="n">
        <v>41139</v>
      </c>
      <c r="B5160" s="56" t="n">
        <v>2012</v>
      </c>
      <c r="C5160" s="56" t="n">
        <v>8</v>
      </c>
      <c r="D5160" s="56" t="n">
        <v>110</v>
      </c>
      <c r="E5160" s="56" t="n">
        <v>30.5</v>
      </c>
      <c r="F5160" s="56" t="n">
        <v>0</v>
      </c>
      <c r="G5160" s="56" t="n">
        <v>18.4</v>
      </c>
      <c r="H5160" s="56" t="n">
        <v>0</v>
      </c>
      <c r="I5160" s="56" t="n">
        <v>24.4</v>
      </c>
      <c r="J5160" s="56" t="n">
        <v>0</v>
      </c>
      <c r="K5160" s="56" t="n">
        <v>1013.9</v>
      </c>
      <c r="L5160" s="56" t="n">
        <v>0</v>
      </c>
      <c r="M5160" s="56" t="n">
        <v>62</v>
      </c>
      <c r="N5160" s="56" t="n">
        <v>12.5</v>
      </c>
      <c r="O5160" s="56" t="n">
        <f aca="false">IF(D5160=1,"",E5159)</f>
        <v>30.3</v>
      </c>
      <c r="P5160" s="56" t="n">
        <f aca="false">IF(OR(D5160=1,K5159=""),"",K5159)</f>
        <v>1013.6</v>
      </c>
      <c r="Q5160" s="56" t="n">
        <f aca="false">IF(OR(F5160&lt;&gt;0,AND(I5160&lt;&gt;"",E5160&lt;I5160)),1,0)</f>
        <v>0</v>
      </c>
      <c r="R5160" s="56" t="n">
        <f aca="false">IF(AND(D5160&gt;1,Q5160=0,ISNUMBER(O5160),ISNUMBER(P5160)),IF(Q5159=0,1,0),0)</f>
        <v>1</v>
      </c>
      <c r="S5160" s="56" t="n">
        <f aca="false">R5160*(B5160&gt;=Train_Start)*(B5160&lt;=Train_End)</f>
        <v>0</v>
      </c>
      <c r="T5160" s="84" t="n">
        <f aca="false">IF(AND(ISNUMBER(O5160),ISNUMBER(P5160)),Coef_A+Coef_B1*O5160+Coef_B2*P5160,"")</f>
        <v>28.7094781721999</v>
      </c>
      <c r="U5160" s="84" t="n">
        <f aca="false">IF(AND(R5160=1,ISNUMBER(T5160)),E5160-T5160,"")</f>
        <v>1.79052182780013</v>
      </c>
      <c r="V5160" s="84" t="n">
        <f aca="false">IF(ISNUMBER(T5160),T5160,-99)</f>
        <v>28.7094781721999</v>
      </c>
      <c r="W5160" s="84" t="n">
        <f aca="false">IF(ISNUMBER(U5160),ABS(U5160),"")</f>
        <v>1.79052182780013</v>
      </c>
    </row>
    <row r="5161" customFormat="false" ht="15" hidden="false" customHeight="false" outlineLevel="0" collapsed="false">
      <c r="A5161" s="57" t="n">
        <v>41140</v>
      </c>
      <c r="B5161" s="56" t="n">
        <v>2012</v>
      </c>
      <c r="C5161" s="56" t="n">
        <v>8</v>
      </c>
      <c r="D5161" s="56" t="n">
        <v>111</v>
      </c>
      <c r="E5161" s="56" t="n">
        <v>25.5</v>
      </c>
      <c r="F5161" s="56" t="n">
        <v>0</v>
      </c>
      <c r="G5161" s="56" t="n">
        <v>17.4</v>
      </c>
      <c r="H5161" s="56" t="n">
        <v>0</v>
      </c>
      <c r="I5161" s="56" t="n">
        <v>24</v>
      </c>
      <c r="J5161" s="56" t="n">
        <v>0</v>
      </c>
      <c r="K5161" s="56" t="n">
        <v>1015.3</v>
      </c>
      <c r="L5161" s="56" t="n">
        <v>0</v>
      </c>
      <c r="M5161" s="56" t="n">
        <v>68</v>
      </c>
      <c r="N5161" s="56" t="n">
        <v>11</v>
      </c>
      <c r="O5161" s="56" t="n">
        <f aca="false">IF(D5161=1,"",E5160)</f>
        <v>30.5</v>
      </c>
      <c r="P5161" s="56" t="n">
        <f aca="false">IF(OR(D5161=1,K5160=""),"",K5160)</f>
        <v>1013.9</v>
      </c>
      <c r="Q5161" s="56" t="n">
        <f aca="false">IF(OR(F5161&lt;&gt;0,AND(I5161&lt;&gt;"",E5161&lt;I5161)),1,0)</f>
        <v>0</v>
      </c>
      <c r="R5161" s="56" t="n">
        <f aca="false">IF(AND(D5161&gt;1,Q5161=0,ISNUMBER(O5161),ISNUMBER(P5161)),IF(Q5160=0,1,0),0)</f>
        <v>1</v>
      </c>
      <c r="S5161" s="56" t="n">
        <f aca="false">R5161*(B5161&gt;=Train_Start)*(B5161&lt;=Train_End)</f>
        <v>0</v>
      </c>
      <c r="T5161" s="84" t="n">
        <f aca="false">IF(AND(ISNUMBER(O5161),ISNUMBER(P5161)),Coef_A+Coef_B1*O5161+Coef_B2*P5161,"")</f>
        <v>28.8827569791986</v>
      </c>
      <c r="U5161" s="84" t="n">
        <f aca="false">IF(AND(R5161=1,ISNUMBER(T5161)),E5161-T5161,"")</f>
        <v>-3.3827569791986</v>
      </c>
      <c r="V5161" s="84" t="n">
        <f aca="false">IF(ISNUMBER(T5161),T5161,-99)</f>
        <v>28.8827569791986</v>
      </c>
      <c r="W5161" s="84" t="n">
        <f aca="false">IF(ISNUMBER(U5161),ABS(U5161),"")</f>
        <v>3.3827569791986</v>
      </c>
    </row>
    <row r="5162" customFormat="false" ht="15" hidden="false" customHeight="false" outlineLevel="0" collapsed="false">
      <c r="A5162" s="57" t="n">
        <v>41141</v>
      </c>
      <c r="B5162" s="56" t="n">
        <v>2012</v>
      </c>
      <c r="C5162" s="56" t="n">
        <v>8</v>
      </c>
      <c r="D5162" s="56" t="n">
        <v>112</v>
      </c>
      <c r="E5162" s="56" t="n">
        <v>22.2</v>
      </c>
      <c r="F5162" s="56" t="n">
        <v>0</v>
      </c>
      <c r="G5162" s="56" t="n">
        <v>16.8</v>
      </c>
      <c r="H5162" s="56" t="n">
        <v>0</v>
      </c>
      <c r="I5162" s="56" t="n">
        <v>21.2</v>
      </c>
      <c r="J5162" s="56" t="n">
        <v>0</v>
      </c>
      <c r="K5162" s="56" t="n">
        <v>1019.4</v>
      </c>
      <c r="L5162" s="56" t="n">
        <v>0</v>
      </c>
      <c r="M5162" s="56" t="n">
        <v>72</v>
      </c>
      <c r="N5162" s="56" t="n">
        <v>5</v>
      </c>
      <c r="O5162" s="56" t="n">
        <f aca="false">IF(D5162=1,"",E5161)</f>
        <v>25.5</v>
      </c>
      <c r="P5162" s="56" t="n">
        <f aca="false">IF(OR(D5162=1,K5161=""),"",K5161)</f>
        <v>1015.3</v>
      </c>
      <c r="Q5162" s="56" t="n">
        <f aca="false">IF(OR(F5162&lt;&gt;0,AND(I5162&lt;&gt;"",E5162&lt;I5162)),1,0)</f>
        <v>0</v>
      </c>
      <c r="R5162" s="56" t="n">
        <f aca="false">IF(AND(D5162&gt;1,Q5162=0,ISNUMBER(O5162),ISNUMBER(P5162)),IF(Q5161=0,1,0),0)</f>
        <v>1</v>
      </c>
      <c r="S5162" s="56" t="n">
        <f aca="false">R5162*(B5162&gt;=Train_Start)*(B5162&lt;=Train_End)</f>
        <v>0</v>
      </c>
      <c r="T5162" s="84" t="n">
        <f aca="false">IF(AND(ISNUMBER(O5162),ISNUMBER(P5162)),Coef_A+Coef_B1*O5162+Coef_B2*P5162,"")</f>
        <v>24.8299788664729</v>
      </c>
      <c r="U5162" s="84" t="n">
        <f aca="false">IF(AND(R5162=1,ISNUMBER(T5162)),E5162-T5162,"")</f>
        <v>-2.6299788664729</v>
      </c>
      <c r="V5162" s="84" t="n">
        <f aca="false">IF(ISNUMBER(T5162),T5162,-99)</f>
        <v>24.8299788664729</v>
      </c>
      <c r="W5162" s="84" t="n">
        <f aca="false">IF(ISNUMBER(U5162),ABS(U5162),"")</f>
        <v>2.6299788664729</v>
      </c>
    </row>
    <row r="5163" customFormat="false" ht="15" hidden="false" customHeight="false" outlineLevel="0" collapsed="false">
      <c r="A5163" s="57" t="n">
        <v>41142</v>
      </c>
      <c r="B5163" s="56" t="n">
        <v>2012</v>
      </c>
      <c r="C5163" s="56" t="n">
        <v>8</v>
      </c>
      <c r="D5163" s="56" t="n">
        <v>113</v>
      </c>
      <c r="E5163" s="56" t="n">
        <v>23.4</v>
      </c>
      <c r="F5163" s="56" t="n">
        <v>0</v>
      </c>
      <c r="G5163" s="56" t="n">
        <v>16</v>
      </c>
      <c r="H5163" s="56" t="n">
        <v>0</v>
      </c>
      <c r="I5163" s="56" t="n">
        <v>19.1</v>
      </c>
      <c r="J5163" s="56" t="n">
        <v>0</v>
      </c>
      <c r="K5163" s="56" t="n">
        <v>1017.6</v>
      </c>
      <c r="L5163" s="56" t="n">
        <v>0</v>
      </c>
      <c r="M5163" s="56" t="n">
        <v>75</v>
      </c>
      <c r="N5163" s="56" t="n">
        <v>1.7</v>
      </c>
      <c r="O5163" s="56" t="n">
        <f aca="false">IF(D5163=1,"",E5162)</f>
        <v>22.2</v>
      </c>
      <c r="P5163" s="56" t="n">
        <f aca="false">IF(OR(D5163=1,K5162=""),"",K5162)</f>
        <v>1019.4</v>
      </c>
      <c r="Q5163" s="56" t="n">
        <f aca="false">IF(OR(F5163&lt;&gt;0,AND(I5163&lt;&gt;"",E5163&lt;I5163)),1,0)</f>
        <v>0</v>
      </c>
      <c r="R5163" s="56" t="n">
        <f aca="false">IF(AND(D5163&gt;1,Q5163=0,ISNUMBER(O5163),ISNUMBER(P5163)),IF(Q5162=0,1,0),0)</f>
        <v>1</v>
      </c>
      <c r="S5163" s="56" t="n">
        <f aca="false">R5163*(B5163&gt;=Train_Start)*(B5163&lt;=Train_End)</f>
        <v>0</v>
      </c>
      <c r="T5163" s="84" t="n">
        <f aca="false">IF(AND(ISNUMBER(O5163),ISNUMBER(P5163)),Coef_A+Coef_B1*O5163+Coef_B2*P5163,"")</f>
        <v>22.2547760974315</v>
      </c>
      <c r="U5163" s="84" t="n">
        <f aca="false">IF(AND(R5163=1,ISNUMBER(T5163)),E5163-T5163,"")</f>
        <v>1.14522390256852</v>
      </c>
      <c r="V5163" s="84" t="n">
        <f aca="false">IF(ISNUMBER(T5163),T5163,-99)</f>
        <v>22.2547760974315</v>
      </c>
      <c r="W5163" s="84" t="n">
        <f aca="false">IF(ISNUMBER(U5163),ABS(U5163),"")</f>
        <v>1.14522390256852</v>
      </c>
    </row>
    <row r="5164" customFormat="false" ht="15" hidden="false" customHeight="false" outlineLevel="0" collapsed="false">
      <c r="A5164" s="57" t="n">
        <v>41143</v>
      </c>
      <c r="B5164" s="56" t="n">
        <v>2012</v>
      </c>
      <c r="C5164" s="56" t="n">
        <v>8</v>
      </c>
      <c r="D5164" s="56" t="n">
        <v>114</v>
      </c>
      <c r="E5164" s="56" t="n">
        <v>22.4</v>
      </c>
      <c r="F5164" s="56" t="n">
        <v>0</v>
      </c>
      <c r="G5164" s="56" t="n">
        <v>12.9</v>
      </c>
      <c r="H5164" s="56" t="n">
        <v>0</v>
      </c>
      <c r="I5164" s="56" t="n">
        <v>18.2</v>
      </c>
      <c r="J5164" s="56" t="n">
        <v>0</v>
      </c>
      <c r="K5164" s="56" t="n">
        <v>1017.4</v>
      </c>
      <c r="L5164" s="56" t="n">
        <v>0</v>
      </c>
      <c r="M5164" s="56" t="n">
        <v>70</v>
      </c>
      <c r="N5164" s="56" t="n">
        <v>6.9</v>
      </c>
      <c r="O5164" s="56" t="n">
        <f aca="false">IF(D5164=1,"",E5163)</f>
        <v>23.4</v>
      </c>
      <c r="P5164" s="56" t="n">
        <f aca="false">IF(OR(D5164=1,K5163=""),"",K5163)</f>
        <v>1017.6</v>
      </c>
      <c r="Q5164" s="56" t="n">
        <f aca="false">IF(OR(F5164&lt;&gt;0,AND(I5164&lt;&gt;"",E5164&lt;I5164)),1,0)</f>
        <v>0</v>
      </c>
      <c r="R5164" s="56" t="n">
        <f aca="false">IF(AND(D5164&gt;1,Q5164=0,ISNUMBER(O5164),ISNUMBER(P5164)),IF(Q5163=0,1,0),0)</f>
        <v>1</v>
      </c>
      <c r="S5164" s="56" t="n">
        <f aca="false">R5164*(B5164&gt;=Train_Start)*(B5164&lt;=Train_End)</f>
        <v>0</v>
      </c>
      <c r="T5164" s="84" t="n">
        <f aca="false">IF(AND(ISNUMBER(O5164),ISNUMBER(P5164)),Coef_A+Coef_B1*O5164+Coef_B2*P5164,"")</f>
        <v>23.1815173187415</v>
      </c>
      <c r="U5164" s="84" t="n">
        <f aca="false">IF(AND(R5164=1,ISNUMBER(T5164)),E5164-T5164,"")</f>
        <v>-0.781517318741493</v>
      </c>
      <c r="V5164" s="84" t="n">
        <f aca="false">IF(ISNUMBER(T5164),T5164,-99)</f>
        <v>23.1815173187415</v>
      </c>
      <c r="W5164" s="84" t="n">
        <f aca="false">IF(ISNUMBER(U5164),ABS(U5164),"")</f>
        <v>0.781517318741493</v>
      </c>
    </row>
    <row r="5165" customFormat="false" ht="15" hidden="false" customHeight="false" outlineLevel="0" collapsed="false">
      <c r="A5165" s="57" t="n">
        <v>41144</v>
      </c>
      <c r="B5165" s="56" t="n">
        <v>2012</v>
      </c>
      <c r="C5165" s="56" t="n">
        <v>8</v>
      </c>
      <c r="D5165" s="56" t="n">
        <v>115</v>
      </c>
      <c r="E5165" s="56" t="n">
        <v>20.8</v>
      </c>
      <c r="F5165" s="56" t="n">
        <v>0</v>
      </c>
      <c r="G5165" s="56" t="n">
        <v>12.6</v>
      </c>
      <c r="H5165" s="56" t="n">
        <v>0</v>
      </c>
      <c r="I5165" s="56" t="n">
        <v>17.5</v>
      </c>
      <c r="J5165" s="56" t="n">
        <v>0</v>
      </c>
      <c r="K5165" s="56" t="n">
        <v>1014.2</v>
      </c>
      <c r="L5165" s="56" t="n">
        <v>0</v>
      </c>
      <c r="M5165" s="56" t="n">
        <v>69</v>
      </c>
      <c r="N5165" s="56" t="n">
        <v>6.2</v>
      </c>
      <c r="O5165" s="56" t="n">
        <f aca="false">IF(D5165=1,"",E5164)</f>
        <v>22.4</v>
      </c>
      <c r="P5165" s="56" t="n">
        <f aca="false">IF(OR(D5165=1,K5164=""),"",K5164)</f>
        <v>1017.4</v>
      </c>
      <c r="Q5165" s="56" t="n">
        <f aca="false">IF(OR(F5165&lt;&gt;0,AND(I5165&lt;&gt;"",E5165&lt;I5165)),1,0)</f>
        <v>0</v>
      </c>
      <c r="R5165" s="56" t="n">
        <f aca="false">IF(AND(D5165&gt;1,Q5165=0,ISNUMBER(O5165),ISNUMBER(P5165)),IF(Q5164=0,1,0),0)</f>
        <v>1</v>
      </c>
      <c r="S5165" s="56" t="n">
        <f aca="false">R5165*(B5165&gt;=Train_Start)*(B5165&lt;=Train_End)</f>
        <v>0</v>
      </c>
      <c r="T5165" s="84" t="n">
        <f aca="false">IF(AND(ISNUMBER(O5165),ISNUMBER(P5165)),Coef_A+Coef_B1*O5165+Coef_B2*P5165,"")</f>
        <v>22.355904146772</v>
      </c>
      <c r="U5165" s="84" t="n">
        <f aca="false">IF(AND(R5165=1,ISNUMBER(T5165)),E5165-T5165,"")</f>
        <v>-1.55590414677203</v>
      </c>
      <c r="V5165" s="84" t="n">
        <f aca="false">IF(ISNUMBER(T5165),T5165,-99)</f>
        <v>22.355904146772</v>
      </c>
      <c r="W5165" s="84" t="n">
        <f aca="false">IF(ISNUMBER(U5165),ABS(U5165),"")</f>
        <v>1.55590414677203</v>
      </c>
    </row>
    <row r="5166" customFormat="false" ht="15" hidden="false" customHeight="false" outlineLevel="0" collapsed="false">
      <c r="A5166" s="57" t="n">
        <v>41145</v>
      </c>
      <c r="B5166" s="56" t="n">
        <v>2012</v>
      </c>
      <c r="C5166" s="56" t="n">
        <v>8</v>
      </c>
      <c r="D5166" s="56" t="n">
        <v>116</v>
      </c>
      <c r="E5166" s="56" t="n">
        <v>22.5</v>
      </c>
      <c r="F5166" s="56" t="n">
        <v>0</v>
      </c>
      <c r="G5166" s="56" t="n">
        <v>13.7</v>
      </c>
      <c r="H5166" s="56" t="n">
        <v>0</v>
      </c>
      <c r="I5166" s="56" t="n">
        <v>17.3</v>
      </c>
      <c r="J5166" s="56" t="n">
        <v>0</v>
      </c>
      <c r="K5166" s="56" t="n">
        <v>1004.8</v>
      </c>
      <c r="L5166" s="56" t="n">
        <v>0</v>
      </c>
      <c r="M5166" s="56" t="n">
        <v>77</v>
      </c>
      <c r="N5166" s="56" t="n">
        <v>0.8</v>
      </c>
      <c r="O5166" s="56" t="n">
        <f aca="false">IF(D5166=1,"",E5165)</f>
        <v>20.8</v>
      </c>
      <c r="P5166" s="56" t="n">
        <f aca="false">IF(OR(D5166=1,K5165=""),"",K5165)</f>
        <v>1014.2</v>
      </c>
      <c r="Q5166" s="56" t="n">
        <f aca="false">IF(OR(F5166&lt;&gt;0,AND(I5166&lt;&gt;"",E5166&lt;I5166)),1,0)</f>
        <v>0</v>
      </c>
      <c r="R5166" s="56" t="n">
        <f aca="false">IF(AND(D5166&gt;1,Q5166=0,ISNUMBER(O5166),ISNUMBER(P5166)),IF(Q5165=0,1,0),0)</f>
        <v>1</v>
      </c>
      <c r="S5166" s="56" t="n">
        <f aca="false">R5166*(B5166&gt;=Train_Start)*(B5166&lt;=Train_End)</f>
        <v>0</v>
      </c>
      <c r="T5166" s="84" t="n">
        <f aca="false">IF(AND(ISNUMBER(O5166),ISNUMBER(P5166)),Coef_A+Coef_B1*O5166+Coef_B2*P5166,"")</f>
        <v>20.944577775075</v>
      </c>
      <c r="U5166" s="84" t="n">
        <f aca="false">IF(AND(R5166=1,ISNUMBER(T5166)),E5166-T5166,"")</f>
        <v>1.55542222492498</v>
      </c>
      <c r="V5166" s="84" t="n">
        <f aca="false">IF(ISNUMBER(T5166),T5166,-99)</f>
        <v>20.944577775075</v>
      </c>
      <c r="W5166" s="84" t="n">
        <f aca="false">IF(ISNUMBER(U5166),ABS(U5166),"")</f>
        <v>1.55542222492498</v>
      </c>
    </row>
    <row r="5167" customFormat="false" ht="15" hidden="false" customHeight="false" outlineLevel="0" collapsed="false">
      <c r="A5167" s="57" t="n">
        <v>41146</v>
      </c>
      <c r="B5167" s="56" t="n">
        <v>2012</v>
      </c>
      <c r="C5167" s="56" t="n">
        <v>8</v>
      </c>
      <c r="D5167" s="56" t="n">
        <v>117</v>
      </c>
      <c r="E5167" s="56" t="n">
        <v>21.5</v>
      </c>
      <c r="F5167" s="56" t="n">
        <v>0</v>
      </c>
      <c r="G5167" s="56" t="n">
        <v>15.4</v>
      </c>
      <c r="H5167" s="56" t="n">
        <v>0</v>
      </c>
      <c r="I5167" s="56" t="n">
        <v>19</v>
      </c>
      <c r="J5167" s="56" t="n">
        <v>0</v>
      </c>
      <c r="K5167" s="56" t="n">
        <v>1001.3</v>
      </c>
      <c r="L5167" s="56" t="n">
        <v>0</v>
      </c>
      <c r="M5167" s="56" t="n">
        <v>85</v>
      </c>
      <c r="N5167" s="56" t="n">
        <v>2.8</v>
      </c>
      <c r="O5167" s="56" t="n">
        <f aca="false">IF(D5167=1,"",E5166)</f>
        <v>22.5</v>
      </c>
      <c r="P5167" s="56" t="n">
        <f aca="false">IF(OR(D5167=1,K5166=""),"",K5166)</f>
        <v>1004.8</v>
      </c>
      <c r="Q5167" s="56" t="n">
        <f aca="false">IF(OR(F5167&lt;&gt;0,AND(I5167&lt;&gt;"",E5167&lt;I5167)),1,0)</f>
        <v>0</v>
      </c>
      <c r="R5167" s="56" t="n">
        <f aca="false">IF(AND(D5167&gt;1,Q5167=0,ISNUMBER(O5167),ISNUMBER(P5167)),IF(Q5166=0,1,0),0)</f>
        <v>1</v>
      </c>
      <c r="S5167" s="56" t="n">
        <f aca="false">R5167*(B5167&gt;=Train_Start)*(B5167&lt;=Train_End)</f>
        <v>0</v>
      </c>
      <c r="T5167" s="84" t="n">
        <f aca="false">IF(AND(ISNUMBER(O5167),ISNUMBER(P5167)),Coef_A+Coef_B1*O5167+Coef_B2*P5167,"")</f>
        <v>22.042577393688</v>
      </c>
      <c r="U5167" s="84" t="n">
        <f aca="false">IF(AND(R5167=1,ISNUMBER(T5167)),E5167-T5167,"")</f>
        <v>-0.542577393688035</v>
      </c>
      <c r="V5167" s="84" t="n">
        <f aca="false">IF(ISNUMBER(T5167),T5167,-99)</f>
        <v>22.042577393688</v>
      </c>
      <c r="W5167" s="84" t="n">
        <f aca="false">IF(ISNUMBER(U5167),ABS(U5167),"")</f>
        <v>0.542577393688035</v>
      </c>
    </row>
    <row r="5168" customFormat="false" ht="15" hidden="false" customHeight="false" outlineLevel="0" collapsed="false">
      <c r="A5168" s="57" t="n">
        <v>41147</v>
      </c>
      <c r="B5168" s="56" t="n">
        <v>2012</v>
      </c>
      <c r="C5168" s="56" t="n">
        <v>8</v>
      </c>
      <c r="D5168" s="56" t="n">
        <v>118</v>
      </c>
      <c r="E5168" s="56" t="n">
        <v>22.6</v>
      </c>
      <c r="F5168" s="56" t="n">
        <v>0</v>
      </c>
      <c r="G5168" s="56" t="n">
        <v>12.9</v>
      </c>
      <c r="H5168" s="56" t="n">
        <v>0</v>
      </c>
      <c r="I5168" s="56" t="n">
        <v>17.2</v>
      </c>
      <c r="J5168" s="56" t="n">
        <v>0</v>
      </c>
      <c r="K5168" s="56" t="n">
        <v>1015.1</v>
      </c>
      <c r="L5168" s="56" t="n">
        <v>0</v>
      </c>
      <c r="M5168" s="56" t="n">
        <v>65</v>
      </c>
      <c r="N5168" s="56" t="n">
        <v>6.7</v>
      </c>
      <c r="O5168" s="56" t="n">
        <f aca="false">IF(D5168=1,"",E5167)</f>
        <v>21.5</v>
      </c>
      <c r="P5168" s="56" t="n">
        <f aca="false">IF(OR(D5168=1,K5167=""),"",K5167)</f>
        <v>1001.3</v>
      </c>
      <c r="Q5168" s="56" t="n">
        <f aca="false">IF(OR(F5168&lt;&gt;0,AND(I5168&lt;&gt;"",E5168&lt;I5168)),1,0)</f>
        <v>0</v>
      </c>
      <c r="R5168" s="56" t="n">
        <f aca="false">IF(AND(D5168&gt;1,Q5168=0,ISNUMBER(O5168),ISNUMBER(P5168)),IF(Q5167=0,1,0),0)</f>
        <v>1</v>
      </c>
      <c r="S5168" s="56" t="n">
        <f aca="false">R5168*(B5168&gt;=Train_Start)*(B5168&lt;=Train_End)</f>
        <v>0</v>
      </c>
      <c r="T5168" s="84" t="n">
        <f aca="false">IF(AND(ISNUMBER(O5168),ISNUMBER(P5168)),Coef_A+Coef_B1*O5168+Coef_B2*P5168,"")</f>
        <v>21.1134435694264</v>
      </c>
      <c r="U5168" s="84" t="n">
        <f aca="false">IF(AND(R5168=1,ISNUMBER(T5168)),E5168-T5168,"")</f>
        <v>1.48655643057359</v>
      </c>
      <c r="V5168" s="84" t="n">
        <f aca="false">IF(ISNUMBER(T5168),T5168,-99)</f>
        <v>21.1134435694264</v>
      </c>
      <c r="W5168" s="84" t="n">
        <f aca="false">IF(ISNUMBER(U5168),ABS(U5168),"")</f>
        <v>1.48655643057359</v>
      </c>
    </row>
    <row r="5169" customFormat="false" ht="15" hidden="false" customHeight="false" outlineLevel="0" collapsed="false">
      <c r="A5169" s="57" t="n">
        <v>41148</v>
      </c>
      <c r="B5169" s="56" t="n">
        <v>2012</v>
      </c>
      <c r="C5169" s="56" t="n">
        <v>8</v>
      </c>
      <c r="D5169" s="56" t="n">
        <v>119</v>
      </c>
      <c r="E5169" s="56" t="n">
        <v>24.2</v>
      </c>
      <c r="F5169" s="56" t="n">
        <v>0</v>
      </c>
      <c r="G5169" s="56" t="n">
        <v>11.2</v>
      </c>
      <c r="H5169" s="56" t="n">
        <v>0</v>
      </c>
      <c r="I5169" s="56" t="n">
        <v>16.9</v>
      </c>
      <c r="J5169" s="56" t="n">
        <v>0</v>
      </c>
      <c r="K5169" s="56" t="n">
        <v>1013.7</v>
      </c>
      <c r="L5169" s="56" t="n">
        <v>0</v>
      </c>
      <c r="M5169" s="56" t="n">
        <v>77</v>
      </c>
      <c r="N5169" s="56" t="n">
        <v>3.1</v>
      </c>
      <c r="O5169" s="56" t="n">
        <f aca="false">IF(D5169=1,"",E5168)</f>
        <v>22.6</v>
      </c>
      <c r="P5169" s="56" t="n">
        <f aca="false">IF(OR(D5169=1,K5168=""),"",K5168)</f>
        <v>1015.1</v>
      </c>
      <c r="Q5169" s="56" t="n">
        <f aca="false">IF(OR(F5169&lt;&gt;0,AND(I5169&lt;&gt;"",E5169&lt;I5169)),1,0)</f>
        <v>0</v>
      </c>
      <c r="R5169" s="56" t="n">
        <f aca="false">IF(AND(D5169&gt;1,Q5169=0,ISNUMBER(O5169),ISNUMBER(P5169)),IF(Q5168=0,1,0),0)</f>
        <v>1</v>
      </c>
      <c r="S5169" s="56" t="n">
        <f aca="false">R5169*(B5169&gt;=Train_Start)*(B5169&lt;=Train_End)</f>
        <v>0</v>
      </c>
      <c r="T5169" s="84" t="n">
        <f aca="false">IF(AND(ISNUMBER(O5169),ISNUMBER(P5169)),Coef_A+Coef_B1*O5169+Coef_B2*P5169,"")</f>
        <v>22.4476212277224</v>
      </c>
      <c r="U5169" s="84" t="n">
        <f aca="false">IF(AND(R5169=1,ISNUMBER(T5169)),E5169-T5169,"")</f>
        <v>1.75237877227761</v>
      </c>
      <c r="V5169" s="84" t="n">
        <f aca="false">IF(ISNUMBER(T5169),T5169,-99)</f>
        <v>22.4476212277224</v>
      </c>
      <c r="W5169" s="84" t="n">
        <f aca="false">IF(ISNUMBER(U5169),ABS(U5169),"")</f>
        <v>1.75237877227761</v>
      </c>
    </row>
    <row r="5170" customFormat="false" ht="15" hidden="false" customHeight="false" outlineLevel="0" collapsed="false">
      <c r="A5170" s="57" t="n">
        <v>41149</v>
      </c>
      <c r="B5170" s="56" t="n">
        <v>2012</v>
      </c>
      <c r="C5170" s="56" t="n">
        <v>8</v>
      </c>
      <c r="D5170" s="56" t="n">
        <v>120</v>
      </c>
      <c r="E5170" s="56" t="n">
        <v>21</v>
      </c>
      <c r="F5170" s="56" t="n">
        <v>0</v>
      </c>
      <c r="G5170" s="56" t="n">
        <v>13.9</v>
      </c>
      <c r="H5170" s="56" t="n">
        <v>0</v>
      </c>
      <c r="I5170" s="56" t="n">
        <v>19.1</v>
      </c>
      <c r="J5170" s="56" t="n">
        <v>0</v>
      </c>
      <c r="K5170" s="56" t="n">
        <v>1013</v>
      </c>
      <c r="L5170" s="56" t="n">
        <v>0</v>
      </c>
      <c r="M5170" s="56" t="n">
        <v>74</v>
      </c>
      <c r="N5170" s="56" t="n">
        <v>9.7</v>
      </c>
      <c r="O5170" s="56" t="n">
        <f aca="false">IF(D5170=1,"",E5169)</f>
        <v>24.2</v>
      </c>
      <c r="P5170" s="56" t="n">
        <f aca="false">IF(OR(D5170=1,K5169=""),"",K5169)</f>
        <v>1013.7</v>
      </c>
      <c r="Q5170" s="56" t="n">
        <f aca="false">IF(OR(F5170&lt;&gt;0,AND(I5170&lt;&gt;"",E5170&lt;I5170)),1,0)</f>
        <v>0</v>
      </c>
      <c r="R5170" s="56" t="n">
        <f aca="false">IF(AND(D5170&gt;1,Q5170=0,ISNUMBER(O5170),ISNUMBER(P5170)),IF(Q5169=0,1,0),0)</f>
        <v>1</v>
      </c>
      <c r="S5170" s="56" t="n">
        <f aca="false">R5170*(B5170&gt;=Train_Start)*(B5170&lt;=Train_End)</f>
        <v>0</v>
      </c>
      <c r="T5170" s="84" t="n">
        <f aca="false">IF(AND(ISNUMBER(O5170),ISNUMBER(P5170)),Coef_A+Coef_B1*O5170+Coef_B2*P5170,"")</f>
        <v>23.7146460841031</v>
      </c>
      <c r="U5170" s="84" t="n">
        <f aca="false">IF(AND(R5170=1,ISNUMBER(T5170)),E5170-T5170,"")</f>
        <v>-2.71464608410306</v>
      </c>
      <c r="V5170" s="84" t="n">
        <f aca="false">IF(ISNUMBER(T5170),T5170,-99)</f>
        <v>23.7146460841031</v>
      </c>
      <c r="W5170" s="84" t="n">
        <f aca="false">IF(ISNUMBER(U5170),ABS(U5170),"")</f>
        <v>2.71464608410306</v>
      </c>
    </row>
    <row r="5171" customFormat="false" ht="15" hidden="false" customHeight="false" outlineLevel="0" collapsed="false">
      <c r="A5171" s="57" t="n">
        <v>41150</v>
      </c>
      <c r="B5171" s="56" t="n">
        <v>2012</v>
      </c>
      <c r="C5171" s="56" t="n">
        <v>8</v>
      </c>
      <c r="D5171" s="56" t="n">
        <v>121</v>
      </c>
      <c r="E5171" s="56" t="n">
        <v>18.1</v>
      </c>
      <c r="F5171" s="56" t="n">
        <v>0</v>
      </c>
      <c r="G5171" s="56" t="n">
        <v>13.2</v>
      </c>
      <c r="H5171" s="56" t="n">
        <v>0</v>
      </c>
      <c r="I5171" s="56" t="n">
        <v>17.1</v>
      </c>
      <c r="J5171" s="56" t="n">
        <v>0</v>
      </c>
      <c r="K5171" s="56" t="n">
        <v>1012.4</v>
      </c>
      <c r="L5171" s="56" t="n">
        <v>0</v>
      </c>
      <c r="M5171" s="56" t="n">
        <v>84</v>
      </c>
      <c r="N5171" s="56" t="n">
        <v>3.3</v>
      </c>
      <c r="O5171" s="56" t="n">
        <f aca="false">IF(D5171=1,"",E5170)</f>
        <v>21</v>
      </c>
      <c r="P5171" s="56" t="n">
        <f aca="false">IF(OR(D5171=1,K5170=""),"",K5170)</f>
        <v>1013</v>
      </c>
      <c r="Q5171" s="56" t="n">
        <f aca="false">IF(OR(F5171&lt;&gt;0,AND(I5171&lt;&gt;"",E5171&lt;I5171)),1,0)</f>
        <v>0</v>
      </c>
      <c r="R5171" s="56" t="n">
        <f aca="false">IF(AND(D5171&gt;1,Q5171=0,ISNUMBER(O5171),ISNUMBER(P5171)),IF(Q5170=0,1,0),0)</f>
        <v>1</v>
      </c>
      <c r="S5171" s="56" t="n">
        <f aca="false">R5171*(B5171&gt;=Train_Start)*(B5171&lt;=Train_End)</f>
        <v>0</v>
      </c>
      <c r="T5171" s="84" t="n">
        <f aca="false">IF(AND(ISNUMBER(O5171),ISNUMBER(P5171)),Coef_A+Coef_B1*O5171+Coef_B2*P5171,"")</f>
        <v>21.0708017401228</v>
      </c>
      <c r="U5171" s="84" t="n">
        <f aca="false">IF(AND(R5171=1,ISNUMBER(T5171)),E5171-T5171,"")</f>
        <v>-2.97080174012276</v>
      </c>
      <c r="V5171" s="84" t="n">
        <f aca="false">IF(ISNUMBER(T5171),T5171,-99)</f>
        <v>21.0708017401228</v>
      </c>
      <c r="W5171" s="84" t="n">
        <f aca="false">IF(ISNUMBER(U5171),ABS(U5171),"")</f>
        <v>2.97080174012276</v>
      </c>
    </row>
    <row r="5172" customFormat="false" ht="15" hidden="false" customHeight="false" outlineLevel="0" collapsed="false">
      <c r="A5172" s="57" t="n">
        <v>41151</v>
      </c>
      <c r="B5172" s="56" t="n">
        <v>2012</v>
      </c>
      <c r="C5172" s="56" t="n">
        <v>8</v>
      </c>
      <c r="D5172" s="56" t="n">
        <v>122</v>
      </c>
      <c r="E5172" s="56" t="n">
        <v>18.8</v>
      </c>
      <c r="F5172" s="56" t="n">
        <v>0</v>
      </c>
      <c r="G5172" s="56" t="n">
        <v>13.3</v>
      </c>
      <c r="H5172" s="56" t="n">
        <v>0</v>
      </c>
      <c r="I5172" s="56" t="n">
        <v>15.7</v>
      </c>
      <c r="J5172" s="56" t="n">
        <v>0</v>
      </c>
      <c r="K5172" s="56" t="n">
        <v>1016.9</v>
      </c>
      <c r="L5172" s="56" t="n">
        <v>0</v>
      </c>
      <c r="M5172" s="56" t="n">
        <v>76</v>
      </c>
      <c r="N5172" s="56" t="n">
        <v>2.5</v>
      </c>
      <c r="O5172" s="56" t="n">
        <f aca="false">IF(D5172=1,"",E5171)</f>
        <v>18.1</v>
      </c>
      <c r="P5172" s="56" t="n">
        <f aca="false">IF(OR(D5172=1,K5171=""),"",K5171)</f>
        <v>1012.4</v>
      </c>
      <c r="Q5172" s="56" t="n">
        <f aca="false">IF(OR(F5172&lt;&gt;0,AND(I5172&lt;&gt;"",E5172&lt;I5172)),1,0)</f>
        <v>0</v>
      </c>
      <c r="R5172" s="56" t="n">
        <f aca="false">IF(AND(D5172&gt;1,Q5172=0,ISNUMBER(O5172),ISNUMBER(P5172)),IF(Q5171=0,1,0),0)</f>
        <v>1</v>
      </c>
      <c r="S5172" s="56" t="n">
        <f aca="false">R5172*(B5172&gt;=Train_Start)*(B5172&lt;=Train_End)</f>
        <v>0</v>
      </c>
      <c r="T5172" s="84" t="n">
        <f aca="false">IF(AND(ISNUMBER(O5172),ISNUMBER(P5172)),Coef_A+Coef_B1*O5172+Coef_B2*P5172,"")</f>
        <v>18.6758961435187</v>
      </c>
      <c r="U5172" s="84" t="n">
        <f aca="false">IF(AND(R5172=1,ISNUMBER(T5172)),E5172-T5172,"")</f>
        <v>0.124103856481341</v>
      </c>
      <c r="V5172" s="84" t="n">
        <f aca="false">IF(ISNUMBER(T5172),T5172,-99)</f>
        <v>18.6758961435187</v>
      </c>
      <c r="W5172" s="84" t="n">
        <f aca="false">IF(ISNUMBER(U5172),ABS(U5172),"")</f>
        <v>0.124103856481341</v>
      </c>
    </row>
    <row r="5173" customFormat="false" ht="15" hidden="false" customHeight="false" outlineLevel="0" collapsed="false">
      <c r="A5173" s="57" t="n">
        <v>41152</v>
      </c>
      <c r="B5173" s="56" t="n">
        <v>2012</v>
      </c>
      <c r="C5173" s="56" t="n">
        <v>8</v>
      </c>
      <c r="D5173" s="56" t="n">
        <v>123</v>
      </c>
      <c r="E5173" s="56" t="n">
        <v>22.8</v>
      </c>
      <c r="F5173" s="56" t="n">
        <v>0</v>
      </c>
      <c r="G5173" s="56" t="n">
        <v>5.9</v>
      </c>
      <c r="H5173" s="56" t="n">
        <v>0</v>
      </c>
      <c r="I5173" s="56" t="n">
        <v>12.4</v>
      </c>
      <c r="J5173" s="56" t="n">
        <v>0</v>
      </c>
      <c r="K5173" s="56" t="n">
        <v>1029</v>
      </c>
      <c r="L5173" s="56" t="n">
        <v>0</v>
      </c>
      <c r="M5173" s="56" t="n">
        <v>59</v>
      </c>
      <c r="N5173" s="56" t="n">
        <v>9.3</v>
      </c>
      <c r="O5173" s="56" t="n">
        <f aca="false">IF(D5173=1,"",E5172)</f>
        <v>18.8</v>
      </c>
      <c r="P5173" s="56" t="n">
        <f aca="false">IF(OR(D5173=1,K5172=""),"",K5172)</f>
        <v>1016.9</v>
      </c>
      <c r="Q5173" s="56" t="n">
        <f aca="false">IF(OR(F5173&lt;&gt;0,AND(I5173&lt;&gt;"",E5173&lt;I5173)),1,0)</f>
        <v>0</v>
      </c>
      <c r="R5173" s="56" t="n">
        <f aca="false">IF(AND(D5173&gt;1,Q5173=0,ISNUMBER(O5173),ISNUMBER(P5173)),IF(Q5172=0,1,0),0)</f>
        <v>1</v>
      </c>
      <c r="S5173" s="56" t="n">
        <f aca="false">R5173*(B5173&gt;=Train_Start)*(B5173&lt;=Train_End)</f>
        <v>0</v>
      </c>
      <c r="T5173" s="84" t="n">
        <f aca="false">IF(AND(ISNUMBER(O5173),ISNUMBER(P5173)),Coef_A+Coef_B1*O5173+Coef_B2*P5173,"")</f>
        <v>19.3905981045015</v>
      </c>
      <c r="U5173" s="84" t="n">
        <f aca="false">IF(AND(R5173=1,ISNUMBER(T5173)),E5173-T5173,"")</f>
        <v>3.40940189549853</v>
      </c>
      <c r="V5173" s="84" t="n">
        <f aca="false">IF(ISNUMBER(T5173),T5173,-99)</f>
        <v>19.3905981045015</v>
      </c>
      <c r="W5173" s="84" t="n">
        <f aca="false">IF(ISNUMBER(U5173),ABS(U5173),"")</f>
        <v>3.40940189549853</v>
      </c>
    </row>
    <row r="5174" customFormat="false" ht="15" hidden="false" customHeight="false" outlineLevel="0" collapsed="false">
      <c r="A5174" s="57" t="n">
        <v>41153</v>
      </c>
      <c r="B5174" s="56" t="n">
        <v>2012</v>
      </c>
      <c r="C5174" s="56" t="n">
        <v>9</v>
      </c>
      <c r="D5174" s="56" t="n">
        <v>124</v>
      </c>
      <c r="E5174" s="56" t="n">
        <v>18.8</v>
      </c>
      <c r="F5174" s="56" t="n">
        <v>0</v>
      </c>
      <c r="G5174" s="56" t="n">
        <v>13</v>
      </c>
      <c r="H5174" s="56" t="n">
        <v>0</v>
      </c>
      <c r="I5174" s="56" t="n">
        <v>17.9</v>
      </c>
      <c r="J5174" s="56" t="n">
        <v>0</v>
      </c>
      <c r="K5174" s="56" t="n">
        <v>1026</v>
      </c>
      <c r="L5174" s="56" t="n">
        <v>0</v>
      </c>
      <c r="M5174" s="56" t="n">
        <v>70</v>
      </c>
      <c r="N5174" s="56" t="n">
        <v>2</v>
      </c>
      <c r="O5174" s="56" t="n">
        <f aca="false">IF(D5174=1,"",E5173)</f>
        <v>22.8</v>
      </c>
      <c r="P5174" s="56" t="n">
        <f aca="false">IF(OR(D5174=1,K5173=""),"",K5173)</f>
        <v>1029</v>
      </c>
      <c r="Q5174" s="56" t="n">
        <f aca="false">IF(OR(F5174&lt;&gt;0,AND(I5174&lt;&gt;"",E5174&lt;I5174)),1,0)</f>
        <v>0</v>
      </c>
      <c r="R5174" s="56" t="n">
        <f aca="false">IF(AND(D5174&gt;1,Q5174=0,ISNUMBER(O5174),ISNUMBER(P5174)),IF(Q5173=0,1,0),0)</f>
        <v>1</v>
      </c>
      <c r="S5174" s="56" t="n">
        <f aca="false">R5174*(B5174&gt;=Train_Start)*(B5174&lt;=Train_End)</f>
        <v>0</v>
      </c>
      <c r="T5174" s="84" t="n">
        <f aca="false">IF(AND(ISNUMBER(O5174),ISNUMBER(P5174)),Coef_A+Coef_B1*O5174+Coef_B2*P5174,"")</f>
        <v>23.0475306017434</v>
      </c>
      <c r="U5174" s="84" t="n">
        <f aca="false">IF(AND(R5174=1,ISNUMBER(T5174)),E5174-T5174,"")</f>
        <v>-4.24753060174338</v>
      </c>
      <c r="V5174" s="84" t="n">
        <f aca="false">IF(ISNUMBER(T5174),T5174,-99)</f>
        <v>23.0475306017434</v>
      </c>
      <c r="W5174" s="84" t="n">
        <f aca="false">IF(ISNUMBER(U5174),ABS(U5174),"")</f>
        <v>4.24753060174338</v>
      </c>
    </row>
    <row r="5175" customFormat="false" ht="15" hidden="false" customHeight="false" outlineLevel="0" collapsed="false">
      <c r="A5175" s="57" t="n">
        <v>41154</v>
      </c>
      <c r="B5175" s="56" t="n">
        <v>2012</v>
      </c>
      <c r="C5175" s="56" t="n">
        <v>9</v>
      </c>
      <c r="D5175" s="56" t="n">
        <v>125</v>
      </c>
      <c r="E5175" s="56" t="n">
        <v>24.7</v>
      </c>
      <c r="F5175" s="56" t="n">
        <v>0</v>
      </c>
      <c r="G5175" s="56" t="n">
        <v>12.5</v>
      </c>
      <c r="H5175" s="56" t="n">
        <v>0</v>
      </c>
      <c r="I5175" s="56" t="n">
        <v>15.7</v>
      </c>
      <c r="J5175" s="56" t="n">
        <v>0</v>
      </c>
      <c r="K5175" s="56" t="n">
        <v>1024.7</v>
      </c>
      <c r="L5175" s="56" t="n">
        <v>0</v>
      </c>
      <c r="M5175" s="56" t="n">
        <v>88</v>
      </c>
      <c r="N5175" s="56" t="n">
        <v>0</v>
      </c>
      <c r="O5175" s="56" t="n">
        <f aca="false">IF(D5175=1,"",E5174)</f>
        <v>18.8</v>
      </c>
      <c r="P5175" s="56" t="n">
        <f aca="false">IF(OR(D5175=1,K5174=""),"",K5174)</f>
        <v>1026</v>
      </c>
      <c r="Q5175" s="56" t="n">
        <f aca="false">IF(OR(F5175&lt;&gt;0,AND(I5175&lt;&gt;"",E5175&lt;I5175)),1,0)</f>
        <v>0</v>
      </c>
      <c r="R5175" s="56" t="n">
        <f aca="false">IF(AND(D5175&gt;1,Q5175=0,ISNUMBER(O5175),ISNUMBER(P5175)),IF(Q5174=0,1,0),0)</f>
        <v>1</v>
      </c>
      <c r="S5175" s="56" t="n">
        <f aca="false">R5175*(B5175&gt;=Train_Start)*(B5175&lt;=Train_End)</f>
        <v>0</v>
      </c>
      <c r="T5175" s="84" t="n">
        <f aca="false">IF(AND(ISNUMBER(O5175),ISNUMBER(P5175)),Coef_A+Coef_B1*O5175+Coef_B2*P5175,"")</f>
        <v>19.6760641456708</v>
      </c>
      <c r="U5175" s="84" t="n">
        <f aca="false">IF(AND(R5175=1,ISNUMBER(T5175)),E5175-T5175,"")</f>
        <v>5.02393585432922</v>
      </c>
      <c r="V5175" s="84" t="n">
        <f aca="false">IF(ISNUMBER(T5175),T5175,-99)</f>
        <v>19.6760641456708</v>
      </c>
      <c r="W5175" s="84" t="n">
        <f aca="false">IF(ISNUMBER(U5175),ABS(U5175),"")</f>
        <v>5.02393585432922</v>
      </c>
    </row>
    <row r="5176" customFormat="false" ht="15" hidden="false" customHeight="false" outlineLevel="0" collapsed="false">
      <c r="A5176" s="57" t="n">
        <v>41155</v>
      </c>
      <c r="B5176" s="56" t="n">
        <v>2012</v>
      </c>
      <c r="C5176" s="56" t="n">
        <v>9</v>
      </c>
      <c r="D5176" s="56" t="n">
        <v>126</v>
      </c>
      <c r="E5176" s="56" t="n">
        <v>25.1</v>
      </c>
      <c r="F5176" s="56" t="n">
        <v>0</v>
      </c>
      <c r="G5176" s="56" t="n">
        <v>14.2</v>
      </c>
      <c r="H5176" s="56" t="n">
        <v>0</v>
      </c>
      <c r="I5176" s="56" t="n">
        <v>19.5</v>
      </c>
      <c r="J5176" s="56" t="n">
        <v>0</v>
      </c>
      <c r="K5176" s="56" t="n">
        <v>1025.7</v>
      </c>
      <c r="L5176" s="56" t="n">
        <v>0</v>
      </c>
      <c r="M5176" s="56" t="n">
        <v>69</v>
      </c>
      <c r="N5176" s="56" t="n">
        <v>10.2</v>
      </c>
      <c r="O5176" s="56" t="n">
        <f aca="false">IF(D5176=1,"",E5175)</f>
        <v>24.7</v>
      </c>
      <c r="P5176" s="56" t="n">
        <f aca="false">IF(OR(D5176=1,K5175=""),"",K5175)</f>
        <v>1024.7</v>
      </c>
      <c r="Q5176" s="56" t="n">
        <f aca="false">IF(OR(F5176&lt;&gt;0,AND(I5176&lt;&gt;"",E5176&lt;I5176)),1,0)</f>
        <v>0</v>
      </c>
      <c r="R5176" s="56" t="n">
        <f aca="false">IF(AND(D5176&gt;1,Q5176=0,ISNUMBER(O5176),ISNUMBER(P5176)),IF(Q5175=0,1,0),0)</f>
        <v>1</v>
      </c>
      <c r="S5176" s="56" t="n">
        <f aca="false">R5176*(B5176&gt;=Train_Start)*(B5176&lt;=Train_End)</f>
        <v>0</v>
      </c>
      <c r="T5176" s="84" t="n">
        <f aca="false">IF(AND(ISNUMBER(O5176),ISNUMBER(P5176)),Coef_A+Coef_B1*O5176+Coef_B2*P5176,"")</f>
        <v>24.4693845215983</v>
      </c>
      <c r="U5176" s="84" t="n">
        <f aca="false">IF(AND(R5176=1,ISNUMBER(T5176)),E5176-T5176,"")</f>
        <v>0.630615478401733</v>
      </c>
      <c r="V5176" s="84" t="n">
        <f aca="false">IF(ISNUMBER(T5176),T5176,-99)</f>
        <v>24.4693845215983</v>
      </c>
      <c r="W5176" s="84" t="n">
        <f aca="false">IF(ISNUMBER(U5176),ABS(U5176),"")</f>
        <v>0.630615478401733</v>
      </c>
    </row>
    <row r="5177" customFormat="false" ht="15" hidden="false" customHeight="false" outlineLevel="0" collapsed="false">
      <c r="A5177" s="57" t="n">
        <v>41156</v>
      </c>
      <c r="B5177" s="56" t="n">
        <v>2012</v>
      </c>
      <c r="C5177" s="56" t="n">
        <v>9</v>
      </c>
      <c r="D5177" s="56" t="n">
        <v>127</v>
      </c>
      <c r="E5177" s="56" t="n">
        <v>20.7</v>
      </c>
      <c r="F5177" s="56" t="n">
        <v>0</v>
      </c>
      <c r="G5177" s="56" t="n">
        <v>13.6</v>
      </c>
      <c r="H5177" s="56" t="n">
        <v>0</v>
      </c>
      <c r="I5177" s="56" t="n">
        <v>19.4</v>
      </c>
      <c r="J5177" s="56" t="n">
        <v>0</v>
      </c>
      <c r="K5177" s="56" t="n">
        <v>1023.7</v>
      </c>
      <c r="L5177" s="56" t="n">
        <v>0</v>
      </c>
      <c r="M5177" s="56" t="n">
        <v>75</v>
      </c>
      <c r="N5177" s="56" t="n">
        <v>6</v>
      </c>
      <c r="O5177" s="56" t="n">
        <f aca="false">IF(D5177=1,"",E5176)</f>
        <v>25.1</v>
      </c>
      <c r="P5177" s="56" t="n">
        <f aca="false">IF(OR(D5177=1,K5176=""),"",K5176)</f>
        <v>1025.7</v>
      </c>
      <c r="Q5177" s="56" t="n">
        <f aca="false">IF(OR(F5177&lt;&gt;0,AND(I5177&lt;&gt;"",E5177&lt;I5177)),1,0)</f>
        <v>0</v>
      </c>
      <c r="R5177" s="56" t="n">
        <f aca="false">IF(AND(D5177&gt;1,Q5177=0,ISNUMBER(O5177),ISNUMBER(P5177)),IF(Q5176=0,1,0),0)</f>
        <v>1</v>
      </c>
      <c r="S5177" s="56" t="n">
        <f aca="false">R5177*(B5177&gt;=Train_Start)*(B5177&lt;=Train_End)</f>
        <v>0</v>
      </c>
      <c r="T5177" s="84" t="n">
        <f aca="false">IF(AND(ISNUMBER(O5177),ISNUMBER(P5177)),Coef_A+Coef_B1*O5177+Coef_B2*P5177,"")</f>
        <v>24.8284900934493</v>
      </c>
      <c r="U5177" s="84" t="n">
        <f aca="false">IF(AND(R5177=1,ISNUMBER(T5177)),E5177-T5177,"")</f>
        <v>-4.12849009344932</v>
      </c>
      <c r="V5177" s="84" t="n">
        <f aca="false">IF(ISNUMBER(T5177),T5177,-99)</f>
        <v>24.8284900934493</v>
      </c>
      <c r="W5177" s="84" t="n">
        <f aca="false">IF(ISNUMBER(U5177),ABS(U5177),"")</f>
        <v>4.12849009344932</v>
      </c>
    </row>
    <row r="5178" customFormat="false" ht="15" hidden="false" customHeight="false" outlineLevel="0" collapsed="false">
      <c r="A5178" s="57" t="n">
        <v>41157</v>
      </c>
      <c r="B5178" s="56" t="n">
        <v>2012</v>
      </c>
      <c r="C5178" s="56" t="n">
        <v>9</v>
      </c>
      <c r="D5178" s="56" t="n">
        <v>128</v>
      </c>
      <c r="E5178" s="56" t="n">
        <v>21.7</v>
      </c>
      <c r="F5178" s="56" t="n">
        <v>0</v>
      </c>
      <c r="G5178" s="56" t="n">
        <v>11.1</v>
      </c>
      <c r="H5178" s="56" t="n">
        <v>0</v>
      </c>
      <c r="I5178" s="56" t="n">
        <v>15.9</v>
      </c>
      <c r="J5178" s="56" t="n">
        <v>0</v>
      </c>
      <c r="K5178" s="56" t="n">
        <v>1027.2</v>
      </c>
      <c r="L5178" s="56" t="n">
        <v>0</v>
      </c>
      <c r="M5178" s="56" t="n">
        <v>59</v>
      </c>
      <c r="N5178" s="56" t="n">
        <v>12.3</v>
      </c>
      <c r="O5178" s="56" t="n">
        <f aca="false">IF(D5178=1,"",E5177)</f>
        <v>20.7</v>
      </c>
      <c r="P5178" s="56" t="n">
        <f aca="false">IF(OR(D5178=1,K5177=""),"",K5177)</f>
        <v>1023.7</v>
      </c>
      <c r="Q5178" s="56" t="n">
        <f aca="false">IF(OR(F5178&lt;&gt;0,AND(I5178&lt;&gt;"",E5178&lt;I5178)),1,0)</f>
        <v>0</v>
      </c>
      <c r="R5178" s="56" t="n">
        <f aca="false">IF(AND(D5178&gt;1,Q5178=0,ISNUMBER(O5178),ISNUMBER(P5178)),IF(Q5177=0,1,0),0)</f>
        <v>1</v>
      </c>
      <c r="S5178" s="56" t="n">
        <f aca="false">R5178*(B5178&gt;=Train_Start)*(B5178&lt;=Train_End)</f>
        <v>0</v>
      </c>
      <c r="T5178" s="84" t="n">
        <f aca="false">IF(AND(ISNUMBER(O5178),ISNUMBER(P5178)),Coef_A+Coef_B1*O5178+Coef_B2*P5178,"")</f>
        <v>21.1606578547937</v>
      </c>
      <c r="U5178" s="84" t="n">
        <f aca="false">IF(AND(R5178=1,ISNUMBER(T5178)),E5178-T5178,"")</f>
        <v>0.539342145206344</v>
      </c>
      <c r="V5178" s="84" t="n">
        <f aca="false">IF(ISNUMBER(T5178),T5178,-99)</f>
        <v>21.1606578547937</v>
      </c>
      <c r="W5178" s="84" t="n">
        <f aca="false">IF(ISNUMBER(U5178),ABS(U5178),"")</f>
        <v>0.539342145206344</v>
      </c>
    </row>
    <row r="5179" customFormat="false" ht="15" hidden="false" customHeight="false" outlineLevel="0" collapsed="false">
      <c r="A5179" s="57" t="n">
        <v>41158</v>
      </c>
      <c r="B5179" s="56" t="n">
        <v>2012</v>
      </c>
      <c r="C5179" s="56" t="n">
        <v>9</v>
      </c>
      <c r="D5179" s="56" t="n">
        <v>129</v>
      </c>
      <c r="E5179" s="56" t="n">
        <v>26.4</v>
      </c>
      <c r="F5179" s="56" t="n">
        <v>0</v>
      </c>
      <c r="G5179" s="56" t="n">
        <v>8.3</v>
      </c>
      <c r="H5179" s="56" t="n">
        <v>0</v>
      </c>
      <c r="I5179" s="56" t="n">
        <v>15</v>
      </c>
      <c r="J5179" s="56" t="n">
        <v>0</v>
      </c>
      <c r="K5179" s="56" t="n">
        <v>1028.2</v>
      </c>
      <c r="L5179" s="56" t="n">
        <v>0</v>
      </c>
      <c r="M5179" s="56" t="n">
        <v>64</v>
      </c>
      <c r="N5179" s="56" t="n">
        <v>11.1</v>
      </c>
      <c r="O5179" s="56" t="n">
        <f aca="false">IF(D5179=1,"",E5178)</f>
        <v>21.7</v>
      </c>
      <c r="P5179" s="56" t="n">
        <f aca="false">IF(OR(D5179=1,K5178=""),"",K5178)</f>
        <v>1027.2</v>
      </c>
      <c r="Q5179" s="56" t="n">
        <f aca="false">IF(OR(F5179&lt;&gt;0,AND(I5179&lt;&gt;"",E5179&lt;I5179)),1,0)</f>
        <v>0</v>
      </c>
      <c r="R5179" s="56" t="n">
        <f aca="false">IF(AND(D5179&gt;1,Q5179=0,ISNUMBER(O5179),ISNUMBER(P5179)),IF(Q5178=0,1,0),0)</f>
        <v>1</v>
      </c>
      <c r="S5179" s="56" t="n">
        <f aca="false">R5179*(B5179&gt;=Train_Start)*(B5179&lt;=Train_End)</f>
        <v>0</v>
      </c>
      <c r="T5179" s="84" t="n">
        <f aca="false">IF(AND(ISNUMBER(O5179),ISNUMBER(P5179)),Coef_A+Coef_B1*O5179+Coef_B2*P5179,"")</f>
        <v>22.0897916790553</v>
      </c>
      <c r="U5179" s="84" t="n">
        <f aca="false">IF(AND(R5179=1,ISNUMBER(T5179)),E5179-T5179,"")</f>
        <v>4.31020832094472</v>
      </c>
      <c r="V5179" s="84" t="n">
        <f aca="false">IF(ISNUMBER(T5179),T5179,-99)</f>
        <v>22.0897916790553</v>
      </c>
      <c r="W5179" s="84" t="n">
        <f aca="false">IF(ISNUMBER(U5179),ABS(U5179),"")</f>
        <v>4.31020832094472</v>
      </c>
    </row>
    <row r="5180" customFormat="false" ht="15" hidden="false" customHeight="false" outlineLevel="0" collapsed="false">
      <c r="A5180" s="57" t="n">
        <v>41159</v>
      </c>
      <c r="B5180" s="56" t="n">
        <v>2012</v>
      </c>
      <c r="C5180" s="56" t="n">
        <v>9</v>
      </c>
      <c r="D5180" s="56" t="n">
        <v>130</v>
      </c>
      <c r="E5180" s="56" t="n">
        <v>27.3</v>
      </c>
      <c r="F5180" s="56" t="n">
        <v>0</v>
      </c>
      <c r="G5180" s="56" t="n">
        <v>10.6</v>
      </c>
      <c r="H5180" s="56" t="n">
        <v>0</v>
      </c>
      <c r="I5180" s="56" t="n">
        <v>18.5</v>
      </c>
      <c r="J5180" s="56" t="n">
        <v>0</v>
      </c>
      <c r="K5180" s="56" t="n">
        <v>1024.5</v>
      </c>
      <c r="L5180" s="56" t="n">
        <v>0</v>
      </c>
      <c r="M5180" s="56" t="n">
        <v>61</v>
      </c>
      <c r="N5180" s="56" t="n">
        <v>12.4</v>
      </c>
      <c r="O5180" s="56" t="n">
        <f aca="false">IF(D5180=1,"",E5179)</f>
        <v>26.4</v>
      </c>
      <c r="P5180" s="56" t="n">
        <f aca="false">IF(OR(D5180=1,K5179=""),"",K5179)</f>
        <v>1028.2</v>
      </c>
      <c r="Q5180" s="56" t="n">
        <f aca="false">IF(OR(F5180&lt;&gt;0,AND(I5180&lt;&gt;"",E5180&lt;I5180)),1,0)</f>
        <v>0</v>
      </c>
      <c r="R5180" s="56" t="n">
        <f aca="false">IF(AND(D5180&gt;1,Q5180=0,ISNUMBER(O5180),ISNUMBER(P5180)),IF(Q5179=0,1,0),0)</f>
        <v>1</v>
      </c>
      <c r="S5180" s="56" t="n">
        <f aca="false">R5180*(B5180&gt;=Train_Start)*(B5180&lt;=Train_End)</f>
        <v>0</v>
      </c>
      <c r="T5180" s="84" t="n">
        <f aca="false">IF(AND(ISNUMBER(O5180),ISNUMBER(P5180)),Coef_A+Coef_B1*O5180+Coef_B2*P5180,"")</f>
        <v>25.9720557809898</v>
      </c>
      <c r="U5180" s="84" t="n">
        <f aca="false">IF(AND(R5180=1,ISNUMBER(T5180)),E5180-T5180,"")</f>
        <v>1.32794421901025</v>
      </c>
      <c r="V5180" s="84" t="n">
        <f aca="false">IF(ISNUMBER(T5180),T5180,-99)</f>
        <v>25.9720557809898</v>
      </c>
      <c r="W5180" s="84" t="n">
        <f aca="false">IF(ISNUMBER(U5180),ABS(U5180),"")</f>
        <v>1.32794421901025</v>
      </c>
    </row>
    <row r="5181" customFormat="false" ht="15" hidden="false" customHeight="false" outlineLevel="0" collapsed="false">
      <c r="A5181" s="57" t="n">
        <v>41160</v>
      </c>
      <c r="B5181" s="56" t="n">
        <v>2012</v>
      </c>
      <c r="C5181" s="56" t="n">
        <v>9</v>
      </c>
      <c r="D5181" s="56" t="n">
        <v>131</v>
      </c>
      <c r="E5181" s="56" t="n">
        <v>28.3</v>
      </c>
      <c r="F5181" s="56" t="n">
        <v>0</v>
      </c>
      <c r="G5181" s="56" t="n">
        <v>9.5</v>
      </c>
      <c r="H5181" s="56" t="n">
        <v>0</v>
      </c>
      <c r="I5181" s="56" t="n">
        <v>18.4</v>
      </c>
      <c r="J5181" s="56" t="n">
        <v>0</v>
      </c>
      <c r="K5181" s="56" t="n">
        <v>1020.4</v>
      </c>
      <c r="L5181" s="56" t="n">
        <v>0</v>
      </c>
      <c r="M5181" s="56" t="n">
        <v>59</v>
      </c>
      <c r="N5181" s="56" t="n">
        <v>11.8</v>
      </c>
      <c r="O5181" s="56" t="n">
        <f aca="false">IF(D5181=1,"",E5180)</f>
        <v>27.3</v>
      </c>
      <c r="P5181" s="56" t="n">
        <f aca="false">IF(OR(D5181=1,K5180=""),"",K5180)</f>
        <v>1024.5</v>
      </c>
      <c r="Q5181" s="56" t="n">
        <f aca="false">IF(OR(F5181&lt;&gt;0,AND(I5181&lt;&gt;"",E5181&lt;I5181)),1,0)</f>
        <v>0</v>
      </c>
      <c r="R5181" s="56" t="n">
        <f aca="false">IF(AND(D5181&gt;1,Q5181=0,ISNUMBER(O5181),ISNUMBER(P5181)),IF(Q5180=0,1,0),0)</f>
        <v>1</v>
      </c>
      <c r="S5181" s="56" t="n">
        <f aca="false">R5181*(B5181&gt;=Train_Start)*(B5181&lt;=Train_End)</f>
        <v>0</v>
      </c>
      <c r="T5181" s="84" t="n">
        <f aca="false">IF(AND(ISNUMBER(O5181),ISNUMBER(P5181)),Coef_A+Coef_B1*O5181+Coef_B2*P5181,"")</f>
        <v>26.5933924445824</v>
      </c>
      <c r="U5181" s="84" t="n">
        <f aca="false">IF(AND(R5181=1,ISNUMBER(T5181)),E5181-T5181,"")</f>
        <v>1.70660755541762</v>
      </c>
      <c r="V5181" s="84" t="n">
        <f aca="false">IF(ISNUMBER(T5181),T5181,-99)</f>
        <v>26.5933924445824</v>
      </c>
      <c r="W5181" s="84" t="n">
        <f aca="false">IF(ISNUMBER(U5181),ABS(U5181),"")</f>
        <v>1.70660755541762</v>
      </c>
    </row>
    <row r="5182" customFormat="false" ht="15" hidden="false" customHeight="false" outlineLevel="0" collapsed="false">
      <c r="A5182" s="57" t="n">
        <v>41161</v>
      </c>
      <c r="B5182" s="56" t="n">
        <v>2012</v>
      </c>
      <c r="C5182" s="56" t="n">
        <v>9</v>
      </c>
      <c r="D5182" s="56" t="n">
        <v>132</v>
      </c>
      <c r="E5182" s="56" t="n">
        <v>21.5</v>
      </c>
      <c r="F5182" s="56" t="n">
        <v>0</v>
      </c>
      <c r="G5182" s="56" t="n">
        <v>9.7</v>
      </c>
      <c r="H5182" s="56" t="n">
        <v>0</v>
      </c>
      <c r="I5182" s="56" t="n">
        <v>19</v>
      </c>
      <c r="J5182" s="56" t="n">
        <v>0</v>
      </c>
      <c r="K5182" s="56" t="n">
        <v>1011.5</v>
      </c>
      <c r="L5182" s="56" t="n">
        <v>0</v>
      </c>
      <c r="M5182" s="56" t="n">
        <v>66</v>
      </c>
      <c r="N5182" s="56" t="n">
        <v>9.5</v>
      </c>
      <c r="O5182" s="56" t="n">
        <f aca="false">IF(D5182=1,"",E5181)</f>
        <v>28.3</v>
      </c>
      <c r="P5182" s="56" t="n">
        <f aca="false">IF(OR(D5182=1,K5181=""),"",K5181)</f>
        <v>1020.4</v>
      </c>
      <c r="Q5182" s="56" t="n">
        <f aca="false">IF(OR(F5182&lt;&gt;0,AND(I5182&lt;&gt;"",E5182&lt;I5182)),1,0)</f>
        <v>0</v>
      </c>
      <c r="R5182" s="56" t="n">
        <f aca="false">IF(AND(D5182&gt;1,Q5182=0,ISNUMBER(O5182),ISNUMBER(P5182)),IF(Q5181=0,1,0),0)</f>
        <v>1</v>
      </c>
      <c r="S5182" s="56" t="n">
        <f aca="false">R5182*(B5182&gt;=Train_Start)*(B5182&lt;=Train_End)</f>
        <v>0</v>
      </c>
      <c r="T5182" s="84" t="n">
        <f aca="false">IF(AND(ISNUMBER(O5182),ISNUMBER(P5182)),Coef_A+Coef_B1*O5182+Coef_B2*P5182,"")</f>
        <v>27.2841150696257</v>
      </c>
      <c r="U5182" s="84" t="n">
        <f aca="false">IF(AND(R5182=1,ISNUMBER(T5182)),E5182-T5182,"")</f>
        <v>-5.78411506962569</v>
      </c>
      <c r="V5182" s="84" t="n">
        <f aca="false">IF(ISNUMBER(T5182),T5182,-99)</f>
        <v>27.2841150696257</v>
      </c>
      <c r="W5182" s="84" t="n">
        <f aca="false">IF(ISNUMBER(U5182),ABS(U5182),"")</f>
        <v>5.78411506962569</v>
      </c>
    </row>
    <row r="5183" customFormat="false" ht="15" hidden="false" customHeight="false" outlineLevel="0" collapsed="false">
      <c r="A5183" s="57" t="n">
        <v>41162</v>
      </c>
      <c r="B5183" s="56" t="n">
        <v>2012</v>
      </c>
      <c r="C5183" s="56" t="n">
        <v>9</v>
      </c>
      <c r="D5183" s="56" t="n">
        <v>133</v>
      </c>
      <c r="E5183" s="56" t="n">
        <v>19</v>
      </c>
      <c r="F5183" s="56" t="n">
        <v>0</v>
      </c>
      <c r="G5183" s="56" t="n">
        <v>16.3</v>
      </c>
      <c r="H5183" s="56" t="n">
        <v>0</v>
      </c>
      <c r="I5183" s="56" t="n">
        <v>18.9</v>
      </c>
      <c r="J5183" s="56" t="n">
        <v>0</v>
      </c>
      <c r="K5183" s="56" t="n">
        <v>1010</v>
      </c>
      <c r="L5183" s="56" t="n">
        <v>0</v>
      </c>
      <c r="M5183" s="56" t="n">
        <v>77</v>
      </c>
      <c r="N5183" s="56" t="n">
        <v>1.8</v>
      </c>
      <c r="O5183" s="56" t="n">
        <f aca="false">IF(D5183=1,"",E5182)</f>
        <v>21.5</v>
      </c>
      <c r="P5183" s="56" t="n">
        <f aca="false">IF(OR(D5183=1,K5182=""),"",K5182)</f>
        <v>1011.5</v>
      </c>
      <c r="Q5183" s="56" t="n">
        <f aca="false">IF(OR(F5183&lt;&gt;0,AND(I5183&lt;&gt;"",E5183&lt;I5183)),1,0)</f>
        <v>0</v>
      </c>
      <c r="R5183" s="56" t="n">
        <f aca="false">IF(AND(D5183&gt;1,Q5183=0,ISNUMBER(O5183),ISNUMBER(P5183)),IF(Q5182=0,1,0),0)</f>
        <v>1</v>
      </c>
      <c r="S5183" s="56" t="n">
        <f aca="false">R5183*(B5183&gt;=Train_Start)*(B5183&lt;=Train_End)</f>
        <v>0</v>
      </c>
      <c r="T5183" s="84" t="n">
        <f aca="false">IF(AND(ISNUMBER(O5183),ISNUMBER(P5183)),Coef_A+Coef_B1*O5183+Coef_B2*P5183,"")</f>
        <v>21.4334164946931</v>
      </c>
      <c r="U5183" s="84" t="n">
        <f aca="false">IF(AND(R5183=1,ISNUMBER(T5183)),E5183-T5183,"")</f>
        <v>-2.43341649469311</v>
      </c>
      <c r="V5183" s="84" t="n">
        <f aca="false">IF(ISNUMBER(T5183),T5183,-99)</f>
        <v>21.4334164946931</v>
      </c>
      <c r="W5183" s="84" t="n">
        <f aca="false">IF(ISNUMBER(U5183),ABS(U5183),"")</f>
        <v>2.43341649469311</v>
      </c>
    </row>
    <row r="5184" customFormat="false" ht="15" hidden="false" customHeight="false" outlineLevel="0" collapsed="false">
      <c r="A5184" s="57" t="n">
        <v>41163</v>
      </c>
      <c r="B5184" s="56" t="n">
        <v>2012</v>
      </c>
      <c r="C5184" s="56" t="n">
        <v>9</v>
      </c>
      <c r="D5184" s="56" t="n">
        <v>134</v>
      </c>
      <c r="E5184" s="56" t="n">
        <v>19</v>
      </c>
      <c r="F5184" s="56" t="n">
        <v>0</v>
      </c>
      <c r="G5184" s="56" t="n">
        <v>14.1</v>
      </c>
      <c r="H5184" s="56" t="n">
        <v>0</v>
      </c>
      <c r="I5184" s="56" t="n">
        <v>16.6</v>
      </c>
      <c r="J5184" s="56" t="n">
        <v>0</v>
      </c>
      <c r="K5184" s="56" t="n">
        <v>1012.7</v>
      </c>
      <c r="L5184" s="56" t="n">
        <v>0</v>
      </c>
      <c r="M5184" s="56" t="n">
        <v>59</v>
      </c>
      <c r="N5184" s="56" t="n">
        <v>6.8</v>
      </c>
      <c r="O5184" s="56" t="n">
        <f aca="false">IF(D5184=1,"",E5183)</f>
        <v>19</v>
      </c>
      <c r="P5184" s="56" t="n">
        <f aca="false">IF(OR(D5184=1,K5183=""),"",K5183)</f>
        <v>1010</v>
      </c>
      <c r="Q5184" s="56" t="n">
        <f aca="false">IF(OR(F5184&lt;&gt;0,AND(I5184&lt;&gt;"",E5184&lt;I5184)),1,0)</f>
        <v>0</v>
      </c>
      <c r="R5184" s="56" t="n">
        <f aca="false">IF(AND(D5184&gt;1,Q5184=0,ISNUMBER(O5184),ISNUMBER(P5184)),IF(Q5183=0,1,0),0)</f>
        <v>1</v>
      </c>
      <c r="S5184" s="56" t="n">
        <f aca="false">R5184*(B5184&gt;=Train_Start)*(B5184&lt;=Train_End)</f>
        <v>0</v>
      </c>
      <c r="T5184" s="84" t="n">
        <f aca="false">IF(AND(ISNUMBER(O5184),ISNUMBER(P5184)),Coef_A+Coef_B1*O5184+Coef_B2*P5184,"")</f>
        <v>19.3380136701355</v>
      </c>
      <c r="U5184" s="84" t="n">
        <f aca="false">IF(AND(R5184=1,ISNUMBER(T5184)),E5184-T5184,"")</f>
        <v>-0.338013670135474</v>
      </c>
      <c r="V5184" s="84" t="n">
        <f aca="false">IF(ISNUMBER(T5184),T5184,-99)</f>
        <v>19.3380136701355</v>
      </c>
      <c r="W5184" s="84" t="n">
        <f aca="false">IF(ISNUMBER(U5184),ABS(U5184),"")</f>
        <v>0.338013670135474</v>
      </c>
    </row>
    <row r="5185" customFormat="false" ht="15" hidden="false" customHeight="false" outlineLevel="0" collapsed="false">
      <c r="A5185" s="57" t="n">
        <v>41164</v>
      </c>
      <c r="B5185" s="56" t="n">
        <v>2012</v>
      </c>
      <c r="C5185" s="56" t="n">
        <v>9</v>
      </c>
      <c r="D5185" s="56" t="n">
        <v>135</v>
      </c>
      <c r="E5185" s="56" t="n">
        <v>19.2</v>
      </c>
      <c r="F5185" s="56" t="n">
        <v>0</v>
      </c>
      <c r="G5185" s="56" t="n">
        <v>7</v>
      </c>
      <c r="H5185" s="56" t="n">
        <v>0</v>
      </c>
      <c r="I5185" s="56" t="n">
        <v>13</v>
      </c>
      <c r="J5185" s="56" t="n">
        <v>0</v>
      </c>
      <c r="K5185" s="56" t="n">
        <v>1014.8</v>
      </c>
      <c r="L5185" s="56" t="n">
        <v>0</v>
      </c>
      <c r="M5185" s="56" t="n">
        <v>72</v>
      </c>
      <c r="N5185" s="56" t="n">
        <v>3.4</v>
      </c>
      <c r="O5185" s="56" t="n">
        <f aca="false">IF(D5185=1,"",E5184)</f>
        <v>19</v>
      </c>
      <c r="P5185" s="56" t="n">
        <f aca="false">IF(OR(D5185=1,K5184=""),"",K5184)</f>
        <v>1012.7</v>
      </c>
      <c r="Q5185" s="56" t="n">
        <f aca="false">IF(OR(F5185&lt;&gt;0,AND(I5185&lt;&gt;"",E5185&lt;I5185)),1,0)</f>
        <v>0</v>
      </c>
      <c r="R5185" s="56" t="n">
        <f aca="false">IF(AND(D5185&gt;1,Q5185=0,ISNUMBER(O5185),ISNUMBER(P5185)),IF(Q5184=0,1,0),0)</f>
        <v>1</v>
      </c>
      <c r="S5185" s="56" t="n">
        <f aca="false">R5185*(B5185&gt;=Train_Start)*(B5185&lt;=Train_End)</f>
        <v>0</v>
      </c>
      <c r="T5185" s="84" t="n">
        <f aca="false">IF(AND(ISNUMBER(O5185),ISNUMBER(P5185)),Coef_A+Coef_B1*O5185+Coef_B2*P5185,"")</f>
        <v>19.4227123856473</v>
      </c>
      <c r="U5185" s="84" t="n">
        <f aca="false">IF(AND(R5185=1,ISNUMBER(T5185)),E5185-T5185,"")</f>
        <v>-0.222712385647252</v>
      </c>
      <c r="V5185" s="84" t="n">
        <f aca="false">IF(ISNUMBER(T5185),T5185,-99)</f>
        <v>19.4227123856473</v>
      </c>
      <c r="W5185" s="84" t="n">
        <f aca="false">IF(ISNUMBER(U5185),ABS(U5185),"")</f>
        <v>0.222712385647252</v>
      </c>
    </row>
    <row r="5186" customFormat="false" ht="15" hidden="false" customHeight="false" outlineLevel="0" collapsed="false">
      <c r="A5186" s="57" t="n">
        <v>41165</v>
      </c>
      <c r="B5186" s="56" t="n">
        <v>2012</v>
      </c>
      <c r="C5186" s="56" t="n">
        <v>9</v>
      </c>
      <c r="D5186" s="56" t="n">
        <v>136</v>
      </c>
      <c r="E5186" s="56" t="n">
        <v>21</v>
      </c>
      <c r="F5186" s="56" t="n">
        <v>0</v>
      </c>
      <c r="G5186" s="56" t="n">
        <v>6.9</v>
      </c>
      <c r="H5186" s="56" t="n">
        <v>0</v>
      </c>
      <c r="I5186" s="56" t="n">
        <v>13.1</v>
      </c>
      <c r="J5186" s="56" t="n">
        <v>0</v>
      </c>
      <c r="K5186" s="56" t="n">
        <v>1019</v>
      </c>
      <c r="L5186" s="56" t="n">
        <v>0</v>
      </c>
      <c r="M5186" s="56" t="n">
        <v>68</v>
      </c>
      <c r="N5186" s="56" t="n">
        <v>10.1</v>
      </c>
      <c r="O5186" s="56" t="n">
        <f aca="false">IF(D5186=1,"",E5185)</f>
        <v>19.2</v>
      </c>
      <c r="P5186" s="56" t="n">
        <f aca="false">IF(OR(D5186=1,K5185=""),"",K5185)</f>
        <v>1014.8</v>
      </c>
      <c r="Q5186" s="56" t="n">
        <f aca="false">IF(OR(F5186&lt;&gt;0,AND(I5186&lt;&gt;"",E5186&lt;I5186)),1,0)</f>
        <v>0</v>
      </c>
      <c r="R5186" s="56" t="n">
        <f aca="false">IF(AND(D5186&gt;1,Q5186=0,ISNUMBER(O5186),ISNUMBER(P5186)),IF(Q5185=0,1,0),0)</f>
        <v>1</v>
      </c>
      <c r="S5186" s="56" t="n">
        <f aca="false">R5186*(B5186&gt;=Train_Start)*(B5186&lt;=Train_End)</f>
        <v>0</v>
      </c>
      <c r="T5186" s="84" t="n">
        <f aca="false">IF(AND(ISNUMBER(O5186),ISNUMBER(P5186)),Coef_A+Coef_B1*O5186+Coef_B2*P5186,"")</f>
        <v>19.6524570029872</v>
      </c>
      <c r="U5186" s="84" t="n">
        <f aca="false">IF(AND(R5186=1,ISNUMBER(T5186)),E5186-T5186,"")</f>
        <v>1.34754299701284</v>
      </c>
      <c r="V5186" s="84" t="n">
        <f aca="false">IF(ISNUMBER(T5186),T5186,-99)</f>
        <v>19.6524570029872</v>
      </c>
      <c r="W5186" s="84" t="n">
        <f aca="false">IF(ISNUMBER(U5186),ABS(U5186),"")</f>
        <v>1.34754299701284</v>
      </c>
    </row>
    <row r="5187" customFormat="false" ht="15" hidden="false" customHeight="false" outlineLevel="0" collapsed="false">
      <c r="A5187" s="57" t="n">
        <v>41166</v>
      </c>
      <c r="B5187" s="56" t="n">
        <v>2012</v>
      </c>
      <c r="C5187" s="56" t="n">
        <v>9</v>
      </c>
      <c r="D5187" s="56" t="n">
        <v>137</v>
      </c>
      <c r="E5187" s="56" t="n">
        <v>22.9</v>
      </c>
      <c r="F5187" s="56" t="n">
        <v>0</v>
      </c>
      <c r="G5187" s="56" t="n">
        <v>12.5</v>
      </c>
      <c r="H5187" s="56" t="n">
        <v>0</v>
      </c>
      <c r="I5187" s="56" t="n">
        <v>16.8</v>
      </c>
      <c r="J5187" s="56" t="n">
        <v>0</v>
      </c>
      <c r="K5187" s="56" t="n">
        <v>1013.7</v>
      </c>
      <c r="L5187" s="56" t="n">
        <v>0</v>
      </c>
      <c r="M5187" s="56" t="n">
        <v>65</v>
      </c>
      <c r="N5187" s="56" t="n">
        <v>5</v>
      </c>
      <c r="O5187" s="56" t="n">
        <f aca="false">IF(D5187=1,"",E5186)</f>
        <v>21</v>
      </c>
      <c r="P5187" s="56" t="n">
        <f aca="false">IF(OR(D5187=1,K5186=""),"",K5186)</f>
        <v>1019</v>
      </c>
      <c r="Q5187" s="56" t="n">
        <f aca="false">IF(OR(F5187&lt;&gt;0,AND(I5187&lt;&gt;"",E5187&lt;I5187)),1,0)</f>
        <v>0</v>
      </c>
      <c r="R5187" s="56" t="n">
        <f aca="false">IF(AND(D5187&gt;1,Q5187=0,ISNUMBER(O5187),ISNUMBER(P5187)),IF(Q5186=0,1,0),0)</f>
        <v>1</v>
      </c>
      <c r="S5187" s="56" t="n">
        <f aca="false">R5187*(B5187&gt;=Train_Start)*(B5187&lt;=Train_End)</f>
        <v>0</v>
      </c>
      <c r="T5187" s="84" t="n">
        <f aca="false">IF(AND(ISNUMBER(O5187),ISNUMBER(P5187)),Coef_A+Coef_B1*O5187+Coef_B2*P5187,"")</f>
        <v>21.2590211079267</v>
      </c>
      <c r="U5187" s="84" t="n">
        <f aca="false">IF(AND(R5187=1,ISNUMBER(T5187)),E5187-T5187,"")</f>
        <v>1.6409788920733</v>
      </c>
      <c r="V5187" s="84" t="n">
        <f aca="false">IF(ISNUMBER(T5187),T5187,-99)</f>
        <v>21.2590211079267</v>
      </c>
      <c r="W5187" s="84" t="n">
        <f aca="false">IF(ISNUMBER(U5187),ABS(U5187),"")</f>
        <v>1.6409788920733</v>
      </c>
    </row>
    <row r="5188" customFormat="false" ht="15" hidden="false" customHeight="false" outlineLevel="0" collapsed="false">
      <c r="A5188" s="57" t="n">
        <v>41167</v>
      </c>
      <c r="B5188" s="56" t="n">
        <v>2012</v>
      </c>
      <c r="C5188" s="56" t="n">
        <v>9</v>
      </c>
      <c r="D5188" s="56" t="n">
        <v>138</v>
      </c>
      <c r="E5188" s="56" t="n">
        <v>18.9</v>
      </c>
      <c r="F5188" s="56" t="n">
        <v>0</v>
      </c>
      <c r="G5188" s="56" t="n">
        <v>8.3</v>
      </c>
      <c r="H5188" s="56" t="n">
        <v>0</v>
      </c>
      <c r="I5188" s="56" t="n">
        <v>15.6</v>
      </c>
      <c r="J5188" s="56" t="n">
        <v>0</v>
      </c>
      <c r="K5188" s="56" t="n">
        <v>1017.3</v>
      </c>
      <c r="L5188" s="56" t="n">
        <v>0</v>
      </c>
      <c r="M5188" s="56" t="n">
        <v>69</v>
      </c>
      <c r="N5188" s="56" t="n">
        <v>10.9</v>
      </c>
      <c r="O5188" s="56" t="n">
        <f aca="false">IF(D5188=1,"",E5187)</f>
        <v>22.9</v>
      </c>
      <c r="P5188" s="56" t="n">
        <f aca="false">IF(OR(D5188=1,K5187=""),"",K5187)</f>
        <v>1013.7</v>
      </c>
      <c r="Q5188" s="56" t="n">
        <f aca="false">IF(OR(F5188&lt;&gt;0,AND(I5188&lt;&gt;"",E5188&lt;I5188)),1,0)</f>
        <v>0</v>
      </c>
      <c r="R5188" s="56" t="n">
        <f aca="false">IF(AND(D5188&gt;1,Q5188=0,ISNUMBER(O5188),ISNUMBER(P5188)),IF(Q5187=0,1,0),0)</f>
        <v>1</v>
      </c>
      <c r="S5188" s="56" t="n">
        <f aca="false">R5188*(B5188&gt;=Train_Start)*(B5188&lt;=Train_End)</f>
        <v>0</v>
      </c>
      <c r="T5188" s="84" t="n">
        <f aca="false">IF(AND(ISNUMBER(O5188),ISNUMBER(P5188)),Coef_A+Coef_B1*O5188+Coef_B2*P5188,"")</f>
        <v>22.6495051331476</v>
      </c>
      <c r="U5188" s="84" t="n">
        <f aca="false">IF(AND(R5188=1,ISNUMBER(T5188)),E5188-T5188,"")</f>
        <v>-3.7495051331476</v>
      </c>
      <c r="V5188" s="84" t="n">
        <f aca="false">IF(ISNUMBER(T5188),T5188,-99)</f>
        <v>22.6495051331476</v>
      </c>
      <c r="W5188" s="84" t="n">
        <f aca="false">IF(ISNUMBER(U5188),ABS(U5188),"")</f>
        <v>3.7495051331476</v>
      </c>
    </row>
    <row r="5189" customFormat="false" ht="15" hidden="false" customHeight="false" outlineLevel="0" collapsed="false">
      <c r="A5189" s="57" t="n">
        <v>41168</v>
      </c>
      <c r="B5189" s="56" t="n">
        <v>2012</v>
      </c>
      <c r="C5189" s="56" t="n">
        <v>9</v>
      </c>
      <c r="D5189" s="56" t="n">
        <v>139</v>
      </c>
      <c r="E5189" s="56" t="n">
        <v>19.5</v>
      </c>
      <c r="F5189" s="56" t="n">
        <v>0</v>
      </c>
      <c r="G5189" s="56" t="n">
        <v>13.1</v>
      </c>
      <c r="H5189" s="56" t="n">
        <v>0</v>
      </c>
      <c r="I5189" s="56" t="n">
        <v>16</v>
      </c>
      <c r="J5189" s="56" t="n">
        <v>0</v>
      </c>
      <c r="K5189" s="56" t="n">
        <v>1013.1</v>
      </c>
      <c r="L5189" s="56" t="n">
        <v>0</v>
      </c>
      <c r="M5189" s="56" t="n">
        <v>73</v>
      </c>
      <c r="N5189" s="56" t="n">
        <v>2.5</v>
      </c>
      <c r="O5189" s="56" t="n">
        <f aca="false">IF(D5189=1,"",E5188)</f>
        <v>18.9</v>
      </c>
      <c r="P5189" s="56" t="n">
        <f aca="false">IF(OR(D5189=1,K5188=""),"",K5188)</f>
        <v>1017.3</v>
      </c>
      <c r="Q5189" s="56" t="n">
        <f aca="false">IF(OR(F5189&lt;&gt;0,AND(I5189&lt;&gt;"",E5189&lt;I5189)),1,0)</f>
        <v>0</v>
      </c>
      <c r="R5189" s="56" t="n">
        <f aca="false">IF(AND(D5189&gt;1,Q5189=0,ISNUMBER(O5189),ISNUMBER(P5189)),IF(Q5188=0,1,0),0)</f>
        <v>1</v>
      </c>
      <c r="S5189" s="56" t="n">
        <f aca="false">R5189*(B5189&gt;=Train_Start)*(B5189&lt;=Train_End)</f>
        <v>0</v>
      </c>
      <c r="T5189" s="84" t="n">
        <f aca="false">IF(AND(ISNUMBER(O5189),ISNUMBER(P5189)),Coef_A+Coef_B1*O5189+Coef_B2*P5189,"")</f>
        <v>19.4850799816593</v>
      </c>
      <c r="U5189" s="84" t="n">
        <f aca="false">IF(AND(R5189=1,ISNUMBER(T5189)),E5189-T5189,"")</f>
        <v>0.0149200183406677</v>
      </c>
      <c r="V5189" s="84" t="n">
        <f aca="false">IF(ISNUMBER(T5189),T5189,-99)</f>
        <v>19.4850799816593</v>
      </c>
      <c r="W5189" s="84" t="n">
        <f aca="false">IF(ISNUMBER(U5189),ABS(U5189),"")</f>
        <v>0.0149200183406677</v>
      </c>
    </row>
    <row r="5190" customFormat="false" ht="15" hidden="false" customHeight="false" outlineLevel="0" collapsed="false">
      <c r="A5190" s="57" t="n">
        <v>41169</v>
      </c>
      <c r="B5190" s="56" t="n">
        <v>2012</v>
      </c>
      <c r="C5190" s="56" t="n">
        <v>9</v>
      </c>
      <c r="D5190" s="56" t="n">
        <v>140</v>
      </c>
      <c r="E5190" s="56" t="n">
        <v>18.1</v>
      </c>
      <c r="F5190" s="56" t="n">
        <v>0</v>
      </c>
      <c r="G5190" s="56" t="n">
        <v>13.1</v>
      </c>
      <c r="H5190" s="56" t="n">
        <v>0</v>
      </c>
      <c r="I5190" s="56" t="n">
        <v>16.3</v>
      </c>
      <c r="J5190" s="56" t="n">
        <v>0</v>
      </c>
      <c r="K5190" s="56" t="n">
        <v>1012.4</v>
      </c>
      <c r="L5190" s="56" t="n">
        <v>0</v>
      </c>
      <c r="M5190" s="56" t="n">
        <v>69</v>
      </c>
      <c r="N5190" s="56" t="n">
        <v>4.2</v>
      </c>
      <c r="O5190" s="56" t="n">
        <f aca="false">IF(D5190=1,"",E5189)</f>
        <v>19.5</v>
      </c>
      <c r="P5190" s="56" t="n">
        <f aca="false">IF(OR(D5190=1,K5189=""),"",K5189)</f>
        <v>1013.1</v>
      </c>
      <c r="Q5190" s="56" t="n">
        <f aca="false">IF(OR(F5190&lt;&gt;0,AND(I5190&lt;&gt;"",E5190&lt;I5190)),1,0)</f>
        <v>0</v>
      </c>
      <c r="R5190" s="56" t="n">
        <f aca="false">IF(AND(D5190&gt;1,Q5190=0,ISNUMBER(O5190),ISNUMBER(P5190)),IF(Q5189=0,1,0),0)</f>
        <v>1</v>
      </c>
      <c r="S5190" s="56" t="n">
        <f aca="false">R5190*(B5190&gt;=Train_Start)*(B5190&lt;=Train_End)</f>
        <v>0</v>
      </c>
      <c r="T5190" s="84" t="n">
        <f aca="false">IF(AND(ISNUMBER(O5190),ISNUMBER(P5190)),Coef_A+Coef_B1*O5190+Coef_B2*P5190,"")</f>
        <v>19.8449299400222</v>
      </c>
      <c r="U5190" s="84" t="n">
        <f aca="false">IF(AND(R5190=1,ISNUMBER(T5190)),E5190-T5190,"")</f>
        <v>-1.74492994002217</v>
      </c>
      <c r="V5190" s="84" t="n">
        <f aca="false">IF(ISNUMBER(T5190),T5190,-99)</f>
        <v>19.8449299400222</v>
      </c>
      <c r="W5190" s="84" t="n">
        <f aca="false">IF(ISNUMBER(U5190),ABS(U5190),"")</f>
        <v>1.74492994002217</v>
      </c>
    </row>
    <row r="5191" customFormat="false" ht="15" hidden="false" customHeight="false" outlineLevel="0" collapsed="false">
      <c r="A5191" s="57" t="n">
        <v>41170</v>
      </c>
      <c r="B5191" s="56" t="n">
        <v>2012</v>
      </c>
      <c r="C5191" s="56" t="n">
        <v>9</v>
      </c>
      <c r="D5191" s="56" t="n">
        <v>141</v>
      </c>
      <c r="E5191" s="56" t="n">
        <v>17.8</v>
      </c>
      <c r="F5191" s="56" t="n">
        <v>0</v>
      </c>
      <c r="G5191" s="56" t="n">
        <v>11.3</v>
      </c>
      <c r="H5191" s="56" t="n">
        <v>0</v>
      </c>
      <c r="I5191" s="56" t="n">
        <v>14.7</v>
      </c>
      <c r="J5191" s="56" t="n">
        <v>0</v>
      </c>
      <c r="K5191" s="56" t="n">
        <v>1013.9</v>
      </c>
      <c r="L5191" s="56" t="n">
        <v>0</v>
      </c>
      <c r="M5191" s="56" t="n">
        <v>63</v>
      </c>
      <c r="N5191" s="56" t="n">
        <v>8.5</v>
      </c>
      <c r="O5191" s="56" t="n">
        <f aca="false">IF(D5191=1,"",E5190)</f>
        <v>18.1</v>
      </c>
      <c r="P5191" s="56" t="n">
        <f aca="false">IF(OR(D5191=1,K5190=""),"",K5190)</f>
        <v>1012.4</v>
      </c>
      <c r="Q5191" s="56" t="n">
        <f aca="false">IF(OR(F5191&lt;&gt;0,AND(I5191&lt;&gt;"",E5191&lt;I5191)),1,0)</f>
        <v>0</v>
      </c>
      <c r="R5191" s="56" t="n">
        <f aca="false">IF(AND(D5191&gt;1,Q5191=0,ISNUMBER(O5191),ISNUMBER(P5191)),IF(Q5190=0,1,0),0)</f>
        <v>1</v>
      </c>
      <c r="S5191" s="56" t="n">
        <f aca="false">R5191*(B5191&gt;=Train_Start)*(B5191&lt;=Train_End)</f>
        <v>0</v>
      </c>
      <c r="T5191" s="84" t="n">
        <f aca="false">IF(AND(ISNUMBER(O5191),ISNUMBER(P5191)),Coef_A+Coef_B1*O5191+Coef_B2*P5191,"")</f>
        <v>18.6758961435187</v>
      </c>
      <c r="U5191" s="84" t="n">
        <f aca="false">IF(AND(R5191=1,ISNUMBER(T5191)),E5191-T5191,"")</f>
        <v>-0.875896143518659</v>
      </c>
      <c r="V5191" s="84" t="n">
        <f aca="false">IF(ISNUMBER(T5191),T5191,-99)</f>
        <v>18.6758961435187</v>
      </c>
      <c r="W5191" s="84" t="n">
        <f aca="false">IF(ISNUMBER(U5191),ABS(U5191),"")</f>
        <v>0.875896143518659</v>
      </c>
    </row>
    <row r="5192" customFormat="false" ht="15" hidden="false" customHeight="false" outlineLevel="0" collapsed="false">
      <c r="A5192" s="57" t="n">
        <v>41171</v>
      </c>
      <c r="B5192" s="56" t="n">
        <v>2012</v>
      </c>
      <c r="C5192" s="56" t="n">
        <v>9</v>
      </c>
      <c r="D5192" s="56" t="n">
        <v>142</v>
      </c>
      <c r="E5192" s="56" t="n">
        <v>17.8</v>
      </c>
      <c r="F5192" s="56" t="n">
        <v>0</v>
      </c>
      <c r="G5192" s="56" t="n">
        <v>6.3</v>
      </c>
      <c r="H5192" s="56" t="n">
        <v>0</v>
      </c>
      <c r="I5192" s="56" t="n">
        <v>12.1</v>
      </c>
      <c r="J5192" s="56" t="n">
        <v>0</v>
      </c>
      <c r="K5192" s="56" t="n">
        <v>1022.1</v>
      </c>
      <c r="L5192" s="56" t="n">
        <v>0</v>
      </c>
      <c r="M5192" s="56" t="n">
        <v>62</v>
      </c>
      <c r="N5192" s="56" t="n">
        <v>10.3</v>
      </c>
      <c r="O5192" s="56" t="n">
        <f aca="false">IF(D5192=1,"",E5191)</f>
        <v>17.8</v>
      </c>
      <c r="P5192" s="56" t="n">
        <f aca="false">IF(OR(D5192=1,K5191=""),"",K5191)</f>
        <v>1013.9</v>
      </c>
      <c r="Q5192" s="56" t="n">
        <f aca="false">IF(OR(F5192&lt;&gt;0,AND(I5192&lt;&gt;"",E5192&lt;I5192)),1,0)</f>
        <v>0</v>
      </c>
      <c r="R5192" s="56" t="n">
        <f aca="false">IF(AND(D5192&gt;1,Q5192=0,ISNUMBER(O5192),ISNUMBER(P5192)),IF(Q5191=0,1,0),0)</f>
        <v>1</v>
      </c>
      <c r="S5192" s="56" t="n">
        <f aca="false">R5192*(B5192&gt;=Train_Start)*(B5192&lt;=Train_End)</f>
        <v>0</v>
      </c>
      <c r="T5192" s="84" t="n">
        <f aca="false">IF(AND(ISNUMBER(O5192),ISNUMBER(P5192)),Coef_A+Coef_B1*O5192+Coef_B2*P5192,"")</f>
        <v>18.4771492275568</v>
      </c>
      <c r="U5192" s="84" t="n">
        <f aca="false">IF(AND(R5192=1,ISNUMBER(T5192)),E5192-T5192,"")</f>
        <v>-0.677149227556846</v>
      </c>
      <c r="V5192" s="84" t="n">
        <f aca="false">IF(ISNUMBER(T5192),T5192,-99)</f>
        <v>18.4771492275568</v>
      </c>
      <c r="W5192" s="84" t="n">
        <f aca="false">IF(ISNUMBER(U5192),ABS(U5192),"")</f>
        <v>0.677149227556846</v>
      </c>
    </row>
    <row r="5193" customFormat="false" ht="15" hidden="false" customHeight="false" outlineLevel="0" collapsed="false">
      <c r="A5193" s="57" t="n">
        <v>41172</v>
      </c>
      <c r="B5193" s="56" t="n">
        <v>2012</v>
      </c>
      <c r="C5193" s="56" t="n">
        <v>9</v>
      </c>
      <c r="D5193" s="56" t="n">
        <v>143</v>
      </c>
      <c r="E5193" s="56" t="n">
        <v>16.8</v>
      </c>
      <c r="F5193" s="56" t="n">
        <v>0</v>
      </c>
      <c r="G5193" s="56" t="n">
        <v>8.7</v>
      </c>
      <c r="H5193" s="56" t="n">
        <v>0</v>
      </c>
      <c r="I5193" s="56" t="n">
        <v>13.3</v>
      </c>
      <c r="J5193" s="56" t="n">
        <v>0</v>
      </c>
      <c r="K5193" s="56" t="n">
        <v>1020.7</v>
      </c>
      <c r="L5193" s="56" t="n">
        <v>0</v>
      </c>
      <c r="M5193" s="56" t="n">
        <v>68</v>
      </c>
      <c r="N5193" s="56" t="n">
        <v>3.2</v>
      </c>
      <c r="O5193" s="56" t="n">
        <f aca="false">IF(D5193=1,"",E5192)</f>
        <v>17.8</v>
      </c>
      <c r="P5193" s="56" t="n">
        <f aca="false">IF(OR(D5193=1,K5192=""),"",K5192)</f>
        <v>1022.1</v>
      </c>
      <c r="Q5193" s="56" t="n">
        <f aca="false">IF(OR(F5193&lt;&gt;0,AND(I5193&lt;&gt;"",E5193&lt;I5193)),1,0)</f>
        <v>0</v>
      </c>
      <c r="R5193" s="56" t="n">
        <f aca="false">IF(AND(D5193&gt;1,Q5193=0,ISNUMBER(O5193),ISNUMBER(P5193)),IF(Q5192=0,1,0),0)</f>
        <v>1</v>
      </c>
      <c r="S5193" s="56" t="n">
        <f aca="false">R5193*(B5193&gt;=Train_Start)*(B5193&lt;=Train_End)</f>
        <v>0</v>
      </c>
      <c r="T5193" s="84" t="n">
        <f aca="false">IF(AND(ISNUMBER(O5193),ISNUMBER(P5193)),Coef_A+Coef_B1*O5193+Coef_B2*P5193,"")</f>
        <v>18.7343823635556</v>
      </c>
      <c r="U5193" s="84" t="n">
        <f aca="false">IF(AND(R5193=1,ISNUMBER(T5193)),E5193-T5193,"")</f>
        <v>-1.93438236355556</v>
      </c>
      <c r="V5193" s="84" t="n">
        <f aca="false">IF(ISNUMBER(T5193),T5193,-99)</f>
        <v>18.7343823635556</v>
      </c>
      <c r="W5193" s="84" t="n">
        <f aca="false">IF(ISNUMBER(U5193),ABS(U5193),"")</f>
        <v>1.93438236355556</v>
      </c>
    </row>
    <row r="5194" customFormat="false" ht="15" hidden="false" customHeight="false" outlineLevel="0" collapsed="false">
      <c r="A5194" s="57" t="n">
        <v>41173</v>
      </c>
      <c r="B5194" s="56" t="n">
        <v>2012</v>
      </c>
      <c r="C5194" s="56" t="n">
        <v>9</v>
      </c>
      <c r="D5194" s="56" t="n">
        <v>144</v>
      </c>
      <c r="E5194" s="56" t="n">
        <v>16.8</v>
      </c>
      <c r="F5194" s="56" t="n">
        <v>0</v>
      </c>
      <c r="G5194" s="56" t="n">
        <v>10.2</v>
      </c>
      <c r="H5194" s="56" t="n">
        <v>0</v>
      </c>
      <c r="I5194" s="56" t="n">
        <v>13.5</v>
      </c>
      <c r="J5194" s="56" t="n">
        <v>0</v>
      </c>
      <c r="K5194" s="56" t="n">
        <v>1015.5</v>
      </c>
      <c r="L5194" s="56" t="n">
        <v>0</v>
      </c>
      <c r="M5194" s="56" t="n">
        <v>76</v>
      </c>
      <c r="N5194" s="56" t="n">
        <v>0.1</v>
      </c>
      <c r="O5194" s="56" t="n">
        <f aca="false">IF(D5194=1,"",E5193)</f>
        <v>16.8</v>
      </c>
      <c r="P5194" s="56" t="n">
        <f aca="false">IF(OR(D5194=1,K5193=""),"",K5193)</f>
        <v>1020.7</v>
      </c>
      <c r="Q5194" s="56" t="n">
        <f aca="false">IF(OR(F5194&lt;&gt;0,AND(I5194&lt;&gt;"",E5194&lt;I5194)),1,0)</f>
        <v>0</v>
      </c>
      <c r="R5194" s="56" t="n">
        <f aca="false">IF(AND(D5194&gt;1,Q5194=0,ISNUMBER(O5194),ISNUMBER(P5194)),IF(Q5193=0,1,0),0)</f>
        <v>1</v>
      </c>
      <c r="S5194" s="56" t="n">
        <f aca="false">R5194*(B5194&gt;=Train_Start)*(B5194&lt;=Train_End)</f>
        <v>0</v>
      </c>
      <c r="T5194" s="84" t="n">
        <f aca="false">IF(AND(ISNUMBER(O5194),ISNUMBER(P5194)),Coef_A+Coef_B1*O5194+Coef_B2*P5194,"")</f>
        <v>17.8711253180253</v>
      </c>
      <c r="U5194" s="84" t="n">
        <f aca="false">IF(AND(R5194=1,ISNUMBER(T5194)),E5194-T5194,"")</f>
        <v>-1.07112531802532</v>
      </c>
      <c r="V5194" s="84" t="n">
        <f aca="false">IF(ISNUMBER(T5194),T5194,-99)</f>
        <v>17.8711253180253</v>
      </c>
      <c r="W5194" s="84" t="n">
        <f aca="false">IF(ISNUMBER(U5194),ABS(U5194),"")</f>
        <v>1.07112531802532</v>
      </c>
    </row>
    <row r="5195" customFormat="false" ht="15" hidden="false" customHeight="false" outlineLevel="0" collapsed="false">
      <c r="A5195" s="57" t="n">
        <v>41174</v>
      </c>
      <c r="B5195" s="56" t="n">
        <v>2012</v>
      </c>
      <c r="C5195" s="56" t="n">
        <v>9</v>
      </c>
      <c r="D5195" s="56" t="n">
        <v>145</v>
      </c>
      <c r="E5195" s="56" t="n">
        <v>15</v>
      </c>
      <c r="F5195" s="56" t="n">
        <v>0</v>
      </c>
      <c r="G5195" s="56" t="n">
        <v>6.1</v>
      </c>
      <c r="H5195" s="56" t="n">
        <v>0</v>
      </c>
      <c r="I5195" s="56" t="n">
        <v>11.5</v>
      </c>
      <c r="J5195" s="56" t="n">
        <v>0</v>
      </c>
      <c r="K5195" s="56" t="n">
        <v>1019.6</v>
      </c>
      <c r="L5195" s="56" t="n">
        <v>0</v>
      </c>
      <c r="M5195" s="56" t="n">
        <v>66</v>
      </c>
      <c r="N5195" s="56" t="n">
        <v>9.6</v>
      </c>
      <c r="O5195" s="56" t="n">
        <f aca="false">IF(D5195=1,"",E5194)</f>
        <v>16.8</v>
      </c>
      <c r="P5195" s="56" t="n">
        <f aca="false">IF(OR(D5195=1,K5194=""),"",K5194)</f>
        <v>1015.5</v>
      </c>
      <c r="Q5195" s="56" t="n">
        <f aca="false">IF(OR(F5195&lt;&gt;0,AND(I5195&lt;&gt;"",E5195&lt;I5195)),1,0)</f>
        <v>0</v>
      </c>
      <c r="R5195" s="56" t="n">
        <f aca="false">IF(AND(D5195&gt;1,Q5195=0,ISNUMBER(O5195),ISNUMBER(P5195)),IF(Q5194=0,1,0),0)</f>
        <v>1</v>
      </c>
      <c r="S5195" s="56" t="n">
        <f aca="false">R5195*(B5195&gt;=Train_Start)*(B5195&lt;=Train_End)</f>
        <v>0</v>
      </c>
      <c r="T5195" s="84" t="n">
        <f aca="false">IF(AND(ISNUMBER(O5195),ISNUMBER(P5195)),Coef_A+Coef_B1*O5195+Coef_B2*P5195,"")</f>
        <v>17.7080018659286</v>
      </c>
      <c r="U5195" s="84" t="n">
        <f aca="false">IF(AND(R5195=1,ISNUMBER(T5195)),E5195-T5195,"")</f>
        <v>-2.70800186592857</v>
      </c>
      <c r="V5195" s="84" t="n">
        <f aca="false">IF(ISNUMBER(T5195),T5195,-99)</f>
        <v>17.7080018659286</v>
      </c>
      <c r="W5195" s="84" t="n">
        <f aca="false">IF(ISNUMBER(U5195),ABS(U5195),"")</f>
        <v>2.70800186592857</v>
      </c>
    </row>
    <row r="5196" customFormat="false" ht="15" hidden="false" customHeight="false" outlineLevel="0" collapsed="false">
      <c r="A5196" s="57" t="n">
        <v>41175</v>
      </c>
      <c r="B5196" s="56" t="n">
        <v>2012</v>
      </c>
      <c r="C5196" s="56" t="n">
        <v>9</v>
      </c>
      <c r="D5196" s="56" t="n">
        <v>146</v>
      </c>
      <c r="E5196" s="56" t="n">
        <v>16</v>
      </c>
      <c r="F5196" s="56" t="n">
        <v>0</v>
      </c>
      <c r="G5196" s="56" t="n">
        <v>8.4</v>
      </c>
      <c r="H5196" s="56" t="n">
        <v>0</v>
      </c>
      <c r="I5196" s="56" t="n">
        <v>11.7</v>
      </c>
      <c r="J5196" s="56" t="n">
        <v>0</v>
      </c>
      <c r="K5196" s="56" t="n">
        <v>1008.5</v>
      </c>
      <c r="L5196" s="56" t="n">
        <v>0</v>
      </c>
      <c r="M5196" s="56" t="n">
        <v>85</v>
      </c>
      <c r="N5196" s="56" t="n">
        <v>0</v>
      </c>
      <c r="O5196" s="56" t="n">
        <f aca="false">IF(D5196=1,"",E5195)</f>
        <v>15</v>
      </c>
      <c r="P5196" s="56" t="n">
        <f aca="false">IF(OR(D5196=1,K5195=""),"",K5195)</f>
        <v>1019.6</v>
      </c>
      <c r="Q5196" s="56" t="n">
        <f aca="false">IF(OR(F5196&lt;&gt;0,AND(I5196&lt;&gt;"",E5196&lt;I5196)),1,0)</f>
        <v>0</v>
      </c>
      <c r="R5196" s="56" t="n">
        <f aca="false">IF(AND(D5196&gt;1,Q5196=0,ISNUMBER(O5196),ISNUMBER(P5196)),IF(Q5195=0,1,0),0)</f>
        <v>1</v>
      </c>
      <c r="S5196" s="56" t="n">
        <f aca="false">R5196*(B5196&gt;=Train_Start)*(B5196&lt;=Train_End)</f>
        <v>0</v>
      </c>
      <c r="T5196" s="84" t="n">
        <f aca="false">IF(AND(ISNUMBER(O5196),ISNUMBER(P5196)),Coef_A+Coef_B1*O5196+Coef_B2*P5196,"")</f>
        <v>16.3618078864511</v>
      </c>
      <c r="U5196" s="84" t="n">
        <f aca="false">IF(AND(R5196=1,ISNUMBER(T5196)),E5196-T5196,"")</f>
        <v>-0.361807886451146</v>
      </c>
      <c r="V5196" s="84" t="n">
        <f aca="false">IF(ISNUMBER(T5196),T5196,-99)</f>
        <v>16.3618078864511</v>
      </c>
      <c r="W5196" s="84" t="n">
        <f aca="false">IF(ISNUMBER(U5196),ABS(U5196),"")</f>
        <v>0.361807886451146</v>
      </c>
    </row>
    <row r="5197" customFormat="false" ht="15" hidden="false" customHeight="false" outlineLevel="0" collapsed="false">
      <c r="A5197" s="57" t="n">
        <v>41176</v>
      </c>
      <c r="B5197" s="56" t="n">
        <v>2012</v>
      </c>
      <c r="C5197" s="56" t="n">
        <v>9</v>
      </c>
      <c r="D5197" s="56" t="n">
        <v>147</v>
      </c>
      <c r="E5197" s="56" t="n">
        <v>17.1</v>
      </c>
      <c r="F5197" s="56" t="n">
        <v>0</v>
      </c>
      <c r="G5197" s="56" t="n">
        <v>10.4</v>
      </c>
      <c r="H5197" s="56" t="n">
        <v>0</v>
      </c>
      <c r="I5197" s="56" t="n">
        <v>13.2</v>
      </c>
      <c r="J5197" s="56" t="n">
        <v>0</v>
      </c>
      <c r="K5197" s="56" t="n">
        <v>989.2</v>
      </c>
      <c r="L5197" s="56" t="n">
        <v>0</v>
      </c>
      <c r="M5197" s="56" t="n">
        <v>86</v>
      </c>
      <c r="N5197" s="56" t="n">
        <v>1.1</v>
      </c>
      <c r="O5197" s="56" t="n">
        <f aca="false">IF(D5197=1,"",E5196)</f>
        <v>16</v>
      </c>
      <c r="P5197" s="56" t="n">
        <f aca="false">IF(OR(D5197=1,K5196=""),"",K5196)</f>
        <v>1008.5</v>
      </c>
      <c r="Q5197" s="56" t="n">
        <f aca="false">IF(OR(F5197&lt;&gt;0,AND(I5197&lt;&gt;"",E5197&lt;I5197)),1,0)</f>
        <v>0</v>
      </c>
      <c r="R5197" s="56" t="n">
        <f aca="false">IF(AND(D5197&gt;1,Q5197=0,ISNUMBER(O5197),ISNUMBER(P5197)),IF(Q5196=0,1,0),0)</f>
        <v>1</v>
      </c>
      <c r="S5197" s="56" t="n">
        <f aca="false">R5197*(B5197&gt;=Train_Start)*(B5197&lt;=Train_End)</f>
        <v>0</v>
      </c>
      <c r="T5197" s="84" t="n">
        <f aca="false">IF(AND(ISNUMBER(O5197),ISNUMBER(P5197)),Coef_A+Coef_B1*O5197+Coef_B2*P5197,"")</f>
        <v>16.8329412490565</v>
      </c>
      <c r="U5197" s="84" t="n">
        <f aca="false">IF(AND(R5197=1,ISNUMBER(T5197)),E5197-T5197,"")</f>
        <v>0.267058750943477</v>
      </c>
      <c r="V5197" s="84" t="n">
        <f aca="false">IF(ISNUMBER(T5197),T5197,-99)</f>
        <v>16.8329412490565</v>
      </c>
      <c r="W5197" s="84" t="n">
        <f aca="false">IF(ISNUMBER(U5197),ABS(U5197),"")</f>
        <v>0.267058750943477</v>
      </c>
    </row>
    <row r="5198" customFormat="false" ht="15" hidden="false" customHeight="false" outlineLevel="0" collapsed="false">
      <c r="A5198" s="57" t="n">
        <v>41177</v>
      </c>
      <c r="B5198" s="56" t="n">
        <v>2012</v>
      </c>
      <c r="C5198" s="56" t="n">
        <v>9</v>
      </c>
      <c r="D5198" s="56" t="n">
        <v>148</v>
      </c>
      <c r="E5198" s="56" t="n">
        <v>16</v>
      </c>
      <c r="F5198" s="56" t="n">
        <v>0</v>
      </c>
      <c r="G5198" s="56" t="n">
        <v>9.5</v>
      </c>
      <c r="H5198" s="56" t="n">
        <v>0</v>
      </c>
      <c r="I5198" s="56" t="n">
        <v>13.3</v>
      </c>
      <c r="J5198" s="56" t="n">
        <v>0</v>
      </c>
      <c r="K5198" s="56" t="n">
        <v>988.6</v>
      </c>
      <c r="L5198" s="56" t="n">
        <v>0</v>
      </c>
      <c r="M5198" s="56" t="n">
        <v>75</v>
      </c>
      <c r="N5198" s="56" t="n">
        <v>7.6</v>
      </c>
      <c r="O5198" s="56" t="n">
        <f aca="false">IF(D5198=1,"",E5197)</f>
        <v>17.1</v>
      </c>
      <c r="P5198" s="56" t="n">
        <f aca="false">IF(OR(D5198=1,K5197=""),"",K5197)</f>
        <v>989.2</v>
      </c>
      <c r="Q5198" s="56" t="n">
        <f aca="false">IF(OR(F5198&lt;&gt;0,AND(I5198&lt;&gt;"",E5198&lt;I5198)),1,0)</f>
        <v>0</v>
      </c>
      <c r="R5198" s="56" t="n">
        <f aca="false">IF(AND(D5198&gt;1,Q5198=0,ISNUMBER(O5198),ISNUMBER(P5198)),IF(Q5197=0,1,0),0)</f>
        <v>1</v>
      </c>
      <c r="S5198" s="56" t="n">
        <f aca="false">R5198*(B5198&gt;=Train_Start)*(B5198&lt;=Train_End)</f>
        <v>0</v>
      </c>
      <c r="T5198" s="84" t="n">
        <f aca="false">IF(AND(ISNUMBER(O5198),ISNUMBER(P5198)),Coef_A+Coef_B1*O5198+Coef_B2*P5198,"")</f>
        <v>17.1287753949675</v>
      </c>
      <c r="U5198" s="84" t="n">
        <f aca="false">IF(AND(R5198=1,ISNUMBER(T5198)),E5198-T5198,"")</f>
        <v>-1.12877539496746</v>
      </c>
      <c r="V5198" s="84" t="n">
        <f aca="false">IF(ISNUMBER(T5198),T5198,-99)</f>
        <v>17.1287753949675</v>
      </c>
      <c r="W5198" s="84" t="n">
        <f aca="false">IF(ISNUMBER(U5198),ABS(U5198),"")</f>
        <v>1.12877539496746</v>
      </c>
    </row>
    <row r="5199" customFormat="false" ht="15" hidden="false" customHeight="false" outlineLevel="0" collapsed="false">
      <c r="A5199" s="57" t="n">
        <v>41178</v>
      </c>
      <c r="B5199" s="56" t="n">
        <v>2012</v>
      </c>
      <c r="C5199" s="56" t="n">
        <v>9</v>
      </c>
      <c r="D5199" s="56" t="n">
        <v>149</v>
      </c>
      <c r="E5199" s="56" t="n">
        <v>17.5</v>
      </c>
      <c r="F5199" s="56" t="n">
        <v>0</v>
      </c>
      <c r="G5199" s="56" t="n">
        <v>9.7</v>
      </c>
      <c r="H5199" s="56" t="n">
        <v>0</v>
      </c>
      <c r="I5199" s="56" t="n">
        <v>12.9</v>
      </c>
      <c r="J5199" s="56" t="n">
        <v>0</v>
      </c>
      <c r="K5199" s="56" t="n">
        <v>992.3</v>
      </c>
      <c r="L5199" s="56" t="n">
        <v>0</v>
      </c>
      <c r="M5199" s="56" t="n">
        <v>86</v>
      </c>
      <c r="N5199" s="56" t="n">
        <v>2.3</v>
      </c>
      <c r="O5199" s="56" t="n">
        <f aca="false">IF(D5199=1,"",E5198)</f>
        <v>16</v>
      </c>
      <c r="P5199" s="56" t="n">
        <f aca="false">IF(OR(D5199=1,K5198=""),"",K5198)</f>
        <v>988.6</v>
      </c>
      <c r="Q5199" s="56" t="n">
        <f aca="false">IF(OR(F5199&lt;&gt;0,AND(I5199&lt;&gt;"",E5199&lt;I5199)),1,0)</f>
        <v>0</v>
      </c>
      <c r="R5199" s="56" t="n">
        <f aca="false">IF(AND(D5199&gt;1,Q5199=0,ISNUMBER(O5199),ISNUMBER(P5199)),IF(Q5198=0,1,0),0)</f>
        <v>1</v>
      </c>
      <c r="S5199" s="56" t="n">
        <f aca="false">R5199*(B5199&gt;=Train_Start)*(B5199&lt;=Train_End)</f>
        <v>0</v>
      </c>
      <c r="T5199" s="84" t="n">
        <f aca="false">IF(AND(ISNUMBER(O5199),ISNUMBER(P5199)),Coef_A+Coef_B1*O5199+Coef_B2*P5199,"")</f>
        <v>16.2086803458401</v>
      </c>
      <c r="U5199" s="84" t="n">
        <f aca="false">IF(AND(R5199=1,ISNUMBER(T5199)),E5199-T5199,"")</f>
        <v>1.29131965415986</v>
      </c>
      <c r="V5199" s="84" t="n">
        <f aca="false">IF(ISNUMBER(T5199),T5199,-99)</f>
        <v>16.2086803458401</v>
      </c>
      <c r="W5199" s="84" t="n">
        <f aca="false">IF(ISNUMBER(U5199),ABS(U5199),"")</f>
        <v>1.29131965415986</v>
      </c>
    </row>
    <row r="5200" customFormat="false" ht="15" hidden="false" customHeight="false" outlineLevel="0" collapsed="false">
      <c r="A5200" s="57" t="n">
        <v>41179</v>
      </c>
      <c r="B5200" s="56" t="n">
        <v>2012</v>
      </c>
      <c r="C5200" s="56" t="n">
        <v>9</v>
      </c>
      <c r="D5200" s="56" t="n">
        <v>150</v>
      </c>
      <c r="E5200" s="56" t="n">
        <v>18.1</v>
      </c>
      <c r="F5200" s="56" t="n">
        <v>0</v>
      </c>
      <c r="G5200" s="56" t="n">
        <v>10.7</v>
      </c>
      <c r="H5200" s="56" t="n">
        <v>0</v>
      </c>
      <c r="I5200" s="56" t="n">
        <v>14.1</v>
      </c>
      <c r="J5200" s="56" t="n">
        <v>0</v>
      </c>
      <c r="K5200" s="56" t="n">
        <v>1007.2</v>
      </c>
      <c r="L5200" s="56" t="n">
        <v>0</v>
      </c>
      <c r="M5200" s="56" t="n">
        <v>79</v>
      </c>
      <c r="N5200" s="56" t="n">
        <v>4.3</v>
      </c>
      <c r="O5200" s="56" t="n">
        <f aca="false">IF(D5200=1,"",E5199)</f>
        <v>17.5</v>
      </c>
      <c r="P5200" s="56" t="n">
        <f aca="false">IF(OR(D5200=1,K5199=""),"",K5199)</f>
        <v>992.3</v>
      </c>
      <c r="Q5200" s="56" t="n">
        <f aca="false">IF(OR(F5200&lt;&gt;0,AND(I5200&lt;&gt;"",E5200&lt;I5200)),1,0)</f>
        <v>0</v>
      </c>
      <c r="R5200" s="56" t="n">
        <f aca="false">IF(AND(D5200&gt;1,Q5200=0,ISNUMBER(O5200),ISNUMBER(P5200)),IF(Q5199=0,1,0),0)</f>
        <v>1</v>
      </c>
      <c r="S5200" s="56" t="n">
        <f aca="false">R5200*(B5200&gt;=Train_Start)*(B5200&lt;=Train_End)</f>
        <v>0</v>
      </c>
      <c r="T5200" s="84" t="n">
        <f aca="false">IF(AND(ISNUMBER(O5200),ISNUMBER(P5200)),Coef_A+Coef_B1*O5200+Coef_B2*P5200,"")</f>
        <v>17.5537577455499</v>
      </c>
      <c r="U5200" s="84" t="n">
        <f aca="false">IF(AND(R5200=1,ISNUMBER(T5200)),E5200-T5200,"")</f>
        <v>0.546242254450124</v>
      </c>
      <c r="V5200" s="84" t="n">
        <f aca="false">IF(ISNUMBER(T5200),T5200,-99)</f>
        <v>17.5537577455499</v>
      </c>
      <c r="W5200" s="84" t="n">
        <f aca="false">IF(ISNUMBER(U5200),ABS(U5200),"")</f>
        <v>0.546242254450124</v>
      </c>
    </row>
    <row r="5201" customFormat="false" ht="15" hidden="false" customHeight="false" outlineLevel="0" collapsed="false">
      <c r="A5201" s="57" t="n">
        <v>41180</v>
      </c>
      <c r="B5201" s="56" t="n">
        <v>2012</v>
      </c>
      <c r="C5201" s="56" t="n">
        <v>9</v>
      </c>
      <c r="D5201" s="56" t="n">
        <v>151</v>
      </c>
      <c r="E5201" s="56" t="n">
        <v>16.7</v>
      </c>
      <c r="F5201" s="56" t="n">
        <v>0</v>
      </c>
      <c r="G5201" s="56" t="n">
        <v>8.5</v>
      </c>
      <c r="H5201" s="56" t="n">
        <v>0</v>
      </c>
      <c r="I5201" s="56" t="n">
        <v>13.3</v>
      </c>
      <c r="J5201" s="56" t="n">
        <v>0</v>
      </c>
      <c r="K5201" s="56" t="n">
        <v>1013</v>
      </c>
      <c r="L5201" s="56" t="n">
        <v>0</v>
      </c>
      <c r="M5201" s="56" t="n">
        <v>82</v>
      </c>
      <c r="N5201" s="56" t="n">
        <v>1.6</v>
      </c>
      <c r="O5201" s="56" t="n">
        <f aca="false">IF(D5201=1,"",E5200)</f>
        <v>18.1</v>
      </c>
      <c r="P5201" s="56" t="n">
        <f aca="false">IF(OR(D5201=1,K5200=""),"",K5200)</f>
        <v>1007.2</v>
      </c>
      <c r="Q5201" s="56" t="n">
        <f aca="false">IF(OR(F5201&lt;&gt;0,AND(I5201&lt;&gt;"",E5201&lt;I5201)),1,0)</f>
        <v>0</v>
      </c>
      <c r="R5201" s="56" t="n">
        <f aca="false">IF(AND(D5201&gt;1,Q5201=0,ISNUMBER(O5201),ISNUMBER(P5201)),IF(Q5200=0,1,0),0)</f>
        <v>1</v>
      </c>
      <c r="S5201" s="56" t="n">
        <f aca="false">R5201*(B5201&gt;=Train_Start)*(B5201&lt;=Train_End)</f>
        <v>0</v>
      </c>
      <c r="T5201" s="84" t="n">
        <f aca="false">IF(AND(ISNUMBER(O5201),ISNUMBER(P5201)),Coef_A+Coef_B1*O5201+Coef_B2*P5201,"")</f>
        <v>18.5127726914219</v>
      </c>
      <c r="U5201" s="84" t="n">
        <f aca="false">IF(AND(R5201=1,ISNUMBER(T5201)),E5201-T5201,"")</f>
        <v>-1.81277269142192</v>
      </c>
      <c r="V5201" s="84" t="n">
        <f aca="false">IF(ISNUMBER(T5201),T5201,-99)</f>
        <v>18.5127726914219</v>
      </c>
      <c r="W5201" s="84" t="n">
        <f aca="false">IF(ISNUMBER(U5201),ABS(U5201),"")</f>
        <v>1.81277269142192</v>
      </c>
    </row>
    <row r="5202" customFormat="false" ht="15" hidden="false" customHeight="false" outlineLevel="0" collapsed="false">
      <c r="A5202" s="57" t="n">
        <v>41181</v>
      </c>
      <c r="B5202" s="56" t="n">
        <v>2012</v>
      </c>
      <c r="C5202" s="56" t="n">
        <v>9</v>
      </c>
      <c r="D5202" s="56" t="n">
        <v>152</v>
      </c>
      <c r="E5202" s="56" t="n">
        <v>18.1</v>
      </c>
      <c r="F5202" s="56" t="n">
        <v>0</v>
      </c>
      <c r="G5202" s="56" t="n">
        <v>8.6</v>
      </c>
      <c r="H5202" s="56" t="n">
        <v>0</v>
      </c>
      <c r="I5202" s="56" t="n">
        <v>12.7</v>
      </c>
      <c r="J5202" s="56" t="n">
        <v>0</v>
      </c>
      <c r="K5202" s="56" t="n">
        <v>1018.3</v>
      </c>
      <c r="L5202" s="56" t="n">
        <v>0</v>
      </c>
      <c r="M5202" s="56" t="n">
        <v>70</v>
      </c>
      <c r="N5202" s="56" t="n">
        <v>8.7</v>
      </c>
      <c r="O5202" s="56" t="n">
        <f aca="false">IF(D5202=1,"",E5201)</f>
        <v>16.7</v>
      </c>
      <c r="P5202" s="56" t="n">
        <f aca="false">IF(OR(D5202=1,K5201=""),"",K5201)</f>
        <v>1013</v>
      </c>
      <c r="Q5202" s="56" t="n">
        <f aca="false">IF(OR(F5202&lt;&gt;0,AND(I5202&lt;&gt;"",E5202&lt;I5202)),1,0)</f>
        <v>0</v>
      </c>
      <c r="R5202" s="56" t="n">
        <f aca="false">IF(AND(D5202&gt;1,Q5202=0,ISNUMBER(O5202),ISNUMBER(P5202)),IF(Q5201=0,1,0),0)</f>
        <v>1</v>
      </c>
      <c r="S5202" s="56" t="n">
        <f aca="false">R5202*(B5202&gt;=Train_Start)*(B5202&lt;=Train_End)</f>
        <v>0</v>
      </c>
      <c r="T5202" s="84" t="n">
        <f aca="false">IF(AND(ISNUMBER(O5202),ISNUMBER(P5202)),Coef_A+Coef_B1*O5202+Coef_B2*P5202,"")</f>
        <v>17.5476432100393</v>
      </c>
      <c r="U5202" s="84" t="n">
        <f aca="false">IF(AND(R5202=1,ISNUMBER(T5202)),E5202-T5202,"")</f>
        <v>0.552356789960669</v>
      </c>
      <c r="V5202" s="84" t="n">
        <f aca="false">IF(ISNUMBER(T5202),T5202,-99)</f>
        <v>17.5476432100393</v>
      </c>
      <c r="W5202" s="84" t="n">
        <f aca="false">IF(ISNUMBER(U5202),ABS(U5202),"")</f>
        <v>0.552356789960669</v>
      </c>
    </row>
    <row r="5203" customFormat="false" ht="15" hidden="false" customHeight="false" outlineLevel="0" collapsed="false">
      <c r="A5203" s="57" t="n">
        <v>41182</v>
      </c>
      <c r="B5203" s="56" t="n">
        <v>2012</v>
      </c>
      <c r="C5203" s="56" t="n">
        <v>9</v>
      </c>
      <c r="D5203" s="56" t="n">
        <v>153</v>
      </c>
      <c r="E5203" s="56" t="n">
        <v>17.3</v>
      </c>
      <c r="F5203" s="56" t="n">
        <v>0</v>
      </c>
      <c r="G5203" s="56" t="n">
        <v>6.1</v>
      </c>
      <c r="H5203" s="56" t="n">
        <v>0</v>
      </c>
      <c r="I5203" s="56" t="n">
        <v>12.1</v>
      </c>
      <c r="J5203" s="56" t="n">
        <v>0</v>
      </c>
      <c r="K5203" s="56" t="n">
        <v>1018.7</v>
      </c>
      <c r="L5203" s="56" t="n">
        <v>0</v>
      </c>
      <c r="M5203" s="56" t="n">
        <v>77</v>
      </c>
      <c r="N5203" s="56" t="n">
        <v>1.6</v>
      </c>
      <c r="O5203" s="56" t="n">
        <f aca="false">IF(D5203=1,"",E5202)</f>
        <v>18.1</v>
      </c>
      <c r="P5203" s="56" t="n">
        <f aca="false">IF(OR(D5203=1,K5202=""),"",K5202)</f>
        <v>1018.3</v>
      </c>
      <c r="Q5203" s="56" t="n">
        <f aca="false">IF(OR(F5203&lt;&gt;0,AND(I5203&lt;&gt;"",E5203&lt;I5203)),1,0)</f>
        <v>0</v>
      </c>
      <c r="R5203" s="56" t="n">
        <f aca="false">IF(AND(D5203&gt;1,Q5203=0,ISNUMBER(O5203),ISNUMBER(P5203)),IF(Q5202=0,1,0),0)</f>
        <v>1</v>
      </c>
      <c r="S5203" s="56" t="n">
        <f aca="false">R5203*(B5203&gt;=Train_Start)*(B5203&lt;=Train_End)</f>
        <v>0</v>
      </c>
      <c r="T5203" s="84" t="n">
        <f aca="false">IF(AND(ISNUMBER(O5203),ISNUMBER(P5203)),Coef_A+Coef_B1*O5203+Coef_B2*P5203,"")</f>
        <v>18.8609785218592</v>
      </c>
      <c r="U5203" s="84" t="n">
        <f aca="false">IF(AND(R5203=1,ISNUMBER(T5203)),E5203-T5203,"")</f>
        <v>-1.5609785218592</v>
      </c>
      <c r="V5203" s="84" t="n">
        <f aca="false">IF(ISNUMBER(T5203),T5203,-99)</f>
        <v>18.8609785218592</v>
      </c>
      <c r="W5203" s="84" t="n">
        <f aca="false">IF(ISNUMBER(U5203),ABS(U5203),"")</f>
        <v>1.5609785218592</v>
      </c>
    </row>
    <row r="5204" customFormat="false" ht="15" hidden="false" customHeight="false" outlineLevel="0" collapsed="false">
      <c r="A5204" s="57" t="n">
        <v>41395</v>
      </c>
      <c r="B5204" s="56" t="n">
        <v>2013</v>
      </c>
      <c r="C5204" s="56" t="n">
        <v>5</v>
      </c>
      <c r="D5204" s="56" t="n">
        <v>1</v>
      </c>
      <c r="E5204" s="56" t="n">
        <v>17.6</v>
      </c>
      <c r="F5204" s="56" t="n">
        <v>0</v>
      </c>
      <c r="G5204" s="56" t="n">
        <v>3.8</v>
      </c>
      <c r="H5204" s="56" t="n">
        <v>0</v>
      </c>
      <c r="I5204" s="56" t="n">
        <v>10.2</v>
      </c>
      <c r="J5204" s="56" t="n">
        <v>0</v>
      </c>
      <c r="K5204" s="56" t="n">
        <v>1024.3</v>
      </c>
      <c r="L5204" s="56" t="n">
        <v>0</v>
      </c>
      <c r="M5204" s="56" t="n">
        <v>60</v>
      </c>
      <c r="N5204" s="56" t="n">
        <v>10.2</v>
      </c>
      <c r="O5204" s="56" t="str">
        <f aca="false">IF(D5204=1,"",E5203)</f>
        <v/>
      </c>
      <c r="P5204" s="56" t="str">
        <f aca="false">IF(OR(D5204=1,K5203=""),"",K5203)</f>
        <v/>
      </c>
      <c r="Q5204" s="56" t="n">
        <f aca="false">IF(OR(F5204&lt;&gt;0,AND(I5204&lt;&gt;"",E5204&lt;I5204)),1,0)</f>
        <v>0</v>
      </c>
      <c r="R5204" s="56" t="n">
        <f aca="false">IF(AND(D5204&gt;1,Q5204=0,ISNUMBER(O5204),ISNUMBER(P5204)),IF(Q5203=0,1,0),0)</f>
        <v>0</v>
      </c>
      <c r="S5204" s="56" t="n">
        <f aca="false">R5204*(B5204&gt;=Train_Start)*(B5204&lt;=Train_End)</f>
        <v>0</v>
      </c>
      <c r="T5204" s="84" t="str">
        <f aca="false">IF(AND(ISNUMBER(O5204),ISNUMBER(P5204)),Coef_A+Coef_B1*O5204+Coef_B2*P5204,"")</f>
        <v/>
      </c>
      <c r="U5204" s="84" t="str">
        <f aca="false">IF(AND(R5204=1,ISNUMBER(T5204)),E5204-T5204,"")</f>
        <v/>
      </c>
      <c r="V5204" s="84" t="n">
        <f aca="false">IF(ISNUMBER(T5204),T5204,-99)</f>
        <v>-99</v>
      </c>
      <c r="W5204" s="84" t="str">
        <f aca="false">IF(ISNUMBER(U5204),ABS(U5204),"")</f>
        <v/>
      </c>
    </row>
    <row r="5205" customFormat="false" ht="15" hidden="false" customHeight="false" outlineLevel="0" collapsed="false">
      <c r="A5205" s="57" t="n">
        <v>41396</v>
      </c>
      <c r="B5205" s="56" t="n">
        <v>2013</v>
      </c>
      <c r="C5205" s="56" t="n">
        <v>5</v>
      </c>
      <c r="D5205" s="56" t="n">
        <v>2</v>
      </c>
      <c r="E5205" s="56" t="n">
        <v>19.4</v>
      </c>
      <c r="F5205" s="56" t="n">
        <v>0</v>
      </c>
      <c r="G5205" s="56" t="n">
        <v>5</v>
      </c>
      <c r="H5205" s="56" t="n">
        <v>0</v>
      </c>
      <c r="I5205" s="56" t="n">
        <v>11.3</v>
      </c>
      <c r="J5205" s="56" t="n">
        <v>0</v>
      </c>
      <c r="K5205" s="56" t="n">
        <v>1022.8</v>
      </c>
      <c r="L5205" s="56" t="n">
        <v>0</v>
      </c>
      <c r="M5205" s="56" t="n">
        <v>40</v>
      </c>
      <c r="N5205" s="56" t="n">
        <v>13.5</v>
      </c>
      <c r="O5205" s="56" t="n">
        <f aca="false">IF(D5205=1,"",E5204)</f>
        <v>17.6</v>
      </c>
      <c r="P5205" s="56" t="n">
        <f aca="false">IF(OR(D5205=1,K5204=""),"",K5204)</f>
        <v>1024.3</v>
      </c>
      <c r="Q5205" s="56" t="n">
        <f aca="false">IF(OR(F5205&lt;&gt;0,AND(I5205&lt;&gt;"",E5205&lt;I5205)),1,0)</f>
        <v>0</v>
      </c>
      <c r="R5205" s="56" t="n">
        <f aca="false">IF(AND(D5205&gt;1,Q5205=0,ISNUMBER(O5205),ISNUMBER(P5205)),IF(Q5204=0,1,0),0)</f>
        <v>1</v>
      </c>
      <c r="S5205" s="56" t="n">
        <f aca="false">R5205*(B5205&gt;=Train_Start)*(B5205&lt;=Train_End)</f>
        <v>0</v>
      </c>
      <c r="T5205" s="84" t="n">
        <f aca="false">IF(AND(ISNUMBER(O5205),ISNUMBER(P5205)),Coef_A+Coef_B1*O5205+Coef_B2*P5205,"")</f>
        <v>18.6395282931418</v>
      </c>
      <c r="U5205" s="84" t="n">
        <f aca="false">IF(AND(R5205=1,ISNUMBER(T5205)),E5205-T5205,"")</f>
        <v>0.760471706858198</v>
      </c>
      <c r="V5205" s="84" t="n">
        <f aca="false">IF(ISNUMBER(T5205),T5205,-99)</f>
        <v>18.6395282931418</v>
      </c>
      <c r="W5205" s="84" t="n">
        <f aca="false">IF(ISNUMBER(U5205),ABS(U5205),"")</f>
        <v>0.760471706858198</v>
      </c>
    </row>
    <row r="5206" customFormat="false" ht="15" hidden="false" customHeight="false" outlineLevel="0" collapsed="false">
      <c r="A5206" s="57" t="n">
        <v>41397</v>
      </c>
      <c r="B5206" s="56" t="n">
        <v>2013</v>
      </c>
      <c r="C5206" s="56" t="n">
        <v>5</v>
      </c>
      <c r="D5206" s="56" t="n">
        <v>3</v>
      </c>
      <c r="E5206" s="56" t="n">
        <v>17.2</v>
      </c>
      <c r="F5206" s="56" t="n">
        <v>0</v>
      </c>
      <c r="G5206" s="56" t="n">
        <v>4.7</v>
      </c>
      <c r="H5206" s="56" t="n">
        <v>0</v>
      </c>
      <c r="I5206" s="56" t="n">
        <v>12.1</v>
      </c>
      <c r="J5206" s="56" t="n">
        <v>0</v>
      </c>
      <c r="K5206" s="56" t="n">
        <v>1019.8</v>
      </c>
      <c r="L5206" s="56" t="n">
        <v>0</v>
      </c>
      <c r="M5206" s="56" t="n">
        <v>57</v>
      </c>
      <c r="N5206" s="56" t="n">
        <v>13</v>
      </c>
      <c r="O5206" s="56" t="n">
        <f aca="false">IF(D5206=1,"",E5205)</f>
        <v>19.4</v>
      </c>
      <c r="P5206" s="56" t="n">
        <f aca="false">IF(OR(D5206=1,K5205=""),"",K5205)</f>
        <v>1022.8</v>
      </c>
      <c r="Q5206" s="56" t="n">
        <f aca="false">IF(OR(F5206&lt;&gt;0,AND(I5206&lt;&gt;"",E5206&lt;I5206)),1,0)</f>
        <v>0</v>
      </c>
      <c r="R5206" s="56" t="n">
        <f aca="false">IF(AND(D5206&gt;1,Q5206=0,ISNUMBER(O5206),ISNUMBER(P5206)),IF(Q5205=0,1,0),0)</f>
        <v>1</v>
      </c>
      <c r="S5206" s="56" t="n">
        <f aca="false">R5206*(B5206&gt;=Train_Start)*(B5206&lt;=Train_End)</f>
        <v>0</v>
      </c>
      <c r="T5206" s="84" t="n">
        <f aca="false">IF(AND(ISNUMBER(O5206),ISNUMBER(P5206)),Coef_A+Coef_B1*O5206+Coef_B2*P5206,"")</f>
        <v>20.0672839986676</v>
      </c>
      <c r="U5206" s="84" t="n">
        <f aca="false">IF(AND(R5206=1,ISNUMBER(T5206)),E5206-T5206,"")</f>
        <v>-2.8672839986676</v>
      </c>
      <c r="V5206" s="84" t="n">
        <f aca="false">IF(ISNUMBER(T5206),T5206,-99)</f>
        <v>20.0672839986676</v>
      </c>
      <c r="W5206" s="84" t="n">
        <f aca="false">IF(ISNUMBER(U5206),ABS(U5206),"")</f>
        <v>2.8672839986676</v>
      </c>
    </row>
    <row r="5207" customFormat="false" ht="15" hidden="false" customHeight="false" outlineLevel="0" collapsed="false">
      <c r="A5207" s="57" t="n">
        <v>41398</v>
      </c>
      <c r="B5207" s="56" t="n">
        <v>2013</v>
      </c>
      <c r="C5207" s="56" t="n">
        <v>5</v>
      </c>
      <c r="D5207" s="56" t="n">
        <v>4</v>
      </c>
      <c r="E5207" s="56" t="n">
        <v>18.7</v>
      </c>
      <c r="F5207" s="56" t="n">
        <v>0</v>
      </c>
      <c r="G5207" s="56" t="n">
        <v>7.7</v>
      </c>
      <c r="H5207" s="56" t="n">
        <v>0</v>
      </c>
      <c r="I5207" s="56" t="n">
        <v>12.5</v>
      </c>
      <c r="J5207" s="56" t="n">
        <v>0</v>
      </c>
      <c r="K5207" s="56" t="n">
        <v>1017.5</v>
      </c>
      <c r="L5207" s="56" t="n">
        <v>0</v>
      </c>
      <c r="M5207" s="56" t="n">
        <v>65</v>
      </c>
      <c r="N5207" s="56" t="n">
        <v>5.9</v>
      </c>
      <c r="O5207" s="56" t="n">
        <f aca="false">IF(D5207=1,"",E5206)</f>
        <v>17.2</v>
      </c>
      <c r="P5207" s="56" t="n">
        <f aca="false">IF(OR(D5207=1,K5206=""),"",K5206)</f>
        <v>1019.8</v>
      </c>
      <c r="Q5207" s="56" t="n">
        <f aca="false">IF(OR(F5207&lt;&gt;0,AND(I5207&lt;&gt;"",E5207&lt;I5207)),1,0)</f>
        <v>0</v>
      </c>
      <c r="R5207" s="56" t="n">
        <f aca="false">IF(AND(D5207&gt;1,Q5207=0,ISNUMBER(O5207),ISNUMBER(P5207)),IF(Q5206=0,1,0),0)</f>
        <v>1</v>
      </c>
      <c r="S5207" s="56" t="n">
        <f aca="false">R5207*(B5207&gt;=Train_Start)*(B5207&lt;=Train_End)</f>
        <v>0</v>
      </c>
      <c r="T5207" s="84" t="n">
        <f aca="false">IF(AND(ISNUMBER(O5207),ISNUMBER(P5207)),Coef_A+Coef_B1*O5207+Coef_B2*P5207,"")</f>
        <v>18.1706280900718</v>
      </c>
      <c r="U5207" s="84" t="n">
        <f aca="false">IF(AND(R5207=1,ISNUMBER(T5207)),E5207-T5207,"")</f>
        <v>0.529371909928212</v>
      </c>
      <c r="V5207" s="84" t="n">
        <f aca="false">IF(ISNUMBER(T5207),T5207,-99)</f>
        <v>18.1706280900718</v>
      </c>
      <c r="W5207" s="84" t="n">
        <f aca="false">IF(ISNUMBER(U5207),ABS(U5207),"")</f>
        <v>0.529371909928212</v>
      </c>
    </row>
    <row r="5208" customFormat="false" ht="15" hidden="false" customHeight="false" outlineLevel="0" collapsed="false">
      <c r="A5208" s="57" t="n">
        <v>41399</v>
      </c>
      <c r="B5208" s="56" t="n">
        <v>2013</v>
      </c>
      <c r="C5208" s="56" t="n">
        <v>5</v>
      </c>
      <c r="D5208" s="56" t="n">
        <v>5</v>
      </c>
      <c r="E5208" s="56" t="n">
        <v>22</v>
      </c>
      <c r="F5208" s="56" t="n">
        <v>0</v>
      </c>
      <c r="G5208" s="56" t="n">
        <v>6.7</v>
      </c>
      <c r="H5208" s="56" t="n">
        <v>0</v>
      </c>
      <c r="I5208" s="56" t="n">
        <v>12.7</v>
      </c>
      <c r="J5208" s="56" t="n">
        <v>0</v>
      </c>
      <c r="K5208" s="56" t="n">
        <v>1021.9</v>
      </c>
      <c r="L5208" s="56" t="n">
        <v>0</v>
      </c>
      <c r="M5208" s="56" t="n">
        <v>69</v>
      </c>
      <c r="N5208" s="56" t="n">
        <v>2.4</v>
      </c>
      <c r="O5208" s="56" t="n">
        <f aca="false">IF(D5208=1,"",E5207)</f>
        <v>18.7</v>
      </c>
      <c r="P5208" s="56" t="n">
        <f aca="false">IF(OR(D5208=1,K5207=""),"",K5207)</f>
        <v>1017.5</v>
      </c>
      <c r="Q5208" s="56" t="n">
        <f aca="false">IF(OR(F5208&lt;&gt;0,AND(I5208&lt;&gt;"",E5208&lt;I5208)),1,0)</f>
        <v>0</v>
      </c>
      <c r="R5208" s="56" t="n">
        <f aca="false">IF(AND(D5208&gt;1,Q5208=0,ISNUMBER(O5208),ISNUMBER(P5208)),IF(Q5207=0,1,0),0)</f>
        <v>1</v>
      </c>
      <c r="S5208" s="56" t="n">
        <f aca="false">R5208*(B5208&gt;=Train_Start)*(B5208&lt;=Train_End)</f>
        <v>0</v>
      </c>
      <c r="T5208" s="84" t="n">
        <f aca="false">IF(AND(ISNUMBER(O5208),ISNUMBER(P5208)),Coef_A+Coef_B1*O5208+Coef_B2*P5208,"")</f>
        <v>19.3274861219776</v>
      </c>
      <c r="U5208" s="84" t="n">
        <f aca="false">IF(AND(R5208=1,ISNUMBER(T5208)),E5208-T5208,"")</f>
        <v>2.6725138780224</v>
      </c>
      <c r="V5208" s="84" t="n">
        <f aca="false">IF(ISNUMBER(T5208),T5208,-99)</f>
        <v>19.3274861219776</v>
      </c>
      <c r="W5208" s="84" t="n">
        <f aca="false">IF(ISNUMBER(U5208),ABS(U5208),"")</f>
        <v>2.6725138780224</v>
      </c>
    </row>
    <row r="5209" customFormat="false" ht="15" hidden="false" customHeight="false" outlineLevel="0" collapsed="false">
      <c r="A5209" s="57" t="n">
        <v>41400</v>
      </c>
      <c r="B5209" s="56" t="n">
        <v>2013</v>
      </c>
      <c r="C5209" s="56" t="n">
        <v>5</v>
      </c>
      <c r="D5209" s="56" t="n">
        <v>6</v>
      </c>
      <c r="E5209" s="56" t="n">
        <v>22.6</v>
      </c>
      <c r="F5209" s="56" t="n">
        <v>0</v>
      </c>
      <c r="G5209" s="56" t="n">
        <v>10.8</v>
      </c>
      <c r="H5209" s="56" t="n">
        <v>0</v>
      </c>
      <c r="I5209" s="56" t="n">
        <v>16.4</v>
      </c>
      <c r="J5209" s="56" t="n">
        <v>0</v>
      </c>
      <c r="K5209" s="56" t="n">
        <v>1020</v>
      </c>
      <c r="L5209" s="56" t="n">
        <v>0</v>
      </c>
      <c r="M5209" s="56" t="n">
        <v>60</v>
      </c>
      <c r="N5209" s="56" t="n">
        <v>12.2</v>
      </c>
      <c r="O5209" s="56" t="n">
        <f aca="false">IF(D5209=1,"",E5208)</f>
        <v>22</v>
      </c>
      <c r="P5209" s="56" t="n">
        <f aca="false">IF(OR(D5209=1,K5208=""),"",K5208)</f>
        <v>1021.9</v>
      </c>
      <c r="Q5209" s="56" t="n">
        <f aca="false">IF(OR(F5209&lt;&gt;0,AND(I5209&lt;&gt;"",E5209&lt;I5209)),1,0)</f>
        <v>0</v>
      </c>
      <c r="R5209" s="56" t="n">
        <f aca="false">IF(AND(D5209&gt;1,Q5209=0,ISNUMBER(O5209),ISNUMBER(P5209)),IF(Q5208=0,1,0),0)</f>
        <v>1</v>
      </c>
      <c r="S5209" s="56" t="n">
        <f aca="false">R5209*(B5209&gt;=Train_Start)*(B5209&lt;=Train_End)</f>
        <v>0</v>
      </c>
      <c r="T5209" s="84" t="n">
        <f aca="false">IF(AND(ISNUMBER(O5209),ISNUMBER(P5209)),Coef_A+Coef_B1*O5209+Coef_B2*P5209,"")</f>
        <v>22.1693329954079</v>
      </c>
      <c r="U5209" s="84" t="n">
        <f aca="false">IF(AND(R5209=1,ISNUMBER(T5209)),E5209-T5209,"")</f>
        <v>0.430667004592078</v>
      </c>
      <c r="V5209" s="84" t="n">
        <f aca="false">IF(ISNUMBER(T5209),T5209,-99)</f>
        <v>22.1693329954079</v>
      </c>
      <c r="W5209" s="84" t="n">
        <f aca="false">IF(ISNUMBER(U5209),ABS(U5209),"")</f>
        <v>0.430667004592078</v>
      </c>
    </row>
    <row r="5210" customFormat="false" ht="15" hidden="false" customHeight="false" outlineLevel="0" collapsed="false">
      <c r="A5210" s="57" t="n">
        <v>41401</v>
      </c>
      <c r="B5210" s="56" t="n">
        <v>2013</v>
      </c>
      <c r="C5210" s="56" t="n">
        <v>5</v>
      </c>
      <c r="D5210" s="56" t="n">
        <v>7</v>
      </c>
      <c r="E5210" s="56" t="n">
        <v>17.9</v>
      </c>
      <c r="F5210" s="56" t="n">
        <v>0</v>
      </c>
      <c r="G5210" s="56" t="n">
        <v>9.1</v>
      </c>
      <c r="H5210" s="56" t="n">
        <v>0</v>
      </c>
      <c r="I5210" s="56" t="n">
        <v>15.9</v>
      </c>
      <c r="J5210" s="56" t="n">
        <v>0</v>
      </c>
      <c r="K5210" s="56" t="n">
        <v>1016.1</v>
      </c>
      <c r="L5210" s="56" t="n">
        <v>0</v>
      </c>
      <c r="M5210" s="56" t="n">
        <v>55</v>
      </c>
      <c r="N5210" s="56" t="n">
        <v>12.6</v>
      </c>
      <c r="O5210" s="56" t="n">
        <f aca="false">IF(D5210=1,"",E5209)</f>
        <v>22.6</v>
      </c>
      <c r="P5210" s="56" t="n">
        <f aca="false">IF(OR(D5210=1,K5209=""),"",K5209)</f>
        <v>1020</v>
      </c>
      <c r="Q5210" s="56" t="n">
        <f aca="false">IF(OR(F5210&lt;&gt;0,AND(I5210&lt;&gt;"",E5210&lt;I5210)),1,0)</f>
        <v>0</v>
      </c>
      <c r="R5210" s="56" t="n">
        <f aca="false">IF(AND(D5210&gt;1,Q5210=0,ISNUMBER(O5210),ISNUMBER(P5210)),IF(Q5209=0,1,0),0)</f>
        <v>1</v>
      </c>
      <c r="S5210" s="56" t="n">
        <f aca="false">R5210*(B5210&gt;=Train_Start)*(B5210&lt;=Train_End)</f>
        <v>0</v>
      </c>
      <c r="T5210" s="84" t="n">
        <f aca="false">IF(AND(ISNUMBER(O5210),ISNUMBER(P5210)),Coef_A+Coef_B1*O5210+Coef_B2*P5210,"")</f>
        <v>22.6013337114289</v>
      </c>
      <c r="U5210" s="84" t="n">
        <f aca="false">IF(AND(R5210=1,ISNUMBER(T5210)),E5210-T5210,"")</f>
        <v>-4.70133371142894</v>
      </c>
      <c r="V5210" s="84" t="n">
        <f aca="false">IF(ISNUMBER(T5210),T5210,-99)</f>
        <v>22.6013337114289</v>
      </c>
      <c r="W5210" s="84" t="n">
        <f aca="false">IF(ISNUMBER(U5210),ABS(U5210),"")</f>
        <v>4.70133371142894</v>
      </c>
    </row>
    <row r="5211" customFormat="false" ht="15" hidden="false" customHeight="false" outlineLevel="0" collapsed="false">
      <c r="A5211" s="57" t="n">
        <v>41402</v>
      </c>
      <c r="B5211" s="56" t="n">
        <v>2013</v>
      </c>
      <c r="C5211" s="56" t="n">
        <v>5</v>
      </c>
      <c r="D5211" s="56" t="n">
        <v>8</v>
      </c>
      <c r="E5211" s="56" t="n">
        <v>14.9</v>
      </c>
      <c r="F5211" s="56" t="n">
        <v>1</v>
      </c>
      <c r="G5211" s="56" t="n">
        <v>12</v>
      </c>
      <c r="H5211" s="56" t="n">
        <v>0</v>
      </c>
      <c r="I5211" s="56" t="n">
        <v>15</v>
      </c>
      <c r="J5211" s="56" t="n">
        <v>1</v>
      </c>
      <c r="K5211" s="56" t="n">
        <v>1007.2</v>
      </c>
      <c r="L5211" s="56" t="n">
        <v>0</v>
      </c>
      <c r="M5211" s="56" t="n">
        <v>75</v>
      </c>
      <c r="N5211" s="56" t="n">
        <v>1.1</v>
      </c>
      <c r="O5211" s="56" t="n">
        <f aca="false">IF(D5211=1,"",E5210)</f>
        <v>17.9</v>
      </c>
      <c r="P5211" s="56" t="n">
        <f aca="false">IF(OR(D5211=1,K5210=""),"",K5210)</f>
        <v>1016.1</v>
      </c>
      <c r="Q5211" s="56" t="n">
        <f aca="false">IF(OR(F5211&lt;&gt;0,AND(I5211&lt;&gt;"",E5211&lt;I5211)),1,0)</f>
        <v>1</v>
      </c>
      <c r="R5211" s="56" t="n">
        <f aca="false">IF(AND(D5211&gt;1,Q5211=0,ISNUMBER(O5211),ISNUMBER(P5211)),IF(Q5210=0,1,0),0)</f>
        <v>0</v>
      </c>
      <c r="S5211" s="56" t="n">
        <f aca="false">R5211*(B5211&gt;=Train_Start)*(B5211&lt;=Train_End)</f>
        <v>0</v>
      </c>
      <c r="T5211" s="84" t="n">
        <f aca="false">IF(AND(ISNUMBER(O5211),ISNUMBER(P5211)),Coef_A+Coef_B1*O5211+Coef_B2*P5211,"")</f>
        <v>18.6280969150559</v>
      </c>
      <c r="U5211" s="84" t="str">
        <f aca="false">IF(AND(R5211=1,ISNUMBER(T5211)),E5211-T5211,"")</f>
        <v/>
      </c>
      <c r="V5211" s="84" t="n">
        <f aca="false">IF(ISNUMBER(T5211),T5211,-99)</f>
        <v>18.6280969150559</v>
      </c>
      <c r="W5211" s="84" t="str">
        <f aca="false">IF(ISNUMBER(U5211),ABS(U5211),"")</f>
        <v/>
      </c>
    </row>
    <row r="5212" customFormat="false" ht="15" hidden="false" customHeight="false" outlineLevel="0" collapsed="false">
      <c r="A5212" s="57" t="n">
        <v>41403</v>
      </c>
      <c r="B5212" s="56" t="n">
        <v>2013</v>
      </c>
      <c r="C5212" s="56" t="n">
        <v>5</v>
      </c>
      <c r="D5212" s="56" t="n">
        <v>9</v>
      </c>
      <c r="E5212" s="56" t="n">
        <v>18.3</v>
      </c>
      <c r="F5212" s="56" t="n">
        <v>0</v>
      </c>
      <c r="G5212" s="56" t="n">
        <v>6.9</v>
      </c>
      <c r="H5212" s="56" t="n">
        <v>0</v>
      </c>
      <c r="I5212" s="56" t="n">
        <v>10.9</v>
      </c>
      <c r="J5212" s="56" t="n">
        <v>0</v>
      </c>
      <c r="K5212" s="56" t="n">
        <v>1008.3</v>
      </c>
      <c r="L5212" s="56" t="n">
        <v>0</v>
      </c>
      <c r="M5212" s="56" t="n">
        <v>72</v>
      </c>
      <c r="N5212" s="56" t="n">
        <v>6.9</v>
      </c>
      <c r="O5212" s="56" t="n">
        <f aca="false">IF(D5212=1,"",E5211)</f>
        <v>14.9</v>
      </c>
      <c r="P5212" s="56" t="n">
        <f aca="false">IF(OR(D5212=1,K5211=""),"",K5211)</f>
        <v>1007.2</v>
      </c>
      <c r="Q5212" s="56" t="n">
        <f aca="false">IF(OR(F5212&lt;&gt;0,AND(I5212&lt;&gt;"",E5212&lt;I5212)),1,0)</f>
        <v>0</v>
      </c>
      <c r="R5212" s="56" t="n">
        <f aca="false">IF(AND(D5212&gt;1,Q5212=0,ISNUMBER(O5212),ISNUMBER(P5212)),IF(Q5211=0,1,0),0)</f>
        <v>0</v>
      </c>
      <c r="S5212" s="56" t="n">
        <f aca="false">R5212*(B5212&gt;=Train_Start)*(B5212&lt;=Train_End)</f>
        <v>0</v>
      </c>
      <c r="T5212" s="84" t="n">
        <f aca="false">IF(AND(ISNUMBER(O5212),ISNUMBER(P5212)),Coef_A+Coef_B1*O5212+Coef_B2*P5212,"")</f>
        <v>15.8908872736854</v>
      </c>
      <c r="U5212" s="84" t="str">
        <f aca="false">IF(AND(R5212=1,ISNUMBER(T5212)),E5212-T5212,"")</f>
        <v/>
      </c>
      <c r="V5212" s="84" t="n">
        <f aca="false">IF(ISNUMBER(T5212),T5212,-99)</f>
        <v>15.8908872736854</v>
      </c>
      <c r="W5212" s="84" t="str">
        <f aca="false">IF(ISNUMBER(U5212),ABS(U5212),"")</f>
        <v/>
      </c>
    </row>
    <row r="5213" customFormat="false" ht="15" hidden="false" customHeight="false" outlineLevel="0" collapsed="false">
      <c r="A5213" s="57" t="n">
        <v>41404</v>
      </c>
      <c r="B5213" s="56" t="n">
        <v>2013</v>
      </c>
      <c r="C5213" s="56" t="n">
        <v>5</v>
      </c>
      <c r="D5213" s="56" t="n">
        <v>10</v>
      </c>
      <c r="E5213" s="56" t="n">
        <v>14.1</v>
      </c>
      <c r="F5213" s="56" t="n">
        <v>0</v>
      </c>
      <c r="G5213" s="56" t="n">
        <v>9.6</v>
      </c>
      <c r="H5213" s="56" t="n">
        <v>0</v>
      </c>
      <c r="I5213" s="56" t="n">
        <v>14</v>
      </c>
      <c r="J5213" s="56" t="n">
        <v>0</v>
      </c>
      <c r="K5213" s="56" t="n">
        <v>1010.5</v>
      </c>
      <c r="L5213" s="56" t="n">
        <v>0</v>
      </c>
      <c r="M5213" s="56" t="n">
        <v>73</v>
      </c>
      <c r="N5213" s="56" t="n">
        <v>0</v>
      </c>
      <c r="O5213" s="56" t="n">
        <f aca="false">IF(D5213=1,"",E5212)</f>
        <v>18.3</v>
      </c>
      <c r="P5213" s="56" t="n">
        <f aca="false">IF(OR(D5213=1,K5212=""),"",K5212)</f>
        <v>1008.3</v>
      </c>
      <c r="Q5213" s="56" t="n">
        <f aca="false">IF(OR(F5213&lt;&gt;0,AND(I5213&lt;&gt;"",E5213&lt;I5213)),1,0)</f>
        <v>0</v>
      </c>
      <c r="R5213" s="56" t="n">
        <f aca="false">IF(AND(D5213&gt;1,Q5213=0,ISNUMBER(O5213),ISNUMBER(P5213)),IF(Q5212=0,1,0),0)</f>
        <v>1</v>
      </c>
      <c r="S5213" s="56" t="n">
        <f aca="false">R5213*(B5213&gt;=Train_Start)*(B5213&lt;=Train_End)</f>
        <v>0</v>
      </c>
      <c r="T5213" s="84" t="n">
        <f aca="false">IF(AND(ISNUMBER(O5213),ISNUMBER(P5213)),Coef_A+Coef_B1*O5213+Coef_B2*P5213,"")</f>
        <v>18.7111474141278</v>
      </c>
      <c r="U5213" s="84" t="n">
        <f aca="false">IF(AND(R5213=1,ISNUMBER(T5213)),E5213-T5213,"")</f>
        <v>-4.61114741412784</v>
      </c>
      <c r="V5213" s="84" t="n">
        <f aca="false">IF(ISNUMBER(T5213),T5213,-99)</f>
        <v>18.7111474141278</v>
      </c>
      <c r="W5213" s="84" t="n">
        <f aca="false">IF(ISNUMBER(U5213),ABS(U5213),"")</f>
        <v>4.61114741412784</v>
      </c>
    </row>
    <row r="5214" customFormat="false" ht="15" hidden="false" customHeight="false" outlineLevel="0" collapsed="false">
      <c r="A5214" s="57" t="n">
        <v>41405</v>
      </c>
      <c r="B5214" s="56" t="n">
        <v>2013</v>
      </c>
      <c r="C5214" s="56" t="n">
        <v>5</v>
      </c>
      <c r="D5214" s="56" t="n">
        <v>11</v>
      </c>
      <c r="E5214" s="56" t="n">
        <v>15.4</v>
      </c>
      <c r="F5214" s="56" t="n">
        <v>0</v>
      </c>
      <c r="G5214" s="56" t="n">
        <v>6.8</v>
      </c>
      <c r="H5214" s="56" t="n">
        <v>0</v>
      </c>
      <c r="I5214" s="56" t="n">
        <v>10.5</v>
      </c>
      <c r="J5214" s="56" t="n">
        <v>0</v>
      </c>
      <c r="K5214" s="56" t="n">
        <v>1010.9</v>
      </c>
      <c r="L5214" s="56" t="n">
        <v>0</v>
      </c>
      <c r="M5214" s="56" t="n">
        <v>76</v>
      </c>
      <c r="N5214" s="56" t="n">
        <v>2.4</v>
      </c>
      <c r="O5214" s="56" t="n">
        <f aca="false">IF(D5214=1,"",E5213)</f>
        <v>14.1</v>
      </c>
      <c r="P5214" s="56" t="n">
        <f aca="false">IF(OR(D5214=1,K5213=""),"",K5213)</f>
        <v>1010.5</v>
      </c>
      <c r="Q5214" s="56" t="n">
        <f aca="false">IF(OR(F5214&lt;&gt;0,AND(I5214&lt;&gt;"",E5214&lt;I5214)),1,0)</f>
        <v>0</v>
      </c>
      <c r="R5214" s="56" t="n">
        <f aca="false">IF(AND(D5214&gt;1,Q5214=0,ISNUMBER(O5214),ISNUMBER(P5214)),IF(Q5213=0,1,0),0)</f>
        <v>1</v>
      </c>
      <c r="S5214" s="56" t="n">
        <f aca="false">R5214*(B5214&gt;=Train_Start)*(B5214&lt;=Train_End)</f>
        <v>0</v>
      </c>
      <c r="T5214" s="84" t="n">
        <f aca="false">IF(AND(ISNUMBER(O5214),ISNUMBER(P5214)),Coef_A+Coef_B1*O5214+Coef_B2*P5214,"")</f>
        <v>15.3389365715435</v>
      </c>
      <c r="U5214" s="84" t="n">
        <f aca="false">IF(AND(R5214=1,ISNUMBER(T5214)),E5214-T5214,"")</f>
        <v>0.061063428456551</v>
      </c>
      <c r="V5214" s="84" t="n">
        <f aca="false">IF(ISNUMBER(T5214),T5214,-99)</f>
        <v>15.3389365715435</v>
      </c>
      <c r="W5214" s="84" t="n">
        <f aca="false">IF(ISNUMBER(U5214),ABS(U5214),"")</f>
        <v>0.061063428456551</v>
      </c>
    </row>
    <row r="5215" customFormat="false" ht="15" hidden="false" customHeight="false" outlineLevel="0" collapsed="false">
      <c r="A5215" s="57" t="n">
        <v>41406</v>
      </c>
      <c r="B5215" s="56" t="n">
        <v>2013</v>
      </c>
      <c r="C5215" s="56" t="n">
        <v>5</v>
      </c>
      <c r="D5215" s="56" t="n">
        <v>12</v>
      </c>
      <c r="E5215" s="56" t="n">
        <v>15.8</v>
      </c>
      <c r="F5215" s="56" t="n">
        <v>0</v>
      </c>
      <c r="G5215" s="56" t="n">
        <v>5</v>
      </c>
      <c r="H5215" s="56" t="n">
        <v>0</v>
      </c>
      <c r="I5215" s="56" t="n">
        <v>10.2</v>
      </c>
      <c r="J5215" s="56" t="n">
        <v>0</v>
      </c>
      <c r="K5215" s="56" t="n">
        <v>1014.7</v>
      </c>
      <c r="L5215" s="56" t="n">
        <v>0</v>
      </c>
      <c r="M5215" s="56" t="n">
        <v>78</v>
      </c>
      <c r="N5215" s="56" t="n">
        <v>6.9</v>
      </c>
      <c r="O5215" s="56" t="n">
        <f aca="false">IF(D5215=1,"",E5214)</f>
        <v>15.4</v>
      </c>
      <c r="P5215" s="56" t="n">
        <f aca="false">IF(OR(D5215=1,K5214=""),"",K5214)</f>
        <v>1010.9</v>
      </c>
      <c r="Q5215" s="56" t="n">
        <f aca="false">IF(OR(F5215&lt;&gt;0,AND(I5215&lt;&gt;"",E5215&lt;I5215)),1,0)</f>
        <v>0</v>
      </c>
      <c r="R5215" s="56" t="n">
        <f aca="false">IF(AND(D5215&gt;1,Q5215=0,ISNUMBER(O5215),ISNUMBER(P5215)),IF(Q5214=0,1,0),0)</f>
        <v>1</v>
      </c>
      <c r="S5215" s="56" t="n">
        <f aca="false">R5215*(B5215&gt;=Train_Start)*(B5215&lt;=Train_End)</f>
        <v>0</v>
      </c>
      <c r="T5215" s="84" t="n">
        <f aca="false">IF(AND(ISNUMBER(O5215),ISNUMBER(P5215)),Coef_A+Coef_B1*O5215+Coef_B2*P5215,"")</f>
        <v>16.4166254803525</v>
      </c>
      <c r="U5215" s="84" t="n">
        <f aca="false">IF(AND(R5215=1,ISNUMBER(T5215)),E5215-T5215,"")</f>
        <v>-0.6166254803525</v>
      </c>
      <c r="V5215" s="84" t="n">
        <f aca="false">IF(ISNUMBER(T5215),T5215,-99)</f>
        <v>16.4166254803525</v>
      </c>
      <c r="W5215" s="84" t="n">
        <f aca="false">IF(ISNUMBER(U5215),ABS(U5215),"")</f>
        <v>0.6166254803525</v>
      </c>
    </row>
    <row r="5216" customFormat="false" ht="15" hidden="false" customHeight="false" outlineLevel="0" collapsed="false">
      <c r="A5216" s="57" t="n">
        <v>41407</v>
      </c>
      <c r="B5216" s="56" t="n">
        <v>2013</v>
      </c>
      <c r="C5216" s="56" t="n">
        <v>5</v>
      </c>
      <c r="D5216" s="56" t="n">
        <v>13</v>
      </c>
      <c r="E5216" s="56" t="n">
        <v>12.3</v>
      </c>
      <c r="F5216" s="56" t="n">
        <v>1</v>
      </c>
      <c r="G5216" s="56" t="n">
        <v>10.5</v>
      </c>
      <c r="H5216" s="56" t="n">
        <v>0</v>
      </c>
      <c r="I5216" s="56" t="n">
        <v>13.2</v>
      </c>
      <c r="J5216" s="56" t="n">
        <v>1</v>
      </c>
      <c r="K5216" s="56" t="n">
        <v>1011.7</v>
      </c>
      <c r="L5216" s="56" t="n">
        <v>0</v>
      </c>
      <c r="M5216" s="56" t="n">
        <v>66</v>
      </c>
      <c r="N5216" s="56" t="n">
        <v>6.3</v>
      </c>
      <c r="O5216" s="56" t="n">
        <f aca="false">IF(D5216=1,"",E5215)</f>
        <v>15.8</v>
      </c>
      <c r="P5216" s="56" t="n">
        <f aca="false">IF(OR(D5216=1,K5215=""),"",K5215)</f>
        <v>1014.7</v>
      </c>
      <c r="Q5216" s="56" t="n">
        <f aca="false">IF(OR(F5216&lt;&gt;0,AND(I5216&lt;&gt;"",E5216&lt;I5216)),1,0)</f>
        <v>1</v>
      </c>
      <c r="R5216" s="56" t="n">
        <f aca="false">IF(AND(D5216&gt;1,Q5216=0,ISNUMBER(O5216),ISNUMBER(P5216)),IF(Q5215=0,1,0),0)</f>
        <v>0</v>
      </c>
      <c r="S5216" s="56" t="n">
        <f aca="false">R5216*(B5216&gt;=Train_Start)*(B5216&lt;=Train_End)</f>
        <v>0</v>
      </c>
      <c r="T5216" s="84" t="n">
        <f aca="false">IF(AND(ISNUMBER(O5216),ISNUMBER(P5216)),Coef_A+Coef_B1*O5216+Coef_B2*P5216,"")</f>
        <v>16.8635667571787</v>
      </c>
      <c r="U5216" s="84" t="str">
        <f aca="false">IF(AND(R5216=1,ISNUMBER(T5216)),E5216-T5216,"")</f>
        <v/>
      </c>
      <c r="V5216" s="84" t="n">
        <f aca="false">IF(ISNUMBER(T5216),T5216,-99)</f>
        <v>16.8635667571787</v>
      </c>
      <c r="W5216" s="84" t="str">
        <f aca="false">IF(ISNUMBER(U5216),ABS(U5216),"")</f>
        <v/>
      </c>
    </row>
    <row r="5217" customFormat="false" ht="15" hidden="false" customHeight="false" outlineLevel="0" collapsed="false">
      <c r="A5217" s="57" t="n">
        <v>41408</v>
      </c>
      <c r="B5217" s="56" t="n">
        <v>2013</v>
      </c>
      <c r="C5217" s="56" t="n">
        <v>5</v>
      </c>
      <c r="D5217" s="56" t="n">
        <v>14</v>
      </c>
      <c r="E5217" s="56" t="n">
        <v>14.4</v>
      </c>
      <c r="F5217" s="56" t="n">
        <v>0</v>
      </c>
      <c r="G5217" s="56" t="n">
        <v>7.3</v>
      </c>
      <c r="H5217" s="56" t="n">
        <v>0</v>
      </c>
      <c r="I5217" s="56" t="n">
        <v>9.8</v>
      </c>
      <c r="J5217" s="56" t="n">
        <v>0</v>
      </c>
      <c r="K5217" s="56" t="n">
        <v>1002.6</v>
      </c>
      <c r="L5217" s="56" t="n">
        <v>0</v>
      </c>
      <c r="M5217" s="56" t="n">
        <v>80</v>
      </c>
      <c r="N5217" s="56" t="n">
        <v>1.5</v>
      </c>
      <c r="O5217" s="56" t="n">
        <f aca="false">IF(D5217=1,"",E5216)</f>
        <v>12.3</v>
      </c>
      <c r="P5217" s="56" t="n">
        <f aca="false">IF(OR(D5217=1,K5216=""),"",K5216)</f>
        <v>1011.7</v>
      </c>
      <c r="Q5217" s="56" t="n">
        <f aca="false">IF(OR(F5217&lt;&gt;0,AND(I5217&lt;&gt;"",E5217&lt;I5217)),1,0)</f>
        <v>0</v>
      </c>
      <c r="R5217" s="56" t="n">
        <f aca="false">IF(AND(D5217&gt;1,Q5217=0,ISNUMBER(O5217),ISNUMBER(P5217)),IF(Q5216=0,1,0),0)</f>
        <v>0</v>
      </c>
      <c r="S5217" s="56" t="n">
        <f aca="false">R5217*(B5217&gt;=Train_Start)*(B5217&lt;=Train_End)</f>
        <v>0</v>
      </c>
      <c r="T5217" s="84" t="n">
        <f aca="false">IF(AND(ISNUMBER(O5217),ISNUMBER(P5217)),Coef_A+Coef_B1*O5217+Coef_B2*P5217,"")</f>
        <v>13.9017698976275</v>
      </c>
      <c r="U5217" s="84" t="str">
        <f aca="false">IF(AND(R5217=1,ISNUMBER(T5217)),E5217-T5217,"")</f>
        <v/>
      </c>
      <c r="V5217" s="84" t="n">
        <f aca="false">IF(ISNUMBER(T5217),T5217,-99)</f>
        <v>13.9017698976275</v>
      </c>
      <c r="W5217" s="84" t="str">
        <f aca="false">IF(ISNUMBER(U5217),ABS(U5217),"")</f>
        <v/>
      </c>
    </row>
    <row r="5218" customFormat="false" ht="15" hidden="false" customHeight="false" outlineLevel="0" collapsed="false">
      <c r="A5218" s="57" t="n">
        <v>41409</v>
      </c>
      <c r="B5218" s="56" t="n">
        <v>2013</v>
      </c>
      <c r="C5218" s="56" t="n">
        <v>5</v>
      </c>
      <c r="D5218" s="56" t="n">
        <v>15</v>
      </c>
      <c r="E5218" s="56" t="n">
        <v>16.9</v>
      </c>
      <c r="F5218" s="56" t="n">
        <v>0</v>
      </c>
      <c r="G5218" s="56" t="n">
        <v>6.1</v>
      </c>
      <c r="H5218" s="56" t="n">
        <v>0</v>
      </c>
      <c r="I5218" s="56" t="n">
        <v>10.3</v>
      </c>
      <c r="J5218" s="56" t="n">
        <v>0</v>
      </c>
      <c r="K5218" s="56" t="n">
        <v>994.5</v>
      </c>
      <c r="L5218" s="56" t="n">
        <v>0</v>
      </c>
      <c r="M5218" s="56" t="n">
        <v>72</v>
      </c>
      <c r="N5218" s="56" t="n">
        <v>1.3</v>
      </c>
      <c r="O5218" s="56" t="n">
        <f aca="false">IF(D5218=1,"",E5217)</f>
        <v>14.4</v>
      </c>
      <c r="P5218" s="56" t="n">
        <f aca="false">IF(OR(D5218=1,K5217=""),"",K5217)</f>
        <v>1002.6</v>
      </c>
      <c r="Q5218" s="56" t="n">
        <f aca="false">IF(OR(F5218&lt;&gt;0,AND(I5218&lt;&gt;"",E5218&lt;I5218)),1,0)</f>
        <v>0</v>
      </c>
      <c r="R5218" s="56" t="n">
        <f aca="false">IF(AND(D5218&gt;1,Q5218=0,ISNUMBER(O5218),ISNUMBER(P5218)),IF(Q5217=0,1,0),0)</f>
        <v>1</v>
      </c>
      <c r="S5218" s="56" t="n">
        <f aca="false">R5218*(B5218&gt;=Train_Start)*(B5218&lt;=Train_End)</f>
        <v>0</v>
      </c>
      <c r="T5218" s="84" t="n">
        <f aca="false">IF(AND(ISNUMBER(O5218),ISNUMBER(P5218)),Coef_A+Coef_B1*O5218+Coef_B2*P5218,"")</f>
        <v>15.3369161618477</v>
      </c>
      <c r="U5218" s="84" t="n">
        <f aca="false">IF(AND(R5218=1,ISNUMBER(T5218)),E5218-T5218,"")</f>
        <v>1.56308383815227</v>
      </c>
      <c r="V5218" s="84" t="n">
        <f aca="false">IF(ISNUMBER(T5218),T5218,-99)</f>
        <v>15.3369161618477</v>
      </c>
      <c r="W5218" s="84" t="n">
        <f aca="false">IF(ISNUMBER(U5218),ABS(U5218),"")</f>
        <v>1.56308383815227</v>
      </c>
    </row>
    <row r="5219" customFormat="false" ht="15" hidden="false" customHeight="false" outlineLevel="0" collapsed="false">
      <c r="A5219" s="57" t="n">
        <v>41410</v>
      </c>
      <c r="B5219" s="56" t="n">
        <v>2013</v>
      </c>
      <c r="C5219" s="56" t="n">
        <v>5</v>
      </c>
      <c r="D5219" s="56" t="n">
        <v>16</v>
      </c>
      <c r="E5219" s="56" t="n">
        <v>12.6</v>
      </c>
      <c r="F5219" s="56" t="n">
        <v>0</v>
      </c>
      <c r="G5219" s="56" t="n">
        <v>3.4</v>
      </c>
      <c r="H5219" s="56" t="n">
        <v>0</v>
      </c>
      <c r="I5219" s="56" t="n">
        <v>10.2</v>
      </c>
      <c r="J5219" s="56" t="n">
        <v>0</v>
      </c>
      <c r="K5219" s="56" t="n">
        <v>999.8</v>
      </c>
      <c r="L5219" s="56" t="n">
        <v>0</v>
      </c>
      <c r="M5219" s="56" t="n">
        <v>70</v>
      </c>
      <c r="N5219" s="56" t="n">
        <v>8.6</v>
      </c>
      <c r="O5219" s="56" t="n">
        <f aca="false">IF(D5219=1,"",E5218)</f>
        <v>16.9</v>
      </c>
      <c r="P5219" s="56" t="n">
        <f aca="false">IF(OR(D5219=1,K5218=""),"",K5218)</f>
        <v>994.5</v>
      </c>
      <c r="Q5219" s="56" t="n">
        <f aca="false">IF(OR(F5219&lt;&gt;0,AND(I5219&lt;&gt;"",E5219&lt;I5219)),1,0)</f>
        <v>0</v>
      </c>
      <c r="R5219" s="56" t="n">
        <f aca="false">IF(AND(D5219&gt;1,Q5219=0,ISNUMBER(O5219),ISNUMBER(P5219)),IF(Q5218=0,1,0),0)</f>
        <v>1</v>
      </c>
      <c r="S5219" s="56" t="n">
        <f aca="false">R5219*(B5219&gt;=Train_Start)*(B5219&lt;=Train_End)</f>
        <v>0</v>
      </c>
      <c r="T5219" s="84" t="n">
        <f aca="false">IF(AND(ISNUMBER(O5219),ISNUMBER(P5219)),Coef_A+Coef_B1*O5219+Coef_B2*P5219,"")</f>
        <v>17.1311679979191</v>
      </c>
      <c r="U5219" s="84" t="n">
        <f aca="false">IF(AND(R5219=1,ISNUMBER(T5219)),E5219-T5219,"")</f>
        <v>-4.53116799791906</v>
      </c>
      <c r="V5219" s="84" t="n">
        <f aca="false">IF(ISNUMBER(T5219),T5219,-99)</f>
        <v>17.1311679979191</v>
      </c>
      <c r="W5219" s="84" t="n">
        <f aca="false">IF(ISNUMBER(U5219),ABS(U5219),"")</f>
        <v>4.53116799791906</v>
      </c>
    </row>
    <row r="5220" customFormat="false" ht="15" hidden="false" customHeight="false" outlineLevel="0" collapsed="false">
      <c r="A5220" s="57" t="n">
        <v>41411</v>
      </c>
      <c r="B5220" s="56" t="n">
        <v>2013</v>
      </c>
      <c r="C5220" s="56" t="n">
        <v>5</v>
      </c>
      <c r="D5220" s="56" t="n">
        <v>17</v>
      </c>
      <c r="E5220" s="56" t="n">
        <v>16</v>
      </c>
      <c r="F5220" s="56" t="n">
        <v>0</v>
      </c>
      <c r="G5220" s="56" t="n">
        <v>6.7</v>
      </c>
      <c r="H5220" s="56" t="n">
        <v>0</v>
      </c>
      <c r="I5220" s="56" t="n">
        <v>9.7</v>
      </c>
      <c r="J5220" s="56" t="n">
        <v>0</v>
      </c>
      <c r="K5220" s="56" t="n">
        <v>1006.4</v>
      </c>
      <c r="L5220" s="56" t="n">
        <v>0</v>
      </c>
      <c r="M5220" s="56" t="n">
        <v>76</v>
      </c>
      <c r="N5220" s="56" t="n">
        <v>0.7</v>
      </c>
      <c r="O5220" s="56" t="n">
        <f aca="false">IF(D5220=1,"",E5219)</f>
        <v>12.6</v>
      </c>
      <c r="P5220" s="56" t="n">
        <f aca="false">IF(OR(D5220=1,K5219=""),"",K5219)</f>
        <v>999.8</v>
      </c>
      <c r="Q5220" s="56" t="n">
        <f aca="false">IF(OR(F5220&lt;&gt;0,AND(I5220&lt;&gt;"",E5220&lt;I5220)),1,0)</f>
        <v>0</v>
      </c>
      <c r="R5220" s="56" t="n">
        <f aca="false">IF(AND(D5220&gt;1,Q5220=0,ISNUMBER(O5220),ISNUMBER(P5220)),IF(Q5219=0,1,0),0)</f>
        <v>1</v>
      </c>
      <c r="S5220" s="56" t="n">
        <f aca="false">R5220*(B5220&gt;=Train_Start)*(B5220&lt;=Train_End)</f>
        <v>0</v>
      </c>
      <c r="T5220" s="84" t="n">
        <f aca="false">IF(AND(ISNUMBER(O5220),ISNUMBER(P5220)),Coef_A+Coef_B1*O5220+Coef_B2*P5220,"")</f>
        <v>13.7742699093958</v>
      </c>
      <c r="U5220" s="84" t="n">
        <f aca="false">IF(AND(R5220=1,ISNUMBER(T5220)),E5220-T5220,"")</f>
        <v>2.22573009060422</v>
      </c>
      <c r="V5220" s="84" t="n">
        <f aca="false">IF(ISNUMBER(T5220),T5220,-99)</f>
        <v>13.7742699093958</v>
      </c>
      <c r="W5220" s="84" t="n">
        <f aca="false">IF(ISNUMBER(U5220),ABS(U5220),"")</f>
        <v>2.22573009060422</v>
      </c>
    </row>
    <row r="5221" customFormat="false" ht="15" hidden="false" customHeight="false" outlineLevel="0" collapsed="false">
      <c r="A5221" s="57" t="n">
        <v>41412</v>
      </c>
      <c r="B5221" s="56" t="n">
        <v>2013</v>
      </c>
      <c r="C5221" s="56" t="n">
        <v>5</v>
      </c>
      <c r="D5221" s="56" t="n">
        <v>18</v>
      </c>
      <c r="E5221" s="56" t="n">
        <v>18.8</v>
      </c>
      <c r="F5221" s="56" t="n">
        <v>0</v>
      </c>
      <c r="G5221" s="56" t="n">
        <v>8.8</v>
      </c>
      <c r="H5221" s="56" t="n">
        <v>0</v>
      </c>
      <c r="I5221" s="56" t="n">
        <v>12.4</v>
      </c>
      <c r="J5221" s="56" t="n">
        <v>0</v>
      </c>
      <c r="K5221" s="56" t="n">
        <v>1008.2</v>
      </c>
      <c r="L5221" s="56" t="n">
        <v>0</v>
      </c>
      <c r="M5221" s="56" t="n">
        <v>67</v>
      </c>
      <c r="N5221" s="56" t="n">
        <v>1.7</v>
      </c>
      <c r="O5221" s="56" t="n">
        <f aca="false">IF(D5221=1,"",E5220)</f>
        <v>16</v>
      </c>
      <c r="P5221" s="56" t="n">
        <f aca="false">IF(OR(D5221=1,K5220=""),"",K5220)</f>
        <v>1006.4</v>
      </c>
      <c r="Q5221" s="56" t="n">
        <f aca="false">IF(OR(F5221&lt;&gt;0,AND(I5221&lt;&gt;"",E5221&lt;I5221)),1,0)</f>
        <v>0</v>
      </c>
      <c r="R5221" s="56" t="n">
        <f aca="false">IF(AND(D5221&gt;1,Q5221=0,ISNUMBER(O5221),ISNUMBER(P5221)),IF(Q5220=0,1,0),0)</f>
        <v>1</v>
      </c>
      <c r="S5221" s="56" t="n">
        <f aca="false">R5221*(B5221&gt;=Train_Start)*(B5221&lt;=Train_End)</f>
        <v>0</v>
      </c>
      <c r="T5221" s="84" t="n">
        <f aca="false">IF(AND(ISNUMBER(O5221),ISNUMBER(P5221)),Coef_A+Coef_B1*O5221+Coef_B2*P5221,"")</f>
        <v>16.7670644703251</v>
      </c>
      <c r="U5221" s="84" t="n">
        <f aca="false">IF(AND(R5221=1,ISNUMBER(T5221)),E5221-T5221,"")</f>
        <v>2.03293552967486</v>
      </c>
      <c r="V5221" s="84" t="n">
        <f aca="false">IF(ISNUMBER(T5221),T5221,-99)</f>
        <v>16.7670644703251</v>
      </c>
      <c r="W5221" s="84" t="n">
        <f aca="false">IF(ISNUMBER(U5221),ABS(U5221),"")</f>
        <v>2.03293552967486</v>
      </c>
    </row>
    <row r="5222" customFormat="false" ht="15" hidden="false" customHeight="false" outlineLevel="0" collapsed="false">
      <c r="A5222" s="57" t="n">
        <v>41413</v>
      </c>
      <c r="B5222" s="56" t="n">
        <v>2013</v>
      </c>
      <c r="C5222" s="56" t="n">
        <v>5</v>
      </c>
      <c r="D5222" s="56" t="n">
        <v>19</v>
      </c>
      <c r="E5222" s="56" t="n">
        <v>17.3</v>
      </c>
      <c r="F5222" s="56" t="n">
        <v>0</v>
      </c>
      <c r="G5222" s="56" t="n">
        <v>8.6</v>
      </c>
      <c r="H5222" s="56" t="n">
        <v>0</v>
      </c>
      <c r="I5222" s="56" t="n">
        <v>13.7</v>
      </c>
      <c r="J5222" s="56" t="n">
        <v>0</v>
      </c>
      <c r="K5222" s="56" t="n">
        <v>1011.4</v>
      </c>
      <c r="L5222" s="56" t="n">
        <v>0</v>
      </c>
      <c r="M5222" s="56" t="n">
        <v>67</v>
      </c>
      <c r="N5222" s="56" t="n">
        <v>3.2</v>
      </c>
      <c r="O5222" s="56" t="n">
        <f aca="false">IF(D5222=1,"",E5221)</f>
        <v>18.8</v>
      </c>
      <c r="P5222" s="56" t="n">
        <f aca="false">IF(OR(D5222=1,K5221=""),"",K5221)</f>
        <v>1008.2</v>
      </c>
      <c r="Q5222" s="56" t="n">
        <f aca="false">IF(OR(F5222&lt;&gt;0,AND(I5222&lt;&gt;"",E5222&lt;I5222)),1,0)</f>
        <v>0</v>
      </c>
      <c r="R5222" s="56" t="n">
        <f aca="false">IF(AND(D5222&gt;1,Q5222=0,ISNUMBER(O5222),ISNUMBER(P5222)),IF(Q5221=0,1,0),0)</f>
        <v>1</v>
      </c>
      <c r="S5222" s="56" t="n">
        <f aca="false">R5222*(B5222&gt;=Train_Start)*(B5222&lt;=Train_End)</f>
        <v>0</v>
      </c>
      <c r="T5222" s="84" t="n">
        <f aca="false">IF(AND(ISNUMBER(O5222),ISNUMBER(P5222)),Coef_A+Coef_B1*O5222+Coef_B2*P5222,"")</f>
        <v>19.1176800211858</v>
      </c>
      <c r="U5222" s="84" t="n">
        <f aca="false">IF(AND(R5222=1,ISNUMBER(T5222)),E5222-T5222,"")</f>
        <v>-1.81768002118577</v>
      </c>
      <c r="V5222" s="84" t="n">
        <f aca="false">IF(ISNUMBER(T5222),T5222,-99)</f>
        <v>19.1176800211858</v>
      </c>
      <c r="W5222" s="84" t="n">
        <f aca="false">IF(ISNUMBER(U5222),ABS(U5222),"")</f>
        <v>1.81768002118577</v>
      </c>
    </row>
    <row r="5223" customFormat="false" ht="15" hidden="false" customHeight="false" outlineLevel="0" collapsed="false">
      <c r="A5223" s="57" t="n">
        <v>41414</v>
      </c>
      <c r="B5223" s="56" t="n">
        <v>2013</v>
      </c>
      <c r="C5223" s="56" t="n">
        <v>5</v>
      </c>
      <c r="D5223" s="56" t="n">
        <v>20</v>
      </c>
      <c r="E5223" s="56" t="n">
        <v>15.3</v>
      </c>
      <c r="F5223" s="56" t="n">
        <v>0</v>
      </c>
      <c r="G5223" s="56" t="n">
        <v>10.9</v>
      </c>
      <c r="H5223" s="56" t="n">
        <v>0</v>
      </c>
      <c r="I5223" s="56" t="n">
        <v>14.1</v>
      </c>
      <c r="J5223" s="56" t="n">
        <v>0</v>
      </c>
      <c r="K5223" s="56" t="n">
        <v>1011.7</v>
      </c>
      <c r="L5223" s="56" t="n">
        <v>0</v>
      </c>
      <c r="M5223" s="56" t="n">
        <v>83</v>
      </c>
      <c r="N5223" s="56" t="n">
        <v>0</v>
      </c>
      <c r="O5223" s="56" t="n">
        <f aca="false">IF(D5223=1,"",E5222)</f>
        <v>17.3</v>
      </c>
      <c r="P5223" s="56" t="n">
        <f aca="false">IF(OR(D5223=1,K5222=""),"",K5222)</f>
        <v>1011.4</v>
      </c>
      <c r="Q5223" s="56" t="n">
        <f aca="false">IF(OR(F5223&lt;&gt;0,AND(I5223&lt;&gt;"",E5223&lt;I5223)),1,0)</f>
        <v>0</v>
      </c>
      <c r="R5223" s="56" t="n">
        <f aca="false">IF(AND(D5223&gt;1,Q5223=0,ISNUMBER(O5223),ISNUMBER(P5223)),IF(Q5222=0,1,0),0)</f>
        <v>1</v>
      </c>
      <c r="S5223" s="56" t="n">
        <f aca="false">R5223*(B5223&gt;=Train_Start)*(B5223&lt;=Train_End)</f>
        <v>0</v>
      </c>
      <c r="T5223" s="84" t="n">
        <f aca="false">IF(AND(ISNUMBER(O5223),ISNUMBER(P5223)),Coef_A+Coef_B1*O5223+Coef_B2*P5223,"")</f>
        <v>17.9890548944505</v>
      </c>
      <c r="U5223" s="84" t="n">
        <f aca="false">IF(AND(R5223=1,ISNUMBER(T5223)),E5223-T5223,"")</f>
        <v>-2.68905489445055</v>
      </c>
      <c r="V5223" s="84" t="n">
        <f aca="false">IF(ISNUMBER(T5223),T5223,-99)</f>
        <v>17.9890548944505</v>
      </c>
      <c r="W5223" s="84" t="n">
        <f aca="false">IF(ISNUMBER(U5223),ABS(U5223),"")</f>
        <v>2.68905489445055</v>
      </c>
    </row>
    <row r="5224" customFormat="false" ht="15" hidden="false" customHeight="false" outlineLevel="0" collapsed="false">
      <c r="A5224" s="57" t="n">
        <v>41415</v>
      </c>
      <c r="B5224" s="56" t="n">
        <v>2013</v>
      </c>
      <c r="C5224" s="56" t="n">
        <v>5</v>
      </c>
      <c r="D5224" s="56" t="n">
        <v>21</v>
      </c>
      <c r="E5224" s="56" t="n">
        <v>15</v>
      </c>
      <c r="F5224" s="56" t="n">
        <v>0</v>
      </c>
      <c r="G5224" s="56" t="n">
        <v>12.4</v>
      </c>
      <c r="H5224" s="56" t="n">
        <v>0</v>
      </c>
      <c r="I5224" s="56" t="n">
        <v>13.9</v>
      </c>
      <c r="J5224" s="56" t="n">
        <v>0</v>
      </c>
      <c r="K5224" s="56" t="n">
        <v>1016.1</v>
      </c>
      <c r="L5224" s="56" t="n">
        <v>0</v>
      </c>
      <c r="M5224" s="56" t="n">
        <v>76</v>
      </c>
      <c r="N5224" s="56" t="n">
        <v>1.1</v>
      </c>
      <c r="O5224" s="56" t="n">
        <f aca="false">IF(D5224=1,"",E5223)</f>
        <v>15.3</v>
      </c>
      <c r="P5224" s="56" t="n">
        <f aca="false">IF(OR(D5224=1,K5223=""),"",K5223)</f>
        <v>1011.7</v>
      </c>
      <c r="Q5224" s="56" t="n">
        <f aca="false">IF(OR(F5224&lt;&gt;0,AND(I5224&lt;&gt;"",E5224&lt;I5224)),1,0)</f>
        <v>0</v>
      </c>
      <c r="R5224" s="56" t="n">
        <f aca="false">IF(AND(D5224&gt;1,Q5224=0,ISNUMBER(O5224),ISNUMBER(P5224)),IF(Q5223=0,1,0),0)</f>
        <v>1</v>
      </c>
      <c r="S5224" s="56" t="n">
        <f aca="false">R5224*(B5224&gt;=Train_Start)*(B5224&lt;=Train_End)</f>
        <v>0</v>
      </c>
      <c r="T5224" s="84" t="n">
        <f aca="false">IF(AND(ISNUMBER(O5224),ISNUMBER(P5224)),Coef_A+Coef_B1*O5224+Coef_B2*P5224,"")</f>
        <v>16.3597874767554</v>
      </c>
      <c r="U5224" s="84" t="n">
        <f aca="false">IF(AND(R5224=1,ISNUMBER(T5224)),E5224-T5224,"")</f>
        <v>-1.35978747675543</v>
      </c>
      <c r="V5224" s="84" t="n">
        <f aca="false">IF(ISNUMBER(T5224),T5224,-99)</f>
        <v>16.3597874767554</v>
      </c>
      <c r="W5224" s="84" t="n">
        <f aca="false">IF(ISNUMBER(U5224),ABS(U5224),"")</f>
        <v>1.35978747675543</v>
      </c>
    </row>
    <row r="5225" customFormat="false" ht="15" hidden="false" customHeight="false" outlineLevel="0" collapsed="false">
      <c r="A5225" s="57" t="n">
        <v>41416</v>
      </c>
      <c r="B5225" s="56" t="n">
        <v>2013</v>
      </c>
      <c r="C5225" s="56" t="n">
        <v>5</v>
      </c>
      <c r="D5225" s="56" t="n">
        <v>22</v>
      </c>
      <c r="E5225" s="56" t="n">
        <v>11.7</v>
      </c>
      <c r="F5225" s="56" t="n">
        <v>1</v>
      </c>
      <c r="G5225" s="56" t="n">
        <v>9.7</v>
      </c>
      <c r="H5225" s="56" t="n">
        <v>0</v>
      </c>
      <c r="I5225" s="56" t="n">
        <v>12.4</v>
      </c>
      <c r="J5225" s="56" t="n">
        <v>1</v>
      </c>
      <c r="K5225" s="56" t="n">
        <v>1018.7</v>
      </c>
      <c r="L5225" s="56" t="n">
        <v>0</v>
      </c>
      <c r="M5225" s="56" t="n">
        <v>68</v>
      </c>
      <c r="N5225" s="56" t="n">
        <v>1.8</v>
      </c>
      <c r="O5225" s="56" t="n">
        <f aca="false">IF(D5225=1,"",E5224)</f>
        <v>15</v>
      </c>
      <c r="P5225" s="56" t="n">
        <f aca="false">IF(OR(D5225=1,K5224=""),"",K5224)</f>
        <v>1016.1</v>
      </c>
      <c r="Q5225" s="56" t="n">
        <f aca="false">IF(OR(F5225&lt;&gt;0,AND(I5225&lt;&gt;"",E5225&lt;I5225)),1,0)</f>
        <v>1</v>
      </c>
      <c r="R5225" s="56" t="n">
        <f aca="false">IF(AND(D5225&gt;1,Q5225=0,ISNUMBER(O5225),ISNUMBER(P5225)),IF(Q5224=0,1,0),0)</f>
        <v>0</v>
      </c>
      <c r="S5225" s="56" t="n">
        <f aca="false">R5225*(B5225&gt;=Train_Start)*(B5225&lt;=Train_End)</f>
        <v>0</v>
      </c>
      <c r="T5225" s="84" t="n">
        <f aca="false">IF(AND(ISNUMBER(O5225),ISNUMBER(P5225)),Coef_A+Coef_B1*O5225+Coef_B2*P5225,"")</f>
        <v>16.2520132552322</v>
      </c>
      <c r="U5225" s="84" t="str">
        <f aca="false">IF(AND(R5225=1,ISNUMBER(T5225)),E5225-T5225,"")</f>
        <v/>
      </c>
      <c r="V5225" s="84" t="n">
        <f aca="false">IF(ISNUMBER(T5225),T5225,-99)</f>
        <v>16.2520132552322</v>
      </c>
      <c r="W5225" s="84" t="str">
        <f aca="false">IF(ISNUMBER(U5225),ABS(U5225),"")</f>
        <v/>
      </c>
    </row>
    <row r="5226" customFormat="false" ht="15" hidden="false" customHeight="false" outlineLevel="0" collapsed="false">
      <c r="A5226" s="57" t="n">
        <v>41417</v>
      </c>
      <c r="B5226" s="56" t="n">
        <v>2013</v>
      </c>
      <c r="C5226" s="56" t="n">
        <v>5</v>
      </c>
      <c r="D5226" s="56" t="n">
        <v>23</v>
      </c>
      <c r="E5226" s="56" t="n">
        <v>9.9</v>
      </c>
      <c r="F5226" s="56" t="n">
        <v>0</v>
      </c>
      <c r="G5226" s="56" t="n">
        <v>5.7</v>
      </c>
      <c r="H5226" s="56" t="n">
        <v>0</v>
      </c>
      <c r="I5226" s="56" t="n">
        <v>8.7</v>
      </c>
      <c r="J5226" s="56" t="n">
        <v>0</v>
      </c>
      <c r="K5226" s="56" t="n">
        <v>1013.7</v>
      </c>
      <c r="L5226" s="56" t="n">
        <v>0</v>
      </c>
      <c r="M5226" s="56" t="n">
        <v>63</v>
      </c>
      <c r="N5226" s="56" t="n">
        <v>5.9</v>
      </c>
      <c r="O5226" s="56" t="n">
        <f aca="false">IF(D5226=1,"",E5225)</f>
        <v>11.7</v>
      </c>
      <c r="P5226" s="56" t="n">
        <f aca="false">IF(OR(D5226=1,K5225=""),"",K5225)</f>
        <v>1018.7</v>
      </c>
      <c r="Q5226" s="56" t="n">
        <f aca="false">IF(OR(F5226&lt;&gt;0,AND(I5226&lt;&gt;"",E5226&lt;I5226)),1,0)</f>
        <v>0</v>
      </c>
      <c r="R5226" s="56" t="n">
        <f aca="false">IF(AND(D5226&gt;1,Q5226=0,ISNUMBER(O5226),ISNUMBER(P5226)),IF(Q5225=0,1,0),0)</f>
        <v>0</v>
      </c>
      <c r="S5226" s="56" t="n">
        <f aca="false">R5226*(B5226&gt;=Train_Start)*(B5226&lt;=Train_End)</f>
        <v>0</v>
      </c>
      <c r="T5226" s="84" t="n">
        <f aca="false">IF(AND(ISNUMBER(O5226),ISNUMBER(P5226)),Coef_A+Coef_B1*O5226+Coef_B2*P5226,"")</f>
        <v>13.6297556442398</v>
      </c>
      <c r="U5226" s="84" t="str">
        <f aca="false">IF(AND(R5226=1,ISNUMBER(T5226)),E5226-T5226,"")</f>
        <v/>
      </c>
      <c r="V5226" s="84" t="n">
        <f aca="false">IF(ISNUMBER(T5226),T5226,-99)</f>
        <v>13.6297556442398</v>
      </c>
      <c r="W5226" s="84" t="str">
        <f aca="false">IF(ISNUMBER(U5226),ABS(U5226),"")</f>
        <v/>
      </c>
    </row>
    <row r="5227" customFormat="false" ht="15" hidden="false" customHeight="false" outlineLevel="0" collapsed="false">
      <c r="A5227" s="57" t="n">
        <v>41418</v>
      </c>
      <c r="B5227" s="56" t="n">
        <v>2013</v>
      </c>
      <c r="C5227" s="56" t="n">
        <v>5</v>
      </c>
      <c r="D5227" s="56" t="n">
        <v>24</v>
      </c>
      <c r="E5227" s="56" t="n">
        <v>16.2</v>
      </c>
      <c r="F5227" s="56" t="n">
        <v>0</v>
      </c>
      <c r="G5227" s="56" t="n">
        <v>5.5</v>
      </c>
      <c r="H5227" s="56" t="n">
        <v>0</v>
      </c>
      <c r="I5227" s="56" t="n">
        <v>7.7</v>
      </c>
      <c r="J5227" s="56" t="n">
        <v>0</v>
      </c>
      <c r="K5227" s="56" t="n">
        <v>1009.7</v>
      </c>
      <c r="L5227" s="56" t="n">
        <v>0</v>
      </c>
      <c r="M5227" s="56" t="n">
        <v>81</v>
      </c>
      <c r="N5227" s="56" t="n">
        <v>0.2</v>
      </c>
      <c r="O5227" s="56" t="n">
        <f aca="false">IF(D5227=1,"",E5226)</f>
        <v>9.9</v>
      </c>
      <c r="P5227" s="56" t="n">
        <f aca="false">IF(OR(D5227=1,K5226=""),"",K5226)</f>
        <v>1013.7</v>
      </c>
      <c r="Q5227" s="56" t="n">
        <f aca="false">IF(OR(F5227&lt;&gt;0,AND(I5227&lt;&gt;"",E5227&lt;I5227)),1,0)</f>
        <v>0</v>
      </c>
      <c r="R5227" s="56" t="n">
        <f aca="false">IF(AND(D5227&gt;1,Q5227=0,ISNUMBER(O5227),ISNUMBER(P5227)),IF(Q5226=0,1,0),0)</f>
        <v>1</v>
      </c>
      <c r="S5227" s="56" t="n">
        <f aca="false">R5227*(B5227&gt;=Train_Start)*(B5227&lt;=Train_End)</f>
        <v>0</v>
      </c>
      <c r="T5227" s="84" t="n">
        <f aca="false">IF(AND(ISNUMBER(O5227),ISNUMBER(P5227)),Coef_A+Coef_B1*O5227+Coef_B2*P5227,"")</f>
        <v>11.9980956235931</v>
      </c>
      <c r="U5227" s="84" t="n">
        <f aca="false">IF(AND(R5227=1,ISNUMBER(T5227)),E5227-T5227,"")</f>
        <v>4.20190437640694</v>
      </c>
      <c r="V5227" s="84" t="n">
        <f aca="false">IF(ISNUMBER(T5227),T5227,-99)</f>
        <v>11.9980956235931</v>
      </c>
      <c r="W5227" s="84" t="n">
        <f aca="false">IF(ISNUMBER(U5227),ABS(U5227),"")</f>
        <v>4.20190437640694</v>
      </c>
    </row>
    <row r="5228" customFormat="false" ht="15" hidden="false" customHeight="false" outlineLevel="0" collapsed="false">
      <c r="A5228" s="57" t="n">
        <v>41419</v>
      </c>
      <c r="B5228" s="56" t="n">
        <v>2013</v>
      </c>
      <c r="C5228" s="56" t="n">
        <v>5</v>
      </c>
      <c r="D5228" s="56" t="n">
        <v>25</v>
      </c>
      <c r="E5228" s="56" t="n">
        <v>19.8</v>
      </c>
      <c r="F5228" s="56" t="n">
        <v>0</v>
      </c>
      <c r="G5228" s="56" t="n">
        <v>5.3</v>
      </c>
      <c r="H5228" s="56" t="n">
        <v>0</v>
      </c>
      <c r="I5228" s="56" t="n">
        <v>10.8</v>
      </c>
      <c r="J5228" s="56" t="n">
        <v>0</v>
      </c>
      <c r="K5228" s="56" t="n">
        <v>1020.7</v>
      </c>
      <c r="L5228" s="56" t="n">
        <v>0</v>
      </c>
      <c r="M5228" s="56" t="n">
        <v>63</v>
      </c>
      <c r="N5228" s="56" t="n">
        <v>10.3</v>
      </c>
      <c r="O5228" s="56" t="n">
        <f aca="false">IF(D5228=1,"",E5227)</f>
        <v>16.2</v>
      </c>
      <c r="P5228" s="56" t="n">
        <f aca="false">IF(OR(D5228=1,K5227=""),"",K5227)</f>
        <v>1009.7</v>
      </c>
      <c r="Q5228" s="56" t="n">
        <f aca="false">IF(OR(F5228&lt;&gt;0,AND(I5228&lt;&gt;"",E5228&lt;I5228)),1,0)</f>
        <v>0</v>
      </c>
      <c r="R5228" s="56" t="n">
        <f aca="false">IF(AND(D5228&gt;1,Q5228=0,ISNUMBER(O5228),ISNUMBER(P5228)),IF(Q5227=0,1,0),0)</f>
        <v>1</v>
      </c>
      <c r="S5228" s="56" t="n">
        <f aca="false">R5228*(B5228&gt;=Train_Start)*(B5228&lt;=Train_End)</f>
        <v>0</v>
      </c>
      <c r="T5228" s="84" t="n">
        <f aca="false">IF(AND(ISNUMBER(O5228),ISNUMBER(P5228)),Coef_A+Coef_B1*O5228+Coef_B2*P5228,"")</f>
        <v>17.0344529612258</v>
      </c>
      <c r="U5228" s="84" t="n">
        <f aca="false">IF(AND(R5228=1,ISNUMBER(T5228)),E5228-T5228,"")</f>
        <v>2.76554703877416</v>
      </c>
      <c r="V5228" s="84" t="n">
        <f aca="false">IF(ISNUMBER(T5228),T5228,-99)</f>
        <v>17.0344529612258</v>
      </c>
      <c r="W5228" s="84" t="n">
        <f aca="false">IF(ISNUMBER(U5228),ABS(U5228),"")</f>
        <v>2.76554703877416</v>
      </c>
    </row>
    <row r="5229" customFormat="false" ht="15" hidden="false" customHeight="false" outlineLevel="0" collapsed="false">
      <c r="A5229" s="57" t="n">
        <v>41420</v>
      </c>
      <c r="B5229" s="56" t="n">
        <v>2013</v>
      </c>
      <c r="C5229" s="56" t="n">
        <v>5</v>
      </c>
      <c r="D5229" s="56" t="n">
        <v>26</v>
      </c>
      <c r="E5229" s="56" t="n">
        <v>18.2</v>
      </c>
      <c r="F5229" s="56" t="n">
        <v>0</v>
      </c>
      <c r="G5229" s="56" t="n">
        <v>6</v>
      </c>
      <c r="H5229" s="56" t="n">
        <v>0</v>
      </c>
      <c r="I5229" s="56" t="n">
        <v>12.9</v>
      </c>
      <c r="J5229" s="56" t="n">
        <v>0</v>
      </c>
      <c r="K5229" s="56" t="n">
        <v>1018.4</v>
      </c>
      <c r="L5229" s="56" t="n">
        <v>0</v>
      </c>
      <c r="M5229" s="56" t="n">
        <v>52</v>
      </c>
      <c r="N5229" s="56" t="n">
        <v>14.3</v>
      </c>
      <c r="O5229" s="56" t="n">
        <f aca="false">IF(D5229=1,"",E5228)</f>
        <v>19.8</v>
      </c>
      <c r="P5229" s="56" t="n">
        <f aca="false">IF(OR(D5229=1,K5228=""),"",K5228)</f>
        <v>1020.7</v>
      </c>
      <c r="Q5229" s="56" t="n">
        <f aca="false">IF(OR(F5229&lt;&gt;0,AND(I5229&lt;&gt;"",E5229&lt;I5229)),1,0)</f>
        <v>0</v>
      </c>
      <c r="R5229" s="56" t="n">
        <f aca="false">IF(AND(D5229&gt;1,Q5229=0,ISNUMBER(O5229),ISNUMBER(P5229)),IF(Q5228=0,1,0),0)</f>
        <v>1</v>
      </c>
      <c r="S5229" s="56" t="n">
        <f aca="false">R5229*(B5229&gt;=Train_Start)*(B5229&lt;=Train_End)</f>
        <v>0</v>
      </c>
      <c r="T5229" s="84" t="n">
        <f aca="false">IF(AND(ISNUMBER(O5229),ISNUMBER(P5229)),Coef_A+Coef_B1*O5229+Coef_B2*P5229,"")</f>
        <v>20.3291428971533</v>
      </c>
      <c r="U5229" s="84" t="n">
        <f aca="false">IF(AND(R5229=1,ISNUMBER(T5229)),E5229-T5229,"")</f>
        <v>-2.1291428971533</v>
      </c>
      <c r="V5229" s="84" t="n">
        <f aca="false">IF(ISNUMBER(T5229),T5229,-99)</f>
        <v>20.3291428971533</v>
      </c>
      <c r="W5229" s="84" t="n">
        <f aca="false">IF(ISNUMBER(U5229),ABS(U5229),"")</f>
        <v>2.1291428971533</v>
      </c>
    </row>
    <row r="5230" customFormat="false" ht="15" hidden="false" customHeight="false" outlineLevel="0" collapsed="false">
      <c r="A5230" s="57" t="n">
        <v>41421</v>
      </c>
      <c r="B5230" s="56" t="n">
        <v>2013</v>
      </c>
      <c r="C5230" s="56" t="n">
        <v>5</v>
      </c>
      <c r="D5230" s="56" t="n">
        <v>27</v>
      </c>
      <c r="E5230" s="56" t="n">
        <v>12</v>
      </c>
      <c r="F5230" s="56" t="n">
        <v>1</v>
      </c>
      <c r="G5230" s="56" t="n">
        <v>6</v>
      </c>
      <c r="H5230" s="56" t="n">
        <v>0</v>
      </c>
      <c r="I5230" s="56" t="n">
        <v>12.1</v>
      </c>
      <c r="J5230" s="56" t="n">
        <v>1</v>
      </c>
      <c r="K5230" s="56" t="n">
        <v>1008.6</v>
      </c>
      <c r="L5230" s="56" t="n">
        <v>0</v>
      </c>
      <c r="M5230" s="56" t="n">
        <v>55</v>
      </c>
      <c r="N5230" s="56" t="n">
        <v>12.8</v>
      </c>
      <c r="O5230" s="56" t="n">
        <f aca="false">IF(D5230=1,"",E5229)</f>
        <v>18.2</v>
      </c>
      <c r="P5230" s="56" t="n">
        <f aca="false">IF(OR(D5230=1,K5229=""),"",K5229)</f>
        <v>1018.4</v>
      </c>
      <c r="Q5230" s="56" t="n">
        <f aca="false">IF(OR(F5230&lt;&gt;0,AND(I5230&lt;&gt;"",E5230&lt;I5230)),1,0)</f>
        <v>1</v>
      </c>
      <c r="R5230" s="56" t="n">
        <f aca="false">IF(AND(D5230&gt;1,Q5230=0,ISNUMBER(O5230),ISNUMBER(P5230)),IF(Q5229=0,1,0),0)</f>
        <v>0</v>
      </c>
      <c r="S5230" s="56" t="n">
        <f aca="false">R5230*(B5230&gt;=Train_Start)*(B5230&lt;=Train_End)</f>
        <v>0</v>
      </c>
      <c r="T5230" s="84" t="n">
        <f aca="false">IF(AND(ISNUMBER(O5230),ISNUMBER(P5230)),Coef_A+Coef_B1*O5230+Coef_B2*P5230,"")</f>
        <v>18.9460494306269</v>
      </c>
      <c r="U5230" s="84" t="str">
        <f aca="false">IF(AND(R5230=1,ISNUMBER(T5230)),E5230-T5230,"")</f>
        <v/>
      </c>
      <c r="V5230" s="84" t="n">
        <f aca="false">IF(ISNUMBER(T5230),T5230,-99)</f>
        <v>18.9460494306269</v>
      </c>
      <c r="W5230" s="84" t="str">
        <f aca="false">IF(ISNUMBER(U5230),ABS(U5230),"")</f>
        <v/>
      </c>
    </row>
    <row r="5231" customFormat="false" ht="15" hidden="false" customHeight="false" outlineLevel="0" collapsed="false">
      <c r="A5231" s="57" t="n">
        <v>41422</v>
      </c>
      <c r="B5231" s="56" t="n">
        <v>2013</v>
      </c>
      <c r="C5231" s="56" t="n">
        <v>5</v>
      </c>
      <c r="D5231" s="56" t="n">
        <v>28</v>
      </c>
      <c r="E5231" s="56" t="n">
        <v>13.2</v>
      </c>
      <c r="F5231" s="56" t="n">
        <v>0</v>
      </c>
      <c r="G5231" s="56" t="n">
        <v>9.6</v>
      </c>
      <c r="H5231" s="56" t="n">
        <v>0</v>
      </c>
      <c r="I5231" s="56" t="n">
        <v>10.8</v>
      </c>
      <c r="J5231" s="56" t="n">
        <v>0</v>
      </c>
      <c r="K5231" s="56" t="n">
        <v>1000.5</v>
      </c>
      <c r="L5231" s="56" t="n">
        <v>0</v>
      </c>
      <c r="M5231" s="56" t="n">
        <v>84</v>
      </c>
      <c r="N5231" s="56" t="n">
        <v>0</v>
      </c>
      <c r="O5231" s="56" t="n">
        <f aca="false">IF(D5231=1,"",E5230)</f>
        <v>12</v>
      </c>
      <c r="P5231" s="56" t="n">
        <f aca="false">IF(OR(D5231=1,K5230=""),"",K5230)</f>
        <v>1008.6</v>
      </c>
      <c r="Q5231" s="56" t="n">
        <f aca="false">IF(OR(F5231&lt;&gt;0,AND(I5231&lt;&gt;"",E5231&lt;I5231)),1,0)</f>
        <v>0</v>
      </c>
      <c r="R5231" s="56" t="n">
        <f aca="false">IF(AND(D5231&gt;1,Q5231=0,ISNUMBER(O5231),ISNUMBER(P5231)),IF(Q5230=0,1,0),0)</f>
        <v>0</v>
      </c>
      <c r="S5231" s="56" t="n">
        <f aca="false">R5231*(B5231&gt;=Train_Start)*(B5231&lt;=Train_End)</f>
        <v>0</v>
      </c>
      <c r="T5231" s="84" t="n">
        <f aca="false">IF(AND(ISNUMBER(O5231),ISNUMBER(P5231)),Coef_A+Coef_B1*O5231+Coef_B2*P5231,"")</f>
        <v>13.5587214663493</v>
      </c>
      <c r="U5231" s="84" t="str">
        <f aca="false">IF(AND(R5231=1,ISNUMBER(T5231)),E5231-T5231,"")</f>
        <v/>
      </c>
      <c r="V5231" s="84" t="n">
        <f aca="false">IF(ISNUMBER(T5231),T5231,-99)</f>
        <v>13.5587214663493</v>
      </c>
      <c r="W5231" s="84" t="str">
        <f aca="false">IF(ISNUMBER(U5231),ABS(U5231),"")</f>
        <v/>
      </c>
    </row>
    <row r="5232" customFormat="false" ht="15" hidden="false" customHeight="false" outlineLevel="0" collapsed="false">
      <c r="A5232" s="57" t="n">
        <v>41423</v>
      </c>
      <c r="B5232" s="56" t="n">
        <v>2013</v>
      </c>
      <c r="C5232" s="56" t="n">
        <v>5</v>
      </c>
      <c r="D5232" s="56" t="n">
        <v>29</v>
      </c>
      <c r="E5232" s="56" t="n">
        <v>15.2</v>
      </c>
      <c r="F5232" s="56" t="n">
        <v>0</v>
      </c>
      <c r="G5232" s="56" t="n">
        <v>7.5</v>
      </c>
      <c r="H5232" s="56" t="n">
        <v>0</v>
      </c>
      <c r="I5232" s="56" t="n">
        <v>10.4</v>
      </c>
      <c r="J5232" s="56" t="n">
        <v>0</v>
      </c>
      <c r="K5232" s="56" t="n">
        <v>1004.8</v>
      </c>
      <c r="L5232" s="56" t="n">
        <v>0</v>
      </c>
      <c r="M5232" s="56" t="n">
        <v>86</v>
      </c>
      <c r="N5232" s="56" t="n">
        <v>1.1</v>
      </c>
      <c r="O5232" s="56" t="n">
        <f aca="false">IF(D5232=1,"",E5231)</f>
        <v>13.2</v>
      </c>
      <c r="P5232" s="56" t="n">
        <f aca="false">IF(OR(D5232=1,K5231=""),"",K5231)</f>
        <v>1000.5</v>
      </c>
      <c r="Q5232" s="56" t="n">
        <f aca="false">IF(OR(F5232&lt;&gt;0,AND(I5232&lt;&gt;"",E5232&lt;I5232)),1,0)</f>
        <v>0</v>
      </c>
      <c r="R5232" s="56" t="n">
        <f aca="false">IF(AND(D5232&gt;1,Q5232=0,ISNUMBER(O5232),ISNUMBER(P5232)),IF(Q5231=0,1,0),0)</f>
        <v>1</v>
      </c>
      <c r="S5232" s="56" t="n">
        <f aca="false">R5232*(B5232&gt;=Train_Start)*(B5232&lt;=Train_End)</f>
        <v>0</v>
      </c>
      <c r="T5232" s="84" t="n">
        <f aca="false">IF(AND(ISNUMBER(O5232),ISNUMBER(P5232)),Coef_A+Coef_B1*O5232+Coef_B2*P5232,"")</f>
        <v>14.2878323514652</v>
      </c>
      <c r="U5232" s="84" t="n">
        <f aca="false">IF(AND(R5232=1,ISNUMBER(T5232)),E5232-T5232,"")</f>
        <v>0.912167648534837</v>
      </c>
      <c r="V5232" s="84" t="n">
        <f aca="false">IF(ISNUMBER(T5232),T5232,-99)</f>
        <v>14.2878323514652</v>
      </c>
      <c r="W5232" s="84" t="n">
        <f aca="false">IF(ISNUMBER(U5232),ABS(U5232),"")</f>
        <v>0.912167648534837</v>
      </c>
    </row>
    <row r="5233" customFormat="false" ht="15" hidden="false" customHeight="false" outlineLevel="0" collapsed="false">
      <c r="A5233" s="57" t="n">
        <v>41424</v>
      </c>
      <c r="B5233" s="56" t="n">
        <v>2013</v>
      </c>
      <c r="C5233" s="56" t="n">
        <v>5</v>
      </c>
      <c r="D5233" s="56" t="n">
        <v>30</v>
      </c>
      <c r="E5233" s="56" t="n">
        <v>21.9</v>
      </c>
      <c r="F5233" s="56" t="n">
        <v>0</v>
      </c>
      <c r="G5233" s="56" t="n">
        <v>10.4</v>
      </c>
      <c r="H5233" s="56" t="n">
        <v>0</v>
      </c>
      <c r="I5233" s="56" t="n">
        <v>12.8</v>
      </c>
      <c r="J5233" s="56" t="n">
        <v>0</v>
      </c>
      <c r="K5233" s="56" t="n">
        <v>1011</v>
      </c>
      <c r="L5233" s="56" t="n">
        <v>0</v>
      </c>
      <c r="M5233" s="56" t="n">
        <v>84</v>
      </c>
      <c r="N5233" s="56" t="n">
        <v>0.1</v>
      </c>
      <c r="O5233" s="56" t="n">
        <f aca="false">IF(D5233=1,"",E5232)</f>
        <v>15.2</v>
      </c>
      <c r="P5233" s="56" t="n">
        <f aca="false">IF(OR(D5233=1,K5232=""),"",K5232)</f>
        <v>1004.8</v>
      </c>
      <c r="Q5233" s="56" t="n">
        <f aca="false">IF(OR(F5233&lt;&gt;0,AND(I5233&lt;&gt;"",E5233&lt;I5233)),1,0)</f>
        <v>0</v>
      </c>
      <c r="R5233" s="56" t="n">
        <f aca="false">IF(AND(D5233&gt;1,Q5233=0,ISNUMBER(O5233),ISNUMBER(P5233)),IF(Q5232=0,1,0),0)</f>
        <v>1</v>
      </c>
      <c r="S5233" s="56" t="n">
        <f aca="false">R5233*(B5233&gt;=Train_Start)*(B5233&lt;=Train_End)</f>
        <v>0</v>
      </c>
      <c r="T5233" s="84" t="n">
        <f aca="false">IF(AND(ISNUMBER(O5233),ISNUMBER(P5233)),Coef_A+Coef_B1*O5233+Coef_B2*P5233,"")</f>
        <v>16.0614012844766</v>
      </c>
      <c r="U5233" s="84" t="n">
        <f aca="false">IF(AND(R5233=1,ISNUMBER(T5233)),E5233-T5233,"")</f>
        <v>5.83859871552337</v>
      </c>
      <c r="V5233" s="84" t="n">
        <f aca="false">IF(ISNUMBER(T5233),T5233,-99)</f>
        <v>16.0614012844766</v>
      </c>
      <c r="W5233" s="84" t="n">
        <f aca="false">IF(ISNUMBER(U5233),ABS(U5233),"")</f>
        <v>5.83859871552337</v>
      </c>
    </row>
    <row r="5234" customFormat="false" ht="15" hidden="false" customHeight="false" outlineLevel="0" collapsed="false">
      <c r="A5234" s="57" t="n">
        <v>41425</v>
      </c>
      <c r="B5234" s="56" t="n">
        <v>2013</v>
      </c>
      <c r="C5234" s="56" t="n">
        <v>5</v>
      </c>
      <c r="D5234" s="56" t="n">
        <v>31</v>
      </c>
      <c r="E5234" s="56" t="n">
        <v>18.8</v>
      </c>
      <c r="F5234" s="56" t="n">
        <v>0</v>
      </c>
      <c r="G5234" s="56" t="n">
        <v>11.4</v>
      </c>
      <c r="H5234" s="56" t="n">
        <v>0</v>
      </c>
      <c r="I5234" s="56" t="n">
        <v>16.7</v>
      </c>
      <c r="J5234" s="56" t="n">
        <v>0</v>
      </c>
      <c r="K5234" s="56" t="n">
        <v>1018.3</v>
      </c>
      <c r="L5234" s="56" t="n">
        <v>0</v>
      </c>
      <c r="M5234" s="56" t="n">
        <v>68</v>
      </c>
      <c r="N5234" s="56" t="n">
        <v>5.3</v>
      </c>
      <c r="O5234" s="56" t="n">
        <f aca="false">IF(D5234=1,"",E5233)</f>
        <v>21.9</v>
      </c>
      <c r="P5234" s="56" t="n">
        <f aca="false">IF(OR(D5234=1,K5233=""),"",K5233)</f>
        <v>1011</v>
      </c>
      <c r="Q5234" s="56" t="n">
        <f aca="false">IF(OR(F5234&lt;&gt;0,AND(I5234&lt;&gt;"",E5234&lt;I5234)),1,0)</f>
        <v>0</v>
      </c>
      <c r="R5234" s="56" t="n">
        <f aca="false">IF(AND(D5234&gt;1,Q5234=0,ISNUMBER(O5234),ISNUMBER(P5234)),IF(Q5233=0,1,0),0)</f>
        <v>1</v>
      </c>
      <c r="S5234" s="56" t="n">
        <f aca="false">R5234*(B5234&gt;=Train_Start)*(B5234&lt;=Train_End)</f>
        <v>0</v>
      </c>
      <c r="T5234" s="84" t="n">
        <f aca="false">IF(AND(ISNUMBER(O5234),ISNUMBER(P5234)),Coef_A+Coef_B1*O5234+Coef_B2*P5234,"")</f>
        <v>21.7454672245932</v>
      </c>
      <c r="U5234" s="84" t="n">
        <f aca="false">IF(AND(R5234=1,ISNUMBER(T5234)),E5234-T5234,"")</f>
        <v>-2.94546722459317</v>
      </c>
      <c r="V5234" s="84" t="n">
        <f aca="false">IF(ISNUMBER(T5234),T5234,-99)</f>
        <v>21.7454672245932</v>
      </c>
      <c r="W5234" s="84" t="n">
        <f aca="false">IF(ISNUMBER(U5234),ABS(U5234),"")</f>
        <v>2.94546722459317</v>
      </c>
    </row>
    <row r="5235" customFormat="false" ht="15" hidden="false" customHeight="false" outlineLevel="0" collapsed="false">
      <c r="A5235" s="57" t="n">
        <v>41426</v>
      </c>
      <c r="B5235" s="56" t="n">
        <v>2013</v>
      </c>
      <c r="C5235" s="56" t="n">
        <v>6</v>
      </c>
      <c r="D5235" s="56" t="n">
        <v>32</v>
      </c>
      <c r="E5235" s="56" t="n">
        <v>18.7</v>
      </c>
      <c r="F5235" s="56" t="n">
        <v>0</v>
      </c>
      <c r="G5235" s="56" t="n">
        <v>10</v>
      </c>
      <c r="H5235" s="56" t="n">
        <v>0</v>
      </c>
      <c r="I5235" s="56" t="n">
        <v>14.4</v>
      </c>
      <c r="J5235" s="56" t="n">
        <v>0</v>
      </c>
      <c r="K5235" s="56" t="n">
        <v>1023.4</v>
      </c>
      <c r="L5235" s="56" t="n">
        <v>0</v>
      </c>
      <c r="M5235" s="56" t="n">
        <v>59</v>
      </c>
      <c r="N5235" s="56" t="n">
        <v>7.9</v>
      </c>
      <c r="O5235" s="56" t="n">
        <f aca="false">IF(D5235=1,"",E5234)</f>
        <v>18.8</v>
      </c>
      <c r="P5235" s="56" t="n">
        <f aca="false">IF(OR(D5235=1,K5234=""),"",K5234)</f>
        <v>1018.3</v>
      </c>
      <c r="Q5235" s="56" t="n">
        <f aca="false">IF(OR(F5235&lt;&gt;0,AND(I5235&lt;&gt;"",E5235&lt;I5235)),1,0)</f>
        <v>0</v>
      </c>
      <c r="R5235" s="56" t="n">
        <f aca="false">IF(AND(D5235&gt;1,Q5235=0,ISNUMBER(O5235),ISNUMBER(P5235)),IF(Q5234=0,1,0),0)</f>
        <v>1</v>
      </c>
      <c r="S5235" s="56" t="n">
        <f aca="false">R5235*(B5235&gt;=Train_Start)*(B5235&lt;=Train_End)</f>
        <v>0</v>
      </c>
      <c r="T5235" s="84" t="n">
        <f aca="false">IF(AND(ISNUMBER(O5235),ISNUMBER(P5235)),Coef_A+Coef_B1*O5235+Coef_B2*P5235,"")</f>
        <v>19.4345159569891</v>
      </c>
      <c r="U5235" s="84" t="n">
        <f aca="false">IF(AND(R5235=1,ISNUMBER(T5235)),E5235-T5235,"")</f>
        <v>-0.734515956989061</v>
      </c>
      <c r="V5235" s="84" t="n">
        <f aca="false">IF(ISNUMBER(T5235),T5235,-99)</f>
        <v>19.4345159569891</v>
      </c>
      <c r="W5235" s="84" t="n">
        <f aca="false">IF(ISNUMBER(U5235),ABS(U5235),"")</f>
        <v>0.734515956989061</v>
      </c>
    </row>
    <row r="5236" customFormat="false" ht="15" hidden="false" customHeight="false" outlineLevel="0" collapsed="false">
      <c r="A5236" s="57" t="n">
        <v>41427</v>
      </c>
      <c r="B5236" s="56" t="n">
        <v>2013</v>
      </c>
      <c r="C5236" s="56" t="n">
        <v>6</v>
      </c>
      <c r="D5236" s="56" t="n">
        <v>33</v>
      </c>
      <c r="E5236" s="56" t="n">
        <v>19.3</v>
      </c>
      <c r="F5236" s="56" t="n">
        <v>0</v>
      </c>
      <c r="G5236" s="56" t="n">
        <v>8.2</v>
      </c>
      <c r="H5236" s="56" t="n">
        <v>0</v>
      </c>
      <c r="I5236" s="56" t="n">
        <v>13.5</v>
      </c>
      <c r="J5236" s="56" t="n">
        <v>0</v>
      </c>
      <c r="K5236" s="56" t="n">
        <v>1028.9</v>
      </c>
      <c r="L5236" s="56" t="n">
        <v>0</v>
      </c>
      <c r="M5236" s="56" t="n">
        <v>57</v>
      </c>
      <c r="N5236" s="56" t="n">
        <v>11.6</v>
      </c>
      <c r="O5236" s="56" t="n">
        <f aca="false">IF(D5236=1,"",E5235)</f>
        <v>18.7</v>
      </c>
      <c r="P5236" s="56" t="n">
        <f aca="false">IF(OR(D5236=1,K5235=""),"",K5235)</f>
        <v>1023.4</v>
      </c>
      <c r="Q5236" s="56" t="n">
        <f aca="false">IF(OR(F5236&lt;&gt;0,AND(I5236&lt;&gt;"",E5236&lt;I5236)),1,0)</f>
        <v>0</v>
      </c>
      <c r="R5236" s="56" t="n">
        <f aca="false">IF(AND(D5236&gt;1,Q5236=0,ISNUMBER(O5236),ISNUMBER(P5236)),IF(Q5235=0,1,0),0)</f>
        <v>1</v>
      </c>
      <c r="S5236" s="56" t="n">
        <f aca="false">R5236*(B5236&gt;=Train_Start)*(B5236&lt;=Train_End)</f>
        <v>0</v>
      </c>
      <c r="T5236" s="84" t="n">
        <f aca="false">IF(AND(ISNUMBER(O5236),ISNUMBER(P5236)),Coef_A+Coef_B1*O5236+Coef_B2*P5236,"")</f>
        <v>19.5125685003181</v>
      </c>
      <c r="U5236" s="84" t="n">
        <f aca="false">IF(AND(R5236=1,ISNUMBER(T5236)),E5236-T5236,"")</f>
        <v>-0.212568500318138</v>
      </c>
      <c r="V5236" s="84" t="n">
        <f aca="false">IF(ISNUMBER(T5236),T5236,-99)</f>
        <v>19.5125685003181</v>
      </c>
      <c r="W5236" s="84" t="n">
        <f aca="false">IF(ISNUMBER(U5236),ABS(U5236),"")</f>
        <v>0.212568500318138</v>
      </c>
    </row>
    <row r="5237" customFormat="false" ht="15" hidden="false" customHeight="false" outlineLevel="0" collapsed="false">
      <c r="A5237" s="57" t="n">
        <v>41428</v>
      </c>
      <c r="B5237" s="56" t="n">
        <v>2013</v>
      </c>
      <c r="C5237" s="56" t="n">
        <v>6</v>
      </c>
      <c r="D5237" s="56" t="n">
        <v>34</v>
      </c>
      <c r="E5237" s="56" t="n">
        <v>21.2</v>
      </c>
      <c r="F5237" s="56" t="n">
        <v>0</v>
      </c>
      <c r="G5237" s="56" t="n">
        <v>8.7</v>
      </c>
      <c r="H5237" s="56" t="n">
        <v>0</v>
      </c>
      <c r="I5237" s="56" t="n">
        <v>14</v>
      </c>
      <c r="J5237" s="56" t="n">
        <v>0</v>
      </c>
      <c r="K5237" s="56" t="n">
        <v>1031.4</v>
      </c>
      <c r="L5237" s="56" t="n">
        <v>0</v>
      </c>
      <c r="M5237" s="56" t="n">
        <v>59</v>
      </c>
      <c r="N5237" s="56" t="n">
        <v>13.2</v>
      </c>
      <c r="O5237" s="56" t="n">
        <f aca="false">IF(D5237=1,"",E5236)</f>
        <v>19.3</v>
      </c>
      <c r="P5237" s="56" t="n">
        <f aca="false">IF(OR(D5237=1,K5236=""),"",K5236)</f>
        <v>1028.9</v>
      </c>
      <c r="Q5237" s="56" t="n">
        <f aca="false">IF(OR(F5237&lt;&gt;0,AND(I5237&lt;&gt;"",E5237&lt;I5237)),1,0)</f>
        <v>0</v>
      </c>
      <c r="R5237" s="56" t="n">
        <f aca="false">IF(AND(D5237&gt;1,Q5237=0,ISNUMBER(O5237),ISNUMBER(P5237)),IF(Q5236=0,1,0),0)</f>
        <v>1</v>
      </c>
      <c r="S5237" s="56" t="n">
        <f aca="false">R5237*(B5237&gt;=Train_Start)*(B5237&lt;=Train_End)</f>
        <v>0</v>
      </c>
      <c r="T5237" s="84" t="n">
        <f aca="false">IF(AND(ISNUMBER(O5237),ISNUMBER(P5237)),Coef_A+Coef_B1*O5237+Coef_B2*P5237,"")</f>
        <v>20.1767064366307</v>
      </c>
      <c r="U5237" s="84" t="n">
        <f aca="false">IF(AND(R5237=1,ISNUMBER(T5237)),E5237-T5237,"")</f>
        <v>1.02329356336933</v>
      </c>
      <c r="V5237" s="84" t="n">
        <f aca="false">IF(ISNUMBER(T5237),T5237,-99)</f>
        <v>20.1767064366307</v>
      </c>
      <c r="W5237" s="84" t="n">
        <f aca="false">IF(ISNUMBER(U5237),ABS(U5237),"")</f>
        <v>1.02329356336933</v>
      </c>
    </row>
    <row r="5238" customFormat="false" ht="15" hidden="false" customHeight="false" outlineLevel="0" collapsed="false">
      <c r="A5238" s="57" t="n">
        <v>41429</v>
      </c>
      <c r="B5238" s="56" t="n">
        <v>2013</v>
      </c>
      <c r="C5238" s="56" t="n">
        <v>6</v>
      </c>
      <c r="D5238" s="56" t="n">
        <v>35</v>
      </c>
      <c r="E5238" s="56" t="n">
        <v>21.5</v>
      </c>
      <c r="F5238" s="56" t="n">
        <v>0</v>
      </c>
      <c r="G5238" s="56" t="n">
        <v>7.4</v>
      </c>
      <c r="H5238" s="56" t="n">
        <v>0</v>
      </c>
      <c r="I5238" s="56" t="n">
        <v>14.3</v>
      </c>
      <c r="J5238" s="56" t="n">
        <v>0</v>
      </c>
      <c r="K5238" s="56" t="n">
        <v>1026.8</v>
      </c>
      <c r="L5238" s="56" t="n">
        <v>0</v>
      </c>
      <c r="M5238" s="56" t="n">
        <v>56</v>
      </c>
      <c r="N5238" s="56" t="n">
        <v>14.1</v>
      </c>
      <c r="O5238" s="56" t="n">
        <f aca="false">IF(D5238=1,"",E5237)</f>
        <v>21.2</v>
      </c>
      <c r="P5238" s="56" t="n">
        <f aca="false">IF(OR(D5238=1,K5237=""),"",K5237)</f>
        <v>1031.4</v>
      </c>
      <c r="Q5238" s="56" t="n">
        <f aca="false">IF(OR(F5238&lt;&gt;0,AND(I5238&lt;&gt;"",E5238&lt;I5238)),1,0)</f>
        <v>0</v>
      </c>
      <c r="R5238" s="56" t="n">
        <f aca="false">IF(AND(D5238&gt;1,Q5238=0,ISNUMBER(O5238),ISNUMBER(P5238)),IF(Q5237=0,1,0),0)</f>
        <v>1</v>
      </c>
      <c r="S5238" s="56" t="n">
        <f aca="false">R5238*(B5238&gt;=Train_Start)*(B5238&lt;=Train_End)</f>
        <v>0</v>
      </c>
      <c r="T5238" s="84" t="n">
        <f aca="false">IF(AND(ISNUMBER(O5238),ISNUMBER(P5238)),Coef_A+Coef_B1*O5238+Coef_B2*P5238,"")</f>
        <v>21.8118756399967</v>
      </c>
      <c r="U5238" s="84" t="n">
        <f aca="false">IF(AND(R5238=1,ISNUMBER(T5238)),E5238-T5238,"")</f>
        <v>-0.311875639996703</v>
      </c>
      <c r="V5238" s="84" t="n">
        <f aca="false">IF(ISNUMBER(T5238),T5238,-99)</f>
        <v>21.8118756399967</v>
      </c>
      <c r="W5238" s="84" t="n">
        <f aca="false">IF(ISNUMBER(U5238),ABS(U5238),"")</f>
        <v>0.311875639996703</v>
      </c>
    </row>
    <row r="5239" customFormat="false" ht="15" hidden="false" customHeight="false" outlineLevel="0" collapsed="false">
      <c r="A5239" s="57" t="n">
        <v>41430</v>
      </c>
      <c r="B5239" s="56" t="n">
        <v>2013</v>
      </c>
      <c r="C5239" s="56" t="n">
        <v>6</v>
      </c>
      <c r="D5239" s="56" t="n">
        <v>36</v>
      </c>
      <c r="E5239" s="56" t="n">
        <v>22.9</v>
      </c>
      <c r="F5239" s="56" t="n">
        <v>0</v>
      </c>
      <c r="G5239" s="56" t="n">
        <v>8.5</v>
      </c>
      <c r="H5239" s="56" t="n">
        <v>0</v>
      </c>
      <c r="I5239" s="56" t="n">
        <v>15</v>
      </c>
      <c r="J5239" s="56" t="n">
        <v>0</v>
      </c>
      <c r="K5239" s="56" t="n">
        <v>1021.5</v>
      </c>
      <c r="L5239" s="56" t="n">
        <v>0</v>
      </c>
      <c r="M5239" s="56" t="n">
        <v>66</v>
      </c>
      <c r="N5239" s="56" t="n">
        <v>9.1</v>
      </c>
      <c r="O5239" s="56" t="n">
        <f aca="false">IF(D5239=1,"",E5238)</f>
        <v>21.5</v>
      </c>
      <c r="P5239" s="56" t="n">
        <f aca="false">IF(OR(D5239=1,K5238=""),"",K5238)</f>
        <v>1026.8</v>
      </c>
      <c r="Q5239" s="56" t="n">
        <f aca="false">IF(OR(F5239&lt;&gt;0,AND(I5239&lt;&gt;"",E5239&lt;I5239)),1,0)</f>
        <v>0</v>
      </c>
      <c r="R5239" s="56" t="n">
        <f aca="false">IF(AND(D5239&gt;1,Q5239=0,ISNUMBER(O5239),ISNUMBER(P5239)),IF(Q5238=0,1,0),0)</f>
        <v>1</v>
      </c>
      <c r="S5239" s="56" t="n">
        <f aca="false">R5239*(B5239&gt;=Train_Start)*(B5239&lt;=Train_End)</f>
        <v>0</v>
      </c>
      <c r="T5239" s="84" t="n">
        <f aca="false">IF(AND(ISNUMBER(O5239),ISNUMBER(P5239)),Coef_A+Coef_B1*O5239+Coef_B2*P5239,"")</f>
        <v>21.9133758825931</v>
      </c>
      <c r="U5239" s="84" t="n">
        <f aca="false">IF(AND(R5239=1,ISNUMBER(T5239)),E5239-T5239,"")</f>
        <v>0.986624117406855</v>
      </c>
      <c r="V5239" s="84" t="n">
        <f aca="false">IF(ISNUMBER(T5239),T5239,-99)</f>
        <v>21.9133758825931</v>
      </c>
      <c r="W5239" s="84" t="n">
        <f aca="false">IF(ISNUMBER(U5239),ABS(U5239),"")</f>
        <v>0.986624117406855</v>
      </c>
    </row>
    <row r="5240" customFormat="false" ht="15" hidden="false" customHeight="false" outlineLevel="0" collapsed="false">
      <c r="A5240" s="57" t="n">
        <v>41431</v>
      </c>
      <c r="B5240" s="56" t="n">
        <v>2013</v>
      </c>
      <c r="C5240" s="56" t="n">
        <v>6</v>
      </c>
      <c r="D5240" s="56" t="n">
        <v>37</v>
      </c>
      <c r="E5240" s="56" t="n">
        <v>20.6</v>
      </c>
      <c r="F5240" s="56" t="n">
        <v>0</v>
      </c>
      <c r="G5240" s="56" t="n">
        <v>8.5</v>
      </c>
      <c r="H5240" s="56" t="n">
        <v>0</v>
      </c>
      <c r="I5240" s="56" t="n">
        <v>15.7</v>
      </c>
      <c r="J5240" s="56" t="n">
        <v>0</v>
      </c>
      <c r="K5240" s="56" t="n">
        <v>1021.6</v>
      </c>
      <c r="L5240" s="56" t="n">
        <v>0</v>
      </c>
      <c r="M5240" s="56" t="n">
        <v>62</v>
      </c>
      <c r="N5240" s="56" t="n">
        <v>13.3</v>
      </c>
      <c r="O5240" s="56" t="n">
        <f aca="false">IF(D5240=1,"",E5239)</f>
        <v>22.9</v>
      </c>
      <c r="P5240" s="56" t="n">
        <f aca="false">IF(OR(D5240=1,K5239=""),"",K5239)</f>
        <v>1021.5</v>
      </c>
      <c r="Q5240" s="56" t="n">
        <f aca="false">IF(OR(F5240&lt;&gt;0,AND(I5240&lt;&gt;"",E5240&lt;I5240)),1,0)</f>
        <v>0</v>
      </c>
      <c r="R5240" s="56" t="n">
        <f aca="false">IF(AND(D5240&gt;1,Q5240=0,ISNUMBER(O5240),ISNUMBER(P5240)),IF(Q5239=0,1,0),0)</f>
        <v>1</v>
      </c>
      <c r="S5240" s="56" t="n">
        <f aca="false">R5240*(B5240&gt;=Train_Start)*(B5240&lt;=Train_End)</f>
        <v>0</v>
      </c>
      <c r="T5240" s="84" t="n">
        <f aca="false">IF(AND(ISNUMBER(O5240),ISNUMBER(P5240)),Coef_A+Coef_B1*O5240+Coef_B2*P5240,"")</f>
        <v>22.8941903112927</v>
      </c>
      <c r="U5240" s="84" t="n">
        <f aca="false">IF(AND(R5240=1,ISNUMBER(T5240)),E5240-T5240,"")</f>
        <v>-2.29419031129272</v>
      </c>
      <c r="V5240" s="84" t="n">
        <f aca="false">IF(ISNUMBER(T5240),T5240,-99)</f>
        <v>22.8941903112927</v>
      </c>
      <c r="W5240" s="84" t="n">
        <f aca="false">IF(ISNUMBER(U5240),ABS(U5240),"")</f>
        <v>2.29419031129272</v>
      </c>
    </row>
    <row r="5241" customFormat="false" ht="15" hidden="false" customHeight="false" outlineLevel="0" collapsed="false">
      <c r="A5241" s="57" t="n">
        <v>41432</v>
      </c>
      <c r="B5241" s="56" t="n">
        <v>2013</v>
      </c>
      <c r="C5241" s="56" t="n">
        <v>6</v>
      </c>
      <c r="D5241" s="56" t="n">
        <v>38</v>
      </c>
      <c r="E5241" s="56" t="n">
        <v>18.6</v>
      </c>
      <c r="F5241" s="56" t="n">
        <v>0</v>
      </c>
      <c r="G5241" s="56" t="n">
        <v>9.6</v>
      </c>
      <c r="H5241" s="56" t="n">
        <v>0</v>
      </c>
      <c r="I5241" s="56" t="n">
        <v>15.1</v>
      </c>
      <c r="J5241" s="56" t="n">
        <v>0</v>
      </c>
      <c r="K5241" s="56" t="n">
        <v>1023.1</v>
      </c>
      <c r="L5241" s="56" t="n">
        <v>0</v>
      </c>
      <c r="M5241" s="56" t="n">
        <v>62</v>
      </c>
      <c r="N5241" s="56" t="n">
        <v>4.6</v>
      </c>
      <c r="O5241" s="56" t="n">
        <f aca="false">IF(D5241=1,"",E5240)</f>
        <v>20.6</v>
      </c>
      <c r="P5241" s="56" t="n">
        <f aca="false">IF(OR(D5241=1,K5240=""),"",K5240)</f>
        <v>1021.6</v>
      </c>
      <c r="Q5241" s="56" t="n">
        <f aca="false">IF(OR(F5241&lt;&gt;0,AND(I5241&lt;&gt;"",E5241&lt;I5241)),1,0)</f>
        <v>0</v>
      </c>
      <c r="R5241" s="56" t="n">
        <f aca="false">IF(AND(D5241&gt;1,Q5241=0,ISNUMBER(O5241),ISNUMBER(P5241)),IF(Q5240=0,1,0),0)</f>
        <v>1</v>
      </c>
      <c r="S5241" s="56" t="n">
        <f aca="false">R5241*(B5241&gt;=Train_Start)*(B5241&lt;=Train_End)</f>
        <v>0</v>
      </c>
      <c r="T5241" s="84" t="n">
        <f aca="false">IF(AND(ISNUMBER(O5241),ISNUMBER(P5241)),Coef_A+Coef_B1*O5241+Coef_B2*P5241,"")</f>
        <v>21.012847156758</v>
      </c>
      <c r="U5241" s="84" t="n">
        <f aca="false">IF(AND(R5241=1,ISNUMBER(T5241)),E5241-T5241,"")</f>
        <v>-2.41284715675801</v>
      </c>
      <c r="V5241" s="84" t="n">
        <f aca="false">IF(ISNUMBER(T5241),T5241,-99)</f>
        <v>21.012847156758</v>
      </c>
      <c r="W5241" s="84" t="n">
        <f aca="false">IF(ISNUMBER(U5241),ABS(U5241),"")</f>
        <v>2.41284715675801</v>
      </c>
    </row>
    <row r="5242" customFormat="false" ht="15" hidden="false" customHeight="false" outlineLevel="0" collapsed="false">
      <c r="A5242" s="57" t="n">
        <v>41433</v>
      </c>
      <c r="B5242" s="56" t="n">
        <v>2013</v>
      </c>
      <c r="C5242" s="56" t="n">
        <v>6</v>
      </c>
      <c r="D5242" s="56" t="n">
        <v>39</v>
      </c>
      <c r="E5242" s="56" t="n">
        <v>15.3</v>
      </c>
      <c r="F5242" s="56" t="n">
        <v>0</v>
      </c>
      <c r="G5242" s="56" t="n">
        <v>8.9</v>
      </c>
      <c r="H5242" s="56" t="n">
        <v>0</v>
      </c>
      <c r="I5242" s="56" t="n">
        <v>13.8</v>
      </c>
      <c r="J5242" s="56" t="n">
        <v>0</v>
      </c>
      <c r="K5242" s="56" t="n">
        <v>1021.4</v>
      </c>
      <c r="L5242" s="56" t="n">
        <v>0</v>
      </c>
      <c r="M5242" s="56" t="n">
        <v>65</v>
      </c>
      <c r="N5242" s="56" t="n">
        <v>11.4</v>
      </c>
      <c r="O5242" s="56" t="n">
        <f aca="false">IF(D5242=1,"",E5241)</f>
        <v>18.6</v>
      </c>
      <c r="P5242" s="56" t="n">
        <f aca="false">IF(OR(D5242=1,K5241=""),"",K5241)</f>
        <v>1023.1</v>
      </c>
      <c r="Q5242" s="56" t="n">
        <f aca="false">IF(OR(F5242&lt;&gt;0,AND(I5242&lt;&gt;"",E5242&lt;I5242)),1,0)</f>
        <v>0</v>
      </c>
      <c r="R5242" s="56" t="n">
        <f aca="false">IF(AND(D5242&gt;1,Q5242=0,ISNUMBER(O5242),ISNUMBER(P5242)),IF(Q5241=0,1,0),0)</f>
        <v>1</v>
      </c>
      <c r="S5242" s="56" t="n">
        <f aca="false">R5242*(B5242&gt;=Train_Start)*(B5242&lt;=Train_End)</f>
        <v>0</v>
      </c>
      <c r="T5242" s="84" t="n">
        <f aca="false">IF(AND(ISNUMBER(O5242),ISNUMBER(P5242)),Coef_A+Coef_B1*O5242+Coef_B2*P5242,"")</f>
        <v>19.4212236126237</v>
      </c>
      <c r="U5242" s="84" t="n">
        <f aca="false">IF(AND(R5242=1,ISNUMBER(T5242)),E5242-T5242,"")</f>
        <v>-4.12122361262368</v>
      </c>
      <c r="V5242" s="84" t="n">
        <f aca="false">IF(ISNUMBER(T5242),T5242,-99)</f>
        <v>19.4212236126237</v>
      </c>
      <c r="W5242" s="84" t="n">
        <f aca="false">IF(ISNUMBER(U5242),ABS(U5242),"")</f>
        <v>4.12122361262368</v>
      </c>
    </row>
    <row r="5243" customFormat="false" ht="15" hidden="false" customHeight="false" outlineLevel="0" collapsed="false">
      <c r="A5243" s="57" t="n">
        <v>41434</v>
      </c>
      <c r="B5243" s="56" t="n">
        <v>2013</v>
      </c>
      <c r="C5243" s="56" t="n">
        <v>6</v>
      </c>
      <c r="D5243" s="56" t="n">
        <v>40</v>
      </c>
      <c r="E5243" s="56" t="n">
        <v>16.1</v>
      </c>
      <c r="F5243" s="56" t="n">
        <v>0</v>
      </c>
      <c r="G5243" s="56" t="n">
        <v>10.5</v>
      </c>
      <c r="H5243" s="56" t="n">
        <v>0</v>
      </c>
      <c r="I5243" s="56" t="n">
        <v>12.9</v>
      </c>
      <c r="J5243" s="56" t="n">
        <v>0</v>
      </c>
      <c r="K5243" s="56" t="n">
        <v>1016.7</v>
      </c>
      <c r="L5243" s="56" t="n">
        <v>0</v>
      </c>
      <c r="M5243" s="56" t="n">
        <v>66</v>
      </c>
      <c r="N5243" s="56" t="n">
        <v>0.3</v>
      </c>
      <c r="O5243" s="56" t="n">
        <f aca="false">IF(D5243=1,"",E5242)</f>
        <v>15.3</v>
      </c>
      <c r="P5243" s="56" t="n">
        <f aca="false">IF(OR(D5243=1,K5242=""),"",K5242)</f>
        <v>1021.4</v>
      </c>
      <c r="Q5243" s="56" t="n">
        <f aca="false">IF(OR(F5243&lt;&gt;0,AND(I5243&lt;&gt;"",E5243&lt;I5243)),1,0)</f>
        <v>0</v>
      </c>
      <c r="R5243" s="56" t="n">
        <f aca="false">IF(AND(D5243&gt;1,Q5243=0,ISNUMBER(O5243),ISNUMBER(P5243)),IF(Q5242=0,1,0),0)</f>
        <v>1</v>
      </c>
      <c r="S5243" s="56" t="n">
        <f aca="false">R5243*(B5243&gt;=Train_Start)*(B5243&lt;=Train_End)</f>
        <v>0</v>
      </c>
      <c r="T5243" s="84" t="n">
        <f aca="false">IF(AND(ISNUMBER(O5243),ISNUMBER(P5243)),Coef_A+Coef_B1*O5243+Coef_B2*P5243,"")</f>
        <v>16.6640754547051</v>
      </c>
      <c r="U5243" s="84" t="n">
        <f aca="false">IF(AND(R5243=1,ISNUMBER(T5243)),E5243-T5243,"")</f>
        <v>-0.564075454705126</v>
      </c>
      <c r="V5243" s="84" t="n">
        <f aca="false">IF(ISNUMBER(T5243),T5243,-99)</f>
        <v>16.6640754547051</v>
      </c>
      <c r="W5243" s="84" t="n">
        <f aca="false">IF(ISNUMBER(U5243),ABS(U5243),"")</f>
        <v>0.564075454705126</v>
      </c>
    </row>
    <row r="5244" customFormat="false" ht="15" hidden="false" customHeight="false" outlineLevel="0" collapsed="false">
      <c r="A5244" s="57" t="n">
        <v>41435</v>
      </c>
      <c r="B5244" s="56" t="n">
        <v>2013</v>
      </c>
      <c r="C5244" s="56" t="n">
        <v>6</v>
      </c>
      <c r="D5244" s="56" t="n">
        <v>41</v>
      </c>
      <c r="E5244" s="56" t="n">
        <v>18.1</v>
      </c>
      <c r="F5244" s="56" t="n">
        <v>0</v>
      </c>
      <c r="G5244" s="56" t="n">
        <v>10.5</v>
      </c>
      <c r="H5244" s="56" t="n">
        <v>0</v>
      </c>
      <c r="I5244" s="56" t="n">
        <v>13.3</v>
      </c>
      <c r="J5244" s="56" t="n">
        <v>0</v>
      </c>
      <c r="K5244" s="56" t="n">
        <v>1015.7</v>
      </c>
      <c r="L5244" s="56" t="n">
        <v>0</v>
      </c>
      <c r="M5244" s="56" t="n">
        <v>63</v>
      </c>
      <c r="N5244" s="56" t="n">
        <v>0.1</v>
      </c>
      <c r="O5244" s="56" t="n">
        <f aca="false">IF(D5244=1,"",E5243)</f>
        <v>16.1</v>
      </c>
      <c r="P5244" s="56" t="n">
        <f aca="false">IF(OR(D5244=1,K5243=""),"",K5243)</f>
        <v>1016.7</v>
      </c>
      <c r="Q5244" s="56" t="n">
        <f aca="false">IF(OR(F5244&lt;&gt;0,AND(I5244&lt;&gt;"",E5244&lt;I5244)),1,0)</f>
        <v>0</v>
      </c>
      <c r="R5244" s="56" t="n">
        <f aca="false">IF(AND(D5244&gt;1,Q5244=0,ISNUMBER(O5244),ISNUMBER(P5244)),IF(Q5243=0,1,0),0)</f>
        <v>1</v>
      </c>
      <c r="S5244" s="56" t="n">
        <f aca="false">R5244*(B5244&gt;=Train_Start)*(B5244&lt;=Train_End)</f>
        <v>0</v>
      </c>
      <c r="T5244" s="84" t="n">
        <f aca="false">IF(AND(ISNUMBER(O5244),ISNUMBER(P5244)),Coef_A+Coef_B1*O5244+Coef_B2*P5244,"")</f>
        <v>17.1721083043595</v>
      </c>
      <c r="U5244" s="84" t="n">
        <f aca="false">IF(AND(R5244=1,ISNUMBER(T5244)),E5244-T5244,"")</f>
        <v>0.927891695640497</v>
      </c>
      <c r="V5244" s="84" t="n">
        <f aca="false">IF(ISNUMBER(T5244),T5244,-99)</f>
        <v>17.1721083043595</v>
      </c>
      <c r="W5244" s="84" t="n">
        <f aca="false">IF(ISNUMBER(U5244),ABS(U5244),"")</f>
        <v>0.927891695640497</v>
      </c>
    </row>
    <row r="5245" customFormat="false" ht="15" hidden="false" customHeight="false" outlineLevel="0" collapsed="false">
      <c r="A5245" s="57" t="n">
        <v>41436</v>
      </c>
      <c r="B5245" s="56" t="n">
        <v>2013</v>
      </c>
      <c r="C5245" s="56" t="n">
        <v>6</v>
      </c>
      <c r="D5245" s="56" t="n">
        <v>42</v>
      </c>
      <c r="E5245" s="56" t="n">
        <v>17.8</v>
      </c>
      <c r="F5245" s="56" t="n">
        <v>0</v>
      </c>
      <c r="G5245" s="56" t="n">
        <v>8.5</v>
      </c>
      <c r="H5245" s="56" t="n">
        <v>0</v>
      </c>
      <c r="I5245" s="56" t="n">
        <v>13.3</v>
      </c>
      <c r="J5245" s="56" t="n">
        <v>0</v>
      </c>
      <c r="K5245" s="56" t="n">
        <v>1013.6</v>
      </c>
      <c r="L5245" s="56" t="n">
        <v>0</v>
      </c>
      <c r="M5245" s="56" t="n">
        <v>80</v>
      </c>
      <c r="N5245" s="56" t="n">
        <v>0.6</v>
      </c>
      <c r="O5245" s="56" t="n">
        <f aca="false">IF(D5245=1,"",E5244)</f>
        <v>18.1</v>
      </c>
      <c r="P5245" s="56" t="n">
        <f aca="false">IF(OR(D5245=1,K5244=""),"",K5244)</f>
        <v>1015.7</v>
      </c>
      <c r="Q5245" s="56" t="n">
        <f aca="false">IF(OR(F5245&lt;&gt;0,AND(I5245&lt;&gt;"",E5245&lt;I5245)),1,0)</f>
        <v>0</v>
      </c>
      <c r="R5245" s="56" t="n">
        <f aca="false">IF(AND(D5245&gt;1,Q5245=0,ISNUMBER(O5245),ISNUMBER(P5245)),IF(Q5244=0,1,0),0)</f>
        <v>1</v>
      </c>
      <c r="S5245" s="56" t="n">
        <f aca="false">R5245*(B5245&gt;=Train_Start)*(B5245&lt;=Train_End)</f>
        <v>0</v>
      </c>
      <c r="T5245" s="84" t="n">
        <f aca="false">IF(AND(ISNUMBER(O5245),ISNUMBER(P5245)),Coef_A+Coef_B1*O5245+Coef_B2*P5245,"")</f>
        <v>18.7794167958108</v>
      </c>
      <c r="U5245" s="84" t="n">
        <f aca="false">IF(AND(R5245=1,ISNUMBER(T5245)),E5245-T5245,"")</f>
        <v>-0.979416795810828</v>
      </c>
      <c r="V5245" s="84" t="n">
        <f aca="false">IF(ISNUMBER(T5245),T5245,-99)</f>
        <v>18.7794167958108</v>
      </c>
      <c r="W5245" s="84" t="n">
        <f aca="false">IF(ISNUMBER(U5245),ABS(U5245),"")</f>
        <v>0.979416795810828</v>
      </c>
    </row>
    <row r="5246" customFormat="false" ht="15" hidden="false" customHeight="false" outlineLevel="0" collapsed="false">
      <c r="A5246" s="57" t="n">
        <v>41437</v>
      </c>
      <c r="B5246" s="56" t="n">
        <v>2013</v>
      </c>
      <c r="C5246" s="56" t="n">
        <v>6</v>
      </c>
      <c r="D5246" s="56" t="n">
        <v>43</v>
      </c>
      <c r="E5246" s="56" t="n">
        <v>19.3</v>
      </c>
      <c r="F5246" s="56" t="n">
        <v>0</v>
      </c>
      <c r="G5246" s="56" t="n">
        <v>13.7</v>
      </c>
      <c r="H5246" s="56" t="n">
        <v>0</v>
      </c>
      <c r="I5246" s="56" t="n">
        <v>15.8</v>
      </c>
      <c r="J5246" s="56" t="n">
        <v>0</v>
      </c>
      <c r="K5246" s="56" t="n">
        <v>1011.1</v>
      </c>
      <c r="L5246" s="56" t="n">
        <v>0</v>
      </c>
      <c r="M5246" s="56" t="n">
        <v>84</v>
      </c>
      <c r="N5246" s="56" t="n">
        <v>0.3</v>
      </c>
      <c r="O5246" s="56" t="n">
        <f aca="false">IF(D5246=1,"",E5245)</f>
        <v>17.8</v>
      </c>
      <c r="P5246" s="56" t="n">
        <f aca="false">IF(OR(D5246=1,K5245=""),"",K5245)</f>
        <v>1013.6</v>
      </c>
      <c r="Q5246" s="56" t="n">
        <f aca="false">IF(OR(F5246&lt;&gt;0,AND(I5246&lt;&gt;"",E5246&lt;I5246)),1,0)</f>
        <v>0</v>
      </c>
      <c r="R5246" s="56" t="n">
        <f aca="false">IF(AND(D5246&gt;1,Q5246=0,ISNUMBER(O5246),ISNUMBER(P5246)),IF(Q5245=0,1,0),0)</f>
        <v>1</v>
      </c>
      <c r="S5246" s="56" t="n">
        <f aca="false">R5246*(B5246&gt;=Train_Start)*(B5246&lt;=Train_End)</f>
        <v>0</v>
      </c>
      <c r="T5246" s="84" t="n">
        <f aca="false">IF(AND(ISNUMBER(O5246),ISNUMBER(P5246)),Coef_A+Coef_B1*O5246+Coef_B2*P5246,"")</f>
        <v>18.4677382591667</v>
      </c>
      <c r="U5246" s="84" t="n">
        <f aca="false">IF(AND(R5246=1,ISNUMBER(T5246)),E5246-T5246,"")</f>
        <v>0.832261740833349</v>
      </c>
      <c r="V5246" s="84" t="n">
        <f aca="false">IF(ISNUMBER(T5246),T5246,-99)</f>
        <v>18.4677382591667</v>
      </c>
      <c r="W5246" s="84" t="n">
        <f aca="false">IF(ISNUMBER(U5246),ABS(U5246),"")</f>
        <v>0.832261740833349</v>
      </c>
    </row>
    <row r="5247" customFormat="false" ht="15" hidden="false" customHeight="false" outlineLevel="0" collapsed="false">
      <c r="A5247" s="57" t="n">
        <v>41438</v>
      </c>
      <c r="B5247" s="56" t="n">
        <v>2013</v>
      </c>
      <c r="C5247" s="56" t="n">
        <v>6</v>
      </c>
      <c r="D5247" s="56" t="n">
        <v>44</v>
      </c>
      <c r="E5247" s="56" t="n">
        <v>19.7</v>
      </c>
      <c r="F5247" s="56" t="n">
        <v>0</v>
      </c>
      <c r="G5247" s="56" t="n">
        <v>13</v>
      </c>
      <c r="H5247" s="56" t="n">
        <v>0</v>
      </c>
      <c r="I5247" s="56" t="n">
        <v>16.2</v>
      </c>
      <c r="J5247" s="56" t="n">
        <v>0</v>
      </c>
      <c r="K5247" s="56" t="n">
        <v>1011.4</v>
      </c>
      <c r="L5247" s="56" t="n">
        <v>0</v>
      </c>
      <c r="M5247" s="56" t="n">
        <v>73</v>
      </c>
      <c r="N5247" s="56" t="n">
        <v>1.5</v>
      </c>
      <c r="O5247" s="56" t="n">
        <f aca="false">IF(D5247=1,"",E5246)</f>
        <v>19.3</v>
      </c>
      <c r="P5247" s="56" t="n">
        <f aca="false">IF(OR(D5247=1,K5246=""),"",K5246)</f>
        <v>1011.1</v>
      </c>
      <c r="Q5247" s="56" t="n">
        <f aca="false">IF(OR(F5247&lt;&gt;0,AND(I5247&lt;&gt;"",E5247&lt;I5247)),1,0)</f>
        <v>0</v>
      </c>
      <c r="R5247" s="56" t="n">
        <f aca="false">IF(AND(D5247&gt;1,Q5247=0,ISNUMBER(O5247),ISNUMBER(P5247)),IF(Q5246=0,1,0),0)</f>
        <v>1</v>
      </c>
      <c r="S5247" s="56" t="n">
        <f aca="false">R5247*(B5247&gt;=Train_Start)*(B5247&lt;=Train_End)</f>
        <v>0</v>
      </c>
      <c r="T5247" s="84" t="n">
        <f aca="false">IF(AND(ISNUMBER(O5247),ISNUMBER(P5247)),Coef_A+Coef_B1*O5247+Coef_B2*P5247,"")</f>
        <v>19.6183223121457</v>
      </c>
      <c r="U5247" s="84" t="n">
        <f aca="false">IF(AND(R5247=1,ISNUMBER(T5247)),E5247-T5247,"")</f>
        <v>0.0816776878543344</v>
      </c>
      <c r="V5247" s="84" t="n">
        <f aca="false">IF(ISNUMBER(T5247),T5247,-99)</f>
        <v>19.6183223121457</v>
      </c>
      <c r="W5247" s="84" t="n">
        <f aca="false">IF(ISNUMBER(U5247),ABS(U5247),"")</f>
        <v>0.0816776878543344</v>
      </c>
    </row>
    <row r="5248" customFormat="false" ht="15" hidden="false" customHeight="false" outlineLevel="0" collapsed="false">
      <c r="A5248" s="57" t="n">
        <v>41439</v>
      </c>
      <c r="B5248" s="56" t="n">
        <v>2013</v>
      </c>
      <c r="C5248" s="56" t="n">
        <v>6</v>
      </c>
      <c r="D5248" s="56" t="n">
        <v>45</v>
      </c>
      <c r="E5248" s="56" t="n">
        <v>18.3</v>
      </c>
      <c r="F5248" s="56" t="n">
        <v>0</v>
      </c>
      <c r="G5248" s="56" t="n">
        <v>9.1</v>
      </c>
      <c r="H5248" s="56" t="n">
        <v>0</v>
      </c>
      <c r="I5248" s="56" t="n">
        <v>14.4</v>
      </c>
      <c r="J5248" s="56" t="n">
        <v>0</v>
      </c>
      <c r="K5248" s="56" t="n">
        <v>1015.7</v>
      </c>
      <c r="L5248" s="56" t="n">
        <v>0</v>
      </c>
      <c r="M5248" s="56" t="n">
        <v>67</v>
      </c>
      <c r="N5248" s="56" t="n">
        <v>5.1</v>
      </c>
      <c r="O5248" s="56" t="n">
        <f aca="false">IF(D5248=1,"",E5247)</f>
        <v>19.7</v>
      </c>
      <c r="P5248" s="56" t="n">
        <f aca="false">IF(OR(D5248=1,K5247=""),"",K5247)</f>
        <v>1011.4</v>
      </c>
      <c r="Q5248" s="56" t="n">
        <f aca="false">IF(OR(F5248&lt;&gt;0,AND(I5248&lt;&gt;"",E5248&lt;I5248)),1,0)</f>
        <v>0</v>
      </c>
      <c r="R5248" s="56" t="n">
        <f aca="false">IF(AND(D5248&gt;1,Q5248=0,ISNUMBER(O5248),ISNUMBER(P5248)),IF(Q5247=0,1,0),0)</f>
        <v>1</v>
      </c>
      <c r="S5248" s="56" t="n">
        <f aca="false">R5248*(B5248&gt;=Train_Start)*(B5248&lt;=Train_End)</f>
        <v>0</v>
      </c>
      <c r="T5248" s="84" t="n">
        <f aca="false">IF(AND(ISNUMBER(O5248),ISNUMBER(P5248)),Coef_A+Coef_B1*O5248+Coef_B2*P5248,"")</f>
        <v>19.9554689577529</v>
      </c>
      <c r="U5248" s="84" t="n">
        <f aca="false">IF(AND(R5248=1,ISNUMBER(T5248)),E5248-T5248,"")</f>
        <v>-1.65546895775292</v>
      </c>
      <c r="V5248" s="84" t="n">
        <f aca="false">IF(ISNUMBER(T5248),T5248,-99)</f>
        <v>19.9554689577529</v>
      </c>
      <c r="W5248" s="84" t="n">
        <f aca="false">IF(ISNUMBER(U5248),ABS(U5248),"")</f>
        <v>1.65546895775292</v>
      </c>
    </row>
    <row r="5249" customFormat="false" ht="15" hidden="false" customHeight="false" outlineLevel="0" collapsed="false">
      <c r="A5249" s="57" t="n">
        <v>41440</v>
      </c>
      <c r="B5249" s="56" t="n">
        <v>2013</v>
      </c>
      <c r="C5249" s="56" t="n">
        <v>6</v>
      </c>
      <c r="D5249" s="56" t="n">
        <v>46</v>
      </c>
      <c r="E5249" s="56" t="n">
        <v>18.2</v>
      </c>
      <c r="F5249" s="56" t="n">
        <v>0</v>
      </c>
      <c r="G5249" s="56" t="n">
        <v>10.7</v>
      </c>
      <c r="H5249" s="56" t="n">
        <v>0</v>
      </c>
      <c r="I5249" s="56" t="n">
        <v>14.5</v>
      </c>
      <c r="J5249" s="56" t="n">
        <v>0</v>
      </c>
      <c r="K5249" s="56" t="n">
        <v>1008.7</v>
      </c>
      <c r="L5249" s="56" t="n">
        <v>0</v>
      </c>
      <c r="M5249" s="56" t="n">
        <v>72</v>
      </c>
      <c r="N5249" s="56" t="n">
        <v>6.3</v>
      </c>
      <c r="O5249" s="56" t="n">
        <f aca="false">IF(D5249=1,"",E5248)</f>
        <v>18.3</v>
      </c>
      <c r="P5249" s="56" t="n">
        <f aca="false">IF(OR(D5249=1,K5248=""),"",K5248)</f>
        <v>1015.7</v>
      </c>
      <c r="Q5249" s="56" t="n">
        <f aca="false">IF(OR(F5249&lt;&gt;0,AND(I5249&lt;&gt;"",E5249&lt;I5249)),1,0)</f>
        <v>0</v>
      </c>
      <c r="R5249" s="56" t="n">
        <f aca="false">IF(AND(D5249&gt;1,Q5249=0,ISNUMBER(O5249),ISNUMBER(P5249)),IF(Q5248=0,1,0),0)</f>
        <v>1</v>
      </c>
      <c r="S5249" s="56" t="n">
        <f aca="false">R5249*(B5249&gt;=Train_Start)*(B5249&lt;=Train_End)</f>
        <v>0</v>
      </c>
      <c r="T5249" s="84" t="n">
        <f aca="false">IF(AND(ISNUMBER(O5249),ISNUMBER(P5249)),Coef_A+Coef_B1*O5249+Coef_B2*P5249,"")</f>
        <v>18.9432846344194</v>
      </c>
      <c r="U5249" s="84" t="n">
        <f aca="false">IF(AND(R5249=1,ISNUMBER(T5249)),E5249-T5249,"")</f>
        <v>-0.743284634419361</v>
      </c>
      <c r="V5249" s="84" t="n">
        <f aca="false">IF(ISNUMBER(T5249),T5249,-99)</f>
        <v>18.9432846344194</v>
      </c>
      <c r="W5249" s="84" t="n">
        <f aca="false">IF(ISNUMBER(U5249),ABS(U5249),"")</f>
        <v>0.743284634419361</v>
      </c>
    </row>
    <row r="5250" customFormat="false" ht="15" hidden="false" customHeight="false" outlineLevel="0" collapsed="false">
      <c r="A5250" s="57" t="n">
        <v>41441</v>
      </c>
      <c r="B5250" s="56" t="n">
        <v>2013</v>
      </c>
      <c r="C5250" s="56" t="n">
        <v>6</v>
      </c>
      <c r="D5250" s="56" t="n">
        <v>47</v>
      </c>
      <c r="E5250" s="56" t="n">
        <v>21.3</v>
      </c>
      <c r="F5250" s="56" t="n">
        <v>0</v>
      </c>
      <c r="G5250" s="56" t="n">
        <v>11.5</v>
      </c>
      <c r="H5250" s="56" t="n">
        <v>0</v>
      </c>
      <c r="I5250" s="56" t="n">
        <v>14.9</v>
      </c>
      <c r="J5250" s="56" t="n">
        <v>0</v>
      </c>
      <c r="K5250" s="56" t="n">
        <v>1013.8</v>
      </c>
      <c r="L5250" s="56" t="n">
        <v>0</v>
      </c>
      <c r="M5250" s="56" t="n">
        <v>67</v>
      </c>
      <c r="N5250" s="56" t="n">
        <v>2.5</v>
      </c>
      <c r="O5250" s="56" t="n">
        <f aca="false">IF(D5250=1,"",E5249)</f>
        <v>18.2</v>
      </c>
      <c r="P5250" s="56" t="n">
        <f aca="false">IF(OR(D5250=1,K5249=""),"",K5249)</f>
        <v>1008.7</v>
      </c>
      <c r="Q5250" s="56" t="n">
        <f aca="false">IF(OR(F5250&lt;&gt;0,AND(I5250&lt;&gt;"",E5250&lt;I5250)),1,0)</f>
        <v>0</v>
      </c>
      <c r="R5250" s="56" t="n">
        <f aca="false">IF(AND(D5250&gt;1,Q5250=0,ISNUMBER(O5250),ISNUMBER(P5250)),IF(Q5249=0,1,0),0)</f>
        <v>1</v>
      </c>
      <c r="S5250" s="56" t="n">
        <f aca="false">R5250*(B5250&gt;=Train_Start)*(B5250&lt;=Train_End)</f>
        <v>0</v>
      </c>
      <c r="T5250" s="84" t="n">
        <f aca="false">IF(AND(ISNUMBER(O5250),ISNUMBER(P5250)),Coef_A+Coef_B1*O5250+Coef_B2*P5250,"")</f>
        <v>18.6417614526772</v>
      </c>
      <c r="U5250" s="84" t="n">
        <f aca="false">IF(AND(R5250=1,ISNUMBER(T5250)),E5250-T5250,"")</f>
        <v>2.65823854732284</v>
      </c>
      <c r="V5250" s="84" t="n">
        <f aca="false">IF(ISNUMBER(T5250),T5250,-99)</f>
        <v>18.6417614526772</v>
      </c>
      <c r="W5250" s="84" t="n">
        <f aca="false">IF(ISNUMBER(U5250),ABS(U5250),"")</f>
        <v>2.65823854732284</v>
      </c>
    </row>
    <row r="5251" customFormat="false" ht="15" hidden="false" customHeight="false" outlineLevel="0" collapsed="false">
      <c r="A5251" s="57" t="n">
        <v>41442</v>
      </c>
      <c r="B5251" s="56" t="n">
        <v>2013</v>
      </c>
      <c r="C5251" s="56" t="n">
        <v>6</v>
      </c>
      <c r="D5251" s="56" t="n">
        <v>48</v>
      </c>
      <c r="E5251" s="56" t="n">
        <v>21</v>
      </c>
      <c r="F5251" s="56" t="n">
        <v>0</v>
      </c>
      <c r="G5251" s="56" t="n">
        <v>12.7</v>
      </c>
      <c r="H5251" s="56" t="n">
        <v>0</v>
      </c>
      <c r="I5251" s="56" t="n">
        <v>17</v>
      </c>
      <c r="J5251" s="56" t="n">
        <v>0</v>
      </c>
      <c r="K5251" s="56" t="n">
        <v>1014</v>
      </c>
      <c r="L5251" s="56" t="n">
        <v>0</v>
      </c>
      <c r="M5251" s="56" t="n">
        <v>61</v>
      </c>
      <c r="N5251" s="56" t="n">
        <v>0.2</v>
      </c>
      <c r="O5251" s="56" t="n">
        <f aca="false">IF(D5251=1,"",E5250)</f>
        <v>21.3</v>
      </c>
      <c r="P5251" s="56" t="n">
        <f aca="false">IF(OR(D5251=1,K5250=""),"",K5250)</f>
        <v>1013.8</v>
      </c>
      <c r="Q5251" s="56" t="n">
        <f aca="false">IF(OR(F5251&lt;&gt;0,AND(I5251&lt;&gt;"",E5251&lt;I5251)),1,0)</f>
        <v>0</v>
      </c>
      <c r="R5251" s="56" t="n">
        <f aca="false">IF(AND(D5251&gt;1,Q5251=0,ISNUMBER(O5251),ISNUMBER(P5251)),IF(Q5250=0,1,0),0)</f>
        <v>1</v>
      </c>
      <c r="S5251" s="56" t="n">
        <f aca="false">R5251*(B5251&gt;=Train_Start)*(B5251&lt;=Train_End)</f>
        <v>0</v>
      </c>
      <c r="T5251" s="84" t="n">
        <f aca="false">IF(AND(ISNUMBER(O5251),ISNUMBER(P5251)),Coef_A+Coef_B1*O5251+Coef_B2*P5251,"")</f>
        <v>21.3416994137428</v>
      </c>
      <c r="U5251" s="84" t="n">
        <f aca="false">IF(AND(R5251=1,ISNUMBER(T5251)),E5251-T5251,"")</f>
        <v>-0.341699413742749</v>
      </c>
      <c r="V5251" s="84" t="n">
        <f aca="false">IF(ISNUMBER(T5251),T5251,-99)</f>
        <v>21.3416994137428</v>
      </c>
      <c r="W5251" s="84" t="n">
        <f aca="false">IF(ISNUMBER(U5251),ABS(U5251),"")</f>
        <v>0.341699413742749</v>
      </c>
    </row>
    <row r="5252" customFormat="false" ht="15" hidden="false" customHeight="false" outlineLevel="0" collapsed="false">
      <c r="A5252" s="57" t="n">
        <v>41443</v>
      </c>
      <c r="B5252" s="56" t="n">
        <v>2013</v>
      </c>
      <c r="C5252" s="56" t="n">
        <v>6</v>
      </c>
      <c r="D5252" s="56" t="n">
        <v>49</v>
      </c>
      <c r="E5252" s="56" t="n">
        <v>26.1</v>
      </c>
      <c r="F5252" s="56" t="n">
        <v>0</v>
      </c>
      <c r="G5252" s="56" t="n">
        <v>13.5</v>
      </c>
      <c r="H5252" s="56" t="n">
        <v>0</v>
      </c>
      <c r="I5252" s="56" t="n">
        <v>17.3</v>
      </c>
      <c r="J5252" s="56" t="n">
        <v>0</v>
      </c>
      <c r="K5252" s="56" t="n">
        <v>1014.4</v>
      </c>
      <c r="L5252" s="56" t="n">
        <v>0</v>
      </c>
      <c r="M5252" s="56" t="n">
        <v>74</v>
      </c>
      <c r="N5252" s="56" t="n">
        <v>3.2</v>
      </c>
      <c r="O5252" s="56" t="n">
        <f aca="false">IF(D5252=1,"",E5251)</f>
        <v>21</v>
      </c>
      <c r="P5252" s="56" t="n">
        <f aca="false">IF(OR(D5252=1,K5251=""),"",K5251)</f>
        <v>1014</v>
      </c>
      <c r="Q5252" s="56" t="n">
        <f aca="false">IF(OR(F5252&lt;&gt;0,AND(I5252&lt;&gt;"",E5252&lt;I5252)),1,0)</f>
        <v>0</v>
      </c>
      <c r="R5252" s="56" t="n">
        <f aca="false">IF(AND(D5252&gt;1,Q5252=0,ISNUMBER(O5252),ISNUMBER(P5252)),IF(Q5251=0,1,0),0)</f>
        <v>1</v>
      </c>
      <c r="S5252" s="56" t="n">
        <f aca="false">R5252*(B5252&gt;=Train_Start)*(B5252&lt;=Train_End)</f>
        <v>0</v>
      </c>
      <c r="T5252" s="84" t="n">
        <f aca="false">IF(AND(ISNUMBER(O5252),ISNUMBER(P5252)),Coef_A+Coef_B1*O5252+Coef_B2*P5252,"")</f>
        <v>21.1021716347568</v>
      </c>
      <c r="U5252" s="84" t="n">
        <f aca="false">IF(AND(R5252=1,ISNUMBER(T5252)),E5252-T5252,"")</f>
        <v>4.99782836524325</v>
      </c>
      <c r="V5252" s="84" t="n">
        <f aca="false">IF(ISNUMBER(T5252),T5252,-99)</f>
        <v>21.1021716347568</v>
      </c>
      <c r="W5252" s="84" t="n">
        <f aca="false">IF(ISNUMBER(U5252),ABS(U5252),"")</f>
        <v>4.99782836524325</v>
      </c>
    </row>
    <row r="5253" customFormat="false" ht="15" hidden="false" customHeight="false" outlineLevel="0" collapsed="false">
      <c r="A5253" s="57" t="n">
        <v>41444</v>
      </c>
      <c r="B5253" s="56" t="n">
        <v>2013</v>
      </c>
      <c r="C5253" s="56" t="n">
        <v>6</v>
      </c>
      <c r="D5253" s="56" t="n">
        <v>50</v>
      </c>
      <c r="E5253" s="56" t="n">
        <v>21.3</v>
      </c>
      <c r="F5253" s="56" t="n">
        <v>0</v>
      </c>
      <c r="G5253" s="56" t="n">
        <v>15.3</v>
      </c>
      <c r="H5253" s="56" t="n">
        <v>0</v>
      </c>
      <c r="I5253" s="56" t="n">
        <v>20.7</v>
      </c>
      <c r="J5253" s="56" t="n">
        <v>0</v>
      </c>
      <c r="K5253" s="56" t="n">
        <v>1014.7</v>
      </c>
      <c r="L5253" s="56" t="n">
        <v>0</v>
      </c>
      <c r="M5253" s="56" t="n">
        <v>71</v>
      </c>
      <c r="N5253" s="56" t="n">
        <v>4.9</v>
      </c>
      <c r="O5253" s="56" t="n">
        <f aca="false">IF(D5253=1,"",E5252)</f>
        <v>26.1</v>
      </c>
      <c r="P5253" s="56" t="n">
        <f aca="false">IF(OR(D5253=1,K5252=""),"",K5252)</f>
        <v>1014.4</v>
      </c>
      <c r="Q5253" s="56" t="n">
        <f aca="false">IF(OR(F5253&lt;&gt;0,AND(I5253&lt;&gt;"",E5253&lt;I5253)),1,0)</f>
        <v>0</v>
      </c>
      <c r="R5253" s="56" t="n">
        <f aca="false">IF(AND(D5253&gt;1,Q5253=0,ISNUMBER(O5253),ISNUMBER(P5253)),IF(Q5252=0,1,0),0)</f>
        <v>1</v>
      </c>
      <c r="S5253" s="56" t="n">
        <f aca="false">R5253*(B5253&gt;=Train_Start)*(B5253&lt;=Train_End)</f>
        <v>0</v>
      </c>
      <c r="T5253" s="84" t="n">
        <f aca="false">IF(AND(ISNUMBER(O5253),ISNUMBER(P5253)),Coef_A+Coef_B1*O5253+Coef_B2*P5253,"")</f>
        <v>25.2933494771279</v>
      </c>
      <c r="U5253" s="84" t="n">
        <f aca="false">IF(AND(R5253=1,ISNUMBER(T5253)),E5253-T5253,"")</f>
        <v>-3.9933494771279</v>
      </c>
      <c r="V5253" s="84" t="n">
        <f aca="false">IF(ISNUMBER(T5253),T5253,-99)</f>
        <v>25.2933494771279</v>
      </c>
      <c r="W5253" s="84" t="n">
        <f aca="false">IF(ISNUMBER(U5253),ABS(U5253),"")</f>
        <v>3.9933494771279</v>
      </c>
    </row>
    <row r="5254" customFormat="false" ht="15" hidden="false" customHeight="false" outlineLevel="0" collapsed="false">
      <c r="A5254" s="57" t="n">
        <v>41445</v>
      </c>
      <c r="B5254" s="56" t="n">
        <v>2013</v>
      </c>
      <c r="C5254" s="56" t="n">
        <v>6</v>
      </c>
      <c r="D5254" s="56" t="n">
        <v>51</v>
      </c>
      <c r="E5254" s="56" t="n">
        <v>23.7</v>
      </c>
      <c r="F5254" s="56" t="n">
        <v>0</v>
      </c>
      <c r="G5254" s="56" t="n">
        <v>16.6</v>
      </c>
      <c r="H5254" s="56" t="n">
        <v>0</v>
      </c>
      <c r="I5254" s="56" t="n">
        <v>19</v>
      </c>
      <c r="J5254" s="56" t="n">
        <v>0</v>
      </c>
      <c r="K5254" s="56" t="n">
        <v>1011.8</v>
      </c>
      <c r="L5254" s="56" t="n">
        <v>0</v>
      </c>
      <c r="M5254" s="56" t="n">
        <v>77</v>
      </c>
      <c r="N5254" s="56" t="n">
        <v>2</v>
      </c>
      <c r="O5254" s="56" t="n">
        <f aca="false">IF(D5254=1,"",E5253)</f>
        <v>21.3</v>
      </c>
      <c r="P5254" s="56" t="n">
        <f aca="false">IF(OR(D5254=1,K5253=""),"",K5253)</f>
        <v>1014.7</v>
      </c>
      <c r="Q5254" s="56" t="n">
        <f aca="false">IF(OR(F5254&lt;&gt;0,AND(I5254&lt;&gt;"",E5254&lt;I5254)),1,0)</f>
        <v>0</v>
      </c>
      <c r="R5254" s="56" t="n">
        <f aca="false">IF(AND(D5254&gt;1,Q5254=0,ISNUMBER(O5254),ISNUMBER(P5254)),IF(Q5253=0,1,0),0)</f>
        <v>1</v>
      </c>
      <c r="S5254" s="56" t="n">
        <f aca="false">R5254*(B5254&gt;=Train_Start)*(B5254&lt;=Train_End)</f>
        <v>0</v>
      </c>
      <c r="T5254" s="84" t="n">
        <f aca="false">IF(AND(ISNUMBER(O5254),ISNUMBER(P5254)),Coef_A+Coef_B1*O5254+Coef_B2*P5254,"")</f>
        <v>21.3699323189133</v>
      </c>
      <c r="U5254" s="84" t="n">
        <f aca="false">IF(AND(R5254=1,ISNUMBER(T5254)),E5254-T5254,"")</f>
        <v>2.33006768108666</v>
      </c>
      <c r="V5254" s="84" t="n">
        <f aca="false">IF(ISNUMBER(T5254),T5254,-99)</f>
        <v>21.3699323189133</v>
      </c>
      <c r="W5254" s="84" t="n">
        <f aca="false">IF(ISNUMBER(U5254),ABS(U5254),"")</f>
        <v>2.33006768108666</v>
      </c>
    </row>
    <row r="5255" customFormat="false" ht="15" hidden="false" customHeight="false" outlineLevel="0" collapsed="false">
      <c r="A5255" s="57" t="n">
        <v>41446</v>
      </c>
      <c r="B5255" s="56" t="n">
        <v>2013</v>
      </c>
      <c r="C5255" s="56" t="n">
        <v>6</v>
      </c>
      <c r="D5255" s="56" t="n">
        <v>52</v>
      </c>
      <c r="E5255" s="56" t="n">
        <v>19.4</v>
      </c>
      <c r="F5255" s="56" t="n">
        <v>0</v>
      </c>
      <c r="G5255" s="56" t="n">
        <v>13.9</v>
      </c>
      <c r="H5255" s="56" t="n">
        <v>0</v>
      </c>
      <c r="I5255" s="56" t="n">
        <v>18.8</v>
      </c>
      <c r="J5255" s="56" t="n">
        <v>0</v>
      </c>
      <c r="K5255" s="56" t="n">
        <v>1010.1</v>
      </c>
      <c r="L5255" s="56" t="n">
        <v>0</v>
      </c>
      <c r="M5255" s="56" t="n">
        <v>77</v>
      </c>
      <c r="N5255" s="56" t="n">
        <v>3.3</v>
      </c>
      <c r="O5255" s="56" t="n">
        <f aca="false">IF(D5255=1,"",E5254)</f>
        <v>23.7</v>
      </c>
      <c r="P5255" s="56" t="n">
        <f aca="false">IF(OR(D5255=1,K5254=""),"",K5254)</f>
        <v>1011.8</v>
      </c>
      <c r="Q5255" s="56" t="n">
        <f aca="false">IF(OR(F5255&lt;&gt;0,AND(I5255&lt;&gt;"",E5255&lt;I5255)),1,0)</f>
        <v>0</v>
      </c>
      <c r="R5255" s="56" t="n">
        <f aca="false">IF(AND(D5255&gt;1,Q5255=0,ISNUMBER(O5255),ISNUMBER(P5255)),IF(Q5254=0,1,0),0)</f>
        <v>1</v>
      </c>
      <c r="S5255" s="56" t="n">
        <f aca="false">R5255*(B5255&gt;=Train_Start)*(B5255&lt;=Train_End)</f>
        <v>0</v>
      </c>
      <c r="T5255" s="84" t="n">
        <f aca="false">IF(AND(ISNUMBER(O5255),ISNUMBER(P5255)),Coef_A+Coef_B1*O5255+Coef_B2*P5255,"")</f>
        <v>23.2453736877771</v>
      </c>
      <c r="U5255" s="84" t="n">
        <f aca="false">IF(AND(R5255=1,ISNUMBER(T5255)),E5255-T5255,"")</f>
        <v>-3.84537368777715</v>
      </c>
      <c r="V5255" s="84" t="n">
        <f aca="false">IF(ISNUMBER(T5255),T5255,-99)</f>
        <v>23.2453736877771</v>
      </c>
      <c r="W5255" s="84" t="n">
        <f aca="false">IF(ISNUMBER(U5255),ABS(U5255),"")</f>
        <v>3.84537368777715</v>
      </c>
    </row>
    <row r="5256" customFormat="false" ht="15" hidden="false" customHeight="false" outlineLevel="0" collapsed="false">
      <c r="A5256" s="57" t="n">
        <v>41447</v>
      </c>
      <c r="B5256" s="56" t="n">
        <v>2013</v>
      </c>
      <c r="C5256" s="56" t="n">
        <v>6</v>
      </c>
      <c r="D5256" s="56" t="n">
        <v>53</v>
      </c>
      <c r="E5256" s="56" t="n">
        <v>18.6</v>
      </c>
      <c r="F5256" s="56" t="n">
        <v>0</v>
      </c>
      <c r="G5256" s="56" t="n">
        <v>11.8</v>
      </c>
      <c r="H5256" s="56" t="n">
        <v>0</v>
      </c>
      <c r="I5256" s="56" t="n">
        <v>15.6</v>
      </c>
      <c r="J5256" s="56" t="n">
        <v>0</v>
      </c>
      <c r="K5256" s="56" t="n">
        <v>1006.7</v>
      </c>
      <c r="L5256" s="56" t="n">
        <v>0</v>
      </c>
      <c r="M5256" s="56" t="n">
        <v>79</v>
      </c>
      <c r="N5256" s="56" t="n">
        <v>1.1</v>
      </c>
      <c r="O5256" s="56" t="n">
        <f aca="false">IF(D5256=1,"",E5255)</f>
        <v>19.4</v>
      </c>
      <c r="P5256" s="56" t="n">
        <f aca="false">IF(OR(D5256=1,K5255=""),"",K5255)</f>
        <v>1010.1</v>
      </c>
      <c r="Q5256" s="56" t="n">
        <f aca="false">IF(OR(F5256&lt;&gt;0,AND(I5256&lt;&gt;"",E5256&lt;I5256)),1,0)</f>
        <v>0</v>
      </c>
      <c r="R5256" s="56" t="n">
        <f aca="false">IF(AND(D5256&gt;1,Q5256=0,ISNUMBER(O5256),ISNUMBER(P5256)),IF(Q5255=0,1,0),0)</f>
        <v>1</v>
      </c>
      <c r="S5256" s="56" t="n">
        <f aca="false">R5256*(B5256&gt;=Train_Start)*(B5256&lt;=Train_End)</f>
        <v>0</v>
      </c>
      <c r="T5256" s="84" t="n">
        <f aca="false">IF(AND(ISNUMBER(O5256),ISNUMBER(P5256)),Coef_A+Coef_B1*O5256+Coef_B2*P5256,"")</f>
        <v>19.6688863368159</v>
      </c>
      <c r="U5256" s="84" t="n">
        <f aca="false">IF(AND(R5256=1,ISNUMBER(T5256)),E5256-T5256,"")</f>
        <v>-1.06888633681594</v>
      </c>
      <c r="V5256" s="84" t="n">
        <f aca="false">IF(ISNUMBER(T5256),T5256,-99)</f>
        <v>19.6688863368159</v>
      </c>
      <c r="W5256" s="84" t="n">
        <f aca="false">IF(ISNUMBER(U5256),ABS(U5256),"")</f>
        <v>1.06888633681594</v>
      </c>
    </row>
    <row r="5257" customFormat="false" ht="15" hidden="false" customHeight="false" outlineLevel="0" collapsed="false">
      <c r="A5257" s="57" t="n">
        <v>41448</v>
      </c>
      <c r="B5257" s="56" t="n">
        <v>2013</v>
      </c>
      <c r="C5257" s="56" t="n">
        <v>6</v>
      </c>
      <c r="D5257" s="56" t="n">
        <v>54</v>
      </c>
      <c r="E5257" s="56" t="n">
        <v>17.7</v>
      </c>
      <c r="F5257" s="56" t="n">
        <v>0</v>
      </c>
      <c r="G5257" s="56" t="n">
        <v>12.7</v>
      </c>
      <c r="H5257" s="56" t="n">
        <v>0</v>
      </c>
      <c r="I5257" s="56" t="n">
        <v>15.7</v>
      </c>
      <c r="J5257" s="56" t="n">
        <v>0</v>
      </c>
      <c r="K5257" s="56" t="n">
        <v>1009.9</v>
      </c>
      <c r="L5257" s="56" t="n">
        <v>0</v>
      </c>
      <c r="M5257" s="56" t="n">
        <v>73</v>
      </c>
      <c r="N5257" s="56" t="n">
        <v>1.9</v>
      </c>
      <c r="O5257" s="56" t="n">
        <f aca="false">IF(D5257=1,"",E5256)</f>
        <v>18.6</v>
      </c>
      <c r="P5257" s="56" t="n">
        <f aca="false">IF(OR(D5257=1,K5256=""),"",K5256)</f>
        <v>1006.7</v>
      </c>
      <c r="Q5257" s="56" t="n">
        <f aca="false">IF(OR(F5257&lt;&gt;0,AND(I5257&lt;&gt;"",E5257&lt;I5257)),1,0)</f>
        <v>0</v>
      </c>
      <c r="R5257" s="56" t="n">
        <f aca="false">IF(AND(D5257&gt;1,Q5257=0,ISNUMBER(O5257),ISNUMBER(P5257)),IF(Q5256=0,1,0),0)</f>
        <v>1</v>
      </c>
      <c r="S5257" s="56" t="n">
        <f aca="false">R5257*(B5257&gt;=Train_Start)*(B5257&lt;=Train_End)</f>
        <v>0</v>
      </c>
      <c r="T5257" s="84" t="n">
        <f aca="false">IF(AND(ISNUMBER(O5257),ISNUMBER(P5257)),Coef_A+Coef_B1*O5257+Coef_B2*P5257,"")</f>
        <v>18.9067573406263</v>
      </c>
      <c r="U5257" s="84" t="n">
        <f aca="false">IF(AND(R5257=1,ISNUMBER(T5257)),E5257-T5257,"")</f>
        <v>-1.20675734062625</v>
      </c>
      <c r="V5257" s="84" t="n">
        <f aca="false">IF(ISNUMBER(T5257),T5257,-99)</f>
        <v>18.9067573406263</v>
      </c>
      <c r="W5257" s="84" t="n">
        <f aca="false">IF(ISNUMBER(U5257),ABS(U5257),"")</f>
        <v>1.20675734062625</v>
      </c>
    </row>
    <row r="5258" customFormat="false" ht="15" hidden="false" customHeight="false" outlineLevel="0" collapsed="false">
      <c r="A5258" s="57" t="n">
        <v>41449</v>
      </c>
      <c r="B5258" s="56" t="n">
        <v>2013</v>
      </c>
      <c r="C5258" s="56" t="n">
        <v>6</v>
      </c>
      <c r="D5258" s="56" t="n">
        <v>55</v>
      </c>
      <c r="E5258" s="56" t="n">
        <v>21.1</v>
      </c>
      <c r="F5258" s="56" t="n">
        <v>0</v>
      </c>
      <c r="G5258" s="56" t="n">
        <v>10</v>
      </c>
      <c r="H5258" s="56" t="n">
        <v>0</v>
      </c>
      <c r="I5258" s="56" t="n">
        <v>13.9</v>
      </c>
      <c r="J5258" s="56" t="n">
        <v>0</v>
      </c>
      <c r="K5258" s="56" t="n">
        <v>1022.4</v>
      </c>
      <c r="L5258" s="56" t="n">
        <v>0</v>
      </c>
      <c r="M5258" s="56" t="n">
        <v>62</v>
      </c>
      <c r="N5258" s="56" t="n">
        <v>0.4</v>
      </c>
      <c r="O5258" s="56" t="n">
        <f aca="false">IF(D5258=1,"",E5257)</f>
        <v>17.7</v>
      </c>
      <c r="P5258" s="56" t="n">
        <f aca="false">IF(OR(D5258=1,K5257=""),"",K5257)</f>
        <v>1009.9</v>
      </c>
      <c r="Q5258" s="56" t="n">
        <f aca="false">IF(OR(F5258&lt;&gt;0,AND(I5258&lt;&gt;"",E5258&lt;I5258)),1,0)</f>
        <v>0</v>
      </c>
      <c r="R5258" s="56" t="n">
        <f aca="false">IF(AND(D5258&gt;1,Q5258=0,ISNUMBER(O5258),ISNUMBER(P5258)),IF(Q5257=0,1,0),0)</f>
        <v>1</v>
      </c>
      <c r="S5258" s="56" t="n">
        <f aca="false">R5258*(B5258&gt;=Train_Start)*(B5258&lt;=Train_End)</f>
        <v>0</v>
      </c>
      <c r="T5258" s="84" t="n">
        <f aca="false">IF(AND(ISNUMBER(O5258),ISNUMBER(P5258)),Coef_A+Coef_B1*O5258+Coef_B2*P5258,"")</f>
        <v>18.2697357297166</v>
      </c>
      <c r="U5258" s="84" t="n">
        <f aca="false">IF(AND(R5258=1,ISNUMBER(T5258)),E5258-T5258,"")</f>
        <v>2.83026427028338</v>
      </c>
      <c r="V5258" s="84" t="n">
        <f aca="false">IF(ISNUMBER(T5258),T5258,-99)</f>
        <v>18.2697357297166</v>
      </c>
      <c r="W5258" s="84" t="n">
        <f aca="false">IF(ISNUMBER(U5258),ABS(U5258),"")</f>
        <v>2.83026427028338</v>
      </c>
    </row>
    <row r="5259" customFormat="false" ht="15" hidden="false" customHeight="false" outlineLevel="0" collapsed="false">
      <c r="A5259" s="57" t="n">
        <v>41450</v>
      </c>
      <c r="B5259" s="56" t="n">
        <v>2013</v>
      </c>
      <c r="C5259" s="56" t="n">
        <v>6</v>
      </c>
      <c r="D5259" s="56" t="n">
        <v>56</v>
      </c>
      <c r="E5259" s="56" t="n">
        <v>22.5</v>
      </c>
      <c r="F5259" s="56" t="n">
        <v>0</v>
      </c>
      <c r="G5259" s="56" t="n">
        <v>10.8</v>
      </c>
      <c r="H5259" s="56" t="n">
        <v>0</v>
      </c>
      <c r="I5259" s="56" t="n">
        <v>16</v>
      </c>
      <c r="J5259" s="56" t="n">
        <v>0</v>
      </c>
      <c r="K5259" s="56" t="n">
        <v>1028.9</v>
      </c>
      <c r="L5259" s="56" t="n">
        <v>0</v>
      </c>
      <c r="M5259" s="56" t="n">
        <v>55</v>
      </c>
      <c r="N5259" s="56" t="n">
        <v>7.9</v>
      </c>
      <c r="O5259" s="56" t="n">
        <f aca="false">IF(D5259=1,"",E5258)</f>
        <v>21.1</v>
      </c>
      <c r="P5259" s="56" t="n">
        <f aca="false">IF(OR(D5259=1,K5258=""),"",K5258)</f>
        <v>1022.4</v>
      </c>
      <c r="Q5259" s="56" t="n">
        <f aca="false">IF(OR(F5259&lt;&gt;0,AND(I5259&lt;&gt;"",E5259&lt;I5259)),1,0)</f>
        <v>0</v>
      </c>
      <c r="R5259" s="56" t="n">
        <f aca="false">IF(AND(D5259&gt;1,Q5259=0,ISNUMBER(O5259),ISNUMBER(P5259)),IF(Q5258=0,1,0),0)</f>
        <v>1</v>
      </c>
      <c r="S5259" s="56" t="n">
        <f aca="false">R5259*(B5259&gt;=Train_Start)*(B5259&lt;=Train_End)</f>
        <v>0</v>
      </c>
      <c r="T5259" s="84" t="n">
        <f aca="false">IF(AND(ISNUMBER(O5259),ISNUMBER(P5259)),Coef_A+Coef_B1*O5259+Coef_B2*P5259,"")</f>
        <v>21.4476126689865</v>
      </c>
      <c r="U5259" s="84" t="n">
        <f aca="false">IF(AND(R5259=1,ISNUMBER(T5259)),E5259-T5259,"")</f>
        <v>1.05238733101347</v>
      </c>
      <c r="V5259" s="84" t="n">
        <f aca="false">IF(ISNUMBER(T5259),T5259,-99)</f>
        <v>21.4476126689865</v>
      </c>
      <c r="W5259" s="84" t="n">
        <f aca="false">IF(ISNUMBER(U5259),ABS(U5259),"")</f>
        <v>1.05238733101347</v>
      </c>
    </row>
    <row r="5260" customFormat="false" ht="15" hidden="false" customHeight="false" outlineLevel="0" collapsed="false">
      <c r="A5260" s="57" t="n">
        <v>41451</v>
      </c>
      <c r="B5260" s="56" t="n">
        <v>2013</v>
      </c>
      <c r="C5260" s="56" t="n">
        <v>6</v>
      </c>
      <c r="D5260" s="56" t="n">
        <v>57</v>
      </c>
      <c r="E5260" s="56" t="n">
        <v>20.7</v>
      </c>
      <c r="F5260" s="56" t="n">
        <v>0</v>
      </c>
      <c r="G5260" s="56" t="n">
        <v>10.2</v>
      </c>
      <c r="H5260" s="56" t="n">
        <v>0</v>
      </c>
      <c r="I5260" s="56" t="n">
        <v>16.4</v>
      </c>
      <c r="J5260" s="56" t="n">
        <v>0</v>
      </c>
      <c r="K5260" s="56" t="n">
        <v>1030</v>
      </c>
      <c r="L5260" s="56" t="n">
        <v>0</v>
      </c>
      <c r="M5260" s="56" t="n">
        <v>60</v>
      </c>
      <c r="N5260" s="56" t="n">
        <v>5.5</v>
      </c>
      <c r="O5260" s="56" t="n">
        <f aca="false">IF(D5260=1,"",E5259)</f>
        <v>22.5</v>
      </c>
      <c r="P5260" s="56" t="n">
        <f aca="false">IF(OR(D5260=1,K5259=""),"",K5259)</f>
        <v>1028.9</v>
      </c>
      <c r="Q5260" s="56" t="n">
        <f aca="false">IF(OR(F5260&lt;&gt;0,AND(I5260&lt;&gt;"",E5260&lt;I5260)),1,0)</f>
        <v>0</v>
      </c>
      <c r="R5260" s="56" t="n">
        <f aca="false">IF(AND(D5260&gt;1,Q5260=0,ISNUMBER(O5260),ISNUMBER(P5260)),IF(Q5259=0,1,0),0)</f>
        <v>1</v>
      </c>
      <c r="S5260" s="56" t="n">
        <f aca="false">R5260*(B5260&gt;=Train_Start)*(B5260&lt;=Train_End)</f>
        <v>0</v>
      </c>
      <c r="T5260" s="84" t="n">
        <f aca="false">IF(AND(ISNUMBER(O5260),ISNUMBER(P5260)),Coef_A+Coef_B1*O5260+Coef_B2*P5260,"")</f>
        <v>22.7985918543672</v>
      </c>
      <c r="U5260" s="84" t="n">
        <f aca="false">IF(AND(R5260=1,ISNUMBER(T5260)),E5260-T5260,"")</f>
        <v>-2.09859185436718</v>
      </c>
      <c r="V5260" s="84" t="n">
        <f aca="false">IF(ISNUMBER(T5260),T5260,-99)</f>
        <v>22.7985918543672</v>
      </c>
      <c r="W5260" s="84" t="n">
        <f aca="false">IF(ISNUMBER(U5260),ABS(U5260),"")</f>
        <v>2.09859185436718</v>
      </c>
    </row>
    <row r="5261" customFormat="false" ht="15" hidden="false" customHeight="false" outlineLevel="0" collapsed="false">
      <c r="A5261" s="57" t="n">
        <v>41452</v>
      </c>
      <c r="B5261" s="56" t="n">
        <v>2013</v>
      </c>
      <c r="C5261" s="56" t="n">
        <v>6</v>
      </c>
      <c r="D5261" s="56" t="n">
        <v>58</v>
      </c>
      <c r="E5261" s="56" t="n">
        <v>21.5</v>
      </c>
      <c r="F5261" s="56" t="n">
        <v>0</v>
      </c>
      <c r="G5261" s="56" t="n">
        <v>11.9</v>
      </c>
      <c r="H5261" s="56" t="n">
        <v>0</v>
      </c>
      <c r="I5261" s="56" t="n">
        <v>16.3</v>
      </c>
      <c r="J5261" s="56" t="n">
        <v>0</v>
      </c>
      <c r="K5261" s="56" t="n">
        <v>1026.4</v>
      </c>
      <c r="L5261" s="56" t="n">
        <v>0</v>
      </c>
      <c r="M5261" s="56" t="n">
        <v>68</v>
      </c>
      <c r="N5261" s="56" t="n">
        <v>5</v>
      </c>
      <c r="O5261" s="56" t="n">
        <f aca="false">IF(D5261=1,"",E5260)</f>
        <v>20.7</v>
      </c>
      <c r="P5261" s="56" t="n">
        <f aca="false">IF(OR(D5261=1,K5260=""),"",K5260)</f>
        <v>1030</v>
      </c>
      <c r="Q5261" s="56" t="n">
        <f aca="false">IF(OR(F5261&lt;&gt;0,AND(I5261&lt;&gt;"",E5261&lt;I5261)),1,0)</f>
        <v>0</v>
      </c>
      <c r="R5261" s="56" t="n">
        <f aca="false">IF(AND(D5261&gt;1,Q5261=0,ISNUMBER(O5261),ISNUMBER(P5261)),IF(Q5260=0,1,0),0)</f>
        <v>1</v>
      </c>
      <c r="S5261" s="56" t="n">
        <f aca="false">R5261*(B5261&gt;=Train_Start)*(B5261&lt;=Train_End)</f>
        <v>0</v>
      </c>
      <c r="T5261" s="84" t="n">
        <f aca="false">IF(AND(ISNUMBER(O5261),ISNUMBER(P5261)),Coef_A+Coef_B1*O5261+Coef_B2*P5261,"")</f>
        <v>21.3582881909878</v>
      </c>
      <c r="U5261" s="84" t="n">
        <f aca="false">IF(AND(R5261=1,ISNUMBER(T5261)),E5261-T5261,"")</f>
        <v>0.141711809012214</v>
      </c>
      <c r="V5261" s="84" t="n">
        <f aca="false">IF(ISNUMBER(T5261),T5261,-99)</f>
        <v>21.3582881909878</v>
      </c>
      <c r="W5261" s="84" t="n">
        <f aca="false">IF(ISNUMBER(U5261),ABS(U5261),"")</f>
        <v>0.141711809012214</v>
      </c>
    </row>
    <row r="5262" customFormat="false" ht="15" hidden="false" customHeight="false" outlineLevel="0" collapsed="false">
      <c r="A5262" s="57" t="n">
        <v>41453</v>
      </c>
      <c r="B5262" s="56" t="n">
        <v>2013</v>
      </c>
      <c r="C5262" s="56" t="n">
        <v>6</v>
      </c>
      <c r="D5262" s="56" t="n">
        <v>59</v>
      </c>
      <c r="E5262" s="56" t="n">
        <v>22.2</v>
      </c>
      <c r="F5262" s="56" t="n">
        <v>0</v>
      </c>
      <c r="G5262" s="56" t="n">
        <v>12.1</v>
      </c>
      <c r="H5262" s="56" t="n">
        <v>0</v>
      </c>
      <c r="I5262" s="56" t="n">
        <v>16.8</v>
      </c>
      <c r="J5262" s="56" t="n">
        <v>0</v>
      </c>
      <c r="K5262" s="56" t="n">
        <v>1019.8</v>
      </c>
      <c r="L5262" s="56" t="n">
        <v>0</v>
      </c>
      <c r="M5262" s="56" t="n">
        <v>86</v>
      </c>
      <c r="N5262" s="56" t="n">
        <v>0</v>
      </c>
      <c r="O5262" s="56" t="n">
        <f aca="false">IF(D5262=1,"",E5261)</f>
        <v>21.5</v>
      </c>
      <c r="P5262" s="56" t="n">
        <f aca="false">IF(OR(D5262=1,K5261=""),"",K5261)</f>
        <v>1026.4</v>
      </c>
      <c r="Q5262" s="56" t="n">
        <f aca="false">IF(OR(F5262&lt;&gt;0,AND(I5262&lt;&gt;"",E5262&lt;I5262)),1,0)</f>
        <v>0</v>
      </c>
      <c r="R5262" s="56" t="n">
        <f aca="false">IF(AND(D5262&gt;1,Q5262=0,ISNUMBER(O5262),ISNUMBER(P5262)),IF(Q5261=0,1,0),0)</f>
        <v>1</v>
      </c>
      <c r="S5262" s="56" t="n">
        <f aca="false">R5262*(B5262&gt;=Train_Start)*(B5262&lt;=Train_End)</f>
        <v>0</v>
      </c>
      <c r="T5262" s="84" t="n">
        <f aca="false">IF(AND(ISNUMBER(O5262),ISNUMBER(P5262)),Coef_A+Coef_B1*O5262+Coef_B2*P5262,"")</f>
        <v>21.9008279247396</v>
      </c>
      <c r="U5262" s="84" t="n">
        <f aca="false">IF(AND(R5262=1,ISNUMBER(T5262)),E5262-T5262,"")</f>
        <v>0.299172075260447</v>
      </c>
      <c r="V5262" s="84" t="n">
        <f aca="false">IF(ISNUMBER(T5262),T5262,-99)</f>
        <v>21.9008279247396</v>
      </c>
      <c r="W5262" s="84" t="n">
        <f aca="false">IF(ISNUMBER(U5262),ABS(U5262),"")</f>
        <v>0.299172075260447</v>
      </c>
    </row>
    <row r="5263" customFormat="false" ht="15" hidden="false" customHeight="false" outlineLevel="0" collapsed="false">
      <c r="A5263" s="57" t="n">
        <v>41454</v>
      </c>
      <c r="B5263" s="56" t="n">
        <v>2013</v>
      </c>
      <c r="C5263" s="56" t="n">
        <v>6</v>
      </c>
      <c r="D5263" s="56" t="n">
        <v>60</v>
      </c>
      <c r="E5263" s="56" t="n">
        <v>27.2</v>
      </c>
      <c r="F5263" s="56" t="n">
        <v>0</v>
      </c>
      <c r="G5263" s="56" t="n">
        <v>13.2</v>
      </c>
      <c r="H5263" s="56" t="n">
        <v>0</v>
      </c>
      <c r="I5263" s="56" t="n">
        <v>17.7</v>
      </c>
      <c r="J5263" s="56" t="n">
        <v>0</v>
      </c>
      <c r="K5263" s="56" t="n">
        <v>1022.8</v>
      </c>
      <c r="L5263" s="56" t="n">
        <v>0</v>
      </c>
      <c r="M5263" s="56" t="n">
        <v>58</v>
      </c>
      <c r="N5263" s="56" t="n">
        <v>9.1</v>
      </c>
      <c r="O5263" s="56" t="n">
        <f aca="false">IF(D5263=1,"",E5262)</f>
        <v>22.2</v>
      </c>
      <c r="P5263" s="56" t="n">
        <f aca="false">IF(OR(D5263=1,K5262=""),"",K5262)</f>
        <v>1019.8</v>
      </c>
      <c r="Q5263" s="56" t="n">
        <f aca="false">IF(OR(F5263&lt;&gt;0,AND(I5263&lt;&gt;"",E5263&lt;I5263)),1,0)</f>
        <v>0</v>
      </c>
      <c r="R5263" s="56" t="n">
        <f aca="false">IF(AND(D5263&gt;1,Q5263=0,ISNUMBER(O5263),ISNUMBER(P5263)),IF(Q5262=0,1,0),0)</f>
        <v>1</v>
      </c>
      <c r="S5263" s="56" t="n">
        <f aca="false">R5263*(B5263&gt;=Train_Start)*(B5263&lt;=Train_End)</f>
        <v>0</v>
      </c>
      <c r="T5263" s="84" t="n">
        <f aca="false">IF(AND(ISNUMBER(O5263),ISNUMBER(P5263)),Coef_A+Coef_B1*O5263+Coef_B2*P5263,"")</f>
        <v>22.2673240552851</v>
      </c>
      <c r="U5263" s="84" t="n">
        <f aca="false">IF(AND(R5263=1,ISNUMBER(T5263)),E5263-T5263,"")</f>
        <v>4.93267594471492</v>
      </c>
      <c r="V5263" s="84" t="n">
        <f aca="false">IF(ISNUMBER(T5263),T5263,-99)</f>
        <v>22.2673240552851</v>
      </c>
      <c r="W5263" s="84" t="n">
        <f aca="false">IF(ISNUMBER(U5263),ABS(U5263),"")</f>
        <v>4.93267594471492</v>
      </c>
    </row>
    <row r="5264" customFormat="false" ht="15" hidden="false" customHeight="false" outlineLevel="0" collapsed="false">
      <c r="A5264" s="57" t="n">
        <v>41455</v>
      </c>
      <c r="B5264" s="56" t="n">
        <v>2013</v>
      </c>
      <c r="C5264" s="56" t="n">
        <v>6</v>
      </c>
      <c r="D5264" s="56" t="n">
        <v>61</v>
      </c>
      <c r="E5264" s="56" t="n">
        <v>21.3</v>
      </c>
      <c r="F5264" s="56" t="n">
        <v>0</v>
      </c>
      <c r="G5264" s="56" t="n">
        <v>14.1</v>
      </c>
      <c r="H5264" s="56" t="n">
        <v>0</v>
      </c>
      <c r="I5264" s="56" t="n">
        <v>20.7</v>
      </c>
      <c r="J5264" s="56" t="n">
        <v>0</v>
      </c>
      <c r="K5264" s="56" t="n">
        <v>1021.6</v>
      </c>
      <c r="L5264" s="56" t="n">
        <v>0</v>
      </c>
      <c r="M5264" s="56" t="n">
        <v>66</v>
      </c>
      <c r="N5264" s="56" t="n">
        <v>11.1</v>
      </c>
      <c r="O5264" s="56" t="n">
        <f aca="false">IF(D5264=1,"",E5263)</f>
        <v>27.2</v>
      </c>
      <c r="P5264" s="56" t="n">
        <f aca="false">IF(OR(D5264=1,K5263=""),"",K5263)</f>
        <v>1022.8</v>
      </c>
      <c r="Q5264" s="56" t="n">
        <f aca="false">IF(OR(F5264&lt;&gt;0,AND(I5264&lt;&gt;"",E5264&lt;I5264)),1,0)</f>
        <v>0</v>
      </c>
      <c r="R5264" s="56" t="n">
        <f aca="false">IF(AND(D5264&gt;1,Q5264=0,ISNUMBER(O5264),ISNUMBER(P5264)),IF(Q5263=0,1,0),0)</f>
        <v>1</v>
      </c>
      <c r="S5264" s="56" t="n">
        <f aca="false">R5264*(B5264&gt;=Train_Start)*(B5264&lt;=Train_End)</f>
        <v>0</v>
      </c>
      <c r="T5264" s="84" t="n">
        <f aca="false">IF(AND(ISNUMBER(O5264),ISNUMBER(P5264)),Coef_A+Coef_B1*O5264+Coef_B2*P5264,"")</f>
        <v>26.4581297044003</v>
      </c>
      <c r="U5264" s="84" t="n">
        <f aca="false">IF(AND(R5264=1,ISNUMBER(T5264)),E5264-T5264,"")</f>
        <v>-5.15812970440033</v>
      </c>
      <c r="V5264" s="84" t="n">
        <f aca="false">IF(ISNUMBER(T5264),T5264,-99)</f>
        <v>26.4581297044003</v>
      </c>
      <c r="W5264" s="84" t="n">
        <f aca="false">IF(ISNUMBER(U5264),ABS(U5264),"")</f>
        <v>5.15812970440033</v>
      </c>
    </row>
    <row r="5265" customFormat="false" ht="15" hidden="false" customHeight="false" outlineLevel="0" collapsed="false">
      <c r="A5265" s="57" t="n">
        <v>41456</v>
      </c>
      <c r="B5265" s="56" t="n">
        <v>2013</v>
      </c>
      <c r="C5265" s="56" t="n">
        <v>7</v>
      </c>
      <c r="D5265" s="56" t="n">
        <v>62</v>
      </c>
      <c r="E5265" s="56" t="n">
        <v>17.9</v>
      </c>
      <c r="F5265" s="56" t="n">
        <v>0</v>
      </c>
      <c r="G5265" s="56" t="n">
        <v>13.4</v>
      </c>
      <c r="H5265" s="56" t="n">
        <v>0</v>
      </c>
      <c r="I5265" s="56" t="n">
        <v>17.4</v>
      </c>
      <c r="J5265" s="56" t="n">
        <v>0</v>
      </c>
      <c r="K5265" s="56" t="n">
        <v>1017</v>
      </c>
      <c r="L5265" s="56" t="n">
        <v>0</v>
      </c>
      <c r="M5265" s="56" t="n">
        <v>60</v>
      </c>
      <c r="N5265" s="56" t="n">
        <v>8.2</v>
      </c>
      <c r="O5265" s="56" t="n">
        <f aca="false">IF(D5265=1,"",E5264)</f>
        <v>21.3</v>
      </c>
      <c r="P5265" s="56" t="n">
        <f aca="false">IF(OR(D5265=1,K5264=""),"",K5264)</f>
        <v>1021.6</v>
      </c>
      <c r="Q5265" s="56" t="n">
        <f aca="false">IF(OR(F5265&lt;&gt;0,AND(I5265&lt;&gt;"",E5265&lt;I5265)),1,0)</f>
        <v>0</v>
      </c>
      <c r="R5265" s="56" t="n">
        <f aca="false">IF(AND(D5265&gt;1,Q5265=0,ISNUMBER(O5265),ISNUMBER(P5265)),IF(Q5264=0,1,0),0)</f>
        <v>1</v>
      </c>
      <c r="S5265" s="56" t="n">
        <f aca="false">R5265*(B5265&gt;=Train_Start)*(B5265&lt;=Train_End)</f>
        <v>0</v>
      </c>
      <c r="T5265" s="84" t="n">
        <f aca="false">IF(AND(ISNUMBER(O5265),ISNUMBER(P5265)),Coef_A+Coef_B1*O5265+Coef_B2*P5265,"")</f>
        <v>21.5863845918879</v>
      </c>
      <c r="U5265" s="84" t="n">
        <f aca="false">IF(AND(R5265=1,ISNUMBER(T5265)),E5265-T5265,"")</f>
        <v>-3.68638459188787</v>
      </c>
      <c r="V5265" s="84" t="n">
        <f aca="false">IF(ISNUMBER(T5265),T5265,-99)</f>
        <v>21.5863845918879</v>
      </c>
      <c r="W5265" s="84" t="n">
        <f aca="false">IF(ISNUMBER(U5265),ABS(U5265),"")</f>
        <v>3.68638459188787</v>
      </c>
    </row>
    <row r="5266" customFormat="false" ht="15" hidden="false" customHeight="false" outlineLevel="0" collapsed="false">
      <c r="A5266" s="57" t="n">
        <v>41457</v>
      </c>
      <c r="B5266" s="56" t="n">
        <v>2013</v>
      </c>
      <c r="C5266" s="56" t="n">
        <v>7</v>
      </c>
      <c r="D5266" s="56" t="n">
        <v>63</v>
      </c>
      <c r="E5266" s="56" t="n">
        <v>21.5</v>
      </c>
      <c r="F5266" s="56" t="n">
        <v>0</v>
      </c>
      <c r="G5266" s="56" t="n">
        <v>11.6</v>
      </c>
      <c r="H5266" s="56" t="n">
        <v>0</v>
      </c>
      <c r="I5266" s="56" t="n">
        <v>14.8</v>
      </c>
      <c r="J5266" s="56" t="n">
        <v>0</v>
      </c>
      <c r="K5266" s="56" t="n">
        <v>1011.1</v>
      </c>
      <c r="L5266" s="56" t="n">
        <v>0</v>
      </c>
      <c r="M5266" s="56" t="n">
        <v>72</v>
      </c>
      <c r="N5266" s="56" t="n">
        <v>0</v>
      </c>
      <c r="O5266" s="56" t="n">
        <f aca="false">IF(D5266=1,"",E5265)</f>
        <v>17.9</v>
      </c>
      <c r="P5266" s="56" t="n">
        <f aca="false">IF(OR(D5266=1,K5265=""),"",K5265)</f>
        <v>1017</v>
      </c>
      <c r="Q5266" s="56" t="n">
        <f aca="false">IF(OR(F5266&lt;&gt;0,AND(I5266&lt;&gt;"",E5266&lt;I5266)),1,0)</f>
        <v>0</v>
      </c>
      <c r="R5266" s="56" t="n">
        <f aca="false">IF(AND(D5266&gt;1,Q5266=0,ISNUMBER(O5266),ISNUMBER(P5266)),IF(Q5265=0,1,0),0)</f>
        <v>1</v>
      </c>
      <c r="S5266" s="56" t="n">
        <f aca="false">R5266*(B5266&gt;=Train_Start)*(B5266&lt;=Train_End)</f>
        <v>0</v>
      </c>
      <c r="T5266" s="84" t="n">
        <f aca="false">IF(AND(ISNUMBER(O5266),ISNUMBER(P5266)),Coef_A+Coef_B1*O5266+Coef_B2*P5266,"")</f>
        <v>18.6563298202265</v>
      </c>
      <c r="U5266" s="84" t="n">
        <f aca="false">IF(AND(R5266=1,ISNUMBER(T5266)),E5266-T5266,"")</f>
        <v>2.84367017977352</v>
      </c>
      <c r="V5266" s="84" t="n">
        <f aca="false">IF(ISNUMBER(T5266),T5266,-99)</f>
        <v>18.6563298202265</v>
      </c>
      <c r="W5266" s="84" t="n">
        <f aca="false">IF(ISNUMBER(U5266),ABS(U5266),"")</f>
        <v>2.84367017977352</v>
      </c>
    </row>
    <row r="5267" customFormat="false" ht="15" hidden="false" customHeight="false" outlineLevel="0" collapsed="false">
      <c r="A5267" s="57" t="n">
        <v>41458</v>
      </c>
      <c r="B5267" s="56" t="n">
        <v>2013</v>
      </c>
      <c r="C5267" s="56" t="n">
        <v>7</v>
      </c>
      <c r="D5267" s="56" t="n">
        <v>64</v>
      </c>
      <c r="E5267" s="56" t="n">
        <v>24.9</v>
      </c>
      <c r="F5267" s="56" t="n">
        <v>0</v>
      </c>
      <c r="G5267" s="56" t="n">
        <v>14.3</v>
      </c>
      <c r="H5267" s="56" t="n">
        <v>0</v>
      </c>
      <c r="I5267" s="56" t="n">
        <v>17.9</v>
      </c>
      <c r="J5267" s="56" t="n">
        <v>0</v>
      </c>
      <c r="K5267" s="56" t="n">
        <v>1008.9</v>
      </c>
      <c r="L5267" s="56" t="n">
        <v>0</v>
      </c>
      <c r="M5267" s="56" t="n">
        <v>76</v>
      </c>
      <c r="N5267" s="56" t="n">
        <v>0.2</v>
      </c>
      <c r="O5267" s="56" t="n">
        <f aca="false">IF(D5267=1,"",E5266)</f>
        <v>21.5</v>
      </c>
      <c r="P5267" s="56" t="n">
        <f aca="false">IF(OR(D5267=1,K5266=""),"",K5266)</f>
        <v>1011.1</v>
      </c>
      <c r="Q5267" s="56" t="n">
        <f aca="false">IF(OR(F5267&lt;&gt;0,AND(I5267&lt;&gt;"",E5267&lt;I5267)),1,0)</f>
        <v>0</v>
      </c>
      <c r="R5267" s="56" t="n">
        <f aca="false">IF(AND(D5267&gt;1,Q5267=0,ISNUMBER(O5267),ISNUMBER(P5267)),IF(Q5266=0,1,0),0)</f>
        <v>1</v>
      </c>
      <c r="S5267" s="56" t="n">
        <f aca="false">R5267*(B5267&gt;=Train_Start)*(B5267&lt;=Train_End)</f>
        <v>0</v>
      </c>
      <c r="T5267" s="84" t="n">
        <f aca="false">IF(AND(ISNUMBER(O5267),ISNUMBER(P5267)),Coef_A+Coef_B1*O5267+Coef_B2*P5267,"")</f>
        <v>21.4208685368395</v>
      </c>
      <c r="U5267" s="84" t="n">
        <f aca="false">IF(AND(R5267=1,ISNUMBER(T5267)),E5267-T5267,"")</f>
        <v>3.47913146316049</v>
      </c>
      <c r="V5267" s="84" t="n">
        <f aca="false">IF(ISNUMBER(T5267),T5267,-99)</f>
        <v>21.4208685368395</v>
      </c>
      <c r="W5267" s="84" t="n">
        <f aca="false">IF(ISNUMBER(U5267),ABS(U5267),"")</f>
        <v>3.47913146316049</v>
      </c>
    </row>
    <row r="5268" customFormat="false" ht="15" hidden="false" customHeight="false" outlineLevel="0" collapsed="false">
      <c r="A5268" s="57" t="n">
        <v>41459</v>
      </c>
      <c r="B5268" s="56" t="n">
        <v>2013</v>
      </c>
      <c r="C5268" s="56" t="n">
        <v>7</v>
      </c>
      <c r="D5268" s="56" t="n">
        <v>65</v>
      </c>
      <c r="E5268" s="56" t="n">
        <v>26.3</v>
      </c>
      <c r="F5268" s="56" t="n">
        <v>0</v>
      </c>
      <c r="G5268" s="56" t="n">
        <v>12.5</v>
      </c>
      <c r="H5268" s="56" t="n">
        <v>0</v>
      </c>
      <c r="I5268" s="56" t="n">
        <v>18.7</v>
      </c>
      <c r="J5268" s="56" t="n">
        <v>0</v>
      </c>
      <c r="K5268" s="56" t="n">
        <v>1019.7</v>
      </c>
      <c r="L5268" s="56" t="n">
        <v>0</v>
      </c>
      <c r="M5268" s="56" t="n">
        <v>71</v>
      </c>
      <c r="N5268" s="56" t="n">
        <v>4.5</v>
      </c>
      <c r="O5268" s="56" t="n">
        <f aca="false">IF(D5268=1,"",E5267)</f>
        <v>24.9</v>
      </c>
      <c r="P5268" s="56" t="n">
        <f aca="false">IF(OR(D5268=1,K5267=""),"",K5267)</f>
        <v>1008.9</v>
      </c>
      <c r="Q5268" s="56" t="n">
        <f aca="false">IF(OR(F5268&lt;&gt;0,AND(I5268&lt;&gt;"",E5268&lt;I5268)),1,0)</f>
        <v>0</v>
      </c>
      <c r="R5268" s="56" t="n">
        <f aca="false">IF(AND(D5268&gt;1,Q5268=0,ISNUMBER(O5268),ISNUMBER(P5268)),IF(Q5267=0,1,0),0)</f>
        <v>1</v>
      </c>
      <c r="S5268" s="56" t="n">
        <f aca="false">R5268*(B5268&gt;=Train_Start)*(B5268&lt;=Train_End)</f>
        <v>0</v>
      </c>
      <c r="T5268" s="84" t="n">
        <f aca="false">IF(AND(ISNUMBER(O5268),ISNUMBER(P5268)),Coef_A+Coef_B1*O5268+Coef_B2*P5268,"")</f>
        <v>24.1376080249898</v>
      </c>
      <c r="U5268" s="84" t="n">
        <f aca="false">IF(AND(R5268=1,ISNUMBER(T5268)),E5268-T5268,"")</f>
        <v>2.16239197501023</v>
      </c>
      <c r="V5268" s="84" t="n">
        <f aca="false">IF(ISNUMBER(T5268),T5268,-99)</f>
        <v>24.1376080249898</v>
      </c>
      <c r="W5268" s="84" t="n">
        <f aca="false">IF(ISNUMBER(U5268),ABS(U5268),"")</f>
        <v>2.16239197501023</v>
      </c>
    </row>
    <row r="5269" customFormat="false" ht="15" hidden="false" customHeight="false" outlineLevel="0" collapsed="false">
      <c r="A5269" s="57" t="n">
        <v>41460</v>
      </c>
      <c r="B5269" s="56" t="n">
        <v>2013</v>
      </c>
      <c r="C5269" s="56" t="n">
        <v>7</v>
      </c>
      <c r="D5269" s="56" t="n">
        <v>66</v>
      </c>
      <c r="E5269" s="56" t="n">
        <v>28.1</v>
      </c>
      <c r="F5269" s="56" t="n">
        <v>0</v>
      </c>
      <c r="G5269" s="56" t="n">
        <v>12</v>
      </c>
      <c r="H5269" s="56" t="n">
        <v>0</v>
      </c>
      <c r="I5269" s="56" t="n">
        <v>19.2</v>
      </c>
      <c r="J5269" s="56" t="n">
        <v>0</v>
      </c>
      <c r="K5269" s="56" t="n">
        <v>1028.6</v>
      </c>
      <c r="L5269" s="56" t="n">
        <v>0</v>
      </c>
      <c r="M5269" s="56" t="n">
        <v>63</v>
      </c>
      <c r="N5269" s="56" t="n">
        <v>11.9</v>
      </c>
      <c r="O5269" s="56" t="n">
        <f aca="false">IF(D5269=1,"",E5268)</f>
        <v>26.3</v>
      </c>
      <c r="P5269" s="56" t="n">
        <f aca="false">IF(OR(D5269=1,K5268=""),"",K5268)</f>
        <v>1019.7</v>
      </c>
      <c r="Q5269" s="56" t="n">
        <f aca="false">IF(OR(F5269&lt;&gt;0,AND(I5269&lt;&gt;"",E5269&lt;I5269)),1,0)</f>
        <v>0</v>
      </c>
      <c r="R5269" s="56" t="n">
        <f aca="false">IF(AND(D5269&gt;1,Q5269=0,ISNUMBER(O5269),ISNUMBER(P5269)),IF(Q5268=0,1,0),0)</f>
        <v>1</v>
      </c>
      <c r="S5269" s="56" t="n">
        <f aca="false">R5269*(B5269&gt;=Train_Start)*(B5269&lt;=Train_End)</f>
        <v>0</v>
      </c>
      <c r="T5269" s="84" t="n">
        <f aca="false">IF(AND(ISNUMBER(O5269),ISNUMBER(P5269)),Coef_A+Coef_B1*O5269+Coef_B2*P5269,"")</f>
        <v>25.6234777572966</v>
      </c>
      <c r="U5269" s="84" t="n">
        <f aca="false">IF(AND(R5269=1,ISNUMBER(T5269)),E5269-T5269,"")</f>
        <v>2.47652224270342</v>
      </c>
      <c r="V5269" s="84" t="n">
        <f aca="false">IF(ISNUMBER(T5269),T5269,-99)</f>
        <v>25.6234777572966</v>
      </c>
      <c r="W5269" s="84" t="n">
        <f aca="false">IF(ISNUMBER(U5269),ABS(U5269),"")</f>
        <v>2.47652224270342</v>
      </c>
    </row>
    <row r="5270" customFormat="false" ht="15" hidden="false" customHeight="false" outlineLevel="0" collapsed="false">
      <c r="A5270" s="57" t="n">
        <v>41461</v>
      </c>
      <c r="B5270" s="56" t="n">
        <v>2013</v>
      </c>
      <c r="C5270" s="56" t="n">
        <v>7</v>
      </c>
      <c r="D5270" s="56" t="n">
        <v>67</v>
      </c>
      <c r="E5270" s="56" t="n">
        <v>29.5</v>
      </c>
      <c r="F5270" s="56" t="n">
        <v>0</v>
      </c>
      <c r="G5270" s="56" t="n">
        <v>14</v>
      </c>
      <c r="H5270" s="56" t="n">
        <v>0</v>
      </c>
      <c r="I5270" s="56" t="n">
        <v>21.1</v>
      </c>
      <c r="J5270" s="56" t="n">
        <v>0</v>
      </c>
      <c r="K5270" s="56" t="n">
        <v>1029.4</v>
      </c>
      <c r="L5270" s="56" t="n">
        <v>0</v>
      </c>
      <c r="M5270" s="56" t="n">
        <v>57</v>
      </c>
      <c r="N5270" s="56" t="n">
        <v>13.6</v>
      </c>
      <c r="O5270" s="56" t="n">
        <f aca="false">IF(D5270=1,"",E5269)</f>
        <v>28.1</v>
      </c>
      <c r="P5270" s="56" t="n">
        <f aca="false">IF(OR(D5270=1,K5269=""),"",K5269)</f>
        <v>1028.6</v>
      </c>
      <c r="Q5270" s="56" t="n">
        <f aca="false">IF(OR(F5270&lt;&gt;0,AND(I5270&lt;&gt;"",E5270&lt;I5270)),1,0)</f>
        <v>0</v>
      </c>
      <c r="R5270" s="56" t="n">
        <f aca="false">IF(AND(D5270&gt;1,Q5270=0,ISNUMBER(O5270),ISNUMBER(P5270)),IF(Q5269=0,1,0),0)</f>
        <v>1</v>
      </c>
      <c r="S5270" s="56" t="n">
        <f aca="false">R5270*(B5270&gt;=Train_Start)*(B5270&lt;=Train_End)</f>
        <v>0</v>
      </c>
      <c r="T5270" s="84" t="n">
        <f aca="false">IF(AND(ISNUMBER(O5270),ISNUMBER(P5270)),Coef_A+Coef_B1*O5270+Coef_B2*P5270,"")</f>
        <v>27.3774803670159</v>
      </c>
      <c r="U5270" s="84" t="n">
        <f aca="false">IF(AND(R5270=1,ISNUMBER(T5270)),E5270-T5270,"")</f>
        <v>2.12251963298414</v>
      </c>
      <c r="V5270" s="84" t="n">
        <f aca="false">IF(ISNUMBER(T5270),T5270,-99)</f>
        <v>27.3774803670159</v>
      </c>
      <c r="W5270" s="84" t="n">
        <f aca="false">IF(ISNUMBER(U5270),ABS(U5270),"")</f>
        <v>2.12251963298414</v>
      </c>
    </row>
    <row r="5271" customFormat="false" ht="15" hidden="false" customHeight="false" outlineLevel="0" collapsed="false">
      <c r="A5271" s="57" t="n">
        <v>41462</v>
      </c>
      <c r="B5271" s="56" t="n">
        <v>2013</v>
      </c>
      <c r="C5271" s="56" t="n">
        <v>7</v>
      </c>
      <c r="D5271" s="56" t="n">
        <v>68</v>
      </c>
      <c r="E5271" s="56" t="n">
        <v>27.7</v>
      </c>
      <c r="F5271" s="56" t="n">
        <v>0</v>
      </c>
      <c r="G5271" s="56" t="n">
        <v>16.5</v>
      </c>
      <c r="H5271" s="56" t="n">
        <v>0</v>
      </c>
      <c r="I5271" s="56" t="n">
        <v>23</v>
      </c>
      <c r="J5271" s="56" t="n">
        <v>0</v>
      </c>
      <c r="K5271" s="56" t="n">
        <v>1031.6</v>
      </c>
      <c r="L5271" s="56" t="n">
        <v>0</v>
      </c>
      <c r="M5271" s="56" t="n">
        <v>58</v>
      </c>
      <c r="N5271" s="56" t="n">
        <v>13.8</v>
      </c>
      <c r="O5271" s="56" t="n">
        <f aca="false">IF(D5271=1,"",E5270)</f>
        <v>29.5</v>
      </c>
      <c r="P5271" s="56" t="n">
        <f aca="false">IF(OR(D5271=1,K5270=""),"",K5270)</f>
        <v>1029.4</v>
      </c>
      <c r="Q5271" s="56" t="n">
        <f aca="false">IF(OR(F5271&lt;&gt;0,AND(I5271&lt;&gt;"",E5271&lt;I5271)),1,0)</f>
        <v>0</v>
      </c>
      <c r="R5271" s="56" t="n">
        <f aca="false">IF(AND(D5271&gt;1,Q5271=0,ISNUMBER(O5271),ISNUMBER(P5271)),IF(Q5270=0,1,0),0)</f>
        <v>1</v>
      </c>
      <c r="S5271" s="56" t="n">
        <f aca="false">R5271*(B5271&gt;=Train_Start)*(B5271&lt;=Train_End)</f>
        <v>0</v>
      </c>
      <c r="T5271" s="84" t="n">
        <f aca="false">IF(AND(ISNUMBER(O5271),ISNUMBER(P5271)),Coef_A+Coef_B1*O5271+Coef_B2*P5271,"")</f>
        <v>28.5496511529828</v>
      </c>
      <c r="U5271" s="84" t="n">
        <f aca="false">IF(AND(R5271=1,ISNUMBER(T5271)),E5271-T5271,"")</f>
        <v>-0.849651152982784</v>
      </c>
      <c r="V5271" s="84" t="n">
        <f aca="false">IF(ISNUMBER(T5271),T5271,-99)</f>
        <v>28.5496511529828</v>
      </c>
      <c r="W5271" s="84" t="n">
        <f aca="false">IF(ISNUMBER(U5271),ABS(U5271),"")</f>
        <v>0.849651152982784</v>
      </c>
    </row>
    <row r="5272" customFormat="false" ht="15" hidden="false" customHeight="false" outlineLevel="0" collapsed="false">
      <c r="A5272" s="57" t="n">
        <v>41463</v>
      </c>
      <c r="B5272" s="56" t="n">
        <v>2013</v>
      </c>
      <c r="C5272" s="56" t="n">
        <v>7</v>
      </c>
      <c r="D5272" s="56" t="n">
        <v>69</v>
      </c>
      <c r="E5272" s="56" t="n">
        <v>27.2</v>
      </c>
      <c r="F5272" s="56" t="n">
        <v>0</v>
      </c>
      <c r="G5272" s="56" t="n">
        <v>15.5</v>
      </c>
      <c r="H5272" s="56" t="n">
        <v>0</v>
      </c>
      <c r="I5272" s="56" t="n">
        <v>21.6</v>
      </c>
      <c r="J5272" s="56" t="n">
        <v>0</v>
      </c>
      <c r="K5272" s="56" t="n">
        <v>1032.6</v>
      </c>
      <c r="L5272" s="56" t="n">
        <v>0</v>
      </c>
      <c r="M5272" s="56" t="n">
        <v>57</v>
      </c>
      <c r="N5272" s="56" t="n">
        <v>13.7</v>
      </c>
      <c r="O5272" s="56" t="n">
        <f aca="false">IF(D5272=1,"",E5271)</f>
        <v>27.7</v>
      </c>
      <c r="P5272" s="56" t="n">
        <f aca="false">IF(OR(D5272=1,K5271=""),"",K5271)</f>
        <v>1031.6</v>
      </c>
      <c r="Q5272" s="56" t="n">
        <f aca="false">IF(OR(F5272&lt;&gt;0,AND(I5272&lt;&gt;"",E5272&lt;I5272)),1,0)</f>
        <v>0</v>
      </c>
      <c r="R5272" s="56" t="n">
        <f aca="false">IF(AND(D5272&gt;1,Q5272=0,ISNUMBER(O5272),ISNUMBER(P5272)),IF(Q5271=0,1,0),0)</f>
        <v>1</v>
      </c>
      <c r="S5272" s="56" t="n">
        <f aca="false">R5272*(B5272&gt;=Train_Start)*(B5272&lt;=Train_End)</f>
        <v>0</v>
      </c>
      <c r="T5272" s="84" t="n">
        <f aca="false">IF(AND(ISNUMBER(O5272),ISNUMBER(P5272)),Coef_A+Coef_B1*O5272+Coef_B2*P5272,"")</f>
        <v>27.1438543737008</v>
      </c>
      <c r="U5272" s="84" t="n">
        <f aca="false">IF(AND(R5272=1,ISNUMBER(T5272)),E5272-T5272,"")</f>
        <v>0.0561456262992301</v>
      </c>
      <c r="V5272" s="84" t="n">
        <f aca="false">IF(ISNUMBER(T5272),T5272,-99)</f>
        <v>27.1438543737008</v>
      </c>
      <c r="W5272" s="84" t="n">
        <f aca="false">IF(ISNUMBER(U5272),ABS(U5272),"")</f>
        <v>0.0561456262992301</v>
      </c>
    </row>
    <row r="5273" customFormat="false" ht="15" hidden="false" customHeight="false" outlineLevel="0" collapsed="false">
      <c r="A5273" s="57" t="n">
        <v>41464</v>
      </c>
      <c r="B5273" s="56" t="n">
        <v>2013</v>
      </c>
      <c r="C5273" s="56" t="n">
        <v>7</v>
      </c>
      <c r="D5273" s="56" t="n">
        <v>70</v>
      </c>
      <c r="E5273" s="56" t="n">
        <v>24.6</v>
      </c>
      <c r="F5273" s="56" t="n">
        <v>0</v>
      </c>
      <c r="G5273" s="56" t="n">
        <v>12.5</v>
      </c>
      <c r="H5273" s="56" t="n">
        <v>0</v>
      </c>
      <c r="I5273" s="56" t="n">
        <v>19.9</v>
      </c>
      <c r="J5273" s="56" t="n">
        <v>0</v>
      </c>
      <c r="K5273" s="56" t="n">
        <v>1028.2</v>
      </c>
      <c r="L5273" s="56" t="n">
        <v>0</v>
      </c>
      <c r="M5273" s="56" t="n">
        <v>48</v>
      </c>
      <c r="N5273" s="56" t="n">
        <v>14.5</v>
      </c>
      <c r="O5273" s="56" t="n">
        <f aca="false">IF(D5273=1,"",E5272)</f>
        <v>27.2</v>
      </c>
      <c r="P5273" s="56" t="n">
        <f aca="false">IF(OR(D5273=1,K5272=""),"",K5272)</f>
        <v>1032.6</v>
      </c>
      <c r="Q5273" s="56" t="n">
        <f aca="false">IF(OR(F5273&lt;&gt;0,AND(I5273&lt;&gt;"",E5273&lt;I5273)),1,0)</f>
        <v>0</v>
      </c>
      <c r="R5273" s="56" t="n">
        <f aca="false">IF(AND(D5273&gt;1,Q5273=0,ISNUMBER(O5273),ISNUMBER(P5273)),IF(Q5272=0,1,0),0)</f>
        <v>1</v>
      </c>
      <c r="S5273" s="56" t="n">
        <f aca="false">R5273*(B5273&gt;=Train_Start)*(B5273&lt;=Train_End)</f>
        <v>0</v>
      </c>
      <c r="T5273" s="84" t="n">
        <f aca="false">IF(AND(ISNUMBER(O5273),ISNUMBER(P5273)),Coef_A+Coef_B1*O5273+Coef_B2*P5273,"")</f>
        <v>26.7655546718134</v>
      </c>
      <c r="U5273" s="84" t="n">
        <f aca="false">IF(AND(R5273=1,ISNUMBER(T5273)),E5273-T5273,"")</f>
        <v>-2.16555467181343</v>
      </c>
      <c r="V5273" s="84" t="n">
        <f aca="false">IF(ISNUMBER(T5273),T5273,-99)</f>
        <v>26.7655546718134</v>
      </c>
      <c r="W5273" s="84" t="n">
        <f aca="false">IF(ISNUMBER(U5273),ABS(U5273),"")</f>
        <v>2.16555467181343</v>
      </c>
    </row>
    <row r="5274" customFormat="false" ht="15" hidden="false" customHeight="false" outlineLevel="0" collapsed="false">
      <c r="A5274" s="57" t="n">
        <v>41465</v>
      </c>
      <c r="B5274" s="56" t="n">
        <v>2013</v>
      </c>
      <c r="C5274" s="56" t="n">
        <v>7</v>
      </c>
      <c r="D5274" s="56" t="n">
        <v>71</v>
      </c>
      <c r="E5274" s="56" t="n">
        <v>23.4</v>
      </c>
      <c r="F5274" s="56" t="n">
        <v>0</v>
      </c>
      <c r="G5274" s="56" t="n">
        <v>13.6</v>
      </c>
      <c r="H5274" s="56" t="n">
        <v>0</v>
      </c>
      <c r="I5274" s="56" t="n">
        <v>19.1</v>
      </c>
      <c r="J5274" s="56" t="n">
        <v>0</v>
      </c>
      <c r="K5274" s="56" t="n">
        <v>1025.6</v>
      </c>
      <c r="L5274" s="56" t="n">
        <v>0</v>
      </c>
      <c r="M5274" s="56" t="n">
        <v>60</v>
      </c>
      <c r="N5274" s="56" t="n">
        <v>12.8</v>
      </c>
      <c r="O5274" s="56" t="n">
        <f aca="false">IF(D5274=1,"",E5273)</f>
        <v>24.6</v>
      </c>
      <c r="P5274" s="56" t="n">
        <f aca="false">IF(OR(D5274=1,K5273=""),"",K5273)</f>
        <v>1028.2</v>
      </c>
      <c r="Q5274" s="56" t="n">
        <f aca="false">IF(OR(F5274&lt;&gt;0,AND(I5274&lt;&gt;"",E5274&lt;I5274)),1,0)</f>
        <v>0</v>
      </c>
      <c r="R5274" s="56" t="n">
        <f aca="false">IF(AND(D5274&gt;1,Q5274=0,ISNUMBER(O5274),ISNUMBER(P5274)),IF(Q5273=0,1,0),0)</f>
        <v>1</v>
      </c>
      <c r="S5274" s="56" t="n">
        <f aca="false">R5274*(B5274&gt;=Train_Start)*(B5274&lt;=Train_End)</f>
        <v>0</v>
      </c>
      <c r="T5274" s="84" t="n">
        <f aca="false">IF(AND(ISNUMBER(O5274),ISNUMBER(P5274)),Coef_A+Coef_B1*O5274+Coef_B2*P5274,"")</f>
        <v>24.497245233513</v>
      </c>
      <c r="U5274" s="84" t="n">
        <f aca="false">IF(AND(R5274=1,ISNUMBER(T5274)),E5274-T5274,"")</f>
        <v>-1.09724523351297</v>
      </c>
      <c r="V5274" s="84" t="n">
        <f aca="false">IF(ISNUMBER(T5274),T5274,-99)</f>
        <v>24.497245233513</v>
      </c>
      <c r="W5274" s="84" t="n">
        <f aca="false">IF(ISNUMBER(U5274),ABS(U5274),"")</f>
        <v>1.09724523351297</v>
      </c>
    </row>
    <row r="5275" customFormat="false" ht="15" hidden="false" customHeight="false" outlineLevel="0" collapsed="false">
      <c r="A5275" s="57" t="n">
        <v>41466</v>
      </c>
      <c r="B5275" s="56" t="n">
        <v>2013</v>
      </c>
      <c r="C5275" s="56" t="n">
        <v>7</v>
      </c>
      <c r="D5275" s="56" t="n">
        <v>72</v>
      </c>
      <c r="E5275" s="56" t="n">
        <v>25.9</v>
      </c>
      <c r="F5275" s="56" t="n">
        <v>0</v>
      </c>
      <c r="G5275" s="56" t="n">
        <v>11.8</v>
      </c>
      <c r="H5275" s="56" t="n">
        <v>0</v>
      </c>
      <c r="I5275" s="56" t="n">
        <v>17.6</v>
      </c>
      <c r="J5275" s="56" t="n">
        <v>0</v>
      </c>
      <c r="K5275" s="56" t="n">
        <v>1025.5</v>
      </c>
      <c r="L5275" s="56" t="n">
        <v>0</v>
      </c>
      <c r="M5275" s="56" t="n">
        <v>58</v>
      </c>
      <c r="N5275" s="56" t="n">
        <v>12.5</v>
      </c>
      <c r="O5275" s="56" t="n">
        <f aca="false">IF(D5275=1,"",E5274)</f>
        <v>23.4</v>
      </c>
      <c r="P5275" s="56" t="n">
        <f aca="false">IF(OR(D5275=1,K5274=""),"",K5274)</f>
        <v>1025.6</v>
      </c>
      <c r="Q5275" s="56" t="n">
        <f aca="false">IF(OR(F5275&lt;&gt;0,AND(I5275&lt;&gt;"",E5275&lt;I5275)),1,0)</f>
        <v>0</v>
      </c>
      <c r="R5275" s="56" t="n">
        <f aca="false">IF(AND(D5275&gt;1,Q5275=0,ISNUMBER(O5275),ISNUMBER(P5275)),IF(Q5274=0,1,0),0)</f>
        <v>1</v>
      </c>
      <c r="S5275" s="56" t="n">
        <f aca="false">R5275*(B5275&gt;=Train_Start)*(B5275&lt;=Train_End)</f>
        <v>0</v>
      </c>
      <c r="T5275" s="84" t="n">
        <f aca="false">IF(AND(ISNUMBER(O5275),ISNUMBER(P5275)),Coef_A+Coef_B1*O5275+Coef_B2*P5275,"")</f>
        <v>23.4324764758134</v>
      </c>
      <c r="U5275" s="84" t="n">
        <f aca="false">IF(AND(R5275=1,ISNUMBER(T5275)),E5275-T5275,"")</f>
        <v>2.4675235241866</v>
      </c>
      <c r="V5275" s="84" t="n">
        <f aca="false">IF(ISNUMBER(T5275),T5275,-99)</f>
        <v>23.4324764758134</v>
      </c>
      <c r="W5275" s="84" t="n">
        <f aca="false">IF(ISNUMBER(U5275),ABS(U5275),"")</f>
        <v>2.4675235241866</v>
      </c>
    </row>
    <row r="5276" customFormat="false" ht="15" hidden="false" customHeight="false" outlineLevel="0" collapsed="false">
      <c r="A5276" s="57" t="n">
        <v>41467</v>
      </c>
      <c r="B5276" s="56" t="n">
        <v>2013</v>
      </c>
      <c r="C5276" s="56" t="n">
        <v>7</v>
      </c>
      <c r="D5276" s="56" t="n">
        <v>73</v>
      </c>
      <c r="E5276" s="56" t="n">
        <v>31.4</v>
      </c>
      <c r="F5276" s="56" t="n">
        <v>0</v>
      </c>
      <c r="G5276" s="56" t="n">
        <v>12.3</v>
      </c>
      <c r="H5276" s="56" t="n">
        <v>0</v>
      </c>
      <c r="I5276" s="56" t="n">
        <v>19.1</v>
      </c>
      <c r="J5276" s="56" t="n">
        <v>0</v>
      </c>
      <c r="K5276" s="56" t="n">
        <v>1025.1</v>
      </c>
      <c r="L5276" s="56" t="n">
        <v>0</v>
      </c>
      <c r="M5276" s="56" t="n">
        <v>63</v>
      </c>
      <c r="N5276" s="56" t="n">
        <v>8.1</v>
      </c>
      <c r="O5276" s="56" t="n">
        <f aca="false">IF(D5276=1,"",E5275)</f>
        <v>25.9</v>
      </c>
      <c r="P5276" s="56" t="n">
        <f aca="false">IF(OR(D5276=1,K5275=""),"",K5275)</f>
        <v>1025.5</v>
      </c>
      <c r="Q5276" s="56" t="n">
        <f aca="false">IF(OR(F5276&lt;&gt;0,AND(I5276&lt;&gt;"",E5276&lt;I5276)),1,0)</f>
        <v>0</v>
      </c>
      <c r="R5276" s="56" t="n">
        <f aca="false">IF(AND(D5276&gt;1,Q5276=0,ISNUMBER(O5276),ISNUMBER(P5276)),IF(Q5275=0,1,0),0)</f>
        <v>1</v>
      </c>
      <c r="S5276" s="56" t="n">
        <f aca="false">R5276*(B5276&gt;=Train_Start)*(B5276&lt;=Train_End)</f>
        <v>0</v>
      </c>
      <c r="T5276" s="84" t="n">
        <f aca="false">IF(AND(ISNUMBER(O5276),ISNUMBER(P5276)),Coef_A+Coef_B1*O5276+Coef_B2*P5276,"")</f>
        <v>25.4776874689566</v>
      </c>
      <c r="U5276" s="84" t="n">
        <f aca="false">IF(AND(R5276=1,ISNUMBER(T5276)),E5276-T5276,"")</f>
        <v>5.92231253104335</v>
      </c>
      <c r="V5276" s="84" t="n">
        <f aca="false">IF(ISNUMBER(T5276),T5276,-99)</f>
        <v>25.4776874689566</v>
      </c>
      <c r="W5276" s="84" t="n">
        <f aca="false">IF(ISNUMBER(U5276),ABS(U5276),"")</f>
        <v>5.92231253104335</v>
      </c>
    </row>
    <row r="5277" customFormat="false" ht="15" hidden="false" customHeight="false" outlineLevel="0" collapsed="false">
      <c r="A5277" s="57" t="n">
        <v>41468</v>
      </c>
      <c r="B5277" s="56" t="n">
        <v>2013</v>
      </c>
      <c r="C5277" s="56" t="n">
        <v>7</v>
      </c>
      <c r="D5277" s="56" t="n">
        <v>74</v>
      </c>
      <c r="E5277" s="56" t="n">
        <v>29.8</v>
      </c>
      <c r="F5277" s="56" t="n">
        <v>0</v>
      </c>
      <c r="G5277" s="56" t="n">
        <v>14.3</v>
      </c>
      <c r="H5277" s="56" t="n">
        <v>0</v>
      </c>
      <c r="I5277" s="56" t="n">
        <v>22.9</v>
      </c>
      <c r="J5277" s="56" t="n">
        <v>0</v>
      </c>
      <c r="K5277" s="56" t="n">
        <v>1023.9</v>
      </c>
      <c r="L5277" s="56" t="n">
        <v>0</v>
      </c>
      <c r="M5277" s="56" t="n">
        <v>61</v>
      </c>
      <c r="N5277" s="56" t="n">
        <v>12.1</v>
      </c>
      <c r="O5277" s="56" t="n">
        <f aca="false">IF(D5277=1,"",E5276)</f>
        <v>31.4</v>
      </c>
      <c r="P5277" s="56" t="n">
        <f aca="false">IF(OR(D5277=1,K5276=""),"",K5276)</f>
        <v>1025.1</v>
      </c>
      <c r="Q5277" s="56" t="n">
        <f aca="false">IF(OR(F5277&lt;&gt;0,AND(I5277&lt;&gt;"",E5277&lt;I5277)),1,0)</f>
        <v>0</v>
      </c>
      <c r="R5277" s="56" t="n">
        <f aca="false">IF(AND(D5277&gt;1,Q5277=0,ISNUMBER(O5277),ISNUMBER(P5277)),IF(Q5276=0,1,0),0)</f>
        <v>1</v>
      </c>
      <c r="S5277" s="56" t="n">
        <f aca="false">R5277*(B5277&gt;=Train_Start)*(B5277&lt;=Train_End)</f>
        <v>0</v>
      </c>
      <c r="T5277" s="84" t="n">
        <f aca="false">IF(AND(ISNUMBER(O5277),ISNUMBER(P5277)),Coef_A+Coef_B1*O5277+Coef_B2*P5277,"")</f>
        <v>29.9715050728377</v>
      </c>
      <c r="U5277" s="84" t="n">
        <f aca="false">IF(AND(R5277=1,ISNUMBER(T5277)),E5277-T5277,"")</f>
        <v>-0.171505072837665</v>
      </c>
      <c r="V5277" s="84" t="n">
        <f aca="false">IF(ISNUMBER(T5277),T5277,-99)</f>
        <v>29.9715050728377</v>
      </c>
      <c r="W5277" s="84" t="n">
        <f aca="false">IF(ISNUMBER(U5277),ABS(U5277),"")</f>
        <v>0.171505072837665</v>
      </c>
    </row>
    <row r="5278" customFormat="false" ht="15" hidden="false" customHeight="false" outlineLevel="0" collapsed="false">
      <c r="A5278" s="57" t="n">
        <v>41469</v>
      </c>
      <c r="B5278" s="56" t="n">
        <v>2013</v>
      </c>
      <c r="C5278" s="56" t="n">
        <v>7</v>
      </c>
      <c r="D5278" s="56" t="n">
        <v>75</v>
      </c>
      <c r="E5278" s="56" t="n">
        <v>30.9</v>
      </c>
      <c r="F5278" s="56" t="n">
        <v>0</v>
      </c>
      <c r="G5278" s="56" t="n">
        <v>17.8</v>
      </c>
      <c r="H5278" s="56" t="n">
        <v>0</v>
      </c>
      <c r="I5278" s="56" t="n">
        <v>23.8</v>
      </c>
      <c r="J5278" s="56" t="n">
        <v>0</v>
      </c>
      <c r="K5278" s="56" t="n">
        <v>1023.6</v>
      </c>
      <c r="L5278" s="56" t="n">
        <v>0</v>
      </c>
      <c r="M5278" s="56" t="n">
        <v>56</v>
      </c>
      <c r="N5278" s="56" t="n">
        <v>11.3</v>
      </c>
      <c r="O5278" s="56" t="n">
        <f aca="false">IF(D5278=1,"",E5277)</f>
        <v>29.8</v>
      </c>
      <c r="P5278" s="56" t="n">
        <f aca="false">IF(OR(D5278=1,K5277=""),"",K5277)</f>
        <v>1023.9</v>
      </c>
      <c r="Q5278" s="56" t="n">
        <f aca="false">IF(OR(F5278&lt;&gt;0,AND(I5278&lt;&gt;"",E5278&lt;I5278)),1,0)</f>
        <v>0</v>
      </c>
      <c r="R5278" s="56" t="n">
        <f aca="false">IF(AND(D5278&gt;1,Q5278=0,ISNUMBER(O5278),ISNUMBER(P5278)),IF(Q5277=0,1,0),0)</f>
        <v>1</v>
      </c>
      <c r="S5278" s="56" t="n">
        <f aca="false">R5278*(B5278&gt;=Train_Start)*(B5278&lt;=Train_End)</f>
        <v>0</v>
      </c>
      <c r="T5278" s="84" t="n">
        <f aca="false">IF(AND(ISNUMBER(O5278),ISNUMBER(P5278)),Coef_A+Coef_B1*O5278+Coef_B2*P5278,"")</f>
        <v>28.6229184904086</v>
      </c>
      <c r="U5278" s="84" t="n">
        <f aca="false">IF(AND(R5278=1,ISNUMBER(T5278)),E5278-T5278,"")</f>
        <v>2.27708150959137</v>
      </c>
      <c r="V5278" s="84" t="n">
        <f aca="false">IF(ISNUMBER(T5278),T5278,-99)</f>
        <v>28.6229184904086</v>
      </c>
      <c r="W5278" s="84" t="n">
        <f aca="false">IF(ISNUMBER(U5278),ABS(U5278),"")</f>
        <v>2.27708150959137</v>
      </c>
    </row>
    <row r="5279" customFormat="false" ht="15" hidden="false" customHeight="false" outlineLevel="0" collapsed="false">
      <c r="A5279" s="57" t="n">
        <v>41470</v>
      </c>
      <c r="B5279" s="56" t="n">
        <v>2013</v>
      </c>
      <c r="C5279" s="56" t="n">
        <v>7</v>
      </c>
      <c r="D5279" s="56" t="n">
        <v>76</v>
      </c>
      <c r="E5279" s="56" t="n">
        <v>31</v>
      </c>
      <c r="F5279" s="56" t="n">
        <v>0</v>
      </c>
      <c r="G5279" s="56" t="n">
        <v>17.8</v>
      </c>
      <c r="H5279" s="56" t="n">
        <v>0</v>
      </c>
      <c r="I5279" s="56" t="n">
        <v>24.4</v>
      </c>
      <c r="J5279" s="56" t="n">
        <v>0</v>
      </c>
      <c r="K5279" s="56" t="n">
        <v>1023.1</v>
      </c>
      <c r="L5279" s="56" t="n">
        <v>0</v>
      </c>
      <c r="M5279" s="56" t="n">
        <v>39</v>
      </c>
      <c r="N5279" s="56" t="n">
        <v>12.6</v>
      </c>
      <c r="O5279" s="56" t="n">
        <f aca="false">IF(D5279=1,"",E5278)</f>
        <v>30.9</v>
      </c>
      <c r="P5279" s="56" t="n">
        <f aca="false">IF(OR(D5279=1,K5278=""),"",K5278)</f>
        <v>1023.6</v>
      </c>
      <c r="Q5279" s="56" t="n">
        <f aca="false">IF(OR(F5279&lt;&gt;0,AND(I5279&lt;&gt;"",E5279&lt;I5279)),1,0)</f>
        <v>0</v>
      </c>
      <c r="R5279" s="56" t="n">
        <f aca="false">IF(AND(D5279&gt;1,Q5279=0,ISNUMBER(O5279),ISNUMBER(P5279)),IF(Q5278=0,1,0),0)</f>
        <v>1</v>
      </c>
      <c r="S5279" s="56" t="n">
        <f aca="false">R5279*(B5279&gt;=Train_Start)*(B5279&lt;=Train_End)</f>
        <v>0</v>
      </c>
      <c r="T5279" s="84" t="n">
        <f aca="false">IF(AND(ISNUMBER(O5279),ISNUMBER(P5279)),Coef_A+Coef_B1*O5279+Coef_B2*P5279,"")</f>
        <v>29.5147806343654</v>
      </c>
      <c r="U5279" s="84" t="n">
        <f aca="false">IF(AND(R5279=1,ISNUMBER(T5279)),E5279-T5279,"")</f>
        <v>1.48521936563464</v>
      </c>
      <c r="V5279" s="84" t="n">
        <f aca="false">IF(ISNUMBER(T5279),T5279,-99)</f>
        <v>29.5147806343654</v>
      </c>
      <c r="W5279" s="84" t="n">
        <f aca="false">IF(ISNUMBER(U5279),ABS(U5279),"")</f>
        <v>1.48521936563464</v>
      </c>
    </row>
    <row r="5280" customFormat="false" ht="15" hidden="false" customHeight="false" outlineLevel="0" collapsed="false">
      <c r="A5280" s="57" t="n">
        <v>41471</v>
      </c>
      <c r="B5280" s="56" t="n">
        <v>2013</v>
      </c>
      <c r="C5280" s="56" t="n">
        <v>7</v>
      </c>
      <c r="D5280" s="56" t="n">
        <v>77</v>
      </c>
      <c r="E5280" s="56" t="n">
        <v>31.9</v>
      </c>
      <c r="F5280" s="56" t="n">
        <v>0</v>
      </c>
      <c r="G5280" s="56" t="n">
        <v>17.2</v>
      </c>
      <c r="H5280" s="56" t="n">
        <v>0</v>
      </c>
      <c r="I5280" s="56" t="n">
        <v>24.1</v>
      </c>
      <c r="J5280" s="56" t="n">
        <v>0</v>
      </c>
      <c r="K5280" s="56" t="n">
        <v>1022.8</v>
      </c>
      <c r="L5280" s="56" t="n">
        <v>0</v>
      </c>
      <c r="M5280" s="56" t="n">
        <v>49</v>
      </c>
      <c r="N5280" s="56" t="n">
        <v>9.2</v>
      </c>
      <c r="O5280" s="56" t="n">
        <f aca="false">IF(D5280=1,"",E5279)</f>
        <v>31</v>
      </c>
      <c r="P5280" s="56" t="n">
        <f aca="false">IF(OR(D5280=1,K5279=""),"",K5279)</f>
        <v>1023.1</v>
      </c>
      <c r="Q5280" s="56" t="n">
        <f aca="false">IF(OR(F5280&lt;&gt;0,AND(I5280&lt;&gt;"",E5280&lt;I5280)),1,0)</f>
        <v>0</v>
      </c>
      <c r="R5280" s="56" t="n">
        <f aca="false">IF(AND(D5280&gt;1,Q5280=0,ISNUMBER(O5280),ISNUMBER(P5280)),IF(Q5279=0,1,0),0)</f>
        <v>1</v>
      </c>
      <c r="S5280" s="56" t="n">
        <f aca="false">R5280*(B5280&gt;=Train_Start)*(B5280&lt;=Train_End)</f>
        <v>0</v>
      </c>
      <c r="T5280" s="84" t="n">
        <f aca="false">IF(AND(ISNUMBER(O5280),ISNUMBER(P5280)),Coef_A+Coef_B1*O5280+Coef_B2*P5280,"")</f>
        <v>29.5810296063526</v>
      </c>
      <c r="U5280" s="84" t="n">
        <f aca="false">IF(AND(R5280=1,ISNUMBER(T5280)),E5280-T5280,"")</f>
        <v>2.31897039364737</v>
      </c>
      <c r="V5280" s="84" t="n">
        <f aca="false">IF(ISNUMBER(T5280),T5280,-99)</f>
        <v>29.5810296063526</v>
      </c>
      <c r="W5280" s="84" t="n">
        <f aca="false">IF(ISNUMBER(U5280),ABS(U5280),"")</f>
        <v>2.31897039364737</v>
      </c>
    </row>
    <row r="5281" customFormat="false" ht="15" hidden="false" customHeight="false" outlineLevel="0" collapsed="false">
      <c r="A5281" s="57" t="n">
        <v>41472</v>
      </c>
      <c r="B5281" s="56" t="n">
        <v>2013</v>
      </c>
      <c r="C5281" s="56" t="n">
        <v>7</v>
      </c>
      <c r="D5281" s="56" t="n">
        <v>78</v>
      </c>
      <c r="E5281" s="56" t="n">
        <v>29.5</v>
      </c>
      <c r="F5281" s="56" t="n">
        <v>0</v>
      </c>
      <c r="G5281" s="56" t="n">
        <v>18</v>
      </c>
      <c r="H5281" s="56" t="n">
        <v>0</v>
      </c>
      <c r="I5281" s="56" t="n">
        <v>25</v>
      </c>
      <c r="J5281" s="56" t="n">
        <v>0</v>
      </c>
      <c r="K5281" s="56" t="n">
        <v>1023.8</v>
      </c>
      <c r="L5281" s="56" t="n">
        <v>0</v>
      </c>
      <c r="M5281" s="56" t="n">
        <v>49</v>
      </c>
      <c r="N5281" s="56" t="n">
        <v>8.3</v>
      </c>
      <c r="O5281" s="56" t="n">
        <f aca="false">IF(D5281=1,"",E5280)</f>
        <v>31.9</v>
      </c>
      <c r="P5281" s="56" t="n">
        <f aca="false">IF(OR(D5281=1,K5280=""),"",K5280)</f>
        <v>1022.8</v>
      </c>
      <c r="Q5281" s="56" t="n">
        <f aca="false">IF(OR(F5281&lt;&gt;0,AND(I5281&lt;&gt;"",E5281&lt;I5281)),1,0)</f>
        <v>0</v>
      </c>
      <c r="R5281" s="56" t="n">
        <f aca="false">IF(AND(D5281&gt;1,Q5281=0,ISNUMBER(O5281),ISNUMBER(P5281)),IF(Q5280=0,1,0),0)</f>
        <v>1</v>
      </c>
      <c r="S5281" s="56" t="n">
        <f aca="false">R5281*(B5281&gt;=Train_Start)*(B5281&lt;=Train_End)</f>
        <v>0</v>
      </c>
      <c r="T5281" s="84" t="n">
        <f aca="false">IF(AND(ISNUMBER(O5281),ISNUMBER(P5281)),Coef_A+Coef_B1*O5281+Coef_B2*P5281,"")</f>
        <v>30.3090239117008</v>
      </c>
      <c r="U5281" s="84" t="n">
        <f aca="false">IF(AND(R5281=1,ISNUMBER(T5281)),E5281-T5281,"")</f>
        <v>-0.809023911700823</v>
      </c>
      <c r="V5281" s="84" t="n">
        <f aca="false">IF(ISNUMBER(T5281),T5281,-99)</f>
        <v>30.3090239117008</v>
      </c>
      <c r="W5281" s="84" t="n">
        <f aca="false">IF(ISNUMBER(U5281),ABS(U5281),"")</f>
        <v>0.809023911700823</v>
      </c>
    </row>
    <row r="5282" customFormat="false" ht="15" hidden="false" customHeight="false" outlineLevel="0" collapsed="false">
      <c r="A5282" s="57" t="n">
        <v>41473</v>
      </c>
      <c r="B5282" s="56" t="n">
        <v>2013</v>
      </c>
      <c r="C5282" s="56" t="n">
        <v>7</v>
      </c>
      <c r="D5282" s="56" t="n">
        <v>79</v>
      </c>
      <c r="E5282" s="56" t="n">
        <v>29.3</v>
      </c>
      <c r="F5282" s="56" t="n">
        <v>0</v>
      </c>
      <c r="G5282" s="56" t="n">
        <v>18.4</v>
      </c>
      <c r="H5282" s="56" t="n">
        <v>0</v>
      </c>
      <c r="I5282" s="56" t="n">
        <v>24</v>
      </c>
      <c r="J5282" s="56" t="n">
        <v>0</v>
      </c>
      <c r="K5282" s="56" t="n">
        <v>1026.1</v>
      </c>
      <c r="L5282" s="56" t="n">
        <v>0</v>
      </c>
      <c r="M5282" s="56" t="n">
        <v>52</v>
      </c>
      <c r="N5282" s="56" t="n">
        <v>13.9</v>
      </c>
      <c r="O5282" s="56" t="n">
        <f aca="false">IF(D5282=1,"",E5281)</f>
        <v>29.5</v>
      </c>
      <c r="P5282" s="56" t="n">
        <f aca="false">IF(OR(D5282=1,K5281=""),"",K5281)</f>
        <v>1023.8</v>
      </c>
      <c r="Q5282" s="56" t="n">
        <f aca="false">IF(OR(F5282&lt;&gt;0,AND(I5282&lt;&gt;"",E5282&lt;I5282)),1,0)</f>
        <v>0</v>
      </c>
      <c r="R5282" s="56" t="n">
        <f aca="false">IF(AND(D5282&gt;1,Q5282=0,ISNUMBER(O5282),ISNUMBER(P5282)),IF(Q5281=0,1,0),0)</f>
        <v>1</v>
      </c>
      <c r="S5282" s="56" t="n">
        <f aca="false">R5282*(B5282&gt;=Train_Start)*(B5282&lt;=Train_End)</f>
        <v>0</v>
      </c>
      <c r="T5282" s="84" t="n">
        <f aca="false">IF(AND(ISNUMBER(O5282),ISNUMBER(P5282)),Coef_A+Coef_B1*O5282+Coef_B2*P5282,"")</f>
        <v>28.3739797430324</v>
      </c>
      <c r="U5282" s="84" t="n">
        <f aca="false">IF(AND(R5282=1,ISNUMBER(T5282)),E5282-T5282,"")</f>
        <v>0.926020256967565</v>
      </c>
      <c r="V5282" s="84" t="n">
        <f aca="false">IF(ISNUMBER(T5282),T5282,-99)</f>
        <v>28.3739797430324</v>
      </c>
      <c r="W5282" s="84" t="n">
        <f aca="false">IF(ISNUMBER(U5282),ABS(U5282),"")</f>
        <v>0.926020256967565</v>
      </c>
    </row>
    <row r="5283" customFormat="false" ht="15" hidden="false" customHeight="false" outlineLevel="0" collapsed="false">
      <c r="A5283" s="57" t="n">
        <v>41474</v>
      </c>
      <c r="B5283" s="56" t="n">
        <v>2013</v>
      </c>
      <c r="C5283" s="56" t="n">
        <v>7</v>
      </c>
      <c r="D5283" s="56" t="n">
        <v>80</v>
      </c>
      <c r="E5283" s="56" t="n">
        <v>24.6</v>
      </c>
      <c r="F5283" s="56" t="n">
        <v>0</v>
      </c>
      <c r="G5283" s="56" t="n">
        <v>15.9</v>
      </c>
      <c r="H5283" s="56" t="n">
        <v>0</v>
      </c>
      <c r="I5283" s="56" t="n">
        <v>22.6</v>
      </c>
      <c r="J5283" s="56" t="n">
        <v>0</v>
      </c>
      <c r="K5283" s="56" t="n">
        <v>1025.1</v>
      </c>
      <c r="L5283" s="56" t="n">
        <v>0</v>
      </c>
      <c r="M5283" s="56" t="n">
        <v>51</v>
      </c>
      <c r="N5283" s="56" t="n">
        <v>14.3</v>
      </c>
      <c r="O5283" s="56" t="n">
        <f aca="false">IF(D5283=1,"",E5282)</f>
        <v>29.3</v>
      </c>
      <c r="P5283" s="56" t="n">
        <f aca="false">IF(OR(D5283=1,K5282=""),"",K5282)</f>
        <v>1026.1</v>
      </c>
      <c r="Q5283" s="56" t="n">
        <f aca="false">IF(OR(F5283&lt;&gt;0,AND(I5283&lt;&gt;"",E5283&lt;I5283)),1,0)</f>
        <v>0</v>
      </c>
      <c r="R5283" s="56" t="n">
        <f aca="false">IF(AND(D5283&gt;1,Q5283=0,ISNUMBER(O5283),ISNUMBER(P5283)),IF(Q5282=0,1,0),0)</f>
        <v>1</v>
      </c>
      <c r="S5283" s="56" t="n">
        <f aca="false">R5283*(B5283&gt;=Train_Start)*(B5283&lt;=Train_End)</f>
        <v>0</v>
      </c>
      <c r="T5283" s="84" t="n">
        <f aca="false">IF(AND(ISNUMBER(O5283),ISNUMBER(P5283)),Coef_A+Coef_B1*O5283+Coef_B2*P5283,"")</f>
        <v>28.2822626620821</v>
      </c>
      <c r="U5283" s="84" t="n">
        <f aca="false">IF(AND(R5283=1,ISNUMBER(T5283)),E5283-T5283,"")</f>
        <v>-3.68226266208207</v>
      </c>
      <c r="V5283" s="84" t="n">
        <f aca="false">IF(ISNUMBER(T5283),T5283,-99)</f>
        <v>28.2822626620821</v>
      </c>
      <c r="W5283" s="84" t="n">
        <f aca="false">IF(ISNUMBER(U5283),ABS(U5283),"")</f>
        <v>3.68226266208207</v>
      </c>
    </row>
    <row r="5284" customFormat="false" ht="15" hidden="false" customHeight="false" outlineLevel="0" collapsed="false">
      <c r="A5284" s="57" t="n">
        <v>41475</v>
      </c>
      <c r="B5284" s="56" t="n">
        <v>2013</v>
      </c>
      <c r="C5284" s="56" t="n">
        <v>7</v>
      </c>
      <c r="D5284" s="56" t="n">
        <v>81</v>
      </c>
      <c r="E5284" s="56" t="n">
        <v>27.5</v>
      </c>
      <c r="F5284" s="56" t="n">
        <v>0</v>
      </c>
      <c r="G5284" s="56" t="n">
        <v>16.5</v>
      </c>
      <c r="H5284" s="56" t="n">
        <v>0</v>
      </c>
      <c r="I5284" s="56" t="n">
        <v>20.6</v>
      </c>
      <c r="J5284" s="56" t="n">
        <v>0</v>
      </c>
      <c r="K5284" s="56" t="n">
        <v>1023.3</v>
      </c>
      <c r="L5284" s="56" t="n">
        <v>0</v>
      </c>
      <c r="M5284" s="56" t="n">
        <v>68</v>
      </c>
      <c r="N5284" s="56" t="n">
        <v>2.9</v>
      </c>
      <c r="O5284" s="56" t="n">
        <f aca="false">IF(D5284=1,"",E5283)</f>
        <v>24.6</v>
      </c>
      <c r="P5284" s="56" t="n">
        <f aca="false">IF(OR(D5284=1,K5283=""),"",K5283)</f>
        <v>1025.1</v>
      </c>
      <c r="Q5284" s="56" t="n">
        <f aca="false">IF(OR(F5284&lt;&gt;0,AND(I5284&lt;&gt;"",E5284&lt;I5284)),1,0)</f>
        <v>0</v>
      </c>
      <c r="R5284" s="56" t="n">
        <f aca="false">IF(AND(D5284&gt;1,Q5284=0,ISNUMBER(O5284),ISNUMBER(P5284)),IF(Q5283=0,1,0),0)</f>
        <v>1</v>
      </c>
      <c r="S5284" s="56" t="n">
        <f aca="false">R5284*(B5284&gt;=Train_Start)*(B5284&lt;=Train_End)</f>
        <v>0</v>
      </c>
      <c r="T5284" s="84" t="n">
        <f aca="false">IF(AND(ISNUMBER(O5284),ISNUMBER(P5284)),Coef_A+Coef_B1*O5284+Coef_B2*P5284,"")</f>
        <v>24.3999985601476</v>
      </c>
      <c r="U5284" s="84" t="n">
        <f aca="false">IF(AND(R5284=1,ISNUMBER(T5284)),E5284-T5284,"")</f>
        <v>3.10000143985241</v>
      </c>
      <c r="V5284" s="84" t="n">
        <f aca="false">IF(ISNUMBER(T5284),T5284,-99)</f>
        <v>24.3999985601476</v>
      </c>
      <c r="W5284" s="84" t="n">
        <f aca="false">IF(ISNUMBER(U5284),ABS(U5284),"")</f>
        <v>3.10000143985241</v>
      </c>
    </row>
    <row r="5285" customFormat="false" ht="15" hidden="false" customHeight="false" outlineLevel="0" collapsed="false">
      <c r="A5285" s="57" t="n">
        <v>41476</v>
      </c>
      <c r="B5285" s="56" t="n">
        <v>2013</v>
      </c>
      <c r="C5285" s="56" t="n">
        <v>7</v>
      </c>
      <c r="D5285" s="56" t="n">
        <v>82</v>
      </c>
      <c r="E5285" s="56" t="n">
        <v>33.5</v>
      </c>
      <c r="F5285" s="56" t="n">
        <v>0</v>
      </c>
      <c r="G5285" s="56" t="n">
        <v>16.9</v>
      </c>
      <c r="H5285" s="56" t="n">
        <v>0</v>
      </c>
      <c r="I5285" s="56" t="n">
        <v>22.2</v>
      </c>
      <c r="J5285" s="56" t="n">
        <v>0</v>
      </c>
      <c r="K5285" s="56" t="n">
        <v>1019.5</v>
      </c>
      <c r="L5285" s="56" t="n">
        <v>0</v>
      </c>
      <c r="M5285" s="56" t="n">
        <v>66</v>
      </c>
      <c r="N5285" s="56" t="n">
        <v>7.5</v>
      </c>
      <c r="O5285" s="56" t="n">
        <f aca="false">IF(D5285=1,"",E5284)</f>
        <v>27.5</v>
      </c>
      <c r="P5285" s="56" t="n">
        <f aca="false">IF(OR(D5285=1,K5284=""),"",K5284)</f>
        <v>1023.3</v>
      </c>
      <c r="Q5285" s="56" t="n">
        <f aca="false">IF(OR(F5285&lt;&gt;0,AND(I5285&lt;&gt;"",E5285&lt;I5285)),1,0)</f>
        <v>0</v>
      </c>
      <c r="R5285" s="56" t="n">
        <f aca="false">IF(AND(D5285&gt;1,Q5285=0,ISNUMBER(O5285),ISNUMBER(P5285)),IF(Q5284=0,1,0),0)</f>
        <v>1</v>
      </c>
      <c r="S5285" s="56" t="n">
        <f aca="false">R5285*(B5285&gt;=Train_Start)*(B5285&lt;=Train_End)</f>
        <v>0</v>
      </c>
      <c r="T5285" s="84" t="n">
        <f aca="false">IF(AND(ISNUMBER(O5285),ISNUMBER(P5285)),Coef_A+Coef_B1*O5285+Coef_B2*P5285,"")</f>
        <v>26.7196164096301</v>
      </c>
      <c r="U5285" s="84" t="n">
        <f aca="false">IF(AND(R5285=1,ISNUMBER(T5285)),E5285-T5285,"")</f>
        <v>6.78038359036987</v>
      </c>
      <c r="V5285" s="84" t="n">
        <f aca="false">IF(ISNUMBER(T5285),T5285,-99)</f>
        <v>26.7196164096301</v>
      </c>
      <c r="W5285" s="84" t="n">
        <f aca="false">IF(ISNUMBER(U5285),ABS(U5285),"")</f>
        <v>6.78038359036987</v>
      </c>
    </row>
    <row r="5286" customFormat="false" ht="15" hidden="false" customHeight="false" outlineLevel="0" collapsed="false">
      <c r="A5286" s="57" t="n">
        <v>41477</v>
      </c>
      <c r="B5286" s="56" t="n">
        <v>2013</v>
      </c>
      <c r="C5286" s="56" t="n">
        <v>7</v>
      </c>
      <c r="D5286" s="56" t="n">
        <v>83</v>
      </c>
      <c r="E5286" s="56" t="n">
        <v>29.6</v>
      </c>
      <c r="F5286" s="56" t="n">
        <v>0</v>
      </c>
      <c r="G5286" s="56" t="n">
        <v>17.2</v>
      </c>
      <c r="H5286" s="56" t="n">
        <v>0</v>
      </c>
      <c r="I5286" s="56" t="n">
        <v>25.4</v>
      </c>
      <c r="J5286" s="56" t="n">
        <v>0</v>
      </c>
      <c r="K5286" s="56" t="n">
        <v>1015.8</v>
      </c>
      <c r="L5286" s="56" t="n">
        <v>0</v>
      </c>
      <c r="M5286" s="56" t="n">
        <v>60</v>
      </c>
      <c r="N5286" s="56" t="n">
        <v>10.9</v>
      </c>
      <c r="O5286" s="56" t="n">
        <f aca="false">IF(D5286=1,"",E5285)</f>
        <v>33.5</v>
      </c>
      <c r="P5286" s="56" t="n">
        <f aca="false">IF(OR(D5286=1,K5285=""),"",K5285)</f>
        <v>1019.5</v>
      </c>
      <c r="Q5286" s="56" t="n">
        <f aca="false">IF(OR(F5286&lt;&gt;0,AND(I5286&lt;&gt;"",E5286&lt;I5286)),1,0)</f>
        <v>0</v>
      </c>
      <c r="R5286" s="56" t="n">
        <f aca="false">IF(AND(D5286&gt;1,Q5286=0,ISNUMBER(O5286),ISNUMBER(P5286)),IF(Q5285=0,1,0),0)</f>
        <v>1</v>
      </c>
      <c r="S5286" s="56" t="n">
        <f aca="false">R5286*(B5286&gt;=Train_Start)*(B5286&lt;=Train_End)</f>
        <v>0</v>
      </c>
      <c r="T5286" s="84" t="n">
        <f aca="false">IF(AND(ISNUMBER(O5286),ISNUMBER(P5286)),Coef_A+Coef_B1*O5286+Coef_B2*P5286,"")</f>
        <v>31.5164459682769</v>
      </c>
      <c r="U5286" s="84" t="n">
        <f aca="false">IF(AND(R5286=1,ISNUMBER(T5286)),E5286-T5286,"")</f>
        <v>-1.91644596827691</v>
      </c>
      <c r="V5286" s="84" t="n">
        <f aca="false">IF(ISNUMBER(T5286),T5286,-99)</f>
        <v>31.5164459682769</v>
      </c>
      <c r="W5286" s="84" t="n">
        <f aca="false">IF(ISNUMBER(U5286),ABS(U5286),"")</f>
        <v>1.91644596827691</v>
      </c>
    </row>
    <row r="5287" customFormat="false" ht="15" hidden="false" customHeight="false" outlineLevel="0" collapsed="false">
      <c r="A5287" s="57" t="n">
        <v>41478</v>
      </c>
      <c r="B5287" s="56" t="n">
        <v>2013</v>
      </c>
      <c r="C5287" s="56" t="n">
        <v>7</v>
      </c>
      <c r="D5287" s="56" t="n">
        <v>84</v>
      </c>
      <c r="E5287" s="56" t="n">
        <v>27.7</v>
      </c>
      <c r="F5287" s="56" t="n">
        <v>0</v>
      </c>
      <c r="G5287" s="56" t="n">
        <v>20.7</v>
      </c>
      <c r="H5287" s="56" t="n">
        <v>0</v>
      </c>
      <c r="I5287" s="56" t="n">
        <v>25.2</v>
      </c>
      <c r="J5287" s="56" t="n">
        <v>0</v>
      </c>
      <c r="K5287" s="56" t="n">
        <v>1013.3</v>
      </c>
      <c r="L5287" s="56" t="n">
        <v>0</v>
      </c>
      <c r="M5287" s="56" t="n">
        <v>65</v>
      </c>
      <c r="N5287" s="56" t="n">
        <v>4.9</v>
      </c>
      <c r="O5287" s="56" t="n">
        <f aca="false">IF(D5287=1,"",E5286)</f>
        <v>29.6</v>
      </c>
      <c r="P5287" s="56" t="n">
        <f aca="false">IF(OR(D5287=1,K5286=""),"",K5286)</f>
        <v>1015.8</v>
      </c>
      <c r="Q5287" s="56" t="n">
        <f aca="false">IF(OR(F5287&lt;&gt;0,AND(I5287&lt;&gt;"",E5287&lt;I5287)),1,0)</f>
        <v>0</v>
      </c>
      <c r="R5287" s="56" t="n">
        <f aca="false">IF(AND(D5287&gt;1,Q5287=0,ISNUMBER(O5287),ISNUMBER(P5287)),IF(Q5286=0,1,0),0)</f>
        <v>1</v>
      </c>
      <c r="S5287" s="56" t="n">
        <f aca="false">R5287*(B5287&gt;=Train_Start)*(B5287&lt;=Train_End)</f>
        <v>0</v>
      </c>
      <c r="T5287" s="84" t="n">
        <f aca="false">IF(AND(ISNUMBER(O5287),ISNUMBER(P5287)),Coef_A+Coef_B1*O5287+Coef_B2*P5287,"")</f>
        <v>28.2049545052648</v>
      </c>
      <c r="U5287" s="84" t="n">
        <f aca="false">IF(AND(R5287=1,ISNUMBER(T5287)),E5287-T5287,"")</f>
        <v>-0.504954505264788</v>
      </c>
      <c r="V5287" s="84" t="n">
        <f aca="false">IF(ISNUMBER(T5287),T5287,-99)</f>
        <v>28.2049545052648</v>
      </c>
      <c r="W5287" s="84" t="n">
        <f aca="false">IF(ISNUMBER(U5287),ABS(U5287),"")</f>
        <v>0.504954505264788</v>
      </c>
    </row>
    <row r="5288" customFormat="false" ht="15" hidden="false" customHeight="false" outlineLevel="0" collapsed="false">
      <c r="A5288" s="57" t="n">
        <v>41479</v>
      </c>
      <c r="B5288" s="56" t="n">
        <v>2013</v>
      </c>
      <c r="C5288" s="56" t="n">
        <v>7</v>
      </c>
      <c r="D5288" s="56" t="n">
        <v>85</v>
      </c>
      <c r="E5288" s="56" t="n">
        <v>26.9</v>
      </c>
      <c r="F5288" s="56" t="n">
        <v>0</v>
      </c>
      <c r="G5288" s="56" t="n">
        <v>15.3</v>
      </c>
      <c r="H5288" s="56" t="n">
        <v>0</v>
      </c>
      <c r="I5288" s="56" t="n">
        <v>21.5</v>
      </c>
      <c r="J5288" s="56" t="n">
        <v>0</v>
      </c>
      <c r="K5288" s="56" t="n">
        <v>1014.3</v>
      </c>
      <c r="L5288" s="56" t="n">
        <v>0</v>
      </c>
      <c r="M5288" s="56" t="n">
        <v>65</v>
      </c>
      <c r="N5288" s="56" t="n">
        <v>8.6</v>
      </c>
      <c r="O5288" s="56" t="n">
        <f aca="false">IF(D5288=1,"",E5287)</f>
        <v>27.7</v>
      </c>
      <c r="P5288" s="56" t="n">
        <f aca="false">IF(OR(D5288=1,K5287=""),"",K5287)</f>
        <v>1013.3</v>
      </c>
      <c r="Q5288" s="56" t="n">
        <f aca="false">IF(OR(F5288&lt;&gt;0,AND(I5288&lt;&gt;"",E5288&lt;I5288)),1,0)</f>
        <v>0</v>
      </c>
      <c r="R5288" s="56" t="n">
        <f aca="false">IF(AND(D5288&gt;1,Q5288=0,ISNUMBER(O5288),ISNUMBER(P5288)),IF(Q5287=0,1,0),0)</f>
        <v>1</v>
      </c>
      <c r="S5288" s="56" t="n">
        <f aca="false">R5288*(B5288&gt;=Train_Start)*(B5288&lt;=Train_End)</f>
        <v>0</v>
      </c>
      <c r="T5288" s="84" t="n">
        <f aca="false">IF(AND(ISNUMBER(O5288),ISNUMBER(P5288)),Coef_A+Coef_B1*O5288+Coef_B2*P5288,"")</f>
        <v>26.5697853018988</v>
      </c>
      <c r="U5288" s="84" t="n">
        <f aca="false">IF(AND(R5288=1,ISNUMBER(T5288)),E5288-T5288,"")</f>
        <v>0.330214698101237</v>
      </c>
      <c r="V5288" s="84" t="n">
        <f aca="false">IF(ISNUMBER(T5288),T5288,-99)</f>
        <v>26.5697853018988</v>
      </c>
      <c r="W5288" s="84" t="n">
        <f aca="false">IF(ISNUMBER(U5288),ABS(U5288),"")</f>
        <v>0.330214698101237</v>
      </c>
    </row>
    <row r="5289" customFormat="false" ht="15" hidden="false" customHeight="false" outlineLevel="0" collapsed="false">
      <c r="A5289" s="57" t="n">
        <v>41480</v>
      </c>
      <c r="B5289" s="56" t="n">
        <v>2013</v>
      </c>
      <c r="C5289" s="56" t="n">
        <v>7</v>
      </c>
      <c r="D5289" s="56" t="n">
        <v>86</v>
      </c>
      <c r="E5289" s="56" t="n">
        <v>26.8</v>
      </c>
      <c r="F5289" s="56" t="n">
        <v>0</v>
      </c>
      <c r="G5289" s="56" t="n">
        <v>16.3</v>
      </c>
      <c r="H5289" s="56" t="n">
        <v>0</v>
      </c>
      <c r="I5289" s="56" t="n">
        <v>21.6</v>
      </c>
      <c r="J5289" s="56" t="n">
        <v>0</v>
      </c>
      <c r="K5289" s="56" t="n">
        <v>1012.8</v>
      </c>
      <c r="L5289" s="56" t="n">
        <v>0</v>
      </c>
      <c r="M5289" s="56" t="n">
        <v>72</v>
      </c>
      <c r="N5289" s="56" t="n">
        <v>6.5</v>
      </c>
      <c r="O5289" s="56" t="n">
        <f aca="false">IF(D5289=1,"",E5288)</f>
        <v>26.9</v>
      </c>
      <c r="P5289" s="56" t="n">
        <f aca="false">IF(OR(D5289=1,K5288=""),"",K5288)</f>
        <v>1014.3</v>
      </c>
      <c r="Q5289" s="56" t="n">
        <f aca="false">IF(OR(F5289&lt;&gt;0,AND(I5289&lt;&gt;"",E5289&lt;I5289)),1,0)</f>
        <v>0</v>
      </c>
      <c r="R5289" s="56" t="n">
        <f aca="false">IF(AND(D5289&gt;1,Q5289=0,ISNUMBER(O5289),ISNUMBER(P5289)),IF(Q5288=0,1,0),0)</f>
        <v>1</v>
      </c>
      <c r="S5289" s="56" t="n">
        <f aca="false">R5289*(B5289&gt;=Train_Start)*(B5289&lt;=Train_End)</f>
        <v>0</v>
      </c>
      <c r="T5289" s="84" t="n">
        <f aca="false">IF(AND(ISNUMBER(O5289),ISNUMBER(P5289)),Coef_A+Coef_B1*O5289+Coef_B2*P5289,"")</f>
        <v>25.9456838420986</v>
      </c>
      <c r="U5289" s="84" t="n">
        <f aca="false">IF(AND(R5289=1,ISNUMBER(T5289)),E5289-T5289,"")</f>
        <v>0.854316157901376</v>
      </c>
      <c r="V5289" s="84" t="n">
        <f aca="false">IF(ISNUMBER(T5289),T5289,-99)</f>
        <v>25.9456838420986</v>
      </c>
      <c r="W5289" s="84" t="n">
        <f aca="false">IF(ISNUMBER(U5289),ABS(U5289),"")</f>
        <v>0.854316157901376</v>
      </c>
    </row>
    <row r="5290" customFormat="false" ht="15" hidden="false" customHeight="false" outlineLevel="0" collapsed="false">
      <c r="A5290" s="57" t="n">
        <v>41481</v>
      </c>
      <c r="B5290" s="56" t="n">
        <v>2013</v>
      </c>
      <c r="C5290" s="56" t="n">
        <v>7</v>
      </c>
      <c r="D5290" s="56" t="n">
        <v>87</v>
      </c>
      <c r="E5290" s="56" t="n">
        <v>28.9</v>
      </c>
      <c r="F5290" s="56" t="n">
        <v>0</v>
      </c>
      <c r="G5290" s="56" t="n">
        <v>13.9</v>
      </c>
      <c r="H5290" s="56" t="n">
        <v>0</v>
      </c>
      <c r="I5290" s="56" t="n">
        <v>20.4</v>
      </c>
      <c r="J5290" s="56" t="n">
        <v>0</v>
      </c>
      <c r="K5290" s="56" t="n">
        <v>1012.4</v>
      </c>
      <c r="L5290" s="56" t="n">
        <v>0</v>
      </c>
      <c r="M5290" s="56" t="n">
        <v>60</v>
      </c>
      <c r="N5290" s="56" t="n">
        <v>7.9</v>
      </c>
      <c r="O5290" s="56" t="n">
        <f aca="false">IF(D5290=1,"",E5289)</f>
        <v>26.8</v>
      </c>
      <c r="P5290" s="56" t="n">
        <f aca="false">IF(OR(D5290=1,K5289=""),"",K5289)</f>
        <v>1012.8</v>
      </c>
      <c r="Q5290" s="56" t="n">
        <f aca="false">IF(OR(F5290&lt;&gt;0,AND(I5290&lt;&gt;"",E5290&lt;I5290)),1,0)</f>
        <v>0</v>
      </c>
      <c r="R5290" s="56" t="n">
        <f aca="false">IF(AND(D5290&gt;1,Q5290=0,ISNUMBER(O5290),ISNUMBER(P5290)),IF(Q5289=0,1,0),0)</f>
        <v>1</v>
      </c>
      <c r="S5290" s="56" t="n">
        <f aca="false">R5290*(B5290&gt;=Train_Start)*(B5290&lt;=Train_End)</f>
        <v>0</v>
      </c>
      <c r="T5290" s="84" t="n">
        <f aca="false">IF(AND(ISNUMBER(O5290),ISNUMBER(P5290)),Coef_A+Coef_B1*O5290+Coef_B2*P5290,"")</f>
        <v>25.8166950808434</v>
      </c>
      <c r="U5290" s="84" t="n">
        <f aca="false">IF(AND(R5290=1,ISNUMBER(T5290)),E5290-T5290,"")</f>
        <v>3.08330491915662</v>
      </c>
      <c r="V5290" s="84" t="n">
        <f aca="false">IF(ISNUMBER(T5290),T5290,-99)</f>
        <v>25.8166950808434</v>
      </c>
      <c r="W5290" s="84" t="n">
        <f aca="false">IF(ISNUMBER(U5290),ABS(U5290),"")</f>
        <v>3.08330491915662</v>
      </c>
    </row>
    <row r="5291" customFormat="false" ht="15" hidden="false" customHeight="false" outlineLevel="0" collapsed="false">
      <c r="A5291" s="57" t="n">
        <v>41482</v>
      </c>
      <c r="B5291" s="56" t="n">
        <v>2013</v>
      </c>
      <c r="C5291" s="56" t="n">
        <v>7</v>
      </c>
      <c r="D5291" s="56" t="n">
        <v>88</v>
      </c>
      <c r="E5291" s="56" t="n">
        <v>24.9</v>
      </c>
      <c r="F5291" s="56" t="n">
        <v>0</v>
      </c>
      <c r="G5291" s="56" t="n">
        <v>14.7</v>
      </c>
      <c r="H5291" s="56" t="n">
        <v>0</v>
      </c>
      <c r="I5291" s="56" t="n">
        <v>21.8</v>
      </c>
      <c r="J5291" s="56" t="n">
        <v>0</v>
      </c>
      <c r="K5291" s="56" t="n">
        <v>1006.5</v>
      </c>
      <c r="L5291" s="56" t="n">
        <v>0</v>
      </c>
      <c r="M5291" s="56" t="n">
        <v>67</v>
      </c>
      <c r="N5291" s="56" t="n">
        <v>5.8</v>
      </c>
      <c r="O5291" s="56" t="n">
        <f aca="false">IF(D5291=1,"",E5290)</f>
        <v>28.9</v>
      </c>
      <c r="P5291" s="56" t="n">
        <f aca="false">IF(OR(D5291=1,K5290=""),"",K5290)</f>
        <v>1012.4</v>
      </c>
      <c r="Q5291" s="56" t="n">
        <f aca="false">IF(OR(F5291&lt;&gt;0,AND(I5291&lt;&gt;"",E5291&lt;I5291)),1,0)</f>
        <v>0</v>
      </c>
      <c r="R5291" s="56" t="n">
        <f aca="false">IF(AND(D5291&gt;1,Q5291=0,ISNUMBER(O5291),ISNUMBER(P5291)),IF(Q5290=0,1,0),0)</f>
        <v>1</v>
      </c>
      <c r="S5291" s="56" t="n">
        <f aca="false">R5291*(B5291&gt;=Train_Start)*(B5291&lt;=Train_End)</f>
        <v>0</v>
      </c>
      <c r="T5291" s="84" t="n">
        <f aca="false">IF(AND(ISNUMBER(O5291),ISNUMBER(P5291)),Coef_A+Coef_B1*O5291+Coef_B2*P5291,"")</f>
        <v>27.5247594283794</v>
      </c>
      <c r="U5291" s="84" t="n">
        <f aca="false">IF(AND(R5291=1,ISNUMBER(T5291)),E5291-T5291,"")</f>
        <v>-2.62475942837936</v>
      </c>
      <c r="V5291" s="84" t="n">
        <f aca="false">IF(ISNUMBER(T5291),T5291,-99)</f>
        <v>27.5247594283794</v>
      </c>
      <c r="W5291" s="84" t="n">
        <f aca="false">IF(ISNUMBER(U5291),ABS(U5291),"")</f>
        <v>2.62475942837936</v>
      </c>
    </row>
    <row r="5292" customFormat="false" ht="15" hidden="false" customHeight="false" outlineLevel="0" collapsed="false">
      <c r="A5292" s="57" t="n">
        <v>41483</v>
      </c>
      <c r="B5292" s="56" t="n">
        <v>2013</v>
      </c>
      <c r="C5292" s="56" t="n">
        <v>7</v>
      </c>
      <c r="D5292" s="56" t="n">
        <v>89</v>
      </c>
      <c r="E5292" s="56" t="n">
        <v>24.7</v>
      </c>
      <c r="F5292" s="56" t="n">
        <v>0</v>
      </c>
      <c r="G5292" s="56" t="n">
        <v>14.7</v>
      </c>
      <c r="H5292" s="56" t="n">
        <v>0</v>
      </c>
      <c r="I5292" s="56" t="n">
        <v>19.8</v>
      </c>
      <c r="J5292" s="56" t="n">
        <v>0</v>
      </c>
      <c r="K5292" s="56" t="n">
        <v>1006.8</v>
      </c>
      <c r="L5292" s="56" t="n">
        <v>0</v>
      </c>
      <c r="M5292" s="56" t="n">
        <v>71</v>
      </c>
      <c r="N5292" s="56" t="n">
        <v>7.8</v>
      </c>
      <c r="O5292" s="56" t="n">
        <f aca="false">IF(D5292=1,"",E5291)</f>
        <v>24.9</v>
      </c>
      <c r="P5292" s="56" t="n">
        <f aca="false">IF(OR(D5292=1,K5291=""),"",K5291)</f>
        <v>1006.5</v>
      </c>
      <c r="Q5292" s="56" t="n">
        <f aca="false">IF(OR(F5292&lt;&gt;0,AND(I5292&lt;&gt;"",E5292&lt;I5292)),1,0)</f>
        <v>0</v>
      </c>
      <c r="R5292" s="56" t="n">
        <f aca="false">IF(AND(D5292&gt;1,Q5292=0,ISNUMBER(O5292),ISNUMBER(P5292)),IF(Q5291=0,1,0),0)</f>
        <v>1</v>
      </c>
      <c r="S5292" s="56" t="n">
        <f aca="false">R5292*(B5292&gt;=Train_Start)*(B5292&lt;=Train_End)</f>
        <v>0</v>
      </c>
      <c r="T5292" s="84" t="n">
        <f aca="false">IF(AND(ISNUMBER(O5292),ISNUMBER(P5292)),Coef_A+Coef_B1*O5292+Coef_B2*P5292,"")</f>
        <v>24.0623202778682</v>
      </c>
      <c r="U5292" s="84" t="n">
        <f aca="false">IF(AND(R5292=1,ISNUMBER(T5292)),E5292-T5292,"")</f>
        <v>0.637679722131804</v>
      </c>
      <c r="V5292" s="84" t="n">
        <f aca="false">IF(ISNUMBER(T5292),T5292,-99)</f>
        <v>24.0623202778682</v>
      </c>
      <c r="W5292" s="84" t="n">
        <f aca="false">IF(ISNUMBER(U5292),ABS(U5292),"")</f>
        <v>0.637679722131804</v>
      </c>
    </row>
    <row r="5293" customFormat="false" ht="15" hidden="false" customHeight="false" outlineLevel="0" collapsed="false">
      <c r="A5293" s="57" t="n">
        <v>41484</v>
      </c>
      <c r="B5293" s="56" t="n">
        <v>2013</v>
      </c>
      <c r="C5293" s="56" t="n">
        <v>7</v>
      </c>
      <c r="D5293" s="56" t="n">
        <v>90</v>
      </c>
      <c r="E5293" s="56" t="n">
        <v>22.3</v>
      </c>
      <c r="F5293" s="56" t="n">
        <v>0</v>
      </c>
      <c r="G5293" s="56" t="n">
        <v>15.8</v>
      </c>
      <c r="H5293" s="56" t="n">
        <v>0</v>
      </c>
      <c r="I5293" s="56" t="n">
        <v>20.3</v>
      </c>
      <c r="J5293" s="56" t="n">
        <v>0</v>
      </c>
      <c r="K5293" s="56" t="n">
        <v>1011.5</v>
      </c>
      <c r="L5293" s="56" t="n">
        <v>0</v>
      </c>
      <c r="M5293" s="56" t="n">
        <v>74</v>
      </c>
      <c r="N5293" s="56" t="n">
        <v>5.5</v>
      </c>
      <c r="O5293" s="56" t="n">
        <f aca="false">IF(D5293=1,"",E5292)</f>
        <v>24.7</v>
      </c>
      <c r="P5293" s="56" t="n">
        <f aca="false">IF(OR(D5293=1,K5292=""),"",K5292)</f>
        <v>1006.8</v>
      </c>
      <c r="Q5293" s="56" t="n">
        <f aca="false">IF(OR(F5293&lt;&gt;0,AND(I5293&lt;&gt;"",E5293&lt;I5293)),1,0)</f>
        <v>0</v>
      </c>
      <c r="R5293" s="56" t="n">
        <f aca="false">IF(AND(D5293&gt;1,Q5293=0,ISNUMBER(O5293),ISNUMBER(P5293)),IF(Q5292=0,1,0),0)</f>
        <v>1</v>
      </c>
      <c r="S5293" s="56" t="n">
        <f aca="false">R5293*(B5293&gt;=Train_Start)*(B5293&lt;=Train_End)</f>
        <v>0</v>
      </c>
      <c r="T5293" s="84" t="n">
        <f aca="false">IF(AND(ISNUMBER(O5293),ISNUMBER(P5293)),Coef_A+Coef_B1*O5293+Coef_B2*P5293,"")</f>
        <v>23.9078634076499</v>
      </c>
      <c r="U5293" s="84" t="n">
        <f aca="false">IF(AND(R5293=1,ISNUMBER(T5293)),E5293-T5293,"")</f>
        <v>-1.60786340764986</v>
      </c>
      <c r="V5293" s="84" t="n">
        <f aca="false">IF(ISNUMBER(T5293),T5293,-99)</f>
        <v>23.9078634076499</v>
      </c>
      <c r="W5293" s="84" t="n">
        <f aca="false">IF(ISNUMBER(U5293),ABS(U5293),"")</f>
        <v>1.60786340764986</v>
      </c>
    </row>
    <row r="5294" customFormat="false" ht="15" hidden="false" customHeight="false" outlineLevel="0" collapsed="false">
      <c r="A5294" s="57" t="n">
        <v>41485</v>
      </c>
      <c r="B5294" s="56" t="n">
        <v>2013</v>
      </c>
      <c r="C5294" s="56" t="n">
        <v>7</v>
      </c>
      <c r="D5294" s="56" t="n">
        <v>91</v>
      </c>
      <c r="E5294" s="56" t="n">
        <v>26.9</v>
      </c>
      <c r="F5294" s="56" t="n">
        <v>0</v>
      </c>
      <c r="G5294" s="56" t="n">
        <v>15.2</v>
      </c>
      <c r="H5294" s="56" t="n">
        <v>0</v>
      </c>
      <c r="I5294" s="56" t="n">
        <v>18.8</v>
      </c>
      <c r="J5294" s="56" t="n">
        <v>0</v>
      </c>
      <c r="K5294" s="56" t="n">
        <v>1013.5</v>
      </c>
      <c r="L5294" s="56" t="n">
        <v>0</v>
      </c>
      <c r="M5294" s="56" t="n">
        <v>84</v>
      </c>
      <c r="N5294" s="56" t="n">
        <v>3.1</v>
      </c>
      <c r="O5294" s="56" t="n">
        <f aca="false">IF(D5294=1,"",E5293)</f>
        <v>22.3</v>
      </c>
      <c r="P5294" s="56" t="n">
        <f aca="false">IF(OR(D5294=1,K5293=""),"",K5293)</f>
        <v>1011.5</v>
      </c>
      <c r="Q5294" s="56" t="n">
        <f aca="false">IF(OR(F5294&lt;&gt;0,AND(I5294&lt;&gt;"",E5294&lt;I5294)),1,0)</f>
        <v>0</v>
      </c>
      <c r="R5294" s="56" t="n">
        <f aca="false">IF(AND(D5294&gt;1,Q5294=0,ISNUMBER(O5294),ISNUMBER(P5294)),IF(Q5293=0,1,0),0)</f>
        <v>1</v>
      </c>
      <c r="S5294" s="56" t="n">
        <f aca="false">R5294*(B5294&gt;=Train_Start)*(B5294&lt;=Train_End)</f>
        <v>0</v>
      </c>
      <c r="T5294" s="84" t="n">
        <f aca="false">IF(AND(ISNUMBER(O5294),ISNUMBER(P5294)),Coef_A+Coef_B1*O5294+Coef_B2*P5294,"")</f>
        <v>22.0888878491272</v>
      </c>
      <c r="U5294" s="84" t="n">
        <f aca="false">IF(AND(R5294=1,ISNUMBER(T5294)),E5294-T5294,"")</f>
        <v>4.81111215087277</v>
      </c>
      <c r="V5294" s="84" t="n">
        <f aca="false">IF(ISNUMBER(T5294),T5294,-99)</f>
        <v>22.0888878491272</v>
      </c>
      <c r="W5294" s="84" t="n">
        <f aca="false">IF(ISNUMBER(U5294),ABS(U5294),"")</f>
        <v>4.81111215087277</v>
      </c>
    </row>
    <row r="5295" customFormat="false" ht="15" hidden="false" customHeight="false" outlineLevel="0" collapsed="false">
      <c r="A5295" s="57" t="n">
        <v>41486</v>
      </c>
      <c r="B5295" s="56" t="n">
        <v>2013</v>
      </c>
      <c r="C5295" s="56" t="n">
        <v>7</v>
      </c>
      <c r="D5295" s="56" t="n">
        <v>92</v>
      </c>
      <c r="E5295" s="56" t="n">
        <v>34.1</v>
      </c>
      <c r="F5295" s="56" t="n">
        <v>0</v>
      </c>
      <c r="G5295" s="56" t="n">
        <v>15.9</v>
      </c>
      <c r="H5295" s="56" t="n">
        <v>0</v>
      </c>
      <c r="I5295" s="56" t="n">
        <v>21.4</v>
      </c>
      <c r="J5295" s="56" t="n">
        <v>0</v>
      </c>
      <c r="K5295" s="56" t="n">
        <v>1015.3</v>
      </c>
      <c r="L5295" s="56" t="n">
        <v>0</v>
      </c>
      <c r="M5295" s="56" t="n">
        <v>77</v>
      </c>
      <c r="N5295" s="56" t="n">
        <v>1.3</v>
      </c>
      <c r="O5295" s="56" t="n">
        <f aca="false">IF(D5295=1,"",E5294)</f>
        <v>26.9</v>
      </c>
      <c r="P5295" s="56" t="n">
        <f aca="false">IF(OR(D5295=1,K5294=""),"",K5294)</f>
        <v>1013.5</v>
      </c>
      <c r="Q5295" s="56" t="n">
        <f aca="false">IF(OR(F5295&lt;&gt;0,AND(I5295&lt;&gt;"",E5295&lt;I5295)),1,0)</f>
        <v>0</v>
      </c>
      <c r="R5295" s="56" t="n">
        <f aca="false">IF(AND(D5295&gt;1,Q5295=0,ISNUMBER(O5295),ISNUMBER(P5295)),IF(Q5294=0,1,0),0)</f>
        <v>1</v>
      </c>
      <c r="S5295" s="56" t="n">
        <f aca="false">R5295*(B5295&gt;=Train_Start)*(B5295&lt;=Train_End)</f>
        <v>0</v>
      </c>
      <c r="T5295" s="84" t="n">
        <f aca="false">IF(AND(ISNUMBER(O5295),ISNUMBER(P5295)),Coef_A+Coef_B1*O5295+Coef_B2*P5295,"")</f>
        <v>25.9205879263914</v>
      </c>
      <c r="U5295" s="84" t="n">
        <f aca="false">IF(AND(R5295=1,ISNUMBER(T5295)),E5295-T5295,"")</f>
        <v>8.17941207360857</v>
      </c>
      <c r="V5295" s="84" t="n">
        <f aca="false">IF(ISNUMBER(T5295),T5295,-99)</f>
        <v>25.9205879263914</v>
      </c>
      <c r="W5295" s="84" t="n">
        <f aca="false">IF(ISNUMBER(U5295),ABS(U5295),"")</f>
        <v>8.17941207360857</v>
      </c>
    </row>
    <row r="5296" customFormat="false" ht="15" hidden="false" customHeight="false" outlineLevel="0" collapsed="false">
      <c r="A5296" s="57" t="n">
        <v>41487</v>
      </c>
      <c r="B5296" s="56" t="n">
        <v>2013</v>
      </c>
      <c r="C5296" s="56" t="n">
        <v>8</v>
      </c>
      <c r="D5296" s="56" t="n">
        <v>93</v>
      </c>
      <c r="E5296" s="56" t="n">
        <v>26.4</v>
      </c>
      <c r="F5296" s="56" t="n">
        <v>0</v>
      </c>
      <c r="G5296" s="56" t="n">
        <v>16.5</v>
      </c>
      <c r="H5296" s="56" t="n">
        <v>0</v>
      </c>
      <c r="I5296" s="56" t="n">
        <v>25.3</v>
      </c>
      <c r="J5296" s="56" t="n">
        <v>0</v>
      </c>
      <c r="K5296" s="56" t="n">
        <v>1009.2</v>
      </c>
      <c r="L5296" s="56" t="n">
        <v>0</v>
      </c>
      <c r="M5296" s="56" t="n">
        <v>61</v>
      </c>
      <c r="N5296" s="56" t="n">
        <v>13.3</v>
      </c>
      <c r="O5296" s="56" t="n">
        <f aca="false">IF(D5296=1,"",E5295)</f>
        <v>34.1</v>
      </c>
      <c r="P5296" s="56" t="n">
        <f aca="false">IF(OR(D5296=1,K5295=""),"",K5295)</f>
        <v>1015.3</v>
      </c>
      <c r="Q5296" s="56" t="n">
        <f aca="false">IF(OR(F5296&lt;&gt;0,AND(I5296&lt;&gt;"",E5296&lt;I5296)),1,0)</f>
        <v>0</v>
      </c>
      <c r="R5296" s="56" t="n">
        <f aca="false">IF(AND(D5296&gt;1,Q5296=0,ISNUMBER(O5296),ISNUMBER(P5296)),IF(Q5295=0,1,0),0)</f>
        <v>1</v>
      </c>
      <c r="S5296" s="56" t="n">
        <f aca="false">R5296*(B5296&gt;=Train_Start)*(B5296&lt;=Train_End)</f>
        <v>0</v>
      </c>
      <c r="T5296" s="84" t="n">
        <f aca="false">IF(AND(ISNUMBER(O5296),ISNUMBER(P5296)),Coef_A+Coef_B1*O5296+Coef_B2*P5296,"")</f>
        <v>31.8762959266398</v>
      </c>
      <c r="U5296" s="84" t="n">
        <f aca="false">IF(AND(R5296=1,ISNUMBER(T5296)),E5296-T5296,"")</f>
        <v>-5.47629592663975</v>
      </c>
      <c r="V5296" s="84" t="n">
        <f aca="false">IF(ISNUMBER(T5296),T5296,-99)</f>
        <v>31.8762959266398</v>
      </c>
      <c r="W5296" s="84" t="n">
        <f aca="false">IF(ISNUMBER(U5296),ABS(U5296),"")</f>
        <v>5.47629592663975</v>
      </c>
    </row>
    <row r="5297" customFormat="false" ht="15" hidden="false" customHeight="false" outlineLevel="0" collapsed="false">
      <c r="A5297" s="57" t="n">
        <v>41488</v>
      </c>
      <c r="B5297" s="56" t="n">
        <v>2013</v>
      </c>
      <c r="C5297" s="56" t="n">
        <v>8</v>
      </c>
      <c r="D5297" s="56" t="n">
        <v>94</v>
      </c>
      <c r="E5297" s="56" t="n">
        <v>24.7</v>
      </c>
      <c r="F5297" s="56" t="n">
        <v>0</v>
      </c>
      <c r="G5297" s="56" t="n">
        <v>17.2</v>
      </c>
      <c r="H5297" s="56" t="n">
        <v>0</v>
      </c>
      <c r="I5297" s="56" t="n">
        <v>21.8</v>
      </c>
      <c r="J5297" s="56" t="n">
        <v>0</v>
      </c>
      <c r="K5297" s="56" t="n">
        <v>1008.8</v>
      </c>
      <c r="L5297" s="56" t="n">
        <v>0</v>
      </c>
      <c r="M5297" s="56" t="n">
        <v>69</v>
      </c>
      <c r="N5297" s="56" t="n">
        <v>5</v>
      </c>
      <c r="O5297" s="56" t="n">
        <f aca="false">IF(D5297=1,"",E5296)</f>
        <v>26.4</v>
      </c>
      <c r="P5297" s="56" t="n">
        <f aca="false">IF(OR(D5297=1,K5296=""),"",K5296)</f>
        <v>1009.2</v>
      </c>
      <c r="Q5297" s="56" t="n">
        <f aca="false">IF(OR(F5297&lt;&gt;0,AND(I5297&lt;&gt;"",E5297&lt;I5297)),1,0)</f>
        <v>0</v>
      </c>
      <c r="R5297" s="56" t="n">
        <f aca="false">IF(AND(D5297&gt;1,Q5297=0,ISNUMBER(O5297),ISNUMBER(P5297)),IF(Q5296=0,1,0),0)</f>
        <v>1</v>
      </c>
      <c r="S5297" s="56" t="n">
        <f aca="false">R5297*(B5297&gt;=Train_Start)*(B5297&lt;=Train_End)</f>
        <v>0</v>
      </c>
      <c r="T5297" s="84" t="n">
        <f aca="false">IF(AND(ISNUMBER(O5297),ISNUMBER(P5297)),Coef_A+Coef_B1*O5297+Coef_B2*P5297,"")</f>
        <v>25.376027782944</v>
      </c>
      <c r="U5297" s="84" t="n">
        <f aca="false">IF(AND(R5297=1,ISNUMBER(T5297)),E5297-T5297,"")</f>
        <v>-0.676027782943955</v>
      </c>
      <c r="V5297" s="84" t="n">
        <f aca="false">IF(ISNUMBER(T5297),T5297,-99)</f>
        <v>25.376027782944</v>
      </c>
      <c r="W5297" s="84" t="n">
        <f aca="false">IF(ISNUMBER(U5297),ABS(U5297),"")</f>
        <v>0.676027782943955</v>
      </c>
    </row>
    <row r="5298" customFormat="false" ht="15" hidden="false" customHeight="false" outlineLevel="0" collapsed="false">
      <c r="A5298" s="57" t="n">
        <v>41489</v>
      </c>
      <c r="B5298" s="56" t="n">
        <v>2013</v>
      </c>
      <c r="C5298" s="56" t="n">
        <v>8</v>
      </c>
      <c r="D5298" s="56" t="n">
        <v>95</v>
      </c>
      <c r="E5298" s="56" t="n">
        <v>24.5</v>
      </c>
      <c r="F5298" s="56" t="n">
        <v>0</v>
      </c>
      <c r="G5298" s="56" t="n">
        <v>15.2</v>
      </c>
      <c r="H5298" s="56" t="n">
        <v>0</v>
      </c>
      <c r="I5298" s="56" t="n">
        <v>20</v>
      </c>
      <c r="J5298" s="56" t="n">
        <v>0</v>
      </c>
      <c r="K5298" s="56" t="n">
        <v>1015.2</v>
      </c>
      <c r="L5298" s="56" t="n">
        <v>0</v>
      </c>
      <c r="M5298" s="56" t="n">
        <v>69</v>
      </c>
      <c r="N5298" s="56" t="n">
        <v>9.8</v>
      </c>
      <c r="O5298" s="56" t="n">
        <f aca="false">IF(D5298=1,"",E5297)</f>
        <v>24.7</v>
      </c>
      <c r="P5298" s="56" t="n">
        <f aca="false">IF(OR(D5298=1,K5297=""),"",K5297)</f>
        <v>1008.8</v>
      </c>
      <c r="Q5298" s="56" t="n">
        <f aca="false">IF(OR(F5298&lt;&gt;0,AND(I5298&lt;&gt;"",E5298&lt;I5298)),1,0)</f>
        <v>0</v>
      </c>
      <c r="R5298" s="56" t="n">
        <f aca="false">IF(AND(D5298&gt;1,Q5298=0,ISNUMBER(O5298),ISNUMBER(P5298)),IF(Q5297=0,1,0),0)</f>
        <v>1</v>
      </c>
      <c r="S5298" s="56" t="n">
        <f aca="false">R5298*(B5298&gt;=Train_Start)*(B5298&lt;=Train_End)</f>
        <v>0</v>
      </c>
      <c r="T5298" s="84" t="n">
        <f aca="false">IF(AND(ISNUMBER(O5298),ISNUMBER(P5298)),Coef_A+Coef_B1*O5298+Coef_B2*P5298,"")</f>
        <v>23.9706031969178</v>
      </c>
      <c r="U5298" s="84" t="n">
        <f aca="false">IF(AND(R5298=1,ISNUMBER(T5298)),E5298-T5298,"")</f>
        <v>0.529396803082161</v>
      </c>
      <c r="V5298" s="84" t="n">
        <f aca="false">IF(ISNUMBER(T5298),T5298,-99)</f>
        <v>23.9706031969178</v>
      </c>
      <c r="W5298" s="84" t="n">
        <f aca="false">IF(ISNUMBER(U5298),ABS(U5298),"")</f>
        <v>0.529396803082161</v>
      </c>
    </row>
    <row r="5299" customFormat="false" ht="15" hidden="false" customHeight="false" outlineLevel="0" collapsed="false">
      <c r="A5299" s="57" t="n">
        <v>41490</v>
      </c>
      <c r="B5299" s="56" t="n">
        <v>2013</v>
      </c>
      <c r="C5299" s="56" t="n">
        <v>8</v>
      </c>
      <c r="D5299" s="56" t="n">
        <v>96</v>
      </c>
      <c r="E5299" s="56" t="n">
        <v>23.8</v>
      </c>
      <c r="F5299" s="56" t="n">
        <v>0</v>
      </c>
      <c r="G5299" s="56" t="n">
        <v>14.3</v>
      </c>
      <c r="H5299" s="56" t="n">
        <v>0</v>
      </c>
      <c r="I5299" s="56" t="n">
        <v>19.4</v>
      </c>
      <c r="J5299" s="56" t="n">
        <v>0</v>
      </c>
      <c r="K5299" s="56" t="n">
        <v>1018.9</v>
      </c>
      <c r="L5299" s="56" t="n">
        <v>0</v>
      </c>
      <c r="M5299" s="56" t="n">
        <v>68</v>
      </c>
      <c r="N5299" s="56" t="n">
        <v>6.1</v>
      </c>
      <c r="O5299" s="56" t="n">
        <f aca="false">IF(D5299=1,"",E5298)</f>
        <v>24.5</v>
      </c>
      <c r="P5299" s="56" t="n">
        <f aca="false">IF(OR(D5299=1,K5298=""),"",K5298)</f>
        <v>1015.2</v>
      </c>
      <c r="Q5299" s="56" t="n">
        <f aca="false">IF(OR(F5299&lt;&gt;0,AND(I5299&lt;&gt;"",E5299&lt;I5299)),1,0)</f>
        <v>0</v>
      </c>
      <c r="R5299" s="56" t="n">
        <f aca="false">IF(AND(D5299&gt;1,Q5299=0,ISNUMBER(O5299),ISNUMBER(P5299)),IF(Q5298=0,1,0),0)</f>
        <v>1</v>
      </c>
      <c r="S5299" s="56" t="n">
        <f aca="false">R5299*(B5299&gt;=Train_Start)*(B5299&lt;=Train_End)</f>
        <v>0</v>
      </c>
      <c r="T5299" s="84" t="n">
        <f aca="false">IF(AND(ISNUMBER(O5299),ISNUMBER(P5299)),Coef_A+Coef_B1*O5299+Coef_B2*P5299,"")</f>
        <v>24.0075026839668</v>
      </c>
      <c r="U5299" s="84" t="n">
        <f aca="false">IF(AND(R5299=1,ISNUMBER(T5299)),E5299-T5299,"")</f>
        <v>-0.20750268396684</v>
      </c>
      <c r="V5299" s="84" t="n">
        <f aca="false">IF(ISNUMBER(T5299),T5299,-99)</f>
        <v>24.0075026839668</v>
      </c>
      <c r="W5299" s="84" t="n">
        <f aca="false">IF(ISNUMBER(U5299),ABS(U5299),"")</f>
        <v>0.20750268396684</v>
      </c>
    </row>
    <row r="5300" customFormat="false" ht="15" hidden="false" customHeight="false" outlineLevel="0" collapsed="false">
      <c r="A5300" s="57" t="n">
        <v>41491</v>
      </c>
      <c r="B5300" s="56" t="n">
        <v>2013</v>
      </c>
      <c r="C5300" s="56" t="n">
        <v>8</v>
      </c>
      <c r="D5300" s="56" t="n">
        <v>97</v>
      </c>
      <c r="E5300" s="56" t="n">
        <v>22.7</v>
      </c>
      <c r="F5300" s="56" t="n">
        <v>0</v>
      </c>
      <c r="G5300" s="56" t="n">
        <v>16.7</v>
      </c>
      <c r="H5300" s="56" t="n">
        <v>0</v>
      </c>
      <c r="I5300" s="56" t="n">
        <v>20.3</v>
      </c>
      <c r="J5300" s="56" t="n">
        <v>0</v>
      </c>
      <c r="K5300" s="56" t="n">
        <v>1012.1</v>
      </c>
      <c r="L5300" s="56" t="n">
        <v>0</v>
      </c>
      <c r="M5300" s="56" t="n">
        <v>77</v>
      </c>
      <c r="N5300" s="56" t="n">
        <v>2</v>
      </c>
      <c r="O5300" s="56" t="n">
        <f aca="false">IF(D5300=1,"",E5299)</f>
        <v>23.8</v>
      </c>
      <c r="P5300" s="56" t="n">
        <f aca="false">IF(OR(D5300=1,K5299=""),"",K5299)</f>
        <v>1018.9</v>
      </c>
      <c r="Q5300" s="56" t="n">
        <f aca="false">IF(OR(F5300&lt;&gt;0,AND(I5300&lt;&gt;"",E5300&lt;I5300)),1,0)</f>
        <v>0</v>
      </c>
      <c r="R5300" s="56" t="n">
        <f aca="false">IF(AND(D5300&gt;1,Q5300=0,ISNUMBER(O5300),ISNUMBER(P5300)),IF(Q5299=0,1,0),0)</f>
        <v>1</v>
      </c>
      <c r="S5300" s="56" t="n">
        <f aca="false">R5300*(B5300&gt;=Train_Start)*(B5300&lt;=Train_End)</f>
        <v>0</v>
      </c>
      <c r="T5300" s="84" t="n">
        <f aca="false">IF(AND(ISNUMBER(O5300),ISNUMBER(P5300)),Coef_A+Coef_B1*O5300+Coef_B2*P5300,"")</f>
        <v>23.5500338589827</v>
      </c>
      <c r="U5300" s="84" t="n">
        <f aca="false">IF(AND(R5300=1,ISNUMBER(T5300)),E5300-T5300,"")</f>
        <v>-0.850033858982741</v>
      </c>
      <c r="V5300" s="84" t="n">
        <f aca="false">IF(ISNUMBER(T5300),T5300,-99)</f>
        <v>23.5500338589827</v>
      </c>
      <c r="W5300" s="84" t="n">
        <f aca="false">IF(ISNUMBER(U5300),ABS(U5300),"")</f>
        <v>0.850033858982741</v>
      </c>
    </row>
    <row r="5301" customFormat="false" ht="15" hidden="false" customHeight="false" outlineLevel="0" collapsed="false">
      <c r="A5301" s="57" t="n">
        <v>41492</v>
      </c>
      <c r="B5301" s="56" t="n">
        <v>2013</v>
      </c>
      <c r="C5301" s="56" t="n">
        <v>8</v>
      </c>
      <c r="D5301" s="56" t="n">
        <v>98</v>
      </c>
      <c r="E5301" s="56" t="n">
        <v>23.1</v>
      </c>
      <c r="F5301" s="56" t="n">
        <v>0</v>
      </c>
      <c r="G5301" s="56" t="n">
        <v>11.9</v>
      </c>
      <c r="H5301" s="56" t="n">
        <v>0</v>
      </c>
      <c r="I5301" s="56" t="n">
        <v>17.3</v>
      </c>
      <c r="J5301" s="56" t="n">
        <v>0</v>
      </c>
      <c r="K5301" s="56" t="n">
        <v>1015.8</v>
      </c>
      <c r="L5301" s="56" t="n">
        <v>0</v>
      </c>
      <c r="M5301" s="56" t="n">
        <v>66</v>
      </c>
      <c r="N5301" s="56" t="n">
        <v>9.1</v>
      </c>
      <c r="O5301" s="56" t="n">
        <f aca="false">IF(D5301=1,"",E5300)</f>
        <v>22.7</v>
      </c>
      <c r="P5301" s="56" t="n">
        <f aca="false">IF(OR(D5301=1,K5300=""),"",K5300)</f>
        <v>1012.1</v>
      </c>
      <c r="Q5301" s="56" t="n">
        <f aca="false">IF(OR(F5301&lt;&gt;0,AND(I5301&lt;&gt;"",E5301&lt;I5301)),1,0)</f>
        <v>0</v>
      </c>
      <c r="R5301" s="56" t="n">
        <f aca="false">IF(AND(D5301&gt;1,Q5301=0,ISNUMBER(O5301),ISNUMBER(P5301)),IF(Q5300=0,1,0),0)</f>
        <v>1</v>
      </c>
      <c r="S5301" s="56" t="n">
        <f aca="false">R5301*(B5301&gt;=Train_Start)*(B5301&lt;=Train_End)</f>
        <v>0</v>
      </c>
      <c r="T5301" s="84" t="n">
        <f aca="false">IF(AND(ISNUMBER(O5301),ISNUMBER(P5301)),Coef_A+Coef_B1*O5301+Coef_B2*P5301,"")</f>
        <v>22.4354454631247</v>
      </c>
      <c r="U5301" s="84" t="n">
        <f aca="false">IF(AND(R5301=1,ISNUMBER(T5301)),E5301-T5301,"")</f>
        <v>0.664554536875315</v>
      </c>
      <c r="V5301" s="84" t="n">
        <f aca="false">IF(ISNUMBER(T5301),T5301,-99)</f>
        <v>22.4354454631247</v>
      </c>
      <c r="W5301" s="84" t="n">
        <f aca="false">IF(ISNUMBER(U5301),ABS(U5301),"")</f>
        <v>0.664554536875315</v>
      </c>
    </row>
    <row r="5302" customFormat="false" ht="15" hidden="false" customHeight="false" outlineLevel="0" collapsed="false">
      <c r="A5302" s="57" t="n">
        <v>41493</v>
      </c>
      <c r="B5302" s="56" t="n">
        <v>2013</v>
      </c>
      <c r="C5302" s="56" t="n">
        <v>8</v>
      </c>
      <c r="D5302" s="56" t="n">
        <v>99</v>
      </c>
      <c r="E5302" s="56" t="n">
        <v>25.5</v>
      </c>
      <c r="F5302" s="56" t="n">
        <v>0</v>
      </c>
      <c r="G5302" s="56" t="n">
        <v>14.7</v>
      </c>
      <c r="H5302" s="56" t="n">
        <v>0</v>
      </c>
      <c r="I5302" s="56" t="n">
        <v>18.9</v>
      </c>
      <c r="J5302" s="56" t="n">
        <v>0</v>
      </c>
      <c r="K5302" s="56" t="n">
        <v>1014.5</v>
      </c>
      <c r="L5302" s="56" t="n">
        <v>0</v>
      </c>
      <c r="M5302" s="56" t="n">
        <v>59</v>
      </c>
      <c r="N5302" s="56" t="n">
        <v>7.3</v>
      </c>
      <c r="O5302" s="56" t="n">
        <f aca="false">IF(D5302=1,"",E5301)</f>
        <v>23.1</v>
      </c>
      <c r="P5302" s="56" t="n">
        <f aca="false">IF(OR(D5302=1,K5301=""),"",K5301)</f>
        <v>1015.8</v>
      </c>
      <c r="Q5302" s="56" t="n">
        <f aca="false">IF(OR(F5302&lt;&gt;0,AND(I5302&lt;&gt;"",E5302&lt;I5302)),1,0)</f>
        <v>0</v>
      </c>
      <c r="R5302" s="56" t="n">
        <f aca="false">IF(AND(D5302&gt;1,Q5302=0,ISNUMBER(O5302),ISNUMBER(P5302)),IF(Q5301=0,1,0),0)</f>
        <v>1</v>
      </c>
      <c r="S5302" s="56" t="n">
        <f aca="false">R5302*(B5302&gt;=Train_Start)*(B5302&lt;=Train_End)</f>
        <v>0</v>
      </c>
      <c r="T5302" s="84" t="n">
        <f aca="false">IF(AND(ISNUMBER(O5302),ISNUMBER(P5302)),Coef_A+Coef_B1*O5302+Coef_B2*P5302,"")</f>
        <v>22.8792497504875</v>
      </c>
      <c r="U5302" s="84" t="n">
        <f aca="false">IF(AND(R5302=1,ISNUMBER(T5302)),E5302-T5302,"")</f>
        <v>2.62075024951249</v>
      </c>
      <c r="V5302" s="84" t="n">
        <f aca="false">IF(ISNUMBER(T5302),T5302,-99)</f>
        <v>22.8792497504875</v>
      </c>
      <c r="W5302" s="84" t="n">
        <f aca="false">IF(ISNUMBER(U5302),ABS(U5302),"")</f>
        <v>2.62075024951249</v>
      </c>
    </row>
    <row r="5303" customFormat="false" ht="15" hidden="false" customHeight="false" outlineLevel="0" collapsed="false">
      <c r="A5303" s="57" t="n">
        <v>41494</v>
      </c>
      <c r="B5303" s="56" t="n">
        <v>2013</v>
      </c>
      <c r="C5303" s="56" t="n">
        <v>8</v>
      </c>
      <c r="D5303" s="56" t="n">
        <v>100</v>
      </c>
      <c r="E5303" s="56" t="n">
        <v>24.9</v>
      </c>
      <c r="F5303" s="56" t="n">
        <v>0</v>
      </c>
      <c r="G5303" s="56" t="n">
        <v>12.2</v>
      </c>
      <c r="H5303" s="56" t="n">
        <v>0</v>
      </c>
      <c r="I5303" s="56" t="n">
        <v>18.9</v>
      </c>
      <c r="J5303" s="56" t="n">
        <v>0</v>
      </c>
      <c r="K5303" s="56" t="n">
        <v>1019.3</v>
      </c>
      <c r="L5303" s="56" t="n">
        <v>0</v>
      </c>
      <c r="M5303" s="56" t="n">
        <v>58</v>
      </c>
      <c r="N5303" s="56" t="n">
        <v>9.5</v>
      </c>
      <c r="O5303" s="56" t="n">
        <f aca="false">IF(D5303=1,"",E5302)</f>
        <v>25.5</v>
      </c>
      <c r="P5303" s="56" t="n">
        <f aca="false">IF(OR(D5303=1,K5302=""),"",K5302)</f>
        <v>1014.5</v>
      </c>
      <c r="Q5303" s="56" t="n">
        <f aca="false">IF(OR(F5303&lt;&gt;0,AND(I5303&lt;&gt;"",E5303&lt;I5303)),1,0)</f>
        <v>0</v>
      </c>
      <c r="R5303" s="56" t="n">
        <f aca="false">IF(AND(D5303&gt;1,Q5303=0,ISNUMBER(O5303),ISNUMBER(P5303)),IF(Q5302=0,1,0),0)</f>
        <v>1</v>
      </c>
      <c r="S5303" s="56" t="n">
        <f aca="false">R5303*(B5303&gt;=Train_Start)*(B5303&lt;=Train_End)</f>
        <v>0</v>
      </c>
      <c r="T5303" s="84" t="n">
        <f aca="false">IF(AND(ISNUMBER(O5303),ISNUMBER(P5303)),Coef_A+Coef_B1*O5303+Coef_B2*P5303,"")</f>
        <v>24.8048829507657</v>
      </c>
      <c r="U5303" s="84" t="n">
        <f aca="false">IF(AND(R5303=1,ISNUMBER(T5303)),E5303-T5303,"")</f>
        <v>0.0951170492342932</v>
      </c>
      <c r="V5303" s="84" t="n">
        <f aca="false">IF(ISNUMBER(T5303),T5303,-99)</f>
        <v>24.8048829507657</v>
      </c>
      <c r="W5303" s="84" t="n">
        <f aca="false">IF(ISNUMBER(U5303),ABS(U5303),"")</f>
        <v>0.0951170492342932</v>
      </c>
    </row>
    <row r="5304" customFormat="false" ht="15" hidden="false" customHeight="false" outlineLevel="0" collapsed="false">
      <c r="A5304" s="57" t="n">
        <v>41495</v>
      </c>
      <c r="B5304" s="56" t="n">
        <v>2013</v>
      </c>
      <c r="C5304" s="56" t="n">
        <v>8</v>
      </c>
      <c r="D5304" s="56" t="n">
        <v>101</v>
      </c>
      <c r="E5304" s="56" t="n">
        <v>23</v>
      </c>
      <c r="F5304" s="56" t="n">
        <v>0</v>
      </c>
      <c r="G5304" s="56" t="n">
        <v>15.5</v>
      </c>
      <c r="H5304" s="56" t="n">
        <v>0</v>
      </c>
      <c r="I5304" s="56" t="n">
        <v>20.2</v>
      </c>
      <c r="J5304" s="56" t="n">
        <v>0</v>
      </c>
      <c r="K5304" s="56" t="n">
        <v>1019</v>
      </c>
      <c r="L5304" s="56" t="n">
        <v>0</v>
      </c>
      <c r="M5304" s="56" t="n">
        <v>65</v>
      </c>
      <c r="N5304" s="56" t="n">
        <v>4.7</v>
      </c>
      <c r="O5304" s="56" t="n">
        <f aca="false">IF(D5304=1,"",E5303)</f>
        <v>24.9</v>
      </c>
      <c r="P5304" s="56" t="n">
        <f aca="false">IF(OR(D5304=1,K5303=""),"",K5303)</f>
        <v>1019.3</v>
      </c>
      <c r="Q5304" s="56" t="n">
        <f aca="false">IF(OR(F5304&lt;&gt;0,AND(I5304&lt;&gt;"",E5304&lt;I5304)),1,0)</f>
        <v>0</v>
      </c>
      <c r="R5304" s="56" t="n">
        <f aca="false">IF(AND(D5304&gt;1,Q5304=0,ISNUMBER(O5304),ISNUMBER(P5304)),IF(Q5303=0,1,0),0)</f>
        <v>1</v>
      </c>
      <c r="S5304" s="56" t="n">
        <f aca="false">R5304*(B5304&gt;=Train_Start)*(B5304&lt;=Train_End)</f>
        <v>0</v>
      </c>
      <c r="T5304" s="84" t="n">
        <f aca="false">IF(AND(ISNUMBER(O5304),ISNUMBER(P5304)),Coef_A+Coef_B1*O5304+Coef_B2*P5304,"")</f>
        <v>24.4638549291833</v>
      </c>
      <c r="U5304" s="84" t="n">
        <f aca="false">IF(AND(R5304=1,ISNUMBER(T5304)),E5304-T5304,"")</f>
        <v>-1.46385492918326</v>
      </c>
      <c r="V5304" s="84" t="n">
        <f aca="false">IF(ISNUMBER(T5304),T5304,-99)</f>
        <v>24.4638549291833</v>
      </c>
      <c r="W5304" s="84" t="n">
        <f aca="false">IF(ISNUMBER(U5304),ABS(U5304),"")</f>
        <v>1.46385492918326</v>
      </c>
    </row>
    <row r="5305" customFormat="false" ht="15" hidden="false" customHeight="false" outlineLevel="0" collapsed="false">
      <c r="A5305" s="57" t="n">
        <v>41496</v>
      </c>
      <c r="B5305" s="56" t="n">
        <v>2013</v>
      </c>
      <c r="C5305" s="56" t="n">
        <v>8</v>
      </c>
      <c r="D5305" s="56" t="n">
        <v>102</v>
      </c>
      <c r="E5305" s="56" t="n">
        <v>24</v>
      </c>
      <c r="F5305" s="56" t="n">
        <v>0</v>
      </c>
      <c r="G5305" s="56" t="n">
        <v>13.2</v>
      </c>
      <c r="H5305" s="56" t="n">
        <v>0</v>
      </c>
      <c r="I5305" s="56" t="n">
        <v>18.1</v>
      </c>
      <c r="J5305" s="56" t="n">
        <v>0</v>
      </c>
      <c r="K5305" s="56" t="n">
        <v>1022</v>
      </c>
      <c r="L5305" s="56" t="n">
        <v>0</v>
      </c>
      <c r="M5305" s="56" t="n">
        <v>54</v>
      </c>
      <c r="N5305" s="56" t="n">
        <v>2.8</v>
      </c>
      <c r="O5305" s="56" t="n">
        <f aca="false">IF(D5305=1,"",E5304)</f>
        <v>23</v>
      </c>
      <c r="P5305" s="56" t="n">
        <f aca="false">IF(OR(D5305=1,K5304=""),"",K5304)</f>
        <v>1019</v>
      </c>
      <c r="Q5305" s="56" t="n">
        <f aca="false">IF(OR(F5305&lt;&gt;0,AND(I5305&lt;&gt;"",E5305&lt;I5305)),1,0)</f>
        <v>0</v>
      </c>
      <c r="R5305" s="56" t="n">
        <f aca="false">IF(AND(D5305&gt;1,Q5305=0,ISNUMBER(O5305),ISNUMBER(P5305)),IF(Q5304=0,1,0),0)</f>
        <v>1</v>
      </c>
      <c r="S5305" s="56" t="n">
        <f aca="false">R5305*(B5305&gt;=Train_Start)*(B5305&lt;=Train_End)</f>
        <v>0</v>
      </c>
      <c r="T5305" s="84" t="n">
        <f aca="false">IF(AND(ISNUMBER(O5305),ISNUMBER(P5305)),Coef_A+Coef_B1*O5305+Coef_B2*P5305,"")</f>
        <v>22.897699494012</v>
      </c>
      <c r="U5305" s="84" t="n">
        <f aca="false">IF(AND(R5305=1,ISNUMBER(T5305)),E5305-T5305,"")</f>
        <v>1.10230050598798</v>
      </c>
      <c r="V5305" s="84" t="n">
        <f aca="false">IF(ISNUMBER(T5305),T5305,-99)</f>
        <v>22.897699494012</v>
      </c>
      <c r="W5305" s="84" t="n">
        <f aca="false">IF(ISNUMBER(U5305),ABS(U5305),"")</f>
        <v>1.10230050598798</v>
      </c>
    </row>
    <row r="5306" customFormat="false" ht="15" hidden="false" customHeight="false" outlineLevel="0" collapsed="false">
      <c r="A5306" s="57" t="n">
        <v>41497</v>
      </c>
      <c r="B5306" s="56" t="n">
        <v>2013</v>
      </c>
      <c r="C5306" s="56" t="n">
        <v>8</v>
      </c>
      <c r="D5306" s="56" t="n">
        <v>103</v>
      </c>
      <c r="E5306" s="56" t="n">
        <v>22.8</v>
      </c>
      <c r="F5306" s="56" t="n">
        <v>0</v>
      </c>
      <c r="G5306" s="56" t="n">
        <v>16.4</v>
      </c>
      <c r="H5306" s="56" t="n">
        <v>0</v>
      </c>
      <c r="I5306" s="56" t="n">
        <v>20.2</v>
      </c>
      <c r="J5306" s="56" t="n">
        <v>0</v>
      </c>
      <c r="K5306" s="56" t="n">
        <v>1018.1</v>
      </c>
      <c r="L5306" s="56" t="n">
        <v>0</v>
      </c>
      <c r="M5306" s="56" t="n">
        <v>59</v>
      </c>
      <c r="N5306" s="56" t="n">
        <v>8.9</v>
      </c>
      <c r="O5306" s="56" t="n">
        <f aca="false">IF(D5306=1,"",E5305)</f>
        <v>24</v>
      </c>
      <c r="P5306" s="56" t="n">
        <f aca="false">IF(OR(D5306=1,K5305=""),"",K5305)</f>
        <v>1022</v>
      </c>
      <c r="Q5306" s="56" t="n">
        <f aca="false">IF(OR(F5306&lt;&gt;0,AND(I5306&lt;&gt;"",E5306&lt;I5306)),1,0)</f>
        <v>0</v>
      </c>
      <c r="R5306" s="56" t="n">
        <f aca="false">IF(AND(D5306&gt;1,Q5306=0,ISNUMBER(O5306),ISNUMBER(P5306)),IF(Q5305=0,1,0),0)</f>
        <v>1</v>
      </c>
      <c r="S5306" s="56" t="n">
        <f aca="false">R5306*(B5306&gt;=Train_Start)*(B5306&lt;=Train_End)</f>
        <v>0</v>
      </c>
      <c r="T5306" s="84" t="n">
        <f aca="false">IF(AND(ISNUMBER(O5306),ISNUMBER(P5306)),Coef_A+Coef_B1*O5306+Coef_B2*P5306,"")</f>
        <v>23.8111483709566</v>
      </c>
      <c r="U5306" s="84" t="n">
        <f aca="false">IF(AND(R5306=1,ISNUMBER(T5306)),E5306-T5306,"")</f>
        <v>-1.01114837095664</v>
      </c>
      <c r="V5306" s="84" t="n">
        <f aca="false">IF(ISNUMBER(T5306),T5306,-99)</f>
        <v>23.8111483709566</v>
      </c>
      <c r="W5306" s="84" t="n">
        <f aca="false">IF(ISNUMBER(U5306),ABS(U5306),"")</f>
        <v>1.01114837095664</v>
      </c>
    </row>
    <row r="5307" customFormat="false" ht="15" hidden="false" customHeight="false" outlineLevel="0" collapsed="false">
      <c r="A5307" s="57" t="n">
        <v>41498</v>
      </c>
      <c r="B5307" s="56" t="n">
        <v>2013</v>
      </c>
      <c r="C5307" s="56" t="n">
        <v>8</v>
      </c>
      <c r="D5307" s="56" t="n">
        <v>104</v>
      </c>
      <c r="E5307" s="56" t="n">
        <v>21.5</v>
      </c>
      <c r="F5307" s="56" t="n">
        <v>0</v>
      </c>
      <c r="G5307" s="56" t="n">
        <v>13.6</v>
      </c>
      <c r="H5307" s="56" t="n">
        <v>0</v>
      </c>
      <c r="I5307" s="56" t="n">
        <v>18.2</v>
      </c>
      <c r="J5307" s="56" t="n">
        <v>0</v>
      </c>
      <c r="K5307" s="56" t="n">
        <v>1017.1</v>
      </c>
      <c r="L5307" s="56" t="n">
        <v>0</v>
      </c>
      <c r="M5307" s="56" t="n">
        <v>59</v>
      </c>
      <c r="N5307" s="56" t="n">
        <v>4.3</v>
      </c>
      <c r="O5307" s="56" t="n">
        <f aca="false">IF(D5307=1,"",E5306)</f>
        <v>22.8</v>
      </c>
      <c r="P5307" s="56" t="n">
        <f aca="false">IF(OR(D5307=1,K5306=""),"",K5306)</f>
        <v>1018.1</v>
      </c>
      <c r="Q5307" s="56" t="n">
        <f aca="false">IF(OR(F5307&lt;&gt;0,AND(I5307&lt;&gt;"",E5307&lt;I5307)),1,0)</f>
        <v>0</v>
      </c>
      <c r="R5307" s="56" t="n">
        <f aca="false">IF(AND(D5307&gt;1,Q5307=0,ISNUMBER(O5307),ISNUMBER(P5307)),IF(Q5306=0,1,0),0)</f>
        <v>1</v>
      </c>
      <c r="S5307" s="56" t="n">
        <f aca="false">R5307*(B5307&gt;=Train_Start)*(B5307&lt;=Train_End)</f>
        <v>0</v>
      </c>
      <c r="T5307" s="84" t="n">
        <f aca="false">IF(AND(ISNUMBER(O5307),ISNUMBER(P5307)),Coef_A+Coef_B1*O5307+Coef_B2*P5307,"")</f>
        <v>22.7055987502329</v>
      </c>
      <c r="U5307" s="84" t="n">
        <f aca="false">IF(AND(R5307=1,ISNUMBER(T5307)),E5307-T5307,"")</f>
        <v>-1.20559875023289</v>
      </c>
      <c r="V5307" s="84" t="n">
        <f aca="false">IF(ISNUMBER(T5307),T5307,-99)</f>
        <v>22.7055987502329</v>
      </c>
      <c r="W5307" s="84" t="n">
        <f aca="false">IF(ISNUMBER(U5307),ABS(U5307),"")</f>
        <v>1.20559875023289</v>
      </c>
    </row>
    <row r="5308" customFormat="false" ht="15" hidden="false" customHeight="false" outlineLevel="0" collapsed="false">
      <c r="A5308" s="57" t="n">
        <v>41499</v>
      </c>
      <c r="B5308" s="56" t="n">
        <v>2013</v>
      </c>
      <c r="C5308" s="56" t="n">
        <v>8</v>
      </c>
      <c r="D5308" s="56" t="n">
        <v>105</v>
      </c>
      <c r="E5308" s="56" t="n">
        <v>23.4</v>
      </c>
      <c r="F5308" s="56" t="n">
        <v>0</v>
      </c>
      <c r="G5308" s="56" t="n">
        <v>10.3</v>
      </c>
      <c r="H5308" s="56" t="n">
        <v>0</v>
      </c>
      <c r="I5308" s="56" t="n">
        <v>15.9</v>
      </c>
      <c r="J5308" s="56" t="n">
        <v>0</v>
      </c>
      <c r="K5308" s="56" t="n">
        <v>1021.9</v>
      </c>
      <c r="L5308" s="56" t="n">
        <v>0</v>
      </c>
      <c r="M5308" s="56" t="n">
        <v>69</v>
      </c>
      <c r="N5308" s="56" t="n">
        <v>4.3</v>
      </c>
      <c r="O5308" s="56" t="n">
        <f aca="false">IF(D5308=1,"",E5307)</f>
        <v>21.5</v>
      </c>
      <c r="P5308" s="56" t="n">
        <f aca="false">IF(OR(D5308=1,K5307=""),"",K5307)</f>
        <v>1017.1</v>
      </c>
      <c r="Q5308" s="56" t="n">
        <f aca="false">IF(OR(F5308&lt;&gt;0,AND(I5308&lt;&gt;"",E5308&lt;I5308)),1,0)</f>
        <v>0</v>
      </c>
      <c r="R5308" s="56" t="n">
        <f aca="false">IF(AND(D5308&gt;1,Q5308=0,ISNUMBER(O5308),ISNUMBER(P5308)),IF(Q5307=0,1,0),0)</f>
        <v>1</v>
      </c>
      <c r="S5308" s="56" t="n">
        <f aca="false">R5308*(B5308&gt;=Train_Start)*(B5308&lt;=Train_End)</f>
        <v>0</v>
      </c>
      <c r="T5308" s="84" t="n">
        <f aca="false">IF(AND(ISNUMBER(O5308),ISNUMBER(P5308)),Coef_A+Coef_B1*O5308+Coef_B2*P5308,"")</f>
        <v>21.6090879046435</v>
      </c>
      <c r="U5308" s="84" t="n">
        <f aca="false">IF(AND(R5308=1,ISNUMBER(T5308)),E5308-T5308,"")</f>
        <v>1.79091209535655</v>
      </c>
      <c r="V5308" s="84" t="n">
        <f aca="false">IF(ISNUMBER(T5308),T5308,-99)</f>
        <v>21.6090879046435</v>
      </c>
      <c r="W5308" s="84" t="n">
        <f aca="false">IF(ISNUMBER(U5308),ABS(U5308),"")</f>
        <v>1.79091209535655</v>
      </c>
    </row>
    <row r="5309" customFormat="false" ht="15" hidden="false" customHeight="false" outlineLevel="0" collapsed="false">
      <c r="A5309" s="57" t="n">
        <v>41500</v>
      </c>
      <c r="B5309" s="56" t="n">
        <v>2013</v>
      </c>
      <c r="C5309" s="56" t="n">
        <v>8</v>
      </c>
      <c r="D5309" s="56" t="n">
        <v>106</v>
      </c>
      <c r="E5309" s="56" t="n">
        <v>24.2</v>
      </c>
      <c r="F5309" s="56" t="n">
        <v>0</v>
      </c>
      <c r="G5309" s="56" t="n">
        <v>11.2</v>
      </c>
      <c r="H5309" s="56" t="n">
        <v>0</v>
      </c>
      <c r="I5309" s="56" t="n">
        <v>17.3</v>
      </c>
      <c r="J5309" s="56" t="n">
        <v>0</v>
      </c>
      <c r="K5309" s="56" t="n">
        <v>1022.8</v>
      </c>
      <c r="L5309" s="56" t="n">
        <v>0</v>
      </c>
      <c r="M5309" s="56" t="n">
        <v>77</v>
      </c>
      <c r="N5309" s="56" t="n">
        <v>5.7</v>
      </c>
      <c r="O5309" s="56" t="n">
        <f aca="false">IF(D5309=1,"",E5308)</f>
        <v>23.4</v>
      </c>
      <c r="P5309" s="56" t="n">
        <f aca="false">IF(OR(D5309=1,K5308=""),"",K5308)</f>
        <v>1021.9</v>
      </c>
      <c r="Q5309" s="56" t="n">
        <f aca="false">IF(OR(F5309&lt;&gt;0,AND(I5309&lt;&gt;"",E5309&lt;I5309)),1,0)</f>
        <v>0</v>
      </c>
      <c r="R5309" s="56" t="n">
        <f aca="false">IF(AND(D5309&gt;1,Q5309=0,ISNUMBER(O5309),ISNUMBER(P5309)),IF(Q5308=0,1,0),0)</f>
        <v>1</v>
      </c>
      <c r="S5309" s="56" t="n">
        <f aca="false">R5309*(B5309&gt;=Train_Start)*(B5309&lt;=Train_End)</f>
        <v>0</v>
      </c>
      <c r="T5309" s="84" t="n">
        <f aca="false">IF(AND(ISNUMBER(O5309),ISNUMBER(P5309)),Coef_A+Coef_B1*O5309+Coef_B2*P5309,"")</f>
        <v>23.3164078656676</v>
      </c>
      <c r="U5309" s="84" t="n">
        <f aca="false">IF(AND(R5309=1,ISNUMBER(T5309)),E5309-T5309,"")</f>
        <v>0.883592134332357</v>
      </c>
      <c r="V5309" s="84" t="n">
        <f aca="false">IF(ISNUMBER(T5309),T5309,-99)</f>
        <v>23.3164078656676</v>
      </c>
      <c r="W5309" s="84" t="n">
        <f aca="false">IF(ISNUMBER(U5309),ABS(U5309),"")</f>
        <v>0.883592134332357</v>
      </c>
    </row>
    <row r="5310" customFormat="false" ht="15" hidden="false" customHeight="false" outlineLevel="0" collapsed="false">
      <c r="A5310" s="57" t="n">
        <v>41501</v>
      </c>
      <c r="B5310" s="56" t="n">
        <v>2013</v>
      </c>
      <c r="C5310" s="56" t="n">
        <v>8</v>
      </c>
      <c r="D5310" s="56" t="n">
        <v>107</v>
      </c>
      <c r="E5310" s="56" t="n">
        <v>23.6</v>
      </c>
      <c r="F5310" s="56" t="n">
        <v>0</v>
      </c>
      <c r="G5310" s="56" t="n">
        <v>16.1</v>
      </c>
      <c r="H5310" s="56" t="n">
        <v>0</v>
      </c>
      <c r="I5310" s="56" t="n">
        <v>20.2</v>
      </c>
      <c r="J5310" s="56" t="n">
        <v>0</v>
      </c>
      <c r="K5310" s="56" t="n">
        <v>1018.5</v>
      </c>
      <c r="L5310" s="56" t="n">
        <v>0</v>
      </c>
      <c r="M5310" s="56" t="n">
        <v>79</v>
      </c>
      <c r="N5310" s="56" t="n">
        <v>2.1</v>
      </c>
      <c r="O5310" s="56" t="n">
        <f aca="false">IF(D5310=1,"",E5309)</f>
        <v>24.2</v>
      </c>
      <c r="P5310" s="56" t="n">
        <f aca="false">IF(OR(D5310=1,K5309=""),"",K5309)</f>
        <v>1022.8</v>
      </c>
      <c r="Q5310" s="56" t="n">
        <f aca="false">IF(OR(F5310&lt;&gt;0,AND(I5310&lt;&gt;"",E5310&lt;I5310)),1,0)</f>
        <v>0</v>
      </c>
      <c r="R5310" s="56" t="n">
        <f aca="false">IF(AND(D5310&gt;1,Q5310=0,ISNUMBER(O5310),ISNUMBER(P5310)),IF(Q5309=0,1,0),0)</f>
        <v>1</v>
      </c>
      <c r="S5310" s="56" t="n">
        <f aca="false">R5310*(B5310&gt;=Train_Start)*(B5310&lt;=Train_End)</f>
        <v>0</v>
      </c>
      <c r="T5310" s="84" t="n">
        <f aca="false">IF(AND(ISNUMBER(O5310),ISNUMBER(P5310)),Coef_A+Coef_B1*O5310+Coef_B2*P5310,"")</f>
        <v>24.0001121252724</v>
      </c>
      <c r="U5310" s="84" t="n">
        <f aca="false">IF(AND(R5310=1,ISNUMBER(T5310)),E5310-T5310,"")</f>
        <v>-0.400112125272358</v>
      </c>
      <c r="V5310" s="84" t="n">
        <f aca="false">IF(ISNUMBER(T5310),T5310,-99)</f>
        <v>24.0001121252724</v>
      </c>
      <c r="W5310" s="84" t="n">
        <f aca="false">IF(ISNUMBER(U5310),ABS(U5310),"")</f>
        <v>0.400112125272358</v>
      </c>
    </row>
    <row r="5311" customFormat="false" ht="15" hidden="false" customHeight="false" outlineLevel="0" collapsed="false">
      <c r="A5311" s="57" t="n">
        <v>41502</v>
      </c>
      <c r="B5311" s="56" t="n">
        <v>2013</v>
      </c>
      <c r="C5311" s="56" t="n">
        <v>8</v>
      </c>
      <c r="D5311" s="56" t="n">
        <v>108</v>
      </c>
      <c r="E5311" s="56" t="n">
        <v>20.9</v>
      </c>
      <c r="F5311" s="56" t="n">
        <v>0</v>
      </c>
      <c r="G5311" s="56" t="n">
        <v>16.8</v>
      </c>
      <c r="H5311" s="56" t="n">
        <v>0</v>
      </c>
      <c r="I5311" s="56" t="n">
        <v>20.2</v>
      </c>
      <c r="J5311" s="56" t="n">
        <v>0</v>
      </c>
      <c r="K5311" s="56" t="n">
        <v>1015</v>
      </c>
      <c r="L5311" s="56" t="n">
        <v>0</v>
      </c>
      <c r="M5311" s="56" t="n">
        <v>83</v>
      </c>
      <c r="N5311" s="56" t="n">
        <v>2.4</v>
      </c>
      <c r="O5311" s="56" t="n">
        <f aca="false">IF(D5311=1,"",E5310)</f>
        <v>23.6</v>
      </c>
      <c r="P5311" s="56" t="n">
        <f aca="false">IF(OR(D5311=1,K5310=""),"",K5310)</f>
        <v>1018.5</v>
      </c>
      <c r="Q5311" s="56" t="n">
        <f aca="false">IF(OR(F5311&lt;&gt;0,AND(I5311&lt;&gt;"",E5311&lt;I5311)),1,0)</f>
        <v>0</v>
      </c>
      <c r="R5311" s="56" t="n">
        <f aca="false">IF(AND(D5311&gt;1,Q5311=0,ISNUMBER(O5311),ISNUMBER(P5311)),IF(Q5310=0,1,0),0)</f>
        <v>1</v>
      </c>
      <c r="S5311" s="56" t="n">
        <f aca="false">R5311*(B5311&gt;=Train_Start)*(B5311&lt;=Train_End)</f>
        <v>0</v>
      </c>
      <c r="T5311" s="84" t="n">
        <f aca="false">IF(AND(ISNUMBER(O5311),ISNUMBER(P5311)),Coef_A+Coef_B1*O5311+Coef_B2*P5311,"")</f>
        <v>23.3736180625206</v>
      </c>
      <c r="U5311" s="84" t="n">
        <f aca="false">IF(AND(R5311=1,ISNUMBER(T5311)),E5311-T5311,"")</f>
        <v>-2.47361806252062</v>
      </c>
      <c r="V5311" s="84" t="n">
        <f aca="false">IF(ISNUMBER(T5311),T5311,-99)</f>
        <v>23.3736180625206</v>
      </c>
      <c r="W5311" s="84" t="n">
        <f aca="false">IF(ISNUMBER(U5311),ABS(U5311),"")</f>
        <v>2.47361806252062</v>
      </c>
    </row>
    <row r="5312" customFormat="false" ht="15" hidden="false" customHeight="false" outlineLevel="0" collapsed="false">
      <c r="A5312" s="57" t="n">
        <v>41503</v>
      </c>
      <c r="B5312" s="56" t="n">
        <v>2013</v>
      </c>
      <c r="C5312" s="56" t="n">
        <v>8</v>
      </c>
      <c r="D5312" s="56" t="n">
        <v>109</v>
      </c>
      <c r="E5312" s="56" t="n">
        <v>23.9</v>
      </c>
      <c r="F5312" s="56" t="n">
        <v>0</v>
      </c>
      <c r="G5312" s="56" t="n">
        <v>13.9</v>
      </c>
      <c r="H5312" s="56" t="n">
        <v>0</v>
      </c>
      <c r="I5312" s="56" t="n">
        <v>17.4</v>
      </c>
      <c r="J5312" s="56" t="n">
        <v>0</v>
      </c>
      <c r="K5312" s="56" t="n">
        <v>1012.3</v>
      </c>
      <c r="L5312" s="56" t="n">
        <v>0</v>
      </c>
      <c r="M5312" s="56" t="n">
        <v>80</v>
      </c>
      <c r="N5312" s="56" t="n">
        <v>2.5</v>
      </c>
      <c r="O5312" s="56" t="n">
        <f aca="false">IF(D5312=1,"",E5311)</f>
        <v>20.9</v>
      </c>
      <c r="P5312" s="56" t="n">
        <f aca="false">IF(OR(D5312=1,K5311=""),"",K5311)</f>
        <v>1015</v>
      </c>
      <c r="Q5312" s="56" t="n">
        <f aca="false">IF(OR(F5312&lt;&gt;0,AND(I5312&lt;&gt;"",E5312&lt;I5312)),1,0)</f>
        <v>0</v>
      </c>
      <c r="R5312" s="56" t="n">
        <f aca="false">IF(AND(D5312&gt;1,Q5312=0,ISNUMBER(O5312),ISNUMBER(P5312)),IF(Q5311=0,1,0),0)</f>
        <v>1</v>
      </c>
      <c r="S5312" s="56" t="n">
        <f aca="false">R5312*(B5312&gt;=Train_Start)*(B5312&lt;=Train_End)</f>
        <v>0</v>
      </c>
      <c r="T5312" s="84" t="n">
        <f aca="false">IF(AND(ISNUMBER(O5312),ISNUMBER(P5312)),Coef_A+Coef_B1*O5312+Coef_B2*P5312,"")</f>
        <v>21.0516076100865</v>
      </c>
      <c r="U5312" s="84" t="n">
        <f aca="false">IF(AND(R5312=1,ISNUMBER(T5312)),E5312-T5312,"")</f>
        <v>2.84839238991352</v>
      </c>
      <c r="V5312" s="84" t="n">
        <f aca="false">IF(ISNUMBER(T5312),T5312,-99)</f>
        <v>21.0516076100865</v>
      </c>
      <c r="W5312" s="84" t="n">
        <f aca="false">IF(ISNUMBER(U5312),ABS(U5312),"")</f>
        <v>2.84839238991352</v>
      </c>
    </row>
    <row r="5313" customFormat="false" ht="15" hidden="false" customHeight="false" outlineLevel="0" collapsed="false">
      <c r="A5313" s="57" t="n">
        <v>41504</v>
      </c>
      <c r="B5313" s="56" t="n">
        <v>2013</v>
      </c>
      <c r="C5313" s="56" t="n">
        <v>8</v>
      </c>
      <c r="D5313" s="56" t="n">
        <v>110</v>
      </c>
      <c r="E5313" s="56" t="n">
        <v>23.5</v>
      </c>
      <c r="F5313" s="56" t="n">
        <v>0</v>
      </c>
      <c r="G5313" s="56" t="n">
        <v>15.8</v>
      </c>
      <c r="H5313" s="56" t="n">
        <v>0</v>
      </c>
      <c r="I5313" s="56" t="n">
        <v>19.9</v>
      </c>
      <c r="J5313" s="56" t="n">
        <v>0</v>
      </c>
      <c r="K5313" s="56" t="n">
        <v>1009.7</v>
      </c>
      <c r="L5313" s="56" t="n">
        <v>0</v>
      </c>
      <c r="M5313" s="56" t="n">
        <v>68</v>
      </c>
      <c r="N5313" s="56" t="n">
        <v>4.2</v>
      </c>
      <c r="O5313" s="56" t="n">
        <f aca="false">IF(D5313=1,"",E5312)</f>
        <v>23.9</v>
      </c>
      <c r="P5313" s="56" t="n">
        <f aca="false">IF(OR(D5313=1,K5312=""),"",K5312)</f>
        <v>1012.3</v>
      </c>
      <c r="Q5313" s="56" t="n">
        <f aca="false">IF(OR(F5313&lt;&gt;0,AND(I5313&lt;&gt;"",E5313&lt;I5313)),1,0)</f>
        <v>0</v>
      </c>
      <c r="R5313" s="56" t="n">
        <f aca="false">IF(AND(D5313&gt;1,Q5313=0,ISNUMBER(O5313),ISNUMBER(P5313)),IF(Q5312=0,1,0),0)</f>
        <v>1</v>
      </c>
      <c r="S5313" s="56" t="n">
        <f aca="false">R5313*(B5313&gt;=Train_Start)*(B5313&lt;=Train_End)</f>
        <v>0</v>
      </c>
      <c r="T5313" s="84" t="n">
        <f aca="false">IF(AND(ISNUMBER(O5313),ISNUMBER(P5313)),Coef_A+Coef_B1*O5313+Coef_B2*P5313,"")</f>
        <v>23.4249264737027</v>
      </c>
      <c r="U5313" s="84" t="n">
        <f aca="false">IF(AND(R5313=1,ISNUMBER(T5313)),E5313-T5313,"")</f>
        <v>0.0750735262973272</v>
      </c>
      <c r="V5313" s="84" t="n">
        <f aca="false">IF(ISNUMBER(T5313),T5313,-99)</f>
        <v>23.4249264737027</v>
      </c>
      <c r="W5313" s="84" t="n">
        <f aca="false">IF(ISNUMBER(U5313),ABS(U5313),"")</f>
        <v>0.0750735262973272</v>
      </c>
    </row>
    <row r="5314" customFormat="false" ht="15" hidden="false" customHeight="false" outlineLevel="0" collapsed="false">
      <c r="A5314" s="57" t="n">
        <v>41505</v>
      </c>
      <c r="B5314" s="56" t="n">
        <v>2013</v>
      </c>
      <c r="C5314" s="56" t="n">
        <v>8</v>
      </c>
      <c r="D5314" s="56" t="n">
        <v>111</v>
      </c>
      <c r="E5314" s="56" t="n">
        <v>24.9</v>
      </c>
      <c r="F5314" s="56" t="n">
        <v>0</v>
      </c>
      <c r="G5314" s="56" t="n">
        <v>11.7</v>
      </c>
      <c r="H5314" s="56" t="n">
        <v>0</v>
      </c>
      <c r="I5314" s="56" t="n">
        <v>17.6</v>
      </c>
      <c r="J5314" s="56" t="n">
        <v>0</v>
      </c>
      <c r="K5314" s="56" t="n">
        <v>1020.1</v>
      </c>
      <c r="L5314" s="56" t="n">
        <v>0</v>
      </c>
      <c r="M5314" s="56" t="n">
        <v>60</v>
      </c>
      <c r="N5314" s="56" t="n">
        <v>8.9</v>
      </c>
      <c r="O5314" s="56" t="n">
        <f aca="false">IF(D5314=1,"",E5313)</f>
        <v>23.5</v>
      </c>
      <c r="P5314" s="56" t="n">
        <f aca="false">IF(OR(D5314=1,K5313=""),"",K5313)</f>
        <v>1009.7</v>
      </c>
      <c r="Q5314" s="56" t="n">
        <f aca="false">IF(OR(F5314&lt;&gt;0,AND(I5314&lt;&gt;"",E5314&lt;I5314)),1,0)</f>
        <v>0</v>
      </c>
      <c r="R5314" s="56" t="n">
        <f aca="false">IF(AND(D5314&gt;1,Q5314=0,ISNUMBER(O5314),ISNUMBER(P5314)),IF(Q5313=0,1,0),0)</f>
        <v>1</v>
      </c>
      <c r="S5314" s="56" t="n">
        <f aca="false">R5314*(B5314&gt;=Train_Start)*(B5314&lt;=Train_End)</f>
        <v>0</v>
      </c>
      <c r="T5314" s="84" t="n">
        <f aca="false">IF(AND(ISNUMBER(O5314),ISNUMBER(P5314)),Coef_A+Coef_B1*O5314+Coef_B2*P5314,"")</f>
        <v>23.0156290704372</v>
      </c>
      <c r="U5314" s="84" t="n">
        <f aca="false">IF(AND(R5314=1,ISNUMBER(T5314)),E5314-T5314,"")</f>
        <v>1.88437092956276</v>
      </c>
      <c r="V5314" s="84" t="n">
        <f aca="false">IF(ISNUMBER(T5314),T5314,-99)</f>
        <v>23.0156290704372</v>
      </c>
      <c r="W5314" s="84" t="n">
        <f aca="false">IF(ISNUMBER(U5314),ABS(U5314),"")</f>
        <v>1.88437092956276</v>
      </c>
    </row>
    <row r="5315" customFormat="false" ht="15" hidden="false" customHeight="false" outlineLevel="0" collapsed="false">
      <c r="A5315" s="57" t="n">
        <v>41506</v>
      </c>
      <c r="B5315" s="56" t="n">
        <v>2013</v>
      </c>
      <c r="C5315" s="56" t="n">
        <v>8</v>
      </c>
      <c r="D5315" s="56" t="n">
        <v>112</v>
      </c>
      <c r="E5315" s="56" t="n">
        <v>27.5</v>
      </c>
      <c r="F5315" s="56" t="n">
        <v>0</v>
      </c>
      <c r="G5315" s="56" t="n">
        <v>11.8</v>
      </c>
      <c r="H5315" s="56" t="n">
        <v>0</v>
      </c>
      <c r="I5315" s="56" t="n">
        <v>18.4</v>
      </c>
      <c r="J5315" s="56" t="n">
        <v>0</v>
      </c>
      <c r="K5315" s="56" t="n">
        <v>1027.4</v>
      </c>
      <c r="L5315" s="56" t="n">
        <v>0</v>
      </c>
      <c r="M5315" s="56" t="n">
        <v>59</v>
      </c>
      <c r="N5315" s="56" t="n">
        <v>10.6</v>
      </c>
      <c r="O5315" s="56" t="n">
        <f aca="false">IF(D5315=1,"",E5314)</f>
        <v>24.9</v>
      </c>
      <c r="P5315" s="56" t="n">
        <f aca="false">IF(OR(D5315=1,K5314=""),"",K5314)</f>
        <v>1020.1</v>
      </c>
      <c r="Q5315" s="56" t="n">
        <f aca="false">IF(OR(F5315&lt;&gt;0,AND(I5315&lt;&gt;"",E5315&lt;I5315)),1,0)</f>
        <v>0</v>
      </c>
      <c r="R5315" s="56" t="n">
        <f aca="false">IF(AND(D5315&gt;1,Q5315=0,ISNUMBER(O5315),ISNUMBER(P5315)),IF(Q5314=0,1,0),0)</f>
        <v>1</v>
      </c>
      <c r="S5315" s="56" t="n">
        <f aca="false">R5315*(B5315&gt;=Train_Start)*(B5315&lt;=Train_End)</f>
        <v>0</v>
      </c>
      <c r="T5315" s="84" t="n">
        <f aca="false">IF(AND(ISNUMBER(O5315),ISNUMBER(P5315)),Coef_A+Coef_B1*O5315+Coef_B2*P5315,"")</f>
        <v>24.4889508448905</v>
      </c>
      <c r="U5315" s="84" t="n">
        <f aca="false">IF(AND(R5315=1,ISNUMBER(T5315)),E5315-T5315,"")</f>
        <v>3.01104915510955</v>
      </c>
      <c r="V5315" s="84" t="n">
        <f aca="false">IF(ISNUMBER(T5315),T5315,-99)</f>
        <v>24.4889508448905</v>
      </c>
      <c r="W5315" s="84" t="n">
        <f aca="false">IF(ISNUMBER(U5315),ABS(U5315),"")</f>
        <v>3.01104915510955</v>
      </c>
    </row>
    <row r="5316" customFormat="false" ht="15" hidden="false" customHeight="false" outlineLevel="0" collapsed="false">
      <c r="A5316" s="57" t="n">
        <v>41507</v>
      </c>
      <c r="B5316" s="56" t="n">
        <v>2013</v>
      </c>
      <c r="C5316" s="56" t="n">
        <v>8</v>
      </c>
      <c r="D5316" s="56" t="n">
        <v>113</v>
      </c>
      <c r="E5316" s="56" t="n">
        <v>23.9</v>
      </c>
      <c r="F5316" s="56" t="n">
        <v>0</v>
      </c>
      <c r="G5316" s="56" t="n">
        <v>12.7</v>
      </c>
      <c r="H5316" s="56" t="n">
        <v>0</v>
      </c>
      <c r="I5316" s="56" t="n">
        <v>20.1</v>
      </c>
      <c r="J5316" s="56" t="n">
        <v>0</v>
      </c>
      <c r="K5316" s="56" t="n">
        <v>1023.7</v>
      </c>
      <c r="L5316" s="56" t="n">
        <v>0</v>
      </c>
      <c r="M5316" s="56" t="n">
        <v>60</v>
      </c>
      <c r="N5316" s="56" t="n">
        <v>11.3</v>
      </c>
      <c r="O5316" s="56" t="n">
        <f aca="false">IF(D5316=1,"",E5315)</f>
        <v>27.5</v>
      </c>
      <c r="P5316" s="56" t="n">
        <f aca="false">IF(OR(D5316=1,K5315=""),"",K5315)</f>
        <v>1027.4</v>
      </c>
      <c r="Q5316" s="56" t="n">
        <f aca="false">IF(OR(F5316&lt;&gt;0,AND(I5316&lt;&gt;"",E5316&lt;I5316)),1,0)</f>
        <v>0</v>
      </c>
      <c r="R5316" s="56" t="n">
        <f aca="false">IF(AND(D5316&gt;1,Q5316=0,ISNUMBER(O5316),ISNUMBER(P5316)),IF(Q5315=0,1,0),0)</f>
        <v>1</v>
      </c>
      <c r="S5316" s="56" t="n">
        <f aca="false">R5316*(B5316&gt;=Train_Start)*(B5316&lt;=Train_End)</f>
        <v>0</v>
      </c>
      <c r="T5316" s="84" t="n">
        <f aca="false">IF(AND(ISNUMBER(O5316),ISNUMBER(P5316)),Coef_A+Coef_B1*O5316+Coef_B2*P5316,"")</f>
        <v>26.8482329776295</v>
      </c>
      <c r="U5316" s="84" t="n">
        <f aca="false">IF(AND(R5316=1,ISNUMBER(T5316)),E5316-T5316,"")</f>
        <v>-2.94823297762949</v>
      </c>
      <c r="V5316" s="84" t="n">
        <f aca="false">IF(ISNUMBER(T5316),T5316,-99)</f>
        <v>26.8482329776295</v>
      </c>
      <c r="W5316" s="84" t="n">
        <f aca="false">IF(ISNUMBER(U5316),ABS(U5316),"")</f>
        <v>2.94823297762949</v>
      </c>
    </row>
    <row r="5317" customFormat="false" ht="15" hidden="false" customHeight="false" outlineLevel="0" collapsed="false">
      <c r="A5317" s="57" t="n">
        <v>41508</v>
      </c>
      <c r="B5317" s="56" t="n">
        <v>2013</v>
      </c>
      <c r="C5317" s="56" t="n">
        <v>8</v>
      </c>
      <c r="D5317" s="56" t="n">
        <v>114</v>
      </c>
      <c r="E5317" s="56" t="n">
        <v>27.7</v>
      </c>
      <c r="F5317" s="56" t="n">
        <v>0</v>
      </c>
      <c r="G5317" s="56" t="n">
        <v>16.4</v>
      </c>
      <c r="H5317" s="56" t="n">
        <v>0</v>
      </c>
      <c r="I5317" s="56" t="n">
        <v>20.2</v>
      </c>
      <c r="J5317" s="56" t="n">
        <v>0</v>
      </c>
      <c r="K5317" s="56" t="n">
        <v>1019.7</v>
      </c>
      <c r="L5317" s="56" t="n">
        <v>0</v>
      </c>
      <c r="M5317" s="56" t="n">
        <v>85</v>
      </c>
      <c r="N5317" s="56" t="n">
        <v>0.8</v>
      </c>
      <c r="O5317" s="56" t="n">
        <f aca="false">IF(D5317=1,"",E5316)</f>
        <v>23.9</v>
      </c>
      <c r="P5317" s="56" t="n">
        <f aca="false">IF(OR(D5317=1,K5316=""),"",K5316)</f>
        <v>1023.7</v>
      </c>
      <c r="Q5317" s="56" t="n">
        <f aca="false">IF(OR(F5317&lt;&gt;0,AND(I5317&lt;&gt;"",E5317&lt;I5317)),1,0)</f>
        <v>0</v>
      </c>
      <c r="R5317" s="56" t="n">
        <f aca="false">IF(AND(D5317&gt;1,Q5317=0,ISNUMBER(O5317),ISNUMBER(P5317)),IF(Q5316=0,1,0),0)</f>
        <v>1</v>
      </c>
      <c r="S5317" s="56" t="n">
        <f aca="false">R5317*(B5317&gt;=Train_Start)*(B5317&lt;=Train_End)</f>
        <v>0</v>
      </c>
      <c r="T5317" s="84" t="n">
        <f aca="false">IF(AND(ISNUMBER(O5317),ISNUMBER(P5317)),Coef_A+Coef_B1*O5317+Coef_B2*P5317,"")</f>
        <v>23.7825432725302</v>
      </c>
      <c r="U5317" s="84" t="n">
        <f aca="false">IF(AND(R5317=1,ISNUMBER(T5317)),E5317-T5317,"")</f>
        <v>3.91745672746984</v>
      </c>
      <c r="V5317" s="84" t="n">
        <f aca="false">IF(ISNUMBER(T5317),T5317,-99)</f>
        <v>23.7825432725302</v>
      </c>
      <c r="W5317" s="84" t="n">
        <f aca="false">IF(ISNUMBER(U5317),ABS(U5317),"")</f>
        <v>3.91745672746984</v>
      </c>
    </row>
    <row r="5318" customFormat="false" ht="15" hidden="false" customHeight="false" outlineLevel="0" collapsed="false">
      <c r="A5318" s="57" t="n">
        <v>41509</v>
      </c>
      <c r="B5318" s="56" t="n">
        <v>2013</v>
      </c>
      <c r="C5318" s="56" t="n">
        <v>8</v>
      </c>
      <c r="D5318" s="56" t="n">
        <v>115</v>
      </c>
      <c r="E5318" s="56" t="n">
        <v>18.7</v>
      </c>
      <c r="F5318" s="56" t="n">
        <v>1</v>
      </c>
      <c r="G5318" s="56" t="n">
        <v>15.7</v>
      </c>
      <c r="H5318" s="56" t="n">
        <v>0</v>
      </c>
      <c r="I5318" s="56" t="n">
        <v>21.7</v>
      </c>
      <c r="J5318" s="56" t="n">
        <v>1</v>
      </c>
      <c r="K5318" s="56" t="n">
        <v>1014.5</v>
      </c>
      <c r="L5318" s="56" t="n">
        <v>0</v>
      </c>
      <c r="M5318" s="56" t="n">
        <v>69</v>
      </c>
      <c r="N5318" s="56" t="n">
        <v>6.2</v>
      </c>
      <c r="O5318" s="56" t="n">
        <f aca="false">IF(D5318=1,"",E5317)</f>
        <v>27.7</v>
      </c>
      <c r="P5318" s="56" t="n">
        <f aca="false">IF(OR(D5318=1,K5317=""),"",K5317)</f>
        <v>1019.7</v>
      </c>
      <c r="Q5318" s="56" t="n">
        <f aca="false">IF(OR(F5318&lt;&gt;0,AND(I5318&lt;&gt;"",E5318&lt;I5318)),1,0)</f>
        <v>1</v>
      </c>
      <c r="R5318" s="56" t="n">
        <f aca="false">IF(AND(D5318&gt;1,Q5318=0,ISNUMBER(O5318),ISNUMBER(P5318)),IF(Q5317=0,1,0),0)</f>
        <v>0</v>
      </c>
      <c r="S5318" s="56" t="n">
        <f aca="false">R5318*(B5318&gt;=Train_Start)*(B5318&lt;=Train_End)</f>
        <v>0</v>
      </c>
      <c r="T5318" s="84" t="n">
        <f aca="false">IF(AND(ISNUMBER(O5318),ISNUMBER(P5318)),Coef_A+Coef_B1*O5318+Coef_B2*P5318,"")</f>
        <v>26.7705526275563</v>
      </c>
      <c r="U5318" s="84" t="str">
        <f aca="false">IF(AND(R5318=1,ISNUMBER(T5318)),E5318-T5318,"")</f>
        <v/>
      </c>
      <c r="V5318" s="84" t="n">
        <f aca="false">IF(ISNUMBER(T5318),T5318,-99)</f>
        <v>26.7705526275563</v>
      </c>
      <c r="W5318" s="84" t="str">
        <f aca="false">IF(ISNUMBER(U5318),ABS(U5318),"")</f>
        <v/>
      </c>
    </row>
    <row r="5319" customFormat="false" ht="15" hidden="false" customHeight="false" outlineLevel="0" collapsed="false">
      <c r="A5319" s="57" t="n">
        <v>41510</v>
      </c>
      <c r="B5319" s="56" t="n">
        <v>2013</v>
      </c>
      <c r="C5319" s="56" t="n">
        <v>8</v>
      </c>
      <c r="D5319" s="56" t="n">
        <v>116</v>
      </c>
      <c r="E5319" s="56" t="n">
        <v>24.7</v>
      </c>
      <c r="F5319" s="56" t="n">
        <v>0</v>
      </c>
      <c r="G5319" s="56" t="n">
        <v>17.2</v>
      </c>
      <c r="H5319" s="56" t="n">
        <v>0</v>
      </c>
      <c r="I5319" s="56" t="n">
        <v>18</v>
      </c>
      <c r="J5319" s="56" t="n">
        <v>0</v>
      </c>
      <c r="K5319" s="56" t="n">
        <v>1011</v>
      </c>
      <c r="L5319" s="56" t="n">
        <v>0</v>
      </c>
      <c r="M5319" s="56" t="n">
        <v>87</v>
      </c>
      <c r="N5319" s="56" t="n">
        <v>0</v>
      </c>
      <c r="O5319" s="56" t="n">
        <f aca="false">IF(D5319=1,"",E5318)</f>
        <v>18.7</v>
      </c>
      <c r="P5319" s="56" t="n">
        <f aca="false">IF(OR(D5319=1,K5318=""),"",K5318)</f>
        <v>1014.5</v>
      </c>
      <c r="Q5319" s="56" t="n">
        <f aca="false">IF(OR(F5319&lt;&gt;0,AND(I5319&lt;&gt;"",E5319&lt;I5319)),1,0)</f>
        <v>0</v>
      </c>
      <c r="R5319" s="56" t="n">
        <f aca="false">IF(AND(D5319&gt;1,Q5319=0,ISNUMBER(O5319),ISNUMBER(P5319)),IF(Q5318=0,1,0),0)</f>
        <v>0</v>
      </c>
      <c r="S5319" s="56" t="n">
        <f aca="false">R5319*(B5319&gt;=Train_Start)*(B5319&lt;=Train_End)</f>
        <v>0</v>
      </c>
      <c r="T5319" s="84" t="n">
        <f aca="false">IF(AND(ISNUMBER(O5319),ISNUMBER(P5319)),Coef_A+Coef_B1*O5319+Coef_B2*P5319,"")</f>
        <v>19.2333764380756</v>
      </c>
      <c r="U5319" s="84" t="str">
        <f aca="false">IF(AND(R5319=1,ISNUMBER(T5319)),E5319-T5319,"")</f>
        <v/>
      </c>
      <c r="V5319" s="84" t="n">
        <f aca="false">IF(ISNUMBER(T5319),T5319,-99)</f>
        <v>19.2333764380756</v>
      </c>
      <c r="W5319" s="84" t="str">
        <f aca="false">IF(ISNUMBER(U5319),ABS(U5319),"")</f>
        <v/>
      </c>
    </row>
    <row r="5320" customFormat="false" ht="15" hidden="false" customHeight="false" outlineLevel="0" collapsed="false">
      <c r="A5320" s="57" t="n">
        <v>41511</v>
      </c>
      <c r="B5320" s="56" t="n">
        <v>2013</v>
      </c>
      <c r="C5320" s="56" t="n">
        <v>8</v>
      </c>
      <c r="D5320" s="56" t="n">
        <v>117</v>
      </c>
      <c r="E5320" s="56" t="n">
        <v>25.9</v>
      </c>
      <c r="F5320" s="56" t="n">
        <v>0</v>
      </c>
      <c r="G5320" s="56" t="n">
        <v>12.9</v>
      </c>
      <c r="H5320" s="56" t="n">
        <v>0</v>
      </c>
      <c r="I5320" s="56" t="n">
        <v>18.8</v>
      </c>
      <c r="J5320" s="56" t="n">
        <v>0</v>
      </c>
      <c r="K5320" s="56" t="n">
        <v>1013.3</v>
      </c>
      <c r="L5320" s="56" t="n">
        <v>0</v>
      </c>
      <c r="M5320" s="56" t="n">
        <v>77</v>
      </c>
      <c r="N5320" s="56" t="n">
        <v>4.9</v>
      </c>
      <c r="O5320" s="56" t="n">
        <f aca="false">IF(D5320=1,"",E5319)</f>
        <v>24.7</v>
      </c>
      <c r="P5320" s="56" t="n">
        <f aca="false">IF(OR(D5320=1,K5319=""),"",K5319)</f>
        <v>1011</v>
      </c>
      <c r="Q5320" s="56" t="n">
        <f aca="false">IF(OR(F5320&lt;&gt;0,AND(I5320&lt;&gt;"",E5320&lt;I5320)),1,0)</f>
        <v>0</v>
      </c>
      <c r="R5320" s="56" t="n">
        <f aca="false">IF(AND(D5320&gt;1,Q5320=0,ISNUMBER(O5320),ISNUMBER(P5320)),IF(Q5319=0,1,0),0)</f>
        <v>1</v>
      </c>
      <c r="S5320" s="56" t="n">
        <f aca="false">R5320*(B5320&gt;=Train_Start)*(B5320&lt;=Train_End)</f>
        <v>0</v>
      </c>
      <c r="T5320" s="84" t="n">
        <f aca="false">IF(AND(ISNUMBER(O5320),ISNUMBER(P5320)),Coef_A+Coef_B1*O5320+Coef_B2*P5320,"")</f>
        <v>24.0396169651126</v>
      </c>
      <c r="U5320" s="84" t="n">
        <f aca="false">IF(AND(R5320=1,ISNUMBER(T5320)),E5320-T5320,"")</f>
        <v>1.86038303488738</v>
      </c>
      <c r="V5320" s="84" t="n">
        <f aca="false">IF(ISNUMBER(T5320),T5320,-99)</f>
        <v>24.0396169651126</v>
      </c>
      <c r="W5320" s="84" t="n">
        <f aca="false">IF(ISNUMBER(U5320),ABS(U5320),"")</f>
        <v>1.86038303488738</v>
      </c>
    </row>
    <row r="5321" customFormat="false" ht="15" hidden="false" customHeight="false" outlineLevel="0" collapsed="false">
      <c r="A5321" s="57" t="n">
        <v>41512</v>
      </c>
      <c r="B5321" s="56" t="n">
        <v>2013</v>
      </c>
      <c r="C5321" s="56" t="n">
        <v>8</v>
      </c>
      <c r="D5321" s="56" t="n">
        <v>118</v>
      </c>
      <c r="E5321" s="56" t="n">
        <v>23.6</v>
      </c>
      <c r="F5321" s="56" t="n">
        <v>0</v>
      </c>
      <c r="G5321" s="56" t="n">
        <v>14.9</v>
      </c>
      <c r="H5321" s="56" t="n">
        <v>0</v>
      </c>
      <c r="I5321" s="56" t="n">
        <v>20.4</v>
      </c>
      <c r="J5321" s="56" t="n">
        <v>0</v>
      </c>
      <c r="K5321" s="56" t="n">
        <v>1018.4</v>
      </c>
      <c r="L5321" s="56" t="n">
        <v>0</v>
      </c>
      <c r="M5321" s="56" t="n">
        <v>66</v>
      </c>
      <c r="N5321" s="56" t="n">
        <v>7.2</v>
      </c>
      <c r="O5321" s="56" t="n">
        <f aca="false">IF(D5321=1,"",E5320)</f>
        <v>25.9</v>
      </c>
      <c r="P5321" s="56" t="n">
        <f aca="false">IF(OR(D5321=1,K5320=""),"",K5320)</f>
        <v>1013.3</v>
      </c>
      <c r="Q5321" s="56" t="n">
        <f aca="false">IF(OR(F5321&lt;&gt;0,AND(I5321&lt;&gt;"",E5321&lt;I5321)),1,0)</f>
        <v>0</v>
      </c>
      <c r="R5321" s="56" t="n">
        <f aca="false">IF(AND(D5321&gt;1,Q5321=0,ISNUMBER(O5321),ISNUMBER(P5321)),IF(Q5320=0,1,0),0)</f>
        <v>1</v>
      </c>
      <c r="S5321" s="56" t="n">
        <f aca="false">R5321*(B5321&gt;=Train_Start)*(B5321&lt;=Train_End)</f>
        <v>0</v>
      </c>
      <c r="T5321" s="84" t="n">
        <f aca="false">IF(AND(ISNUMBER(O5321),ISNUMBER(P5321)),Coef_A+Coef_B1*O5321+Coef_B2*P5321,"")</f>
        <v>25.094974754422</v>
      </c>
      <c r="U5321" s="84" t="n">
        <f aca="false">IF(AND(R5321=1,ISNUMBER(T5321)),E5321-T5321,"")</f>
        <v>-1.49497475442197</v>
      </c>
      <c r="V5321" s="84" t="n">
        <f aca="false">IF(ISNUMBER(T5321),T5321,-99)</f>
        <v>25.094974754422</v>
      </c>
      <c r="W5321" s="84" t="n">
        <f aca="false">IF(ISNUMBER(U5321),ABS(U5321),"")</f>
        <v>1.49497475442197</v>
      </c>
    </row>
    <row r="5322" customFormat="false" ht="15" hidden="false" customHeight="false" outlineLevel="0" collapsed="false">
      <c r="A5322" s="57" t="n">
        <v>41513</v>
      </c>
      <c r="B5322" s="56" t="n">
        <v>2013</v>
      </c>
      <c r="C5322" s="56" t="n">
        <v>8</v>
      </c>
      <c r="D5322" s="56" t="n">
        <v>119</v>
      </c>
      <c r="E5322" s="56" t="n">
        <v>24.7</v>
      </c>
      <c r="F5322" s="56" t="n">
        <v>0</v>
      </c>
      <c r="G5322" s="56" t="n">
        <v>11.9</v>
      </c>
      <c r="H5322" s="56" t="n">
        <v>0</v>
      </c>
      <c r="I5322" s="56" t="n">
        <v>17.8</v>
      </c>
      <c r="J5322" s="56" t="n">
        <v>0</v>
      </c>
      <c r="K5322" s="56" t="n">
        <v>1018.7</v>
      </c>
      <c r="L5322" s="56" t="n">
        <v>0</v>
      </c>
      <c r="M5322" s="56" t="n">
        <v>65</v>
      </c>
      <c r="N5322" s="56" t="n">
        <v>8.5</v>
      </c>
      <c r="O5322" s="56" t="n">
        <f aca="false">IF(D5322=1,"",E5321)</f>
        <v>23.6</v>
      </c>
      <c r="P5322" s="56" t="n">
        <f aca="false">IF(OR(D5322=1,K5321=""),"",K5321)</f>
        <v>1018.4</v>
      </c>
      <c r="Q5322" s="56" t="n">
        <f aca="false">IF(OR(F5322&lt;&gt;0,AND(I5322&lt;&gt;"",E5322&lt;I5322)),1,0)</f>
        <v>0</v>
      </c>
      <c r="R5322" s="56" t="n">
        <f aca="false">IF(AND(D5322&gt;1,Q5322=0,ISNUMBER(O5322),ISNUMBER(P5322)),IF(Q5321=0,1,0),0)</f>
        <v>1</v>
      </c>
      <c r="S5322" s="56" t="n">
        <f aca="false">R5322*(B5322&gt;=Train_Start)*(B5322&lt;=Train_End)</f>
        <v>0</v>
      </c>
      <c r="T5322" s="84" t="n">
        <f aca="false">IF(AND(ISNUMBER(O5322),ISNUMBER(P5322)),Coef_A+Coef_B1*O5322+Coef_B2*P5322,"")</f>
        <v>23.3704810730572</v>
      </c>
      <c r="U5322" s="84" t="n">
        <f aca="false">IF(AND(R5322=1,ISNUMBER(T5322)),E5322-T5322,"")</f>
        <v>1.32951892694278</v>
      </c>
      <c r="V5322" s="84" t="n">
        <f aca="false">IF(ISNUMBER(T5322),T5322,-99)</f>
        <v>23.3704810730572</v>
      </c>
      <c r="W5322" s="84" t="n">
        <f aca="false">IF(ISNUMBER(U5322),ABS(U5322),"")</f>
        <v>1.32951892694278</v>
      </c>
    </row>
    <row r="5323" customFormat="false" ht="15" hidden="false" customHeight="false" outlineLevel="0" collapsed="false">
      <c r="A5323" s="57" t="n">
        <v>41514</v>
      </c>
      <c r="B5323" s="56" t="n">
        <v>2013</v>
      </c>
      <c r="C5323" s="56" t="n">
        <v>8</v>
      </c>
      <c r="D5323" s="56" t="n">
        <v>120</v>
      </c>
      <c r="E5323" s="56" t="n">
        <v>24.7</v>
      </c>
      <c r="F5323" s="56" t="n">
        <v>0</v>
      </c>
      <c r="G5323" s="56" t="n">
        <v>12.2</v>
      </c>
      <c r="H5323" s="56" t="n">
        <v>0</v>
      </c>
      <c r="I5323" s="56" t="n">
        <v>18.5</v>
      </c>
      <c r="J5323" s="56" t="n">
        <v>0</v>
      </c>
      <c r="K5323" s="56" t="n">
        <v>1022.3</v>
      </c>
      <c r="L5323" s="56" t="n">
        <v>0</v>
      </c>
      <c r="M5323" s="56" t="n">
        <v>62</v>
      </c>
      <c r="N5323" s="56" t="n">
        <v>9.2</v>
      </c>
      <c r="O5323" s="56" t="n">
        <f aca="false">IF(D5323=1,"",E5322)</f>
        <v>24.7</v>
      </c>
      <c r="P5323" s="56" t="n">
        <f aca="false">IF(OR(D5323=1,K5322=""),"",K5322)</f>
        <v>1018.7</v>
      </c>
      <c r="Q5323" s="56" t="n">
        <f aca="false">IF(OR(F5323&lt;&gt;0,AND(I5323&lt;&gt;"",E5323&lt;I5323)),1,0)</f>
        <v>0</v>
      </c>
      <c r="R5323" s="56" t="n">
        <f aca="false">IF(AND(D5323&gt;1,Q5323=0,ISNUMBER(O5323),ISNUMBER(P5323)),IF(Q5322=0,1,0),0)</f>
        <v>1</v>
      </c>
      <c r="S5323" s="56" t="n">
        <f aca="false">R5323*(B5323&gt;=Train_Start)*(B5323&lt;=Train_End)</f>
        <v>0</v>
      </c>
      <c r="T5323" s="84" t="n">
        <f aca="false">IF(AND(ISNUMBER(O5323),ISNUMBER(P5323)),Coef_A+Coef_B1*O5323+Coef_B2*P5323,"")</f>
        <v>24.2811651537943</v>
      </c>
      <c r="U5323" s="84" t="n">
        <f aca="false">IF(AND(R5323=1,ISNUMBER(T5323)),E5323-T5323,"")</f>
        <v>0.418834846205662</v>
      </c>
      <c r="V5323" s="84" t="n">
        <f aca="false">IF(ISNUMBER(T5323),T5323,-99)</f>
        <v>24.2811651537943</v>
      </c>
      <c r="W5323" s="84" t="n">
        <f aca="false">IF(ISNUMBER(U5323),ABS(U5323),"")</f>
        <v>0.418834846205662</v>
      </c>
    </row>
    <row r="5324" customFormat="false" ht="15" hidden="false" customHeight="false" outlineLevel="0" collapsed="false">
      <c r="A5324" s="57" t="n">
        <v>41515</v>
      </c>
      <c r="B5324" s="56" t="n">
        <v>2013</v>
      </c>
      <c r="C5324" s="56" t="n">
        <v>8</v>
      </c>
      <c r="D5324" s="56" t="n">
        <v>121</v>
      </c>
      <c r="E5324" s="56" t="n">
        <v>25.4</v>
      </c>
      <c r="F5324" s="56" t="n">
        <v>0</v>
      </c>
      <c r="G5324" s="56" t="n">
        <v>14.2</v>
      </c>
      <c r="H5324" s="56" t="n">
        <v>0</v>
      </c>
      <c r="I5324" s="56" t="n">
        <v>19.5</v>
      </c>
      <c r="J5324" s="56" t="n">
        <v>0</v>
      </c>
      <c r="K5324" s="56" t="n">
        <v>1021.8</v>
      </c>
      <c r="L5324" s="56" t="n">
        <v>0</v>
      </c>
      <c r="M5324" s="56" t="n">
        <v>67</v>
      </c>
      <c r="N5324" s="56" t="n">
        <v>8.1</v>
      </c>
      <c r="O5324" s="56" t="n">
        <f aca="false">IF(D5324=1,"",E5323)</f>
        <v>24.7</v>
      </c>
      <c r="P5324" s="56" t="n">
        <f aca="false">IF(OR(D5324=1,K5323=""),"",K5323)</f>
        <v>1022.3</v>
      </c>
      <c r="Q5324" s="56" t="n">
        <f aca="false">IF(OR(F5324&lt;&gt;0,AND(I5324&lt;&gt;"",E5324&lt;I5324)),1,0)</f>
        <v>0</v>
      </c>
      <c r="R5324" s="56" t="n">
        <f aca="false">IF(AND(D5324&gt;1,Q5324=0,ISNUMBER(O5324),ISNUMBER(P5324)),IF(Q5323=0,1,0),0)</f>
        <v>1</v>
      </c>
      <c r="S5324" s="56" t="n">
        <f aca="false">R5324*(B5324&gt;=Train_Start)*(B5324&lt;=Train_End)</f>
        <v>0</v>
      </c>
      <c r="T5324" s="84" t="n">
        <f aca="false">IF(AND(ISNUMBER(O5324),ISNUMBER(P5324)),Coef_A+Coef_B1*O5324+Coef_B2*P5324,"")</f>
        <v>24.3940967744767</v>
      </c>
      <c r="U5324" s="84" t="n">
        <f aca="false">IF(AND(R5324=1,ISNUMBER(T5324)),E5324-T5324,"")</f>
        <v>1.0059032255233</v>
      </c>
      <c r="V5324" s="84" t="n">
        <f aca="false">IF(ISNUMBER(T5324),T5324,-99)</f>
        <v>24.3940967744767</v>
      </c>
      <c r="W5324" s="84" t="n">
        <f aca="false">IF(ISNUMBER(U5324),ABS(U5324),"")</f>
        <v>1.0059032255233</v>
      </c>
    </row>
    <row r="5325" customFormat="false" ht="15" hidden="false" customHeight="false" outlineLevel="0" collapsed="false">
      <c r="A5325" s="57" t="n">
        <v>41516</v>
      </c>
      <c r="B5325" s="56" t="n">
        <v>2013</v>
      </c>
      <c r="C5325" s="56" t="n">
        <v>8</v>
      </c>
      <c r="D5325" s="56" t="n">
        <v>122</v>
      </c>
      <c r="E5325" s="56" t="n">
        <v>21.4</v>
      </c>
      <c r="F5325" s="56" t="n">
        <v>0</v>
      </c>
      <c r="G5325" s="56" t="n">
        <v>15.1</v>
      </c>
      <c r="H5325" s="56" t="n">
        <v>0</v>
      </c>
      <c r="I5325" s="56" t="n">
        <v>20.3</v>
      </c>
      <c r="J5325" s="56" t="n">
        <v>0</v>
      </c>
      <c r="K5325" s="56" t="n">
        <v>1019.7</v>
      </c>
      <c r="L5325" s="56" t="n">
        <v>0</v>
      </c>
      <c r="M5325" s="56" t="n">
        <v>71</v>
      </c>
      <c r="N5325" s="56" t="n">
        <v>8.2</v>
      </c>
      <c r="O5325" s="56" t="n">
        <f aca="false">IF(D5325=1,"",E5324)</f>
        <v>25.4</v>
      </c>
      <c r="P5325" s="56" t="n">
        <f aca="false">IF(OR(D5325=1,K5324=""),"",K5324)</f>
        <v>1021.8</v>
      </c>
      <c r="Q5325" s="56" t="n">
        <f aca="false">IF(OR(F5325&lt;&gt;0,AND(I5325&lt;&gt;"",E5325&lt;I5325)),1,0)</f>
        <v>0</v>
      </c>
      <c r="R5325" s="56" t="n">
        <f aca="false">IF(AND(D5325&gt;1,Q5325=0,ISNUMBER(O5325),ISNUMBER(P5325)),IF(Q5324=0,1,0),0)</f>
        <v>1</v>
      </c>
      <c r="S5325" s="56" t="n">
        <f aca="false">R5325*(B5325&gt;=Train_Start)*(B5325&lt;=Train_End)</f>
        <v>0</v>
      </c>
      <c r="T5325" s="84" t="n">
        <f aca="false">IF(AND(ISNUMBER(O5325),ISNUMBER(P5325)),Coef_A+Coef_B1*O5325+Coef_B2*P5325,"")</f>
        <v>24.9519492622896</v>
      </c>
      <c r="U5325" s="84" t="n">
        <f aca="false">IF(AND(R5325=1,ISNUMBER(T5325)),E5325-T5325,"")</f>
        <v>-3.55194926228956</v>
      </c>
      <c r="V5325" s="84" t="n">
        <f aca="false">IF(ISNUMBER(T5325),T5325,-99)</f>
        <v>24.9519492622896</v>
      </c>
      <c r="W5325" s="84" t="n">
        <f aca="false">IF(ISNUMBER(U5325),ABS(U5325),"")</f>
        <v>3.55194926228956</v>
      </c>
    </row>
    <row r="5326" customFormat="false" ht="15" hidden="false" customHeight="false" outlineLevel="0" collapsed="false">
      <c r="A5326" s="57" t="n">
        <v>41517</v>
      </c>
      <c r="B5326" s="56" t="n">
        <v>2013</v>
      </c>
      <c r="C5326" s="56" t="n">
        <v>8</v>
      </c>
      <c r="D5326" s="56" t="n">
        <v>123</v>
      </c>
      <c r="E5326" s="56" t="n">
        <v>22.3</v>
      </c>
      <c r="F5326" s="56" t="n">
        <v>0</v>
      </c>
      <c r="G5326" s="56" t="n">
        <v>13.8</v>
      </c>
      <c r="H5326" s="56" t="n">
        <v>0</v>
      </c>
      <c r="I5326" s="56" t="n">
        <v>17.6</v>
      </c>
      <c r="J5326" s="56" t="n">
        <v>0</v>
      </c>
      <c r="K5326" s="56" t="n">
        <v>1025.6</v>
      </c>
      <c r="L5326" s="56" t="n">
        <v>0</v>
      </c>
      <c r="M5326" s="56" t="n">
        <v>57</v>
      </c>
      <c r="N5326" s="56" t="n">
        <v>10.8</v>
      </c>
      <c r="O5326" s="56" t="n">
        <f aca="false">IF(D5326=1,"",E5325)</f>
        <v>21.4</v>
      </c>
      <c r="P5326" s="56" t="n">
        <f aca="false">IF(OR(D5326=1,K5325=""),"",K5325)</f>
        <v>1019.7</v>
      </c>
      <c r="Q5326" s="56" t="n">
        <f aca="false">IF(OR(F5326&lt;&gt;0,AND(I5326&lt;&gt;"",E5326&lt;I5326)),1,0)</f>
        <v>0</v>
      </c>
      <c r="R5326" s="56" t="n">
        <f aca="false">IF(AND(D5326&gt;1,Q5326=0,ISNUMBER(O5326),ISNUMBER(P5326)),IF(Q5325=0,1,0),0)</f>
        <v>1</v>
      </c>
      <c r="S5326" s="56" t="n">
        <f aca="false">R5326*(B5326&gt;=Train_Start)*(B5326&lt;=Train_End)</f>
        <v>0</v>
      </c>
      <c r="T5326" s="84" t="n">
        <f aca="false">IF(AND(ISNUMBER(O5326),ISNUMBER(P5326)),Coef_A+Coef_B1*O5326+Coef_B2*P5326,"")</f>
        <v>21.6087157113876</v>
      </c>
      <c r="U5326" s="84" t="n">
        <f aca="false">IF(AND(R5326=1,ISNUMBER(T5326)),E5326-T5326,"")</f>
        <v>0.691284288612447</v>
      </c>
      <c r="V5326" s="84" t="n">
        <f aca="false">IF(ISNUMBER(T5326),T5326,-99)</f>
        <v>21.6087157113876</v>
      </c>
      <c r="W5326" s="84" t="n">
        <f aca="false">IF(ISNUMBER(U5326),ABS(U5326),"")</f>
        <v>0.691284288612447</v>
      </c>
    </row>
    <row r="5327" customFormat="false" ht="15" hidden="false" customHeight="false" outlineLevel="0" collapsed="false">
      <c r="A5327" s="57" t="n">
        <v>41518</v>
      </c>
      <c r="B5327" s="56" t="n">
        <v>2013</v>
      </c>
      <c r="C5327" s="56" t="n">
        <v>9</v>
      </c>
      <c r="D5327" s="56" t="n">
        <v>124</v>
      </c>
      <c r="E5327" s="56" t="n">
        <v>26.2</v>
      </c>
      <c r="F5327" s="56" t="n">
        <v>0</v>
      </c>
      <c r="G5327" s="56" t="n">
        <v>9.2</v>
      </c>
      <c r="H5327" s="56" t="n">
        <v>0</v>
      </c>
      <c r="I5327" s="56" t="n">
        <v>15.8</v>
      </c>
      <c r="J5327" s="56" t="n">
        <v>0</v>
      </c>
      <c r="K5327" s="56" t="n">
        <v>1029.5</v>
      </c>
      <c r="L5327" s="56" t="n">
        <v>0</v>
      </c>
      <c r="M5327" s="56" t="n">
        <v>61</v>
      </c>
      <c r="N5327" s="56" t="n">
        <v>5.4</v>
      </c>
      <c r="O5327" s="56" t="n">
        <f aca="false">IF(D5327=1,"",E5326)</f>
        <v>22.3</v>
      </c>
      <c r="P5327" s="56" t="n">
        <f aca="false">IF(OR(D5327=1,K5326=""),"",K5326)</f>
        <v>1025.6</v>
      </c>
      <c r="Q5327" s="56" t="n">
        <f aca="false">IF(OR(F5327&lt;&gt;0,AND(I5327&lt;&gt;"",E5327&lt;I5327)),1,0)</f>
        <v>0</v>
      </c>
      <c r="R5327" s="56" t="n">
        <f aca="false">IF(AND(D5327&gt;1,Q5327=0,ISNUMBER(O5327),ISNUMBER(P5327)),IF(Q5326=0,1,0),0)</f>
        <v>1</v>
      </c>
      <c r="S5327" s="56" t="n">
        <f aca="false">R5327*(B5327&gt;=Train_Start)*(B5327&lt;=Train_End)</f>
        <v>0</v>
      </c>
      <c r="T5327" s="84" t="n">
        <f aca="false">IF(AND(ISNUMBER(O5327),ISNUMBER(P5327)),Coef_A+Coef_B1*O5327+Coef_B2*P5327,"")</f>
        <v>22.5312033634665</v>
      </c>
      <c r="U5327" s="84" t="n">
        <f aca="false">IF(AND(R5327=1,ISNUMBER(T5327)),E5327-T5327,"")</f>
        <v>3.66879663653352</v>
      </c>
      <c r="V5327" s="84" t="n">
        <f aca="false">IF(ISNUMBER(T5327),T5327,-99)</f>
        <v>22.5312033634665</v>
      </c>
      <c r="W5327" s="84" t="n">
        <f aca="false">IF(ISNUMBER(U5327),ABS(U5327),"")</f>
        <v>3.66879663653352</v>
      </c>
    </row>
    <row r="5328" customFormat="false" ht="15" hidden="false" customHeight="false" outlineLevel="0" collapsed="false">
      <c r="A5328" s="57" t="n">
        <v>41519</v>
      </c>
      <c r="B5328" s="56" t="n">
        <v>2013</v>
      </c>
      <c r="C5328" s="56" t="n">
        <v>9</v>
      </c>
      <c r="D5328" s="56" t="n">
        <v>125</v>
      </c>
      <c r="E5328" s="56" t="n">
        <v>26</v>
      </c>
      <c r="F5328" s="56" t="n">
        <v>0</v>
      </c>
      <c r="G5328" s="56" t="n">
        <v>11.4</v>
      </c>
      <c r="H5328" s="56" t="n">
        <v>0</v>
      </c>
      <c r="I5328" s="56" t="n">
        <v>18.8</v>
      </c>
      <c r="J5328" s="56" t="n">
        <v>0</v>
      </c>
      <c r="K5328" s="56" t="n">
        <v>1027.1</v>
      </c>
      <c r="L5328" s="56" t="n">
        <v>0</v>
      </c>
      <c r="M5328" s="56" t="n">
        <v>67</v>
      </c>
      <c r="N5328" s="56" t="n">
        <v>12.6</v>
      </c>
      <c r="O5328" s="56" t="n">
        <f aca="false">IF(D5328=1,"",E5327)</f>
        <v>26.2</v>
      </c>
      <c r="P5328" s="56" t="n">
        <f aca="false">IF(OR(D5328=1,K5327=""),"",K5327)</f>
        <v>1029.5</v>
      </c>
      <c r="Q5328" s="56" t="n">
        <f aca="false">IF(OR(F5328&lt;&gt;0,AND(I5328&lt;&gt;"",E5328&lt;I5328)),1,0)</f>
        <v>0</v>
      </c>
      <c r="R5328" s="56" t="n">
        <f aca="false">IF(AND(D5328&gt;1,Q5328=0,ISNUMBER(O5328),ISNUMBER(P5328)),IF(Q5327=0,1,0),0)</f>
        <v>1</v>
      </c>
      <c r="S5328" s="56" t="n">
        <f aca="false">R5328*(B5328&gt;=Train_Start)*(B5328&lt;=Train_End)</f>
        <v>0</v>
      </c>
      <c r="T5328" s="84" t="n">
        <f aca="false">IF(AND(ISNUMBER(O5328),ISNUMBER(P5328)),Coef_A+Coef_B1*O5328+Coef_B2*P5328,"")</f>
        <v>25.8489688054054</v>
      </c>
      <c r="U5328" s="84" t="n">
        <f aca="false">IF(AND(R5328=1,ISNUMBER(T5328)),E5328-T5328,"")</f>
        <v>0.151031194594598</v>
      </c>
      <c r="V5328" s="84" t="n">
        <f aca="false">IF(ISNUMBER(T5328),T5328,-99)</f>
        <v>25.8489688054054</v>
      </c>
      <c r="W5328" s="84" t="n">
        <f aca="false">IF(ISNUMBER(U5328),ABS(U5328),"")</f>
        <v>0.151031194594598</v>
      </c>
    </row>
    <row r="5329" customFormat="false" ht="15" hidden="false" customHeight="false" outlineLevel="0" collapsed="false">
      <c r="A5329" s="57" t="n">
        <v>41520</v>
      </c>
      <c r="B5329" s="56" t="n">
        <v>2013</v>
      </c>
      <c r="C5329" s="56" t="n">
        <v>9</v>
      </c>
      <c r="D5329" s="56" t="n">
        <v>126</v>
      </c>
      <c r="E5329" s="56" t="n">
        <v>28.5</v>
      </c>
      <c r="F5329" s="56" t="n">
        <v>0</v>
      </c>
      <c r="G5329" s="56" t="n">
        <v>14.2</v>
      </c>
      <c r="H5329" s="56" t="n">
        <v>0</v>
      </c>
      <c r="I5329" s="56" t="n">
        <v>20.1</v>
      </c>
      <c r="J5329" s="56" t="n">
        <v>0</v>
      </c>
      <c r="K5329" s="56" t="n">
        <v>1027</v>
      </c>
      <c r="L5329" s="56" t="n">
        <v>0</v>
      </c>
      <c r="M5329" s="56" t="n">
        <v>71</v>
      </c>
      <c r="N5329" s="56" t="n">
        <v>4.2</v>
      </c>
      <c r="O5329" s="56" t="n">
        <f aca="false">IF(D5329=1,"",E5328)</f>
        <v>26</v>
      </c>
      <c r="P5329" s="56" t="n">
        <f aca="false">IF(OR(D5329=1,K5328=""),"",K5328)</f>
        <v>1027.1</v>
      </c>
      <c r="Q5329" s="56" t="n">
        <f aca="false">IF(OR(F5329&lt;&gt;0,AND(I5329&lt;&gt;"",E5329&lt;I5329)),1,0)</f>
        <v>0</v>
      </c>
      <c r="R5329" s="56" t="n">
        <f aca="false">IF(AND(D5329&gt;1,Q5329=0,ISNUMBER(O5329),ISNUMBER(P5329)),IF(Q5328=0,1,0),0)</f>
        <v>1</v>
      </c>
      <c r="S5329" s="56" t="n">
        <f aca="false">R5329*(B5329&gt;=Train_Start)*(B5329&lt;=Train_End)</f>
        <v>0</v>
      </c>
      <c r="T5329" s="84" t="n">
        <f aca="false">IF(AND(ISNUMBER(O5329),ISNUMBER(P5329)),Coef_A+Coef_B1*O5329+Coef_B2*P5329,"")</f>
        <v>25.6098132196753</v>
      </c>
      <c r="U5329" s="84" t="n">
        <f aca="false">IF(AND(R5329=1,ISNUMBER(T5329)),E5329-T5329,"")</f>
        <v>2.8901867803247</v>
      </c>
      <c r="V5329" s="84" t="n">
        <f aca="false">IF(ISNUMBER(T5329),T5329,-99)</f>
        <v>25.6098132196753</v>
      </c>
      <c r="W5329" s="84" t="n">
        <f aca="false">IF(ISNUMBER(U5329),ABS(U5329),"")</f>
        <v>2.8901867803247</v>
      </c>
    </row>
    <row r="5330" customFormat="false" ht="15" hidden="false" customHeight="false" outlineLevel="0" collapsed="false">
      <c r="A5330" s="57" t="n">
        <v>41521</v>
      </c>
      <c r="B5330" s="56" t="n">
        <v>2013</v>
      </c>
      <c r="C5330" s="56" t="n">
        <v>9</v>
      </c>
      <c r="D5330" s="56" t="n">
        <v>127</v>
      </c>
      <c r="E5330" s="56" t="n">
        <v>29.5</v>
      </c>
      <c r="F5330" s="56" t="n">
        <v>0</v>
      </c>
      <c r="G5330" s="56" t="n">
        <v>13.7</v>
      </c>
      <c r="H5330" s="56" t="n">
        <v>0</v>
      </c>
      <c r="I5330" s="56" t="n">
        <v>21.1</v>
      </c>
      <c r="J5330" s="56" t="n">
        <v>0</v>
      </c>
      <c r="K5330" s="56" t="n">
        <v>1020.7</v>
      </c>
      <c r="L5330" s="56" t="n">
        <v>0</v>
      </c>
      <c r="M5330" s="56" t="n">
        <v>65</v>
      </c>
      <c r="N5330" s="56" t="n">
        <v>12.5</v>
      </c>
      <c r="O5330" s="56" t="n">
        <f aca="false">IF(D5330=1,"",E5329)</f>
        <v>28.5</v>
      </c>
      <c r="P5330" s="56" t="n">
        <f aca="false">IF(OR(D5330=1,K5329=""),"",K5329)</f>
        <v>1027</v>
      </c>
      <c r="Q5330" s="56" t="n">
        <f aca="false">IF(OR(F5330&lt;&gt;0,AND(I5330&lt;&gt;"",E5330&lt;I5330)),1,0)</f>
        <v>0</v>
      </c>
      <c r="R5330" s="56" t="n">
        <f aca="false">IF(AND(D5330&gt;1,Q5330=0,ISNUMBER(O5330),ISNUMBER(P5330)),IF(Q5329=0,1,0),0)</f>
        <v>1</v>
      </c>
      <c r="S5330" s="56" t="n">
        <f aca="false">R5330*(B5330&gt;=Train_Start)*(B5330&lt;=Train_End)</f>
        <v>0</v>
      </c>
      <c r="T5330" s="84" t="n">
        <f aca="false">IF(AND(ISNUMBER(O5330),ISNUMBER(P5330)),Coef_A+Coef_B1*O5330+Coef_B2*P5330,"")</f>
        <v>27.6550242128185</v>
      </c>
      <c r="U5330" s="84" t="n">
        <f aca="false">IF(AND(R5330=1,ISNUMBER(T5330)),E5330-T5330,"")</f>
        <v>1.84497578718145</v>
      </c>
      <c r="V5330" s="84" t="n">
        <f aca="false">IF(ISNUMBER(T5330),T5330,-99)</f>
        <v>27.6550242128185</v>
      </c>
      <c r="W5330" s="84" t="n">
        <f aca="false">IF(ISNUMBER(U5330),ABS(U5330),"")</f>
        <v>1.84497578718145</v>
      </c>
    </row>
    <row r="5331" customFormat="false" ht="15" hidden="false" customHeight="false" outlineLevel="0" collapsed="false">
      <c r="A5331" s="57" t="n">
        <v>41522</v>
      </c>
      <c r="B5331" s="56" t="n">
        <v>2013</v>
      </c>
      <c r="C5331" s="56" t="n">
        <v>9</v>
      </c>
      <c r="D5331" s="56" t="n">
        <v>128</v>
      </c>
      <c r="E5331" s="56" t="n">
        <v>18.1</v>
      </c>
      <c r="F5331" s="56" t="n">
        <v>1</v>
      </c>
      <c r="G5331" s="56" t="n">
        <v>14.4</v>
      </c>
      <c r="H5331" s="56" t="n">
        <v>0</v>
      </c>
      <c r="I5331" s="56" t="n">
        <v>22</v>
      </c>
      <c r="J5331" s="56" t="n">
        <v>1</v>
      </c>
      <c r="K5331" s="56" t="n">
        <v>1011.1</v>
      </c>
      <c r="L5331" s="56" t="n">
        <v>0</v>
      </c>
      <c r="M5331" s="56" t="n">
        <v>65</v>
      </c>
      <c r="N5331" s="56" t="n">
        <v>11.6</v>
      </c>
      <c r="O5331" s="56" t="n">
        <f aca="false">IF(D5331=1,"",E5330)</f>
        <v>29.5</v>
      </c>
      <c r="P5331" s="56" t="n">
        <f aca="false">IF(OR(D5331=1,K5330=""),"",K5330)</f>
        <v>1020.7</v>
      </c>
      <c r="Q5331" s="56" t="n">
        <f aca="false">IF(OR(F5331&lt;&gt;0,AND(I5331&lt;&gt;"",E5331&lt;I5331)),1,0)</f>
        <v>1</v>
      </c>
      <c r="R5331" s="56" t="n">
        <f aca="false">IF(AND(D5331&gt;1,Q5331=0,ISNUMBER(O5331),ISNUMBER(P5331)),IF(Q5330=0,1,0),0)</f>
        <v>0</v>
      </c>
      <c r="S5331" s="56" t="n">
        <f aca="false">R5331*(B5331&gt;=Train_Start)*(B5331&lt;=Train_End)</f>
        <v>0</v>
      </c>
      <c r="T5331" s="84" t="n">
        <f aca="false">IF(AND(ISNUMBER(O5331),ISNUMBER(P5331)),Coef_A+Coef_B1*O5331+Coef_B2*P5331,"")</f>
        <v>28.2767330696671</v>
      </c>
      <c r="U5331" s="84" t="str">
        <f aca="false">IF(AND(R5331=1,ISNUMBER(T5331)),E5331-T5331,"")</f>
        <v/>
      </c>
      <c r="V5331" s="84" t="n">
        <f aca="false">IF(ISNUMBER(T5331),T5331,-99)</f>
        <v>28.2767330696671</v>
      </c>
      <c r="W5331" s="84" t="str">
        <f aca="false">IF(ISNUMBER(U5331),ABS(U5331),"")</f>
        <v/>
      </c>
    </row>
    <row r="5332" customFormat="false" ht="15" hidden="false" customHeight="false" outlineLevel="0" collapsed="false">
      <c r="A5332" s="57" t="n">
        <v>41523</v>
      </c>
      <c r="B5332" s="56" t="n">
        <v>2013</v>
      </c>
      <c r="C5332" s="56" t="n">
        <v>9</v>
      </c>
      <c r="D5332" s="56" t="n">
        <v>129</v>
      </c>
      <c r="E5332" s="56" t="n">
        <v>19.5</v>
      </c>
      <c r="F5332" s="56" t="n">
        <v>0</v>
      </c>
      <c r="G5332" s="56" t="n">
        <v>14.2</v>
      </c>
      <c r="H5332" s="56" t="n">
        <v>0</v>
      </c>
      <c r="I5332" s="56" t="n">
        <v>16.2</v>
      </c>
      <c r="J5332" s="56" t="n">
        <v>0</v>
      </c>
      <c r="K5332" s="56" t="n">
        <v>1008.6</v>
      </c>
      <c r="L5332" s="56" t="n">
        <v>0</v>
      </c>
      <c r="M5332" s="56" t="n">
        <v>76</v>
      </c>
      <c r="N5332" s="56" t="n">
        <v>2.8</v>
      </c>
      <c r="O5332" s="56" t="n">
        <f aca="false">IF(D5332=1,"",E5331)</f>
        <v>18.1</v>
      </c>
      <c r="P5332" s="56" t="n">
        <f aca="false">IF(OR(D5332=1,K5331=""),"",K5331)</f>
        <v>1011.1</v>
      </c>
      <c r="Q5332" s="56" t="n">
        <f aca="false">IF(OR(F5332&lt;&gt;0,AND(I5332&lt;&gt;"",E5332&lt;I5332)),1,0)</f>
        <v>0</v>
      </c>
      <c r="R5332" s="56" t="n">
        <f aca="false">IF(AND(D5332&gt;1,Q5332=0,ISNUMBER(O5332),ISNUMBER(P5332)),IF(Q5331=0,1,0),0)</f>
        <v>0</v>
      </c>
      <c r="S5332" s="56" t="n">
        <f aca="false">R5332*(B5332&gt;=Train_Start)*(B5332&lt;=Train_End)</f>
        <v>0</v>
      </c>
      <c r="T5332" s="84" t="n">
        <f aca="false">IF(AND(ISNUMBER(O5332),ISNUMBER(P5332)),Coef_A+Coef_B1*O5332+Coef_B2*P5332,"")</f>
        <v>18.6351152804945</v>
      </c>
      <c r="U5332" s="84" t="str">
        <f aca="false">IF(AND(R5332=1,ISNUMBER(T5332)),E5332-T5332,"")</f>
        <v/>
      </c>
      <c r="V5332" s="84" t="n">
        <f aca="false">IF(ISNUMBER(T5332),T5332,-99)</f>
        <v>18.6351152804945</v>
      </c>
      <c r="W5332" s="84" t="str">
        <f aca="false">IF(ISNUMBER(U5332),ABS(U5332),"")</f>
        <v/>
      </c>
    </row>
    <row r="5333" customFormat="false" ht="15" hidden="false" customHeight="false" outlineLevel="0" collapsed="false">
      <c r="A5333" s="57" t="n">
        <v>41524</v>
      </c>
      <c r="B5333" s="56" t="n">
        <v>2013</v>
      </c>
      <c r="C5333" s="56" t="n">
        <v>9</v>
      </c>
      <c r="D5333" s="56" t="n">
        <v>130</v>
      </c>
      <c r="E5333" s="56" t="n">
        <v>18.5</v>
      </c>
      <c r="F5333" s="56" t="n">
        <v>0</v>
      </c>
      <c r="G5333" s="56" t="n">
        <v>10.9</v>
      </c>
      <c r="H5333" s="56" t="n">
        <v>0</v>
      </c>
      <c r="I5333" s="56" t="n">
        <v>15.2</v>
      </c>
      <c r="J5333" s="56" t="n">
        <v>0</v>
      </c>
      <c r="K5333" s="56" t="n">
        <v>1014</v>
      </c>
      <c r="L5333" s="56" t="n">
        <v>0</v>
      </c>
      <c r="M5333" s="56" t="n">
        <v>69</v>
      </c>
      <c r="N5333" s="56" t="n">
        <v>6.1</v>
      </c>
      <c r="O5333" s="56" t="n">
        <f aca="false">IF(D5333=1,"",E5332)</f>
        <v>19.5</v>
      </c>
      <c r="P5333" s="56" t="n">
        <f aca="false">IF(OR(D5333=1,K5332=""),"",K5332)</f>
        <v>1008.6</v>
      </c>
      <c r="Q5333" s="56" t="n">
        <f aca="false">IF(OR(F5333&lt;&gt;0,AND(I5333&lt;&gt;"",E5333&lt;I5333)),1,0)</f>
        <v>0</v>
      </c>
      <c r="R5333" s="56" t="n">
        <f aca="false">IF(AND(D5333&gt;1,Q5333=0,ISNUMBER(O5333),ISNUMBER(P5333)),IF(Q5332=0,1,0),0)</f>
        <v>1</v>
      </c>
      <c r="S5333" s="56" t="n">
        <f aca="false">R5333*(B5333&gt;=Train_Start)*(B5333&lt;=Train_End)</f>
        <v>0</v>
      </c>
      <c r="T5333" s="84" t="n">
        <f aca="false">IF(AND(ISNUMBER(O5333),ISNUMBER(P5333)),Coef_A+Coef_B1*O5333+Coef_B2*P5333,"")</f>
        <v>19.7037654141692</v>
      </c>
      <c r="U5333" s="84" t="n">
        <f aca="false">IF(AND(R5333=1,ISNUMBER(T5333)),E5333-T5333,"")</f>
        <v>-1.20376541416923</v>
      </c>
      <c r="V5333" s="84" t="n">
        <f aca="false">IF(ISNUMBER(T5333),T5333,-99)</f>
        <v>19.7037654141692</v>
      </c>
      <c r="W5333" s="84" t="n">
        <f aca="false">IF(ISNUMBER(U5333),ABS(U5333),"")</f>
        <v>1.20376541416923</v>
      </c>
    </row>
    <row r="5334" customFormat="false" ht="15" hidden="false" customHeight="false" outlineLevel="0" collapsed="false">
      <c r="A5334" s="57" t="n">
        <v>41525</v>
      </c>
      <c r="B5334" s="56" t="n">
        <v>2013</v>
      </c>
      <c r="C5334" s="56" t="n">
        <v>9</v>
      </c>
      <c r="D5334" s="56" t="n">
        <v>131</v>
      </c>
      <c r="E5334" s="56" t="n">
        <v>14.1</v>
      </c>
      <c r="F5334" s="56" t="n">
        <v>0</v>
      </c>
      <c r="G5334" s="56" t="n">
        <v>8</v>
      </c>
      <c r="H5334" s="56" t="n">
        <v>0</v>
      </c>
      <c r="I5334" s="56" t="n">
        <v>13.3</v>
      </c>
      <c r="J5334" s="56" t="n">
        <v>0</v>
      </c>
      <c r="K5334" s="56" t="n">
        <v>1018</v>
      </c>
      <c r="L5334" s="56" t="n">
        <v>0</v>
      </c>
      <c r="M5334" s="56" t="n">
        <v>79</v>
      </c>
      <c r="N5334" s="56" t="n">
        <v>5.3</v>
      </c>
      <c r="O5334" s="56" t="n">
        <f aca="false">IF(D5334=1,"",E5333)</f>
        <v>18.5</v>
      </c>
      <c r="P5334" s="56" t="n">
        <f aca="false">IF(OR(D5334=1,K5333=""),"",K5333)</f>
        <v>1014</v>
      </c>
      <c r="Q5334" s="56" t="n">
        <f aca="false">IF(OR(F5334&lt;&gt;0,AND(I5334&lt;&gt;"",E5334&lt;I5334)),1,0)</f>
        <v>0</v>
      </c>
      <c r="R5334" s="56" t="n">
        <f aca="false">IF(AND(D5334&gt;1,Q5334=0,ISNUMBER(O5334),ISNUMBER(P5334)),IF(Q5333=0,1,0),0)</f>
        <v>1</v>
      </c>
      <c r="S5334" s="56" t="n">
        <f aca="false">R5334*(B5334&gt;=Train_Start)*(B5334&lt;=Train_End)</f>
        <v>0</v>
      </c>
      <c r="T5334" s="84" t="n">
        <f aca="false">IF(AND(ISNUMBER(O5334),ISNUMBER(P5334)),Coef_A+Coef_B1*O5334+Coef_B2*P5334,"")</f>
        <v>19.0538236521501</v>
      </c>
      <c r="U5334" s="84" t="n">
        <f aca="false">IF(AND(R5334=1,ISNUMBER(T5334)),E5334-T5334,"")</f>
        <v>-4.95382365215011</v>
      </c>
      <c r="V5334" s="84" t="n">
        <f aca="false">IF(ISNUMBER(T5334),T5334,-99)</f>
        <v>19.0538236521501</v>
      </c>
      <c r="W5334" s="84" t="n">
        <f aca="false">IF(ISNUMBER(U5334),ABS(U5334),"")</f>
        <v>4.95382365215011</v>
      </c>
    </row>
    <row r="5335" customFormat="false" ht="15" hidden="false" customHeight="false" outlineLevel="0" collapsed="false">
      <c r="A5335" s="57" t="n">
        <v>41526</v>
      </c>
      <c r="B5335" s="56" t="n">
        <v>2013</v>
      </c>
      <c r="C5335" s="56" t="n">
        <v>9</v>
      </c>
      <c r="D5335" s="56" t="n">
        <v>132</v>
      </c>
      <c r="E5335" s="56" t="n">
        <v>17.2</v>
      </c>
      <c r="F5335" s="56" t="n">
        <v>0</v>
      </c>
      <c r="G5335" s="56" t="n">
        <v>9</v>
      </c>
      <c r="H5335" s="56" t="n">
        <v>0</v>
      </c>
      <c r="I5335" s="56" t="n">
        <v>11.6</v>
      </c>
      <c r="J5335" s="56" t="n">
        <v>0</v>
      </c>
      <c r="K5335" s="56" t="n">
        <v>1016.6</v>
      </c>
      <c r="L5335" s="56" t="n">
        <v>0</v>
      </c>
      <c r="M5335" s="56" t="n">
        <v>90</v>
      </c>
      <c r="N5335" s="56" t="n">
        <v>0.1</v>
      </c>
      <c r="O5335" s="56" t="n">
        <f aca="false">IF(D5335=1,"",E5334)</f>
        <v>14.1</v>
      </c>
      <c r="P5335" s="56" t="n">
        <f aca="false">IF(OR(D5335=1,K5334=""),"",K5334)</f>
        <v>1018</v>
      </c>
      <c r="Q5335" s="56" t="n">
        <f aca="false">IF(OR(F5335&lt;&gt;0,AND(I5335&lt;&gt;"",E5335&lt;I5335)),1,0)</f>
        <v>0</v>
      </c>
      <c r="R5335" s="56" t="n">
        <f aca="false">IF(AND(D5335&gt;1,Q5335=0,ISNUMBER(O5335),ISNUMBER(P5335)),IF(Q5334=0,1,0),0)</f>
        <v>1</v>
      </c>
      <c r="S5335" s="56" t="n">
        <f aca="false">R5335*(B5335&gt;=Train_Start)*(B5335&lt;=Train_End)</f>
        <v>0</v>
      </c>
      <c r="T5335" s="84" t="n">
        <f aca="false">IF(AND(ISNUMBER(O5335),ISNUMBER(P5335)),Coef_A+Coef_B1*O5335+Coef_B2*P5335,"")</f>
        <v>15.5742107812984</v>
      </c>
      <c r="U5335" s="84" t="n">
        <f aca="false">IF(AND(R5335=1,ISNUMBER(T5335)),E5335-T5335,"")</f>
        <v>1.62578921870163</v>
      </c>
      <c r="V5335" s="84" t="n">
        <f aca="false">IF(ISNUMBER(T5335),T5335,-99)</f>
        <v>15.5742107812984</v>
      </c>
      <c r="W5335" s="84" t="n">
        <f aca="false">IF(ISNUMBER(U5335),ABS(U5335),"")</f>
        <v>1.62578921870163</v>
      </c>
    </row>
    <row r="5336" customFormat="false" ht="15" hidden="false" customHeight="false" outlineLevel="0" collapsed="false">
      <c r="A5336" s="57" t="n">
        <v>41527</v>
      </c>
      <c r="B5336" s="56" t="n">
        <v>2013</v>
      </c>
      <c r="C5336" s="56" t="n">
        <v>9</v>
      </c>
      <c r="D5336" s="56" t="n">
        <v>133</v>
      </c>
      <c r="E5336" s="56" t="n">
        <v>17.4</v>
      </c>
      <c r="F5336" s="56" t="n">
        <v>0</v>
      </c>
      <c r="G5336" s="56" t="n">
        <v>9</v>
      </c>
      <c r="H5336" s="56" t="n">
        <v>0</v>
      </c>
      <c r="I5336" s="56" t="n">
        <v>13.1</v>
      </c>
      <c r="J5336" s="56" t="n">
        <v>0</v>
      </c>
      <c r="K5336" s="56" t="n">
        <v>1020.4</v>
      </c>
      <c r="L5336" s="56" t="n">
        <v>0</v>
      </c>
      <c r="M5336" s="56" t="n">
        <v>73</v>
      </c>
      <c r="N5336" s="56" t="n">
        <v>4</v>
      </c>
      <c r="O5336" s="56" t="n">
        <f aca="false">IF(D5336=1,"",E5335)</f>
        <v>17.2</v>
      </c>
      <c r="P5336" s="56" t="n">
        <f aca="false">IF(OR(D5336=1,K5335=""),"",K5335)</f>
        <v>1016.6</v>
      </c>
      <c r="Q5336" s="56" t="n">
        <f aca="false">IF(OR(F5336&lt;&gt;0,AND(I5336&lt;&gt;"",E5336&lt;I5336)),1,0)</f>
        <v>0</v>
      </c>
      <c r="R5336" s="56" t="n">
        <f aca="false">IF(AND(D5336&gt;1,Q5336=0,ISNUMBER(O5336),ISNUMBER(P5336)),IF(Q5335=0,1,0),0)</f>
        <v>1</v>
      </c>
      <c r="S5336" s="56" t="n">
        <f aca="false">R5336*(B5336&gt;=Train_Start)*(B5336&lt;=Train_End)</f>
        <v>0</v>
      </c>
      <c r="T5336" s="84" t="n">
        <f aca="false">IF(AND(ISNUMBER(O5336),ISNUMBER(P5336)),Coef_A+Coef_B1*O5336+Coef_B2*P5336,"")</f>
        <v>18.070244427243</v>
      </c>
      <c r="U5336" s="84" t="n">
        <f aca="false">IF(AND(R5336=1,ISNUMBER(T5336)),E5336-T5336,"")</f>
        <v>-0.670244427243027</v>
      </c>
      <c r="V5336" s="84" t="n">
        <f aca="false">IF(ISNUMBER(T5336),T5336,-99)</f>
        <v>18.070244427243</v>
      </c>
      <c r="W5336" s="84" t="n">
        <f aca="false">IF(ISNUMBER(U5336),ABS(U5336),"")</f>
        <v>0.670244427243027</v>
      </c>
    </row>
    <row r="5337" customFormat="false" ht="15" hidden="false" customHeight="false" outlineLevel="0" collapsed="false">
      <c r="A5337" s="57" t="n">
        <v>41528</v>
      </c>
      <c r="B5337" s="56" t="n">
        <v>2013</v>
      </c>
      <c r="C5337" s="56" t="n">
        <v>9</v>
      </c>
      <c r="D5337" s="56" t="n">
        <v>134</v>
      </c>
      <c r="E5337" s="56" t="n">
        <v>20.5</v>
      </c>
      <c r="F5337" s="56" t="n">
        <v>0</v>
      </c>
      <c r="G5337" s="56" t="n">
        <v>11.9</v>
      </c>
      <c r="H5337" s="56" t="n">
        <v>0</v>
      </c>
      <c r="I5337" s="56" t="n">
        <v>14.7</v>
      </c>
      <c r="J5337" s="56" t="n">
        <v>0</v>
      </c>
      <c r="K5337" s="56" t="n">
        <v>1021.2</v>
      </c>
      <c r="L5337" s="56" t="n">
        <v>0</v>
      </c>
      <c r="M5337" s="56" t="n">
        <v>75</v>
      </c>
      <c r="N5337" s="56" t="n">
        <v>0.8</v>
      </c>
      <c r="O5337" s="56" t="n">
        <f aca="false">IF(D5337=1,"",E5336)</f>
        <v>17.4</v>
      </c>
      <c r="P5337" s="56" t="n">
        <f aca="false">IF(OR(D5337=1,K5336=""),"",K5336)</f>
        <v>1020.4</v>
      </c>
      <c r="Q5337" s="56" t="n">
        <f aca="false">IF(OR(F5337&lt;&gt;0,AND(I5337&lt;&gt;"",E5337&lt;I5337)),1,0)</f>
        <v>0</v>
      </c>
      <c r="R5337" s="56" t="n">
        <f aca="false">IF(AND(D5337&gt;1,Q5337=0,ISNUMBER(O5337),ISNUMBER(P5337)),IF(Q5336=0,1,0),0)</f>
        <v>1</v>
      </c>
      <c r="S5337" s="56" t="n">
        <f aca="false">R5337*(B5337&gt;=Train_Start)*(B5337&lt;=Train_End)</f>
        <v>0</v>
      </c>
      <c r="T5337" s="84" t="n">
        <f aca="false">IF(AND(ISNUMBER(O5337),ISNUMBER(P5337)),Coef_A+Coef_B1*O5337+Coef_B2*P5337,"")</f>
        <v>18.3533178654607</v>
      </c>
      <c r="U5337" s="84" t="n">
        <f aca="false">IF(AND(R5337=1,ISNUMBER(T5337)),E5337-T5337,"")</f>
        <v>2.14668213453928</v>
      </c>
      <c r="V5337" s="84" t="n">
        <f aca="false">IF(ISNUMBER(T5337),T5337,-99)</f>
        <v>18.3533178654607</v>
      </c>
      <c r="W5337" s="84" t="n">
        <f aca="false">IF(ISNUMBER(U5337),ABS(U5337),"")</f>
        <v>2.14668213453928</v>
      </c>
    </row>
    <row r="5338" customFormat="false" ht="15" hidden="false" customHeight="false" outlineLevel="0" collapsed="false">
      <c r="A5338" s="57" t="n">
        <v>41529</v>
      </c>
      <c r="B5338" s="56" t="n">
        <v>2013</v>
      </c>
      <c r="C5338" s="56" t="n">
        <v>9</v>
      </c>
      <c r="D5338" s="56" t="n">
        <v>135</v>
      </c>
      <c r="E5338" s="56" t="n">
        <v>19.6</v>
      </c>
      <c r="F5338" s="56" t="n">
        <v>0</v>
      </c>
      <c r="G5338" s="56" t="n">
        <v>12.5</v>
      </c>
      <c r="H5338" s="56" t="n">
        <v>0</v>
      </c>
      <c r="I5338" s="56" t="n">
        <v>16.5</v>
      </c>
      <c r="J5338" s="56" t="n">
        <v>0</v>
      </c>
      <c r="K5338" s="56" t="n">
        <v>1019.3</v>
      </c>
      <c r="L5338" s="56" t="n">
        <v>0</v>
      </c>
      <c r="M5338" s="56" t="n">
        <v>86</v>
      </c>
      <c r="N5338" s="56" t="n">
        <v>0.8</v>
      </c>
      <c r="O5338" s="56" t="n">
        <f aca="false">IF(D5338=1,"",E5337)</f>
        <v>20.5</v>
      </c>
      <c r="P5338" s="56" t="n">
        <f aca="false">IF(OR(D5338=1,K5337=""),"",K5337)</f>
        <v>1021.2</v>
      </c>
      <c r="Q5338" s="56" t="n">
        <f aca="false">IF(OR(F5338&lt;&gt;0,AND(I5338&lt;&gt;"",E5338&lt;I5338)),1,0)</f>
        <v>0</v>
      </c>
      <c r="R5338" s="56" t="n">
        <f aca="false">IF(AND(D5338&gt;1,Q5338=0,ISNUMBER(O5338),ISNUMBER(P5338)),IF(Q5337=0,1,0),0)</f>
        <v>1</v>
      </c>
      <c r="S5338" s="56" t="n">
        <f aca="false">R5338*(B5338&gt;=Train_Start)*(B5338&lt;=Train_End)</f>
        <v>0</v>
      </c>
      <c r="T5338" s="84" t="n">
        <f aca="false">IF(AND(ISNUMBER(O5338),ISNUMBER(P5338)),Coef_A+Coef_B1*O5338+Coef_B2*P5338,"")</f>
        <v>20.9183652796001</v>
      </c>
      <c r="U5338" s="84" t="n">
        <f aca="false">IF(AND(R5338=1,ISNUMBER(T5338)),E5338-T5338,"")</f>
        <v>-1.31836527960014</v>
      </c>
      <c r="V5338" s="84" t="n">
        <f aca="false">IF(ISNUMBER(T5338),T5338,-99)</f>
        <v>20.9183652796001</v>
      </c>
      <c r="W5338" s="84" t="n">
        <f aca="false">IF(ISNUMBER(U5338),ABS(U5338),"")</f>
        <v>1.31836527960014</v>
      </c>
    </row>
    <row r="5339" customFormat="false" ht="15" hidden="false" customHeight="false" outlineLevel="0" collapsed="false">
      <c r="A5339" s="57" t="n">
        <v>41530</v>
      </c>
      <c r="B5339" s="56" t="n">
        <v>2013</v>
      </c>
      <c r="C5339" s="56" t="n">
        <v>9</v>
      </c>
      <c r="D5339" s="56" t="n">
        <v>136</v>
      </c>
      <c r="E5339" s="56" t="n">
        <v>14.2</v>
      </c>
      <c r="F5339" s="56" t="n">
        <v>1</v>
      </c>
      <c r="G5339" s="56" t="n">
        <v>14.2</v>
      </c>
      <c r="H5339" s="56" t="n">
        <v>0</v>
      </c>
      <c r="I5339" s="56" t="n">
        <v>16.9</v>
      </c>
      <c r="J5339" s="56" t="n">
        <v>1</v>
      </c>
      <c r="K5339" s="56" t="n">
        <v>1016.8</v>
      </c>
      <c r="L5339" s="56" t="n">
        <v>0</v>
      </c>
      <c r="M5339" s="56" t="n">
        <v>94</v>
      </c>
      <c r="N5339" s="56" t="n">
        <v>0.1</v>
      </c>
      <c r="O5339" s="56" t="n">
        <f aca="false">IF(D5339=1,"",E5338)</f>
        <v>19.6</v>
      </c>
      <c r="P5339" s="56" t="n">
        <f aca="false">IF(OR(D5339=1,K5338=""),"",K5338)</f>
        <v>1019.3</v>
      </c>
      <c r="Q5339" s="56" t="n">
        <f aca="false">IF(OR(F5339&lt;&gt;0,AND(I5339&lt;&gt;"",E5339&lt;I5339)),1,0)</f>
        <v>1</v>
      </c>
      <c r="R5339" s="56" t="n">
        <f aca="false">IF(AND(D5339&gt;1,Q5339=0,ISNUMBER(O5339),ISNUMBER(P5339)),IF(Q5338=0,1,0),0)</f>
        <v>0</v>
      </c>
      <c r="S5339" s="56" t="n">
        <f aca="false">R5339*(B5339&gt;=Train_Start)*(B5339&lt;=Train_End)</f>
        <v>0</v>
      </c>
      <c r="T5339" s="84" t="n">
        <f aca="false">IF(AND(ISNUMBER(O5339),ISNUMBER(P5339)),Coef_A+Coef_B1*O5339+Coef_B2*P5339,"")</f>
        <v>20.1213572060572</v>
      </c>
      <c r="U5339" s="84" t="str">
        <f aca="false">IF(AND(R5339=1,ISNUMBER(T5339)),E5339-T5339,"")</f>
        <v/>
      </c>
      <c r="V5339" s="84" t="n">
        <f aca="false">IF(ISNUMBER(T5339),T5339,-99)</f>
        <v>20.1213572060572</v>
      </c>
      <c r="W5339" s="84" t="str">
        <f aca="false">IF(ISNUMBER(U5339),ABS(U5339),"")</f>
        <v/>
      </c>
    </row>
    <row r="5340" customFormat="false" ht="15" hidden="false" customHeight="false" outlineLevel="0" collapsed="false">
      <c r="A5340" s="57" t="n">
        <v>41531</v>
      </c>
      <c r="B5340" s="56" t="n">
        <v>2013</v>
      </c>
      <c r="C5340" s="56" t="n">
        <v>9</v>
      </c>
      <c r="D5340" s="56" t="n">
        <v>137</v>
      </c>
      <c r="E5340" s="56" t="n">
        <v>16.2</v>
      </c>
      <c r="F5340" s="56" t="n">
        <v>0</v>
      </c>
      <c r="G5340" s="56" t="n">
        <v>9.2</v>
      </c>
      <c r="H5340" s="56" t="n">
        <v>0</v>
      </c>
      <c r="I5340" s="56" t="n">
        <v>11.7</v>
      </c>
      <c r="J5340" s="56" t="n">
        <v>0</v>
      </c>
      <c r="K5340" s="56" t="n">
        <v>1016.1</v>
      </c>
      <c r="L5340" s="56" t="n">
        <v>0</v>
      </c>
      <c r="M5340" s="56" t="n">
        <v>85</v>
      </c>
      <c r="N5340" s="56" t="n">
        <v>0</v>
      </c>
      <c r="O5340" s="56" t="n">
        <f aca="false">IF(D5340=1,"",E5339)</f>
        <v>14.2</v>
      </c>
      <c r="P5340" s="56" t="n">
        <f aca="false">IF(OR(D5340=1,K5339=""),"",K5339)</f>
        <v>1016.8</v>
      </c>
      <c r="Q5340" s="56" t="n">
        <f aca="false">IF(OR(F5340&lt;&gt;0,AND(I5340&lt;&gt;"",E5340&lt;I5340)),1,0)</f>
        <v>0</v>
      </c>
      <c r="R5340" s="56" t="n">
        <f aca="false">IF(AND(D5340&gt;1,Q5340=0,ISNUMBER(O5340),ISNUMBER(P5340)),IF(Q5339=0,1,0),0)</f>
        <v>0</v>
      </c>
      <c r="S5340" s="56" t="n">
        <f aca="false">R5340*(B5340&gt;=Train_Start)*(B5340&lt;=Train_End)</f>
        <v>0</v>
      </c>
      <c r="T5340" s="84" t="n">
        <f aca="false">IF(AND(ISNUMBER(O5340),ISNUMBER(P5340)),Coef_A+Coef_B1*O5340+Coef_B2*P5340,"")</f>
        <v>15.6185008270419</v>
      </c>
      <c r="U5340" s="84" t="str">
        <f aca="false">IF(AND(R5340=1,ISNUMBER(T5340)),E5340-T5340,"")</f>
        <v/>
      </c>
      <c r="V5340" s="84" t="n">
        <f aca="false">IF(ISNUMBER(T5340),T5340,-99)</f>
        <v>15.6185008270419</v>
      </c>
      <c r="W5340" s="84" t="str">
        <f aca="false">IF(ISNUMBER(U5340),ABS(U5340),"")</f>
        <v/>
      </c>
    </row>
    <row r="5341" customFormat="false" ht="15" hidden="false" customHeight="false" outlineLevel="0" collapsed="false">
      <c r="A5341" s="57" t="n">
        <v>41532</v>
      </c>
      <c r="B5341" s="56" t="n">
        <v>2013</v>
      </c>
      <c r="C5341" s="56" t="n">
        <v>9</v>
      </c>
      <c r="D5341" s="56" t="n">
        <v>138</v>
      </c>
      <c r="E5341" s="56" t="n">
        <v>15.2</v>
      </c>
      <c r="F5341" s="56" t="n">
        <v>0</v>
      </c>
      <c r="G5341" s="56" t="n">
        <v>6.6</v>
      </c>
      <c r="H5341" s="56" t="n">
        <v>0</v>
      </c>
      <c r="I5341" s="56" t="n">
        <v>11.4</v>
      </c>
      <c r="J5341" s="56" t="n">
        <v>0</v>
      </c>
      <c r="K5341" s="56" t="n">
        <v>1009.7</v>
      </c>
      <c r="L5341" s="56" t="n">
        <v>0</v>
      </c>
      <c r="M5341" s="56" t="n">
        <v>84</v>
      </c>
      <c r="N5341" s="56" t="n">
        <v>3.5</v>
      </c>
      <c r="O5341" s="56" t="n">
        <f aca="false">IF(D5341=1,"",E5340)</f>
        <v>16.2</v>
      </c>
      <c r="P5341" s="56" t="n">
        <f aca="false">IF(OR(D5341=1,K5340=""),"",K5340)</f>
        <v>1016.1</v>
      </c>
      <c r="Q5341" s="56" t="n">
        <f aca="false">IF(OR(F5341&lt;&gt;0,AND(I5341&lt;&gt;"",E5341&lt;I5341)),1,0)</f>
        <v>0</v>
      </c>
      <c r="R5341" s="56" t="n">
        <f aca="false">IF(AND(D5341&gt;1,Q5341=0,ISNUMBER(O5341),ISNUMBER(P5341)),IF(Q5340=0,1,0),0)</f>
        <v>1</v>
      </c>
      <c r="S5341" s="56" t="n">
        <f aca="false">R5341*(B5341&gt;=Train_Start)*(B5341&lt;=Train_End)</f>
        <v>0</v>
      </c>
      <c r="T5341" s="84" t="n">
        <f aca="false">IF(AND(ISNUMBER(O5341),ISNUMBER(P5341)),Coef_A+Coef_B1*O5341+Coef_B2*P5341,"")</f>
        <v>17.2352202868834</v>
      </c>
      <c r="U5341" s="84" t="n">
        <f aca="false">IF(AND(R5341=1,ISNUMBER(T5341)),E5341-T5341,"")</f>
        <v>-2.03522028688338</v>
      </c>
      <c r="V5341" s="84" t="n">
        <f aca="false">IF(ISNUMBER(T5341),T5341,-99)</f>
        <v>17.2352202868834</v>
      </c>
      <c r="W5341" s="84" t="n">
        <f aca="false">IF(ISNUMBER(U5341),ABS(U5341),"")</f>
        <v>2.03522028688338</v>
      </c>
    </row>
    <row r="5342" customFormat="false" ht="15" hidden="false" customHeight="false" outlineLevel="0" collapsed="false">
      <c r="A5342" s="57" t="n">
        <v>41533</v>
      </c>
      <c r="B5342" s="56" t="n">
        <v>2013</v>
      </c>
      <c r="C5342" s="56" t="n">
        <v>9</v>
      </c>
      <c r="D5342" s="56" t="n">
        <v>139</v>
      </c>
      <c r="E5342" s="56" t="n">
        <v>14.8</v>
      </c>
      <c r="F5342" s="56" t="n">
        <v>0</v>
      </c>
      <c r="G5342" s="56" t="n">
        <v>7.9</v>
      </c>
      <c r="H5342" s="56" t="n">
        <v>0</v>
      </c>
      <c r="I5342" s="56" t="n">
        <v>11.6</v>
      </c>
      <c r="J5342" s="56" t="n">
        <v>0</v>
      </c>
      <c r="K5342" s="56" t="n">
        <v>1003.1</v>
      </c>
      <c r="L5342" s="56" t="n">
        <v>0</v>
      </c>
      <c r="M5342" s="56" t="n">
        <v>64</v>
      </c>
      <c r="N5342" s="56" t="n">
        <v>9.4</v>
      </c>
      <c r="O5342" s="56" t="n">
        <f aca="false">IF(D5342=1,"",E5341)</f>
        <v>15.2</v>
      </c>
      <c r="P5342" s="56" t="n">
        <f aca="false">IF(OR(D5342=1,K5341=""),"",K5341)</f>
        <v>1009.7</v>
      </c>
      <c r="Q5342" s="56" t="n">
        <f aca="false">IF(OR(F5342&lt;&gt;0,AND(I5342&lt;&gt;"",E5342&lt;I5342)),1,0)</f>
        <v>0</v>
      </c>
      <c r="R5342" s="56" t="n">
        <f aca="false">IF(AND(D5342&gt;1,Q5342=0,ISNUMBER(O5342),ISNUMBER(P5342)),IF(Q5341=0,1,0),0)</f>
        <v>1</v>
      </c>
      <c r="S5342" s="56" t="n">
        <f aca="false">R5342*(B5342&gt;=Train_Start)*(B5342&lt;=Train_End)</f>
        <v>0</v>
      </c>
      <c r="T5342" s="84" t="n">
        <f aca="false">IF(AND(ISNUMBER(O5342),ISNUMBER(P5342)),Coef_A+Coef_B1*O5342+Coef_B2*P5342,"")</f>
        <v>16.2151137681832</v>
      </c>
      <c r="U5342" s="84" t="n">
        <f aca="false">IF(AND(R5342=1,ISNUMBER(T5342)),E5342-T5342,"")</f>
        <v>-1.41511376818318</v>
      </c>
      <c r="V5342" s="84" t="n">
        <f aca="false">IF(ISNUMBER(T5342),T5342,-99)</f>
        <v>16.2151137681832</v>
      </c>
      <c r="W5342" s="84" t="n">
        <f aca="false">IF(ISNUMBER(U5342),ABS(U5342),"")</f>
        <v>1.41511376818318</v>
      </c>
    </row>
    <row r="5343" customFormat="false" ht="15" hidden="false" customHeight="false" outlineLevel="0" collapsed="false">
      <c r="A5343" s="57" t="n">
        <v>41534</v>
      </c>
      <c r="B5343" s="56" t="n">
        <v>2013</v>
      </c>
      <c r="C5343" s="56" t="n">
        <v>9</v>
      </c>
      <c r="D5343" s="56" t="n">
        <v>140</v>
      </c>
      <c r="E5343" s="56" t="n">
        <v>16.3</v>
      </c>
      <c r="F5343" s="56" t="n">
        <v>0</v>
      </c>
      <c r="G5343" s="56" t="n">
        <v>8</v>
      </c>
      <c r="H5343" s="56" t="n">
        <v>0</v>
      </c>
      <c r="I5343" s="56" t="n">
        <v>11.4</v>
      </c>
      <c r="J5343" s="56" t="n">
        <v>0</v>
      </c>
      <c r="K5343" s="56" t="n">
        <v>1000</v>
      </c>
      <c r="L5343" s="56" t="n">
        <v>0</v>
      </c>
      <c r="M5343" s="56" t="n">
        <v>83</v>
      </c>
      <c r="N5343" s="56" t="n">
        <v>0.5</v>
      </c>
      <c r="O5343" s="56" t="n">
        <f aca="false">IF(D5343=1,"",E5342)</f>
        <v>14.8</v>
      </c>
      <c r="P5343" s="56" t="n">
        <f aca="false">IF(OR(D5343=1,K5342=""),"",K5342)</f>
        <v>1003.1</v>
      </c>
      <c r="Q5343" s="56" t="n">
        <f aca="false">IF(OR(F5343&lt;&gt;0,AND(I5343&lt;&gt;"",E5343&lt;I5343)),1,0)</f>
        <v>0</v>
      </c>
      <c r="R5343" s="56" t="n">
        <f aca="false">IF(AND(D5343&gt;1,Q5343=0,ISNUMBER(O5343),ISNUMBER(P5343)),IF(Q5342=0,1,0),0)</f>
        <v>1</v>
      </c>
      <c r="S5343" s="56" t="n">
        <f aca="false">R5343*(B5343&gt;=Train_Start)*(B5343&lt;=Train_End)</f>
        <v>0</v>
      </c>
      <c r="T5343" s="84" t="n">
        <f aca="false">IF(AND(ISNUMBER(O5343),ISNUMBER(P5343)),Coef_A+Coef_B1*O5343+Coef_B2*P5343,"")</f>
        <v>15.6803367863818</v>
      </c>
      <c r="U5343" s="84" t="n">
        <f aca="false">IF(AND(R5343=1,ISNUMBER(T5343)),E5343-T5343,"")</f>
        <v>0.61966321361821</v>
      </c>
      <c r="V5343" s="84" t="n">
        <f aca="false">IF(ISNUMBER(T5343),T5343,-99)</f>
        <v>15.6803367863818</v>
      </c>
      <c r="W5343" s="84" t="n">
        <f aca="false">IF(ISNUMBER(U5343),ABS(U5343),"")</f>
        <v>0.61966321361821</v>
      </c>
    </row>
    <row r="5344" customFormat="false" ht="15" hidden="false" customHeight="false" outlineLevel="0" collapsed="false">
      <c r="A5344" s="57" t="n">
        <v>41535</v>
      </c>
      <c r="B5344" s="56" t="n">
        <v>2013</v>
      </c>
      <c r="C5344" s="56" t="n">
        <v>9</v>
      </c>
      <c r="D5344" s="56" t="n">
        <v>141</v>
      </c>
      <c r="E5344" s="56" t="n">
        <v>17.5</v>
      </c>
      <c r="F5344" s="56" t="n">
        <v>0</v>
      </c>
      <c r="G5344" s="56" t="n">
        <v>10.7</v>
      </c>
      <c r="H5344" s="56" t="n">
        <v>0</v>
      </c>
      <c r="I5344" s="56" t="n">
        <v>13.5</v>
      </c>
      <c r="J5344" s="56" t="n">
        <v>0</v>
      </c>
      <c r="K5344" s="56" t="n">
        <v>1004.3</v>
      </c>
      <c r="L5344" s="56" t="n">
        <v>0</v>
      </c>
      <c r="M5344" s="56" t="n">
        <v>74</v>
      </c>
      <c r="N5344" s="56" t="n">
        <v>4.1</v>
      </c>
      <c r="O5344" s="56" t="n">
        <f aca="false">IF(D5344=1,"",E5343)</f>
        <v>16.3</v>
      </c>
      <c r="P5344" s="56" t="n">
        <f aca="false">IF(OR(D5344=1,K5343=""),"",K5343)</f>
        <v>1000</v>
      </c>
      <c r="Q5344" s="56" t="n">
        <f aca="false">IF(OR(F5344&lt;&gt;0,AND(I5344&lt;&gt;"",E5344&lt;I5344)),1,0)</f>
        <v>0</v>
      </c>
      <c r="R5344" s="56" t="n">
        <f aca="false">IF(AND(D5344&gt;1,Q5344=0,ISNUMBER(O5344),ISNUMBER(P5344)),IF(Q5343=0,1,0),0)</f>
        <v>1</v>
      </c>
      <c r="S5344" s="56" t="n">
        <f aca="false">R5344*(B5344&gt;=Train_Start)*(B5344&lt;=Train_End)</f>
        <v>0</v>
      </c>
      <c r="T5344" s="84" t="n">
        <f aca="false">IF(AND(ISNUMBER(O5344),ISNUMBER(P5344)),Coef_A+Coef_B1*O5344+Coef_B2*P5344,"")</f>
        <v>16.8120989025804</v>
      </c>
      <c r="U5344" s="84" t="n">
        <f aca="false">IF(AND(R5344=1,ISNUMBER(T5344)),E5344-T5344,"")</f>
        <v>0.687901097419591</v>
      </c>
      <c r="V5344" s="84" t="n">
        <f aca="false">IF(ISNUMBER(T5344),T5344,-99)</f>
        <v>16.8120989025804</v>
      </c>
      <c r="W5344" s="84" t="n">
        <f aca="false">IF(ISNUMBER(U5344),ABS(U5344),"")</f>
        <v>0.687901097419591</v>
      </c>
    </row>
    <row r="5345" customFormat="false" ht="15" hidden="false" customHeight="false" outlineLevel="0" collapsed="false">
      <c r="A5345" s="57" t="n">
        <v>41536</v>
      </c>
      <c r="B5345" s="56" t="n">
        <v>2013</v>
      </c>
      <c r="C5345" s="56" t="n">
        <v>9</v>
      </c>
      <c r="D5345" s="56" t="n">
        <v>142</v>
      </c>
      <c r="E5345" s="56" t="n">
        <v>19.2</v>
      </c>
      <c r="F5345" s="56" t="n">
        <v>0</v>
      </c>
      <c r="G5345" s="56" t="n">
        <v>7</v>
      </c>
      <c r="H5345" s="56" t="n">
        <v>0</v>
      </c>
      <c r="I5345" s="56" t="n">
        <v>12.3</v>
      </c>
      <c r="J5345" s="56" t="n">
        <v>0</v>
      </c>
      <c r="K5345" s="56" t="n">
        <v>1010.4</v>
      </c>
      <c r="L5345" s="56" t="n">
        <v>0</v>
      </c>
      <c r="M5345" s="56" t="n">
        <v>83</v>
      </c>
      <c r="N5345" s="56" t="n">
        <v>1.1</v>
      </c>
      <c r="O5345" s="56" t="n">
        <f aca="false">IF(D5345=1,"",E5344)</f>
        <v>17.5</v>
      </c>
      <c r="P5345" s="56" t="n">
        <f aca="false">IF(OR(D5345=1,K5344=""),"",K5344)</f>
        <v>1004.3</v>
      </c>
      <c r="Q5345" s="56" t="n">
        <f aca="false">IF(OR(F5345&lt;&gt;0,AND(I5345&lt;&gt;"",E5345&lt;I5345)),1,0)</f>
        <v>0</v>
      </c>
      <c r="R5345" s="56" t="n">
        <f aca="false">IF(AND(D5345&gt;1,Q5345=0,ISNUMBER(O5345),ISNUMBER(P5345)),IF(Q5344=0,1,0),0)</f>
        <v>1</v>
      </c>
      <c r="S5345" s="56" t="n">
        <f aca="false">R5345*(B5345&gt;=Train_Start)*(B5345&lt;=Train_End)</f>
        <v>0</v>
      </c>
      <c r="T5345" s="84" t="n">
        <f aca="false">IF(AND(ISNUMBER(O5345),ISNUMBER(P5345)),Coef_A+Coef_B1*O5345+Coef_B2*P5345,"")</f>
        <v>17.9301964811578</v>
      </c>
      <c r="U5345" s="84" t="n">
        <f aca="false">IF(AND(R5345=1,ISNUMBER(T5345)),E5345-T5345,"")</f>
        <v>1.26980351884225</v>
      </c>
      <c r="V5345" s="84" t="n">
        <f aca="false">IF(ISNUMBER(T5345),T5345,-99)</f>
        <v>17.9301964811578</v>
      </c>
      <c r="W5345" s="84" t="n">
        <f aca="false">IF(ISNUMBER(U5345),ABS(U5345),"")</f>
        <v>1.26980351884225</v>
      </c>
    </row>
    <row r="5346" customFormat="false" ht="15" hidden="false" customHeight="false" outlineLevel="0" collapsed="false">
      <c r="A5346" s="57" t="n">
        <v>41537</v>
      </c>
      <c r="B5346" s="56" t="n">
        <v>2013</v>
      </c>
      <c r="C5346" s="56" t="n">
        <v>9</v>
      </c>
      <c r="D5346" s="56" t="n">
        <v>143</v>
      </c>
      <c r="E5346" s="56" t="n">
        <v>18.9</v>
      </c>
      <c r="F5346" s="56" t="n">
        <v>0</v>
      </c>
      <c r="G5346" s="56" t="n">
        <v>8.7</v>
      </c>
      <c r="H5346" s="56" t="n">
        <v>0</v>
      </c>
      <c r="I5346" s="56" t="n">
        <v>14</v>
      </c>
      <c r="J5346" s="56" t="n">
        <v>0</v>
      </c>
      <c r="K5346" s="56" t="n">
        <v>1018.3</v>
      </c>
      <c r="L5346" s="56" t="n">
        <v>0</v>
      </c>
      <c r="M5346" s="56" t="n">
        <v>71</v>
      </c>
      <c r="N5346" s="56" t="n">
        <v>6.4</v>
      </c>
      <c r="O5346" s="56" t="n">
        <f aca="false">IF(D5346=1,"",E5345)</f>
        <v>19.2</v>
      </c>
      <c r="P5346" s="56" t="n">
        <f aca="false">IF(OR(D5346=1,K5345=""),"",K5345)</f>
        <v>1010.4</v>
      </c>
      <c r="Q5346" s="56" t="n">
        <f aca="false">IF(OR(F5346&lt;&gt;0,AND(I5346&lt;&gt;"",E5346&lt;I5346)),1,0)</f>
        <v>0</v>
      </c>
      <c r="R5346" s="56" t="n">
        <f aca="false">IF(AND(D5346&gt;1,Q5346=0,ISNUMBER(O5346),ISNUMBER(P5346)),IF(Q5345=0,1,0),0)</f>
        <v>1</v>
      </c>
      <c r="S5346" s="56" t="n">
        <f aca="false">R5346*(B5346&gt;=Train_Start)*(B5346&lt;=Train_End)</f>
        <v>0</v>
      </c>
      <c r="T5346" s="84" t="n">
        <f aca="false">IF(AND(ISNUMBER(O5346),ISNUMBER(P5346)),Coef_A+Coef_B1*O5346+Coef_B2*P5346,"")</f>
        <v>19.5144294665976</v>
      </c>
      <c r="U5346" s="84" t="n">
        <f aca="false">IF(AND(R5346=1,ISNUMBER(T5346)),E5346-T5346,"")</f>
        <v>-0.614429466597606</v>
      </c>
      <c r="V5346" s="84" t="n">
        <f aca="false">IF(ISNUMBER(T5346),T5346,-99)</f>
        <v>19.5144294665976</v>
      </c>
      <c r="W5346" s="84" t="n">
        <f aca="false">IF(ISNUMBER(U5346),ABS(U5346),"")</f>
        <v>0.614429466597606</v>
      </c>
    </row>
    <row r="5347" customFormat="false" ht="15" hidden="false" customHeight="false" outlineLevel="0" collapsed="false">
      <c r="A5347" s="57" t="n">
        <v>41538</v>
      </c>
      <c r="B5347" s="56" t="n">
        <v>2013</v>
      </c>
      <c r="C5347" s="56" t="n">
        <v>9</v>
      </c>
      <c r="D5347" s="56" t="n">
        <v>144</v>
      </c>
      <c r="E5347" s="56" t="n">
        <v>19.8</v>
      </c>
      <c r="F5347" s="56" t="n">
        <v>0</v>
      </c>
      <c r="G5347" s="56" t="n">
        <v>9.8</v>
      </c>
      <c r="H5347" s="56" t="n">
        <v>0</v>
      </c>
      <c r="I5347" s="56" t="n">
        <v>14.4</v>
      </c>
      <c r="J5347" s="56" t="n">
        <v>0</v>
      </c>
      <c r="K5347" s="56" t="n">
        <v>1024.5</v>
      </c>
      <c r="L5347" s="56" t="n">
        <v>0</v>
      </c>
      <c r="M5347" s="56" t="n">
        <v>84</v>
      </c>
      <c r="N5347" s="56" t="n">
        <v>0</v>
      </c>
      <c r="O5347" s="56" t="n">
        <f aca="false">IF(D5347=1,"",E5346)</f>
        <v>18.9</v>
      </c>
      <c r="P5347" s="56" t="n">
        <f aca="false">IF(OR(D5347=1,K5346=""),"",K5346)</f>
        <v>1018.3</v>
      </c>
      <c r="Q5347" s="56" t="n">
        <f aca="false">IF(OR(F5347&lt;&gt;0,AND(I5347&lt;&gt;"",E5347&lt;I5347)),1,0)</f>
        <v>0</v>
      </c>
      <c r="R5347" s="56" t="n">
        <f aca="false">IF(AND(D5347&gt;1,Q5347=0,ISNUMBER(O5347),ISNUMBER(P5347)),IF(Q5346=0,1,0),0)</f>
        <v>1</v>
      </c>
      <c r="S5347" s="56" t="n">
        <f aca="false">R5347*(B5347&gt;=Train_Start)*(B5347&lt;=Train_End)</f>
        <v>0</v>
      </c>
      <c r="T5347" s="84" t="n">
        <f aca="false">IF(AND(ISNUMBER(O5347),ISNUMBER(P5347)),Coef_A+Coef_B1*O5347+Coef_B2*P5347,"")</f>
        <v>19.5164498762933</v>
      </c>
      <c r="U5347" s="84" t="n">
        <f aca="false">IF(AND(R5347=1,ISNUMBER(T5347)),E5347-T5347,"")</f>
        <v>0.283550123706679</v>
      </c>
      <c r="V5347" s="84" t="n">
        <f aca="false">IF(ISNUMBER(T5347),T5347,-99)</f>
        <v>19.5164498762933</v>
      </c>
      <c r="W5347" s="84" t="n">
        <f aca="false">IF(ISNUMBER(U5347),ABS(U5347),"")</f>
        <v>0.283550123706679</v>
      </c>
    </row>
    <row r="5348" customFormat="false" ht="15" hidden="false" customHeight="false" outlineLevel="0" collapsed="false">
      <c r="A5348" s="57" t="n">
        <v>41539</v>
      </c>
      <c r="B5348" s="56" t="n">
        <v>2013</v>
      </c>
      <c r="C5348" s="56" t="n">
        <v>9</v>
      </c>
      <c r="D5348" s="56" t="n">
        <v>145</v>
      </c>
      <c r="E5348" s="56" t="n">
        <v>18.6</v>
      </c>
      <c r="F5348" s="56" t="n">
        <v>0</v>
      </c>
      <c r="G5348" s="56" t="n">
        <v>14.5</v>
      </c>
      <c r="H5348" s="56" t="n">
        <v>0</v>
      </c>
      <c r="I5348" s="56" t="n">
        <v>17.2</v>
      </c>
      <c r="J5348" s="56" t="n">
        <v>0</v>
      </c>
      <c r="K5348" s="56" t="n">
        <v>1027.9</v>
      </c>
      <c r="L5348" s="56" t="n">
        <v>0</v>
      </c>
      <c r="M5348" s="56" t="n">
        <v>88</v>
      </c>
      <c r="N5348" s="56" t="n">
        <v>0</v>
      </c>
      <c r="O5348" s="56" t="n">
        <f aca="false">IF(D5348=1,"",E5347)</f>
        <v>19.8</v>
      </c>
      <c r="P5348" s="56" t="n">
        <f aca="false">IF(OR(D5348=1,K5347=""),"",K5347)</f>
        <v>1024.5</v>
      </c>
      <c r="Q5348" s="56" t="n">
        <f aca="false">IF(OR(F5348&lt;&gt;0,AND(I5348&lt;&gt;"",E5348&lt;I5348)),1,0)</f>
        <v>0</v>
      </c>
      <c r="R5348" s="56" t="n">
        <f aca="false">IF(AND(D5348&gt;1,Q5348=0,ISNUMBER(O5348),ISNUMBER(P5348)),IF(Q5347=0,1,0),0)</f>
        <v>1</v>
      </c>
      <c r="S5348" s="56" t="n">
        <f aca="false">R5348*(B5348&gt;=Train_Start)*(B5348&lt;=Train_End)</f>
        <v>0</v>
      </c>
      <c r="T5348" s="84" t="n">
        <f aca="false">IF(AND(ISNUMBER(O5348),ISNUMBER(P5348)),Coef_A+Coef_B1*O5348+Coef_B2*P5348,"")</f>
        <v>20.4483484967625</v>
      </c>
      <c r="U5348" s="84" t="n">
        <f aca="false">IF(AND(R5348=1,ISNUMBER(T5348)),E5348-T5348,"")</f>
        <v>-1.84834849676245</v>
      </c>
      <c r="V5348" s="84" t="n">
        <f aca="false">IF(ISNUMBER(T5348),T5348,-99)</f>
        <v>20.4483484967625</v>
      </c>
      <c r="W5348" s="84" t="n">
        <f aca="false">IF(ISNUMBER(U5348),ABS(U5348),"")</f>
        <v>1.84834849676245</v>
      </c>
    </row>
    <row r="5349" customFormat="false" ht="15" hidden="false" customHeight="false" outlineLevel="0" collapsed="false">
      <c r="A5349" s="57" t="n">
        <v>41540</v>
      </c>
      <c r="B5349" s="56" t="n">
        <v>2013</v>
      </c>
      <c r="C5349" s="56" t="n">
        <v>9</v>
      </c>
      <c r="D5349" s="56" t="n">
        <v>146</v>
      </c>
      <c r="E5349" s="56" t="n">
        <v>22.2</v>
      </c>
      <c r="F5349" s="56" t="n">
        <v>0</v>
      </c>
      <c r="G5349" s="56" t="n">
        <v>12.9</v>
      </c>
      <c r="H5349" s="56" t="n">
        <v>0</v>
      </c>
      <c r="I5349" s="56" t="n">
        <v>15.8</v>
      </c>
      <c r="J5349" s="56" t="n">
        <v>0</v>
      </c>
      <c r="K5349" s="56" t="n">
        <v>1024.7</v>
      </c>
      <c r="L5349" s="56" t="n">
        <v>0</v>
      </c>
      <c r="M5349" s="56" t="n">
        <v>88</v>
      </c>
      <c r="N5349" s="56" t="n">
        <v>1.2</v>
      </c>
      <c r="O5349" s="56" t="n">
        <f aca="false">IF(D5349=1,"",E5348)</f>
        <v>18.6</v>
      </c>
      <c r="P5349" s="56" t="n">
        <f aca="false">IF(OR(D5349=1,K5348=""),"",K5348)</f>
        <v>1027.9</v>
      </c>
      <c r="Q5349" s="56" t="n">
        <f aca="false">IF(OR(F5349&lt;&gt;0,AND(I5349&lt;&gt;"",E5349&lt;I5349)),1,0)</f>
        <v>0</v>
      </c>
      <c r="R5349" s="56" t="n">
        <f aca="false">IF(AND(D5349&gt;1,Q5349=0,ISNUMBER(O5349),ISNUMBER(P5349)),IF(Q5348=0,1,0),0)</f>
        <v>1</v>
      </c>
      <c r="S5349" s="56" t="n">
        <f aca="false">R5349*(B5349&gt;=Train_Start)*(B5349&lt;=Train_End)</f>
        <v>0</v>
      </c>
      <c r="T5349" s="84" t="n">
        <f aca="false">IF(AND(ISNUMBER(O5349),ISNUMBER(P5349)),Coef_A+Coef_B1*O5349+Coef_B2*P5349,"")</f>
        <v>19.5717991068668</v>
      </c>
      <c r="U5349" s="84" t="n">
        <f aca="false">IF(AND(R5349=1,ISNUMBER(T5349)),E5349-T5349,"")</f>
        <v>2.62820089313317</v>
      </c>
      <c r="V5349" s="84" t="n">
        <f aca="false">IF(ISNUMBER(T5349),T5349,-99)</f>
        <v>19.5717991068668</v>
      </c>
      <c r="W5349" s="84" t="n">
        <f aca="false">IF(ISNUMBER(U5349),ABS(U5349),"")</f>
        <v>2.62820089313317</v>
      </c>
    </row>
    <row r="5350" customFormat="false" ht="15" hidden="false" customHeight="false" outlineLevel="0" collapsed="false">
      <c r="A5350" s="57" t="n">
        <v>41541</v>
      </c>
      <c r="B5350" s="56" t="n">
        <v>2013</v>
      </c>
      <c r="C5350" s="56" t="n">
        <v>9</v>
      </c>
      <c r="D5350" s="56" t="n">
        <v>147</v>
      </c>
      <c r="E5350" s="56" t="n">
        <v>21.9</v>
      </c>
      <c r="F5350" s="56" t="n">
        <v>0</v>
      </c>
      <c r="G5350" s="56" t="n">
        <v>10</v>
      </c>
      <c r="H5350" s="56" t="n">
        <v>0</v>
      </c>
      <c r="I5350" s="56" t="n">
        <v>16.1</v>
      </c>
      <c r="J5350" s="56" t="n">
        <v>0</v>
      </c>
      <c r="K5350" s="56" t="n">
        <v>1016.4</v>
      </c>
      <c r="L5350" s="56" t="n">
        <v>0</v>
      </c>
      <c r="M5350" s="56" t="n">
        <v>86</v>
      </c>
      <c r="N5350" s="56" t="n">
        <v>6.1</v>
      </c>
      <c r="O5350" s="56" t="n">
        <f aca="false">IF(D5350=1,"",E5349)</f>
        <v>22.2</v>
      </c>
      <c r="P5350" s="56" t="n">
        <f aca="false">IF(OR(D5350=1,K5349=""),"",K5349)</f>
        <v>1024.7</v>
      </c>
      <c r="Q5350" s="56" t="n">
        <f aca="false">IF(OR(F5350&lt;&gt;0,AND(I5350&lt;&gt;"",E5350&lt;I5350)),1,0)</f>
        <v>0</v>
      </c>
      <c r="R5350" s="56" t="n">
        <f aca="false">IF(AND(D5350&gt;1,Q5350=0,ISNUMBER(O5350),ISNUMBER(P5350)),IF(Q5349=0,1,0),0)</f>
        <v>1</v>
      </c>
      <c r="S5350" s="56" t="n">
        <f aca="false">R5350*(B5350&gt;=Train_Start)*(B5350&lt;=Train_End)</f>
        <v>0</v>
      </c>
      <c r="T5350" s="84" t="n">
        <f aca="false">IF(AND(ISNUMBER(O5350),ISNUMBER(P5350)),Coef_A+Coef_B1*O5350+Coef_B2*P5350,"")</f>
        <v>22.4210365389916</v>
      </c>
      <c r="U5350" s="84" t="n">
        <f aca="false">IF(AND(R5350=1,ISNUMBER(T5350)),E5350-T5350,"")</f>
        <v>-0.521036538991627</v>
      </c>
      <c r="V5350" s="84" t="n">
        <f aca="false">IF(ISNUMBER(T5350),T5350,-99)</f>
        <v>22.4210365389916</v>
      </c>
      <c r="W5350" s="84" t="n">
        <f aca="false">IF(ISNUMBER(U5350),ABS(U5350),"")</f>
        <v>0.521036538991627</v>
      </c>
    </row>
    <row r="5351" customFormat="false" ht="15" hidden="false" customHeight="false" outlineLevel="0" collapsed="false">
      <c r="A5351" s="57" t="n">
        <v>41542</v>
      </c>
      <c r="B5351" s="56" t="n">
        <v>2013</v>
      </c>
      <c r="C5351" s="56" t="n">
        <v>9</v>
      </c>
      <c r="D5351" s="56" t="n">
        <v>148</v>
      </c>
      <c r="E5351" s="56" t="n">
        <v>20.2</v>
      </c>
      <c r="F5351" s="56" t="n">
        <v>0</v>
      </c>
      <c r="G5351" s="56" t="n">
        <v>12.5</v>
      </c>
      <c r="H5351" s="56" t="n">
        <v>0</v>
      </c>
      <c r="I5351" s="56" t="n">
        <v>17.2</v>
      </c>
      <c r="J5351" s="56" t="n">
        <v>0</v>
      </c>
      <c r="K5351" s="56" t="n">
        <v>1011.8</v>
      </c>
      <c r="L5351" s="56" t="n">
        <v>0</v>
      </c>
      <c r="M5351" s="56" t="n">
        <v>81</v>
      </c>
      <c r="N5351" s="56" t="n">
        <v>2.3</v>
      </c>
      <c r="O5351" s="56" t="n">
        <f aca="false">IF(D5351=1,"",E5350)</f>
        <v>21.9</v>
      </c>
      <c r="P5351" s="56" t="n">
        <f aca="false">IF(OR(D5351=1,K5350=""),"",K5350)</f>
        <v>1016.4</v>
      </c>
      <c r="Q5351" s="56" t="n">
        <f aca="false">IF(OR(F5351&lt;&gt;0,AND(I5351&lt;&gt;"",E5351&lt;I5351)),1,0)</f>
        <v>0</v>
      </c>
      <c r="R5351" s="56" t="n">
        <f aca="false">IF(AND(D5351&gt;1,Q5351=0,ISNUMBER(O5351),ISNUMBER(P5351)),IF(Q5350=0,1,0),0)</f>
        <v>1</v>
      </c>
      <c r="S5351" s="56" t="n">
        <f aca="false">R5351*(B5351&gt;=Train_Start)*(B5351&lt;=Train_End)</f>
        <v>0</v>
      </c>
      <c r="T5351" s="84" t="n">
        <f aca="false">IF(AND(ISNUMBER(O5351),ISNUMBER(P5351)),Coef_A+Coef_B1*O5351+Coef_B2*P5351,"")</f>
        <v>21.9148646556167</v>
      </c>
      <c r="U5351" s="84" t="n">
        <f aca="false">IF(AND(R5351=1,ISNUMBER(T5351)),E5351-T5351,"")</f>
        <v>-1.71486465561672</v>
      </c>
      <c r="V5351" s="84" t="n">
        <f aca="false">IF(ISNUMBER(T5351),T5351,-99)</f>
        <v>21.9148646556167</v>
      </c>
      <c r="W5351" s="84" t="n">
        <f aca="false">IF(ISNUMBER(U5351),ABS(U5351),"")</f>
        <v>1.71486465561672</v>
      </c>
    </row>
    <row r="5352" customFormat="false" ht="15" hidden="false" customHeight="false" outlineLevel="0" collapsed="false">
      <c r="A5352" s="57" t="n">
        <v>41543</v>
      </c>
      <c r="B5352" s="56" t="n">
        <v>2013</v>
      </c>
      <c r="C5352" s="56" t="n">
        <v>9</v>
      </c>
      <c r="D5352" s="56" t="n">
        <v>149</v>
      </c>
      <c r="E5352" s="56" t="n">
        <v>18.7</v>
      </c>
      <c r="F5352" s="56" t="n">
        <v>0</v>
      </c>
      <c r="G5352" s="56" t="n">
        <v>14</v>
      </c>
      <c r="H5352" s="56" t="n">
        <v>0</v>
      </c>
      <c r="I5352" s="56" t="n">
        <v>17.1</v>
      </c>
      <c r="J5352" s="56" t="n">
        <v>0</v>
      </c>
      <c r="K5352" s="56" t="n">
        <v>1016.6</v>
      </c>
      <c r="L5352" s="56" t="n">
        <v>0</v>
      </c>
      <c r="M5352" s="56" t="n">
        <v>74</v>
      </c>
      <c r="N5352" s="56" t="n">
        <v>3.4</v>
      </c>
      <c r="O5352" s="56" t="n">
        <f aca="false">IF(D5352=1,"",E5351)</f>
        <v>20.2</v>
      </c>
      <c r="P5352" s="56" t="n">
        <f aca="false">IF(OR(D5352=1,K5351=""),"",K5351)</f>
        <v>1011.8</v>
      </c>
      <c r="Q5352" s="56" t="n">
        <f aca="false">IF(OR(F5352&lt;&gt;0,AND(I5352&lt;&gt;"",E5352&lt;I5352)),1,0)</f>
        <v>0</v>
      </c>
      <c r="R5352" s="56" t="n">
        <f aca="false">IF(AND(D5352&gt;1,Q5352=0,ISNUMBER(O5352),ISNUMBER(P5352)),IF(Q5351=0,1,0),0)</f>
        <v>1</v>
      </c>
      <c r="S5352" s="56" t="n">
        <f aca="false">R5352*(B5352&gt;=Train_Start)*(B5352&lt;=Train_End)</f>
        <v>0</v>
      </c>
      <c r="T5352" s="84" t="n">
        <f aca="false">IF(AND(ISNUMBER(O5352),ISNUMBER(P5352)),Coef_A+Coef_B1*O5352+Coef_B2*P5352,"")</f>
        <v>20.3776865121278</v>
      </c>
      <c r="U5352" s="84" t="n">
        <f aca="false">IF(AND(R5352=1,ISNUMBER(T5352)),E5352-T5352,"")</f>
        <v>-1.67768651212785</v>
      </c>
      <c r="V5352" s="84" t="n">
        <f aca="false">IF(ISNUMBER(T5352),T5352,-99)</f>
        <v>20.3776865121278</v>
      </c>
      <c r="W5352" s="84" t="n">
        <f aca="false">IF(ISNUMBER(U5352),ABS(U5352),"")</f>
        <v>1.67768651212785</v>
      </c>
    </row>
    <row r="5353" customFormat="false" ht="15" hidden="false" customHeight="false" outlineLevel="0" collapsed="false">
      <c r="A5353" s="57" t="n">
        <v>41544</v>
      </c>
      <c r="B5353" s="56" t="n">
        <v>2013</v>
      </c>
      <c r="C5353" s="56" t="n">
        <v>9</v>
      </c>
      <c r="D5353" s="56" t="n">
        <v>150</v>
      </c>
      <c r="E5353" s="56" t="n">
        <v>20.2</v>
      </c>
      <c r="F5353" s="56" t="n">
        <v>0</v>
      </c>
      <c r="G5353" s="56" t="n">
        <v>10.4</v>
      </c>
      <c r="H5353" s="56" t="n">
        <v>0</v>
      </c>
      <c r="I5353" s="56" t="n">
        <v>14.6</v>
      </c>
      <c r="J5353" s="56" t="n">
        <v>0</v>
      </c>
      <c r="K5353" s="56" t="n">
        <v>1016.1</v>
      </c>
      <c r="L5353" s="56" t="n">
        <v>0</v>
      </c>
      <c r="M5353" s="56" t="n">
        <v>76</v>
      </c>
      <c r="N5353" s="56" t="n">
        <v>7</v>
      </c>
      <c r="O5353" s="56" t="n">
        <f aca="false">IF(D5353=1,"",E5352)</f>
        <v>18.7</v>
      </c>
      <c r="P5353" s="56" t="n">
        <f aca="false">IF(OR(D5353=1,K5352=""),"",K5352)</f>
        <v>1016.6</v>
      </c>
      <c r="Q5353" s="56" t="n">
        <f aca="false">IF(OR(F5353&lt;&gt;0,AND(I5353&lt;&gt;"",E5353&lt;I5353)),1,0)</f>
        <v>0</v>
      </c>
      <c r="R5353" s="56" t="n">
        <f aca="false">IF(AND(D5353&gt;1,Q5353=0,ISNUMBER(O5353),ISNUMBER(P5353)),IF(Q5352=0,1,0),0)</f>
        <v>1</v>
      </c>
      <c r="S5353" s="56" t="n">
        <f aca="false">R5353*(B5353&gt;=Train_Start)*(B5353&lt;=Train_End)</f>
        <v>0</v>
      </c>
      <c r="T5353" s="84" t="n">
        <f aca="false">IF(AND(ISNUMBER(O5353),ISNUMBER(P5353)),Coef_A+Coef_B1*O5353+Coef_B2*P5353,"")</f>
        <v>19.299253216807</v>
      </c>
      <c r="U5353" s="84" t="n">
        <f aca="false">IF(AND(R5353=1,ISNUMBER(T5353)),E5353-T5353,"")</f>
        <v>0.900746783192989</v>
      </c>
      <c r="V5353" s="84" t="n">
        <f aca="false">IF(ISNUMBER(T5353),T5353,-99)</f>
        <v>19.299253216807</v>
      </c>
      <c r="W5353" s="84" t="n">
        <f aca="false">IF(ISNUMBER(U5353),ABS(U5353),"")</f>
        <v>0.900746783192989</v>
      </c>
    </row>
    <row r="5354" customFormat="false" ht="15" hidden="false" customHeight="false" outlineLevel="0" collapsed="false">
      <c r="A5354" s="57" t="n">
        <v>41545</v>
      </c>
      <c r="B5354" s="56" t="n">
        <v>2013</v>
      </c>
      <c r="C5354" s="56" t="n">
        <v>9</v>
      </c>
      <c r="D5354" s="56" t="n">
        <v>151</v>
      </c>
      <c r="E5354" s="56" t="n">
        <v>19.1</v>
      </c>
      <c r="F5354" s="56" t="n">
        <v>0</v>
      </c>
      <c r="G5354" s="56" t="n">
        <v>11.8</v>
      </c>
      <c r="H5354" s="56" t="n">
        <v>0</v>
      </c>
      <c r="I5354" s="56" t="n">
        <v>16</v>
      </c>
      <c r="J5354" s="56" t="n">
        <v>0</v>
      </c>
      <c r="K5354" s="56" t="n">
        <v>1009.5</v>
      </c>
      <c r="L5354" s="56" t="n">
        <v>0</v>
      </c>
      <c r="M5354" s="56" t="n">
        <v>76</v>
      </c>
      <c r="N5354" s="56" t="n">
        <v>0.7</v>
      </c>
      <c r="O5354" s="56" t="n">
        <f aca="false">IF(D5354=1,"",E5353)</f>
        <v>20.2</v>
      </c>
      <c r="P5354" s="56" t="n">
        <f aca="false">IF(OR(D5354=1,K5353=""),"",K5353)</f>
        <v>1016.1</v>
      </c>
      <c r="Q5354" s="56" t="n">
        <f aca="false">IF(OR(F5354&lt;&gt;0,AND(I5354&lt;&gt;"",E5354&lt;I5354)),1,0)</f>
        <v>0</v>
      </c>
      <c r="R5354" s="56" t="n">
        <f aca="false">IF(AND(D5354&gt;1,Q5354=0,ISNUMBER(O5354),ISNUMBER(P5354)),IF(Q5353=0,1,0),0)</f>
        <v>1</v>
      </c>
      <c r="S5354" s="56" t="n">
        <f aca="false">R5354*(B5354&gt;=Train_Start)*(B5354&lt;=Train_End)</f>
        <v>0</v>
      </c>
      <c r="T5354" s="84" t="n">
        <f aca="false">IF(AND(ISNUMBER(O5354),ISNUMBER(P5354)),Coef_A+Coef_B1*O5354+Coef_B2*P5354,"")</f>
        <v>20.512577059054</v>
      </c>
      <c r="U5354" s="84" t="n">
        <f aca="false">IF(AND(R5354=1,ISNUMBER(T5354)),E5354-T5354,"")</f>
        <v>-1.412577059054</v>
      </c>
      <c r="V5354" s="84" t="n">
        <f aca="false">IF(ISNUMBER(T5354),T5354,-99)</f>
        <v>20.512577059054</v>
      </c>
      <c r="W5354" s="84" t="n">
        <f aca="false">IF(ISNUMBER(U5354),ABS(U5354),"")</f>
        <v>1.412577059054</v>
      </c>
    </row>
    <row r="5355" customFormat="false" ht="15" hidden="false" customHeight="false" outlineLevel="0" collapsed="false">
      <c r="A5355" s="57" t="n">
        <v>41546</v>
      </c>
      <c r="B5355" s="56" t="n">
        <v>2013</v>
      </c>
      <c r="C5355" s="56" t="n">
        <v>9</v>
      </c>
      <c r="D5355" s="56" t="n">
        <v>152</v>
      </c>
      <c r="E5355" s="56" t="n">
        <v>19.1</v>
      </c>
      <c r="F5355" s="56" t="n">
        <v>0</v>
      </c>
      <c r="G5355" s="56" t="n">
        <v>13.8</v>
      </c>
      <c r="H5355" s="56" t="n">
        <v>0</v>
      </c>
      <c r="I5355" s="56" t="n">
        <v>16.5</v>
      </c>
      <c r="J5355" s="56" t="n">
        <v>0</v>
      </c>
      <c r="K5355" s="56" t="n">
        <v>1006.9</v>
      </c>
      <c r="L5355" s="56" t="n">
        <v>0</v>
      </c>
      <c r="M5355" s="56" t="n">
        <v>74</v>
      </c>
      <c r="N5355" s="56" t="n">
        <v>4.5</v>
      </c>
      <c r="O5355" s="56" t="n">
        <f aca="false">IF(D5355=1,"",E5354)</f>
        <v>19.1</v>
      </c>
      <c r="P5355" s="56" t="n">
        <f aca="false">IF(OR(D5355=1,K5354=""),"",K5354)</f>
        <v>1009.5</v>
      </c>
      <c r="Q5355" s="56" t="n">
        <f aca="false">IF(OR(F5355&lt;&gt;0,AND(I5355&lt;&gt;"",E5355&lt;I5355)),1,0)</f>
        <v>0</v>
      </c>
      <c r="R5355" s="56" t="n">
        <f aca="false">IF(AND(D5355&gt;1,Q5355=0,ISNUMBER(O5355),ISNUMBER(P5355)),IF(Q5354=0,1,0),0)</f>
        <v>1</v>
      </c>
      <c r="S5355" s="56" t="n">
        <f aca="false">R5355*(B5355&gt;=Train_Start)*(B5355&lt;=Train_End)</f>
        <v>0</v>
      </c>
      <c r="T5355" s="84" t="n">
        <f aca="false">IF(AND(ISNUMBER(O5355),ISNUMBER(P5355)),Coef_A+Coef_B1*O5355+Coef_B2*P5355,"")</f>
        <v>19.4042626421228</v>
      </c>
      <c r="U5355" s="84" t="n">
        <f aca="false">IF(AND(R5355=1,ISNUMBER(T5355)),E5355-T5355,"")</f>
        <v>-0.304262642122747</v>
      </c>
      <c r="V5355" s="84" t="n">
        <f aca="false">IF(ISNUMBER(T5355),T5355,-99)</f>
        <v>19.4042626421228</v>
      </c>
      <c r="W5355" s="84" t="n">
        <f aca="false">IF(ISNUMBER(U5355),ABS(U5355),"")</f>
        <v>0.304262642122747</v>
      </c>
    </row>
    <row r="5356" customFormat="false" ht="15" hidden="false" customHeight="false" outlineLevel="0" collapsed="false">
      <c r="A5356" s="57" t="n">
        <v>41547</v>
      </c>
      <c r="B5356" s="56" t="n">
        <v>2013</v>
      </c>
      <c r="C5356" s="56" t="n">
        <v>9</v>
      </c>
      <c r="D5356" s="56" t="n">
        <v>153</v>
      </c>
      <c r="E5356" s="56" t="n">
        <v>17.5</v>
      </c>
      <c r="F5356" s="56" t="n">
        <v>0</v>
      </c>
      <c r="G5356" s="56" t="n">
        <v>13.7</v>
      </c>
      <c r="H5356" s="56" t="n">
        <v>0</v>
      </c>
      <c r="I5356" s="56" t="n">
        <v>16.4</v>
      </c>
      <c r="J5356" s="56" t="n">
        <v>0</v>
      </c>
      <c r="K5356" s="56" t="n">
        <v>1006.8</v>
      </c>
      <c r="L5356" s="56" t="n">
        <v>0</v>
      </c>
      <c r="M5356" s="56" t="n">
        <v>74</v>
      </c>
      <c r="N5356" s="56" t="n">
        <v>2.4</v>
      </c>
      <c r="O5356" s="56" t="n">
        <f aca="false">IF(D5356=1,"",E5355)</f>
        <v>19.1</v>
      </c>
      <c r="P5356" s="56" t="n">
        <f aca="false">IF(OR(D5356=1,K5355=""),"",K5355)</f>
        <v>1006.9</v>
      </c>
      <c r="Q5356" s="56" t="n">
        <f aca="false">IF(OR(F5356&lt;&gt;0,AND(I5356&lt;&gt;"",E5356&lt;I5356)),1,0)</f>
        <v>0</v>
      </c>
      <c r="R5356" s="56" t="n">
        <f aca="false">IF(AND(D5356&gt;1,Q5356=0,ISNUMBER(O5356),ISNUMBER(P5356)),IF(Q5355=0,1,0),0)</f>
        <v>1</v>
      </c>
      <c r="S5356" s="56" t="n">
        <f aca="false">R5356*(B5356&gt;=Train_Start)*(B5356&lt;=Train_End)</f>
        <v>0</v>
      </c>
      <c r="T5356" s="84" t="n">
        <f aca="false">IF(AND(ISNUMBER(O5356),ISNUMBER(P5356)),Coef_A+Coef_B1*O5356+Coef_B2*P5356,"")</f>
        <v>19.3227009160744</v>
      </c>
      <c r="U5356" s="84" t="n">
        <f aca="false">IF(AND(R5356=1,ISNUMBER(T5356)),E5356-T5356,"")</f>
        <v>-1.82270091607438</v>
      </c>
      <c r="V5356" s="84" t="n">
        <f aca="false">IF(ISNUMBER(T5356),T5356,-99)</f>
        <v>19.3227009160744</v>
      </c>
      <c r="W5356" s="84" t="n">
        <f aca="false">IF(ISNUMBER(U5356),ABS(U5356),"")</f>
        <v>1.82270091607438</v>
      </c>
    </row>
    <row r="5357" customFormat="false" ht="15" hidden="false" customHeight="false" outlineLevel="0" collapsed="false">
      <c r="A5357" s="57" t="n">
        <v>41760</v>
      </c>
      <c r="B5357" s="56" t="n">
        <v>2014</v>
      </c>
      <c r="C5357" s="56" t="n">
        <v>5</v>
      </c>
      <c r="D5357" s="56" t="n">
        <v>1</v>
      </c>
      <c r="E5357" s="56" t="n">
        <v>12.5</v>
      </c>
      <c r="F5357" s="56" t="n">
        <v>0</v>
      </c>
      <c r="G5357" s="56" t="n">
        <v>9.6</v>
      </c>
      <c r="H5357" s="56" t="n">
        <v>0</v>
      </c>
      <c r="I5357" s="56" t="n">
        <v>11.8</v>
      </c>
      <c r="J5357" s="56" t="n">
        <v>0</v>
      </c>
      <c r="K5357" s="56" t="n">
        <v>1010.7</v>
      </c>
      <c r="L5357" s="56" t="n">
        <v>0</v>
      </c>
      <c r="M5357" s="56" t="n">
        <v>90</v>
      </c>
      <c r="N5357" s="56" t="n">
        <v>0</v>
      </c>
      <c r="O5357" s="56" t="str">
        <f aca="false">IF(D5357=1,"",E5356)</f>
        <v/>
      </c>
      <c r="P5357" s="56" t="str">
        <f aca="false">IF(OR(D5357=1,K5356=""),"",K5356)</f>
        <v/>
      </c>
      <c r="Q5357" s="56" t="n">
        <f aca="false">IF(OR(F5357&lt;&gt;0,AND(I5357&lt;&gt;"",E5357&lt;I5357)),1,0)</f>
        <v>0</v>
      </c>
      <c r="R5357" s="56" t="n">
        <f aca="false">IF(AND(D5357&gt;1,Q5357=0,ISNUMBER(O5357),ISNUMBER(P5357)),IF(Q5356=0,1,0),0)</f>
        <v>0</v>
      </c>
      <c r="S5357" s="56" t="n">
        <f aca="false">R5357*(B5357&gt;=Train_Start)*(B5357&lt;=Train_End)</f>
        <v>0</v>
      </c>
      <c r="T5357" s="84" t="str">
        <f aca="false">IF(AND(ISNUMBER(O5357),ISNUMBER(P5357)),Coef_A+Coef_B1*O5357+Coef_B2*P5357,"")</f>
        <v/>
      </c>
      <c r="U5357" s="84" t="str">
        <f aca="false">IF(AND(R5357=1,ISNUMBER(T5357)),E5357-T5357,"")</f>
        <v/>
      </c>
      <c r="V5357" s="84" t="n">
        <f aca="false">IF(ISNUMBER(T5357),T5357,-99)</f>
        <v>-99</v>
      </c>
      <c r="W5357" s="84" t="str">
        <f aca="false">IF(ISNUMBER(U5357),ABS(U5357),"")</f>
        <v/>
      </c>
    </row>
    <row r="5358" customFormat="false" ht="15" hidden="false" customHeight="false" outlineLevel="0" collapsed="false">
      <c r="A5358" s="57" t="n">
        <v>41761</v>
      </c>
      <c r="B5358" s="56" t="n">
        <v>2014</v>
      </c>
      <c r="C5358" s="56" t="n">
        <v>5</v>
      </c>
      <c r="D5358" s="56" t="n">
        <v>2</v>
      </c>
      <c r="E5358" s="56" t="n">
        <v>14.5</v>
      </c>
      <c r="F5358" s="56" t="n">
        <v>0</v>
      </c>
      <c r="G5358" s="56" t="n">
        <v>8.7</v>
      </c>
      <c r="H5358" s="56" t="n">
        <v>0</v>
      </c>
      <c r="I5358" s="56" t="n">
        <v>10.6</v>
      </c>
      <c r="J5358" s="56" t="n">
        <v>0</v>
      </c>
      <c r="K5358" s="56" t="n">
        <v>1023.4</v>
      </c>
      <c r="L5358" s="56" t="n">
        <v>0</v>
      </c>
      <c r="M5358" s="56" t="n">
        <v>75</v>
      </c>
      <c r="N5358" s="56" t="n">
        <v>0.3</v>
      </c>
      <c r="O5358" s="56" t="n">
        <f aca="false">IF(D5358=1,"",E5357)</f>
        <v>12.5</v>
      </c>
      <c r="P5358" s="56" t="n">
        <f aca="false">IF(OR(D5358=1,K5357=""),"",K5357)</f>
        <v>1010.7</v>
      </c>
      <c r="Q5358" s="56" t="n">
        <f aca="false">IF(OR(F5358&lt;&gt;0,AND(I5358&lt;&gt;"",E5358&lt;I5358)),1,0)</f>
        <v>0</v>
      </c>
      <c r="R5358" s="56" t="n">
        <f aca="false">IF(AND(D5358&gt;1,Q5358=0,ISNUMBER(O5358),ISNUMBER(P5358)),IF(Q5357=0,1,0),0)</f>
        <v>1</v>
      </c>
      <c r="S5358" s="56" t="n">
        <f aca="false">R5358*(B5358&gt;=Train_Start)*(B5358&lt;=Train_End)</f>
        <v>0</v>
      </c>
      <c r="T5358" s="84" t="n">
        <f aca="false">IF(AND(ISNUMBER(O5358),ISNUMBER(P5358)),Coef_A+Coef_B1*O5358+Coef_B2*P5358,"")</f>
        <v>14.034267841602</v>
      </c>
      <c r="U5358" s="84" t="n">
        <f aca="false">IF(AND(R5358=1,ISNUMBER(T5358)),E5358-T5358,"")</f>
        <v>0.465732158398005</v>
      </c>
      <c r="V5358" s="84" t="n">
        <f aca="false">IF(ISNUMBER(T5358),T5358,-99)</f>
        <v>14.034267841602</v>
      </c>
      <c r="W5358" s="84" t="n">
        <f aca="false">IF(ISNUMBER(U5358),ABS(U5358),"")</f>
        <v>0.465732158398005</v>
      </c>
    </row>
    <row r="5359" customFormat="false" ht="15" hidden="false" customHeight="false" outlineLevel="0" collapsed="false">
      <c r="A5359" s="57" t="n">
        <v>41762</v>
      </c>
      <c r="B5359" s="56" t="n">
        <v>2014</v>
      </c>
      <c r="C5359" s="56" t="n">
        <v>5</v>
      </c>
      <c r="D5359" s="56" t="n">
        <v>3</v>
      </c>
      <c r="E5359" s="56" t="n">
        <v>16.6</v>
      </c>
      <c r="F5359" s="56" t="n">
        <v>0</v>
      </c>
      <c r="G5359" s="56" t="n">
        <v>2.5</v>
      </c>
      <c r="H5359" s="56" t="n">
        <v>0</v>
      </c>
      <c r="I5359" s="56" t="n">
        <v>8.5</v>
      </c>
      <c r="J5359" s="56" t="n">
        <v>0</v>
      </c>
      <c r="K5359" s="56" t="n">
        <v>1028.5</v>
      </c>
      <c r="L5359" s="56" t="n">
        <v>0</v>
      </c>
      <c r="M5359" s="56" t="n">
        <v>56</v>
      </c>
      <c r="N5359" s="56" t="n">
        <v>13.2</v>
      </c>
      <c r="O5359" s="56" t="n">
        <f aca="false">IF(D5359=1,"",E5358)</f>
        <v>14.5</v>
      </c>
      <c r="P5359" s="56" t="n">
        <f aca="false">IF(OR(D5359=1,K5358=""),"",K5358)</f>
        <v>1023.4</v>
      </c>
      <c r="Q5359" s="56" t="n">
        <f aca="false">IF(OR(F5359&lt;&gt;0,AND(I5359&lt;&gt;"",E5359&lt;I5359)),1,0)</f>
        <v>0</v>
      </c>
      <c r="R5359" s="56" t="n">
        <f aca="false">IF(AND(D5359&gt;1,Q5359=0,ISNUMBER(O5359),ISNUMBER(P5359)),IF(Q5358=0,1,0),0)</f>
        <v>1</v>
      </c>
      <c r="S5359" s="56" t="n">
        <f aca="false">R5359*(B5359&gt;=Train_Start)*(B5359&lt;=Train_End)</f>
        <v>0</v>
      </c>
      <c r="T5359" s="84" t="n">
        <f aca="false">IF(AND(ISNUMBER(O5359),ISNUMBER(P5359)),Coef_A+Coef_B1*O5359+Coef_B2*P5359,"")</f>
        <v>16.071343889539</v>
      </c>
      <c r="U5359" s="84" t="n">
        <f aca="false">IF(AND(R5359=1,ISNUMBER(T5359)),E5359-T5359,"")</f>
        <v>0.528656110461022</v>
      </c>
      <c r="V5359" s="84" t="n">
        <f aca="false">IF(ISNUMBER(T5359),T5359,-99)</f>
        <v>16.071343889539</v>
      </c>
      <c r="W5359" s="84" t="n">
        <f aca="false">IF(ISNUMBER(U5359),ABS(U5359),"")</f>
        <v>0.528656110461022</v>
      </c>
    </row>
    <row r="5360" customFormat="false" ht="15" hidden="false" customHeight="false" outlineLevel="0" collapsed="false">
      <c r="A5360" s="57" t="n">
        <v>41763</v>
      </c>
      <c r="B5360" s="56" t="n">
        <v>2014</v>
      </c>
      <c r="C5360" s="56" t="n">
        <v>5</v>
      </c>
      <c r="D5360" s="56" t="n">
        <v>4</v>
      </c>
      <c r="E5360" s="56" t="n">
        <v>18.5</v>
      </c>
      <c r="F5360" s="56" t="n">
        <v>0</v>
      </c>
      <c r="G5360" s="56" t="n">
        <v>4.7</v>
      </c>
      <c r="H5360" s="56" t="n">
        <v>0</v>
      </c>
      <c r="I5360" s="56" t="n">
        <v>10.7</v>
      </c>
      <c r="J5360" s="56" t="n">
        <v>0</v>
      </c>
      <c r="K5360" s="56" t="n">
        <v>1023.2</v>
      </c>
      <c r="L5360" s="56" t="n">
        <v>0</v>
      </c>
      <c r="M5360" s="56" t="n">
        <v>63</v>
      </c>
      <c r="N5360" s="56" t="n">
        <v>10.8</v>
      </c>
      <c r="O5360" s="56" t="n">
        <f aca="false">IF(D5360=1,"",E5359)</f>
        <v>16.6</v>
      </c>
      <c r="P5360" s="56" t="n">
        <f aca="false">IF(OR(D5360=1,K5359=""),"",K5359)</f>
        <v>1028.5</v>
      </c>
      <c r="Q5360" s="56" t="n">
        <f aca="false">IF(OR(F5360&lt;&gt;0,AND(I5360&lt;&gt;"",E5360&lt;I5360)),1,0)</f>
        <v>0</v>
      </c>
      <c r="R5360" s="56" t="n">
        <f aca="false">IF(AND(D5360&gt;1,Q5360=0,ISNUMBER(O5360),ISNUMBER(P5360)),IF(Q5359=0,1,0),0)</f>
        <v>1</v>
      </c>
      <c r="S5360" s="56" t="n">
        <f aca="false">R5360*(B5360&gt;=Train_Start)*(B5360&lt;=Train_End)</f>
        <v>0</v>
      </c>
      <c r="T5360" s="84" t="n">
        <f aca="false">IF(AND(ISNUMBER(O5360),ISNUMBER(P5360)),Coef_A+Coef_B1*O5360+Coef_B2*P5360,"")</f>
        <v>17.9519426575619</v>
      </c>
      <c r="U5360" s="84" t="n">
        <f aca="false">IF(AND(R5360=1,ISNUMBER(T5360)),E5360-T5360,"")</f>
        <v>0.548057342438099</v>
      </c>
      <c r="V5360" s="84" t="n">
        <f aca="false">IF(ISNUMBER(T5360),T5360,-99)</f>
        <v>17.9519426575619</v>
      </c>
      <c r="W5360" s="84" t="n">
        <f aca="false">IF(ISNUMBER(U5360),ABS(U5360),"")</f>
        <v>0.548057342438099</v>
      </c>
    </row>
    <row r="5361" customFormat="false" ht="15" hidden="false" customHeight="false" outlineLevel="0" collapsed="false">
      <c r="A5361" s="57" t="n">
        <v>41764</v>
      </c>
      <c r="B5361" s="56" t="n">
        <v>2014</v>
      </c>
      <c r="C5361" s="56" t="n">
        <v>5</v>
      </c>
      <c r="D5361" s="56" t="n">
        <v>5</v>
      </c>
      <c r="E5361" s="56" t="n">
        <v>18.8</v>
      </c>
      <c r="F5361" s="56" t="n">
        <v>0</v>
      </c>
      <c r="G5361" s="56" t="n">
        <v>5.3</v>
      </c>
      <c r="H5361" s="56" t="n">
        <v>0</v>
      </c>
      <c r="I5361" s="56" t="n">
        <v>11.9</v>
      </c>
      <c r="J5361" s="56" t="n">
        <v>0</v>
      </c>
      <c r="K5361" s="56" t="n">
        <v>1012.6</v>
      </c>
      <c r="L5361" s="56" t="n">
        <v>0</v>
      </c>
      <c r="M5361" s="56" t="n">
        <v>62</v>
      </c>
      <c r="N5361" s="56" t="n">
        <v>9.6</v>
      </c>
      <c r="O5361" s="56" t="n">
        <f aca="false">IF(D5361=1,"",E5360)</f>
        <v>18.5</v>
      </c>
      <c r="P5361" s="56" t="n">
        <f aca="false">IF(OR(D5361=1,K5360=""),"",K5360)</f>
        <v>1023.2</v>
      </c>
      <c r="Q5361" s="56" t="n">
        <f aca="false">IF(OR(F5361&lt;&gt;0,AND(I5361&lt;&gt;"",E5361&lt;I5361)),1,0)</f>
        <v>0</v>
      </c>
      <c r="R5361" s="56" t="n">
        <f aca="false">IF(AND(D5361&gt;1,Q5361=0,ISNUMBER(O5361),ISNUMBER(P5361)),IF(Q5360=0,1,0),0)</f>
        <v>1</v>
      </c>
      <c r="S5361" s="56" t="n">
        <f aca="false">R5361*(B5361&gt;=Train_Start)*(B5361&lt;=Train_End)</f>
        <v>0</v>
      </c>
      <c r="T5361" s="84" t="n">
        <f aca="false">IF(AND(ISNUMBER(O5361),ISNUMBER(P5361)),Coef_A+Coef_B1*O5361+Coef_B2*P5361,"")</f>
        <v>19.3424266827828</v>
      </c>
      <c r="U5361" s="84" t="n">
        <f aca="false">IF(AND(R5361=1,ISNUMBER(T5361)),E5361-T5361,"")</f>
        <v>-0.542426682782811</v>
      </c>
      <c r="V5361" s="84" t="n">
        <f aca="false">IF(ISNUMBER(T5361),T5361,-99)</f>
        <v>19.3424266827828</v>
      </c>
      <c r="W5361" s="84" t="n">
        <f aca="false">IF(ISNUMBER(U5361),ABS(U5361),"")</f>
        <v>0.542426682782811</v>
      </c>
    </row>
    <row r="5362" customFormat="false" ht="15" hidden="false" customHeight="false" outlineLevel="0" collapsed="false">
      <c r="A5362" s="57" t="n">
        <v>41765</v>
      </c>
      <c r="B5362" s="56" t="n">
        <v>2014</v>
      </c>
      <c r="C5362" s="56" t="n">
        <v>5</v>
      </c>
      <c r="D5362" s="56" t="n">
        <v>6</v>
      </c>
      <c r="E5362" s="56" t="n">
        <v>17.8</v>
      </c>
      <c r="F5362" s="56" t="n">
        <v>0</v>
      </c>
      <c r="G5362" s="56" t="n">
        <v>11.9</v>
      </c>
      <c r="H5362" s="56" t="n">
        <v>0</v>
      </c>
      <c r="I5362" s="56" t="n">
        <v>15.4</v>
      </c>
      <c r="J5362" s="56" t="n">
        <v>0</v>
      </c>
      <c r="K5362" s="56" t="n">
        <v>1005.9</v>
      </c>
      <c r="L5362" s="56" t="n">
        <v>0</v>
      </c>
      <c r="M5362" s="56" t="n">
        <v>65</v>
      </c>
      <c r="N5362" s="56" t="n">
        <v>6.9</v>
      </c>
      <c r="O5362" s="56" t="n">
        <f aca="false">IF(D5362=1,"",E5361)</f>
        <v>18.8</v>
      </c>
      <c r="P5362" s="56" t="n">
        <f aca="false">IF(OR(D5362=1,K5361=""),"",K5361)</f>
        <v>1012.6</v>
      </c>
      <c r="Q5362" s="56" t="n">
        <f aca="false">IF(OR(F5362&lt;&gt;0,AND(I5362&lt;&gt;"",E5362&lt;I5362)),1,0)</f>
        <v>0</v>
      </c>
      <c r="R5362" s="56" t="n">
        <f aca="false">IF(AND(D5362&gt;1,Q5362=0,ISNUMBER(O5362),ISNUMBER(P5362)),IF(Q5361=0,1,0),0)</f>
        <v>1</v>
      </c>
      <c r="S5362" s="56" t="n">
        <f aca="false">R5362*(B5362&gt;=Train_Start)*(B5362&lt;=Train_End)</f>
        <v>0</v>
      </c>
      <c r="T5362" s="84" t="n">
        <f aca="false">IF(AND(ISNUMBER(O5362),ISNUMBER(P5362)),Coef_A+Coef_B1*O5362+Coef_B2*P5362,"")</f>
        <v>19.2557075575753</v>
      </c>
      <c r="U5362" s="84" t="n">
        <f aca="false">IF(AND(R5362=1,ISNUMBER(T5362)),E5362-T5362,"")</f>
        <v>-1.45570755757532</v>
      </c>
      <c r="V5362" s="84" t="n">
        <f aca="false">IF(ISNUMBER(T5362),T5362,-99)</f>
        <v>19.2557075575753</v>
      </c>
      <c r="W5362" s="84" t="n">
        <f aca="false">IF(ISNUMBER(U5362),ABS(U5362),"")</f>
        <v>1.45570755757532</v>
      </c>
    </row>
    <row r="5363" customFormat="false" ht="15" hidden="false" customHeight="false" outlineLevel="0" collapsed="false">
      <c r="A5363" s="57" t="n">
        <v>41766</v>
      </c>
      <c r="B5363" s="56" t="n">
        <v>2014</v>
      </c>
      <c r="C5363" s="56" t="n">
        <v>5</v>
      </c>
      <c r="D5363" s="56" t="n">
        <v>7</v>
      </c>
      <c r="E5363" s="56" t="n">
        <v>15.8</v>
      </c>
      <c r="F5363" s="56" t="n">
        <v>0</v>
      </c>
      <c r="G5363" s="56" t="n">
        <v>10.1</v>
      </c>
      <c r="H5363" s="56" t="n">
        <v>0</v>
      </c>
      <c r="I5363" s="56" t="n">
        <v>14</v>
      </c>
      <c r="J5363" s="56" t="n">
        <v>0</v>
      </c>
      <c r="K5363" s="56" t="n">
        <v>1009.1</v>
      </c>
      <c r="L5363" s="56" t="n">
        <v>0</v>
      </c>
      <c r="M5363" s="56" t="n">
        <v>68</v>
      </c>
      <c r="N5363" s="56" t="n">
        <v>4.7</v>
      </c>
      <c r="O5363" s="56" t="n">
        <f aca="false">IF(D5363=1,"",E5362)</f>
        <v>17.8</v>
      </c>
      <c r="P5363" s="56" t="n">
        <f aca="false">IF(OR(D5363=1,K5362=""),"",K5362)</f>
        <v>1005.9</v>
      </c>
      <c r="Q5363" s="56" t="n">
        <f aca="false">IF(OR(F5363&lt;&gt;0,AND(I5363&lt;&gt;"",E5363&lt;I5363)),1,0)</f>
        <v>0</v>
      </c>
      <c r="R5363" s="56" t="n">
        <f aca="false">IF(AND(D5363&gt;1,Q5363=0,ISNUMBER(O5363),ISNUMBER(P5363)),IF(Q5362=0,1,0),0)</f>
        <v>1</v>
      </c>
      <c r="S5363" s="56" t="n">
        <f aca="false">R5363*(B5363&gt;=Train_Start)*(B5363&lt;=Train_End)</f>
        <v>0</v>
      </c>
      <c r="T5363" s="84" t="n">
        <f aca="false">IF(AND(ISNUMBER(O5363),ISNUMBER(P5363)),Coef_A+Coef_B1*O5363+Coef_B2*P5363,"")</f>
        <v>18.2261900704849</v>
      </c>
      <c r="U5363" s="84" t="n">
        <f aca="false">IF(AND(R5363=1,ISNUMBER(T5363)),E5363-T5363,"")</f>
        <v>-2.42619007048493</v>
      </c>
      <c r="V5363" s="84" t="n">
        <f aca="false">IF(ISNUMBER(T5363),T5363,-99)</f>
        <v>18.2261900704849</v>
      </c>
      <c r="W5363" s="84" t="n">
        <f aca="false">IF(ISNUMBER(U5363),ABS(U5363),"")</f>
        <v>2.42619007048493</v>
      </c>
    </row>
    <row r="5364" customFormat="false" ht="15" hidden="false" customHeight="false" outlineLevel="0" collapsed="false">
      <c r="A5364" s="57" t="n">
        <v>41767</v>
      </c>
      <c r="B5364" s="56" t="n">
        <v>2014</v>
      </c>
      <c r="C5364" s="56" t="n">
        <v>5</v>
      </c>
      <c r="D5364" s="56" t="n">
        <v>8</v>
      </c>
      <c r="E5364" s="56" t="n">
        <v>17.8</v>
      </c>
      <c r="F5364" s="56" t="n">
        <v>0</v>
      </c>
      <c r="G5364" s="56" t="n">
        <v>11</v>
      </c>
      <c r="H5364" s="56" t="n">
        <v>0</v>
      </c>
      <c r="I5364" s="56" t="n">
        <v>13.4</v>
      </c>
      <c r="J5364" s="56" t="n">
        <v>0</v>
      </c>
      <c r="K5364" s="56" t="n">
        <v>1008.3</v>
      </c>
      <c r="L5364" s="56" t="n">
        <v>0</v>
      </c>
      <c r="M5364" s="56" t="n">
        <v>82</v>
      </c>
      <c r="N5364" s="56" t="n">
        <v>0.3</v>
      </c>
      <c r="O5364" s="56" t="n">
        <f aca="false">IF(D5364=1,"",E5363)</f>
        <v>15.8</v>
      </c>
      <c r="P5364" s="56" t="n">
        <f aca="false">IF(OR(D5364=1,K5363=""),"",K5363)</f>
        <v>1009.1</v>
      </c>
      <c r="Q5364" s="56" t="n">
        <f aca="false">IF(OR(F5364&lt;&gt;0,AND(I5364&lt;&gt;"",E5364&lt;I5364)),1,0)</f>
        <v>0</v>
      </c>
      <c r="R5364" s="56" t="n">
        <f aca="false">IF(AND(D5364&gt;1,Q5364=0,ISNUMBER(O5364),ISNUMBER(P5364)),IF(Q5363=0,1,0),0)</f>
        <v>1</v>
      </c>
      <c r="S5364" s="56" t="n">
        <f aca="false">R5364*(B5364&gt;=Train_Start)*(B5364&lt;=Train_End)</f>
        <v>0</v>
      </c>
      <c r="T5364" s="84" t="n">
        <f aca="false">IF(AND(ISNUMBER(O5364),ISNUMBER(P5364)),Coef_A+Coef_B1*O5364+Coef_B2*P5364,"")</f>
        <v>16.6878953472284</v>
      </c>
      <c r="U5364" s="84" t="n">
        <f aca="false">IF(AND(R5364=1,ISNUMBER(T5364)),E5364-T5364,"")</f>
        <v>1.11210465277162</v>
      </c>
      <c r="V5364" s="84" t="n">
        <f aca="false">IF(ISNUMBER(T5364),T5364,-99)</f>
        <v>16.6878953472284</v>
      </c>
      <c r="W5364" s="84" t="n">
        <f aca="false">IF(ISNUMBER(U5364),ABS(U5364),"")</f>
        <v>1.11210465277162</v>
      </c>
    </row>
    <row r="5365" customFormat="false" ht="15" hidden="false" customHeight="false" outlineLevel="0" collapsed="false">
      <c r="A5365" s="57" t="n">
        <v>41768</v>
      </c>
      <c r="B5365" s="56" t="n">
        <v>2014</v>
      </c>
      <c r="C5365" s="56" t="n">
        <v>5</v>
      </c>
      <c r="D5365" s="56" t="n">
        <v>9</v>
      </c>
      <c r="E5365" s="56" t="n">
        <v>18.1</v>
      </c>
      <c r="F5365" s="56" t="n">
        <v>0</v>
      </c>
      <c r="G5365" s="56" t="n">
        <v>11.2</v>
      </c>
      <c r="H5365" s="56" t="n">
        <v>0</v>
      </c>
      <c r="I5365" s="56" t="n">
        <v>14.5</v>
      </c>
      <c r="J5365" s="56" t="n">
        <v>0</v>
      </c>
      <c r="K5365" s="56" t="n">
        <v>1011.3</v>
      </c>
      <c r="L5365" s="56" t="n">
        <v>0</v>
      </c>
      <c r="M5365" s="56" t="n">
        <v>61</v>
      </c>
      <c r="N5365" s="56" t="n">
        <v>8.5</v>
      </c>
      <c r="O5365" s="56" t="n">
        <f aca="false">IF(D5365=1,"",E5364)</f>
        <v>17.8</v>
      </c>
      <c r="P5365" s="56" t="n">
        <f aca="false">IF(OR(D5365=1,K5364=""),"",K5364)</f>
        <v>1008.3</v>
      </c>
      <c r="Q5365" s="56" t="n">
        <f aca="false">IF(OR(F5365&lt;&gt;0,AND(I5365&lt;&gt;"",E5365&lt;I5365)),1,0)</f>
        <v>0</v>
      </c>
      <c r="R5365" s="56" t="n">
        <f aca="false">IF(AND(D5365&gt;1,Q5365=0,ISNUMBER(O5365),ISNUMBER(P5365)),IF(Q5364=0,1,0),0)</f>
        <v>1</v>
      </c>
      <c r="S5365" s="56" t="n">
        <f aca="false">R5365*(B5365&gt;=Train_Start)*(B5365&lt;=Train_End)</f>
        <v>0</v>
      </c>
      <c r="T5365" s="84" t="n">
        <f aca="false">IF(AND(ISNUMBER(O5365),ISNUMBER(P5365)),Coef_A+Coef_B1*O5365+Coef_B2*P5365,"")</f>
        <v>18.3014778176065</v>
      </c>
      <c r="U5365" s="84" t="n">
        <f aca="false">IF(AND(R5365=1,ISNUMBER(T5365)),E5365-T5365,"")</f>
        <v>-0.201477817606506</v>
      </c>
      <c r="V5365" s="84" t="n">
        <f aca="false">IF(ISNUMBER(T5365),T5365,-99)</f>
        <v>18.3014778176065</v>
      </c>
      <c r="W5365" s="84" t="n">
        <f aca="false">IF(ISNUMBER(U5365),ABS(U5365),"")</f>
        <v>0.201477817606506</v>
      </c>
    </row>
    <row r="5366" customFormat="false" ht="15" hidden="false" customHeight="false" outlineLevel="0" collapsed="false">
      <c r="A5366" s="57" t="n">
        <v>41769</v>
      </c>
      <c r="B5366" s="56" t="n">
        <v>2014</v>
      </c>
      <c r="C5366" s="56" t="n">
        <v>5</v>
      </c>
      <c r="D5366" s="56" t="n">
        <v>10</v>
      </c>
      <c r="E5366" s="56" t="n">
        <v>14.9</v>
      </c>
      <c r="F5366" s="56" t="n">
        <v>0</v>
      </c>
      <c r="G5366" s="56" t="n">
        <v>10.6</v>
      </c>
      <c r="H5366" s="56" t="n">
        <v>0</v>
      </c>
      <c r="I5366" s="56" t="n">
        <v>14.4</v>
      </c>
      <c r="J5366" s="56" t="n">
        <v>0</v>
      </c>
      <c r="K5366" s="56" t="n">
        <v>1003.9</v>
      </c>
      <c r="L5366" s="56" t="n">
        <v>0</v>
      </c>
      <c r="M5366" s="56" t="n">
        <v>76</v>
      </c>
      <c r="N5366" s="56" t="n">
        <v>4.8</v>
      </c>
      <c r="O5366" s="56" t="n">
        <f aca="false">IF(D5366=1,"",E5365)</f>
        <v>18.1</v>
      </c>
      <c r="P5366" s="56" t="n">
        <f aca="false">IF(OR(D5366=1,K5365=""),"",K5365)</f>
        <v>1011.3</v>
      </c>
      <c r="Q5366" s="56" t="n">
        <f aca="false">IF(OR(F5366&lt;&gt;0,AND(I5366&lt;&gt;"",E5366&lt;I5366)),1,0)</f>
        <v>0</v>
      </c>
      <c r="R5366" s="56" t="n">
        <f aca="false">IF(AND(D5366&gt;1,Q5366=0,ISNUMBER(O5366),ISNUMBER(P5366)),IF(Q5365=0,1,0),0)</f>
        <v>1</v>
      </c>
      <c r="S5366" s="56" t="n">
        <f aca="false">R5366*(B5366&gt;=Train_Start)*(B5366&lt;=Train_End)</f>
        <v>0</v>
      </c>
      <c r="T5366" s="84" t="n">
        <f aca="false">IF(AND(ISNUMBER(O5366),ISNUMBER(P5366)),Coef_A+Coef_B1*O5366+Coef_B2*P5366,"")</f>
        <v>18.6413892594213</v>
      </c>
      <c r="U5366" s="84" t="n">
        <f aca="false">IF(AND(R5366=1,ISNUMBER(T5366)),E5366-T5366,"")</f>
        <v>-3.74138925942127</v>
      </c>
      <c r="V5366" s="84" t="n">
        <f aca="false">IF(ISNUMBER(T5366),T5366,-99)</f>
        <v>18.6413892594213</v>
      </c>
      <c r="W5366" s="84" t="n">
        <f aca="false">IF(ISNUMBER(U5366),ABS(U5366),"")</f>
        <v>3.74138925942127</v>
      </c>
    </row>
    <row r="5367" customFormat="false" ht="15" hidden="false" customHeight="false" outlineLevel="0" collapsed="false">
      <c r="A5367" s="57" t="n">
        <v>41770</v>
      </c>
      <c r="B5367" s="56" t="n">
        <v>2014</v>
      </c>
      <c r="C5367" s="56" t="n">
        <v>5</v>
      </c>
      <c r="D5367" s="56" t="n">
        <v>11</v>
      </c>
      <c r="E5367" s="56" t="n">
        <v>17.9</v>
      </c>
      <c r="F5367" s="56" t="n">
        <v>0</v>
      </c>
      <c r="G5367" s="56" t="n">
        <v>8.7</v>
      </c>
      <c r="H5367" s="56" t="n">
        <v>0</v>
      </c>
      <c r="I5367" s="56" t="n">
        <v>11.8</v>
      </c>
      <c r="J5367" s="56" t="n">
        <v>0</v>
      </c>
      <c r="K5367" s="56" t="n">
        <v>1003.8</v>
      </c>
      <c r="L5367" s="56" t="n">
        <v>0</v>
      </c>
      <c r="M5367" s="56" t="n">
        <v>66</v>
      </c>
      <c r="N5367" s="56" t="n">
        <v>1.9</v>
      </c>
      <c r="O5367" s="56" t="n">
        <f aca="false">IF(D5367=1,"",E5366)</f>
        <v>14.9</v>
      </c>
      <c r="P5367" s="56" t="n">
        <f aca="false">IF(OR(D5367=1,K5366=""),"",K5366)</f>
        <v>1003.9</v>
      </c>
      <c r="Q5367" s="56" t="n">
        <f aca="false">IF(OR(F5367&lt;&gt;0,AND(I5367&lt;&gt;"",E5367&lt;I5367)),1,0)</f>
        <v>0</v>
      </c>
      <c r="R5367" s="56" t="n">
        <f aca="false">IF(AND(D5367&gt;1,Q5367=0,ISNUMBER(O5367),ISNUMBER(P5367)),IF(Q5366=0,1,0),0)</f>
        <v>1</v>
      </c>
      <c r="S5367" s="56" t="n">
        <f aca="false">R5367*(B5367&gt;=Train_Start)*(B5367&lt;=Train_End)</f>
        <v>0</v>
      </c>
      <c r="T5367" s="84" t="n">
        <f aca="false">IF(AND(ISNUMBER(O5367),ISNUMBER(P5367)),Coef_A+Coef_B1*O5367+Coef_B2*P5367,"")</f>
        <v>15.7873666213932</v>
      </c>
      <c r="U5367" s="84" t="n">
        <f aca="false">IF(AND(R5367=1,ISNUMBER(T5367)),E5367-T5367,"")</f>
        <v>2.11263337860675</v>
      </c>
      <c r="V5367" s="84" t="n">
        <f aca="false">IF(ISNUMBER(T5367),T5367,-99)</f>
        <v>15.7873666213932</v>
      </c>
      <c r="W5367" s="84" t="n">
        <f aca="false">IF(ISNUMBER(U5367),ABS(U5367),"")</f>
        <v>2.11263337860675</v>
      </c>
    </row>
    <row r="5368" customFormat="false" ht="15" hidden="false" customHeight="false" outlineLevel="0" collapsed="false">
      <c r="A5368" s="57" t="n">
        <v>41771</v>
      </c>
      <c r="B5368" s="56" t="n">
        <v>2014</v>
      </c>
      <c r="C5368" s="56" t="n">
        <v>5</v>
      </c>
      <c r="D5368" s="56" t="n">
        <v>12</v>
      </c>
      <c r="E5368" s="56" t="n">
        <v>16.4</v>
      </c>
      <c r="F5368" s="56" t="n">
        <v>0</v>
      </c>
      <c r="G5368" s="56" t="n">
        <v>8.9</v>
      </c>
      <c r="H5368" s="56" t="n">
        <v>0</v>
      </c>
      <c r="I5368" s="56" t="n">
        <v>13.4</v>
      </c>
      <c r="J5368" s="56" t="n">
        <v>0</v>
      </c>
      <c r="K5368" s="56" t="n">
        <v>1010.3</v>
      </c>
      <c r="L5368" s="56" t="n">
        <v>0</v>
      </c>
      <c r="M5368" s="56" t="n">
        <v>68</v>
      </c>
      <c r="N5368" s="56" t="n">
        <v>7.9</v>
      </c>
      <c r="O5368" s="56" t="n">
        <f aca="false">IF(D5368=1,"",E5367)</f>
        <v>17.9</v>
      </c>
      <c r="P5368" s="56" t="n">
        <f aca="false">IF(OR(D5368=1,K5367=""),"",K5367)</f>
        <v>1003.8</v>
      </c>
      <c r="Q5368" s="56" t="n">
        <f aca="false">IF(OR(F5368&lt;&gt;0,AND(I5368&lt;&gt;"",E5368&lt;I5368)),1,0)</f>
        <v>0</v>
      </c>
      <c r="R5368" s="56" t="n">
        <f aca="false">IF(AND(D5368&gt;1,Q5368=0,ISNUMBER(O5368),ISNUMBER(P5368)),IF(Q5367=0,1,0),0)</f>
        <v>1</v>
      </c>
      <c r="S5368" s="56" t="n">
        <f aca="false">R5368*(B5368&gt;=Train_Start)*(B5368&lt;=Train_End)</f>
        <v>0</v>
      </c>
      <c r="T5368" s="84" t="n">
        <f aca="false">IF(AND(ISNUMBER(O5368),ISNUMBER(P5368)),Coef_A+Coef_B1*O5368+Coef_B2*P5368,"")</f>
        <v>18.2422472110578</v>
      </c>
      <c r="U5368" s="84" t="n">
        <f aca="false">IF(AND(R5368=1,ISNUMBER(T5368)),E5368-T5368,"")</f>
        <v>-1.84224721105782</v>
      </c>
      <c r="V5368" s="84" t="n">
        <f aca="false">IF(ISNUMBER(T5368),T5368,-99)</f>
        <v>18.2422472110578</v>
      </c>
      <c r="W5368" s="84" t="n">
        <f aca="false">IF(ISNUMBER(U5368),ABS(U5368),"")</f>
        <v>1.84224721105782</v>
      </c>
    </row>
    <row r="5369" customFormat="false" ht="15" hidden="false" customHeight="false" outlineLevel="0" collapsed="false">
      <c r="A5369" s="57" t="n">
        <v>41772</v>
      </c>
      <c r="B5369" s="56" t="n">
        <v>2014</v>
      </c>
      <c r="C5369" s="56" t="n">
        <v>5</v>
      </c>
      <c r="D5369" s="56" t="n">
        <v>13</v>
      </c>
      <c r="E5369" s="56" t="n">
        <v>19.5</v>
      </c>
      <c r="F5369" s="56" t="n">
        <v>0</v>
      </c>
      <c r="G5369" s="56" t="n">
        <v>8.5</v>
      </c>
      <c r="H5369" s="56" t="n">
        <v>0</v>
      </c>
      <c r="I5369" s="56" t="n">
        <v>12.5</v>
      </c>
      <c r="J5369" s="56" t="n">
        <v>0</v>
      </c>
      <c r="K5369" s="56" t="n">
        <v>1019.5</v>
      </c>
      <c r="L5369" s="56" t="n">
        <v>0</v>
      </c>
      <c r="M5369" s="56" t="n">
        <v>76</v>
      </c>
      <c r="N5369" s="56" t="n">
        <v>3.1</v>
      </c>
      <c r="O5369" s="56" t="n">
        <f aca="false">IF(D5369=1,"",E5368)</f>
        <v>16.4</v>
      </c>
      <c r="P5369" s="56" t="n">
        <f aca="false">IF(OR(D5369=1,K5368=""),"",K5368)</f>
        <v>1010.3</v>
      </c>
      <c r="Q5369" s="56" t="n">
        <f aca="false">IF(OR(F5369&lt;&gt;0,AND(I5369&lt;&gt;"",E5369&lt;I5369)),1,0)</f>
        <v>0</v>
      </c>
      <c r="R5369" s="56" t="n">
        <f aca="false">IF(AND(D5369&gt;1,Q5369=0,ISNUMBER(O5369),ISNUMBER(P5369)),IF(Q5368=0,1,0),0)</f>
        <v>1</v>
      </c>
      <c r="S5369" s="56" t="n">
        <f aca="false">R5369*(B5369&gt;=Train_Start)*(B5369&lt;=Train_End)</f>
        <v>0</v>
      </c>
      <c r="T5369" s="84" t="n">
        <f aca="false">IF(AND(ISNUMBER(O5369),ISNUMBER(P5369)),Coef_A+Coef_B1*O5369+Coef_B2*P5369,"")</f>
        <v>17.2171427366148</v>
      </c>
      <c r="U5369" s="84" t="n">
        <f aca="false">IF(AND(R5369=1,ISNUMBER(T5369)),E5369-T5369,"")</f>
        <v>2.28285726338524</v>
      </c>
      <c r="V5369" s="84" t="n">
        <f aca="false">IF(ISNUMBER(T5369),T5369,-99)</f>
        <v>17.2171427366148</v>
      </c>
      <c r="W5369" s="84" t="n">
        <f aca="false">IF(ISNUMBER(U5369),ABS(U5369),"")</f>
        <v>2.28285726338524</v>
      </c>
    </row>
    <row r="5370" customFormat="false" ht="15" hidden="false" customHeight="false" outlineLevel="0" collapsed="false">
      <c r="A5370" s="57" t="n">
        <v>41773</v>
      </c>
      <c r="B5370" s="56" t="n">
        <v>2014</v>
      </c>
      <c r="C5370" s="56" t="n">
        <v>5</v>
      </c>
      <c r="D5370" s="56" t="n">
        <v>14</v>
      </c>
      <c r="E5370" s="56" t="n">
        <v>21.5</v>
      </c>
      <c r="F5370" s="56" t="n">
        <v>0</v>
      </c>
      <c r="G5370" s="56" t="n">
        <v>6.2</v>
      </c>
      <c r="H5370" s="56" t="n">
        <v>0</v>
      </c>
      <c r="I5370" s="56" t="n">
        <v>12.9</v>
      </c>
      <c r="J5370" s="56" t="n">
        <v>0</v>
      </c>
      <c r="K5370" s="56" t="n">
        <v>1031</v>
      </c>
      <c r="L5370" s="56" t="n">
        <v>0</v>
      </c>
      <c r="M5370" s="56" t="n">
        <v>61</v>
      </c>
      <c r="N5370" s="56" t="n">
        <v>12.7</v>
      </c>
      <c r="O5370" s="56" t="n">
        <f aca="false">IF(D5370=1,"",E5369)</f>
        <v>19.5</v>
      </c>
      <c r="P5370" s="56" t="n">
        <f aca="false">IF(OR(D5370=1,K5369=""),"",K5369)</f>
        <v>1019.5</v>
      </c>
      <c r="Q5370" s="56" t="n">
        <f aca="false">IF(OR(F5370&lt;&gt;0,AND(I5370&lt;&gt;"",E5370&lt;I5370)),1,0)</f>
        <v>0</v>
      </c>
      <c r="R5370" s="56" t="n">
        <f aca="false">IF(AND(D5370&gt;1,Q5370=0,ISNUMBER(O5370),ISNUMBER(P5370)),IF(Q5369=0,1,0),0)</f>
        <v>1</v>
      </c>
      <c r="S5370" s="56" t="n">
        <f aca="false">R5370*(B5370&gt;=Train_Start)*(B5370&lt;=Train_End)</f>
        <v>0</v>
      </c>
      <c r="T5370" s="84" t="n">
        <f aca="false">IF(AND(ISNUMBER(O5370),ISNUMBER(P5370)),Coef_A+Coef_B1*O5370+Coef_B2*P5370,"")</f>
        <v>20.0456972656797</v>
      </c>
      <c r="U5370" s="84" t="n">
        <f aca="false">IF(AND(R5370=1,ISNUMBER(T5370)),E5370-T5370,"")</f>
        <v>1.45430273432029</v>
      </c>
      <c r="V5370" s="84" t="n">
        <f aca="false">IF(ISNUMBER(T5370),T5370,-99)</f>
        <v>20.0456972656797</v>
      </c>
      <c r="W5370" s="84" t="n">
        <f aca="false">IF(ISNUMBER(U5370),ABS(U5370),"")</f>
        <v>1.45430273432029</v>
      </c>
    </row>
    <row r="5371" customFormat="false" ht="15" hidden="false" customHeight="false" outlineLevel="0" collapsed="false">
      <c r="A5371" s="57" t="n">
        <v>41774</v>
      </c>
      <c r="B5371" s="56" t="n">
        <v>2014</v>
      </c>
      <c r="C5371" s="56" t="n">
        <v>5</v>
      </c>
      <c r="D5371" s="56" t="n">
        <v>15</v>
      </c>
      <c r="E5371" s="56" t="n">
        <v>22.8</v>
      </c>
      <c r="F5371" s="56" t="n">
        <v>0</v>
      </c>
      <c r="G5371" s="56" t="n">
        <v>8.2</v>
      </c>
      <c r="H5371" s="56" t="n">
        <v>0</v>
      </c>
      <c r="I5371" s="56" t="n">
        <v>14.9</v>
      </c>
      <c r="J5371" s="56" t="n">
        <v>0</v>
      </c>
      <c r="K5371" s="56" t="n">
        <v>1035.6</v>
      </c>
      <c r="L5371" s="56" t="n">
        <v>0</v>
      </c>
      <c r="M5371" s="56" t="n">
        <v>63</v>
      </c>
      <c r="N5371" s="56" t="n">
        <v>10.9</v>
      </c>
      <c r="O5371" s="56" t="n">
        <f aca="false">IF(D5371=1,"",E5370)</f>
        <v>21.5</v>
      </c>
      <c r="P5371" s="56" t="n">
        <f aca="false">IF(OR(D5371=1,K5370=""),"",K5370)</f>
        <v>1031</v>
      </c>
      <c r="Q5371" s="56" t="n">
        <f aca="false">IF(OR(F5371&lt;&gt;0,AND(I5371&lt;&gt;"",E5371&lt;I5371)),1,0)</f>
        <v>0</v>
      </c>
      <c r="R5371" s="56" t="n">
        <f aca="false">IF(AND(D5371&gt;1,Q5371=0,ISNUMBER(O5371),ISNUMBER(P5371)),IF(Q5370=0,1,0),0)</f>
        <v>1</v>
      </c>
      <c r="S5371" s="56" t="n">
        <f aca="false">R5371*(B5371&gt;=Train_Start)*(B5371&lt;=Train_End)</f>
        <v>0</v>
      </c>
      <c r="T5371" s="84" t="n">
        <f aca="false">IF(AND(ISNUMBER(O5371),ISNUMBER(P5371)),Coef_A+Coef_B1*O5371+Coef_B2*P5371,"")</f>
        <v>22.0451294400559</v>
      </c>
      <c r="U5371" s="84" t="n">
        <f aca="false">IF(AND(R5371=1,ISNUMBER(T5371)),E5371-T5371,"")</f>
        <v>0.754870559944099</v>
      </c>
      <c r="V5371" s="84" t="n">
        <f aca="false">IF(ISNUMBER(T5371),T5371,-99)</f>
        <v>22.0451294400559</v>
      </c>
      <c r="W5371" s="84" t="n">
        <f aca="false">IF(ISNUMBER(U5371),ABS(U5371),"")</f>
        <v>0.754870559944099</v>
      </c>
    </row>
    <row r="5372" customFormat="false" ht="15" hidden="false" customHeight="false" outlineLevel="0" collapsed="false">
      <c r="A5372" s="57" t="n">
        <v>41775</v>
      </c>
      <c r="B5372" s="56" t="n">
        <v>2014</v>
      </c>
      <c r="C5372" s="56" t="n">
        <v>5</v>
      </c>
      <c r="D5372" s="56" t="n">
        <v>16</v>
      </c>
      <c r="E5372" s="56" t="n">
        <v>23.8</v>
      </c>
      <c r="F5372" s="56" t="n">
        <v>0</v>
      </c>
      <c r="G5372" s="56" t="n">
        <v>9.5</v>
      </c>
      <c r="H5372" s="56" t="n">
        <v>0</v>
      </c>
      <c r="I5372" s="56" t="n">
        <v>16.2</v>
      </c>
      <c r="J5372" s="56" t="n">
        <v>0</v>
      </c>
      <c r="K5372" s="56" t="n">
        <v>1031.9</v>
      </c>
      <c r="L5372" s="56" t="n">
        <v>0</v>
      </c>
      <c r="M5372" s="56" t="n">
        <v>60</v>
      </c>
      <c r="N5372" s="56" t="n">
        <v>9</v>
      </c>
      <c r="O5372" s="56" t="n">
        <f aca="false">IF(D5372=1,"",E5371)</f>
        <v>22.8</v>
      </c>
      <c r="P5372" s="56" t="n">
        <f aca="false">IF(OR(D5372=1,K5371=""),"",K5371)</f>
        <v>1035.6</v>
      </c>
      <c r="Q5372" s="56" t="n">
        <f aca="false">IF(OR(F5372&lt;&gt;0,AND(I5372&lt;&gt;"",E5372&lt;I5372)),1,0)</f>
        <v>0</v>
      </c>
      <c r="R5372" s="56" t="n">
        <f aca="false">IF(AND(D5372&gt;1,Q5372=0,ISNUMBER(O5372),ISNUMBER(P5372)),IF(Q5371=0,1,0),0)</f>
        <v>1</v>
      </c>
      <c r="S5372" s="56" t="n">
        <f aca="false">R5372*(B5372&gt;=Train_Start)*(B5372&lt;=Train_End)</f>
        <v>0</v>
      </c>
      <c r="T5372" s="84" t="n">
        <f aca="false">IF(AND(ISNUMBER(O5372),ISNUMBER(P5372)),Coef_A+Coef_B1*O5372+Coef_B2*P5372,"")</f>
        <v>23.2545719063277</v>
      </c>
      <c r="U5372" s="84" t="n">
        <f aca="false">IF(AND(R5372=1,ISNUMBER(T5372)),E5372-T5372,"")</f>
        <v>0.5454280936723</v>
      </c>
      <c r="V5372" s="84" t="n">
        <f aca="false">IF(ISNUMBER(T5372),T5372,-99)</f>
        <v>23.2545719063277</v>
      </c>
      <c r="W5372" s="84" t="n">
        <f aca="false">IF(ISNUMBER(U5372),ABS(U5372),"")</f>
        <v>0.5454280936723</v>
      </c>
    </row>
    <row r="5373" customFormat="false" ht="15" hidden="false" customHeight="false" outlineLevel="0" collapsed="false">
      <c r="A5373" s="57" t="n">
        <v>41776</v>
      </c>
      <c r="B5373" s="56" t="n">
        <v>2014</v>
      </c>
      <c r="C5373" s="56" t="n">
        <v>5</v>
      </c>
      <c r="D5373" s="56" t="n">
        <v>17</v>
      </c>
      <c r="E5373" s="56" t="n">
        <v>23.5</v>
      </c>
      <c r="F5373" s="56" t="n">
        <v>0</v>
      </c>
      <c r="G5373" s="56" t="n">
        <v>11.3</v>
      </c>
      <c r="H5373" s="56" t="n">
        <v>0</v>
      </c>
      <c r="I5373" s="56" t="n">
        <v>17.6</v>
      </c>
      <c r="J5373" s="56" t="n">
        <v>0</v>
      </c>
      <c r="K5373" s="56" t="n">
        <v>1023.3</v>
      </c>
      <c r="L5373" s="56" t="n">
        <v>0</v>
      </c>
      <c r="M5373" s="56" t="n">
        <v>64</v>
      </c>
      <c r="N5373" s="56" t="n">
        <v>9.5</v>
      </c>
      <c r="O5373" s="56" t="n">
        <f aca="false">IF(D5373=1,"",E5372)</f>
        <v>23.8</v>
      </c>
      <c r="P5373" s="56" t="n">
        <f aca="false">IF(OR(D5373=1,K5372=""),"",K5372)</f>
        <v>1031.9</v>
      </c>
      <c r="Q5373" s="56" t="n">
        <f aca="false">IF(OR(F5373&lt;&gt;0,AND(I5373&lt;&gt;"",E5373&lt;I5373)),1,0)</f>
        <v>0</v>
      </c>
      <c r="R5373" s="56" t="n">
        <f aca="false">IF(AND(D5373&gt;1,Q5373=0,ISNUMBER(O5373),ISNUMBER(P5373)),IF(Q5372=0,1,0),0)</f>
        <v>1</v>
      </c>
      <c r="S5373" s="56" t="n">
        <f aca="false">R5373*(B5373&gt;=Train_Start)*(B5373&lt;=Train_End)</f>
        <v>0</v>
      </c>
      <c r="T5373" s="84" t="n">
        <f aca="false">IF(AND(ISNUMBER(O5373),ISNUMBER(P5373)),Coef_A+Coef_B1*O5373+Coef_B2*P5373,"")</f>
        <v>23.9578424892246</v>
      </c>
      <c r="U5373" s="84" t="n">
        <f aca="false">IF(AND(R5373=1,ISNUMBER(T5373)),E5373-T5373,"")</f>
        <v>-0.457842489224603</v>
      </c>
      <c r="V5373" s="84" t="n">
        <f aca="false">IF(ISNUMBER(T5373),T5373,-99)</f>
        <v>23.9578424892246</v>
      </c>
      <c r="W5373" s="84" t="n">
        <f aca="false">IF(ISNUMBER(U5373),ABS(U5373),"")</f>
        <v>0.457842489224603</v>
      </c>
    </row>
    <row r="5374" customFormat="false" ht="15" hidden="false" customHeight="false" outlineLevel="0" collapsed="false">
      <c r="A5374" s="57" t="n">
        <v>41777</v>
      </c>
      <c r="B5374" s="56" t="n">
        <v>2014</v>
      </c>
      <c r="C5374" s="56" t="n">
        <v>5</v>
      </c>
      <c r="D5374" s="56" t="n">
        <v>18</v>
      </c>
      <c r="E5374" s="56" t="n">
        <v>26.3</v>
      </c>
      <c r="F5374" s="56" t="n">
        <v>0</v>
      </c>
      <c r="G5374" s="56" t="n">
        <v>12.2</v>
      </c>
      <c r="H5374" s="56" t="n">
        <v>0</v>
      </c>
      <c r="I5374" s="56" t="n">
        <v>17.9</v>
      </c>
      <c r="J5374" s="56" t="n">
        <v>0</v>
      </c>
      <c r="K5374" s="56" t="n">
        <v>1012.1</v>
      </c>
      <c r="L5374" s="56" t="n">
        <v>0</v>
      </c>
      <c r="M5374" s="56" t="n">
        <v>60</v>
      </c>
      <c r="N5374" s="56" t="n">
        <v>13.6</v>
      </c>
      <c r="O5374" s="56" t="n">
        <f aca="false">IF(D5374=1,"",E5373)</f>
        <v>23.5</v>
      </c>
      <c r="P5374" s="56" t="n">
        <f aca="false">IF(OR(D5374=1,K5373=""),"",K5373)</f>
        <v>1023.3</v>
      </c>
      <c r="Q5374" s="56" t="n">
        <f aca="false">IF(OR(F5374&lt;&gt;0,AND(I5374&lt;&gt;"",E5374&lt;I5374)),1,0)</f>
        <v>0</v>
      </c>
      <c r="R5374" s="56" t="n">
        <f aca="false">IF(AND(D5374&gt;1,Q5374=0,ISNUMBER(O5374),ISNUMBER(P5374)),IF(Q5373=0,1,0),0)</f>
        <v>1</v>
      </c>
      <c r="S5374" s="56" t="n">
        <f aca="false">R5374*(B5374&gt;=Train_Start)*(B5374&lt;=Train_End)</f>
        <v>0</v>
      </c>
      <c r="T5374" s="84" t="n">
        <f aca="false">IF(AND(ISNUMBER(O5374),ISNUMBER(P5374)),Coef_A+Coef_B1*O5374+Coef_B2*P5374,"")</f>
        <v>23.4422596374595</v>
      </c>
      <c r="U5374" s="84" t="n">
        <f aca="false">IF(AND(R5374=1,ISNUMBER(T5374)),E5374-T5374,"")</f>
        <v>2.8577403625405</v>
      </c>
      <c r="V5374" s="84" t="n">
        <f aca="false">IF(ISNUMBER(T5374),T5374,-99)</f>
        <v>23.4422596374595</v>
      </c>
      <c r="W5374" s="84" t="n">
        <f aca="false">IF(ISNUMBER(U5374),ABS(U5374),"")</f>
        <v>2.8577403625405</v>
      </c>
    </row>
    <row r="5375" customFormat="false" ht="15" hidden="false" customHeight="false" outlineLevel="0" collapsed="false">
      <c r="A5375" s="57" t="n">
        <v>41778</v>
      </c>
      <c r="B5375" s="56" t="n">
        <v>2014</v>
      </c>
      <c r="C5375" s="56" t="n">
        <v>5</v>
      </c>
      <c r="D5375" s="56" t="n">
        <v>19</v>
      </c>
      <c r="E5375" s="56" t="n">
        <v>20.1</v>
      </c>
      <c r="F5375" s="56" t="n">
        <v>0</v>
      </c>
      <c r="G5375" s="56" t="n">
        <v>13.7</v>
      </c>
      <c r="H5375" s="56" t="n">
        <v>0</v>
      </c>
      <c r="I5375" s="56" t="n">
        <v>20</v>
      </c>
      <c r="J5375" s="56" t="n">
        <v>0</v>
      </c>
      <c r="K5375" s="56" t="n">
        <v>1003.6</v>
      </c>
      <c r="L5375" s="56" t="n">
        <v>0</v>
      </c>
      <c r="M5375" s="56" t="n">
        <v>56</v>
      </c>
      <c r="N5375" s="56" t="n">
        <v>10.9</v>
      </c>
      <c r="O5375" s="56" t="n">
        <f aca="false">IF(D5375=1,"",E5374)</f>
        <v>26.3</v>
      </c>
      <c r="P5375" s="56" t="n">
        <f aca="false">IF(OR(D5375=1,K5374=""),"",K5374)</f>
        <v>1012.1</v>
      </c>
      <c r="Q5375" s="56" t="n">
        <f aca="false">IF(OR(F5375&lt;&gt;0,AND(I5375&lt;&gt;"",E5375&lt;I5375)),1,0)</f>
        <v>0</v>
      </c>
      <c r="R5375" s="56" t="n">
        <f aca="false">IF(AND(D5375&gt;1,Q5375=0,ISNUMBER(O5375),ISNUMBER(P5375)),IF(Q5374=0,1,0),0)</f>
        <v>1</v>
      </c>
      <c r="S5375" s="56" t="n">
        <f aca="false">R5375*(B5375&gt;=Train_Start)*(B5375&lt;=Train_End)</f>
        <v>0</v>
      </c>
      <c r="T5375" s="84" t="n">
        <f aca="false">IF(AND(ISNUMBER(O5375),ISNUMBER(P5375)),Coef_A+Coef_B1*O5375+Coef_B2*P5375,"")</f>
        <v>25.3850665580783</v>
      </c>
      <c r="U5375" s="84" t="n">
        <f aca="false">IF(AND(R5375=1,ISNUMBER(T5375)),E5375-T5375,"")</f>
        <v>-5.28506655807826</v>
      </c>
      <c r="V5375" s="84" t="n">
        <f aca="false">IF(ISNUMBER(T5375),T5375,-99)</f>
        <v>25.3850665580783</v>
      </c>
      <c r="W5375" s="84" t="n">
        <f aca="false">IF(ISNUMBER(U5375),ABS(U5375),"")</f>
        <v>5.28506655807826</v>
      </c>
    </row>
    <row r="5376" customFormat="false" ht="15" hidden="false" customHeight="false" outlineLevel="0" collapsed="false">
      <c r="A5376" s="57" t="n">
        <v>41779</v>
      </c>
      <c r="B5376" s="56" t="n">
        <v>2014</v>
      </c>
      <c r="C5376" s="56" t="n">
        <v>5</v>
      </c>
      <c r="D5376" s="56" t="n">
        <v>20</v>
      </c>
      <c r="E5376" s="56" t="n">
        <v>19.3</v>
      </c>
      <c r="F5376" s="56" t="n">
        <v>0</v>
      </c>
      <c r="G5376" s="56" t="n">
        <v>14.7</v>
      </c>
      <c r="H5376" s="56" t="n">
        <v>0</v>
      </c>
      <c r="I5376" s="56" t="n">
        <v>17.4</v>
      </c>
      <c r="J5376" s="56" t="n">
        <v>0</v>
      </c>
      <c r="K5376" s="56" t="n">
        <v>1007</v>
      </c>
      <c r="L5376" s="56" t="n">
        <v>0</v>
      </c>
      <c r="M5376" s="56" t="n">
        <v>70</v>
      </c>
      <c r="N5376" s="56" t="n">
        <v>2.4</v>
      </c>
      <c r="O5376" s="56" t="n">
        <f aca="false">IF(D5376=1,"",E5375)</f>
        <v>20.1</v>
      </c>
      <c r="P5376" s="56" t="n">
        <f aca="false">IF(OR(D5376=1,K5375=""),"",K5375)</f>
        <v>1003.6</v>
      </c>
      <c r="Q5376" s="56" t="n">
        <f aca="false">IF(OR(F5376&lt;&gt;0,AND(I5376&lt;&gt;"",E5376&lt;I5376)),1,0)</f>
        <v>0</v>
      </c>
      <c r="R5376" s="56" t="n">
        <f aca="false">IF(AND(D5376&gt;1,Q5376=0,ISNUMBER(O5376),ISNUMBER(P5376)),IF(Q5375=0,1,0),0)</f>
        <v>1</v>
      </c>
      <c r="S5376" s="56" t="n">
        <f aca="false">R5376*(B5376&gt;=Train_Start)*(B5376&lt;=Train_End)</f>
        <v>0</v>
      </c>
      <c r="T5376" s="84" t="n">
        <f aca="false">IF(AND(ISNUMBER(O5376),ISNUMBER(P5376)),Coef_A+Coef_B1*O5376+Coef_B2*P5376,"")</f>
        <v>20.0385194568249</v>
      </c>
      <c r="U5376" s="84" t="n">
        <f aca="false">IF(AND(R5376=1,ISNUMBER(T5376)),E5376-T5376,"")</f>
        <v>-0.738519456824871</v>
      </c>
      <c r="V5376" s="84" t="n">
        <f aca="false">IF(ISNUMBER(T5376),T5376,-99)</f>
        <v>20.0385194568249</v>
      </c>
      <c r="W5376" s="84" t="n">
        <f aca="false">IF(ISNUMBER(U5376),ABS(U5376),"")</f>
        <v>0.738519456824871</v>
      </c>
    </row>
    <row r="5377" customFormat="false" ht="15" hidden="false" customHeight="false" outlineLevel="0" collapsed="false">
      <c r="A5377" s="57" t="n">
        <v>41780</v>
      </c>
      <c r="B5377" s="56" t="n">
        <v>2014</v>
      </c>
      <c r="C5377" s="56" t="n">
        <v>5</v>
      </c>
      <c r="D5377" s="56" t="n">
        <v>21</v>
      </c>
      <c r="E5377" s="56" t="n">
        <v>17.8</v>
      </c>
      <c r="F5377" s="56" t="n">
        <v>0</v>
      </c>
      <c r="G5377" s="56" t="n">
        <v>9.6</v>
      </c>
      <c r="H5377" s="56" t="n">
        <v>0</v>
      </c>
      <c r="I5377" s="56" t="n">
        <v>14.5</v>
      </c>
      <c r="J5377" s="56" t="n">
        <v>0</v>
      </c>
      <c r="K5377" s="56" t="n">
        <v>1008.2</v>
      </c>
      <c r="L5377" s="56" t="n">
        <v>0</v>
      </c>
      <c r="M5377" s="56" t="n">
        <v>68</v>
      </c>
      <c r="N5377" s="56" t="n">
        <v>5.9</v>
      </c>
      <c r="O5377" s="56" t="n">
        <f aca="false">IF(D5377=1,"",E5376)</f>
        <v>19.3</v>
      </c>
      <c r="P5377" s="56" t="n">
        <f aca="false">IF(OR(D5377=1,K5376=""),"",K5376)</f>
        <v>1007</v>
      </c>
      <c r="Q5377" s="56" t="n">
        <f aca="false">IF(OR(F5377&lt;&gt;0,AND(I5377&lt;&gt;"",E5377&lt;I5377)),1,0)</f>
        <v>0</v>
      </c>
      <c r="R5377" s="56" t="n">
        <f aca="false">IF(AND(D5377&gt;1,Q5377=0,ISNUMBER(O5377),ISNUMBER(P5377)),IF(Q5376=0,1,0),0)</f>
        <v>1</v>
      </c>
      <c r="S5377" s="56" t="n">
        <f aca="false">R5377*(B5377&gt;=Train_Start)*(B5377&lt;=Train_End)</f>
        <v>0</v>
      </c>
      <c r="T5377" s="84" t="n">
        <f aca="false">IF(AND(ISNUMBER(O5377),ISNUMBER(P5377)),Coef_A+Coef_B1*O5377+Coef_B2*P5377,"")</f>
        <v>19.4897057441463</v>
      </c>
      <c r="U5377" s="84" t="n">
        <f aca="false">IF(AND(R5377=1,ISNUMBER(T5377)),E5377-T5377,"")</f>
        <v>-1.68970574414631</v>
      </c>
      <c r="V5377" s="84" t="n">
        <f aca="false">IF(ISNUMBER(T5377),T5377,-99)</f>
        <v>19.4897057441463</v>
      </c>
      <c r="W5377" s="84" t="n">
        <f aca="false">IF(ISNUMBER(U5377),ABS(U5377),"")</f>
        <v>1.68970574414631</v>
      </c>
    </row>
    <row r="5378" customFormat="false" ht="15" hidden="false" customHeight="false" outlineLevel="0" collapsed="false">
      <c r="A5378" s="57" t="n">
        <v>41781</v>
      </c>
      <c r="B5378" s="56" t="n">
        <v>2014</v>
      </c>
      <c r="C5378" s="56" t="n">
        <v>5</v>
      </c>
      <c r="D5378" s="56" t="n">
        <v>22</v>
      </c>
      <c r="E5378" s="56" t="n">
        <v>17</v>
      </c>
      <c r="F5378" s="56" t="n">
        <v>0</v>
      </c>
      <c r="G5378" s="56" t="n">
        <v>12.1</v>
      </c>
      <c r="H5378" s="56" t="n">
        <v>0</v>
      </c>
      <c r="I5378" s="56" t="n">
        <v>15</v>
      </c>
      <c r="J5378" s="56" t="n">
        <v>0</v>
      </c>
      <c r="K5378" s="56" t="n">
        <v>1001.6</v>
      </c>
      <c r="L5378" s="56" t="n">
        <v>0</v>
      </c>
      <c r="M5378" s="56" t="n">
        <v>77</v>
      </c>
      <c r="N5378" s="56" t="n">
        <v>4.8</v>
      </c>
      <c r="O5378" s="56" t="n">
        <f aca="false">IF(D5378=1,"",E5377)</f>
        <v>17.8</v>
      </c>
      <c r="P5378" s="56" t="n">
        <f aca="false">IF(OR(D5378=1,K5377=""),"",K5377)</f>
        <v>1008.2</v>
      </c>
      <c r="Q5378" s="56" t="n">
        <f aca="false">IF(OR(F5378&lt;&gt;0,AND(I5378&lt;&gt;"",E5378&lt;I5378)),1,0)</f>
        <v>0</v>
      </c>
      <c r="R5378" s="56" t="n">
        <f aca="false">IF(AND(D5378&gt;1,Q5378=0,ISNUMBER(O5378),ISNUMBER(P5378)),IF(Q5377=0,1,0),0)</f>
        <v>1</v>
      </c>
      <c r="S5378" s="56" t="n">
        <f aca="false">R5378*(B5378&gt;=Train_Start)*(B5378&lt;=Train_End)</f>
        <v>0</v>
      </c>
      <c r="T5378" s="84" t="n">
        <f aca="false">IF(AND(ISNUMBER(O5378),ISNUMBER(P5378)),Coef_A+Coef_B1*O5378+Coef_B2*P5378,"")</f>
        <v>18.2983408281431</v>
      </c>
      <c r="U5378" s="84" t="n">
        <f aca="false">IF(AND(R5378=1,ISNUMBER(T5378)),E5378-T5378,"")</f>
        <v>-1.29834082814311</v>
      </c>
      <c r="V5378" s="84" t="n">
        <f aca="false">IF(ISNUMBER(T5378),T5378,-99)</f>
        <v>18.2983408281431</v>
      </c>
      <c r="W5378" s="84" t="n">
        <f aca="false">IF(ISNUMBER(U5378),ABS(U5378),"")</f>
        <v>1.29834082814311</v>
      </c>
    </row>
    <row r="5379" customFormat="false" ht="15" hidden="false" customHeight="false" outlineLevel="0" collapsed="false">
      <c r="A5379" s="57" t="n">
        <v>41782</v>
      </c>
      <c r="B5379" s="56" t="n">
        <v>2014</v>
      </c>
      <c r="C5379" s="56" t="n">
        <v>5</v>
      </c>
      <c r="D5379" s="56" t="n">
        <v>23</v>
      </c>
      <c r="E5379" s="56" t="n">
        <v>16.2</v>
      </c>
      <c r="F5379" s="56" t="n">
        <v>0</v>
      </c>
      <c r="G5379" s="56" t="n">
        <v>11.2</v>
      </c>
      <c r="H5379" s="56" t="n">
        <v>0</v>
      </c>
      <c r="I5379" s="56" t="n">
        <v>14.1</v>
      </c>
      <c r="J5379" s="56" t="n">
        <v>0</v>
      </c>
      <c r="K5379" s="56" t="n">
        <v>1005.4</v>
      </c>
      <c r="L5379" s="56" t="n">
        <v>0</v>
      </c>
      <c r="M5379" s="56" t="n">
        <v>70</v>
      </c>
      <c r="N5379" s="56" t="n">
        <v>3.9</v>
      </c>
      <c r="O5379" s="56" t="n">
        <f aca="false">IF(D5379=1,"",E5378)</f>
        <v>17</v>
      </c>
      <c r="P5379" s="56" t="n">
        <f aca="false">IF(OR(D5379=1,K5378=""),"",K5378)</f>
        <v>1001.6</v>
      </c>
      <c r="Q5379" s="56" t="n">
        <f aca="false">IF(OR(F5379&lt;&gt;0,AND(I5379&lt;&gt;"",E5379&lt;I5379)),1,0)</f>
        <v>0</v>
      </c>
      <c r="R5379" s="56" t="n">
        <f aca="false">IF(AND(D5379&gt;1,Q5379=0,ISNUMBER(O5379),ISNUMBER(P5379)),IF(Q5378=0,1,0),0)</f>
        <v>1</v>
      </c>
      <c r="S5379" s="56" t="n">
        <f aca="false">R5379*(B5379&gt;=Train_Start)*(B5379&lt;=Train_End)</f>
        <v>0</v>
      </c>
      <c r="T5379" s="84" t="n">
        <f aca="false">IF(AND(ISNUMBER(O5379),ISNUMBER(P5379)),Coef_A+Coef_B1*O5379+Coef_B2*P5379,"")</f>
        <v>17.4358281691247</v>
      </c>
      <c r="U5379" s="84" t="n">
        <f aca="false">IF(AND(R5379=1,ISNUMBER(T5379)),E5379-T5379,"")</f>
        <v>-1.23582816912465</v>
      </c>
      <c r="V5379" s="84" t="n">
        <f aca="false">IF(ISNUMBER(T5379),T5379,-99)</f>
        <v>17.4358281691247</v>
      </c>
      <c r="W5379" s="84" t="n">
        <f aca="false">IF(ISNUMBER(U5379),ABS(U5379),"")</f>
        <v>1.23582816912465</v>
      </c>
    </row>
    <row r="5380" customFormat="false" ht="15" hidden="false" customHeight="false" outlineLevel="0" collapsed="false">
      <c r="A5380" s="57" t="n">
        <v>41783</v>
      </c>
      <c r="B5380" s="56" t="n">
        <v>2014</v>
      </c>
      <c r="C5380" s="56" t="n">
        <v>5</v>
      </c>
      <c r="D5380" s="56" t="n">
        <v>24</v>
      </c>
      <c r="E5380" s="56" t="n">
        <v>18.2</v>
      </c>
      <c r="F5380" s="56" t="n">
        <v>0</v>
      </c>
      <c r="G5380" s="56" t="n">
        <v>11.2</v>
      </c>
      <c r="H5380" s="56" t="n">
        <v>0</v>
      </c>
      <c r="I5380" s="56" t="n">
        <v>13.7</v>
      </c>
      <c r="J5380" s="56" t="n">
        <v>0</v>
      </c>
      <c r="K5380" s="56" t="n">
        <v>1009.6</v>
      </c>
      <c r="L5380" s="56" t="n">
        <v>0</v>
      </c>
      <c r="M5380" s="56" t="n">
        <v>77</v>
      </c>
      <c r="N5380" s="56" t="n">
        <v>3.2</v>
      </c>
      <c r="O5380" s="56" t="n">
        <f aca="false">IF(D5380=1,"",E5379)</f>
        <v>16.2</v>
      </c>
      <c r="P5380" s="56" t="n">
        <f aca="false">IF(OR(D5380=1,K5379=""),"",K5379)</f>
        <v>1005.4</v>
      </c>
      <c r="Q5380" s="56" t="n">
        <f aca="false">IF(OR(F5380&lt;&gt;0,AND(I5380&lt;&gt;"",E5380&lt;I5380)),1,0)</f>
        <v>0</v>
      </c>
      <c r="R5380" s="56" t="n">
        <f aca="false">IF(AND(D5380&gt;1,Q5380=0,ISNUMBER(O5380),ISNUMBER(P5380)),IF(Q5379=0,1,0),0)</f>
        <v>1</v>
      </c>
      <c r="S5380" s="56" t="n">
        <f aca="false">R5380*(B5380&gt;=Train_Start)*(B5380&lt;=Train_End)</f>
        <v>0</v>
      </c>
      <c r="T5380" s="84" t="n">
        <f aca="false">IF(AND(ISNUMBER(O5380),ISNUMBER(P5380)),Coef_A+Coef_B1*O5380+Coef_B2*P5380,"")</f>
        <v>16.8995624142997</v>
      </c>
      <c r="U5380" s="84" t="n">
        <f aca="false">IF(AND(R5380=1,ISNUMBER(T5380)),E5380-T5380,"")</f>
        <v>1.30043758570031</v>
      </c>
      <c r="V5380" s="84" t="n">
        <f aca="false">IF(ISNUMBER(T5380),T5380,-99)</f>
        <v>16.8995624142997</v>
      </c>
      <c r="W5380" s="84" t="n">
        <f aca="false">IF(ISNUMBER(U5380),ABS(U5380),"")</f>
        <v>1.30043758570031</v>
      </c>
    </row>
    <row r="5381" customFormat="false" ht="15" hidden="false" customHeight="false" outlineLevel="0" collapsed="false">
      <c r="A5381" s="57" t="n">
        <v>41784</v>
      </c>
      <c r="B5381" s="56" t="n">
        <v>2014</v>
      </c>
      <c r="C5381" s="56" t="n">
        <v>5</v>
      </c>
      <c r="D5381" s="56" t="n">
        <v>25</v>
      </c>
      <c r="E5381" s="56" t="n">
        <v>13.4</v>
      </c>
      <c r="F5381" s="56" t="n">
        <v>1</v>
      </c>
      <c r="G5381" s="56" t="n">
        <v>9.6</v>
      </c>
      <c r="H5381" s="56" t="n">
        <v>0</v>
      </c>
      <c r="I5381" s="56" t="n">
        <v>13.9</v>
      </c>
      <c r="J5381" s="56" t="n">
        <v>1</v>
      </c>
      <c r="K5381" s="56" t="n">
        <v>1017</v>
      </c>
      <c r="L5381" s="56" t="n">
        <v>0</v>
      </c>
      <c r="M5381" s="56" t="n">
        <v>62</v>
      </c>
      <c r="N5381" s="56" t="n">
        <v>13.2</v>
      </c>
      <c r="O5381" s="56" t="n">
        <f aca="false">IF(D5381=1,"",E5380)</f>
        <v>18.2</v>
      </c>
      <c r="P5381" s="56" t="n">
        <f aca="false">IF(OR(D5381=1,K5380=""),"",K5380)</f>
        <v>1009.6</v>
      </c>
      <c r="Q5381" s="56" t="n">
        <f aca="false">IF(OR(F5381&lt;&gt;0,AND(I5381&lt;&gt;"",E5381&lt;I5381)),1,0)</f>
        <v>1</v>
      </c>
      <c r="R5381" s="56" t="n">
        <f aca="false">IF(AND(D5381&gt;1,Q5381=0,ISNUMBER(O5381),ISNUMBER(P5381)),IF(Q5380=0,1,0),0)</f>
        <v>0</v>
      </c>
      <c r="S5381" s="56" t="n">
        <f aca="false">R5381*(B5381&gt;=Train_Start)*(B5381&lt;=Train_End)</f>
        <v>0</v>
      </c>
      <c r="T5381" s="84" t="n">
        <f aca="false">IF(AND(ISNUMBER(O5381),ISNUMBER(P5381)),Coef_A+Coef_B1*O5381+Coef_B2*P5381,"")</f>
        <v>18.6699943578478</v>
      </c>
      <c r="U5381" s="84" t="str">
        <f aca="false">IF(AND(R5381=1,ISNUMBER(T5381)),E5381-T5381,"")</f>
        <v/>
      </c>
      <c r="V5381" s="84" t="n">
        <f aca="false">IF(ISNUMBER(T5381),T5381,-99)</f>
        <v>18.6699943578478</v>
      </c>
      <c r="W5381" s="84" t="str">
        <f aca="false">IF(ISNUMBER(U5381),ABS(U5381),"")</f>
        <v/>
      </c>
    </row>
    <row r="5382" customFormat="false" ht="15" hidden="false" customHeight="false" outlineLevel="0" collapsed="false">
      <c r="A5382" s="57" t="n">
        <v>41785</v>
      </c>
      <c r="B5382" s="56" t="n">
        <v>2014</v>
      </c>
      <c r="C5382" s="56" t="n">
        <v>5</v>
      </c>
      <c r="D5382" s="56" t="n">
        <v>26</v>
      </c>
      <c r="E5382" s="56" t="n">
        <v>13.4</v>
      </c>
      <c r="F5382" s="56" t="n">
        <v>0</v>
      </c>
      <c r="G5382" s="56" t="n">
        <v>9.1</v>
      </c>
      <c r="H5382" s="56" t="n">
        <v>0</v>
      </c>
      <c r="I5382" s="56" t="n">
        <v>11.3</v>
      </c>
      <c r="J5382" s="56" t="n">
        <v>0</v>
      </c>
      <c r="K5382" s="56" t="n">
        <v>1018.8</v>
      </c>
      <c r="L5382" s="56" t="n">
        <v>0</v>
      </c>
      <c r="M5382" s="56" t="n">
        <v>86</v>
      </c>
      <c r="N5382" s="56" t="n">
        <v>0</v>
      </c>
      <c r="O5382" s="56" t="n">
        <f aca="false">IF(D5382=1,"",E5381)</f>
        <v>13.4</v>
      </c>
      <c r="P5382" s="56" t="n">
        <f aca="false">IF(OR(D5382=1,K5381=""),"",K5381)</f>
        <v>1017</v>
      </c>
      <c r="Q5382" s="56" t="n">
        <f aca="false">IF(OR(F5382&lt;&gt;0,AND(I5382&lt;&gt;"",E5382&lt;I5382)),1,0)</f>
        <v>0</v>
      </c>
      <c r="R5382" s="56" t="n">
        <f aca="false">IF(AND(D5382&gt;1,Q5382=0,ISNUMBER(O5382),ISNUMBER(P5382)),IF(Q5381=0,1,0),0)</f>
        <v>0</v>
      </c>
      <c r="S5382" s="56" t="n">
        <f aca="false">R5382*(B5382&gt;=Train_Start)*(B5382&lt;=Train_End)</f>
        <v>0</v>
      </c>
      <c r="T5382" s="84" t="n">
        <f aca="false">IF(AND(ISNUMBER(O5382),ISNUMBER(P5382)),Coef_A+Coef_B1*O5382+Coef_B2*P5382,"")</f>
        <v>14.9693034515345</v>
      </c>
      <c r="U5382" s="84" t="str">
        <f aca="false">IF(AND(R5382=1,ISNUMBER(T5382)),E5382-T5382,"")</f>
        <v/>
      </c>
      <c r="V5382" s="84" t="n">
        <f aca="false">IF(ISNUMBER(T5382),T5382,-99)</f>
        <v>14.9693034515345</v>
      </c>
      <c r="W5382" s="84" t="str">
        <f aca="false">IF(ISNUMBER(U5382),ABS(U5382),"")</f>
        <v/>
      </c>
    </row>
    <row r="5383" customFormat="false" ht="15" hidden="false" customHeight="false" outlineLevel="0" collapsed="false">
      <c r="A5383" s="57" t="n">
        <v>41786</v>
      </c>
      <c r="B5383" s="56" t="n">
        <v>2014</v>
      </c>
      <c r="C5383" s="56" t="n">
        <v>5</v>
      </c>
      <c r="D5383" s="56" t="n">
        <v>27</v>
      </c>
      <c r="E5383" s="56" t="n">
        <v>16.1</v>
      </c>
      <c r="F5383" s="56" t="n">
        <v>0</v>
      </c>
      <c r="G5383" s="56" t="n">
        <v>10.6</v>
      </c>
      <c r="H5383" s="56" t="n">
        <v>0</v>
      </c>
      <c r="I5383" s="56" t="n">
        <v>12</v>
      </c>
      <c r="J5383" s="56" t="n">
        <v>0</v>
      </c>
      <c r="K5383" s="56" t="n">
        <v>1014.6</v>
      </c>
      <c r="L5383" s="56" t="n">
        <v>0</v>
      </c>
      <c r="M5383" s="56" t="n">
        <v>88</v>
      </c>
      <c r="N5383" s="56" t="n">
        <v>0</v>
      </c>
      <c r="O5383" s="56" t="n">
        <f aca="false">IF(D5383=1,"",E5382)</f>
        <v>13.4</v>
      </c>
      <c r="P5383" s="56" t="n">
        <f aca="false">IF(OR(D5383=1,K5382=""),"",K5382)</f>
        <v>1018.8</v>
      </c>
      <c r="Q5383" s="56" t="n">
        <f aca="false">IF(OR(F5383&lt;&gt;0,AND(I5383&lt;&gt;"",E5383&lt;I5383)),1,0)</f>
        <v>0</v>
      </c>
      <c r="R5383" s="56" t="n">
        <f aca="false">IF(AND(D5383&gt;1,Q5383=0,ISNUMBER(O5383),ISNUMBER(P5383)),IF(Q5382=0,1,0),0)</f>
        <v>1</v>
      </c>
      <c r="S5383" s="56" t="n">
        <f aca="false">R5383*(B5383&gt;=Train_Start)*(B5383&lt;=Train_End)</f>
        <v>0</v>
      </c>
      <c r="T5383" s="84" t="n">
        <f aca="false">IF(AND(ISNUMBER(O5383),ISNUMBER(P5383)),Coef_A+Coef_B1*O5383+Coef_B2*P5383,"")</f>
        <v>15.0257692618757</v>
      </c>
      <c r="U5383" s="84" t="n">
        <f aca="false">IF(AND(R5383=1,ISNUMBER(T5383)),E5383-T5383,"")</f>
        <v>1.0742307381243</v>
      </c>
      <c r="V5383" s="84" t="n">
        <f aca="false">IF(ISNUMBER(T5383),T5383,-99)</f>
        <v>15.0257692618757</v>
      </c>
      <c r="W5383" s="84" t="n">
        <f aca="false">IF(ISNUMBER(U5383),ABS(U5383),"")</f>
        <v>1.0742307381243</v>
      </c>
    </row>
    <row r="5384" customFormat="false" ht="15" hidden="false" customHeight="false" outlineLevel="0" collapsed="false">
      <c r="A5384" s="57" t="n">
        <v>41787</v>
      </c>
      <c r="B5384" s="56" t="n">
        <v>2014</v>
      </c>
      <c r="C5384" s="56" t="n">
        <v>5</v>
      </c>
      <c r="D5384" s="56" t="n">
        <v>28</v>
      </c>
      <c r="E5384" s="56" t="n">
        <v>19.6</v>
      </c>
      <c r="F5384" s="56" t="n">
        <v>0</v>
      </c>
      <c r="G5384" s="56" t="n">
        <v>9.3</v>
      </c>
      <c r="H5384" s="56" t="n">
        <v>0</v>
      </c>
      <c r="I5384" s="56" t="n">
        <v>12.7</v>
      </c>
      <c r="J5384" s="56" t="n">
        <v>0</v>
      </c>
      <c r="K5384" s="56" t="n">
        <v>1011.8</v>
      </c>
      <c r="L5384" s="56" t="n">
        <v>0</v>
      </c>
      <c r="M5384" s="56" t="n">
        <v>89</v>
      </c>
      <c r="N5384" s="56" t="n">
        <v>0</v>
      </c>
      <c r="O5384" s="56" t="n">
        <f aca="false">IF(D5384=1,"",E5383)</f>
        <v>16.1</v>
      </c>
      <c r="P5384" s="56" t="n">
        <f aca="false">IF(OR(D5384=1,K5383=""),"",K5383)</f>
        <v>1014.6</v>
      </c>
      <c r="Q5384" s="56" t="n">
        <f aca="false">IF(OR(F5384&lt;&gt;0,AND(I5384&lt;&gt;"",E5384&lt;I5384)),1,0)</f>
        <v>0</v>
      </c>
      <c r="R5384" s="56" t="n">
        <f aca="false">IF(AND(D5384&gt;1,Q5384=0,ISNUMBER(O5384),ISNUMBER(P5384)),IF(Q5383=0,1,0),0)</f>
        <v>1</v>
      </c>
      <c r="S5384" s="56" t="n">
        <f aca="false">R5384*(B5384&gt;=Train_Start)*(B5384&lt;=Train_End)</f>
        <v>0</v>
      </c>
      <c r="T5384" s="84" t="n">
        <f aca="false">IF(AND(ISNUMBER(O5384),ISNUMBER(P5384)),Coef_A+Coef_B1*O5384+Coef_B2*P5384,"")</f>
        <v>17.1062315256281</v>
      </c>
      <c r="U5384" s="84" t="n">
        <f aca="false">IF(AND(R5384=1,ISNUMBER(T5384)),E5384-T5384,"")</f>
        <v>2.49376847437188</v>
      </c>
      <c r="V5384" s="84" t="n">
        <f aca="false">IF(ISNUMBER(T5384),T5384,-99)</f>
        <v>17.1062315256281</v>
      </c>
      <c r="W5384" s="84" t="n">
        <f aca="false">IF(ISNUMBER(U5384),ABS(U5384),"")</f>
        <v>2.49376847437188</v>
      </c>
    </row>
    <row r="5385" customFormat="false" ht="15" hidden="false" customHeight="false" outlineLevel="0" collapsed="false">
      <c r="A5385" s="57" t="n">
        <v>41788</v>
      </c>
      <c r="B5385" s="56" t="n">
        <v>2014</v>
      </c>
      <c r="C5385" s="56" t="n">
        <v>5</v>
      </c>
      <c r="D5385" s="56" t="n">
        <v>29</v>
      </c>
      <c r="E5385" s="56" t="n">
        <v>16.4</v>
      </c>
      <c r="F5385" s="56" t="n">
        <v>0</v>
      </c>
      <c r="G5385" s="56" t="n">
        <v>11.9</v>
      </c>
      <c r="H5385" s="56" t="n">
        <v>0</v>
      </c>
      <c r="I5385" s="56" t="n">
        <v>15.8</v>
      </c>
      <c r="J5385" s="56" t="n">
        <v>0</v>
      </c>
      <c r="K5385" s="56" t="n">
        <v>1015.3</v>
      </c>
      <c r="L5385" s="56" t="n">
        <v>0</v>
      </c>
      <c r="M5385" s="56" t="n">
        <v>78</v>
      </c>
      <c r="N5385" s="56" t="n">
        <v>1.7</v>
      </c>
      <c r="O5385" s="56" t="n">
        <f aca="false">IF(D5385=1,"",E5384)</f>
        <v>19.6</v>
      </c>
      <c r="P5385" s="56" t="n">
        <f aca="false">IF(OR(D5385=1,K5384=""),"",K5384)</f>
        <v>1011.8</v>
      </c>
      <c r="Q5385" s="56" t="n">
        <f aca="false">IF(OR(F5385&lt;&gt;0,AND(I5385&lt;&gt;"",E5385&lt;I5385)),1,0)</f>
        <v>0</v>
      </c>
      <c r="R5385" s="56" t="n">
        <f aca="false">IF(AND(D5385&gt;1,Q5385=0,ISNUMBER(O5385),ISNUMBER(P5385)),IF(Q5384=0,1,0),0)</f>
        <v>1</v>
      </c>
      <c r="S5385" s="56" t="n">
        <f aca="false">R5385*(B5385&gt;=Train_Start)*(B5385&lt;=Train_End)</f>
        <v>0</v>
      </c>
      <c r="T5385" s="84" t="n">
        <f aca="false">IF(AND(ISNUMBER(O5385),ISNUMBER(P5385)),Coef_A+Coef_B1*O5385+Coef_B2*P5385,"")</f>
        <v>19.8860829963023</v>
      </c>
      <c r="U5385" s="84" t="n">
        <f aca="false">IF(AND(R5385=1,ISNUMBER(T5385)),E5385-T5385,"")</f>
        <v>-3.48608299630225</v>
      </c>
      <c r="V5385" s="84" t="n">
        <f aca="false">IF(ISNUMBER(T5385),T5385,-99)</f>
        <v>19.8860829963023</v>
      </c>
      <c r="W5385" s="84" t="n">
        <f aca="false">IF(ISNUMBER(U5385),ABS(U5385),"")</f>
        <v>3.48608299630225</v>
      </c>
    </row>
    <row r="5386" customFormat="false" ht="15" hidden="false" customHeight="false" outlineLevel="0" collapsed="false">
      <c r="A5386" s="57" t="n">
        <v>41789</v>
      </c>
      <c r="B5386" s="56" t="n">
        <v>2014</v>
      </c>
      <c r="C5386" s="56" t="n">
        <v>5</v>
      </c>
      <c r="D5386" s="56" t="n">
        <v>30</v>
      </c>
      <c r="E5386" s="56" t="n">
        <v>19.2</v>
      </c>
      <c r="F5386" s="56" t="n">
        <v>0</v>
      </c>
      <c r="G5386" s="56" t="n">
        <v>12.8</v>
      </c>
      <c r="H5386" s="56" t="n">
        <v>0</v>
      </c>
      <c r="I5386" s="56" t="n">
        <v>14.6</v>
      </c>
      <c r="J5386" s="56" t="n">
        <v>0</v>
      </c>
      <c r="K5386" s="56" t="n">
        <v>1023.1</v>
      </c>
      <c r="L5386" s="56" t="n">
        <v>0</v>
      </c>
      <c r="M5386" s="56" t="n">
        <v>72</v>
      </c>
      <c r="N5386" s="56" t="n">
        <v>0</v>
      </c>
      <c r="O5386" s="56" t="n">
        <f aca="false">IF(D5386=1,"",E5385)</f>
        <v>16.4</v>
      </c>
      <c r="P5386" s="56" t="n">
        <f aca="false">IF(OR(D5386=1,K5385=""),"",K5385)</f>
        <v>1015.3</v>
      </c>
      <c r="Q5386" s="56" t="n">
        <f aca="false">IF(OR(F5386&lt;&gt;0,AND(I5386&lt;&gt;"",E5386&lt;I5386)),1,0)</f>
        <v>0</v>
      </c>
      <c r="R5386" s="56" t="n">
        <f aca="false">IF(AND(D5386&gt;1,Q5386=0,ISNUMBER(O5386),ISNUMBER(P5386)),IF(Q5385=0,1,0),0)</f>
        <v>1</v>
      </c>
      <c r="S5386" s="56" t="n">
        <f aca="false">R5386*(B5386&gt;=Train_Start)*(B5386&lt;=Train_End)</f>
        <v>0</v>
      </c>
      <c r="T5386" s="84" t="n">
        <f aca="false">IF(AND(ISNUMBER(O5386),ISNUMBER(P5386)),Coef_A+Coef_B1*O5386+Coef_B2*P5386,"")</f>
        <v>17.3739922097847</v>
      </c>
      <c r="U5386" s="84" t="n">
        <f aca="false">IF(AND(R5386=1,ISNUMBER(T5386)),E5386-T5386,"")</f>
        <v>1.82600779021529</v>
      </c>
      <c r="V5386" s="84" t="n">
        <f aca="false">IF(ISNUMBER(T5386),T5386,-99)</f>
        <v>17.3739922097847</v>
      </c>
      <c r="W5386" s="84" t="n">
        <f aca="false">IF(ISNUMBER(U5386),ABS(U5386),"")</f>
        <v>1.82600779021529</v>
      </c>
    </row>
    <row r="5387" customFormat="false" ht="15" hidden="false" customHeight="false" outlineLevel="0" collapsed="false">
      <c r="A5387" s="57" t="n">
        <v>41790</v>
      </c>
      <c r="B5387" s="56" t="n">
        <v>2014</v>
      </c>
      <c r="C5387" s="56" t="n">
        <v>5</v>
      </c>
      <c r="D5387" s="56" t="n">
        <v>31</v>
      </c>
      <c r="E5387" s="56" t="n">
        <v>22.2</v>
      </c>
      <c r="F5387" s="56" t="n">
        <v>0</v>
      </c>
      <c r="G5387" s="56" t="n">
        <v>8.2</v>
      </c>
      <c r="H5387" s="56" t="n">
        <v>0</v>
      </c>
      <c r="I5387" s="56" t="n">
        <v>13.7</v>
      </c>
      <c r="J5387" s="56" t="n">
        <v>0</v>
      </c>
      <c r="K5387" s="56" t="n">
        <v>1025.2</v>
      </c>
      <c r="L5387" s="56" t="n">
        <v>0</v>
      </c>
      <c r="M5387" s="56" t="n">
        <v>66</v>
      </c>
      <c r="N5387" s="56" t="n">
        <v>5.1</v>
      </c>
      <c r="O5387" s="56" t="n">
        <f aca="false">IF(D5387=1,"",E5386)</f>
        <v>19.2</v>
      </c>
      <c r="P5387" s="56" t="n">
        <f aca="false">IF(OR(D5387=1,K5386=""),"",K5386)</f>
        <v>1023.1</v>
      </c>
      <c r="Q5387" s="56" t="n">
        <f aca="false">IF(OR(F5387&lt;&gt;0,AND(I5387&lt;&gt;"",E5387&lt;I5387)),1,0)</f>
        <v>0</v>
      </c>
      <c r="R5387" s="56" t="n">
        <f aca="false">IF(AND(D5387&gt;1,Q5387=0,ISNUMBER(O5387),ISNUMBER(P5387)),IF(Q5386=0,1,0),0)</f>
        <v>1</v>
      </c>
      <c r="S5387" s="56" t="n">
        <f aca="false">R5387*(B5387&gt;=Train_Start)*(B5387&lt;=Train_End)</f>
        <v>0</v>
      </c>
      <c r="T5387" s="84" t="n">
        <f aca="false">IF(AND(ISNUMBER(O5387),ISNUMBER(P5387)),Coef_A+Coef_B1*O5387+Coef_B2*P5387,"")</f>
        <v>19.9128271284493</v>
      </c>
      <c r="U5387" s="84" t="n">
        <f aca="false">IF(AND(R5387=1,ISNUMBER(T5387)),E5387-T5387,"")</f>
        <v>2.28717287155073</v>
      </c>
      <c r="V5387" s="84" t="n">
        <f aca="false">IF(ISNUMBER(T5387),T5387,-99)</f>
        <v>19.9128271284493</v>
      </c>
      <c r="W5387" s="84" t="n">
        <f aca="false">IF(ISNUMBER(U5387),ABS(U5387),"")</f>
        <v>2.28717287155073</v>
      </c>
    </row>
    <row r="5388" customFormat="false" ht="15" hidden="false" customHeight="false" outlineLevel="0" collapsed="false">
      <c r="A5388" s="57" t="n">
        <v>41791</v>
      </c>
      <c r="B5388" s="56" t="n">
        <v>2014</v>
      </c>
      <c r="C5388" s="56" t="n">
        <v>6</v>
      </c>
      <c r="D5388" s="56" t="n">
        <v>32</v>
      </c>
      <c r="E5388" s="56" t="n">
        <v>21.2</v>
      </c>
      <c r="F5388" s="56" t="n">
        <v>0</v>
      </c>
      <c r="G5388" s="56" t="n">
        <v>10.8</v>
      </c>
      <c r="H5388" s="56" t="n">
        <v>0</v>
      </c>
      <c r="I5388" s="56" t="n">
        <v>16.5</v>
      </c>
      <c r="J5388" s="56" t="n">
        <v>0</v>
      </c>
      <c r="K5388" s="56" t="n">
        <v>1022.1</v>
      </c>
      <c r="L5388" s="56" t="n">
        <v>0</v>
      </c>
      <c r="M5388" s="56" t="n">
        <v>60</v>
      </c>
      <c r="N5388" s="56" t="n">
        <v>8.8</v>
      </c>
      <c r="O5388" s="56" t="n">
        <f aca="false">IF(D5388=1,"",E5387)</f>
        <v>22.2</v>
      </c>
      <c r="P5388" s="56" t="n">
        <f aca="false">IF(OR(D5388=1,K5387=""),"",K5387)</f>
        <v>1025.2</v>
      </c>
      <c r="Q5388" s="56" t="n">
        <f aca="false">IF(OR(F5388&lt;&gt;0,AND(I5388&lt;&gt;"",E5388&lt;I5388)),1,0)</f>
        <v>0</v>
      </c>
      <c r="R5388" s="56" t="n">
        <f aca="false">IF(AND(D5388&gt;1,Q5388=0,ISNUMBER(O5388),ISNUMBER(P5388)),IF(Q5387=0,1,0),0)</f>
        <v>1</v>
      </c>
      <c r="S5388" s="56" t="n">
        <f aca="false">R5388*(B5388&gt;=Train_Start)*(B5388&lt;=Train_End)</f>
        <v>0</v>
      </c>
      <c r="T5388" s="84" t="n">
        <f aca="false">IF(AND(ISNUMBER(O5388),ISNUMBER(P5388)),Coef_A+Coef_B1*O5388+Coef_B2*P5388,"")</f>
        <v>22.4367214863086</v>
      </c>
      <c r="U5388" s="84" t="n">
        <f aca="false">IF(AND(R5388=1,ISNUMBER(T5388)),E5388-T5388,"")</f>
        <v>-1.23672148630862</v>
      </c>
      <c r="V5388" s="84" t="n">
        <f aca="false">IF(ISNUMBER(T5388),T5388,-99)</f>
        <v>22.4367214863086</v>
      </c>
      <c r="W5388" s="84" t="n">
        <f aca="false">IF(ISNUMBER(U5388),ABS(U5388),"")</f>
        <v>1.23672148630862</v>
      </c>
    </row>
    <row r="5389" customFormat="false" ht="15" hidden="false" customHeight="false" outlineLevel="0" collapsed="false">
      <c r="A5389" s="57" t="n">
        <v>41792</v>
      </c>
      <c r="B5389" s="56" t="n">
        <v>2014</v>
      </c>
      <c r="C5389" s="56" t="n">
        <v>6</v>
      </c>
      <c r="D5389" s="56" t="n">
        <v>33</v>
      </c>
      <c r="E5389" s="56" t="n">
        <v>19.9</v>
      </c>
      <c r="F5389" s="56" t="n">
        <v>0</v>
      </c>
      <c r="G5389" s="56" t="n">
        <v>13</v>
      </c>
      <c r="H5389" s="56" t="n">
        <v>0</v>
      </c>
      <c r="I5389" s="56" t="n">
        <v>17.1</v>
      </c>
      <c r="J5389" s="56" t="n">
        <v>0</v>
      </c>
      <c r="K5389" s="56" t="n">
        <v>1018.3</v>
      </c>
      <c r="L5389" s="56" t="n">
        <v>0</v>
      </c>
      <c r="M5389" s="56" t="n">
        <v>69</v>
      </c>
      <c r="N5389" s="56" t="n">
        <v>3.4</v>
      </c>
      <c r="O5389" s="56" t="n">
        <f aca="false">IF(D5389=1,"",E5388)</f>
        <v>21.2</v>
      </c>
      <c r="P5389" s="56" t="n">
        <f aca="false">IF(OR(D5389=1,K5388=""),"",K5388)</f>
        <v>1022.1</v>
      </c>
      <c r="Q5389" s="56" t="n">
        <f aca="false">IF(OR(F5389&lt;&gt;0,AND(I5389&lt;&gt;"",E5389&lt;I5389)),1,0)</f>
        <v>0</v>
      </c>
      <c r="R5389" s="56" t="n">
        <f aca="false">IF(AND(D5389&gt;1,Q5389=0,ISNUMBER(O5389),ISNUMBER(P5389)),IF(Q5388=0,1,0),0)</f>
        <v>1</v>
      </c>
      <c r="S5389" s="56" t="n">
        <f aca="false">R5389*(B5389&gt;=Train_Start)*(B5389&lt;=Train_End)</f>
        <v>0</v>
      </c>
      <c r="T5389" s="84" t="n">
        <f aca="false">IF(AND(ISNUMBER(O5389),ISNUMBER(P5389)),Coef_A+Coef_B1*O5389+Coef_B2*P5389,"")</f>
        <v>21.5201356199006</v>
      </c>
      <c r="U5389" s="84" t="n">
        <f aca="false">IF(AND(R5389=1,ISNUMBER(T5389)),E5389-T5389,"")</f>
        <v>-1.6201356199006</v>
      </c>
      <c r="V5389" s="84" t="n">
        <f aca="false">IF(ISNUMBER(T5389),T5389,-99)</f>
        <v>21.5201356199006</v>
      </c>
      <c r="W5389" s="84" t="n">
        <f aca="false">IF(ISNUMBER(U5389),ABS(U5389),"")</f>
        <v>1.6201356199006</v>
      </c>
    </row>
    <row r="5390" customFormat="false" ht="15" hidden="false" customHeight="false" outlineLevel="0" collapsed="false">
      <c r="A5390" s="57" t="n">
        <v>41793</v>
      </c>
      <c r="B5390" s="56" t="n">
        <v>2014</v>
      </c>
      <c r="C5390" s="56" t="n">
        <v>6</v>
      </c>
      <c r="D5390" s="56" t="n">
        <v>34</v>
      </c>
      <c r="E5390" s="56" t="n">
        <v>15.7</v>
      </c>
      <c r="F5390" s="56" t="n">
        <v>1</v>
      </c>
      <c r="G5390" s="56" t="n">
        <v>12.5</v>
      </c>
      <c r="H5390" s="56" t="n">
        <v>0</v>
      </c>
      <c r="I5390" s="56" t="n">
        <v>16.2</v>
      </c>
      <c r="J5390" s="56" t="n">
        <v>1</v>
      </c>
      <c r="K5390" s="56" t="n">
        <v>1012.4</v>
      </c>
      <c r="L5390" s="56" t="n">
        <v>0</v>
      </c>
      <c r="M5390" s="56" t="n">
        <v>77</v>
      </c>
      <c r="N5390" s="56" t="n">
        <v>2</v>
      </c>
      <c r="O5390" s="56" t="n">
        <f aca="false">IF(D5390=1,"",E5389)</f>
        <v>19.9</v>
      </c>
      <c r="P5390" s="56" t="n">
        <f aca="false">IF(OR(D5390=1,K5389=""),"",K5389)</f>
        <v>1018.3</v>
      </c>
      <c r="Q5390" s="56" t="n">
        <f aca="false">IF(OR(F5390&lt;&gt;0,AND(I5390&lt;&gt;"",E5390&lt;I5390)),1,0)</f>
        <v>1</v>
      </c>
      <c r="R5390" s="56" t="n">
        <f aca="false">IF(AND(D5390&gt;1,Q5390=0,ISNUMBER(O5390),ISNUMBER(P5390)),IF(Q5389=0,1,0),0)</f>
        <v>0</v>
      </c>
      <c r="S5390" s="56" t="n">
        <f aca="false">R5390*(B5390&gt;=Train_Start)*(B5390&lt;=Train_End)</f>
        <v>0</v>
      </c>
      <c r="T5390" s="84" t="n">
        <f aca="false">IF(AND(ISNUMBER(O5390),ISNUMBER(P5390)),Coef_A+Coef_B1*O5390+Coef_B2*P5390,"")</f>
        <v>20.335789069336</v>
      </c>
      <c r="U5390" s="84" t="str">
        <f aca="false">IF(AND(R5390=1,ISNUMBER(T5390)),E5390-T5390,"")</f>
        <v/>
      </c>
      <c r="V5390" s="84" t="n">
        <f aca="false">IF(ISNUMBER(T5390),T5390,-99)</f>
        <v>20.335789069336</v>
      </c>
      <c r="W5390" s="84" t="str">
        <f aca="false">IF(ISNUMBER(U5390),ABS(U5390),"")</f>
        <v/>
      </c>
    </row>
    <row r="5391" customFormat="false" ht="15" hidden="false" customHeight="false" outlineLevel="0" collapsed="false">
      <c r="A5391" s="57" t="n">
        <v>41794</v>
      </c>
      <c r="B5391" s="56" t="n">
        <v>2014</v>
      </c>
      <c r="C5391" s="56" t="n">
        <v>6</v>
      </c>
      <c r="D5391" s="56" t="n">
        <v>35</v>
      </c>
      <c r="E5391" s="56" t="n">
        <v>19.7</v>
      </c>
      <c r="F5391" s="56" t="n">
        <v>0</v>
      </c>
      <c r="G5391" s="56" t="n">
        <v>11.5</v>
      </c>
      <c r="H5391" s="56" t="n">
        <v>0</v>
      </c>
      <c r="I5391" s="56" t="n">
        <v>13.6</v>
      </c>
      <c r="J5391" s="56" t="n">
        <v>0</v>
      </c>
      <c r="K5391" s="56" t="n">
        <v>1004.9</v>
      </c>
      <c r="L5391" s="56" t="n">
        <v>0</v>
      </c>
      <c r="M5391" s="56" t="n">
        <v>79</v>
      </c>
      <c r="N5391" s="56" t="n">
        <v>2.6</v>
      </c>
      <c r="O5391" s="56" t="n">
        <f aca="false">IF(D5391=1,"",E5390)</f>
        <v>15.7</v>
      </c>
      <c r="P5391" s="56" t="n">
        <f aca="false">IF(OR(D5391=1,K5390=""),"",K5390)</f>
        <v>1012.4</v>
      </c>
      <c r="Q5391" s="56" t="n">
        <f aca="false">IF(OR(F5391&lt;&gt;0,AND(I5391&lt;&gt;"",E5391&lt;I5391)),1,0)</f>
        <v>0</v>
      </c>
      <c r="R5391" s="56" t="n">
        <f aca="false">IF(AND(D5391&gt;1,Q5391=0,ISNUMBER(O5391),ISNUMBER(P5391)),IF(Q5390=0,1,0),0)</f>
        <v>0</v>
      </c>
      <c r="S5391" s="56" t="n">
        <f aca="false">R5391*(B5391&gt;=Train_Start)*(B5391&lt;=Train_End)</f>
        <v>0</v>
      </c>
      <c r="T5391" s="84" t="n">
        <f aca="false">IF(AND(ISNUMBER(O5391),ISNUMBER(P5391)),Coef_A+Coef_B1*O5391+Coef_B2*P5391,"")</f>
        <v>16.7094820802163</v>
      </c>
      <c r="U5391" s="84" t="str">
        <f aca="false">IF(AND(R5391=1,ISNUMBER(T5391)),E5391-T5391,"")</f>
        <v/>
      </c>
      <c r="V5391" s="84" t="n">
        <f aca="false">IF(ISNUMBER(T5391),T5391,-99)</f>
        <v>16.7094820802163</v>
      </c>
      <c r="W5391" s="84" t="str">
        <f aca="false">IF(ISNUMBER(U5391),ABS(U5391),"")</f>
        <v/>
      </c>
    </row>
    <row r="5392" customFormat="false" ht="15" hidden="false" customHeight="false" outlineLevel="0" collapsed="false">
      <c r="A5392" s="57" t="n">
        <v>41795</v>
      </c>
      <c r="B5392" s="56" t="n">
        <v>2014</v>
      </c>
      <c r="C5392" s="56" t="n">
        <v>6</v>
      </c>
      <c r="D5392" s="56" t="n">
        <v>36</v>
      </c>
      <c r="E5392" s="56" t="n">
        <v>23.6</v>
      </c>
      <c r="F5392" s="56" t="n">
        <v>0</v>
      </c>
      <c r="G5392" s="56" t="n">
        <v>8.2</v>
      </c>
      <c r="H5392" s="56" t="n">
        <v>0</v>
      </c>
      <c r="I5392" s="56" t="n">
        <v>14</v>
      </c>
      <c r="J5392" s="56" t="n">
        <v>0</v>
      </c>
      <c r="K5392" s="56" t="n">
        <v>1010.3</v>
      </c>
      <c r="L5392" s="56" t="n">
        <v>0</v>
      </c>
      <c r="M5392" s="56" t="n">
        <v>65</v>
      </c>
      <c r="N5392" s="56" t="n">
        <v>8.9</v>
      </c>
      <c r="O5392" s="56" t="n">
        <f aca="false">IF(D5392=1,"",E5391)</f>
        <v>19.7</v>
      </c>
      <c r="P5392" s="56" t="n">
        <f aca="false">IF(OR(D5392=1,K5391=""),"",K5391)</f>
        <v>1004.9</v>
      </c>
      <c r="Q5392" s="56" t="n">
        <f aca="false">IF(OR(F5392&lt;&gt;0,AND(I5392&lt;&gt;"",E5392&lt;I5392)),1,0)</f>
        <v>0</v>
      </c>
      <c r="R5392" s="56" t="n">
        <f aca="false">IF(AND(D5392&gt;1,Q5392=0,ISNUMBER(O5392),ISNUMBER(P5392)),IF(Q5391=0,1,0),0)</f>
        <v>1</v>
      </c>
      <c r="S5392" s="56" t="n">
        <f aca="false">R5392*(B5392&gt;=Train_Start)*(B5392&lt;=Train_End)</f>
        <v>0</v>
      </c>
      <c r="T5392" s="84" t="n">
        <f aca="false">IF(AND(ISNUMBER(O5392),ISNUMBER(P5392)),Coef_A+Coef_B1*O5392+Coef_B2*P5392,"")</f>
        <v>19.751564642632</v>
      </c>
      <c r="U5392" s="84" t="n">
        <f aca="false">IF(AND(R5392=1,ISNUMBER(T5392)),E5392-T5392,"")</f>
        <v>3.84843535736801</v>
      </c>
      <c r="V5392" s="84" t="n">
        <f aca="false">IF(ISNUMBER(T5392),T5392,-99)</f>
        <v>19.751564642632</v>
      </c>
      <c r="W5392" s="84" t="n">
        <f aca="false">IF(ISNUMBER(U5392),ABS(U5392),"")</f>
        <v>3.84843535736801</v>
      </c>
    </row>
    <row r="5393" customFormat="false" ht="15" hidden="false" customHeight="false" outlineLevel="0" collapsed="false">
      <c r="A5393" s="57" t="n">
        <v>41796</v>
      </c>
      <c r="B5393" s="56" t="n">
        <v>2014</v>
      </c>
      <c r="C5393" s="56" t="n">
        <v>6</v>
      </c>
      <c r="D5393" s="56" t="n">
        <v>37</v>
      </c>
      <c r="E5393" s="56" t="n">
        <v>22.3</v>
      </c>
      <c r="F5393" s="56" t="n">
        <v>0</v>
      </c>
      <c r="G5393" s="56" t="n">
        <v>7.9</v>
      </c>
      <c r="H5393" s="56" t="n">
        <v>0</v>
      </c>
      <c r="I5393" s="56" t="n">
        <v>15.8</v>
      </c>
      <c r="J5393" s="56" t="n">
        <v>0</v>
      </c>
      <c r="K5393" s="56" t="n">
        <v>1013</v>
      </c>
      <c r="L5393" s="56" t="n">
        <v>0</v>
      </c>
      <c r="M5393" s="56" t="n">
        <v>59</v>
      </c>
      <c r="N5393" s="56" t="n">
        <v>12.3</v>
      </c>
      <c r="O5393" s="56" t="n">
        <f aca="false">IF(D5393=1,"",E5392)</f>
        <v>23.6</v>
      </c>
      <c r="P5393" s="56" t="n">
        <f aca="false">IF(OR(D5393=1,K5392=""),"",K5392)</f>
        <v>1010.3</v>
      </c>
      <c r="Q5393" s="56" t="n">
        <f aca="false">IF(OR(F5393&lt;&gt;0,AND(I5393&lt;&gt;"",E5393&lt;I5393)),1,0)</f>
        <v>0</v>
      </c>
      <c r="R5393" s="56" t="n">
        <f aca="false">IF(AND(D5393&gt;1,Q5393=0,ISNUMBER(O5393),ISNUMBER(P5393)),IF(Q5392=0,1,0),0)</f>
        <v>1</v>
      </c>
      <c r="S5393" s="56" t="n">
        <f aca="false">R5393*(B5393&gt;=Train_Start)*(B5393&lt;=Train_End)</f>
        <v>0</v>
      </c>
      <c r="T5393" s="84" t="n">
        <f aca="false">IF(AND(ISNUMBER(O5393),ISNUMBER(P5393)),Coef_A+Coef_B1*O5393+Coef_B2*P5393,"")</f>
        <v>23.1163849265219</v>
      </c>
      <c r="U5393" s="84" t="n">
        <f aca="false">IF(AND(R5393=1,ISNUMBER(T5393)),E5393-T5393,"")</f>
        <v>-0.816384926521899</v>
      </c>
      <c r="V5393" s="84" t="n">
        <f aca="false">IF(ISNUMBER(T5393),T5393,-99)</f>
        <v>23.1163849265219</v>
      </c>
      <c r="W5393" s="84" t="n">
        <f aca="false">IF(ISNUMBER(U5393),ABS(U5393),"")</f>
        <v>0.816384926521899</v>
      </c>
    </row>
    <row r="5394" customFormat="false" ht="15" hidden="false" customHeight="false" outlineLevel="0" collapsed="false">
      <c r="A5394" s="57" t="n">
        <v>41797</v>
      </c>
      <c r="B5394" s="56" t="n">
        <v>2014</v>
      </c>
      <c r="C5394" s="56" t="n">
        <v>6</v>
      </c>
      <c r="D5394" s="56" t="n">
        <v>38</v>
      </c>
      <c r="E5394" s="56" t="n">
        <v>24.5</v>
      </c>
      <c r="F5394" s="56" t="n">
        <v>0</v>
      </c>
      <c r="G5394" s="56" t="n">
        <v>15</v>
      </c>
      <c r="H5394" s="56" t="n">
        <v>0</v>
      </c>
      <c r="I5394" s="56" t="n">
        <v>18.7</v>
      </c>
      <c r="J5394" s="56" t="n">
        <v>0</v>
      </c>
      <c r="K5394" s="56" t="n">
        <v>1012</v>
      </c>
      <c r="L5394" s="56" t="n">
        <v>0</v>
      </c>
      <c r="M5394" s="56" t="n">
        <v>70</v>
      </c>
      <c r="N5394" s="56" t="n">
        <v>5.6</v>
      </c>
      <c r="O5394" s="56" t="n">
        <f aca="false">IF(D5394=1,"",E5393)</f>
        <v>22.3</v>
      </c>
      <c r="P5394" s="56" t="n">
        <f aca="false">IF(OR(D5394=1,K5393=""),"",K5393)</f>
        <v>1013</v>
      </c>
      <c r="Q5394" s="56" t="n">
        <f aca="false">IF(OR(F5394&lt;&gt;0,AND(I5394&lt;&gt;"",E5394&lt;I5394)),1,0)</f>
        <v>0</v>
      </c>
      <c r="R5394" s="56" t="n">
        <f aca="false">IF(AND(D5394&gt;1,Q5394=0,ISNUMBER(O5394),ISNUMBER(P5394)),IF(Q5393=0,1,0),0)</f>
        <v>1</v>
      </c>
      <c r="S5394" s="56" t="n">
        <f aca="false">R5394*(B5394&gt;=Train_Start)*(B5394&lt;=Train_End)</f>
        <v>0</v>
      </c>
      <c r="T5394" s="84" t="n">
        <f aca="false">IF(AND(ISNUMBER(O5394),ISNUMBER(P5394)),Coef_A+Coef_B1*O5394+Coef_B2*P5394,"")</f>
        <v>22.1359426910782</v>
      </c>
      <c r="U5394" s="84" t="n">
        <f aca="false">IF(AND(R5394=1,ISNUMBER(T5394)),E5394-T5394,"")</f>
        <v>2.36405730892178</v>
      </c>
      <c r="V5394" s="84" t="n">
        <f aca="false">IF(ISNUMBER(T5394),T5394,-99)</f>
        <v>22.1359426910782</v>
      </c>
      <c r="W5394" s="84" t="n">
        <f aca="false">IF(ISNUMBER(U5394),ABS(U5394),"")</f>
        <v>2.36405730892178</v>
      </c>
    </row>
    <row r="5395" customFormat="false" ht="15" hidden="false" customHeight="false" outlineLevel="0" collapsed="false">
      <c r="A5395" s="57" t="n">
        <v>41798</v>
      </c>
      <c r="B5395" s="56" t="n">
        <v>2014</v>
      </c>
      <c r="C5395" s="56" t="n">
        <v>6</v>
      </c>
      <c r="D5395" s="56" t="n">
        <v>39</v>
      </c>
      <c r="E5395" s="56" t="n">
        <v>26</v>
      </c>
      <c r="F5395" s="56" t="n">
        <v>0</v>
      </c>
      <c r="G5395" s="56" t="n">
        <v>13.1</v>
      </c>
      <c r="H5395" s="56" t="n">
        <v>0</v>
      </c>
      <c r="I5395" s="56" t="n">
        <v>18.8</v>
      </c>
      <c r="J5395" s="56" t="n">
        <v>0</v>
      </c>
      <c r="K5395" s="56" t="n">
        <v>1018.4</v>
      </c>
      <c r="L5395" s="56" t="n">
        <v>0</v>
      </c>
      <c r="M5395" s="56" t="n">
        <v>61</v>
      </c>
      <c r="N5395" s="56" t="n">
        <v>11.9</v>
      </c>
      <c r="O5395" s="56" t="n">
        <f aca="false">IF(D5395=1,"",E5394)</f>
        <v>24.5</v>
      </c>
      <c r="P5395" s="56" t="n">
        <f aca="false">IF(OR(D5395=1,K5394=""),"",K5394)</f>
        <v>1012</v>
      </c>
      <c r="Q5395" s="56" t="n">
        <f aca="false">IF(OR(F5395&lt;&gt;0,AND(I5395&lt;&gt;"",E5395&lt;I5395)),1,0)</f>
        <v>0</v>
      </c>
      <c r="R5395" s="56" t="n">
        <f aca="false">IF(AND(D5395&gt;1,Q5395=0,ISNUMBER(O5395),ISNUMBER(P5395)),IF(Q5394=0,1,0),0)</f>
        <v>1</v>
      </c>
      <c r="S5395" s="56" t="n">
        <f aca="false">R5395*(B5395&gt;=Train_Start)*(B5395&lt;=Train_End)</f>
        <v>0</v>
      </c>
      <c r="T5395" s="84" t="n">
        <f aca="false">IF(AND(ISNUMBER(O5395),ISNUMBER(P5395)),Coef_A+Coef_B1*O5395+Coef_B2*P5395,"")</f>
        <v>23.9071190211381</v>
      </c>
      <c r="U5395" s="84" t="n">
        <f aca="false">IF(AND(R5395=1,ISNUMBER(T5395)),E5395-T5395,"")</f>
        <v>2.09288097886193</v>
      </c>
      <c r="V5395" s="84" t="n">
        <f aca="false">IF(ISNUMBER(T5395),T5395,-99)</f>
        <v>23.9071190211381</v>
      </c>
      <c r="W5395" s="84" t="n">
        <f aca="false">IF(ISNUMBER(U5395),ABS(U5395),"")</f>
        <v>2.09288097886193</v>
      </c>
    </row>
    <row r="5396" customFormat="false" ht="15" hidden="false" customHeight="false" outlineLevel="0" collapsed="false">
      <c r="A5396" s="57" t="n">
        <v>41799</v>
      </c>
      <c r="B5396" s="56" t="n">
        <v>2014</v>
      </c>
      <c r="C5396" s="56" t="n">
        <v>6</v>
      </c>
      <c r="D5396" s="56" t="n">
        <v>40</v>
      </c>
      <c r="E5396" s="56" t="n">
        <v>22.5</v>
      </c>
      <c r="F5396" s="56" t="n">
        <v>0</v>
      </c>
      <c r="G5396" s="56" t="n">
        <v>15.2</v>
      </c>
      <c r="H5396" s="56" t="n">
        <v>0</v>
      </c>
      <c r="I5396" s="56" t="n">
        <v>20.6</v>
      </c>
      <c r="J5396" s="56" t="n">
        <v>0</v>
      </c>
      <c r="K5396" s="56" t="n">
        <v>1015.8</v>
      </c>
      <c r="L5396" s="56" t="n">
        <v>0</v>
      </c>
      <c r="M5396" s="56" t="n">
        <v>65</v>
      </c>
      <c r="N5396" s="56" t="n">
        <v>6</v>
      </c>
      <c r="O5396" s="56" t="n">
        <f aca="false">IF(D5396=1,"",E5395)</f>
        <v>26</v>
      </c>
      <c r="P5396" s="56" t="n">
        <f aca="false">IF(OR(D5396=1,K5395=""),"",K5395)</f>
        <v>1018.4</v>
      </c>
      <c r="Q5396" s="56" t="n">
        <f aca="false">IF(OR(F5396&lt;&gt;0,AND(I5396&lt;&gt;"",E5396&lt;I5396)),1,0)</f>
        <v>0</v>
      </c>
      <c r="R5396" s="56" t="n">
        <f aca="false">IF(AND(D5396&gt;1,Q5396=0,ISNUMBER(O5396),ISNUMBER(P5396)),IF(Q5395=0,1,0),0)</f>
        <v>1</v>
      </c>
      <c r="S5396" s="56" t="n">
        <f aca="false">R5396*(B5396&gt;=Train_Start)*(B5396&lt;=Train_End)</f>
        <v>0</v>
      </c>
      <c r="T5396" s="84" t="n">
        <f aca="false">IF(AND(ISNUMBER(O5396),ISNUMBER(P5396)),Coef_A+Coef_B1*O5396+Coef_B2*P5396,"")</f>
        <v>25.3368951363596</v>
      </c>
      <c r="U5396" s="84" t="n">
        <f aca="false">IF(AND(R5396=1,ISNUMBER(T5396)),E5396-T5396,"")</f>
        <v>-2.83689513635959</v>
      </c>
      <c r="V5396" s="84" t="n">
        <f aca="false">IF(ISNUMBER(T5396),T5396,-99)</f>
        <v>25.3368951363596</v>
      </c>
      <c r="W5396" s="84" t="n">
        <f aca="false">IF(ISNUMBER(U5396),ABS(U5396),"")</f>
        <v>2.83689513635959</v>
      </c>
    </row>
    <row r="5397" customFormat="false" ht="15" hidden="false" customHeight="false" outlineLevel="0" collapsed="false">
      <c r="A5397" s="57" t="n">
        <v>41800</v>
      </c>
      <c r="B5397" s="56" t="n">
        <v>2014</v>
      </c>
      <c r="C5397" s="56" t="n">
        <v>6</v>
      </c>
      <c r="D5397" s="56" t="n">
        <v>41</v>
      </c>
      <c r="E5397" s="56" t="n">
        <v>22.4</v>
      </c>
      <c r="F5397" s="56" t="n">
        <v>0</v>
      </c>
      <c r="G5397" s="56" t="n">
        <v>13.4</v>
      </c>
      <c r="H5397" s="56" t="n">
        <v>0</v>
      </c>
      <c r="I5397" s="56" t="n">
        <v>18</v>
      </c>
      <c r="J5397" s="56" t="n">
        <v>0</v>
      </c>
      <c r="K5397" s="56" t="n">
        <v>1017.9</v>
      </c>
      <c r="L5397" s="56" t="n">
        <v>0</v>
      </c>
      <c r="M5397" s="56" t="n">
        <v>62</v>
      </c>
      <c r="N5397" s="56" t="n">
        <v>14</v>
      </c>
      <c r="O5397" s="56" t="n">
        <f aca="false">IF(D5397=1,"",E5396)</f>
        <v>22.5</v>
      </c>
      <c r="P5397" s="56" t="n">
        <f aca="false">IF(OR(D5397=1,K5396=""),"",K5396)</f>
        <v>1015.8</v>
      </c>
      <c r="Q5397" s="56" t="n">
        <f aca="false">IF(OR(F5397&lt;&gt;0,AND(I5397&lt;&gt;"",E5397&lt;I5397)),1,0)</f>
        <v>0</v>
      </c>
      <c r="R5397" s="56" t="n">
        <f aca="false">IF(AND(D5397&gt;1,Q5397=0,ISNUMBER(O5397),ISNUMBER(P5397)),IF(Q5396=0,1,0),0)</f>
        <v>1</v>
      </c>
      <c r="S5397" s="56" t="n">
        <f aca="false">R5397*(B5397&gt;=Train_Start)*(B5397&lt;=Train_End)</f>
        <v>0</v>
      </c>
      <c r="T5397" s="84" t="n">
        <f aca="false">IF(AND(ISNUMBER(O5397),ISNUMBER(P5397)),Coef_A+Coef_B1*O5397+Coef_B2*P5397,"")</f>
        <v>22.3876462346619</v>
      </c>
      <c r="U5397" s="84" t="n">
        <f aca="false">IF(AND(R5397=1,ISNUMBER(T5397)),E5397-T5397,"")</f>
        <v>0.0123537653380801</v>
      </c>
      <c r="V5397" s="84" t="n">
        <f aca="false">IF(ISNUMBER(T5397),T5397,-99)</f>
        <v>22.3876462346619</v>
      </c>
      <c r="W5397" s="84" t="n">
        <f aca="false">IF(ISNUMBER(U5397),ABS(U5397),"")</f>
        <v>0.0123537653380801</v>
      </c>
    </row>
    <row r="5398" customFormat="false" ht="15" hidden="false" customHeight="false" outlineLevel="0" collapsed="false">
      <c r="A5398" s="57" t="n">
        <v>41801</v>
      </c>
      <c r="B5398" s="56" t="n">
        <v>2014</v>
      </c>
      <c r="C5398" s="56" t="n">
        <v>6</v>
      </c>
      <c r="D5398" s="56" t="n">
        <v>42</v>
      </c>
      <c r="E5398" s="56" t="n">
        <v>25</v>
      </c>
      <c r="F5398" s="56" t="n">
        <v>0</v>
      </c>
      <c r="G5398" s="56" t="n">
        <v>10.8</v>
      </c>
      <c r="H5398" s="56" t="n">
        <v>0</v>
      </c>
      <c r="I5398" s="56" t="n">
        <v>16.6</v>
      </c>
      <c r="J5398" s="56" t="n">
        <v>0</v>
      </c>
      <c r="K5398" s="56" t="n">
        <v>1026.1</v>
      </c>
      <c r="L5398" s="56" t="n">
        <v>0</v>
      </c>
      <c r="M5398" s="56" t="n">
        <v>63</v>
      </c>
      <c r="N5398" s="56" t="n">
        <v>9.8</v>
      </c>
      <c r="O5398" s="56" t="n">
        <f aca="false">IF(D5398=1,"",E5397)</f>
        <v>22.4</v>
      </c>
      <c r="P5398" s="56" t="n">
        <f aca="false">IF(OR(D5398=1,K5397=""),"",K5397)</f>
        <v>1017.9</v>
      </c>
      <c r="Q5398" s="56" t="n">
        <f aca="false">IF(OR(F5398&lt;&gt;0,AND(I5398&lt;&gt;"",E5398&lt;I5398)),1,0)</f>
        <v>0</v>
      </c>
      <c r="R5398" s="56" t="n">
        <f aca="false">IF(AND(D5398&gt;1,Q5398=0,ISNUMBER(O5398),ISNUMBER(P5398)),IF(Q5397=0,1,0),0)</f>
        <v>1</v>
      </c>
      <c r="S5398" s="56" t="n">
        <f aca="false">R5398*(B5398&gt;=Train_Start)*(B5398&lt;=Train_End)</f>
        <v>0</v>
      </c>
      <c r="T5398" s="84" t="n">
        <f aca="false">IF(AND(ISNUMBER(O5398),ISNUMBER(P5398)),Coef_A+Coef_B1*O5398+Coef_B2*P5398,"")</f>
        <v>22.371589094089</v>
      </c>
      <c r="U5398" s="84" t="n">
        <f aca="false">IF(AND(R5398=1,ISNUMBER(T5398)),E5398-T5398,"")</f>
        <v>2.62841090591097</v>
      </c>
      <c r="V5398" s="84" t="n">
        <f aca="false">IF(ISNUMBER(T5398),T5398,-99)</f>
        <v>22.371589094089</v>
      </c>
      <c r="W5398" s="84" t="n">
        <f aca="false">IF(ISNUMBER(U5398),ABS(U5398),"")</f>
        <v>2.62841090591097</v>
      </c>
    </row>
    <row r="5399" customFormat="false" ht="15" hidden="false" customHeight="false" outlineLevel="0" collapsed="false">
      <c r="A5399" s="57" t="n">
        <v>41802</v>
      </c>
      <c r="B5399" s="56" t="n">
        <v>2014</v>
      </c>
      <c r="C5399" s="56" t="n">
        <v>6</v>
      </c>
      <c r="D5399" s="56" t="n">
        <v>43</v>
      </c>
      <c r="E5399" s="56" t="n">
        <v>26.1</v>
      </c>
      <c r="F5399" s="56" t="n">
        <v>0</v>
      </c>
      <c r="G5399" s="56" t="n">
        <v>11.9</v>
      </c>
      <c r="H5399" s="56" t="n">
        <v>0</v>
      </c>
      <c r="I5399" s="56" t="n">
        <v>18.5</v>
      </c>
      <c r="J5399" s="56" t="n">
        <v>0</v>
      </c>
      <c r="K5399" s="56" t="n">
        <v>1027.9</v>
      </c>
      <c r="L5399" s="56" t="n">
        <v>0</v>
      </c>
      <c r="M5399" s="56" t="n">
        <v>56</v>
      </c>
      <c r="N5399" s="56" t="n">
        <v>13.1</v>
      </c>
      <c r="O5399" s="56" t="n">
        <f aca="false">IF(D5399=1,"",E5398)</f>
        <v>25</v>
      </c>
      <c r="P5399" s="56" t="n">
        <f aca="false">IF(OR(D5399=1,K5398=""),"",K5398)</f>
        <v>1026.1</v>
      </c>
      <c r="Q5399" s="56" t="n">
        <f aca="false">IF(OR(F5399&lt;&gt;0,AND(I5399&lt;&gt;"",E5399&lt;I5399)),1,0)</f>
        <v>0</v>
      </c>
      <c r="R5399" s="56" t="n">
        <f aca="false">IF(AND(D5399&gt;1,Q5399=0,ISNUMBER(O5399),ISNUMBER(P5399)),IF(Q5398=0,1,0),0)</f>
        <v>1</v>
      </c>
      <c r="S5399" s="56" t="n">
        <f aca="false">R5399*(B5399&gt;=Train_Start)*(B5399&lt;=Train_End)</f>
        <v>0</v>
      </c>
      <c r="T5399" s="84" t="n">
        <f aca="false">IF(AND(ISNUMBER(O5399),ISNUMBER(P5399)),Coef_A+Coef_B1*O5399+Coef_B2*P5399,"")</f>
        <v>24.7591041319986</v>
      </c>
      <c r="U5399" s="84" t="n">
        <f aca="false">IF(AND(R5399=1,ISNUMBER(T5399)),E5399-T5399,"")</f>
        <v>1.34089586800135</v>
      </c>
      <c r="V5399" s="84" t="n">
        <f aca="false">IF(ISNUMBER(T5399),T5399,-99)</f>
        <v>24.7591041319986</v>
      </c>
      <c r="W5399" s="84" t="n">
        <f aca="false">IF(ISNUMBER(U5399),ABS(U5399),"")</f>
        <v>1.34089586800135</v>
      </c>
    </row>
    <row r="5400" customFormat="false" ht="15" hidden="false" customHeight="false" outlineLevel="0" collapsed="false">
      <c r="A5400" s="57" t="n">
        <v>41803</v>
      </c>
      <c r="B5400" s="56" t="n">
        <v>2014</v>
      </c>
      <c r="C5400" s="56" t="n">
        <v>6</v>
      </c>
      <c r="D5400" s="56" t="n">
        <v>44</v>
      </c>
      <c r="E5400" s="56" t="n">
        <v>22.2</v>
      </c>
      <c r="F5400" s="56" t="n">
        <v>0</v>
      </c>
      <c r="G5400" s="56" t="n">
        <v>13.3</v>
      </c>
      <c r="H5400" s="56" t="n">
        <v>0</v>
      </c>
      <c r="I5400" s="56" t="n">
        <v>19.7</v>
      </c>
      <c r="J5400" s="56" t="n">
        <v>0</v>
      </c>
      <c r="K5400" s="56" t="n">
        <v>1024.4</v>
      </c>
      <c r="L5400" s="56" t="n">
        <v>0</v>
      </c>
      <c r="M5400" s="56" t="n">
        <v>56</v>
      </c>
      <c r="N5400" s="56" t="n">
        <v>12.4</v>
      </c>
      <c r="O5400" s="56" t="n">
        <f aca="false">IF(D5400=1,"",E5399)</f>
        <v>26.1</v>
      </c>
      <c r="P5400" s="56" t="n">
        <f aca="false">IF(OR(D5400=1,K5399=""),"",K5399)</f>
        <v>1027.9</v>
      </c>
      <c r="Q5400" s="56" t="n">
        <f aca="false">IF(OR(F5400&lt;&gt;0,AND(I5400&lt;&gt;"",E5400&lt;I5400)),1,0)</f>
        <v>0</v>
      </c>
      <c r="R5400" s="56" t="n">
        <f aca="false">IF(AND(D5400&gt;1,Q5400=0,ISNUMBER(O5400),ISNUMBER(P5400)),IF(Q5399=0,1,0),0)</f>
        <v>1</v>
      </c>
      <c r="S5400" s="56" t="n">
        <f aca="false">R5400*(B5400&gt;=Train_Start)*(B5400&lt;=Train_End)</f>
        <v>0</v>
      </c>
      <c r="T5400" s="84" t="n">
        <f aca="false">IF(AND(ISNUMBER(O5400),ISNUMBER(P5400)),Coef_A+Coef_B1*O5400+Coef_B2*P5400,"")</f>
        <v>25.7168430546868</v>
      </c>
      <c r="U5400" s="84" t="n">
        <f aca="false">IF(AND(R5400=1,ISNUMBER(T5400)),E5400-T5400,"")</f>
        <v>-3.51684305468676</v>
      </c>
      <c r="V5400" s="84" t="n">
        <f aca="false">IF(ISNUMBER(T5400),T5400,-99)</f>
        <v>25.7168430546868</v>
      </c>
      <c r="W5400" s="84" t="n">
        <f aca="false">IF(ISNUMBER(U5400),ABS(U5400),"")</f>
        <v>3.51684305468676</v>
      </c>
    </row>
    <row r="5401" customFormat="false" ht="15" hidden="false" customHeight="false" outlineLevel="0" collapsed="false">
      <c r="A5401" s="57" t="n">
        <v>41804</v>
      </c>
      <c r="B5401" s="56" t="n">
        <v>2014</v>
      </c>
      <c r="C5401" s="56" t="n">
        <v>6</v>
      </c>
      <c r="D5401" s="56" t="n">
        <v>45</v>
      </c>
      <c r="E5401" s="56" t="n">
        <v>18.5</v>
      </c>
      <c r="F5401" s="56" t="n">
        <v>0</v>
      </c>
      <c r="G5401" s="56" t="n">
        <v>14.8</v>
      </c>
      <c r="H5401" s="56" t="n">
        <v>0</v>
      </c>
      <c r="I5401" s="56" t="n">
        <v>18.5</v>
      </c>
      <c r="J5401" s="56" t="n">
        <v>0</v>
      </c>
      <c r="K5401" s="56" t="n">
        <v>1025</v>
      </c>
      <c r="L5401" s="56" t="n">
        <v>0</v>
      </c>
      <c r="M5401" s="56" t="n">
        <v>73</v>
      </c>
      <c r="N5401" s="56" t="n">
        <v>5</v>
      </c>
      <c r="O5401" s="56" t="n">
        <f aca="false">IF(D5401=1,"",E5400)</f>
        <v>22.2</v>
      </c>
      <c r="P5401" s="56" t="n">
        <f aca="false">IF(OR(D5401=1,K5400=""),"",K5400)</f>
        <v>1024.4</v>
      </c>
      <c r="Q5401" s="56" t="n">
        <f aca="false">IF(OR(F5401&lt;&gt;0,AND(I5401&lt;&gt;"",E5401&lt;I5401)),1,0)</f>
        <v>0</v>
      </c>
      <c r="R5401" s="56" t="n">
        <f aca="false">IF(AND(D5401&gt;1,Q5401=0,ISNUMBER(O5401),ISNUMBER(P5401)),IF(Q5400=0,1,0),0)</f>
        <v>1</v>
      </c>
      <c r="S5401" s="56" t="n">
        <f aca="false">R5401*(B5401&gt;=Train_Start)*(B5401&lt;=Train_End)</f>
        <v>0</v>
      </c>
      <c r="T5401" s="84" t="n">
        <f aca="false">IF(AND(ISNUMBER(O5401),ISNUMBER(P5401)),Coef_A+Coef_B1*O5401+Coef_B2*P5401,"")</f>
        <v>22.4116255706014</v>
      </c>
      <c r="U5401" s="84" t="n">
        <f aca="false">IF(AND(R5401=1,ISNUMBER(T5401)),E5401-T5401,"")</f>
        <v>-3.91162557060143</v>
      </c>
      <c r="V5401" s="84" t="n">
        <f aca="false">IF(ISNUMBER(T5401),T5401,-99)</f>
        <v>22.4116255706014</v>
      </c>
      <c r="W5401" s="84" t="n">
        <f aca="false">IF(ISNUMBER(U5401),ABS(U5401),"")</f>
        <v>3.91162557060143</v>
      </c>
    </row>
    <row r="5402" customFormat="false" ht="15" hidden="false" customHeight="false" outlineLevel="0" collapsed="false">
      <c r="A5402" s="57" t="n">
        <v>41805</v>
      </c>
      <c r="B5402" s="56" t="n">
        <v>2014</v>
      </c>
      <c r="C5402" s="56" t="n">
        <v>6</v>
      </c>
      <c r="D5402" s="56" t="n">
        <v>46</v>
      </c>
      <c r="E5402" s="56" t="n">
        <v>17.8</v>
      </c>
      <c r="F5402" s="56" t="n">
        <v>0</v>
      </c>
      <c r="G5402" s="56" t="n">
        <v>14</v>
      </c>
      <c r="H5402" s="56" t="n">
        <v>0</v>
      </c>
      <c r="I5402" s="56" t="n">
        <v>16.3</v>
      </c>
      <c r="J5402" s="56" t="n">
        <v>0</v>
      </c>
      <c r="K5402" s="56" t="n">
        <v>1028</v>
      </c>
      <c r="L5402" s="56" t="n">
        <v>0</v>
      </c>
      <c r="M5402" s="56" t="n">
        <v>69</v>
      </c>
      <c r="N5402" s="56" t="n">
        <v>0.1</v>
      </c>
      <c r="O5402" s="56" t="n">
        <f aca="false">IF(D5402=1,"",E5401)</f>
        <v>18.5</v>
      </c>
      <c r="P5402" s="56" t="n">
        <f aca="false">IF(OR(D5402=1,K5401=""),"",K5401)</f>
        <v>1025</v>
      </c>
      <c r="Q5402" s="56" t="n">
        <f aca="false">IF(OR(F5402&lt;&gt;0,AND(I5402&lt;&gt;"",E5402&lt;I5402)),1,0)</f>
        <v>0</v>
      </c>
      <c r="R5402" s="56" t="n">
        <f aca="false">IF(AND(D5402&gt;1,Q5402=0,ISNUMBER(O5402),ISNUMBER(P5402)),IF(Q5401=0,1,0),0)</f>
        <v>1</v>
      </c>
      <c r="S5402" s="56" t="n">
        <f aca="false">R5402*(B5402&gt;=Train_Start)*(B5402&lt;=Train_End)</f>
        <v>0</v>
      </c>
      <c r="T5402" s="84" t="n">
        <f aca="false">IF(AND(ISNUMBER(O5402),ISNUMBER(P5402)),Coef_A+Coef_B1*O5402+Coef_B2*P5402,"")</f>
        <v>19.398892493124</v>
      </c>
      <c r="U5402" s="84" t="n">
        <f aca="false">IF(AND(R5402=1,ISNUMBER(T5402)),E5402-T5402,"")</f>
        <v>-1.59889249312399</v>
      </c>
      <c r="V5402" s="84" t="n">
        <f aca="false">IF(ISNUMBER(T5402),T5402,-99)</f>
        <v>19.398892493124</v>
      </c>
      <c r="W5402" s="84" t="n">
        <f aca="false">IF(ISNUMBER(U5402),ABS(U5402),"")</f>
        <v>1.59889249312399</v>
      </c>
    </row>
    <row r="5403" customFormat="false" ht="15" hidden="false" customHeight="false" outlineLevel="0" collapsed="false">
      <c r="A5403" s="57" t="n">
        <v>41806</v>
      </c>
      <c r="B5403" s="56" t="n">
        <v>2014</v>
      </c>
      <c r="C5403" s="56" t="n">
        <v>6</v>
      </c>
      <c r="D5403" s="56" t="n">
        <v>47</v>
      </c>
      <c r="E5403" s="56" t="n">
        <v>21.4</v>
      </c>
      <c r="F5403" s="56" t="n">
        <v>0</v>
      </c>
      <c r="G5403" s="56" t="n">
        <v>12.8</v>
      </c>
      <c r="H5403" s="56" t="n">
        <v>0</v>
      </c>
      <c r="I5403" s="56" t="n">
        <v>15.3</v>
      </c>
      <c r="J5403" s="56" t="n">
        <v>0</v>
      </c>
      <c r="K5403" s="56" t="n">
        <v>1028</v>
      </c>
      <c r="L5403" s="56" t="n">
        <v>0</v>
      </c>
      <c r="M5403" s="56" t="n">
        <v>68</v>
      </c>
      <c r="N5403" s="56" t="n">
        <v>1.8</v>
      </c>
      <c r="O5403" s="56" t="n">
        <f aca="false">IF(D5403=1,"",E5402)</f>
        <v>17.8</v>
      </c>
      <c r="P5403" s="56" t="n">
        <f aca="false">IF(OR(D5403=1,K5402=""),"",K5402)</f>
        <v>1028</v>
      </c>
      <c r="Q5403" s="56" t="n">
        <f aca="false">IF(OR(F5403&lt;&gt;0,AND(I5403&lt;&gt;"",E5403&lt;I5403)),1,0)</f>
        <v>0</v>
      </c>
      <c r="R5403" s="56" t="n">
        <f aca="false">IF(AND(D5403&gt;1,Q5403=0,ISNUMBER(O5403),ISNUMBER(P5403)),IF(Q5402=0,1,0),0)</f>
        <v>1</v>
      </c>
      <c r="S5403" s="56" t="n">
        <f aca="false">R5403*(B5403&gt;=Train_Start)*(B5403&lt;=Train_End)</f>
        <v>0</v>
      </c>
      <c r="T5403" s="84" t="n">
        <f aca="false">IF(AND(ISNUMBER(O5403),ISNUMBER(P5403)),Coef_A+Coef_B1*O5403+Coef_B2*P5403,"")</f>
        <v>18.9194647418961</v>
      </c>
      <c r="U5403" s="84" t="n">
        <f aca="false">IF(AND(R5403=1,ISNUMBER(T5403)),E5403-T5403,"")</f>
        <v>2.4805352581039</v>
      </c>
      <c r="V5403" s="84" t="n">
        <f aca="false">IF(ISNUMBER(T5403),T5403,-99)</f>
        <v>18.9194647418961</v>
      </c>
      <c r="W5403" s="84" t="n">
        <f aca="false">IF(ISNUMBER(U5403),ABS(U5403),"")</f>
        <v>2.4805352581039</v>
      </c>
    </row>
    <row r="5404" customFormat="false" ht="15" hidden="false" customHeight="false" outlineLevel="0" collapsed="false">
      <c r="A5404" s="57" t="n">
        <v>41807</v>
      </c>
      <c r="B5404" s="56" t="n">
        <v>2014</v>
      </c>
      <c r="C5404" s="56" t="n">
        <v>6</v>
      </c>
      <c r="D5404" s="56" t="n">
        <v>48</v>
      </c>
      <c r="E5404" s="56" t="n">
        <v>22.5</v>
      </c>
      <c r="F5404" s="56" t="n">
        <v>0</v>
      </c>
      <c r="G5404" s="56" t="n">
        <v>13.2</v>
      </c>
      <c r="H5404" s="56" t="n">
        <v>0</v>
      </c>
      <c r="I5404" s="56" t="n">
        <v>17.3</v>
      </c>
      <c r="J5404" s="56" t="n">
        <v>0</v>
      </c>
      <c r="K5404" s="56" t="n">
        <v>1027.4</v>
      </c>
      <c r="L5404" s="56" t="n">
        <v>0</v>
      </c>
      <c r="M5404" s="56" t="n">
        <v>59</v>
      </c>
      <c r="N5404" s="56" t="n">
        <v>9.5</v>
      </c>
      <c r="O5404" s="56" t="n">
        <f aca="false">IF(D5404=1,"",E5403)</f>
        <v>21.4</v>
      </c>
      <c r="P5404" s="56" t="n">
        <f aca="false">IF(OR(D5404=1,K5403=""),"",K5403)</f>
        <v>1028</v>
      </c>
      <c r="Q5404" s="56" t="n">
        <f aca="false">IF(OR(F5404&lt;&gt;0,AND(I5404&lt;&gt;"",E5404&lt;I5404)),1,0)</f>
        <v>0</v>
      </c>
      <c r="R5404" s="56" t="n">
        <f aca="false">IF(AND(D5404&gt;1,Q5404=0,ISNUMBER(O5404),ISNUMBER(P5404)),IF(Q5403=0,1,0),0)</f>
        <v>1</v>
      </c>
      <c r="S5404" s="56" t="n">
        <f aca="false">R5404*(B5404&gt;=Train_Start)*(B5404&lt;=Train_End)</f>
        <v>0</v>
      </c>
      <c r="T5404" s="84" t="n">
        <f aca="false">IF(AND(ISNUMBER(O5404),ISNUMBER(P5404)),Coef_A+Coef_B1*O5404+Coef_B2*P5404,"")</f>
        <v>21.8690858368497</v>
      </c>
      <c r="U5404" s="84" t="n">
        <f aca="false">IF(AND(R5404=1,ISNUMBER(T5404)),E5404-T5404,"")</f>
        <v>0.630914163150333</v>
      </c>
      <c r="V5404" s="84" t="n">
        <f aca="false">IF(ISNUMBER(T5404),T5404,-99)</f>
        <v>21.8690858368497</v>
      </c>
      <c r="W5404" s="84" t="n">
        <f aca="false">IF(ISNUMBER(U5404),ABS(U5404),"")</f>
        <v>0.630914163150333</v>
      </c>
    </row>
    <row r="5405" customFormat="false" ht="15" hidden="false" customHeight="false" outlineLevel="0" collapsed="false">
      <c r="A5405" s="57" t="n">
        <v>41808</v>
      </c>
      <c r="B5405" s="56" t="n">
        <v>2014</v>
      </c>
      <c r="C5405" s="56" t="n">
        <v>6</v>
      </c>
      <c r="D5405" s="56" t="n">
        <v>49</v>
      </c>
      <c r="E5405" s="56" t="n">
        <v>21.5</v>
      </c>
      <c r="F5405" s="56" t="n">
        <v>0</v>
      </c>
      <c r="G5405" s="56" t="n">
        <v>13.6</v>
      </c>
      <c r="H5405" s="56" t="n">
        <v>0</v>
      </c>
      <c r="I5405" s="56" t="n">
        <v>18.1</v>
      </c>
      <c r="J5405" s="56" t="n">
        <v>0</v>
      </c>
      <c r="K5405" s="56" t="n">
        <v>1026.2</v>
      </c>
      <c r="L5405" s="56" t="n">
        <v>0</v>
      </c>
      <c r="M5405" s="56" t="n">
        <v>67</v>
      </c>
      <c r="N5405" s="56" t="n">
        <v>7</v>
      </c>
      <c r="O5405" s="56" t="n">
        <f aca="false">IF(D5405=1,"",E5404)</f>
        <v>22.5</v>
      </c>
      <c r="P5405" s="56" t="n">
        <f aca="false">IF(OR(D5405=1,K5404=""),"",K5404)</f>
        <v>1027.4</v>
      </c>
      <c r="Q5405" s="56" t="n">
        <f aca="false">IF(OR(F5405&lt;&gt;0,AND(I5405&lt;&gt;"",E5405&lt;I5405)),1,0)</f>
        <v>0</v>
      </c>
      <c r="R5405" s="56" t="n">
        <f aca="false">IF(AND(D5405&gt;1,Q5405=0,ISNUMBER(O5405),ISNUMBER(P5405)),IF(Q5404=0,1,0),0)</f>
        <v>1</v>
      </c>
      <c r="S5405" s="56" t="n">
        <f aca="false">R5405*(B5405&gt;=Train_Start)*(B5405&lt;=Train_End)</f>
        <v>0</v>
      </c>
      <c r="T5405" s="84" t="n">
        <f aca="false">IF(AND(ISNUMBER(O5405),ISNUMBER(P5405)),Coef_A+Coef_B1*O5405+Coef_B2*P5405,"")</f>
        <v>22.7515370124162</v>
      </c>
      <c r="U5405" s="84" t="n">
        <f aca="false">IF(AND(R5405=1,ISNUMBER(T5405)),E5405-T5405,"")</f>
        <v>-1.2515370124162</v>
      </c>
      <c r="V5405" s="84" t="n">
        <f aca="false">IF(ISNUMBER(T5405),T5405,-99)</f>
        <v>22.7515370124162</v>
      </c>
      <c r="W5405" s="84" t="n">
        <f aca="false">IF(ISNUMBER(U5405),ABS(U5405),"")</f>
        <v>1.2515370124162</v>
      </c>
    </row>
    <row r="5406" customFormat="false" ht="15" hidden="false" customHeight="false" outlineLevel="0" collapsed="false">
      <c r="A5406" s="57" t="n">
        <v>41809</v>
      </c>
      <c r="B5406" s="56" t="n">
        <v>2014</v>
      </c>
      <c r="C5406" s="56" t="n">
        <v>6</v>
      </c>
      <c r="D5406" s="56" t="n">
        <v>50</v>
      </c>
      <c r="E5406" s="56" t="n">
        <v>23.4</v>
      </c>
      <c r="F5406" s="56" t="n">
        <v>0</v>
      </c>
      <c r="G5406" s="56" t="n">
        <v>12.2</v>
      </c>
      <c r="H5406" s="56" t="n">
        <v>0</v>
      </c>
      <c r="I5406" s="56" t="n">
        <v>16.9</v>
      </c>
      <c r="J5406" s="56" t="n">
        <v>0</v>
      </c>
      <c r="K5406" s="56" t="n">
        <v>1023</v>
      </c>
      <c r="L5406" s="56" t="n">
        <v>0</v>
      </c>
      <c r="M5406" s="56" t="n">
        <v>73</v>
      </c>
      <c r="N5406" s="56" t="n">
        <v>4.9</v>
      </c>
      <c r="O5406" s="56" t="n">
        <f aca="false">IF(D5406=1,"",E5405)</f>
        <v>21.5</v>
      </c>
      <c r="P5406" s="56" t="n">
        <f aca="false">IF(OR(D5406=1,K5405=""),"",K5405)</f>
        <v>1026.2</v>
      </c>
      <c r="Q5406" s="56" t="n">
        <f aca="false">IF(OR(F5406&lt;&gt;0,AND(I5406&lt;&gt;"",E5406&lt;I5406)),1,0)</f>
        <v>0</v>
      </c>
      <c r="R5406" s="56" t="n">
        <f aca="false">IF(AND(D5406&gt;1,Q5406=0,ISNUMBER(O5406),ISNUMBER(P5406)),IF(Q5405=0,1,0),0)</f>
        <v>1</v>
      </c>
      <c r="S5406" s="56" t="n">
        <f aca="false">R5406*(B5406&gt;=Train_Start)*(B5406&lt;=Train_End)</f>
        <v>0</v>
      </c>
      <c r="T5406" s="84" t="n">
        <f aca="false">IF(AND(ISNUMBER(O5406),ISNUMBER(P5406)),Coef_A+Coef_B1*O5406+Coef_B2*P5406,"")</f>
        <v>21.8945539458128</v>
      </c>
      <c r="U5406" s="84" t="n">
        <f aca="false">IF(AND(R5406=1,ISNUMBER(T5406)),E5406-T5406,"")</f>
        <v>1.50544605418725</v>
      </c>
      <c r="V5406" s="84" t="n">
        <f aca="false">IF(ISNUMBER(T5406),T5406,-99)</f>
        <v>21.8945539458128</v>
      </c>
      <c r="W5406" s="84" t="n">
        <f aca="false">IF(ISNUMBER(U5406),ABS(U5406),"")</f>
        <v>1.50544605418725</v>
      </c>
    </row>
    <row r="5407" customFormat="false" ht="15" hidden="false" customHeight="false" outlineLevel="0" collapsed="false">
      <c r="A5407" s="57" t="n">
        <v>41810</v>
      </c>
      <c r="B5407" s="56" t="n">
        <v>2014</v>
      </c>
      <c r="C5407" s="56" t="n">
        <v>6</v>
      </c>
      <c r="D5407" s="56" t="n">
        <v>51</v>
      </c>
      <c r="E5407" s="56" t="n">
        <v>24.1</v>
      </c>
      <c r="F5407" s="56" t="n">
        <v>0</v>
      </c>
      <c r="G5407" s="56" t="n">
        <v>11.5</v>
      </c>
      <c r="H5407" s="56" t="n">
        <v>0</v>
      </c>
      <c r="I5407" s="56" t="n">
        <v>17.5</v>
      </c>
      <c r="J5407" s="56" t="n">
        <v>0</v>
      </c>
      <c r="K5407" s="56" t="n">
        <v>1022.3</v>
      </c>
      <c r="L5407" s="56" t="n">
        <v>0</v>
      </c>
      <c r="M5407" s="56" t="n">
        <v>60</v>
      </c>
      <c r="N5407" s="56" t="n">
        <v>7.5</v>
      </c>
      <c r="O5407" s="56" t="n">
        <f aca="false">IF(D5407=1,"",E5406)</f>
        <v>23.4</v>
      </c>
      <c r="P5407" s="56" t="n">
        <f aca="false">IF(OR(D5407=1,K5406=""),"",K5406)</f>
        <v>1023</v>
      </c>
      <c r="Q5407" s="56" t="n">
        <f aca="false">IF(OR(F5407&lt;&gt;0,AND(I5407&lt;&gt;"",E5407&lt;I5407)),1,0)</f>
        <v>0</v>
      </c>
      <c r="R5407" s="56" t="n">
        <f aca="false">IF(AND(D5407&gt;1,Q5407=0,ISNUMBER(O5407),ISNUMBER(P5407)),IF(Q5406=0,1,0),0)</f>
        <v>1</v>
      </c>
      <c r="S5407" s="56" t="n">
        <f aca="false">R5407*(B5407&gt;=Train_Start)*(B5407&lt;=Train_End)</f>
        <v>0</v>
      </c>
      <c r="T5407" s="84" t="n">
        <f aca="false">IF(AND(ISNUMBER(O5407),ISNUMBER(P5407)),Coef_A+Coef_B1*O5407+Coef_B2*P5407,"")</f>
        <v>23.350914749765</v>
      </c>
      <c r="U5407" s="84" t="n">
        <f aca="false">IF(AND(R5407=1,ISNUMBER(T5407)),E5407-T5407,"")</f>
        <v>0.74908525023497</v>
      </c>
      <c r="V5407" s="84" t="n">
        <f aca="false">IF(ISNUMBER(T5407),T5407,-99)</f>
        <v>23.350914749765</v>
      </c>
      <c r="W5407" s="84" t="n">
        <f aca="false">IF(ISNUMBER(U5407),ABS(U5407),"")</f>
        <v>0.74908525023497</v>
      </c>
    </row>
    <row r="5408" customFormat="false" ht="15" hidden="false" customHeight="false" outlineLevel="0" collapsed="false">
      <c r="A5408" s="57" t="n">
        <v>41811</v>
      </c>
      <c r="B5408" s="56" t="n">
        <v>2014</v>
      </c>
      <c r="C5408" s="56" t="n">
        <v>6</v>
      </c>
      <c r="D5408" s="56" t="n">
        <v>52</v>
      </c>
      <c r="E5408" s="56" t="n">
        <v>23.9</v>
      </c>
      <c r="F5408" s="56" t="n">
        <v>0</v>
      </c>
      <c r="G5408" s="56" t="n">
        <v>13.2</v>
      </c>
      <c r="H5408" s="56" t="n">
        <v>0</v>
      </c>
      <c r="I5408" s="56" t="n">
        <v>18.7</v>
      </c>
      <c r="J5408" s="56" t="n">
        <v>0</v>
      </c>
      <c r="K5408" s="56" t="n">
        <v>1019.7</v>
      </c>
      <c r="L5408" s="56" t="n">
        <v>0</v>
      </c>
      <c r="M5408" s="56" t="n">
        <v>56</v>
      </c>
      <c r="N5408" s="56" t="n">
        <v>13.2</v>
      </c>
      <c r="O5408" s="56" t="n">
        <f aca="false">IF(D5408=1,"",E5407)</f>
        <v>24.1</v>
      </c>
      <c r="P5408" s="56" t="n">
        <f aca="false">IF(OR(D5408=1,K5407=""),"",K5407)</f>
        <v>1022.3</v>
      </c>
      <c r="Q5408" s="56" t="n">
        <f aca="false">IF(OR(F5408&lt;&gt;0,AND(I5408&lt;&gt;"",E5408&lt;I5408)),1,0)</f>
        <v>0</v>
      </c>
      <c r="R5408" s="56" t="n">
        <f aca="false">IF(AND(D5408&gt;1,Q5408=0,ISNUMBER(O5408),ISNUMBER(P5408)),IF(Q5407=0,1,0),0)</f>
        <v>1</v>
      </c>
      <c r="S5408" s="56" t="n">
        <f aca="false">R5408*(B5408&gt;=Train_Start)*(B5408&lt;=Train_End)</f>
        <v>0</v>
      </c>
      <c r="T5408" s="84" t="n">
        <f aca="false">IF(AND(ISNUMBER(O5408),ISNUMBER(P5408)),Coef_A+Coef_B1*O5408+Coef_B2*P5408,"")</f>
        <v>23.9024932586511</v>
      </c>
      <c r="U5408" s="84" t="n">
        <f aca="false">IF(AND(R5408=1,ISNUMBER(T5408)),E5408-T5408,"")</f>
        <v>-0.00249325865110706</v>
      </c>
      <c r="V5408" s="84" t="n">
        <f aca="false">IF(ISNUMBER(T5408),T5408,-99)</f>
        <v>23.9024932586511</v>
      </c>
      <c r="W5408" s="84" t="n">
        <f aca="false">IF(ISNUMBER(U5408),ABS(U5408),"")</f>
        <v>0.00249325865110706</v>
      </c>
    </row>
    <row r="5409" customFormat="false" ht="15" hidden="false" customHeight="false" outlineLevel="0" collapsed="false">
      <c r="A5409" s="57" t="n">
        <v>41812</v>
      </c>
      <c r="B5409" s="56" t="n">
        <v>2014</v>
      </c>
      <c r="C5409" s="56" t="n">
        <v>6</v>
      </c>
      <c r="D5409" s="56" t="n">
        <v>53</v>
      </c>
      <c r="E5409" s="56" t="n">
        <v>25.8</v>
      </c>
      <c r="F5409" s="56" t="n">
        <v>0</v>
      </c>
      <c r="G5409" s="56" t="n">
        <v>13.7</v>
      </c>
      <c r="H5409" s="56" t="n">
        <v>0</v>
      </c>
      <c r="I5409" s="56" t="n">
        <v>18.8</v>
      </c>
      <c r="J5409" s="56" t="n">
        <v>0</v>
      </c>
      <c r="K5409" s="56" t="n">
        <v>1021.3</v>
      </c>
      <c r="L5409" s="56" t="n">
        <v>0</v>
      </c>
      <c r="M5409" s="56" t="n">
        <v>58</v>
      </c>
      <c r="N5409" s="56" t="n">
        <v>6.8</v>
      </c>
      <c r="O5409" s="56" t="n">
        <f aca="false">IF(D5409=1,"",E5408)</f>
        <v>23.9</v>
      </c>
      <c r="P5409" s="56" t="n">
        <f aca="false">IF(OR(D5409=1,K5408=""),"",K5408)</f>
        <v>1019.7</v>
      </c>
      <c r="Q5409" s="56" t="n">
        <f aca="false">IF(OR(F5409&lt;&gt;0,AND(I5409&lt;&gt;"",E5409&lt;I5409)),1,0)</f>
        <v>0</v>
      </c>
      <c r="R5409" s="56" t="n">
        <f aca="false">IF(AND(D5409&gt;1,Q5409=0,ISNUMBER(O5409),ISNUMBER(P5409)),IF(Q5408=0,1,0),0)</f>
        <v>1</v>
      </c>
      <c r="S5409" s="56" t="n">
        <f aca="false">R5409*(B5409&gt;=Train_Start)*(B5409&lt;=Train_End)</f>
        <v>0</v>
      </c>
      <c r="T5409" s="84" t="n">
        <f aca="false">IF(AND(ISNUMBER(O5409),ISNUMBER(P5409)),Coef_A+Coef_B1*O5409+Coef_B2*P5409,"")</f>
        <v>23.6570636939942</v>
      </c>
      <c r="U5409" s="84" t="n">
        <f aca="false">IF(AND(R5409=1,ISNUMBER(T5409)),E5409-T5409,"")</f>
        <v>2.1429363060058</v>
      </c>
      <c r="V5409" s="84" t="n">
        <f aca="false">IF(ISNUMBER(T5409),T5409,-99)</f>
        <v>23.6570636939942</v>
      </c>
      <c r="W5409" s="84" t="n">
        <f aca="false">IF(ISNUMBER(U5409),ABS(U5409),"")</f>
        <v>2.1429363060058</v>
      </c>
    </row>
    <row r="5410" customFormat="false" ht="15" hidden="false" customHeight="false" outlineLevel="0" collapsed="false">
      <c r="A5410" s="57" t="n">
        <v>41813</v>
      </c>
      <c r="B5410" s="56" t="n">
        <v>2014</v>
      </c>
      <c r="C5410" s="56" t="n">
        <v>6</v>
      </c>
      <c r="D5410" s="56" t="n">
        <v>54</v>
      </c>
      <c r="E5410" s="56" t="n">
        <v>24.9</v>
      </c>
      <c r="F5410" s="56" t="n">
        <v>0</v>
      </c>
      <c r="G5410" s="56" t="n">
        <v>14.3</v>
      </c>
      <c r="H5410" s="56" t="n">
        <v>0</v>
      </c>
      <c r="I5410" s="56" t="n">
        <v>20.1</v>
      </c>
      <c r="J5410" s="56" t="n">
        <v>0</v>
      </c>
      <c r="K5410" s="56" t="n">
        <v>1022.1</v>
      </c>
      <c r="L5410" s="56" t="n">
        <v>0</v>
      </c>
      <c r="M5410" s="56" t="n">
        <v>55</v>
      </c>
      <c r="N5410" s="56" t="n">
        <v>4.9</v>
      </c>
      <c r="O5410" s="56" t="n">
        <f aca="false">IF(D5410=1,"",E5409)</f>
        <v>25.8</v>
      </c>
      <c r="P5410" s="56" t="n">
        <f aca="false">IF(OR(D5410=1,K5409=""),"",K5409)</f>
        <v>1021.3</v>
      </c>
      <c r="Q5410" s="56" t="n">
        <f aca="false">IF(OR(F5410&lt;&gt;0,AND(I5410&lt;&gt;"",E5410&lt;I5410)),1,0)</f>
        <v>0</v>
      </c>
      <c r="R5410" s="56" t="n">
        <f aca="false">IF(AND(D5410&gt;1,Q5410=0,ISNUMBER(O5410),ISNUMBER(P5410)),IF(Q5409=0,1,0),0)</f>
        <v>1</v>
      </c>
      <c r="S5410" s="56" t="n">
        <f aca="false">R5410*(B5410&gt;=Train_Start)*(B5410&lt;=Train_End)</f>
        <v>0</v>
      </c>
      <c r="T5410" s="84" t="n">
        <f aca="false">IF(AND(ISNUMBER(O5410),ISNUMBER(P5410)),Coef_A+Coef_B1*O5410+Coef_B2*P5410,"")</f>
        <v>25.2639999921896</v>
      </c>
      <c r="U5410" s="84" t="n">
        <f aca="false">IF(AND(R5410=1,ISNUMBER(T5410)),E5410-T5410,"")</f>
        <v>-0.363999992189633</v>
      </c>
      <c r="V5410" s="84" t="n">
        <f aca="false">IF(ISNUMBER(T5410),T5410,-99)</f>
        <v>25.2639999921896</v>
      </c>
      <c r="W5410" s="84" t="n">
        <f aca="false">IF(ISNUMBER(U5410),ABS(U5410),"")</f>
        <v>0.363999992189633</v>
      </c>
    </row>
    <row r="5411" customFormat="false" ht="15" hidden="false" customHeight="false" outlineLevel="0" collapsed="false">
      <c r="A5411" s="57" t="n">
        <v>41814</v>
      </c>
      <c r="B5411" s="56" t="n">
        <v>2014</v>
      </c>
      <c r="C5411" s="56" t="n">
        <v>6</v>
      </c>
      <c r="D5411" s="56" t="n">
        <v>55</v>
      </c>
      <c r="E5411" s="56" t="n">
        <v>21.3</v>
      </c>
      <c r="F5411" s="56" t="n">
        <v>0</v>
      </c>
      <c r="G5411" s="56" t="n">
        <v>13.7</v>
      </c>
      <c r="H5411" s="56" t="n">
        <v>0</v>
      </c>
      <c r="I5411" s="56" t="n">
        <v>19.3</v>
      </c>
      <c r="J5411" s="56" t="n">
        <v>0</v>
      </c>
      <c r="K5411" s="56" t="n">
        <v>1019.3</v>
      </c>
      <c r="L5411" s="56" t="n">
        <v>0</v>
      </c>
      <c r="M5411" s="56" t="n">
        <v>67</v>
      </c>
      <c r="N5411" s="56" t="n">
        <v>9.7</v>
      </c>
      <c r="O5411" s="56" t="n">
        <f aca="false">IF(D5411=1,"",E5410)</f>
        <v>24.9</v>
      </c>
      <c r="P5411" s="56" t="n">
        <f aca="false">IF(OR(D5411=1,K5410=""),"",K5410)</f>
        <v>1022.1</v>
      </c>
      <c r="Q5411" s="56" t="n">
        <f aca="false">IF(OR(F5411&lt;&gt;0,AND(I5411&lt;&gt;"",E5411&lt;I5411)),1,0)</f>
        <v>0</v>
      </c>
      <c r="R5411" s="56" t="n">
        <f aca="false">IF(AND(D5411&gt;1,Q5411=0,ISNUMBER(O5411),ISNUMBER(P5411)),IF(Q5410=0,1,0),0)</f>
        <v>1</v>
      </c>
      <c r="S5411" s="56" t="n">
        <f aca="false">R5411*(B5411&gt;=Train_Start)*(B5411&lt;=Train_End)</f>
        <v>0</v>
      </c>
      <c r="T5411" s="84" t="n">
        <f aca="false">IF(AND(ISNUMBER(O5411),ISNUMBER(P5411)),Coef_A+Coef_B1*O5411+Coef_B2*P5411,"")</f>
        <v>24.5516906341584</v>
      </c>
      <c r="U5411" s="84" t="n">
        <f aca="false">IF(AND(R5411=1,ISNUMBER(T5411)),E5411-T5411,"")</f>
        <v>-3.25169063415843</v>
      </c>
      <c r="V5411" s="84" t="n">
        <f aca="false">IF(ISNUMBER(T5411),T5411,-99)</f>
        <v>24.5516906341584</v>
      </c>
      <c r="W5411" s="84" t="n">
        <f aca="false">IF(ISNUMBER(U5411),ABS(U5411),"")</f>
        <v>3.25169063415843</v>
      </c>
    </row>
    <row r="5412" customFormat="false" ht="15" hidden="false" customHeight="false" outlineLevel="0" collapsed="false">
      <c r="A5412" s="57" t="n">
        <v>41815</v>
      </c>
      <c r="B5412" s="56" t="n">
        <v>2014</v>
      </c>
      <c r="C5412" s="56" t="n">
        <v>6</v>
      </c>
      <c r="D5412" s="56" t="n">
        <v>56</v>
      </c>
      <c r="E5412" s="56" t="n">
        <v>21.8</v>
      </c>
      <c r="F5412" s="56" t="n">
        <v>0</v>
      </c>
      <c r="G5412" s="56" t="n">
        <v>11.4</v>
      </c>
      <c r="H5412" s="56" t="n">
        <v>0</v>
      </c>
      <c r="I5412" s="56" t="n">
        <v>16.4</v>
      </c>
      <c r="J5412" s="56" t="n">
        <v>0</v>
      </c>
      <c r="K5412" s="56" t="n">
        <v>1018.2</v>
      </c>
      <c r="L5412" s="56" t="n">
        <v>0</v>
      </c>
      <c r="M5412" s="56" t="n">
        <v>54</v>
      </c>
      <c r="N5412" s="56" t="n">
        <v>11.6</v>
      </c>
      <c r="O5412" s="56" t="n">
        <f aca="false">IF(D5412=1,"",E5411)</f>
        <v>21.3</v>
      </c>
      <c r="P5412" s="56" t="n">
        <f aca="false">IF(OR(D5412=1,K5411=""),"",K5411)</f>
        <v>1019.3</v>
      </c>
      <c r="Q5412" s="56" t="n">
        <f aca="false">IF(OR(F5412&lt;&gt;0,AND(I5412&lt;&gt;"",E5412&lt;I5412)),1,0)</f>
        <v>0</v>
      </c>
      <c r="R5412" s="56" t="n">
        <f aca="false">IF(AND(D5412&gt;1,Q5412=0,ISNUMBER(O5412),ISNUMBER(P5412)),IF(Q5411=0,1,0),0)</f>
        <v>1</v>
      </c>
      <c r="S5412" s="56" t="n">
        <f aca="false">R5412*(B5412&gt;=Train_Start)*(B5412&lt;=Train_End)</f>
        <v>0</v>
      </c>
      <c r="T5412" s="84" t="n">
        <f aca="false">IF(AND(ISNUMBER(O5412),ISNUMBER(P5412)),Coef_A+Coef_B1*O5412+Coef_B2*P5412,"")</f>
        <v>21.5142338342297</v>
      </c>
      <c r="U5412" s="84" t="n">
        <f aca="false">IF(AND(R5412=1,ISNUMBER(T5412)),E5412-T5412,"")</f>
        <v>0.285766165770312</v>
      </c>
      <c r="V5412" s="84" t="n">
        <f aca="false">IF(ISNUMBER(T5412),T5412,-99)</f>
        <v>21.5142338342297</v>
      </c>
      <c r="W5412" s="84" t="n">
        <f aca="false">IF(ISNUMBER(U5412),ABS(U5412),"")</f>
        <v>0.285766165770312</v>
      </c>
    </row>
    <row r="5413" customFormat="false" ht="15" hidden="false" customHeight="false" outlineLevel="0" collapsed="false">
      <c r="A5413" s="57" t="n">
        <v>41816</v>
      </c>
      <c r="B5413" s="56" t="n">
        <v>2014</v>
      </c>
      <c r="C5413" s="56" t="n">
        <v>6</v>
      </c>
      <c r="D5413" s="56" t="n">
        <v>57</v>
      </c>
      <c r="E5413" s="56" t="n">
        <v>23.3</v>
      </c>
      <c r="F5413" s="56" t="n">
        <v>0</v>
      </c>
      <c r="G5413" s="56" t="n">
        <v>11.4</v>
      </c>
      <c r="H5413" s="56" t="n">
        <v>0</v>
      </c>
      <c r="I5413" s="56" t="n">
        <v>16.6</v>
      </c>
      <c r="J5413" s="56" t="n">
        <v>0</v>
      </c>
      <c r="K5413" s="56" t="n">
        <v>1015.3</v>
      </c>
      <c r="L5413" s="56" t="n">
        <v>0</v>
      </c>
      <c r="M5413" s="56" t="n">
        <v>60</v>
      </c>
      <c r="N5413" s="56" t="n">
        <v>5.5</v>
      </c>
      <c r="O5413" s="56" t="n">
        <f aca="false">IF(D5413=1,"",E5412)</f>
        <v>21.8</v>
      </c>
      <c r="P5413" s="56" t="n">
        <f aca="false">IF(OR(D5413=1,K5412=""),"",K5412)</f>
        <v>1018.2</v>
      </c>
      <c r="Q5413" s="56" t="n">
        <f aca="false">IF(OR(F5413&lt;&gt;0,AND(I5413&lt;&gt;"",E5413&lt;I5413)),1,0)</f>
        <v>0</v>
      </c>
      <c r="R5413" s="56" t="n">
        <f aca="false">IF(AND(D5413&gt;1,Q5413=0,ISNUMBER(O5413),ISNUMBER(P5413)),IF(Q5412=0,1,0),0)</f>
        <v>1</v>
      </c>
      <c r="S5413" s="56" t="n">
        <f aca="false">R5413*(B5413&gt;=Train_Start)*(B5413&lt;=Train_End)</f>
        <v>0</v>
      </c>
      <c r="T5413" s="84" t="n">
        <f aca="false">IF(AND(ISNUMBER(O5413),ISNUMBER(P5413)),Coef_A+Coef_B1*O5413+Coef_B2*P5413,"")</f>
        <v>21.8893965466536</v>
      </c>
      <c r="U5413" s="84" t="n">
        <f aca="false">IF(AND(R5413=1,ISNUMBER(T5413)),E5413-T5413,"")</f>
        <v>1.41060345334637</v>
      </c>
      <c r="V5413" s="84" t="n">
        <f aca="false">IF(ISNUMBER(T5413),T5413,-99)</f>
        <v>21.8893965466536</v>
      </c>
      <c r="W5413" s="84" t="n">
        <f aca="false">IF(ISNUMBER(U5413),ABS(U5413),"")</f>
        <v>1.41060345334637</v>
      </c>
    </row>
    <row r="5414" customFormat="false" ht="15" hidden="false" customHeight="false" outlineLevel="0" collapsed="false">
      <c r="A5414" s="57" t="n">
        <v>41817</v>
      </c>
      <c r="B5414" s="56" t="n">
        <v>2014</v>
      </c>
      <c r="C5414" s="56" t="n">
        <v>6</v>
      </c>
      <c r="D5414" s="56" t="n">
        <v>58</v>
      </c>
      <c r="E5414" s="56" t="n">
        <v>18.8</v>
      </c>
      <c r="F5414" s="56" t="n">
        <v>0</v>
      </c>
      <c r="G5414" s="56" t="n">
        <v>13.9</v>
      </c>
      <c r="H5414" s="56" t="n">
        <v>0</v>
      </c>
      <c r="I5414" s="56" t="n">
        <v>18.6</v>
      </c>
      <c r="J5414" s="56" t="n">
        <v>0</v>
      </c>
      <c r="K5414" s="56" t="n">
        <v>1012.2</v>
      </c>
      <c r="L5414" s="56" t="n">
        <v>0</v>
      </c>
      <c r="M5414" s="56" t="n">
        <v>67</v>
      </c>
      <c r="N5414" s="56" t="n">
        <v>5.9</v>
      </c>
      <c r="O5414" s="56" t="n">
        <f aca="false">IF(D5414=1,"",E5413)</f>
        <v>23.3</v>
      </c>
      <c r="P5414" s="56" t="n">
        <f aca="false">IF(OR(D5414=1,K5413=""),"",K5413)</f>
        <v>1015.3</v>
      </c>
      <c r="Q5414" s="56" t="n">
        <f aca="false">IF(OR(F5414&lt;&gt;0,AND(I5414&lt;&gt;"",E5414&lt;I5414)),1,0)</f>
        <v>0</v>
      </c>
      <c r="R5414" s="56" t="n">
        <f aca="false">IF(AND(D5414&gt;1,Q5414=0,ISNUMBER(O5414),ISNUMBER(P5414)),IF(Q5413=0,1,0),0)</f>
        <v>1</v>
      </c>
      <c r="S5414" s="56" t="n">
        <f aca="false">R5414*(B5414&gt;=Train_Start)*(B5414&lt;=Train_End)</f>
        <v>0</v>
      </c>
      <c r="T5414" s="84" t="n">
        <f aca="false">IF(AND(ISNUMBER(O5414),ISNUMBER(P5414)),Coef_A+Coef_B1*O5414+Coef_B2*P5414,"")</f>
        <v>23.0274326417791</v>
      </c>
      <c r="U5414" s="84" t="n">
        <f aca="false">IF(AND(R5414=1,ISNUMBER(T5414)),E5414-T5414,"")</f>
        <v>-4.22743264177905</v>
      </c>
      <c r="V5414" s="84" t="n">
        <f aca="false">IF(ISNUMBER(T5414),T5414,-99)</f>
        <v>23.0274326417791</v>
      </c>
      <c r="W5414" s="84" t="n">
        <f aca="false">IF(ISNUMBER(U5414),ABS(U5414),"")</f>
        <v>4.22743264177905</v>
      </c>
    </row>
    <row r="5415" customFormat="false" ht="15" hidden="false" customHeight="false" outlineLevel="0" collapsed="false">
      <c r="A5415" s="57" t="n">
        <v>41818</v>
      </c>
      <c r="B5415" s="56" t="n">
        <v>2014</v>
      </c>
      <c r="C5415" s="56" t="n">
        <v>6</v>
      </c>
      <c r="D5415" s="56" t="n">
        <v>59</v>
      </c>
      <c r="E5415" s="56" t="n">
        <v>19.5</v>
      </c>
      <c r="F5415" s="56" t="n">
        <v>0</v>
      </c>
      <c r="G5415" s="56" t="n">
        <v>12.2</v>
      </c>
      <c r="H5415" s="56" t="n">
        <v>0</v>
      </c>
      <c r="I5415" s="56" t="n">
        <v>15.5</v>
      </c>
      <c r="J5415" s="56" t="n">
        <v>0</v>
      </c>
      <c r="K5415" s="56" t="n">
        <v>1010.2</v>
      </c>
      <c r="L5415" s="56" t="n">
        <v>0</v>
      </c>
      <c r="M5415" s="56" t="n">
        <v>77</v>
      </c>
      <c r="N5415" s="56" t="n">
        <v>3.9</v>
      </c>
      <c r="O5415" s="56" t="n">
        <f aca="false">IF(D5415=1,"",E5414)</f>
        <v>18.8</v>
      </c>
      <c r="P5415" s="56" t="n">
        <f aca="false">IF(OR(D5415=1,K5414=""),"",K5414)</f>
        <v>1012.2</v>
      </c>
      <c r="Q5415" s="56" t="n">
        <f aca="false">IF(OR(F5415&lt;&gt;0,AND(I5415&lt;&gt;"",E5415&lt;I5415)),1,0)</f>
        <v>0</v>
      </c>
      <c r="R5415" s="56" t="n">
        <f aca="false">IF(AND(D5415&gt;1,Q5415=0,ISNUMBER(O5415),ISNUMBER(P5415)),IF(Q5414=0,1,0),0)</f>
        <v>1</v>
      </c>
      <c r="S5415" s="56" t="n">
        <f aca="false">R5415*(B5415&gt;=Train_Start)*(B5415&lt;=Train_End)</f>
        <v>0</v>
      </c>
      <c r="T5415" s="84" t="n">
        <f aca="false">IF(AND(ISNUMBER(O5415),ISNUMBER(P5415)),Coef_A+Coef_B1*O5415+Coef_B2*P5415,"")</f>
        <v>19.2431595997217</v>
      </c>
      <c r="U5415" s="84" t="n">
        <f aca="false">IF(AND(R5415=1,ISNUMBER(T5415)),E5415-T5415,"")</f>
        <v>0.256840400278275</v>
      </c>
      <c r="V5415" s="84" t="n">
        <f aca="false">IF(ISNUMBER(T5415),T5415,-99)</f>
        <v>19.2431595997217</v>
      </c>
      <c r="W5415" s="84" t="n">
        <f aca="false">IF(ISNUMBER(U5415),ABS(U5415),"")</f>
        <v>0.256840400278275</v>
      </c>
    </row>
    <row r="5416" customFormat="false" ht="15" hidden="false" customHeight="false" outlineLevel="0" collapsed="false">
      <c r="A5416" s="57" t="n">
        <v>41819</v>
      </c>
      <c r="B5416" s="56" t="n">
        <v>2014</v>
      </c>
      <c r="C5416" s="56" t="n">
        <v>6</v>
      </c>
      <c r="D5416" s="56" t="n">
        <v>60</v>
      </c>
      <c r="E5416" s="56" t="n">
        <v>21.2</v>
      </c>
      <c r="F5416" s="56" t="n">
        <v>0</v>
      </c>
      <c r="G5416" s="56" t="n">
        <v>12.6</v>
      </c>
      <c r="H5416" s="56" t="n">
        <v>0</v>
      </c>
      <c r="I5416" s="56" t="n">
        <v>16.1</v>
      </c>
      <c r="J5416" s="56" t="n">
        <v>0</v>
      </c>
      <c r="K5416" s="56" t="n">
        <v>1013.1</v>
      </c>
      <c r="L5416" s="56" t="n">
        <v>0</v>
      </c>
      <c r="M5416" s="56" t="n">
        <v>67</v>
      </c>
      <c r="N5416" s="56" t="n">
        <v>6.8</v>
      </c>
      <c r="O5416" s="56" t="n">
        <f aca="false">IF(D5416=1,"",E5415)</f>
        <v>19.5</v>
      </c>
      <c r="P5416" s="56" t="n">
        <f aca="false">IF(OR(D5416=1,K5415=""),"",K5415)</f>
        <v>1010.2</v>
      </c>
      <c r="Q5416" s="56" t="n">
        <f aca="false">IF(OR(F5416&lt;&gt;0,AND(I5416&lt;&gt;"",E5416&lt;I5416)),1,0)</f>
        <v>0</v>
      </c>
      <c r="R5416" s="56" t="n">
        <f aca="false">IF(AND(D5416&gt;1,Q5416=0,ISNUMBER(O5416),ISNUMBER(P5416)),IF(Q5415=0,1,0),0)</f>
        <v>1</v>
      </c>
      <c r="S5416" s="56" t="n">
        <f aca="false">R5416*(B5416&gt;=Train_Start)*(B5416&lt;=Train_End)</f>
        <v>0</v>
      </c>
      <c r="T5416" s="84" t="n">
        <f aca="false">IF(AND(ISNUMBER(O5416),ISNUMBER(P5416)),Coef_A+Coef_B1*O5416+Coef_B2*P5416,"")</f>
        <v>19.7539572455836</v>
      </c>
      <c r="U5416" s="84" t="n">
        <f aca="false">IF(AND(R5416=1,ISNUMBER(T5416)),E5416-T5416,"")</f>
        <v>1.44604275441639</v>
      </c>
      <c r="V5416" s="84" t="n">
        <f aca="false">IF(ISNUMBER(T5416),T5416,-99)</f>
        <v>19.7539572455836</v>
      </c>
      <c r="W5416" s="84" t="n">
        <f aca="false">IF(ISNUMBER(U5416),ABS(U5416),"")</f>
        <v>1.44604275441639</v>
      </c>
    </row>
    <row r="5417" customFormat="false" ht="15" hidden="false" customHeight="false" outlineLevel="0" collapsed="false">
      <c r="A5417" s="57" t="n">
        <v>41820</v>
      </c>
      <c r="B5417" s="56" t="n">
        <v>2014</v>
      </c>
      <c r="C5417" s="56" t="n">
        <v>6</v>
      </c>
      <c r="D5417" s="56" t="n">
        <v>61</v>
      </c>
      <c r="E5417" s="56" t="n">
        <v>23.3</v>
      </c>
      <c r="F5417" s="56" t="n">
        <v>0</v>
      </c>
      <c r="G5417" s="56" t="n">
        <v>9.8</v>
      </c>
      <c r="H5417" s="56" t="n">
        <v>0</v>
      </c>
      <c r="I5417" s="56" t="n">
        <v>15.5</v>
      </c>
      <c r="J5417" s="56" t="n">
        <v>0</v>
      </c>
      <c r="K5417" s="56" t="n">
        <v>1017.4</v>
      </c>
      <c r="L5417" s="56" t="n">
        <v>0</v>
      </c>
      <c r="M5417" s="56" t="n">
        <v>71</v>
      </c>
      <c r="N5417" s="56" t="n">
        <v>5.3</v>
      </c>
      <c r="O5417" s="56" t="n">
        <f aca="false">IF(D5417=1,"",E5416)</f>
        <v>21.2</v>
      </c>
      <c r="P5417" s="56" t="n">
        <f aca="false">IF(OR(D5417=1,K5416=""),"",K5416)</f>
        <v>1013.1</v>
      </c>
      <c r="Q5417" s="56" t="n">
        <f aca="false">IF(OR(F5417&lt;&gt;0,AND(I5417&lt;&gt;"",E5417&lt;I5417)),1,0)</f>
        <v>0</v>
      </c>
      <c r="R5417" s="56" t="n">
        <f aca="false">IF(AND(D5417&gt;1,Q5417=0,ISNUMBER(O5417),ISNUMBER(P5417)),IF(Q5416=0,1,0),0)</f>
        <v>1</v>
      </c>
      <c r="S5417" s="56" t="n">
        <f aca="false">R5417*(B5417&gt;=Train_Start)*(B5417&lt;=Train_End)</f>
        <v>0</v>
      </c>
      <c r="T5417" s="84" t="n">
        <f aca="false">IF(AND(ISNUMBER(O5417),ISNUMBER(P5417)),Coef_A+Coef_B1*O5417+Coef_B2*P5417,"")</f>
        <v>21.2378065681947</v>
      </c>
      <c r="U5417" s="84" t="n">
        <f aca="false">IF(AND(R5417=1,ISNUMBER(T5417)),E5417-T5417,"")</f>
        <v>2.06219343180531</v>
      </c>
      <c r="V5417" s="84" t="n">
        <f aca="false">IF(ISNUMBER(T5417),T5417,-99)</f>
        <v>21.2378065681947</v>
      </c>
      <c r="W5417" s="84" t="n">
        <f aca="false">IF(ISNUMBER(U5417),ABS(U5417),"")</f>
        <v>2.06219343180531</v>
      </c>
    </row>
    <row r="5418" customFormat="false" ht="15" hidden="false" customHeight="false" outlineLevel="0" collapsed="false">
      <c r="A5418" s="57" t="n">
        <v>41821</v>
      </c>
      <c r="B5418" s="56" t="n">
        <v>2014</v>
      </c>
      <c r="C5418" s="56" t="n">
        <v>7</v>
      </c>
      <c r="D5418" s="56" t="n">
        <v>62</v>
      </c>
      <c r="E5418" s="56" t="n">
        <v>24.7</v>
      </c>
      <c r="F5418" s="56" t="n">
        <v>0</v>
      </c>
      <c r="G5418" s="56" t="n">
        <v>11.7</v>
      </c>
      <c r="H5418" s="56" t="n">
        <v>0</v>
      </c>
      <c r="I5418" s="56" t="n">
        <v>17.5</v>
      </c>
      <c r="J5418" s="56" t="n">
        <v>0</v>
      </c>
      <c r="K5418" s="56" t="n">
        <v>1019.9</v>
      </c>
      <c r="L5418" s="56" t="n">
        <v>0</v>
      </c>
      <c r="M5418" s="56" t="n">
        <v>56</v>
      </c>
      <c r="N5418" s="56" t="n">
        <v>10.7</v>
      </c>
      <c r="O5418" s="56" t="n">
        <f aca="false">IF(D5418=1,"",E5417)</f>
        <v>23.3</v>
      </c>
      <c r="P5418" s="56" t="n">
        <f aca="false">IF(OR(D5418=1,K5417=""),"",K5417)</f>
        <v>1017.4</v>
      </c>
      <c r="Q5418" s="56" t="n">
        <f aca="false">IF(OR(F5418&lt;&gt;0,AND(I5418&lt;&gt;"",E5418&lt;I5418)),1,0)</f>
        <v>0</v>
      </c>
      <c r="R5418" s="56" t="n">
        <f aca="false">IF(AND(D5418&gt;1,Q5418=0,ISNUMBER(O5418),ISNUMBER(P5418)),IF(Q5417=0,1,0),0)</f>
        <v>1</v>
      </c>
      <c r="S5418" s="56" t="n">
        <f aca="false">R5418*(B5418&gt;=Train_Start)*(B5418&lt;=Train_End)</f>
        <v>0</v>
      </c>
      <c r="T5418" s="84" t="n">
        <f aca="false">IF(AND(ISNUMBER(O5418),ISNUMBER(P5418)),Coef_A+Coef_B1*O5418+Coef_B2*P5418,"")</f>
        <v>23.0933094205104</v>
      </c>
      <c r="U5418" s="84" t="n">
        <f aca="false">IF(AND(R5418=1,ISNUMBER(T5418)),E5418-T5418,"")</f>
        <v>1.60669057948957</v>
      </c>
      <c r="V5418" s="84" t="n">
        <f aca="false">IF(ISNUMBER(T5418),T5418,-99)</f>
        <v>23.0933094205104</v>
      </c>
      <c r="W5418" s="84" t="n">
        <f aca="false">IF(ISNUMBER(U5418),ABS(U5418),"")</f>
        <v>1.60669057948957</v>
      </c>
    </row>
    <row r="5419" customFormat="false" ht="15" hidden="false" customHeight="false" outlineLevel="0" collapsed="false">
      <c r="A5419" s="57" t="n">
        <v>41822</v>
      </c>
      <c r="B5419" s="56" t="n">
        <v>2014</v>
      </c>
      <c r="C5419" s="56" t="n">
        <v>7</v>
      </c>
      <c r="D5419" s="56" t="n">
        <v>63</v>
      </c>
      <c r="E5419" s="56" t="n">
        <v>27.1</v>
      </c>
      <c r="F5419" s="56" t="n">
        <v>0</v>
      </c>
      <c r="G5419" s="56" t="n">
        <v>11.1</v>
      </c>
      <c r="H5419" s="56" t="n">
        <v>0</v>
      </c>
      <c r="I5419" s="56" t="n">
        <v>17.9</v>
      </c>
      <c r="J5419" s="56" t="n">
        <v>0</v>
      </c>
      <c r="K5419" s="56" t="n">
        <v>1022.7</v>
      </c>
      <c r="L5419" s="56" t="n">
        <v>0</v>
      </c>
      <c r="M5419" s="56" t="n">
        <v>59</v>
      </c>
      <c r="N5419" s="56" t="n">
        <v>11.1</v>
      </c>
      <c r="O5419" s="56" t="n">
        <f aca="false">IF(D5419=1,"",E5418)</f>
        <v>24.7</v>
      </c>
      <c r="P5419" s="56" t="n">
        <f aca="false">IF(OR(D5419=1,K5418=""),"",K5418)</f>
        <v>1019.9</v>
      </c>
      <c r="Q5419" s="56" t="n">
        <f aca="false">IF(OR(F5419&lt;&gt;0,AND(I5419&lt;&gt;"",E5419&lt;I5419)),1,0)</f>
        <v>0</v>
      </c>
      <c r="R5419" s="56" t="n">
        <f aca="false">IF(AND(D5419&gt;1,Q5419=0,ISNUMBER(O5419),ISNUMBER(P5419)),IF(Q5418=0,1,0),0)</f>
        <v>1</v>
      </c>
      <c r="S5419" s="56" t="n">
        <f aca="false">R5419*(B5419&gt;=Train_Start)*(B5419&lt;=Train_End)</f>
        <v>0</v>
      </c>
      <c r="T5419" s="84" t="n">
        <f aca="false">IF(AND(ISNUMBER(O5419),ISNUMBER(P5419)),Coef_A+Coef_B1*O5419+Coef_B2*P5419,"")</f>
        <v>24.3188090273551</v>
      </c>
      <c r="U5419" s="84" t="n">
        <f aca="false">IF(AND(R5419=1,ISNUMBER(T5419)),E5419-T5419,"")</f>
        <v>2.78119097264488</v>
      </c>
      <c r="V5419" s="84" t="n">
        <f aca="false">IF(ISNUMBER(T5419),T5419,-99)</f>
        <v>24.3188090273551</v>
      </c>
      <c r="W5419" s="84" t="n">
        <f aca="false">IF(ISNUMBER(U5419),ABS(U5419),"")</f>
        <v>2.78119097264488</v>
      </c>
    </row>
    <row r="5420" customFormat="false" ht="15" hidden="false" customHeight="false" outlineLevel="0" collapsed="false">
      <c r="A5420" s="57" t="n">
        <v>41823</v>
      </c>
      <c r="B5420" s="56" t="n">
        <v>2014</v>
      </c>
      <c r="C5420" s="56" t="n">
        <v>7</v>
      </c>
      <c r="D5420" s="56" t="n">
        <v>64</v>
      </c>
      <c r="E5420" s="56" t="n">
        <v>27</v>
      </c>
      <c r="F5420" s="56" t="n">
        <v>0</v>
      </c>
      <c r="G5420" s="56" t="n">
        <v>13.1</v>
      </c>
      <c r="H5420" s="56" t="n">
        <v>0</v>
      </c>
      <c r="I5420" s="56" t="n">
        <v>20.1</v>
      </c>
      <c r="J5420" s="56" t="n">
        <v>0</v>
      </c>
      <c r="K5420" s="56" t="n">
        <v>1019.3</v>
      </c>
      <c r="L5420" s="56" t="n">
        <v>0</v>
      </c>
      <c r="M5420" s="56" t="n">
        <v>52</v>
      </c>
      <c r="N5420" s="56" t="n">
        <v>14.4</v>
      </c>
      <c r="O5420" s="56" t="n">
        <f aca="false">IF(D5420=1,"",E5419)</f>
        <v>27.1</v>
      </c>
      <c r="P5420" s="56" t="n">
        <f aca="false">IF(OR(D5420=1,K5419=""),"",K5419)</f>
        <v>1022.7</v>
      </c>
      <c r="Q5420" s="56" t="n">
        <f aca="false">IF(OR(F5420&lt;&gt;0,AND(I5420&lt;&gt;"",E5420&lt;I5420)),1,0)</f>
        <v>0</v>
      </c>
      <c r="R5420" s="56" t="n">
        <f aca="false">IF(AND(D5420&gt;1,Q5420=0,ISNUMBER(O5420),ISNUMBER(P5420)),IF(Q5419=0,1,0),0)</f>
        <v>1</v>
      </c>
      <c r="S5420" s="56" t="n">
        <f aca="false">R5420*(B5420&gt;=Train_Start)*(B5420&lt;=Train_End)</f>
        <v>0</v>
      </c>
      <c r="T5420" s="84" t="n">
        <f aca="false">IF(AND(ISNUMBER(O5420),ISNUMBER(P5420)),Coef_A+Coef_B1*O5420+Coef_B2*P5420,"")</f>
        <v>26.3730587956327</v>
      </c>
      <c r="U5420" s="84" t="n">
        <f aca="false">IF(AND(R5420=1,ISNUMBER(T5420)),E5420-T5420,"")</f>
        <v>0.626941204367324</v>
      </c>
      <c r="V5420" s="84" t="n">
        <f aca="false">IF(ISNUMBER(T5420),T5420,-99)</f>
        <v>26.3730587956327</v>
      </c>
      <c r="W5420" s="84" t="n">
        <f aca="false">IF(ISNUMBER(U5420),ABS(U5420),"")</f>
        <v>0.626941204367324</v>
      </c>
    </row>
    <row r="5421" customFormat="false" ht="15" hidden="false" customHeight="false" outlineLevel="0" collapsed="false">
      <c r="A5421" s="57" t="n">
        <v>41824</v>
      </c>
      <c r="B5421" s="56" t="n">
        <v>2014</v>
      </c>
      <c r="C5421" s="56" t="n">
        <v>7</v>
      </c>
      <c r="D5421" s="56" t="n">
        <v>65</v>
      </c>
      <c r="E5421" s="56" t="n">
        <v>21.9</v>
      </c>
      <c r="F5421" s="56" t="n">
        <v>0</v>
      </c>
      <c r="G5421" s="56" t="n">
        <v>14</v>
      </c>
      <c r="H5421" s="56" t="n">
        <v>0</v>
      </c>
      <c r="I5421" s="56" t="n">
        <v>20.5</v>
      </c>
      <c r="J5421" s="56" t="n">
        <v>0</v>
      </c>
      <c r="K5421" s="56" t="n">
        <v>1008.1</v>
      </c>
      <c r="L5421" s="56" t="n">
        <v>0</v>
      </c>
      <c r="M5421" s="56" t="n">
        <v>63</v>
      </c>
      <c r="N5421" s="56" t="n">
        <v>12.4</v>
      </c>
      <c r="O5421" s="56" t="n">
        <f aca="false">IF(D5421=1,"",E5420)</f>
        <v>27</v>
      </c>
      <c r="P5421" s="56" t="n">
        <f aca="false">IF(OR(D5421=1,K5420=""),"",K5420)</f>
        <v>1019.3</v>
      </c>
      <c r="Q5421" s="56" t="n">
        <f aca="false">IF(OR(F5421&lt;&gt;0,AND(I5421&lt;&gt;"",E5421&lt;I5421)),1,0)</f>
        <v>0</v>
      </c>
      <c r="R5421" s="56" t="n">
        <f aca="false">IF(AND(D5421&gt;1,Q5421=0,ISNUMBER(O5421),ISNUMBER(P5421)),IF(Q5420=0,1,0),0)</f>
        <v>1</v>
      </c>
      <c r="S5421" s="56" t="n">
        <f aca="false">R5421*(B5421&gt;=Train_Start)*(B5421&lt;=Train_End)</f>
        <v>0</v>
      </c>
      <c r="T5421" s="84" t="n">
        <f aca="false">IF(AND(ISNUMBER(O5421),ISNUMBER(P5421)),Coef_A+Coef_B1*O5421+Coef_B2*P5421,"")</f>
        <v>26.1844672345728</v>
      </c>
      <c r="U5421" s="84" t="n">
        <f aca="false">IF(AND(R5421=1,ISNUMBER(T5421)),E5421-T5421,"")</f>
        <v>-4.28446723457284</v>
      </c>
      <c r="V5421" s="84" t="n">
        <f aca="false">IF(ISNUMBER(T5421),T5421,-99)</f>
        <v>26.1844672345728</v>
      </c>
      <c r="W5421" s="84" t="n">
        <f aca="false">IF(ISNUMBER(U5421),ABS(U5421),"")</f>
        <v>4.28446723457284</v>
      </c>
    </row>
    <row r="5422" customFormat="false" ht="15" hidden="false" customHeight="false" outlineLevel="0" collapsed="false">
      <c r="A5422" s="57" t="n">
        <v>41825</v>
      </c>
      <c r="B5422" s="56" t="n">
        <v>2014</v>
      </c>
      <c r="C5422" s="56" t="n">
        <v>7</v>
      </c>
      <c r="D5422" s="56" t="n">
        <v>66</v>
      </c>
      <c r="E5422" s="56" t="n">
        <v>21.9</v>
      </c>
      <c r="F5422" s="56" t="n">
        <v>0</v>
      </c>
      <c r="G5422" s="56" t="n">
        <v>16.5</v>
      </c>
      <c r="H5422" s="56" t="n">
        <v>0</v>
      </c>
      <c r="I5422" s="56" t="n">
        <v>19.2</v>
      </c>
      <c r="J5422" s="56" t="n">
        <v>0</v>
      </c>
      <c r="K5422" s="56" t="n">
        <v>1001.9</v>
      </c>
      <c r="L5422" s="56" t="n">
        <v>0</v>
      </c>
      <c r="M5422" s="56" t="n">
        <v>78</v>
      </c>
      <c r="N5422" s="56" t="n">
        <v>0.8</v>
      </c>
      <c r="O5422" s="56" t="n">
        <f aca="false">IF(D5422=1,"",E5421)</f>
        <v>21.9</v>
      </c>
      <c r="P5422" s="56" t="n">
        <f aca="false">IF(OR(D5422=1,K5421=""),"",K5421)</f>
        <v>1008.1</v>
      </c>
      <c r="Q5422" s="56" t="n">
        <f aca="false">IF(OR(F5422&lt;&gt;0,AND(I5422&lt;&gt;"",E5422&lt;I5422)),1,0)</f>
        <v>0</v>
      </c>
      <c r="R5422" s="56" t="n">
        <f aca="false">IF(AND(D5422&gt;1,Q5422=0,ISNUMBER(O5422),ISNUMBER(P5422)),IF(Q5421=0,1,0),0)</f>
        <v>1</v>
      </c>
      <c r="S5422" s="56" t="n">
        <f aca="false">R5422*(B5422&gt;=Train_Start)*(B5422&lt;=Train_End)</f>
        <v>0</v>
      </c>
      <c r="T5422" s="84" t="n">
        <f aca="false">IF(AND(ISNUMBER(O5422),ISNUMBER(P5422)),Coef_A+Coef_B1*O5422+Coef_B2*P5422,"")</f>
        <v>21.6544945301546</v>
      </c>
      <c r="U5422" s="84" t="n">
        <f aca="false">IF(AND(R5422=1,ISNUMBER(T5422)),E5422-T5422,"")</f>
        <v>0.245505469845391</v>
      </c>
      <c r="V5422" s="84" t="n">
        <f aca="false">IF(ISNUMBER(T5422),T5422,-99)</f>
        <v>21.6544945301546</v>
      </c>
      <c r="W5422" s="84" t="n">
        <f aca="false">IF(ISNUMBER(U5422),ABS(U5422),"")</f>
        <v>0.245505469845391</v>
      </c>
    </row>
    <row r="5423" customFormat="false" ht="15" hidden="false" customHeight="false" outlineLevel="0" collapsed="false">
      <c r="A5423" s="57" t="n">
        <v>41826</v>
      </c>
      <c r="B5423" s="56" t="n">
        <v>2014</v>
      </c>
      <c r="C5423" s="56" t="n">
        <v>7</v>
      </c>
      <c r="D5423" s="56" t="n">
        <v>67</v>
      </c>
      <c r="E5423" s="56" t="n">
        <v>21.5</v>
      </c>
      <c r="F5423" s="56" t="n">
        <v>0</v>
      </c>
      <c r="G5423" s="56" t="n">
        <v>13.9</v>
      </c>
      <c r="H5423" s="56" t="n">
        <v>0</v>
      </c>
      <c r="I5423" s="56" t="n">
        <v>17.9</v>
      </c>
      <c r="J5423" s="56" t="n">
        <v>0</v>
      </c>
      <c r="K5423" s="56" t="n">
        <v>1005.6</v>
      </c>
      <c r="L5423" s="56" t="n">
        <v>0</v>
      </c>
      <c r="M5423" s="56" t="n">
        <v>63</v>
      </c>
      <c r="N5423" s="56" t="n">
        <v>3.7</v>
      </c>
      <c r="O5423" s="56" t="n">
        <f aca="false">IF(D5423=1,"",E5422)</f>
        <v>21.9</v>
      </c>
      <c r="P5423" s="56" t="n">
        <f aca="false">IF(OR(D5423=1,K5422=""),"",K5422)</f>
        <v>1001.9</v>
      </c>
      <c r="Q5423" s="56" t="n">
        <f aca="false">IF(OR(F5423&lt;&gt;0,AND(I5423&lt;&gt;"",E5423&lt;I5423)),1,0)</f>
        <v>0</v>
      </c>
      <c r="R5423" s="56" t="n">
        <f aca="false">IF(AND(D5423&gt;1,Q5423=0,ISNUMBER(O5423),ISNUMBER(P5423)),IF(Q5422=0,1,0),0)</f>
        <v>1</v>
      </c>
      <c r="S5423" s="56" t="n">
        <f aca="false">R5423*(B5423&gt;=Train_Start)*(B5423&lt;=Train_End)</f>
        <v>0</v>
      </c>
      <c r="T5423" s="84" t="n">
        <f aca="false">IF(AND(ISNUMBER(O5423),ISNUMBER(P5423)),Coef_A+Coef_B1*O5423+Coef_B2*P5423,"")</f>
        <v>21.4600011834239</v>
      </c>
      <c r="U5423" s="84" t="n">
        <f aca="false">IF(AND(R5423=1,ISNUMBER(T5423)),E5423-T5423,"")</f>
        <v>0.03999881657613</v>
      </c>
      <c r="V5423" s="84" t="n">
        <f aca="false">IF(ISNUMBER(T5423),T5423,-99)</f>
        <v>21.4600011834239</v>
      </c>
      <c r="W5423" s="84" t="n">
        <f aca="false">IF(ISNUMBER(U5423),ABS(U5423),"")</f>
        <v>0.03999881657613</v>
      </c>
    </row>
    <row r="5424" customFormat="false" ht="15" hidden="false" customHeight="false" outlineLevel="0" collapsed="false">
      <c r="A5424" s="57" t="n">
        <v>41827</v>
      </c>
      <c r="B5424" s="56" t="n">
        <v>2014</v>
      </c>
      <c r="C5424" s="56" t="n">
        <v>7</v>
      </c>
      <c r="D5424" s="56" t="n">
        <v>68</v>
      </c>
      <c r="E5424" s="56" t="n">
        <v>20.4</v>
      </c>
      <c r="F5424" s="56" t="n">
        <v>0</v>
      </c>
      <c r="G5424" s="56" t="n">
        <v>11.2</v>
      </c>
      <c r="H5424" s="56" t="n">
        <v>0</v>
      </c>
      <c r="I5424" s="56" t="n">
        <v>16.4</v>
      </c>
      <c r="J5424" s="56" t="n">
        <v>0</v>
      </c>
      <c r="K5424" s="56" t="n">
        <v>1014.8</v>
      </c>
      <c r="L5424" s="56" t="n">
        <v>0</v>
      </c>
      <c r="M5424" s="56" t="n">
        <v>67</v>
      </c>
      <c r="N5424" s="56" t="n">
        <v>7.2</v>
      </c>
      <c r="O5424" s="56" t="n">
        <f aca="false">IF(D5424=1,"",E5423)</f>
        <v>21.5</v>
      </c>
      <c r="P5424" s="56" t="n">
        <f aca="false">IF(OR(D5424=1,K5423=""),"",K5423)</f>
        <v>1005.6</v>
      </c>
      <c r="Q5424" s="56" t="n">
        <f aca="false">IF(OR(F5424&lt;&gt;0,AND(I5424&lt;&gt;"",E5424&lt;I5424)),1,0)</f>
        <v>0</v>
      </c>
      <c r="R5424" s="56" t="n">
        <f aca="false">IF(AND(D5424&gt;1,Q5424=0,ISNUMBER(O5424),ISNUMBER(P5424)),IF(Q5423=0,1,0),0)</f>
        <v>1</v>
      </c>
      <c r="S5424" s="56" t="n">
        <f aca="false">R5424*(B5424&gt;=Train_Start)*(B5424&lt;=Train_End)</f>
        <v>0</v>
      </c>
      <c r="T5424" s="84" t="n">
        <f aca="false">IF(AND(ISNUMBER(O5424),ISNUMBER(P5424)),Coef_A+Coef_B1*O5424+Coef_B2*P5424,"")</f>
        <v>21.2483341163526</v>
      </c>
      <c r="U5424" s="84" t="n">
        <f aca="false">IF(AND(R5424=1,ISNUMBER(T5424)),E5424-T5424,"")</f>
        <v>-0.848334116352572</v>
      </c>
      <c r="V5424" s="84" t="n">
        <f aca="false">IF(ISNUMBER(T5424),T5424,-99)</f>
        <v>21.2483341163526</v>
      </c>
      <c r="W5424" s="84" t="n">
        <f aca="false">IF(ISNUMBER(U5424),ABS(U5424),"")</f>
        <v>0.848334116352572</v>
      </c>
    </row>
    <row r="5425" customFormat="false" ht="15" hidden="false" customHeight="false" outlineLevel="0" collapsed="false">
      <c r="A5425" s="57" t="n">
        <v>41828</v>
      </c>
      <c r="B5425" s="56" t="n">
        <v>2014</v>
      </c>
      <c r="C5425" s="56" t="n">
        <v>7</v>
      </c>
      <c r="D5425" s="56" t="n">
        <v>69</v>
      </c>
      <c r="E5425" s="56" t="n">
        <v>23.4</v>
      </c>
      <c r="F5425" s="56" t="n">
        <v>0</v>
      </c>
      <c r="G5425" s="56" t="n">
        <v>11.7</v>
      </c>
      <c r="H5425" s="56" t="n">
        <v>0</v>
      </c>
      <c r="I5425" s="56" t="n">
        <v>16.1</v>
      </c>
      <c r="J5425" s="56" t="n">
        <v>0</v>
      </c>
      <c r="K5425" s="56" t="n">
        <v>1015.5</v>
      </c>
      <c r="L5425" s="56" t="n">
        <v>0</v>
      </c>
      <c r="M5425" s="56" t="n">
        <v>73</v>
      </c>
      <c r="N5425" s="56" t="n">
        <v>6.3</v>
      </c>
      <c r="O5425" s="56" t="n">
        <f aca="false">IF(D5425=1,"",E5424)</f>
        <v>20.4</v>
      </c>
      <c r="P5425" s="56" t="n">
        <f aca="false">IF(OR(D5425=1,K5424=""),"",K5424)</f>
        <v>1014.8</v>
      </c>
      <c r="Q5425" s="56" t="n">
        <f aca="false">IF(OR(F5425&lt;&gt;0,AND(I5425&lt;&gt;"",E5425&lt;I5425)),1,0)</f>
        <v>0</v>
      </c>
      <c r="R5425" s="56" t="n">
        <f aca="false">IF(AND(D5425&gt;1,Q5425=0,ISNUMBER(O5425),ISNUMBER(P5425)),IF(Q5424=0,1,0),0)</f>
        <v>1</v>
      </c>
      <c r="S5425" s="56" t="n">
        <f aca="false">R5425*(B5425&gt;=Train_Start)*(B5425&lt;=Train_End)</f>
        <v>0</v>
      </c>
      <c r="T5425" s="84" t="n">
        <f aca="false">IF(AND(ISNUMBER(O5425),ISNUMBER(P5425)),Coef_A+Coef_B1*O5425+Coef_B2*P5425,"")</f>
        <v>20.6356640346383</v>
      </c>
      <c r="U5425" s="84" t="n">
        <f aca="false">IF(AND(R5425=1,ISNUMBER(T5425)),E5425-T5425,"")</f>
        <v>2.76433596536165</v>
      </c>
      <c r="V5425" s="84" t="n">
        <f aca="false">IF(ISNUMBER(T5425),T5425,-99)</f>
        <v>20.6356640346383</v>
      </c>
      <c r="W5425" s="84" t="n">
        <f aca="false">IF(ISNUMBER(U5425),ABS(U5425),"")</f>
        <v>2.76433596536165</v>
      </c>
    </row>
    <row r="5426" customFormat="false" ht="15" hidden="false" customHeight="false" outlineLevel="0" collapsed="false">
      <c r="A5426" s="57" t="n">
        <v>41829</v>
      </c>
      <c r="B5426" s="56" t="n">
        <v>2014</v>
      </c>
      <c r="C5426" s="56" t="n">
        <v>7</v>
      </c>
      <c r="D5426" s="56" t="n">
        <v>70</v>
      </c>
      <c r="E5426" s="56" t="n">
        <v>21.9</v>
      </c>
      <c r="F5426" s="56" t="n">
        <v>0</v>
      </c>
      <c r="G5426" s="56" t="n">
        <v>12</v>
      </c>
      <c r="H5426" s="56" t="n">
        <v>0</v>
      </c>
      <c r="I5426" s="56" t="n">
        <v>17.7</v>
      </c>
      <c r="J5426" s="56" t="n">
        <v>0</v>
      </c>
      <c r="K5426" s="56" t="n">
        <v>1017.9</v>
      </c>
      <c r="L5426" s="56" t="n">
        <v>0</v>
      </c>
      <c r="M5426" s="56" t="n">
        <v>67</v>
      </c>
      <c r="N5426" s="56" t="n">
        <v>5.3</v>
      </c>
      <c r="O5426" s="56" t="n">
        <f aca="false">IF(D5426=1,"",E5425)</f>
        <v>23.4</v>
      </c>
      <c r="P5426" s="56" t="n">
        <f aca="false">IF(OR(D5426=1,K5425=""),"",K5425)</f>
        <v>1015.5</v>
      </c>
      <c r="Q5426" s="56" t="n">
        <f aca="false">IF(OR(F5426&lt;&gt;0,AND(I5426&lt;&gt;"",E5426&lt;I5426)),1,0)</f>
        <v>0</v>
      </c>
      <c r="R5426" s="56" t="n">
        <f aca="false">IF(AND(D5426&gt;1,Q5426=0,ISNUMBER(O5426),ISNUMBER(P5426)),IF(Q5425=0,1,0),0)</f>
        <v>1</v>
      </c>
      <c r="S5426" s="56" t="n">
        <f aca="false">R5426*(B5426&gt;=Train_Start)*(B5426&lt;=Train_End)</f>
        <v>0</v>
      </c>
      <c r="T5426" s="84" t="n">
        <f aca="false">IF(AND(ISNUMBER(O5426),ISNUMBER(P5426)),Coef_A+Coef_B1*O5426+Coef_B2*P5426,"")</f>
        <v>23.1156405400101</v>
      </c>
      <c r="U5426" s="84" t="n">
        <f aca="false">IF(AND(R5426=1,ISNUMBER(T5426)),E5426-T5426,"")</f>
        <v>-1.21564054001011</v>
      </c>
      <c r="V5426" s="84" t="n">
        <f aca="false">IF(ISNUMBER(T5426),T5426,-99)</f>
        <v>23.1156405400101</v>
      </c>
      <c r="W5426" s="84" t="n">
        <f aca="false">IF(ISNUMBER(U5426),ABS(U5426),"")</f>
        <v>1.21564054001011</v>
      </c>
    </row>
    <row r="5427" customFormat="false" ht="15" hidden="false" customHeight="false" outlineLevel="0" collapsed="false">
      <c r="A5427" s="57" t="n">
        <v>41830</v>
      </c>
      <c r="B5427" s="56" t="n">
        <v>2014</v>
      </c>
      <c r="C5427" s="56" t="n">
        <v>7</v>
      </c>
      <c r="D5427" s="56" t="n">
        <v>71</v>
      </c>
      <c r="E5427" s="56" t="n">
        <v>21.1</v>
      </c>
      <c r="F5427" s="56" t="n">
        <v>0</v>
      </c>
      <c r="G5427" s="56" t="n">
        <v>14.5</v>
      </c>
      <c r="H5427" s="56" t="n">
        <v>0</v>
      </c>
      <c r="I5427" s="56" t="n">
        <v>18.2</v>
      </c>
      <c r="J5427" s="56" t="n">
        <v>0</v>
      </c>
      <c r="K5427" s="56" t="n">
        <v>1017.8</v>
      </c>
      <c r="L5427" s="56" t="n">
        <v>0</v>
      </c>
      <c r="M5427" s="56" t="n">
        <v>66</v>
      </c>
      <c r="N5427" s="56" t="n">
        <v>2.7</v>
      </c>
      <c r="O5427" s="56" t="n">
        <f aca="false">IF(D5427=1,"",E5426)</f>
        <v>21.9</v>
      </c>
      <c r="P5427" s="56" t="n">
        <f aca="false">IF(OR(D5427=1,K5426=""),"",K5426)</f>
        <v>1017.9</v>
      </c>
      <c r="Q5427" s="56" t="n">
        <f aca="false">IF(OR(F5427&lt;&gt;0,AND(I5427&lt;&gt;"",E5427&lt;I5427)),1,0)</f>
        <v>0</v>
      </c>
      <c r="R5427" s="56" t="n">
        <f aca="false">IF(AND(D5427&gt;1,Q5427=0,ISNUMBER(O5427),ISNUMBER(P5427)),IF(Q5426=0,1,0),0)</f>
        <v>1</v>
      </c>
      <c r="S5427" s="56" t="n">
        <f aca="false">R5427*(B5427&gt;=Train_Start)*(B5427&lt;=Train_End)</f>
        <v>0</v>
      </c>
      <c r="T5427" s="84" t="n">
        <f aca="false">IF(AND(ISNUMBER(O5427),ISNUMBER(P5427)),Coef_A+Coef_B1*O5427+Coef_B2*P5427,"")</f>
        <v>21.9619194975677</v>
      </c>
      <c r="U5427" s="84" t="n">
        <f aca="false">IF(AND(R5427=1,ISNUMBER(T5427)),E5427-T5427,"")</f>
        <v>-0.861919497567701</v>
      </c>
      <c r="V5427" s="84" t="n">
        <f aca="false">IF(ISNUMBER(T5427),T5427,-99)</f>
        <v>21.9619194975677</v>
      </c>
      <c r="W5427" s="84" t="n">
        <f aca="false">IF(ISNUMBER(U5427),ABS(U5427),"")</f>
        <v>0.861919497567701</v>
      </c>
    </row>
    <row r="5428" customFormat="false" ht="15" hidden="false" customHeight="false" outlineLevel="0" collapsed="false">
      <c r="A5428" s="57" t="n">
        <v>41831</v>
      </c>
      <c r="B5428" s="56" t="n">
        <v>2014</v>
      </c>
      <c r="C5428" s="56" t="n">
        <v>7</v>
      </c>
      <c r="D5428" s="56" t="n">
        <v>72</v>
      </c>
      <c r="E5428" s="56" t="n">
        <v>27.7</v>
      </c>
      <c r="F5428" s="56" t="n">
        <v>0</v>
      </c>
      <c r="G5428" s="56" t="n">
        <v>12.4</v>
      </c>
      <c r="H5428" s="56" t="n">
        <v>0</v>
      </c>
      <c r="I5428" s="56" t="n">
        <v>16.8</v>
      </c>
      <c r="J5428" s="56" t="n">
        <v>0</v>
      </c>
      <c r="K5428" s="56" t="n">
        <v>1017.7</v>
      </c>
      <c r="L5428" s="56" t="n">
        <v>0</v>
      </c>
      <c r="M5428" s="56" t="n">
        <v>77</v>
      </c>
      <c r="N5428" s="56" t="n">
        <v>0</v>
      </c>
      <c r="O5428" s="56" t="n">
        <f aca="false">IF(D5428=1,"",E5427)</f>
        <v>21.1</v>
      </c>
      <c r="P5428" s="56" t="n">
        <f aca="false">IF(OR(D5428=1,K5427=""),"",K5427)</f>
        <v>1017.8</v>
      </c>
      <c r="Q5428" s="56" t="n">
        <f aca="false">IF(OR(F5428&lt;&gt;0,AND(I5428&lt;&gt;"",E5428&lt;I5428)),1,0)</f>
        <v>0</v>
      </c>
      <c r="R5428" s="56" t="n">
        <f aca="false">IF(AND(D5428&gt;1,Q5428=0,ISNUMBER(O5428),ISNUMBER(P5428)),IF(Q5427=0,1,0),0)</f>
        <v>1</v>
      </c>
      <c r="S5428" s="56" t="n">
        <f aca="false">R5428*(B5428&gt;=Train_Start)*(B5428&lt;=Train_End)</f>
        <v>0</v>
      </c>
      <c r="T5428" s="84" t="n">
        <f aca="false">IF(AND(ISNUMBER(O5428),ISNUMBER(P5428)),Coef_A+Coef_B1*O5428+Coef_B2*P5428,"")</f>
        <v>21.3033111536702</v>
      </c>
      <c r="U5428" s="84" t="n">
        <f aca="false">IF(AND(R5428=1,ISNUMBER(T5428)),E5428-T5428,"")</f>
        <v>6.39668884632982</v>
      </c>
      <c r="V5428" s="84" t="n">
        <f aca="false">IF(ISNUMBER(T5428),T5428,-99)</f>
        <v>21.3033111536702</v>
      </c>
      <c r="W5428" s="84" t="n">
        <f aca="false">IF(ISNUMBER(U5428),ABS(U5428),"")</f>
        <v>6.39668884632982</v>
      </c>
    </row>
    <row r="5429" customFormat="false" ht="15" hidden="false" customHeight="false" outlineLevel="0" collapsed="false">
      <c r="A5429" s="57" t="n">
        <v>41832</v>
      </c>
      <c r="B5429" s="56" t="n">
        <v>2014</v>
      </c>
      <c r="C5429" s="56" t="n">
        <v>7</v>
      </c>
      <c r="D5429" s="56" t="n">
        <v>73</v>
      </c>
      <c r="E5429" s="56" t="n">
        <v>24.2</v>
      </c>
      <c r="F5429" s="56" t="n">
        <v>0</v>
      </c>
      <c r="G5429" s="56" t="n">
        <v>14.4</v>
      </c>
      <c r="H5429" s="56" t="n">
        <v>0</v>
      </c>
      <c r="I5429" s="56" t="n">
        <v>21.1</v>
      </c>
      <c r="J5429" s="56" t="n">
        <v>0</v>
      </c>
      <c r="K5429" s="56" t="n">
        <v>1013.6</v>
      </c>
      <c r="L5429" s="56" t="n">
        <v>0</v>
      </c>
      <c r="M5429" s="56" t="n">
        <v>68</v>
      </c>
      <c r="N5429" s="56" t="n">
        <v>7.3</v>
      </c>
      <c r="O5429" s="56" t="n">
        <f aca="false">IF(D5429=1,"",E5428)</f>
        <v>27.7</v>
      </c>
      <c r="P5429" s="56" t="n">
        <f aca="false">IF(OR(D5429=1,K5428=""),"",K5428)</f>
        <v>1017.7</v>
      </c>
      <c r="Q5429" s="56" t="n">
        <f aca="false">IF(OR(F5429&lt;&gt;0,AND(I5429&lt;&gt;"",E5429&lt;I5429)),1,0)</f>
        <v>0</v>
      </c>
      <c r="R5429" s="56" t="n">
        <f aca="false">IF(AND(D5429&gt;1,Q5429=0,ISNUMBER(O5429),ISNUMBER(P5429)),IF(Q5428=0,1,0),0)</f>
        <v>1</v>
      </c>
      <c r="S5429" s="56" t="n">
        <f aca="false">R5429*(B5429&gt;=Train_Start)*(B5429&lt;=Train_End)</f>
        <v>0</v>
      </c>
      <c r="T5429" s="84" t="n">
        <f aca="false">IF(AND(ISNUMBER(O5429),ISNUMBER(P5429)),Coef_A+Coef_B1*O5429+Coef_B2*P5429,"")</f>
        <v>26.7078128382883</v>
      </c>
      <c r="U5429" s="84" t="n">
        <f aca="false">IF(AND(R5429=1,ISNUMBER(T5429)),E5429-T5429,"")</f>
        <v>-2.50781283828832</v>
      </c>
      <c r="V5429" s="84" t="n">
        <f aca="false">IF(ISNUMBER(T5429),T5429,-99)</f>
        <v>26.7078128382883</v>
      </c>
      <c r="W5429" s="84" t="n">
        <f aca="false">IF(ISNUMBER(U5429),ABS(U5429),"")</f>
        <v>2.50781283828832</v>
      </c>
    </row>
    <row r="5430" customFormat="false" ht="15" hidden="false" customHeight="false" outlineLevel="0" collapsed="false">
      <c r="A5430" s="57" t="n">
        <v>41833</v>
      </c>
      <c r="B5430" s="56" t="n">
        <v>2014</v>
      </c>
      <c r="C5430" s="56" t="n">
        <v>7</v>
      </c>
      <c r="D5430" s="56" t="n">
        <v>74</v>
      </c>
      <c r="E5430" s="56" t="n">
        <v>25.2</v>
      </c>
      <c r="F5430" s="56" t="n">
        <v>0</v>
      </c>
      <c r="G5430" s="56" t="n">
        <v>17.1</v>
      </c>
      <c r="H5430" s="56" t="n">
        <v>0</v>
      </c>
      <c r="I5430" s="56" t="n">
        <v>20.7</v>
      </c>
      <c r="J5430" s="56" t="n">
        <v>0</v>
      </c>
      <c r="K5430" s="56" t="n">
        <v>1008.5</v>
      </c>
      <c r="L5430" s="56" t="n">
        <v>0</v>
      </c>
      <c r="M5430" s="56" t="n">
        <v>71</v>
      </c>
      <c r="N5430" s="56" t="n">
        <v>6.5</v>
      </c>
      <c r="O5430" s="56" t="n">
        <f aca="false">IF(D5430=1,"",E5429)</f>
        <v>24.2</v>
      </c>
      <c r="P5430" s="56" t="n">
        <f aca="false">IF(OR(D5430=1,K5429=""),"",K5429)</f>
        <v>1013.6</v>
      </c>
      <c r="Q5430" s="56" t="n">
        <f aca="false">IF(OR(F5430&lt;&gt;0,AND(I5430&lt;&gt;"",E5430&lt;I5430)),1,0)</f>
        <v>0</v>
      </c>
      <c r="R5430" s="56" t="n">
        <f aca="false">IF(AND(D5430&gt;1,Q5430=0,ISNUMBER(O5430),ISNUMBER(P5430)),IF(Q5429=0,1,0),0)</f>
        <v>1</v>
      </c>
      <c r="S5430" s="56" t="n">
        <f aca="false">R5430*(B5430&gt;=Train_Start)*(B5430&lt;=Train_End)</f>
        <v>0</v>
      </c>
      <c r="T5430" s="84" t="n">
        <f aca="false">IF(AND(ISNUMBER(O5430),ISNUMBER(P5430)),Coef_A+Coef_B1*O5430+Coef_B2*P5430,"")</f>
        <v>23.7115090946397</v>
      </c>
      <c r="U5430" s="84" t="n">
        <f aca="false">IF(AND(R5430=1,ISNUMBER(T5430)),E5430-T5430,"")</f>
        <v>1.48849090536034</v>
      </c>
      <c r="V5430" s="84" t="n">
        <f aca="false">IF(ISNUMBER(T5430),T5430,-99)</f>
        <v>23.7115090946397</v>
      </c>
      <c r="W5430" s="84" t="n">
        <f aca="false">IF(ISNUMBER(U5430),ABS(U5430),"")</f>
        <v>1.48849090536034</v>
      </c>
    </row>
    <row r="5431" customFormat="false" ht="15" hidden="false" customHeight="false" outlineLevel="0" collapsed="false">
      <c r="A5431" s="57" t="n">
        <v>41834</v>
      </c>
      <c r="B5431" s="56" t="n">
        <v>2014</v>
      </c>
      <c r="C5431" s="56" t="n">
        <v>7</v>
      </c>
      <c r="D5431" s="56" t="n">
        <v>75</v>
      </c>
      <c r="E5431" s="56" t="n">
        <v>26.5</v>
      </c>
      <c r="F5431" s="56" t="n">
        <v>0</v>
      </c>
      <c r="G5431" s="56" t="n">
        <v>11.7</v>
      </c>
      <c r="H5431" s="56" t="n">
        <v>0</v>
      </c>
      <c r="I5431" s="56" t="n">
        <v>18.5</v>
      </c>
      <c r="J5431" s="56" t="n">
        <v>0</v>
      </c>
      <c r="K5431" s="56" t="n">
        <v>1014.2</v>
      </c>
      <c r="L5431" s="56" t="n">
        <v>0</v>
      </c>
      <c r="M5431" s="56" t="n">
        <v>59</v>
      </c>
      <c r="N5431" s="56" t="n">
        <v>11.1</v>
      </c>
      <c r="O5431" s="56" t="n">
        <f aca="false">IF(D5431=1,"",E5430)</f>
        <v>25.2</v>
      </c>
      <c r="P5431" s="56" t="n">
        <f aca="false">IF(OR(D5431=1,K5430=""),"",K5430)</f>
        <v>1008.5</v>
      </c>
      <c r="Q5431" s="56" t="n">
        <f aca="false">IF(OR(F5431&lt;&gt;0,AND(I5431&lt;&gt;"",E5431&lt;I5431)),1,0)</f>
        <v>0</v>
      </c>
      <c r="R5431" s="56" t="n">
        <f aca="false">IF(AND(D5431&gt;1,Q5431=0,ISNUMBER(O5431),ISNUMBER(P5431)),IF(Q5430=0,1,0),0)</f>
        <v>1</v>
      </c>
      <c r="S5431" s="56" t="n">
        <f aca="false">R5431*(B5431&gt;=Train_Start)*(B5431&lt;=Train_End)</f>
        <v>0</v>
      </c>
      <c r="T5431" s="84" t="n">
        <f aca="false">IF(AND(ISNUMBER(O5431),ISNUMBER(P5431)),Coef_A+Coef_B1*O5431+Coef_B2*P5431,"")</f>
        <v>24.370861825049</v>
      </c>
      <c r="U5431" s="84" t="n">
        <f aca="false">IF(AND(R5431=1,ISNUMBER(T5431)),E5431-T5431,"")</f>
        <v>2.12913817495103</v>
      </c>
      <c r="V5431" s="84" t="n">
        <f aca="false">IF(ISNUMBER(T5431),T5431,-99)</f>
        <v>24.370861825049</v>
      </c>
      <c r="W5431" s="84" t="n">
        <f aca="false">IF(ISNUMBER(U5431),ABS(U5431),"")</f>
        <v>2.12913817495103</v>
      </c>
    </row>
    <row r="5432" customFormat="false" ht="15" hidden="false" customHeight="false" outlineLevel="0" collapsed="false">
      <c r="A5432" s="57" t="n">
        <v>41835</v>
      </c>
      <c r="B5432" s="56" t="n">
        <v>2014</v>
      </c>
      <c r="C5432" s="56" t="n">
        <v>7</v>
      </c>
      <c r="D5432" s="56" t="n">
        <v>76</v>
      </c>
      <c r="E5432" s="56" t="n">
        <v>27.4</v>
      </c>
      <c r="F5432" s="56" t="n">
        <v>0</v>
      </c>
      <c r="G5432" s="56" t="n">
        <v>17.8</v>
      </c>
      <c r="H5432" s="56" t="n">
        <v>0</v>
      </c>
      <c r="I5432" s="56" t="n">
        <v>22.2</v>
      </c>
      <c r="J5432" s="56" t="n">
        <v>0</v>
      </c>
      <c r="K5432" s="56" t="n">
        <v>1018.1</v>
      </c>
      <c r="L5432" s="56" t="n">
        <v>0</v>
      </c>
      <c r="M5432" s="56" t="n">
        <v>60</v>
      </c>
      <c r="N5432" s="56" t="n">
        <v>7.7</v>
      </c>
      <c r="O5432" s="56" t="n">
        <f aca="false">IF(D5432=1,"",E5431)</f>
        <v>26.5</v>
      </c>
      <c r="P5432" s="56" t="n">
        <f aca="false">IF(OR(D5432=1,K5431=""),"",K5431)</f>
        <v>1014.2</v>
      </c>
      <c r="Q5432" s="56" t="n">
        <f aca="false">IF(OR(F5432&lt;&gt;0,AND(I5432&lt;&gt;"",E5432&lt;I5432)),1,0)</f>
        <v>0</v>
      </c>
      <c r="R5432" s="56" t="n">
        <f aca="false">IF(AND(D5432&gt;1,Q5432=0,ISNUMBER(O5432),ISNUMBER(P5432)),IF(Q5431=0,1,0),0)</f>
        <v>1</v>
      </c>
      <c r="S5432" s="56" t="n">
        <f aca="false">R5432*(B5432&gt;=Train_Start)*(B5432&lt;=Train_End)</f>
        <v>0</v>
      </c>
      <c r="T5432" s="84" t="n">
        <f aca="false">IF(AND(ISNUMBER(O5432),ISNUMBER(P5432)),Coef_A+Coef_B1*O5432+Coef_B2*P5432,"")</f>
        <v>25.6148111754182</v>
      </c>
      <c r="U5432" s="84" t="n">
        <f aca="false">IF(AND(R5432=1,ISNUMBER(T5432)),E5432-T5432,"")</f>
        <v>1.78518882458183</v>
      </c>
      <c r="V5432" s="84" t="n">
        <f aca="false">IF(ISNUMBER(T5432),T5432,-99)</f>
        <v>25.6148111754182</v>
      </c>
      <c r="W5432" s="84" t="n">
        <f aca="false">IF(ISNUMBER(U5432),ABS(U5432),"")</f>
        <v>1.78518882458183</v>
      </c>
    </row>
    <row r="5433" customFormat="false" ht="15" hidden="false" customHeight="false" outlineLevel="0" collapsed="false">
      <c r="A5433" s="57" t="n">
        <v>41836</v>
      </c>
      <c r="B5433" s="56" t="n">
        <v>2014</v>
      </c>
      <c r="C5433" s="56" t="n">
        <v>7</v>
      </c>
      <c r="D5433" s="56" t="n">
        <v>77</v>
      </c>
      <c r="E5433" s="56" t="n">
        <v>29.1</v>
      </c>
      <c r="F5433" s="56" t="n">
        <v>0</v>
      </c>
      <c r="G5433" s="56" t="n">
        <v>14.1</v>
      </c>
      <c r="H5433" s="56" t="n">
        <v>0</v>
      </c>
      <c r="I5433" s="56" t="n">
        <v>20.8</v>
      </c>
      <c r="J5433" s="56" t="n">
        <v>0</v>
      </c>
      <c r="K5433" s="56" t="n">
        <v>1020.7</v>
      </c>
      <c r="L5433" s="56" t="n">
        <v>0</v>
      </c>
      <c r="M5433" s="56" t="n">
        <v>62</v>
      </c>
      <c r="N5433" s="56" t="n">
        <v>8.5</v>
      </c>
      <c r="O5433" s="56" t="n">
        <f aca="false">IF(D5433=1,"",E5432)</f>
        <v>27.4</v>
      </c>
      <c r="P5433" s="56" t="n">
        <f aca="false">IF(OR(D5433=1,K5432=""),"",K5432)</f>
        <v>1018.1</v>
      </c>
      <c r="Q5433" s="56" t="n">
        <f aca="false">IF(OR(F5433&lt;&gt;0,AND(I5433&lt;&gt;"",E5433&lt;I5433)),1,0)</f>
        <v>0</v>
      </c>
      <c r="R5433" s="56" t="n">
        <f aca="false">IF(AND(D5433&gt;1,Q5433=0,ISNUMBER(O5433),ISNUMBER(P5433)),IF(Q5432=0,1,0),0)</f>
        <v>1</v>
      </c>
      <c r="S5433" s="56" t="n">
        <f aca="false">R5433*(B5433&gt;=Train_Start)*(B5433&lt;=Train_End)</f>
        <v>0</v>
      </c>
      <c r="T5433" s="84" t="n">
        <f aca="false">IF(AND(ISNUMBER(O5433),ISNUMBER(P5433)),Coef_A+Coef_B1*O5433+Coef_B2*P5433,"")</f>
        <v>26.4745590382291</v>
      </c>
      <c r="U5433" s="84" t="n">
        <f aca="false">IF(AND(R5433=1,ISNUMBER(T5433)),E5433-T5433,"")</f>
        <v>2.62544096177088</v>
      </c>
      <c r="V5433" s="84" t="n">
        <f aca="false">IF(ISNUMBER(T5433),T5433,-99)</f>
        <v>26.4745590382291</v>
      </c>
      <c r="W5433" s="84" t="n">
        <f aca="false">IF(ISNUMBER(U5433),ABS(U5433),"")</f>
        <v>2.62544096177088</v>
      </c>
    </row>
    <row r="5434" customFormat="false" ht="15" hidden="false" customHeight="false" outlineLevel="0" collapsed="false">
      <c r="A5434" s="57" t="n">
        <v>41837</v>
      </c>
      <c r="B5434" s="56" t="n">
        <v>2014</v>
      </c>
      <c r="C5434" s="56" t="n">
        <v>7</v>
      </c>
      <c r="D5434" s="56" t="n">
        <v>78</v>
      </c>
      <c r="E5434" s="56" t="n">
        <v>30.3</v>
      </c>
      <c r="F5434" s="56" t="n">
        <v>0</v>
      </c>
      <c r="G5434" s="56" t="n">
        <v>17.3</v>
      </c>
      <c r="H5434" s="56" t="n">
        <v>0</v>
      </c>
      <c r="I5434" s="56" t="n">
        <v>23.2</v>
      </c>
      <c r="J5434" s="56" t="n">
        <v>0</v>
      </c>
      <c r="K5434" s="56" t="n">
        <v>1020</v>
      </c>
      <c r="L5434" s="56" t="n">
        <v>0</v>
      </c>
      <c r="M5434" s="56" t="n">
        <v>62</v>
      </c>
      <c r="N5434" s="56" t="n">
        <v>10.8</v>
      </c>
      <c r="O5434" s="56" t="n">
        <f aca="false">IF(D5434=1,"",E5433)</f>
        <v>29.1</v>
      </c>
      <c r="P5434" s="56" t="n">
        <f aca="false">IF(OR(D5434=1,K5433=""),"",K5433)</f>
        <v>1020.7</v>
      </c>
      <c r="Q5434" s="56" t="n">
        <f aca="false">IF(OR(F5434&lt;&gt;0,AND(I5434&lt;&gt;"",E5434&lt;I5434)),1,0)</f>
        <v>0</v>
      </c>
      <c r="R5434" s="56" t="n">
        <f aca="false">IF(AND(D5434&gt;1,Q5434=0,ISNUMBER(O5434),ISNUMBER(P5434)),IF(Q5433=0,1,0),0)</f>
        <v>1</v>
      </c>
      <c r="S5434" s="56" t="n">
        <f aca="false">R5434*(B5434&gt;=Train_Start)*(B5434&lt;=Train_End)</f>
        <v>0</v>
      </c>
      <c r="T5434" s="84" t="n">
        <f aca="false">IF(AND(ISNUMBER(O5434),ISNUMBER(P5434)),Coef_A+Coef_B1*O5434+Coef_B2*P5434,"")</f>
        <v>27.94899739245</v>
      </c>
      <c r="U5434" s="84" t="n">
        <f aca="false">IF(AND(R5434=1,ISNUMBER(T5434)),E5434-T5434,"")</f>
        <v>2.35100260754999</v>
      </c>
      <c r="V5434" s="84" t="n">
        <f aca="false">IF(ISNUMBER(T5434),T5434,-99)</f>
        <v>27.94899739245</v>
      </c>
      <c r="W5434" s="84" t="n">
        <f aca="false">IF(ISNUMBER(U5434),ABS(U5434),"")</f>
        <v>2.35100260754999</v>
      </c>
    </row>
    <row r="5435" customFormat="false" ht="15" hidden="false" customHeight="false" outlineLevel="0" collapsed="false">
      <c r="A5435" s="57" t="n">
        <v>41838</v>
      </c>
      <c r="B5435" s="56" t="n">
        <v>2014</v>
      </c>
      <c r="C5435" s="56" t="n">
        <v>7</v>
      </c>
      <c r="D5435" s="56" t="n">
        <v>79</v>
      </c>
      <c r="E5435" s="56" t="n">
        <v>28.3</v>
      </c>
      <c r="F5435" s="56" t="n">
        <v>0</v>
      </c>
      <c r="G5435" s="56" t="n">
        <v>17.9</v>
      </c>
      <c r="H5435" s="56" t="n">
        <v>0</v>
      </c>
      <c r="I5435" s="56" t="n">
        <v>24.1</v>
      </c>
      <c r="J5435" s="56" t="n">
        <v>0</v>
      </c>
      <c r="K5435" s="56" t="n">
        <v>1012.9</v>
      </c>
      <c r="L5435" s="56" t="n">
        <v>0</v>
      </c>
      <c r="M5435" s="56" t="n">
        <v>63</v>
      </c>
      <c r="N5435" s="56" t="n">
        <v>11</v>
      </c>
      <c r="O5435" s="56" t="n">
        <f aca="false">IF(D5435=1,"",E5434)</f>
        <v>30.3</v>
      </c>
      <c r="P5435" s="56" t="n">
        <f aca="false">IF(OR(D5435=1,K5434=""),"",K5434)</f>
        <v>1020</v>
      </c>
      <c r="Q5435" s="56" t="n">
        <f aca="false">IF(OR(F5435&lt;&gt;0,AND(I5435&lt;&gt;"",E5435&lt;I5435)),1,0)</f>
        <v>0</v>
      </c>
      <c r="R5435" s="56" t="n">
        <f aca="false">IF(AND(D5435&gt;1,Q5435=0,ISNUMBER(O5435),ISNUMBER(P5435)),IF(Q5434=0,1,0),0)</f>
        <v>1</v>
      </c>
      <c r="S5435" s="56" t="n">
        <f aca="false">R5435*(B5435&gt;=Train_Start)*(B5435&lt;=Train_End)</f>
        <v>0</v>
      </c>
      <c r="T5435" s="84" t="n">
        <f aca="false">IF(AND(ISNUMBER(O5435),ISNUMBER(P5435)),Coef_A+Coef_B1*O5435+Coef_B2*P5435,"")</f>
        <v>28.9102454978574</v>
      </c>
      <c r="U5435" s="84" t="n">
        <f aca="false">IF(AND(R5435=1,ISNUMBER(T5435)),E5435-T5435,"")</f>
        <v>-0.610245497857402</v>
      </c>
      <c r="V5435" s="84" t="n">
        <f aca="false">IF(ISNUMBER(T5435),T5435,-99)</f>
        <v>28.9102454978574</v>
      </c>
      <c r="W5435" s="84" t="n">
        <f aca="false">IF(ISNUMBER(U5435),ABS(U5435),"")</f>
        <v>0.610245497857402</v>
      </c>
    </row>
    <row r="5436" customFormat="false" ht="15" hidden="false" customHeight="false" outlineLevel="0" collapsed="false">
      <c r="A5436" s="57" t="n">
        <v>41839</v>
      </c>
      <c r="B5436" s="56" t="n">
        <v>2014</v>
      </c>
      <c r="C5436" s="56" t="n">
        <v>7</v>
      </c>
      <c r="D5436" s="56" t="n">
        <v>80</v>
      </c>
      <c r="E5436" s="56" t="n">
        <v>26.9</v>
      </c>
      <c r="F5436" s="56" t="n">
        <v>0</v>
      </c>
      <c r="G5436" s="56" t="n">
        <v>19.6</v>
      </c>
      <c r="H5436" s="56" t="n">
        <v>0</v>
      </c>
      <c r="I5436" s="56" t="n">
        <v>24</v>
      </c>
      <c r="J5436" s="56" t="n">
        <v>0</v>
      </c>
      <c r="K5436" s="56" t="n">
        <v>1008.3</v>
      </c>
      <c r="L5436" s="56" t="n">
        <v>0</v>
      </c>
      <c r="M5436" s="56" t="n">
        <v>69</v>
      </c>
      <c r="N5436" s="56" t="n">
        <v>4.9</v>
      </c>
      <c r="O5436" s="56" t="n">
        <f aca="false">IF(D5436=1,"",E5435)</f>
        <v>28.3</v>
      </c>
      <c r="P5436" s="56" t="n">
        <f aca="false">IF(OR(D5436=1,K5435=""),"",K5435)</f>
        <v>1012.9</v>
      </c>
      <c r="Q5436" s="56" t="n">
        <f aca="false">IF(OR(F5436&lt;&gt;0,AND(I5436&lt;&gt;"",E5436&lt;I5436)),1,0)</f>
        <v>0</v>
      </c>
      <c r="R5436" s="56" t="n">
        <f aca="false">IF(AND(D5436&gt;1,Q5436=0,ISNUMBER(O5436),ISNUMBER(P5436)),IF(Q5435=0,1,0),0)</f>
        <v>1</v>
      </c>
      <c r="S5436" s="56" t="n">
        <f aca="false">R5436*(B5436&gt;=Train_Start)*(B5436&lt;=Train_End)</f>
        <v>0</v>
      </c>
      <c r="T5436" s="84" t="n">
        <f aca="false">IF(AND(ISNUMBER(O5436),ISNUMBER(P5436)),Coef_A+Coef_B1*O5436+Coef_B2*P5436,"")</f>
        <v>27.0488408598708</v>
      </c>
      <c r="U5436" s="84" t="n">
        <f aca="false">IF(AND(R5436=1,ISNUMBER(T5436)),E5436-T5436,"")</f>
        <v>-0.148840859870763</v>
      </c>
      <c r="V5436" s="84" t="n">
        <f aca="false">IF(ISNUMBER(T5436),T5436,-99)</f>
        <v>27.0488408598708</v>
      </c>
      <c r="W5436" s="84" t="n">
        <f aca="false">IF(ISNUMBER(U5436),ABS(U5436),"")</f>
        <v>0.148840859870763</v>
      </c>
    </row>
    <row r="5437" customFormat="false" ht="15" hidden="false" customHeight="false" outlineLevel="0" collapsed="false">
      <c r="A5437" s="57" t="n">
        <v>41840</v>
      </c>
      <c r="B5437" s="56" t="n">
        <v>2014</v>
      </c>
      <c r="C5437" s="56" t="n">
        <v>7</v>
      </c>
      <c r="D5437" s="56" t="n">
        <v>81</v>
      </c>
      <c r="E5437" s="56" t="n">
        <v>26.9</v>
      </c>
      <c r="F5437" s="56" t="n">
        <v>0</v>
      </c>
      <c r="G5437" s="56" t="n">
        <v>17.5</v>
      </c>
      <c r="H5437" s="56" t="n">
        <v>0</v>
      </c>
      <c r="I5437" s="56" t="n">
        <v>22.2</v>
      </c>
      <c r="J5437" s="56" t="n">
        <v>0</v>
      </c>
      <c r="K5437" s="56" t="n">
        <v>1010.3</v>
      </c>
      <c r="L5437" s="56" t="n">
        <v>0</v>
      </c>
      <c r="M5437" s="56" t="n">
        <v>73</v>
      </c>
      <c r="N5437" s="56" t="n">
        <v>3.7</v>
      </c>
      <c r="O5437" s="56" t="n">
        <f aca="false">IF(D5437=1,"",E5436)</f>
        <v>26.9</v>
      </c>
      <c r="P5437" s="56" t="n">
        <f aca="false">IF(OR(D5437=1,K5436=""),"",K5436)</f>
        <v>1008.3</v>
      </c>
      <c r="Q5437" s="56" t="n">
        <f aca="false">IF(OR(F5437&lt;&gt;0,AND(I5437&lt;&gt;"",E5437&lt;I5437)),1,0)</f>
        <v>0</v>
      </c>
      <c r="R5437" s="56" t="n">
        <f aca="false">IF(AND(D5437&gt;1,Q5437=0,ISNUMBER(O5437),ISNUMBER(P5437)),IF(Q5436=0,1,0),0)</f>
        <v>1</v>
      </c>
      <c r="S5437" s="56" t="n">
        <f aca="false">R5437*(B5437&gt;=Train_Start)*(B5437&lt;=Train_End)</f>
        <v>0</v>
      </c>
      <c r="T5437" s="84" t="n">
        <f aca="false">IF(AND(ISNUMBER(O5437),ISNUMBER(P5437)),Coef_A+Coef_B1*O5437+Coef_B2*P5437,"")</f>
        <v>25.7574644742947</v>
      </c>
      <c r="U5437" s="84" t="n">
        <f aca="false">IF(AND(R5437=1,ISNUMBER(T5437)),E5437-T5437,"")</f>
        <v>1.14253552570531</v>
      </c>
      <c r="V5437" s="84" t="n">
        <f aca="false">IF(ISNUMBER(T5437),T5437,-99)</f>
        <v>25.7574644742947</v>
      </c>
      <c r="W5437" s="84" t="n">
        <f aca="false">IF(ISNUMBER(U5437),ABS(U5437),"")</f>
        <v>1.14253552570531</v>
      </c>
    </row>
    <row r="5438" customFormat="false" ht="15" hidden="false" customHeight="false" outlineLevel="0" collapsed="false">
      <c r="A5438" s="57" t="n">
        <v>41841</v>
      </c>
      <c r="B5438" s="56" t="n">
        <v>2014</v>
      </c>
      <c r="C5438" s="56" t="n">
        <v>7</v>
      </c>
      <c r="D5438" s="56" t="n">
        <v>82</v>
      </c>
      <c r="E5438" s="56" t="n">
        <v>27.5</v>
      </c>
      <c r="F5438" s="56" t="n">
        <v>0</v>
      </c>
      <c r="G5438" s="56" t="n">
        <v>15.9</v>
      </c>
      <c r="H5438" s="56" t="n">
        <v>0</v>
      </c>
      <c r="I5438" s="56" t="n">
        <v>21.4</v>
      </c>
      <c r="J5438" s="56" t="n">
        <v>0</v>
      </c>
      <c r="K5438" s="56" t="n">
        <v>1018.2</v>
      </c>
      <c r="L5438" s="56" t="n">
        <v>0</v>
      </c>
      <c r="M5438" s="56" t="n">
        <v>66</v>
      </c>
      <c r="N5438" s="56" t="n">
        <v>7</v>
      </c>
      <c r="O5438" s="56" t="n">
        <f aca="false">IF(D5438=1,"",E5437)</f>
        <v>26.9</v>
      </c>
      <c r="P5438" s="56" t="n">
        <f aca="false">IF(OR(D5438=1,K5437=""),"",K5437)</f>
        <v>1010.3</v>
      </c>
      <c r="Q5438" s="56" t="n">
        <f aca="false">IF(OR(F5438&lt;&gt;0,AND(I5438&lt;&gt;"",E5438&lt;I5438)),1,0)</f>
        <v>0</v>
      </c>
      <c r="R5438" s="56" t="n">
        <f aca="false">IF(AND(D5438&gt;1,Q5438=0,ISNUMBER(O5438),ISNUMBER(P5438)),IF(Q5437=0,1,0),0)</f>
        <v>1</v>
      </c>
      <c r="S5438" s="56" t="n">
        <f aca="false">R5438*(B5438&gt;=Train_Start)*(B5438&lt;=Train_End)</f>
        <v>0</v>
      </c>
      <c r="T5438" s="84" t="n">
        <f aca="false">IF(AND(ISNUMBER(O5438),ISNUMBER(P5438)),Coef_A+Coef_B1*O5438+Coef_B2*P5438,"")</f>
        <v>25.8202042635627</v>
      </c>
      <c r="U5438" s="84" t="n">
        <f aca="false">IF(AND(R5438=1,ISNUMBER(T5438)),E5438-T5438,"")</f>
        <v>1.67979573643733</v>
      </c>
      <c r="V5438" s="84" t="n">
        <f aca="false">IF(ISNUMBER(T5438),T5438,-99)</f>
        <v>25.8202042635627</v>
      </c>
      <c r="W5438" s="84" t="n">
        <f aca="false">IF(ISNUMBER(U5438),ABS(U5438),"")</f>
        <v>1.67979573643733</v>
      </c>
    </row>
    <row r="5439" customFormat="false" ht="15" hidden="false" customHeight="false" outlineLevel="0" collapsed="false">
      <c r="A5439" s="57" t="n">
        <v>41842</v>
      </c>
      <c r="B5439" s="56" t="n">
        <v>2014</v>
      </c>
      <c r="C5439" s="56" t="n">
        <v>7</v>
      </c>
      <c r="D5439" s="56" t="n">
        <v>83</v>
      </c>
      <c r="E5439" s="56" t="n">
        <v>29.8</v>
      </c>
      <c r="F5439" s="56" t="n">
        <v>0</v>
      </c>
      <c r="G5439" s="56" t="n">
        <v>15.9</v>
      </c>
      <c r="H5439" s="56" t="n">
        <v>0</v>
      </c>
      <c r="I5439" s="56" t="n">
        <v>21.7</v>
      </c>
      <c r="J5439" s="56" t="n">
        <v>0</v>
      </c>
      <c r="K5439" s="56" t="n">
        <v>1022.5</v>
      </c>
      <c r="L5439" s="56" t="n">
        <v>0</v>
      </c>
      <c r="M5439" s="56" t="n">
        <v>65</v>
      </c>
      <c r="N5439" s="56" t="n">
        <v>13.1</v>
      </c>
      <c r="O5439" s="56" t="n">
        <f aca="false">IF(D5439=1,"",E5438)</f>
        <v>27.5</v>
      </c>
      <c r="P5439" s="56" t="n">
        <f aca="false">IF(OR(D5439=1,K5438=""),"",K5438)</f>
        <v>1018.2</v>
      </c>
      <c r="Q5439" s="56" t="n">
        <f aca="false">IF(OR(F5439&lt;&gt;0,AND(I5439&lt;&gt;"",E5439&lt;I5439)),1,0)</f>
        <v>0</v>
      </c>
      <c r="R5439" s="56" t="n">
        <f aca="false">IF(AND(D5439&gt;1,Q5439=0,ISNUMBER(O5439),ISNUMBER(P5439)),IF(Q5438=0,1,0),0)</f>
        <v>1</v>
      </c>
      <c r="S5439" s="56" t="n">
        <f aca="false">R5439*(B5439&gt;=Train_Start)*(B5439&lt;=Train_End)</f>
        <v>0</v>
      </c>
      <c r="T5439" s="84" t="n">
        <f aca="false">IF(AND(ISNUMBER(O5439),ISNUMBER(P5439)),Coef_A+Coef_B1*O5439+Coef_B2*P5439,"")</f>
        <v>26.5596299469968</v>
      </c>
      <c r="U5439" s="84" t="n">
        <f aca="false">IF(AND(R5439=1,ISNUMBER(T5439)),E5439-T5439,"")</f>
        <v>3.24037005300322</v>
      </c>
      <c r="V5439" s="84" t="n">
        <f aca="false">IF(ISNUMBER(T5439),T5439,-99)</f>
        <v>26.5596299469968</v>
      </c>
      <c r="W5439" s="84" t="n">
        <f aca="false">IF(ISNUMBER(U5439),ABS(U5439),"")</f>
        <v>3.24037005300322</v>
      </c>
    </row>
    <row r="5440" customFormat="false" ht="15" hidden="false" customHeight="false" outlineLevel="0" collapsed="false">
      <c r="A5440" s="57" t="n">
        <v>41843</v>
      </c>
      <c r="B5440" s="56" t="n">
        <v>2014</v>
      </c>
      <c r="C5440" s="56" t="n">
        <v>7</v>
      </c>
      <c r="D5440" s="56" t="n">
        <v>84</v>
      </c>
      <c r="E5440" s="56" t="n">
        <v>29.6</v>
      </c>
      <c r="F5440" s="56" t="n">
        <v>0</v>
      </c>
      <c r="G5440" s="56" t="n">
        <v>15.5</v>
      </c>
      <c r="H5440" s="56" t="n">
        <v>0</v>
      </c>
      <c r="I5440" s="56" t="n">
        <v>22.7</v>
      </c>
      <c r="J5440" s="56" t="n">
        <v>0</v>
      </c>
      <c r="K5440" s="56" t="n">
        <v>1019.8</v>
      </c>
      <c r="L5440" s="56" t="n">
        <v>0</v>
      </c>
      <c r="M5440" s="56" t="n">
        <v>63</v>
      </c>
      <c r="N5440" s="56" t="n">
        <v>10.9</v>
      </c>
      <c r="O5440" s="56" t="n">
        <f aca="false">IF(D5440=1,"",E5439)</f>
        <v>29.8</v>
      </c>
      <c r="P5440" s="56" t="n">
        <f aca="false">IF(OR(D5440=1,K5439=""),"",K5439)</f>
        <v>1022.5</v>
      </c>
      <c r="Q5440" s="56" t="n">
        <f aca="false">IF(OR(F5440&lt;&gt;0,AND(I5440&lt;&gt;"",E5440&lt;I5440)),1,0)</f>
        <v>0</v>
      </c>
      <c r="R5440" s="56" t="n">
        <f aca="false">IF(AND(D5440&gt;1,Q5440=0,ISNUMBER(O5440),ISNUMBER(P5440)),IF(Q5439=0,1,0),0)</f>
        <v>1</v>
      </c>
      <c r="S5440" s="56" t="n">
        <f aca="false">R5440*(B5440&gt;=Train_Start)*(B5440&lt;=Train_End)</f>
        <v>0</v>
      </c>
      <c r="T5440" s="84" t="n">
        <f aca="false">IF(AND(ISNUMBER(O5440),ISNUMBER(P5440)),Coef_A+Coef_B1*O5440+Coef_B2*P5440,"")</f>
        <v>28.5790006379211</v>
      </c>
      <c r="U5440" s="84" t="n">
        <f aca="false">IF(AND(R5440=1,ISNUMBER(T5440)),E5440-T5440,"")</f>
        <v>1.02099936207895</v>
      </c>
      <c r="V5440" s="84" t="n">
        <f aca="false">IF(ISNUMBER(T5440),T5440,-99)</f>
        <v>28.5790006379211</v>
      </c>
      <c r="W5440" s="84" t="n">
        <f aca="false">IF(ISNUMBER(U5440),ABS(U5440),"")</f>
        <v>1.02099936207895</v>
      </c>
    </row>
    <row r="5441" customFormat="false" ht="15" hidden="false" customHeight="false" outlineLevel="0" collapsed="false">
      <c r="A5441" s="57" t="n">
        <v>41844</v>
      </c>
      <c r="B5441" s="56" t="n">
        <v>2014</v>
      </c>
      <c r="C5441" s="56" t="n">
        <v>7</v>
      </c>
      <c r="D5441" s="56" t="n">
        <v>85</v>
      </c>
      <c r="E5441" s="56" t="n">
        <v>27.3</v>
      </c>
      <c r="F5441" s="56" t="n">
        <v>0</v>
      </c>
      <c r="G5441" s="56" t="n">
        <v>16.1</v>
      </c>
      <c r="H5441" s="56" t="n">
        <v>0</v>
      </c>
      <c r="I5441" s="56" t="n">
        <v>22.9</v>
      </c>
      <c r="J5441" s="56" t="n">
        <v>0</v>
      </c>
      <c r="K5441" s="56" t="n">
        <v>1017.2</v>
      </c>
      <c r="L5441" s="56" t="n">
        <v>0</v>
      </c>
      <c r="M5441" s="56" t="n">
        <v>55</v>
      </c>
      <c r="N5441" s="56" t="n">
        <v>11.9</v>
      </c>
      <c r="O5441" s="56" t="n">
        <f aca="false">IF(D5441=1,"",E5440)</f>
        <v>29.6</v>
      </c>
      <c r="P5441" s="56" t="n">
        <f aca="false">IF(OR(D5441=1,K5440=""),"",K5440)</f>
        <v>1019.8</v>
      </c>
      <c r="Q5441" s="56" t="n">
        <f aca="false">IF(OR(F5441&lt;&gt;0,AND(I5441&lt;&gt;"",E5441&lt;I5441)),1,0)</f>
        <v>0</v>
      </c>
      <c r="R5441" s="56" t="n">
        <f aca="false">IF(AND(D5441&gt;1,Q5441=0,ISNUMBER(O5441),ISNUMBER(P5441)),IF(Q5440=0,1,0),0)</f>
        <v>1</v>
      </c>
      <c r="S5441" s="56" t="n">
        <f aca="false">R5441*(B5441&gt;=Train_Start)*(B5441&lt;=Train_End)</f>
        <v>0</v>
      </c>
      <c r="T5441" s="84" t="n">
        <f aca="false">IF(AND(ISNUMBER(O5441),ISNUMBER(P5441)),Coef_A+Coef_B1*O5441+Coef_B2*P5441,"")</f>
        <v>28.3304340838007</v>
      </c>
      <c r="U5441" s="84" t="n">
        <f aca="false">IF(AND(R5441=1,ISNUMBER(T5441)),E5441-T5441,"")</f>
        <v>-1.03043408380074</v>
      </c>
      <c r="V5441" s="84" t="n">
        <f aca="false">IF(ISNUMBER(T5441),T5441,-99)</f>
        <v>28.3304340838007</v>
      </c>
      <c r="W5441" s="84" t="n">
        <f aca="false">IF(ISNUMBER(U5441),ABS(U5441),"")</f>
        <v>1.03043408380074</v>
      </c>
    </row>
    <row r="5442" customFormat="false" ht="15" hidden="false" customHeight="false" outlineLevel="0" collapsed="false">
      <c r="A5442" s="57" t="n">
        <v>41845</v>
      </c>
      <c r="B5442" s="56" t="n">
        <v>2014</v>
      </c>
      <c r="C5442" s="56" t="n">
        <v>7</v>
      </c>
      <c r="D5442" s="56" t="n">
        <v>86</v>
      </c>
      <c r="E5442" s="56" t="n">
        <v>29.1</v>
      </c>
      <c r="F5442" s="56" t="n">
        <v>0</v>
      </c>
      <c r="G5442" s="56" t="n">
        <v>16.5</v>
      </c>
      <c r="H5442" s="56" t="n">
        <v>0</v>
      </c>
      <c r="I5442" s="56" t="n">
        <v>21.9</v>
      </c>
      <c r="J5442" s="56" t="n">
        <v>0</v>
      </c>
      <c r="K5442" s="56" t="n">
        <v>1016.9</v>
      </c>
      <c r="L5442" s="56" t="n">
        <v>0</v>
      </c>
      <c r="M5442" s="56" t="n">
        <v>72</v>
      </c>
      <c r="N5442" s="56" t="n">
        <v>5.4</v>
      </c>
      <c r="O5442" s="56" t="n">
        <f aca="false">IF(D5442=1,"",E5441)</f>
        <v>27.3</v>
      </c>
      <c r="P5442" s="56" t="n">
        <f aca="false">IF(OR(D5442=1,K5441=""),"",K5441)</f>
        <v>1017.2</v>
      </c>
      <c r="Q5442" s="56" t="n">
        <f aca="false">IF(OR(F5442&lt;&gt;0,AND(I5442&lt;&gt;"",E5442&lt;I5442)),1,0)</f>
        <v>0</v>
      </c>
      <c r="R5442" s="56" t="n">
        <f aca="false">IF(AND(D5442&gt;1,Q5442=0,ISNUMBER(O5442),ISNUMBER(P5442)),IF(Q5441=0,1,0),0)</f>
        <v>1</v>
      </c>
      <c r="S5442" s="56" t="n">
        <f aca="false">R5442*(B5442&gt;=Train_Start)*(B5442&lt;=Train_End)</f>
        <v>0</v>
      </c>
      <c r="T5442" s="84" t="n">
        <f aca="false">IF(AND(ISNUMBER(O5442),ISNUMBER(P5442)),Coef_A+Coef_B1*O5442+Coef_B2*P5442,"")</f>
        <v>26.3643922137543</v>
      </c>
      <c r="U5442" s="84" t="n">
        <f aca="false">IF(AND(R5442=1,ISNUMBER(T5442)),E5442-T5442,"")</f>
        <v>2.73560778624574</v>
      </c>
      <c r="V5442" s="84" t="n">
        <f aca="false">IF(ISNUMBER(T5442),T5442,-99)</f>
        <v>26.3643922137543</v>
      </c>
      <c r="W5442" s="84" t="n">
        <f aca="false">IF(ISNUMBER(U5442),ABS(U5442),"")</f>
        <v>2.73560778624574</v>
      </c>
    </row>
    <row r="5443" customFormat="false" ht="15" hidden="false" customHeight="false" outlineLevel="0" collapsed="false">
      <c r="A5443" s="57" t="n">
        <v>41846</v>
      </c>
      <c r="B5443" s="56" t="n">
        <v>2014</v>
      </c>
      <c r="C5443" s="56" t="n">
        <v>7</v>
      </c>
      <c r="D5443" s="56" t="n">
        <v>87</v>
      </c>
      <c r="E5443" s="56" t="n">
        <v>26.2</v>
      </c>
      <c r="F5443" s="56" t="n">
        <v>0</v>
      </c>
      <c r="G5443" s="56" t="n">
        <v>18</v>
      </c>
      <c r="H5443" s="56" t="n">
        <v>0</v>
      </c>
      <c r="I5443" s="56" t="n">
        <v>23.6</v>
      </c>
      <c r="J5443" s="56" t="n">
        <v>0</v>
      </c>
      <c r="K5443" s="56" t="n">
        <v>1016.4</v>
      </c>
      <c r="L5443" s="56" t="n">
        <v>0</v>
      </c>
      <c r="M5443" s="56" t="n">
        <v>55</v>
      </c>
      <c r="N5443" s="56" t="n">
        <v>10.8</v>
      </c>
      <c r="O5443" s="56" t="n">
        <f aca="false">IF(D5443=1,"",E5442)</f>
        <v>29.1</v>
      </c>
      <c r="P5443" s="56" t="n">
        <f aca="false">IF(OR(D5443=1,K5442=""),"",K5442)</f>
        <v>1016.9</v>
      </c>
      <c r="Q5443" s="56" t="n">
        <f aca="false">IF(OR(F5443&lt;&gt;0,AND(I5443&lt;&gt;"",E5443&lt;I5443)),1,0)</f>
        <v>0</v>
      </c>
      <c r="R5443" s="56" t="n">
        <f aca="false">IF(AND(D5443&gt;1,Q5443=0,ISNUMBER(O5443),ISNUMBER(P5443)),IF(Q5442=0,1,0),0)</f>
        <v>1</v>
      </c>
      <c r="S5443" s="56" t="n">
        <f aca="false">R5443*(B5443&gt;=Train_Start)*(B5443&lt;=Train_End)</f>
        <v>0</v>
      </c>
      <c r="T5443" s="84" t="n">
        <f aca="false">IF(AND(ISNUMBER(O5443),ISNUMBER(P5443)),Coef_A+Coef_B1*O5443+Coef_B2*P5443,"")</f>
        <v>27.8297917928408</v>
      </c>
      <c r="U5443" s="84" t="n">
        <f aca="false">IF(AND(R5443=1,ISNUMBER(T5443)),E5443-T5443,"")</f>
        <v>-1.62979179284085</v>
      </c>
      <c r="V5443" s="84" t="n">
        <f aca="false">IF(ISNUMBER(T5443),T5443,-99)</f>
        <v>27.8297917928408</v>
      </c>
      <c r="W5443" s="84" t="n">
        <f aca="false">IF(ISNUMBER(U5443),ABS(U5443),"")</f>
        <v>1.62979179284085</v>
      </c>
    </row>
    <row r="5444" customFormat="false" ht="15" hidden="false" customHeight="false" outlineLevel="0" collapsed="false">
      <c r="A5444" s="57" t="n">
        <v>41847</v>
      </c>
      <c r="B5444" s="56" t="n">
        <v>2014</v>
      </c>
      <c r="C5444" s="56" t="n">
        <v>7</v>
      </c>
      <c r="D5444" s="56" t="n">
        <v>88</v>
      </c>
      <c r="E5444" s="56" t="n">
        <v>23.5</v>
      </c>
      <c r="F5444" s="56" t="n">
        <v>0</v>
      </c>
      <c r="G5444" s="56" t="n">
        <v>18.5</v>
      </c>
      <c r="H5444" s="56" t="n">
        <v>0</v>
      </c>
      <c r="I5444" s="56" t="n">
        <v>22.4</v>
      </c>
      <c r="J5444" s="56" t="n">
        <v>0</v>
      </c>
      <c r="K5444" s="56" t="n">
        <v>1016.5</v>
      </c>
      <c r="L5444" s="56" t="n">
        <v>0</v>
      </c>
      <c r="M5444" s="56" t="n">
        <v>54</v>
      </c>
      <c r="N5444" s="56" t="n">
        <v>5.4</v>
      </c>
      <c r="O5444" s="56" t="n">
        <f aca="false">IF(D5444=1,"",E5443)</f>
        <v>26.2</v>
      </c>
      <c r="P5444" s="56" t="n">
        <f aca="false">IF(OR(D5444=1,K5443=""),"",K5443)</f>
        <v>1016.4</v>
      </c>
      <c r="Q5444" s="56" t="n">
        <f aca="false">IF(OR(F5444&lt;&gt;0,AND(I5444&lt;&gt;"",E5444&lt;I5444)),1,0)</f>
        <v>0</v>
      </c>
      <c r="R5444" s="56" t="n">
        <f aca="false">IF(AND(D5444&gt;1,Q5444=0,ISNUMBER(O5444),ISNUMBER(P5444)),IF(Q5443=0,1,0),0)</f>
        <v>1</v>
      </c>
      <c r="S5444" s="56" t="n">
        <f aca="false">R5444*(B5444&gt;=Train_Start)*(B5444&lt;=Train_End)</f>
        <v>0</v>
      </c>
      <c r="T5444" s="84" t="n">
        <f aca="false">IF(AND(ISNUMBER(O5444),ISNUMBER(P5444)),Coef_A+Coef_B1*O5444+Coef_B2*P5444,"")</f>
        <v>25.4380231857001</v>
      </c>
      <c r="U5444" s="84" t="n">
        <f aca="false">IF(AND(R5444=1,ISNUMBER(T5444)),E5444-T5444,"")</f>
        <v>-1.93802318570014</v>
      </c>
      <c r="V5444" s="84" t="n">
        <f aca="false">IF(ISNUMBER(T5444),T5444,-99)</f>
        <v>25.4380231857001</v>
      </c>
      <c r="W5444" s="84" t="n">
        <f aca="false">IF(ISNUMBER(U5444),ABS(U5444),"")</f>
        <v>1.93802318570014</v>
      </c>
    </row>
    <row r="5445" customFormat="false" ht="15" hidden="false" customHeight="false" outlineLevel="0" collapsed="false">
      <c r="A5445" s="57" t="n">
        <v>41848</v>
      </c>
      <c r="B5445" s="56" t="n">
        <v>2014</v>
      </c>
      <c r="C5445" s="56" t="n">
        <v>7</v>
      </c>
      <c r="D5445" s="56" t="n">
        <v>89</v>
      </c>
      <c r="E5445" s="56" t="n">
        <v>27.2</v>
      </c>
      <c r="F5445" s="56" t="n">
        <v>0</v>
      </c>
      <c r="G5445" s="56" t="n">
        <v>13.4</v>
      </c>
      <c r="H5445" s="56" t="n">
        <v>0</v>
      </c>
      <c r="I5445" s="56" t="n">
        <v>18.5</v>
      </c>
      <c r="J5445" s="56" t="n">
        <v>0</v>
      </c>
      <c r="K5445" s="56" t="n">
        <v>1015.5</v>
      </c>
      <c r="L5445" s="56" t="n">
        <v>0</v>
      </c>
      <c r="M5445" s="56" t="n">
        <v>67</v>
      </c>
      <c r="N5445" s="56" t="n">
        <v>3.2</v>
      </c>
      <c r="O5445" s="56" t="n">
        <f aca="false">IF(D5445=1,"",E5444)</f>
        <v>23.5</v>
      </c>
      <c r="P5445" s="56" t="n">
        <f aca="false">IF(OR(D5445=1,K5444=""),"",K5444)</f>
        <v>1016.5</v>
      </c>
      <c r="Q5445" s="56" t="n">
        <f aca="false">IF(OR(F5445&lt;&gt;0,AND(I5445&lt;&gt;"",E5445&lt;I5445)),1,0)</f>
        <v>0</v>
      </c>
      <c r="R5445" s="56" t="n">
        <f aca="false">IF(AND(D5445&gt;1,Q5445=0,ISNUMBER(O5445),ISNUMBER(P5445)),IF(Q5444=0,1,0),0)</f>
        <v>1</v>
      </c>
      <c r="S5445" s="56" t="n">
        <f aca="false">R5445*(B5445&gt;=Train_Start)*(B5445&lt;=Train_End)</f>
        <v>0</v>
      </c>
      <c r="T5445" s="84" t="n">
        <f aca="false">IF(AND(ISNUMBER(O5445),ISNUMBER(P5445)),Coef_A+Coef_B1*O5445+Coef_B2*P5445,"")</f>
        <v>23.2289443539484</v>
      </c>
      <c r="U5445" s="84" t="n">
        <f aca="false">IF(AND(R5445=1,ISNUMBER(T5445)),E5445-T5445,"")</f>
        <v>3.97105564605163</v>
      </c>
      <c r="V5445" s="84" t="n">
        <f aca="false">IF(ISNUMBER(T5445),T5445,-99)</f>
        <v>23.2289443539484</v>
      </c>
      <c r="W5445" s="84" t="n">
        <f aca="false">IF(ISNUMBER(U5445),ABS(U5445),"")</f>
        <v>3.97105564605163</v>
      </c>
    </row>
    <row r="5446" customFormat="false" ht="15" hidden="false" customHeight="false" outlineLevel="0" collapsed="false">
      <c r="A5446" s="57" t="n">
        <v>41849</v>
      </c>
      <c r="B5446" s="56" t="n">
        <v>2014</v>
      </c>
      <c r="C5446" s="56" t="n">
        <v>7</v>
      </c>
      <c r="D5446" s="56" t="n">
        <v>90</v>
      </c>
      <c r="E5446" s="56" t="n">
        <v>26.4</v>
      </c>
      <c r="F5446" s="56" t="n">
        <v>0</v>
      </c>
      <c r="G5446" s="56" t="n">
        <v>15.7</v>
      </c>
      <c r="H5446" s="56" t="n">
        <v>0</v>
      </c>
      <c r="I5446" s="56" t="n">
        <v>21.5</v>
      </c>
      <c r="J5446" s="56" t="n">
        <v>0</v>
      </c>
      <c r="K5446" s="56" t="n">
        <v>1015.9</v>
      </c>
      <c r="L5446" s="56" t="n">
        <v>0</v>
      </c>
      <c r="M5446" s="56" t="n">
        <v>58</v>
      </c>
      <c r="N5446" s="56" t="n">
        <v>11.3</v>
      </c>
      <c r="O5446" s="56" t="n">
        <f aca="false">IF(D5446=1,"",E5445)</f>
        <v>27.2</v>
      </c>
      <c r="P5446" s="56" t="n">
        <f aca="false">IF(OR(D5446=1,K5445=""),"",K5445)</f>
        <v>1015.5</v>
      </c>
      <c r="Q5446" s="56" t="n">
        <f aca="false">IF(OR(F5446&lt;&gt;0,AND(I5446&lt;&gt;"",E5446&lt;I5446)),1,0)</f>
        <v>0</v>
      </c>
      <c r="R5446" s="56" t="n">
        <f aca="false">IF(AND(D5446&gt;1,Q5446=0,ISNUMBER(O5446),ISNUMBER(P5446)),IF(Q5445=0,1,0),0)</f>
        <v>1</v>
      </c>
      <c r="S5446" s="56" t="n">
        <f aca="false">R5446*(B5446&gt;=Train_Start)*(B5446&lt;=Train_End)</f>
        <v>0</v>
      </c>
      <c r="T5446" s="84" t="n">
        <f aca="false">IF(AND(ISNUMBER(O5446),ISNUMBER(P5446)),Coef_A+Coef_B1*O5446+Coef_B2*P5446,"")</f>
        <v>26.2291294735722</v>
      </c>
      <c r="U5446" s="84" t="n">
        <f aca="false">IF(AND(R5446=1,ISNUMBER(T5446)),E5446-T5446,"")</f>
        <v>0.170870526427787</v>
      </c>
      <c r="V5446" s="84" t="n">
        <f aca="false">IF(ISNUMBER(T5446),T5446,-99)</f>
        <v>26.2291294735722</v>
      </c>
      <c r="W5446" s="84" t="n">
        <f aca="false">IF(ISNUMBER(U5446),ABS(U5446),"")</f>
        <v>0.170870526427787</v>
      </c>
    </row>
    <row r="5447" customFormat="false" ht="15" hidden="false" customHeight="false" outlineLevel="0" collapsed="false">
      <c r="A5447" s="57" t="n">
        <v>41850</v>
      </c>
      <c r="B5447" s="56" t="n">
        <v>2014</v>
      </c>
      <c r="C5447" s="56" t="n">
        <v>7</v>
      </c>
      <c r="D5447" s="56" t="n">
        <v>91</v>
      </c>
      <c r="E5447" s="56" t="n">
        <v>25.5</v>
      </c>
      <c r="F5447" s="56" t="n">
        <v>0</v>
      </c>
      <c r="G5447" s="56" t="n">
        <v>14.4</v>
      </c>
      <c r="H5447" s="56" t="n">
        <v>0</v>
      </c>
      <c r="I5447" s="56" t="n">
        <v>20.4</v>
      </c>
      <c r="J5447" s="56" t="n">
        <v>0</v>
      </c>
      <c r="K5447" s="56" t="n">
        <v>1015.8</v>
      </c>
      <c r="L5447" s="56" t="n">
        <v>0</v>
      </c>
      <c r="M5447" s="56" t="n">
        <v>56</v>
      </c>
      <c r="N5447" s="56" t="n">
        <v>12.6</v>
      </c>
      <c r="O5447" s="56" t="n">
        <f aca="false">IF(D5447=1,"",E5446)</f>
        <v>26.4</v>
      </c>
      <c r="P5447" s="56" t="n">
        <f aca="false">IF(OR(D5447=1,K5446=""),"",K5446)</f>
        <v>1015.9</v>
      </c>
      <c r="Q5447" s="56" t="n">
        <f aca="false">IF(OR(F5447&lt;&gt;0,AND(I5447&lt;&gt;"",E5447&lt;I5447)),1,0)</f>
        <v>0</v>
      </c>
      <c r="R5447" s="56" t="n">
        <f aca="false">IF(AND(D5447&gt;1,Q5447=0,ISNUMBER(O5447),ISNUMBER(P5447)),IF(Q5446=0,1,0),0)</f>
        <v>1</v>
      </c>
      <c r="S5447" s="56" t="n">
        <f aca="false">R5447*(B5447&gt;=Train_Start)*(B5447&lt;=Train_End)</f>
        <v>0</v>
      </c>
      <c r="T5447" s="84" t="n">
        <f aca="false">IF(AND(ISNUMBER(O5447),ISNUMBER(P5447)),Coef_A+Coef_B1*O5447+Coef_B2*P5447,"")</f>
        <v>25.5862060769917</v>
      </c>
      <c r="U5447" s="84" t="n">
        <f aca="false">IF(AND(R5447=1,ISNUMBER(T5447)),E5447-T5447,"")</f>
        <v>-0.0862060769916795</v>
      </c>
      <c r="V5447" s="84" t="n">
        <f aca="false">IF(ISNUMBER(T5447),T5447,-99)</f>
        <v>25.5862060769917</v>
      </c>
      <c r="W5447" s="84" t="n">
        <f aca="false">IF(ISNUMBER(U5447),ABS(U5447),"")</f>
        <v>0.0862060769916795</v>
      </c>
    </row>
    <row r="5448" customFormat="false" ht="15" hidden="false" customHeight="false" outlineLevel="0" collapsed="false">
      <c r="A5448" s="57" t="n">
        <v>41851</v>
      </c>
      <c r="B5448" s="56" t="n">
        <v>2014</v>
      </c>
      <c r="C5448" s="56" t="n">
        <v>7</v>
      </c>
      <c r="D5448" s="56" t="n">
        <v>92</v>
      </c>
      <c r="E5448" s="56" t="n">
        <v>25.4</v>
      </c>
      <c r="F5448" s="56" t="n">
        <v>0</v>
      </c>
      <c r="G5448" s="56" t="n">
        <v>14.1</v>
      </c>
      <c r="H5448" s="56" t="n">
        <v>0</v>
      </c>
      <c r="I5448" s="56" t="n">
        <v>19.8</v>
      </c>
      <c r="J5448" s="56" t="n">
        <v>0</v>
      </c>
      <c r="K5448" s="56" t="n">
        <v>1013.9</v>
      </c>
      <c r="L5448" s="56" t="n">
        <v>0</v>
      </c>
      <c r="M5448" s="56" t="n">
        <v>64</v>
      </c>
      <c r="N5448" s="56" t="n">
        <v>8.7</v>
      </c>
      <c r="O5448" s="56" t="n">
        <f aca="false">IF(D5448=1,"",E5447)</f>
        <v>25.5</v>
      </c>
      <c r="P5448" s="56" t="n">
        <f aca="false">IF(OR(D5448=1,K5447=""),"",K5447)</f>
        <v>1015.8</v>
      </c>
      <c r="Q5448" s="56" t="n">
        <f aca="false">IF(OR(F5448&lt;&gt;0,AND(I5448&lt;&gt;"",E5448&lt;I5448)),1,0)</f>
        <v>0</v>
      </c>
      <c r="R5448" s="56" t="n">
        <f aca="false">IF(AND(D5448&gt;1,Q5448=0,ISNUMBER(O5448),ISNUMBER(P5448)),IF(Q5447=0,1,0),0)</f>
        <v>1</v>
      </c>
      <c r="S5448" s="56" t="n">
        <f aca="false">R5448*(B5448&gt;=Train_Start)*(B5448&lt;=Train_End)</f>
        <v>0</v>
      </c>
      <c r="T5448" s="84" t="n">
        <f aca="false">IF(AND(ISNUMBER(O5448),ISNUMBER(P5448)),Coef_A+Coef_B1*O5448+Coef_B2*P5448,"")</f>
        <v>24.8456638137899</v>
      </c>
      <c r="U5448" s="84" t="n">
        <f aca="false">IF(AND(R5448=1,ISNUMBER(T5448)),E5448-T5448,"")</f>
        <v>0.554336186210108</v>
      </c>
      <c r="V5448" s="84" t="n">
        <f aca="false">IF(ISNUMBER(T5448),T5448,-99)</f>
        <v>24.8456638137899</v>
      </c>
      <c r="W5448" s="84" t="n">
        <f aca="false">IF(ISNUMBER(U5448),ABS(U5448),"")</f>
        <v>0.554336186210108</v>
      </c>
    </row>
    <row r="5449" customFormat="false" ht="15" hidden="false" customHeight="false" outlineLevel="0" collapsed="false">
      <c r="A5449" s="57" t="n">
        <v>41852</v>
      </c>
      <c r="B5449" s="56" t="n">
        <v>2014</v>
      </c>
      <c r="C5449" s="56" t="n">
        <v>8</v>
      </c>
      <c r="D5449" s="56" t="n">
        <v>93</v>
      </c>
      <c r="E5449" s="56" t="n">
        <v>24.6</v>
      </c>
      <c r="F5449" s="56" t="n">
        <v>0</v>
      </c>
      <c r="G5449" s="56" t="n">
        <v>15.7</v>
      </c>
      <c r="H5449" s="56" t="n">
        <v>0</v>
      </c>
      <c r="I5449" s="56" t="n">
        <v>20.6</v>
      </c>
      <c r="J5449" s="56" t="n">
        <v>0</v>
      </c>
      <c r="K5449" s="56" t="n">
        <v>1008.8</v>
      </c>
      <c r="L5449" s="56" t="n">
        <v>0</v>
      </c>
      <c r="M5449" s="56" t="n">
        <v>67</v>
      </c>
      <c r="N5449" s="56" t="n">
        <v>5.5</v>
      </c>
      <c r="O5449" s="56" t="n">
        <f aca="false">IF(D5449=1,"",E5448)</f>
        <v>25.4</v>
      </c>
      <c r="P5449" s="56" t="n">
        <f aca="false">IF(OR(D5449=1,K5448=""),"",K5448)</f>
        <v>1013.9</v>
      </c>
      <c r="Q5449" s="56" t="n">
        <f aca="false">IF(OR(F5449&lt;&gt;0,AND(I5449&lt;&gt;"",E5449&lt;I5449)),1,0)</f>
        <v>0</v>
      </c>
      <c r="R5449" s="56" t="n">
        <f aca="false">IF(AND(D5449&gt;1,Q5449=0,ISNUMBER(O5449),ISNUMBER(P5449)),IF(Q5448=0,1,0),0)</f>
        <v>1</v>
      </c>
      <c r="S5449" s="56" t="n">
        <f aca="false">R5449*(B5449&gt;=Train_Start)*(B5449&lt;=Train_End)</f>
        <v>0</v>
      </c>
      <c r="T5449" s="84" t="n">
        <f aca="false">IF(AND(ISNUMBER(O5449),ISNUMBER(P5449)),Coef_A+Coef_B1*O5449+Coef_B2*P5449,"")</f>
        <v>24.704127094681</v>
      </c>
      <c r="U5449" s="84" t="n">
        <f aca="false">IF(AND(R5449=1,ISNUMBER(T5449)),E5449-T5449,"")</f>
        <v>-0.104127094681044</v>
      </c>
      <c r="V5449" s="84" t="n">
        <f aca="false">IF(ISNUMBER(T5449),T5449,-99)</f>
        <v>24.704127094681</v>
      </c>
      <c r="W5449" s="84" t="n">
        <f aca="false">IF(ISNUMBER(U5449),ABS(U5449),"")</f>
        <v>0.104127094681044</v>
      </c>
    </row>
    <row r="5450" customFormat="false" ht="15" hidden="false" customHeight="false" outlineLevel="0" collapsed="false">
      <c r="A5450" s="57" t="n">
        <v>41853</v>
      </c>
      <c r="B5450" s="56" t="n">
        <v>2014</v>
      </c>
      <c r="C5450" s="56" t="n">
        <v>8</v>
      </c>
      <c r="D5450" s="56" t="n">
        <v>94</v>
      </c>
      <c r="E5450" s="56" t="n">
        <v>24.2</v>
      </c>
      <c r="F5450" s="56" t="n">
        <v>0</v>
      </c>
      <c r="G5450" s="56" t="n">
        <v>16.1</v>
      </c>
      <c r="H5450" s="56" t="n">
        <v>0</v>
      </c>
      <c r="I5450" s="56" t="n">
        <v>20.4</v>
      </c>
      <c r="J5450" s="56" t="n">
        <v>0</v>
      </c>
      <c r="K5450" s="56" t="n">
        <v>1003.7</v>
      </c>
      <c r="L5450" s="56" t="n">
        <v>0</v>
      </c>
      <c r="M5450" s="56" t="n">
        <v>69</v>
      </c>
      <c r="N5450" s="56" t="n">
        <v>5.3</v>
      </c>
      <c r="O5450" s="56" t="n">
        <f aca="false">IF(D5450=1,"",E5449)</f>
        <v>24.6</v>
      </c>
      <c r="P5450" s="56" t="n">
        <f aca="false">IF(OR(D5450=1,K5449=""),"",K5449)</f>
        <v>1008.8</v>
      </c>
      <c r="Q5450" s="56" t="n">
        <f aca="false">IF(OR(F5450&lt;&gt;0,AND(I5450&lt;&gt;"",E5450&lt;I5450)),1,0)</f>
        <v>0</v>
      </c>
      <c r="R5450" s="56" t="n">
        <f aca="false">IF(AND(D5450&gt;1,Q5450=0,ISNUMBER(O5450),ISNUMBER(P5450)),IF(Q5449=0,1,0),0)</f>
        <v>1</v>
      </c>
      <c r="S5450" s="56" t="n">
        <f aca="false">R5450*(B5450&gt;=Train_Start)*(B5450&lt;=Train_End)</f>
        <v>0</v>
      </c>
      <c r="T5450" s="84" t="n">
        <f aca="false">IF(AND(ISNUMBER(O5450),ISNUMBER(P5450)),Coef_A+Coef_B1*O5450+Coef_B2*P5450,"")</f>
        <v>23.8886692776136</v>
      </c>
      <c r="U5450" s="84" t="n">
        <f aca="false">IF(AND(R5450=1,ISNUMBER(T5450)),E5450-T5450,"")</f>
        <v>0.311330722386426</v>
      </c>
      <c r="V5450" s="84" t="n">
        <f aca="false">IF(ISNUMBER(T5450),T5450,-99)</f>
        <v>23.8886692776136</v>
      </c>
      <c r="W5450" s="84" t="n">
        <f aca="false">IF(ISNUMBER(U5450),ABS(U5450),"")</f>
        <v>0.311330722386426</v>
      </c>
    </row>
    <row r="5451" customFormat="false" ht="15" hidden="false" customHeight="false" outlineLevel="0" collapsed="false">
      <c r="A5451" s="57" t="n">
        <v>41854</v>
      </c>
      <c r="B5451" s="56" t="n">
        <v>2014</v>
      </c>
      <c r="C5451" s="56" t="n">
        <v>8</v>
      </c>
      <c r="D5451" s="56" t="n">
        <v>95</v>
      </c>
      <c r="E5451" s="56" t="n">
        <v>24.3</v>
      </c>
      <c r="F5451" s="56" t="n">
        <v>0</v>
      </c>
      <c r="G5451" s="56" t="n">
        <v>12.5</v>
      </c>
      <c r="H5451" s="56" t="n">
        <v>0</v>
      </c>
      <c r="I5451" s="56" t="n">
        <v>18.4</v>
      </c>
      <c r="J5451" s="56" t="n">
        <v>0</v>
      </c>
      <c r="K5451" s="56" t="n">
        <v>1009.5</v>
      </c>
      <c r="L5451" s="56" t="n">
        <v>0</v>
      </c>
      <c r="M5451" s="56" t="n">
        <v>59</v>
      </c>
      <c r="N5451" s="56" t="n">
        <v>10.7</v>
      </c>
      <c r="O5451" s="56" t="n">
        <f aca="false">IF(D5451=1,"",E5450)</f>
        <v>24.2</v>
      </c>
      <c r="P5451" s="56" t="n">
        <f aca="false">IF(OR(D5451=1,K5450=""),"",K5450)</f>
        <v>1003.7</v>
      </c>
      <c r="Q5451" s="56" t="n">
        <f aca="false">IF(OR(F5451&lt;&gt;0,AND(I5451&lt;&gt;"",E5451&lt;I5451)),1,0)</f>
        <v>0</v>
      </c>
      <c r="R5451" s="56" t="n">
        <f aca="false">IF(AND(D5451&gt;1,Q5451=0,ISNUMBER(O5451),ISNUMBER(P5451)),IF(Q5450=0,1,0),0)</f>
        <v>1</v>
      </c>
      <c r="S5451" s="56" t="n">
        <f aca="false">R5451*(B5451&gt;=Train_Start)*(B5451&lt;=Train_End)</f>
        <v>0</v>
      </c>
      <c r="T5451" s="84" t="n">
        <f aca="false">IF(AND(ISNUMBER(O5451),ISNUMBER(P5451)),Coef_A+Coef_B1*O5451+Coef_B2*P5451,"")</f>
        <v>23.4009471377632</v>
      </c>
      <c r="U5451" s="84" t="n">
        <f aca="false">IF(AND(R5451=1,ISNUMBER(T5451)),E5451-T5451,"")</f>
        <v>0.899052862236836</v>
      </c>
      <c r="V5451" s="84" t="n">
        <f aca="false">IF(ISNUMBER(T5451),T5451,-99)</f>
        <v>23.4009471377632</v>
      </c>
      <c r="W5451" s="84" t="n">
        <f aca="false">IF(ISNUMBER(U5451),ABS(U5451),"")</f>
        <v>0.899052862236836</v>
      </c>
    </row>
    <row r="5452" customFormat="false" ht="15" hidden="false" customHeight="false" outlineLevel="0" collapsed="false">
      <c r="A5452" s="57" t="n">
        <v>41855</v>
      </c>
      <c r="B5452" s="56" t="n">
        <v>2014</v>
      </c>
      <c r="C5452" s="56" t="n">
        <v>8</v>
      </c>
      <c r="D5452" s="56" t="n">
        <v>96</v>
      </c>
      <c r="E5452" s="56" t="n">
        <v>25.1</v>
      </c>
      <c r="F5452" s="56" t="n">
        <v>0</v>
      </c>
      <c r="G5452" s="56" t="n">
        <v>13.5</v>
      </c>
      <c r="H5452" s="56" t="n">
        <v>0</v>
      </c>
      <c r="I5452" s="56" t="n">
        <v>18.9</v>
      </c>
      <c r="J5452" s="56" t="n">
        <v>0</v>
      </c>
      <c r="K5452" s="56" t="n">
        <v>1015.8</v>
      </c>
      <c r="L5452" s="56" t="n">
        <v>0</v>
      </c>
      <c r="M5452" s="56" t="n">
        <v>59</v>
      </c>
      <c r="N5452" s="56" t="n">
        <v>8.1</v>
      </c>
      <c r="O5452" s="56" t="n">
        <f aca="false">IF(D5452=1,"",E5451)</f>
        <v>24.3</v>
      </c>
      <c r="P5452" s="56" t="n">
        <f aca="false">IF(OR(D5452=1,K5451=""),"",K5451)</f>
        <v>1009.5</v>
      </c>
      <c r="Q5452" s="56" t="n">
        <f aca="false">IF(OR(F5452&lt;&gt;0,AND(I5452&lt;&gt;"",E5452&lt;I5452)),1,0)</f>
        <v>0</v>
      </c>
      <c r="R5452" s="56" t="n">
        <f aca="false">IF(AND(D5452&gt;1,Q5452=0,ISNUMBER(O5452),ISNUMBER(P5452)),IF(Q5451=0,1,0),0)</f>
        <v>1</v>
      </c>
      <c r="S5452" s="56" t="n">
        <f aca="false">R5452*(B5452&gt;=Train_Start)*(B5452&lt;=Train_End)</f>
        <v>0</v>
      </c>
      <c r="T5452" s="84" t="n">
        <f aca="false">IF(AND(ISNUMBER(O5452),ISNUMBER(P5452)),Coef_A+Coef_B1*O5452+Coef_B2*P5452,"")</f>
        <v>23.6648264459446</v>
      </c>
      <c r="U5452" s="84" t="n">
        <f aca="false">IF(AND(R5452=1,ISNUMBER(T5452)),E5452-T5452,"")</f>
        <v>1.43517355405544</v>
      </c>
      <c r="V5452" s="84" t="n">
        <f aca="false">IF(ISNUMBER(T5452),T5452,-99)</f>
        <v>23.6648264459446</v>
      </c>
      <c r="W5452" s="84" t="n">
        <f aca="false">IF(ISNUMBER(U5452),ABS(U5452),"")</f>
        <v>1.43517355405544</v>
      </c>
    </row>
    <row r="5453" customFormat="false" ht="15" hidden="false" customHeight="false" outlineLevel="0" collapsed="false">
      <c r="A5453" s="57" t="n">
        <v>41856</v>
      </c>
      <c r="B5453" s="56" t="n">
        <v>2014</v>
      </c>
      <c r="C5453" s="56" t="n">
        <v>8</v>
      </c>
      <c r="D5453" s="56" t="n">
        <v>97</v>
      </c>
      <c r="E5453" s="56" t="n">
        <v>26.4</v>
      </c>
      <c r="F5453" s="56" t="n">
        <v>0</v>
      </c>
      <c r="G5453" s="56" t="n">
        <v>13.5</v>
      </c>
      <c r="H5453" s="56" t="n">
        <v>0</v>
      </c>
      <c r="I5453" s="56" t="n">
        <v>19.3</v>
      </c>
      <c r="J5453" s="56" t="n">
        <v>0</v>
      </c>
      <c r="K5453" s="56" t="n">
        <v>1017.6</v>
      </c>
      <c r="L5453" s="56" t="n">
        <v>0</v>
      </c>
      <c r="M5453" s="56" t="n">
        <v>69</v>
      </c>
      <c r="N5453" s="56" t="n">
        <v>4.2</v>
      </c>
      <c r="O5453" s="56" t="n">
        <f aca="false">IF(D5453=1,"",E5452)</f>
        <v>25.1</v>
      </c>
      <c r="P5453" s="56" t="n">
        <f aca="false">IF(OR(D5453=1,K5452=""),"",K5452)</f>
        <v>1015.8</v>
      </c>
      <c r="Q5453" s="56" t="n">
        <f aca="false">IF(OR(F5453&lt;&gt;0,AND(I5453&lt;&gt;"",E5453&lt;I5453)),1,0)</f>
        <v>0</v>
      </c>
      <c r="R5453" s="56" t="n">
        <f aca="false">IF(AND(D5453&gt;1,Q5453=0,ISNUMBER(O5453),ISNUMBER(P5453)),IF(Q5452=0,1,0),0)</f>
        <v>1</v>
      </c>
      <c r="S5453" s="56" t="n">
        <f aca="false">R5453*(B5453&gt;=Train_Start)*(B5453&lt;=Train_End)</f>
        <v>0</v>
      </c>
      <c r="T5453" s="84" t="n">
        <f aca="false">IF(AND(ISNUMBER(O5453),ISNUMBER(P5453)),Coef_A+Coef_B1*O5453+Coef_B2*P5453,"")</f>
        <v>24.5179281365728</v>
      </c>
      <c r="U5453" s="84" t="n">
        <f aca="false">IF(AND(R5453=1,ISNUMBER(T5453)),E5453-T5453,"")</f>
        <v>1.88207186342717</v>
      </c>
      <c r="V5453" s="84" t="n">
        <f aca="false">IF(ISNUMBER(T5453),T5453,-99)</f>
        <v>24.5179281365728</v>
      </c>
      <c r="W5453" s="84" t="n">
        <f aca="false">IF(ISNUMBER(U5453),ABS(U5453),"")</f>
        <v>1.88207186342717</v>
      </c>
    </row>
    <row r="5454" customFormat="false" ht="15" hidden="false" customHeight="false" outlineLevel="0" collapsed="false">
      <c r="A5454" s="57" t="n">
        <v>41857</v>
      </c>
      <c r="B5454" s="56" t="n">
        <v>2014</v>
      </c>
      <c r="C5454" s="56" t="n">
        <v>8</v>
      </c>
      <c r="D5454" s="56" t="n">
        <v>98</v>
      </c>
      <c r="E5454" s="56" t="n">
        <v>26.1</v>
      </c>
      <c r="F5454" s="56" t="n">
        <v>0</v>
      </c>
      <c r="G5454" s="56" t="n">
        <v>16.6</v>
      </c>
      <c r="H5454" s="56" t="n">
        <v>0</v>
      </c>
      <c r="I5454" s="56" t="n">
        <v>21.5</v>
      </c>
      <c r="J5454" s="56" t="n">
        <v>0</v>
      </c>
      <c r="K5454" s="56" t="n">
        <v>1011.5</v>
      </c>
      <c r="L5454" s="56" t="n">
        <v>0</v>
      </c>
      <c r="M5454" s="56" t="n">
        <v>68</v>
      </c>
      <c r="N5454" s="56" t="n">
        <v>8.5</v>
      </c>
      <c r="O5454" s="56" t="n">
        <f aca="false">IF(D5454=1,"",E5453)</f>
        <v>26.4</v>
      </c>
      <c r="P5454" s="56" t="n">
        <f aca="false">IF(OR(D5454=1,K5453=""),"",K5453)</f>
        <v>1017.6</v>
      </c>
      <c r="Q5454" s="56" t="n">
        <f aca="false">IF(OR(F5454&lt;&gt;0,AND(I5454&lt;&gt;"",E5454&lt;I5454)),1,0)</f>
        <v>0</v>
      </c>
      <c r="R5454" s="56" t="n">
        <f aca="false">IF(AND(D5454&gt;1,Q5454=0,ISNUMBER(O5454),ISNUMBER(P5454)),IF(Q5453=0,1,0),0)</f>
        <v>1</v>
      </c>
      <c r="S5454" s="56" t="n">
        <f aca="false">R5454*(B5454&gt;=Train_Start)*(B5454&lt;=Train_End)</f>
        <v>0</v>
      </c>
      <c r="T5454" s="84" t="n">
        <f aca="false">IF(AND(ISNUMBER(O5454),ISNUMBER(P5454)),Coef_A+Coef_B1*O5454+Coef_B2*P5454,"")</f>
        <v>25.6395348978695</v>
      </c>
      <c r="U5454" s="84" t="n">
        <f aca="false">IF(AND(R5454=1,ISNUMBER(T5454)),E5454-T5454,"")</f>
        <v>0.460465102130538</v>
      </c>
      <c r="V5454" s="84" t="n">
        <f aca="false">IF(ISNUMBER(T5454),T5454,-99)</f>
        <v>25.6395348978695</v>
      </c>
      <c r="W5454" s="84" t="n">
        <f aca="false">IF(ISNUMBER(U5454),ABS(U5454),"")</f>
        <v>0.460465102130538</v>
      </c>
    </row>
    <row r="5455" customFormat="false" ht="15" hidden="false" customHeight="false" outlineLevel="0" collapsed="false">
      <c r="A5455" s="57" t="n">
        <v>41858</v>
      </c>
      <c r="B5455" s="56" t="n">
        <v>2014</v>
      </c>
      <c r="C5455" s="56" t="n">
        <v>8</v>
      </c>
      <c r="D5455" s="56" t="n">
        <v>99</v>
      </c>
      <c r="E5455" s="56" t="n">
        <v>23.7</v>
      </c>
      <c r="F5455" s="56" t="n">
        <v>0</v>
      </c>
      <c r="G5455" s="56" t="n">
        <v>14.6</v>
      </c>
      <c r="H5455" s="56" t="n">
        <v>0</v>
      </c>
      <c r="I5455" s="56" t="n">
        <v>20.4</v>
      </c>
      <c r="J5455" s="56" t="n">
        <v>0</v>
      </c>
      <c r="K5455" s="56" t="n">
        <v>1013.9</v>
      </c>
      <c r="L5455" s="56" t="n">
        <v>0</v>
      </c>
      <c r="M5455" s="56" t="n">
        <v>62</v>
      </c>
      <c r="N5455" s="56" t="n">
        <v>10</v>
      </c>
      <c r="O5455" s="56" t="n">
        <f aca="false">IF(D5455=1,"",E5454)</f>
        <v>26.1</v>
      </c>
      <c r="P5455" s="56" t="n">
        <f aca="false">IF(OR(D5455=1,K5454=""),"",K5454)</f>
        <v>1011.5</v>
      </c>
      <c r="Q5455" s="56" t="n">
        <f aca="false">IF(OR(F5455&lt;&gt;0,AND(I5455&lt;&gt;"",E5455&lt;I5455)),1,0)</f>
        <v>0</v>
      </c>
      <c r="R5455" s="56" t="n">
        <f aca="false">IF(AND(D5455&gt;1,Q5455=0,ISNUMBER(O5455),ISNUMBER(P5455)),IF(Q5454=0,1,0),0)</f>
        <v>1</v>
      </c>
      <c r="S5455" s="56" t="n">
        <f aca="false">R5455*(B5455&gt;=Train_Start)*(B5455&lt;=Train_End)</f>
        <v>0</v>
      </c>
      <c r="T5455" s="84" t="n">
        <f aca="false">IF(AND(ISNUMBER(O5455),ISNUMBER(P5455)),Coef_A+Coef_B1*O5455+Coef_B2*P5455,"")</f>
        <v>25.2023767826893</v>
      </c>
      <c r="U5455" s="84" t="n">
        <f aca="false">IF(AND(R5455=1,ISNUMBER(T5455)),E5455-T5455,"")</f>
        <v>-1.50237678268933</v>
      </c>
      <c r="V5455" s="84" t="n">
        <f aca="false">IF(ISNUMBER(T5455),T5455,-99)</f>
        <v>25.2023767826893</v>
      </c>
      <c r="W5455" s="84" t="n">
        <f aca="false">IF(ISNUMBER(U5455),ABS(U5455),"")</f>
        <v>1.50237678268933</v>
      </c>
    </row>
    <row r="5456" customFormat="false" ht="15" hidden="false" customHeight="false" outlineLevel="0" collapsed="false">
      <c r="A5456" s="57" t="n">
        <v>41859</v>
      </c>
      <c r="B5456" s="56" t="n">
        <v>2014</v>
      </c>
      <c r="C5456" s="56" t="n">
        <v>8</v>
      </c>
      <c r="D5456" s="56" t="n">
        <v>100</v>
      </c>
      <c r="E5456" s="56" t="n">
        <v>23.7</v>
      </c>
      <c r="F5456" s="56" t="n">
        <v>0</v>
      </c>
      <c r="G5456" s="56" t="n">
        <v>15.6</v>
      </c>
      <c r="H5456" s="56" t="n">
        <v>0</v>
      </c>
      <c r="I5456" s="56" t="n">
        <v>19.7</v>
      </c>
      <c r="J5456" s="56" t="n">
        <v>0</v>
      </c>
      <c r="K5456" s="56" t="n">
        <v>1008.1</v>
      </c>
      <c r="L5456" s="56" t="n">
        <v>0</v>
      </c>
      <c r="M5456" s="56" t="n">
        <v>72</v>
      </c>
      <c r="N5456" s="56" t="n">
        <v>2.2</v>
      </c>
      <c r="O5456" s="56" t="n">
        <f aca="false">IF(D5456=1,"",E5455)</f>
        <v>23.7</v>
      </c>
      <c r="P5456" s="56" t="n">
        <f aca="false">IF(OR(D5456=1,K5455=""),"",K5455)</f>
        <v>1013.9</v>
      </c>
      <c r="Q5456" s="56" t="n">
        <f aca="false">IF(OR(F5456&lt;&gt;0,AND(I5456&lt;&gt;"",E5456&lt;I5456)),1,0)</f>
        <v>0</v>
      </c>
      <c r="R5456" s="56" t="n">
        <f aca="false">IF(AND(D5456&gt;1,Q5456=0,ISNUMBER(O5456),ISNUMBER(P5456)),IF(Q5455=0,1,0),0)</f>
        <v>1</v>
      </c>
      <c r="S5456" s="56" t="n">
        <f aca="false">R5456*(B5456&gt;=Train_Start)*(B5456&lt;=Train_End)</f>
        <v>0</v>
      </c>
      <c r="T5456" s="84" t="n">
        <f aca="false">IF(AND(ISNUMBER(O5456),ISNUMBER(P5456)),Coef_A+Coef_B1*O5456+Coef_B2*P5456,"")</f>
        <v>23.3112504665085</v>
      </c>
      <c r="U5456" s="84" t="n">
        <f aca="false">IF(AND(R5456=1,ISNUMBER(T5456)),E5456-T5456,"")</f>
        <v>0.388749533491474</v>
      </c>
      <c r="V5456" s="84" t="n">
        <f aca="false">IF(ISNUMBER(T5456),T5456,-99)</f>
        <v>23.3112504665085</v>
      </c>
      <c r="W5456" s="84" t="n">
        <f aca="false">IF(ISNUMBER(U5456),ABS(U5456),"")</f>
        <v>0.388749533491474</v>
      </c>
    </row>
    <row r="5457" customFormat="false" ht="15" hidden="false" customHeight="false" outlineLevel="0" collapsed="false">
      <c r="A5457" s="57" t="n">
        <v>41860</v>
      </c>
      <c r="B5457" s="56" t="n">
        <v>2014</v>
      </c>
      <c r="C5457" s="56" t="n">
        <v>8</v>
      </c>
      <c r="D5457" s="56" t="n">
        <v>101</v>
      </c>
      <c r="E5457" s="56" t="n">
        <v>22.6</v>
      </c>
      <c r="F5457" s="56" t="n">
        <v>0</v>
      </c>
      <c r="G5457" s="56" t="n">
        <v>13.4</v>
      </c>
      <c r="H5457" s="56" t="n">
        <v>0</v>
      </c>
      <c r="I5457" s="56" t="n">
        <v>18.6</v>
      </c>
      <c r="J5457" s="56" t="n">
        <v>0</v>
      </c>
      <c r="K5457" s="56" t="n">
        <v>1007.2</v>
      </c>
      <c r="L5457" s="56" t="n">
        <v>0</v>
      </c>
      <c r="M5457" s="56" t="n">
        <v>68</v>
      </c>
      <c r="N5457" s="56" t="n">
        <v>9.7</v>
      </c>
      <c r="O5457" s="56" t="n">
        <f aca="false">IF(D5457=1,"",E5456)</f>
        <v>23.7</v>
      </c>
      <c r="P5457" s="56" t="n">
        <f aca="false">IF(OR(D5457=1,K5456=""),"",K5456)</f>
        <v>1008.1</v>
      </c>
      <c r="Q5457" s="56" t="n">
        <f aca="false">IF(OR(F5457&lt;&gt;0,AND(I5457&lt;&gt;"",E5457&lt;I5457)),1,0)</f>
        <v>0</v>
      </c>
      <c r="R5457" s="56" t="n">
        <f aca="false">IF(AND(D5457&gt;1,Q5457=0,ISNUMBER(O5457),ISNUMBER(P5457)),IF(Q5456=0,1,0),0)</f>
        <v>1</v>
      </c>
      <c r="S5457" s="56" t="n">
        <f aca="false">R5457*(B5457&gt;=Train_Start)*(B5457&lt;=Train_End)</f>
        <v>0</v>
      </c>
      <c r="T5457" s="84" t="n">
        <f aca="false">IF(AND(ISNUMBER(O5457),ISNUMBER(P5457)),Coef_A+Coef_B1*O5457+Coef_B2*P5457,"")</f>
        <v>23.1293050776314</v>
      </c>
      <c r="U5457" s="84" t="n">
        <f aca="false">IF(AND(R5457=1,ISNUMBER(T5457)),E5457-T5457,"")</f>
        <v>-0.529305077631388</v>
      </c>
      <c r="V5457" s="84" t="n">
        <f aca="false">IF(ISNUMBER(T5457),T5457,-99)</f>
        <v>23.1293050776314</v>
      </c>
      <c r="W5457" s="84" t="n">
        <f aca="false">IF(ISNUMBER(U5457),ABS(U5457),"")</f>
        <v>0.529305077631388</v>
      </c>
    </row>
    <row r="5458" customFormat="false" ht="15" hidden="false" customHeight="false" outlineLevel="0" collapsed="false">
      <c r="A5458" s="57" t="n">
        <v>41861</v>
      </c>
      <c r="B5458" s="56" t="n">
        <v>2014</v>
      </c>
      <c r="C5458" s="56" t="n">
        <v>8</v>
      </c>
      <c r="D5458" s="56" t="n">
        <v>102</v>
      </c>
      <c r="E5458" s="56" t="n">
        <v>21.9</v>
      </c>
      <c r="F5458" s="56" t="n">
        <v>0</v>
      </c>
      <c r="G5458" s="56" t="n">
        <v>15</v>
      </c>
      <c r="H5458" s="56" t="n">
        <v>0</v>
      </c>
      <c r="I5458" s="56" t="n">
        <v>18.8</v>
      </c>
      <c r="J5458" s="56" t="n">
        <v>0</v>
      </c>
      <c r="K5458" s="56" t="n">
        <v>999.6</v>
      </c>
      <c r="L5458" s="56" t="n">
        <v>0</v>
      </c>
      <c r="M5458" s="56" t="n">
        <v>75</v>
      </c>
      <c r="N5458" s="56" t="n">
        <v>4.6</v>
      </c>
      <c r="O5458" s="56" t="n">
        <f aca="false">IF(D5458=1,"",E5457)</f>
        <v>22.6</v>
      </c>
      <c r="P5458" s="56" t="n">
        <f aca="false">IF(OR(D5458=1,K5457=""),"",K5457)</f>
        <v>1007.2</v>
      </c>
      <c r="Q5458" s="56" t="n">
        <f aca="false">IF(OR(F5458&lt;&gt;0,AND(I5458&lt;&gt;"",E5458&lt;I5458)),1,0)</f>
        <v>0</v>
      </c>
      <c r="R5458" s="56" t="n">
        <f aca="false">IF(AND(D5458&gt;1,Q5458=0,ISNUMBER(O5458),ISNUMBER(P5458)),IF(Q5457=0,1,0),0)</f>
        <v>1</v>
      </c>
      <c r="S5458" s="56" t="n">
        <f aca="false">R5458*(B5458&gt;=Train_Start)*(B5458&lt;=Train_End)</f>
        <v>0</v>
      </c>
      <c r="T5458" s="84" t="n">
        <f aca="false">IF(AND(ISNUMBER(O5458),ISNUMBER(P5458)),Coef_A+Coef_B1*O5458+Coef_B2*P5458,"")</f>
        <v>22.1997990601139</v>
      </c>
      <c r="U5458" s="84" t="n">
        <f aca="false">IF(AND(R5458=1,ISNUMBER(T5458)),E5458-T5458,"")</f>
        <v>-0.29979906011388</v>
      </c>
      <c r="V5458" s="84" t="n">
        <f aca="false">IF(ISNUMBER(T5458),T5458,-99)</f>
        <v>22.1997990601139</v>
      </c>
      <c r="W5458" s="84" t="n">
        <f aca="false">IF(ISNUMBER(U5458),ABS(U5458),"")</f>
        <v>0.29979906011388</v>
      </c>
    </row>
    <row r="5459" customFormat="false" ht="15" hidden="false" customHeight="false" outlineLevel="0" collapsed="false">
      <c r="A5459" s="57" t="n">
        <v>41862</v>
      </c>
      <c r="B5459" s="56" t="n">
        <v>2014</v>
      </c>
      <c r="C5459" s="56" t="n">
        <v>8</v>
      </c>
      <c r="D5459" s="56" t="n">
        <v>103</v>
      </c>
      <c r="E5459" s="56" t="n">
        <v>20.7</v>
      </c>
      <c r="F5459" s="56" t="n">
        <v>0</v>
      </c>
      <c r="G5459" s="56" t="n">
        <v>12.9</v>
      </c>
      <c r="H5459" s="56" t="n">
        <v>0</v>
      </c>
      <c r="I5459" s="56" t="n">
        <v>17.4</v>
      </c>
      <c r="J5459" s="56" t="n">
        <v>0</v>
      </c>
      <c r="K5459" s="56" t="n">
        <v>1007.7</v>
      </c>
      <c r="L5459" s="56" t="n">
        <v>0</v>
      </c>
      <c r="M5459" s="56" t="n">
        <v>69</v>
      </c>
      <c r="N5459" s="56" t="n">
        <v>8.7</v>
      </c>
      <c r="O5459" s="56" t="n">
        <f aca="false">IF(D5459=1,"",E5458)</f>
        <v>21.9</v>
      </c>
      <c r="P5459" s="56" t="n">
        <f aca="false">IF(OR(D5459=1,K5458=""),"",K5458)</f>
        <v>999.6</v>
      </c>
      <c r="Q5459" s="56" t="n">
        <f aca="false">IF(OR(F5459&lt;&gt;0,AND(I5459&lt;&gt;"",E5459&lt;I5459)),1,0)</f>
        <v>0</v>
      </c>
      <c r="R5459" s="56" t="n">
        <f aca="false">IF(AND(D5459&gt;1,Q5459=0,ISNUMBER(O5459),ISNUMBER(P5459)),IF(Q5458=0,1,0),0)</f>
        <v>1</v>
      </c>
      <c r="S5459" s="56" t="n">
        <f aca="false">R5459*(B5459&gt;=Train_Start)*(B5459&lt;=Train_End)</f>
        <v>0</v>
      </c>
      <c r="T5459" s="84" t="n">
        <f aca="false">IF(AND(ISNUMBER(O5459),ISNUMBER(P5459)),Coef_A+Coef_B1*O5459+Coef_B2*P5459,"")</f>
        <v>21.3878504257657</v>
      </c>
      <c r="U5459" s="84" t="n">
        <f aca="false">IF(AND(R5459=1,ISNUMBER(T5459)),E5459-T5459,"")</f>
        <v>-0.687850425765696</v>
      </c>
      <c r="V5459" s="84" t="n">
        <f aca="false">IF(ISNUMBER(T5459),T5459,-99)</f>
        <v>21.3878504257657</v>
      </c>
      <c r="W5459" s="84" t="n">
        <f aca="false">IF(ISNUMBER(U5459),ABS(U5459),"")</f>
        <v>0.687850425765696</v>
      </c>
    </row>
    <row r="5460" customFormat="false" ht="15" hidden="false" customHeight="false" outlineLevel="0" collapsed="false">
      <c r="A5460" s="57" t="n">
        <v>41863</v>
      </c>
      <c r="B5460" s="56" t="n">
        <v>2014</v>
      </c>
      <c r="C5460" s="56" t="n">
        <v>8</v>
      </c>
      <c r="D5460" s="56" t="n">
        <v>104</v>
      </c>
      <c r="E5460" s="56" t="n">
        <v>22.7</v>
      </c>
      <c r="F5460" s="56" t="n">
        <v>0</v>
      </c>
      <c r="G5460" s="56" t="n">
        <v>12.2</v>
      </c>
      <c r="H5460" s="56" t="n">
        <v>0</v>
      </c>
      <c r="I5460" s="56" t="n">
        <v>16.5</v>
      </c>
      <c r="J5460" s="56" t="n">
        <v>0</v>
      </c>
      <c r="K5460" s="56" t="n">
        <v>1007.3</v>
      </c>
      <c r="L5460" s="56" t="n">
        <v>0</v>
      </c>
      <c r="M5460" s="56" t="n">
        <v>66</v>
      </c>
      <c r="N5460" s="56" t="n">
        <v>7.3</v>
      </c>
      <c r="O5460" s="56" t="n">
        <f aca="false">IF(D5460=1,"",E5459)</f>
        <v>20.7</v>
      </c>
      <c r="P5460" s="56" t="n">
        <f aca="false">IF(OR(D5460=1,K5459=""),"",K5459)</f>
        <v>1007.7</v>
      </c>
      <c r="Q5460" s="56" t="n">
        <f aca="false">IF(OR(F5460&lt;&gt;0,AND(I5460&lt;&gt;"",E5460&lt;I5460)),1,0)</f>
        <v>0</v>
      </c>
      <c r="R5460" s="56" t="n">
        <f aca="false">IF(AND(D5460&gt;1,Q5460=0,ISNUMBER(O5460),ISNUMBER(P5460)),IF(Q5459=0,1,0),0)</f>
        <v>1</v>
      </c>
      <c r="S5460" s="56" t="n">
        <f aca="false">R5460*(B5460&gt;=Train_Start)*(B5460&lt;=Train_End)</f>
        <v>0</v>
      </c>
      <c r="T5460" s="84" t="n">
        <f aca="false">IF(AND(ISNUMBER(O5460),ISNUMBER(P5460)),Coef_A+Coef_B1*O5460+Coef_B2*P5460,"")</f>
        <v>20.6587395406498</v>
      </c>
      <c r="U5460" s="84" t="n">
        <f aca="false">IF(AND(R5460=1,ISNUMBER(T5460)),E5460-T5460,"")</f>
        <v>2.04126045935018</v>
      </c>
      <c r="V5460" s="84" t="n">
        <f aca="false">IF(ISNUMBER(T5460),T5460,-99)</f>
        <v>20.6587395406498</v>
      </c>
      <c r="W5460" s="84" t="n">
        <f aca="false">IF(ISNUMBER(U5460),ABS(U5460),"")</f>
        <v>2.04126045935018</v>
      </c>
    </row>
    <row r="5461" customFormat="false" ht="15" hidden="false" customHeight="false" outlineLevel="0" collapsed="false">
      <c r="A5461" s="57" t="n">
        <v>41864</v>
      </c>
      <c r="B5461" s="56" t="n">
        <v>2014</v>
      </c>
      <c r="C5461" s="56" t="n">
        <v>8</v>
      </c>
      <c r="D5461" s="56" t="n">
        <v>105</v>
      </c>
      <c r="E5461" s="56" t="n">
        <v>21.6</v>
      </c>
      <c r="F5461" s="56" t="n">
        <v>0</v>
      </c>
      <c r="G5461" s="56" t="n">
        <v>11.8</v>
      </c>
      <c r="H5461" s="56" t="n">
        <v>0</v>
      </c>
      <c r="I5461" s="56" t="n">
        <v>17.3</v>
      </c>
      <c r="J5461" s="56" t="n">
        <v>0</v>
      </c>
      <c r="K5461" s="56" t="n">
        <v>1005.5</v>
      </c>
      <c r="L5461" s="56" t="n">
        <v>0</v>
      </c>
      <c r="M5461" s="56" t="n">
        <v>68</v>
      </c>
      <c r="N5461" s="56" t="n">
        <v>9.9</v>
      </c>
      <c r="O5461" s="56" t="n">
        <f aca="false">IF(D5461=1,"",E5460)</f>
        <v>22.7</v>
      </c>
      <c r="P5461" s="56" t="n">
        <f aca="false">IF(OR(D5461=1,K5460=""),"",K5460)</f>
        <v>1007.3</v>
      </c>
      <c r="Q5461" s="56" t="n">
        <f aca="false">IF(OR(F5461&lt;&gt;0,AND(I5461&lt;&gt;"",E5461&lt;I5461)),1,0)</f>
        <v>0</v>
      </c>
      <c r="R5461" s="56" t="n">
        <f aca="false">IF(AND(D5461&gt;1,Q5461=0,ISNUMBER(O5461),ISNUMBER(P5461)),IF(Q5460=0,1,0),0)</f>
        <v>1</v>
      </c>
      <c r="S5461" s="56" t="n">
        <f aca="false">R5461*(B5461&gt;=Train_Start)*(B5461&lt;=Train_End)</f>
        <v>0</v>
      </c>
      <c r="T5461" s="84" t="n">
        <f aca="false">IF(AND(ISNUMBER(O5461),ISNUMBER(P5461)),Coef_A+Coef_B1*O5461+Coef_B2*P5461,"")</f>
        <v>22.2848699688815</v>
      </c>
      <c r="U5461" s="84" t="n">
        <f aca="false">IF(AND(R5461=1,ISNUMBER(T5461)),E5461-T5461,"")</f>
        <v>-0.684869968881536</v>
      </c>
      <c r="V5461" s="84" t="n">
        <f aca="false">IF(ISNUMBER(T5461),T5461,-99)</f>
        <v>22.2848699688815</v>
      </c>
      <c r="W5461" s="84" t="n">
        <f aca="false">IF(ISNUMBER(U5461),ABS(U5461),"")</f>
        <v>0.684869968881536</v>
      </c>
    </row>
    <row r="5462" customFormat="false" ht="15" hidden="false" customHeight="false" outlineLevel="0" collapsed="false">
      <c r="A5462" s="57" t="n">
        <v>41865</v>
      </c>
      <c r="B5462" s="56" t="n">
        <v>2014</v>
      </c>
      <c r="C5462" s="56" t="n">
        <v>8</v>
      </c>
      <c r="D5462" s="56" t="n">
        <v>106</v>
      </c>
      <c r="E5462" s="56" t="n">
        <v>20.7</v>
      </c>
      <c r="F5462" s="56" t="n">
        <v>0</v>
      </c>
      <c r="G5462" s="56" t="n">
        <v>13.3</v>
      </c>
      <c r="H5462" s="56" t="n">
        <v>0</v>
      </c>
      <c r="I5462" s="56" t="n">
        <v>17.5</v>
      </c>
      <c r="J5462" s="56" t="n">
        <v>0</v>
      </c>
      <c r="K5462" s="56" t="n">
        <v>1009.6</v>
      </c>
      <c r="L5462" s="56" t="n">
        <v>0</v>
      </c>
      <c r="M5462" s="56" t="n">
        <v>76</v>
      </c>
      <c r="N5462" s="56" t="n">
        <v>3.5</v>
      </c>
      <c r="O5462" s="56" t="n">
        <f aca="false">IF(D5462=1,"",E5461)</f>
        <v>21.6</v>
      </c>
      <c r="P5462" s="56" t="n">
        <f aca="false">IF(OR(D5462=1,K5461=""),"",K5461)</f>
        <v>1005.5</v>
      </c>
      <c r="Q5462" s="56" t="n">
        <f aca="false">IF(OR(F5462&lt;&gt;0,AND(I5462&lt;&gt;"",E5462&lt;I5462)),1,0)</f>
        <v>0</v>
      </c>
      <c r="R5462" s="56" t="n">
        <f aca="false">IF(AND(D5462&gt;1,Q5462=0,ISNUMBER(O5462),ISNUMBER(P5462)),IF(Q5461=0,1,0),0)</f>
        <v>1</v>
      </c>
      <c r="S5462" s="56" t="n">
        <f aca="false">R5462*(B5462&gt;=Train_Start)*(B5462&lt;=Train_End)</f>
        <v>0</v>
      </c>
      <c r="T5462" s="84" t="n">
        <f aca="false">IF(AND(ISNUMBER(O5462),ISNUMBER(P5462)),Coef_A+Coef_B1*O5462+Coef_B2*P5462,"")</f>
        <v>21.3271310461934</v>
      </c>
      <c r="U5462" s="84" t="n">
        <f aca="false">IF(AND(R5462=1,ISNUMBER(T5462)),E5462-T5462,"")</f>
        <v>-0.627131046193437</v>
      </c>
      <c r="V5462" s="84" t="n">
        <f aca="false">IF(ISNUMBER(T5462),T5462,-99)</f>
        <v>21.3271310461934</v>
      </c>
      <c r="W5462" s="84" t="n">
        <f aca="false">IF(ISNUMBER(U5462),ABS(U5462),"")</f>
        <v>0.627131046193437</v>
      </c>
    </row>
    <row r="5463" customFormat="false" ht="15" hidden="false" customHeight="false" outlineLevel="0" collapsed="false">
      <c r="A5463" s="57" t="n">
        <v>41866</v>
      </c>
      <c r="B5463" s="56" t="n">
        <v>2014</v>
      </c>
      <c r="C5463" s="56" t="n">
        <v>8</v>
      </c>
      <c r="D5463" s="56" t="n">
        <v>107</v>
      </c>
      <c r="E5463" s="56" t="n">
        <v>21.8</v>
      </c>
      <c r="F5463" s="56" t="n">
        <v>0</v>
      </c>
      <c r="G5463" s="56" t="n">
        <v>12.1</v>
      </c>
      <c r="H5463" s="56" t="n">
        <v>0</v>
      </c>
      <c r="I5463" s="56" t="n">
        <v>16.4</v>
      </c>
      <c r="J5463" s="56" t="n">
        <v>0</v>
      </c>
      <c r="K5463" s="56" t="n">
        <v>1016.1</v>
      </c>
      <c r="L5463" s="56" t="n">
        <v>0</v>
      </c>
      <c r="M5463" s="56" t="n">
        <v>71</v>
      </c>
      <c r="N5463" s="56" t="n">
        <v>2.8</v>
      </c>
      <c r="O5463" s="56" t="n">
        <f aca="false">IF(D5463=1,"",E5462)</f>
        <v>20.7</v>
      </c>
      <c r="P5463" s="56" t="n">
        <f aca="false">IF(OR(D5463=1,K5462=""),"",K5462)</f>
        <v>1009.6</v>
      </c>
      <c r="Q5463" s="56" t="n">
        <f aca="false">IF(OR(F5463&lt;&gt;0,AND(I5463&lt;&gt;"",E5463&lt;I5463)),1,0)</f>
        <v>0</v>
      </c>
      <c r="R5463" s="56" t="n">
        <f aca="false">IF(AND(D5463&gt;1,Q5463=0,ISNUMBER(O5463),ISNUMBER(P5463)),IF(Q5462=0,1,0),0)</f>
        <v>1</v>
      </c>
      <c r="S5463" s="56" t="n">
        <f aca="false">R5463*(B5463&gt;=Train_Start)*(B5463&lt;=Train_End)</f>
        <v>0</v>
      </c>
      <c r="T5463" s="84" t="n">
        <f aca="false">IF(AND(ISNUMBER(O5463),ISNUMBER(P5463)),Coef_A+Coef_B1*O5463+Coef_B2*P5463,"")</f>
        <v>20.7183423404544</v>
      </c>
      <c r="U5463" s="84" t="n">
        <f aca="false">IF(AND(R5463=1,ISNUMBER(T5463)),E5463-T5463,"")</f>
        <v>1.0816576595456</v>
      </c>
      <c r="V5463" s="84" t="n">
        <f aca="false">IF(ISNUMBER(T5463),T5463,-99)</f>
        <v>20.7183423404544</v>
      </c>
      <c r="W5463" s="84" t="n">
        <f aca="false">IF(ISNUMBER(U5463),ABS(U5463),"")</f>
        <v>1.0816576595456</v>
      </c>
    </row>
    <row r="5464" customFormat="false" ht="15" hidden="false" customHeight="false" outlineLevel="0" collapsed="false">
      <c r="A5464" s="57" t="n">
        <v>41867</v>
      </c>
      <c r="B5464" s="56" t="n">
        <v>2014</v>
      </c>
      <c r="C5464" s="56" t="n">
        <v>8</v>
      </c>
      <c r="D5464" s="56" t="n">
        <v>108</v>
      </c>
      <c r="E5464" s="56" t="n">
        <v>21.5</v>
      </c>
      <c r="F5464" s="56" t="n">
        <v>0</v>
      </c>
      <c r="G5464" s="56" t="n">
        <v>11.6</v>
      </c>
      <c r="H5464" s="56" t="n">
        <v>0</v>
      </c>
      <c r="I5464" s="56" t="n">
        <v>16.7</v>
      </c>
      <c r="J5464" s="56" t="n">
        <v>0</v>
      </c>
      <c r="K5464" s="56" t="n">
        <v>1020</v>
      </c>
      <c r="L5464" s="56" t="n">
        <v>0</v>
      </c>
      <c r="M5464" s="56" t="n">
        <v>63</v>
      </c>
      <c r="N5464" s="56" t="n">
        <v>7</v>
      </c>
      <c r="O5464" s="56" t="n">
        <f aca="false">IF(D5464=1,"",E5463)</f>
        <v>21.8</v>
      </c>
      <c r="P5464" s="56" t="n">
        <f aca="false">IF(OR(D5464=1,K5463=""),"",K5463)</f>
        <v>1016.1</v>
      </c>
      <c r="Q5464" s="56" t="n">
        <f aca="false">IF(OR(F5464&lt;&gt;0,AND(I5464&lt;&gt;"",E5464&lt;I5464)),1,0)</f>
        <v>0</v>
      </c>
      <c r="R5464" s="56" t="n">
        <f aca="false">IF(AND(D5464&gt;1,Q5464=0,ISNUMBER(O5464),ISNUMBER(P5464)),IF(Q5463=0,1,0),0)</f>
        <v>1</v>
      </c>
      <c r="S5464" s="56" t="n">
        <f aca="false">R5464*(B5464&gt;=Train_Start)*(B5464&lt;=Train_End)</f>
        <v>0</v>
      </c>
      <c r="T5464" s="84" t="n">
        <f aca="false">IF(AND(ISNUMBER(O5464),ISNUMBER(P5464)),Coef_A+Coef_B1*O5464+Coef_B2*P5464,"")</f>
        <v>21.8235197679223</v>
      </c>
      <c r="U5464" s="84" t="n">
        <f aca="false">IF(AND(R5464=1,ISNUMBER(T5464)),E5464-T5464,"")</f>
        <v>-0.323519767922257</v>
      </c>
      <c r="V5464" s="84" t="n">
        <f aca="false">IF(ISNUMBER(T5464),T5464,-99)</f>
        <v>21.8235197679223</v>
      </c>
      <c r="W5464" s="84" t="n">
        <f aca="false">IF(ISNUMBER(U5464),ABS(U5464),"")</f>
        <v>0.323519767922257</v>
      </c>
    </row>
    <row r="5465" customFormat="false" ht="15" hidden="false" customHeight="false" outlineLevel="0" collapsed="false">
      <c r="A5465" s="57" t="n">
        <v>41868</v>
      </c>
      <c r="B5465" s="56" t="n">
        <v>2014</v>
      </c>
      <c r="C5465" s="56" t="n">
        <v>8</v>
      </c>
      <c r="D5465" s="56" t="n">
        <v>109</v>
      </c>
      <c r="E5465" s="56" t="n">
        <v>20.2</v>
      </c>
      <c r="F5465" s="56" t="n">
        <v>0</v>
      </c>
      <c r="G5465" s="56" t="n">
        <v>14.2</v>
      </c>
      <c r="H5465" s="56" t="n">
        <v>0</v>
      </c>
      <c r="I5465" s="56" t="n">
        <v>17.9</v>
      </c>
      <c r="J5465" s="56" t="n">
        <v>0</v>
      </c>
      <c r="K5465" s="56" t="n">
        <v>1010</v>
      </c>
      <c r="L5465" s="56" t="n">
        <v>0</v>
      </c>
      <c r="M5465" s="56" t="n">
        <v>64</v>
      </c>
      <c r="N5465" s="56" t="n">
        <v>4.3</v>
      </c>
      <c r="O5465" s="56" t="n">
        <f aca="false">IF(D5465=1,"",E5464)</f>
        <v>21.5</v>
      </c>
      <c r="P5465" s="56" t="n">
        <f aca="false">IF(OR(D5465=1,K5464=""),"",K5464)</f>
        <v>1020</v>
      </c>
      <c r="Q5465" s="56" t="n">
        <f aca="false">IF(OR(F5465&lt;&gt;0,AND(I5465&lt;&gt;"",E5465&lt;I5465)),1,0)</f>
        <v>0</v>
      </c>
      <c r="R5465" s="56" t="n">
        <f aca="false">IF(AND(D5465&gt;1,Q5465=0,ISNUMBER(O5465),ISNUMBER(P5465)),IF(Q5464=0,1,0),0)</f>
        <v>1</v>
      </c>
      <c r="S5465" s="56" t="n">
        <f aca="false">R5465*(B5465&gt;=Train_Start)*(B5465&lt;=Train_End)</f>
        <v>0</v>
      </c>
      <c r="T5465" s="84" t="n">
        <f aca="false">IF(AND(ISNUMBER(O5465),ISNUMBER(P5465)),Coef_A+Coef_B1*O5465+Coef_B2*P5465,"")</f>
        <v>21.700060599082</v>
      </c>
      <c r="U5465" s="84" t="n">
        <f aca="false">IF(AND(R5465=1,ISNUMBER(T5465)),E5465-T5465,"")</f>
        <v>-1.50006059908202</v>
      </c>
      <c r="V5465" s="84" t="n">
        <f aca="false">IF(ISNUMBER(T5465),T5465,-99)</f>
        <v>21.700060599082</v>
      </c>
      <c r="W5465" s="84" t="n">
        <f aca="false">IF(ISNUMBER(U5465),ABS(U5465),"")</f>
        <v>1.50006059908202</v>
      </c>
    </row>
    <row r="5466" customFormat="false" ht="15" hidden="false" customHeight="false" outlineLevel="0" collapsed="false">
      <c r="A5466" s="57" t="n">
        <v>41869</v>
      </c>
      <c r="B5466" s="56" t="n">
        <v>2014</v>
      </c>
      <c r="C5466" s="56" t="n">
        <v>8</v>
      </c>
      <c r="D5466" s="56" t="n">
        <v>110</v>
      </c>
      <c r="E5466" s="56" t="n">
        <v>18.9</v>
      </c>
      <c r="F5466" s="56" t="n">
        <v>0</v>
      </c>
      <c r="G5466" s="56" t="n">
        <v>11.2</v>
      </c>
      <c r="H5466" s="56" t="n">
        <v>0</v>
      </c>
      <c r="I5466" s="56" t="n">
        <v>15.7</v>
      </c>
      <c r="J5466" s="56" t="n">
        <v>0</v>
      </c>
      <c r="K5466" s="56" t="n">
        <v>1009.6</v>
      </c>
      <c r="L5466" s="56" t="n">
        <v>0</v>
      </c>
      <c r="M5466" s="56" t="n">
        <v>67</v>
      </c>
      <c r="N5466" s="56" t="n">
        <v>5</v>
      </c>
      <c r="O5466" s="56" t="n">
        <f aca="false">IF(D5466=1,"",E5465)</f>
        <v>20.2</v>
      </c>
      <c r="P5466" s="56" t="n">
        <f aca="false">IF(OR(D5466=1,K5465=""),"",K5465)</f>
        <v>1010</v>
      </c>
      <c r="Q5466" s="56" t="n">
        <f aca="false">IF(OR(F5466&lt;&gt;0,AND(I5466&lt;&gt;"",E5466&lt;I5466)),1,0)</f>
        <v>0</v>
      </c>
      <c r="R5466" s="56" t="n">
        <f aca="false">IF(AND(D5466&gt;1,Q5466=0,ISNUMBER(O5466),ISNUMBER(P5466)),IF(Q5465=0,1,0),0)</f>
        <v>1</v>
      </c>
      <c r="S5466" s="56" t="n">
        <f aca="false">R5466*(B5466&gt;=Train_Start)*(B5466&lt;=Train_End)</f>
        <v>0</v>
      </c>
      <c r="T5466" s="84" t="n">
        <f aca="false">IF(AND(ISNUMBER(O5466),ISNUMBER(P5466)),Coef_A+Coef_B1*O5466+Coef_B2*P5466,"")</f>
        <v>20.3212207017867</v>
      </c>
      <c r="U5466" s="84" t="n">
        <f aca="false">IF(AND(R5466=1,ISNUMBER(T5466)),E5466-T5466,"")</f>
        <v>-1.42122070178667</v>
      </c>
      <c r="V5466" s="84" t="n">
        <f aca="false">IF(ISNUMBER(T5466),T5466,-99)</f>
        <v>20.3212207017867</v>
      </c>
      <c r="W5466" s="84" t="n">
        <f aca="false">IF(ISNUMBER(U5466),ABS(U5466),"")</f>
        <v>1.42122070178667</v>
      </c>
    </row>
    <row r="5467" customFormat="false" ht="15" hidden="false" customHeight="false" outlineLevel="0" collapsed="false">
      <c r="A5467" s="57" t="n">
        <v>41870</v>
      </c>
      <c r="B5467" s="56" t="n">
        <v>2014</v>
      </c>
      <c r="C5467" s="56" t="n">
        <v>8</v>
      </c>
      <c r="D5467" s="56" t="n">
        <v>111</v>
      </c>
      <c r="E5467" s="56" t="n">
        <v>19</v>
      </c>
      <c r="F5467" s="56" t="n">
        <v>0</v>
      </c>
      <c r="G5467" s="56" t="n">
        <v>9.9</v>
      </c>
      <c r="H5467" s="56" t="n">
        <v>0</v>
      </c>
      <c r="I5467" s="56" t="n">
        <v>14.4</v>
      </c>
      <c r="J5467" s="56" t="n">
        <v>0</v>
      </c>
      <c r="K5467" s="56" t="n">
        <v>1013.5</v>
      </c>
      <c r="L5467" s="56" t="n">
        <v>0</v>
      </c>
      <c r="M5467" s="56" t="n">
        <v>60</v>
      </c>
      <c r="N5467" s="56" t="n">
        <v>8.4</v>
      </c>
      <c r="O5467" s="56" t="n">
        <f aca="false">IF(D5467=1,"",E5466)</f>
        <v>18.9</v>
      </c>
      <c r="P5467" s="56" t="n">
        <f aca="false">IF(OR(D5467=1,K5466=""),"",K5466)</f>
        <v>1009.6</v>
      </c>
      <c r="Q5467" s="56" t="n">
        <f aca="false">IF(OR(F5467&lt;&gt;0,AND(I5467&lt;&gt;"",E5467&lt;I5467)),1,0)</f>
        <v>0</v>
      </c>
      <c r="R5467" s="56" t="n">
        <f aca="false">IF(AND(D5467&gt;1,Q5467=0,ISNUMBER(O5467),ISNUMBER(P5467)),IF(Q5466=0,1,0),0)</f>
        <v>1</v>
      </c>
      <c r="S5467" s="56" t="n">
        <f aca="false">R5467*(B5467&gt;=Train_Start)*(B5467&lt;=Train_End)</f>
        <v>0</v>
      </c>
      <c r="T5467" s="84" t="n">
        <f aca="false">IF(AND(ISNUMBER(O5467),ISNUMBER(P5467)),Coef_A+Coef_B1*O5467+Coef_B2*P5467,"")</f>
        <v>19.2435317929776</v>
      </c>
      <c r="U5467" s="84" t="n">
        <f aca="false">IF(AND(R5467=1,ISNUMBER(T5467)),E5467-T5467,"")</f>
        <v>-0.243531792977613</v>
      </c>
      <c r="V5467" s="84" t="n">
        <f aca="false">IF(ISNUMBER(T5467),T5467,-99)</f>
        <v>19.2435317929776</v>
      </c>
      <c r="W5467" s="84" t="n">
        <f aca="false">IF(ISNUMBER(U5467),ABS(U5467),"")</f>
        <v>0.243531792977613</v>
      </c>
    </row>
    <row r="5468" customFormat="false" ht="15" hidden="false" customHeight="false" outlineLevel="0" collapsed="false">
      <c r="A5468" s="57" t="n">
        <v>41871</v>
      </c>
      <c r="B5468" s="56" t="n">
        <v>2014</v>
      </c>
      <c r="C5468" s="56" t="n">
        <v>8</v>
      </c>
      <c r="D5468" s="56" t="n">
        <v>112</v>
      </c>
      <c r="E5468" s="56" t="n">
        <v>18.1</v>
      </c>
      <c r="F5468" s="56" t="n">
        <v>0</v>
      </c>
      <c r="G5468" s="56" t="n">
        <v>8.2</v>
      </c>
      <c r="H5468" s="56" t="n">
        <v>0</v>
      </c>
      <c r="I5468" s="56" t="n">
        <v>13.6</v>
      </c>
      <c r="J5468" s="56" t="n">
        <v>0</v>
      </c>
      <c r="K5468" s="56" t="n">
        <v>1017.1</v>
      </c>
      <c r="L5468" s="56" t="n">
        <v>0</v>
      </c>
      <c r="M5468" s="56" t="n">
        <v>61</v>
      </c>
      <c r="N5468" s="56" t="n">
        <v>7</v>
      </c>
      <c r="O5468" s="56" t="n">
        <f aca="false">IF(D5468=1,"",E5467)</f>
        <v>19</v>
      </c>
      <c r="P5468" s="56" t="n">
        <f aca="false">IF(OR(D5468=1,K5467=""),"",K5467)</f>
        <v>1013.5</v>
      </c>
      <c r="Q5468" s="56" t="n">
        <f aca="false">IF(OR(F5468&lt;&gt;0,AND(I5468&lt;&gt;"",E5468&lt;I5468)),1,0)</f>
        <v>0</v>
      </c>
      <c r="R5468" s="56" t="n">
        <f aca="false">IF(AND(D5468&gt;1,Q5468=0,ISNUMBER(O5468),ISNUMBER(P5468)),IF(Q5467=0,1,0),0)</f>
        <v>1</v>
      </c>
      <c r="S5468" s="56" t="n">
        <f aca="false">R5468*(B5468&gt;=Train_Start)*(B5468&lt;=Train_End)</f>
        <v>0</v>
      </c>
      <c r="T5468" s="84" t="n">
        <f aca="false">IF(AND(ISNUMBER(O5468),ISNUMBER(P5468)),Coef_A+Coef_B1*O5468+Coef_B2*P5468,"")</f>
        <v>19.4478083013544</v>
      </c>
      <c r="U5468" s="84" t="n">
        <f aca="false">IF(AND(R5468=1,ISNUMBER(T5468)),E5468-T5468,"")</f>
        <v>-1.34780830135444</v>
      </c>
      <c r="V5468" s="84" t="n">
        <f aca="false">IF(ISNUMBER(T5468),T5468,-99)</f>
        <v>19.4478083013544</v>
      </c>
      <c r="W5468" s="84" t="n">
        <f aca="false">IF(ISNUMBER(U5468),ABS(U5468),"")</f>
        <v>1.34780830135444</v>
      </c>
    </row>
    <row r="5469" customFormat="false" ht="15" hidden="false" customHeight="false" outlineLevel="0" collapsed="false">
      <c r="A5469" s="57" t="n">
        <v>41872</v>
      </c>
      <c r="B5469" s="56" t="n">
        <v>2014</v>
      </c>
      <c r="C5469" s="56" t="n">
        <v>8</v>
      </c>
      <c r="D5469" s="56" t="n">
        <v>113</v>
      </c>
      <c r="E5469" s="56" t="n">
        <v>20.7</v>
      </c>
      <c r="F5469" s="56" t="n">
        <v>0</v>
      </c>
      <c r="G5469" s="56" t="n">
        <v>7.6</v>
      </c>
      <c r="H5469" s="56" t="n">
        <v>0</v>
      </c>
      <c r="I5469" s="56" t="n">
        <v>12.9</v>
      </c>
      <c r="J5469" s="56" t="n">
        <v>0</v>
      </c>
      <c r="K5469" s="56" t="n">
        <v>1015.3</v>
      </c>
      <c r="L5469" s="56" t="n">
        <v>0</v>
      </c>
      <c r="M5469" s="56" t="n">
        <v>66</v>
      </c>
      <c r="N5469" s="56" t="n">
        <v>5.7</v>
      </c>
      <c r="O5469" s="56" t="n">
        <f aca="false">IF(D5469=1,"",E5468)</f>
        <v>18.1</v>
      </c>
      <c r="P5469" s="56" t="n">
        <f aca="false">IF(OR(D5469=1,K5468=""),"",K5468)</f>
        <v>1017.1</v>
      </c>
      <c r="Q5469" s="56" t="n">
        <f aca="false">IF(OR(F5469&lt;&gt;0,AND(I5469&lt;&gt;"",E5469&lt;I5469)),1,0)</f>
        <v>0</v>
      </c>
      <c r="R5469" s="56" t="n">
        <f aca="false">IF(AND(D5469&gt;1,Q5469=0,ISNUMBER(O5469),ISNUMBER(P5469)),IF(Q5468=0,1,0),0)</f>
        <v>1</v>
      </c>
      <c r="S5469" s="56" t="n">
        <f aca="false">R5469*(B5469&gt;=Train_Start)*(B5469&lt;=Train_End)</f>
        <v>0</v>
      </c>
      <c r="T5469" s="84" t="n">
        <f aca="false">IF(AND(ISNUMBER(O5469),ISNUMBER(P5469)),Coef_A+Coef_B1*O5469+Coef_B2*P5469,"")</f>
        <v>18.8233346482984</v>
      </c>
      <c r="U5469" s="84" t="n">
        <f aca="false">IF(AND(R5469=1,ISNUMBER(T5469)),E5469-T5469,"")</f>
        <v>1.87666535170159</v>
      </c>
      <c r="V5469" s="84" t="n">
        <f aca="false">IF(ISNUMBER(T5469),T5469,-99)</f>
        <v>18.8233346482984</v>
      </c>
      <c r="W5469" s="84" t="n">
        <f aca="false">IF(ISNUMBER(U5469),ABS(U5469),"")</f>
        <v>1.87666535170159</v>
      </c>
    </row>
    <row r="5470" customFormat="false" ht="15" hidden="false" customHeight="false" outlineLevel="0" collapsed="false">
      <c r="A5470" s="57" t="n">
        <v>41873</v>
      </c>
      <c r="B5470" s="56" t="n">
        <v>2014</v>
      </c>
      <c r="C5470" s="56" t="n">
        <v>8</v>
      </c>
      <c r="D5470" s="56" t="n">
        <v>114</v>
      </c>
      <c r="E5470" s="56" t="n">
        <v>19.5</v>
      </c>
      <c r="F5470" s="56" t="n">
        <v>0</v>
      </c>
      <c r="G5470" s="56" t="n">
        <v>12.2</v>
      </c>
      <c r="H5470" s="56" t="n">
        <v>0</v>
      </c>
      <c r="I5470" s="56" t="n">
        <v>16.5</v>
      </c>
      <c r="J5470" s="56" t="n">
        <v>0</v>
      </c>
      <c r="K5470" s="56" t="n">
        <v>1011.2</v>
      </c>
      <c r="L5470" s="56" t="n">
        <v>0</v>
      </c>
      <c r="M5470" s="56" t="n">
        <v>64</v>
      </c>
      <c r="N5470" s="56" t="n">
        <v>5.6</v>
      </c>
      <c r="O5470" s="56" t="n">
        <f aca="false">IF(D5470=1,"",E5469)</f>
        <v>20.7</v>
      </c>
      <c r="P5470" s="56" t="n">
        <f aca="false">IF(OR(D5470=1,K5469=""),"",K5469)</f>
        <v>1015.3</v>
      </c>
      <c r="Q5470" s="56" t="n">
        <f aca="false">IF(OR(F5470&lt;&gt;0,AND(I5470&lt;&gt;"",E5470&lt;I5470)),1,0)</f>
        <v>0</v>
      </c>
      <c r="R5470" s="56" t="n">
        <f aca="false">IF(AND(D5470&gt;1,Q5470=0,ISNUMBER(O5470),ISNUMBER(P5470)),IF(Q5469=0,1,0),0)</f>
        <v>1</v>
      </c>
      <c r="S5470" s="56" t="n">
        <f aca="false">R5470*(B5470&gt;=Train_Start)*(B5470&lt;=Train_End)</f>
        <v>0</v>
      </c>
      <c r="T5470" s="84" t="n">
        <f aca="false">IF(AND(ISNUMBER(O5470),ISNUMBER(P5470)),Coef_A+Coef_B1*O5470+Coef_B2*P5470,"")</f>
        <v>20.8971507398681</v>
      </c>
      <c r="U5470" s="84" t="n">
        <f aca="false">IF(AND(R5470=1,ISNUMBER(T5470)),E5470-T5470,"")</f>
        <v>-1.39715073986814</v>
      </c>
      <c r="V5470" s="84" t="n">
        <f aca="false">IF(ISNUMBER(T5470),T5470,-99)</f>
        <v>20.8971507398681</v>
      </c>
      <c r="W5470" s="84" t="n">
        <f aca="false">IF(ISNUMBER(U5470),ABS(U5470),"")</f>
        <v>1.39715073986814</v>
      </c>
    </row>
    <row r="5471" customFormat="false" ht="15" hidden="false" customHeight="false" outlineLevel="0" collapsed="false">
      <c r="A5471" s="57" t="n">
        <v>41874</v>
      </c>
      <c r="B5471" s="56" t="n">
        <v>2014</v>
      </c>
      <c r="C5471" s="56" t="n">
        <v>8</v>
      </c>
      <c r="D5471" s="56" t="n">
        <v>115</v>
      </c>
      <c r="E5471" s="56" t="n">
        <v>19</v>
      </c>
      <c r="F5471" s="56" t="n">
        <v>0</v>
      </c>
      <c r="G5471" s="56" t="n">
        <v>8.4</v>
      </c>
      <c r="H5471" s="56" t="n">
        <v>0</v>
      </c>
      <c r="I5471" s="56" t="n">
        <v>14</v>
      </c>
      <c r="J5471" s="56" t="n">
        <v>0</v>
      </c>
      <c r="K5471" s="56" t="n">
        <v>1015.7</v>
      </c>
      <c r="L5471" s="56" t="n">
        <v>0</v>
      </c>
      <c r="M5471" s="56" t="n">
        <v>63</v>
      </c>
      <c r="N5471" s="56" t="n">
        <v>9.1</v>
      </c>
      <c r="O5471" s="56" t="n">
        <f aca="false">IF(D5471=1,"",E5470)</f>
        <v>19.5</v>
      </c>
      <c r="P5471" s="56" t="n">
        <f aca="false">IF(OR(D5471=1,K5470=""),"",K5470)</f>
        <v>1011.2</v>
      </c>
      <c r="Q5471" s="56" t="n">
        <f aca="false">IF(OR(F5471&lt;&gt;0,AND(I5471&lt;&gt;"",E5471&lt;I5471)),1,0)</f>
        <v>0</v>
      </c>
      <c r="R5471" s="56" t="n">
        <f aca="false">IF(AND(D5471&gt;1,Q5471=0,ISNUMBER(O5471),ISNUMBER(P5471)),IF(Q5470=0,1,0),0)</f>
        <v>1</v>
      </c>
      <c r="S5471" s="56" t="n">
        <f aca="false">R5471*(B5471&gt;=Train_Start)*(B5471&lt;=Train_End)</f>
        <v>0</v>
      </c>
      <c r="T5471" s="84" t="n">
        <f aca="false">IF(AND(ISNUMBER(O5471),ISNUMBER(P5471)),Coef_A+Coef_B1*O5471+Coef_B2*P5471,"")</f>
        <v>19.7853271402176</v>
      </c>
      <c r="U5471" s="84" t="n">
        <f aca="false">IF(AND(R5471=1,ISNUMBER(T5471)),E5471-T5471,"")</f>
        <v>-0.785327140217596</v>
      </c>
      <c r="V5471" s="84" t="n">
        <f aca="false">IF(ISNUMBER(T5471),T5471,-99)</f>
        <v>19.7853271402176</v>
      </c>
      <c r="W5471" s="84" t="n">
        <f aca="false">IF(ISNUMBER(U5471),ABS(U5471),"")</f>
        <v>0.785327140217596</v>
      </c>
    </row>
    <row r="5472" customFormat="false" ht="15" hidden="false" customHeight="false" outlineLevel="0" collapsed="false">
      <c r="A5472" s="57" t="n">
        <v>41875</v>
      </c>
      <c r="B5472" s="56" t="n">
        <v>2014</v>
      </c>
      <c r="C5472" s="56" t="n">
        <v>8</v>
      </c>
      <c r="D5472" s="56" t="n">
        <v>116</v>
      </c>
      <c r="E5472" s="56" t="n">
        <v>17.4</v>
      </c>
      <c r="F5472" s="56" t="n">
        <v>0</v>
      </c>
      <c r="G5472" s="56" t="n">
        <v>7.3</v>
      </c>
      <c r="H5472" s="56" t="n">
        <v>0</v>
      </c>
      <c r="I5472" s="56" t="n">
        <v>13.2</v>
      </c>
      <c r="J5472" s="56" t="n">
        <v>0</v>
      </c>
      <c r="K5472" s="56" t="n">
        <v>1018.5</v>
      </c>
      <c r="L5472" s="56" t="n">
        <v>0</v>
      </c>
      <c r="M5472" s="56" t="n">
        <v>65</v>
      </c>
      <c r="N5472" s="56" t="n">
        <v>6.4</v>
      </c>
      <c r="O5472" s="56" t="n">
        <f aca="false">IF(D5472=1,"",E5471)</f>
        <v>19</v>
      </c>
      <c r="P5472" s="56" t="n">
        <f aca="false">IF(OR(D5472=1,K5471=""),"",K5471)</f>
        <v>1015.7</v>
      </c>
      <c r="Q5472" s="56" t="n">
        <f aca="false">IF(OR(F5472&lt;&gt;0,AND(I5472&lt;&gt;"",E5472&lt;I5472)),1,0)</f>
        <v>0</v>
      </c>
      <c r="R5472" s="56" t="n">
        <f aca="false">IF(AND(D5472&gt;1,Q5472=0,ISNUMBER(O5472),ISNUMBER(P5472)),IF(Q5471=0,1,0),0)</f>
        <v>1</v>
      </c>
      <c r="S5472" s="56" t="n">
        <f aca="false">R5472*(B5472&gt;=Train_Start)*(B5472&lt;=Train_End)</f>
        <v>0</v>
      </c>
      <c r="T5472" s="84" t="n">
        <f aca="false">IF(AND(ISNUMBER(O5472),ISNUMBER(P5472)),Coef_A+Coef_B1*O5472+Coef_B2*P5472,"")</f>
        <v>19.5168220695492</v>
      </c>
      <c r="U5472" s="84" t="n">
        <f aca="false">IF(AND(R5472=1,ISNUMBER(T5472)),E5472-T5472,"")</f>
        <v>-2.11682206954922</v>
      </c>
      <c r="V5472" s="84" t="n">
        <f aca="false">IF(ISNUMBER(T5472),T5472,-99)</f>
        <v>19.5168220695492</v>
      </c>
      <c r="W5472" s="84" t="n">
        <f aca="false">IF(ISNUMBER(U5472),ABS(U5472),"")</f>
        <v>2.11682206954922</v>
      </c>
    </row>
    <row r="5473" customFormat="false" ht="15" hidden="false" customHeight="false" outlineLevel="0" collapsed="false">
      <c r="A5473" s="57" t="n">
        <v>41876</v>
      </c>
      <c r="B5473" s="56" t="n">
        <v>2014</v>
      </c>
      <c r="C5473" s="56" t="n">
        <v>8</v>
      </c>
      <c r="D5473" s="56" t="n">
        <v>117</v>
      </c>
      <c r="E5473" s="56" t="n">
        <v>17.1</v>
      </c>
      <c r="F5473" s="56" t="n">
        <v>0</v>
      </c>
      <c r="G5473" s="56" t="n">
        <v>12.9</v>
      </c>
      <c r="H5473" s="56" t="n">
        <v>0</v>
      </c>
      <c r="I5473" s="56" t="n">
        <v>15.2</v>
      </c>
      <c r="J5473" s="56" t="n">
        <v>0</v>
      </c>
      <c r="K5473" s="56" t="n">
        <v>1007.3</v>
      </c>
      <c r="L5473" s="56" t="n">
        <v>0</v>
      </c>
      <c r="M5473" s="56" t="n">
        <v>90</v>
      </c>
      <c r="N5473" s="56" t="n">
        <v>0</v>
      </c>
      <c r="O5473" s="56" t="n">
        <f aca="false">IF(D5473=1,"",E5472)</f>
        <v>17.4</v>
      </c>
      <c r="P5473" s="56" t="n">
        <f aca="false">IF(OR(D5473=1,K5472=""),"",K5472)</f>
        <v>1018.5</v>
      </c>
      <c r="Q5473" s="56" t="n">
        <f aca="false">IF(OR(F5473&lt;&gt;0,AND(I5473&lt;&gt;"",E5473&lt;I5473)),1,0)</f>
        <v>0</v>
      </c>
      <c r="R5473" s="56" t="n">
        <f aca="false">IF(AND(D5473&gt;1,Q5473=0,ISNUMBER(O5473),ISNUMBER(P5473)),IF(Q5472=0,1,0),0)</f>
        <v>1</v>
      </c>
      <c r="S5473" s="56" t="n">
        <f aca="false">R5473*(B5473&gt;=Train_Start)*(B5473&lt;=Train_End)</f>
        <v>0</v>
      </c>
      <c r="T5473" s="84" t="n">
        <f aca="false">IF(AND(ISNUMBER(O5473),ISNUMBER(P5473)),Coef_A+Coef_B1*O5473+Coef_B2*P5473,"")</f>
        <v>18.2937150656561</v>
      </c>
      <c r="U5473" s="84" t="n">
        <f aca="false">IF(AND(R5473=1,ISNUMBER(T5473)),E5473-T5473,"")</f>
        <v>-1.19371506565614</v>
      </c>
      <c r="V5473" s="84" t="n">
        <f aca="false">IF(ISNUMBER(T5473),T5473,-99)</f>
        <v>18.2937150656561</v>
      </c>
      <c r="W5473" s="84" t="n">
        <f aca="false">IF(ISNUMBER(U5473),ABS(U5473),"")</f>
        <v>1.19371506565614</v>
      </c>
    </row>
    <row r="5474" customFormat="false" ht="15" hidden="false" customHeight="false" outlineLevel="0" collapsed="false">
      <c r="A5474" s="57" t="n">
        <v>41877</v>
      </c>
      <c r="B5474" s="56" t="n">
        <v>2014</v>
      </c>
      <c r="C5474" s="56" t="n">
        <v>8</v>
      </c>
      <c r="D5474" s="56" t="n">
        <v>118</v>
      </c>
      <c r="E5474" s="56" t="n">
        <v>20</v>
      </c>
      <c r="F5474" s="56" t="n">
        <v>0</v>
      </c>
      <c r="G5474" s="56" t="n">
        <v>14.1</v>
      </c>
      <c r="H5474" s="56" t="n">
        <v>0</v>
      </c>
      <c r="I5474" s="56" t="n">
        <v>15.6</v>
      </c>
      <c r="J5474" s="56" t="n">
        <v>0</v>
      </c>
      <c r="K5474" s="56" t="n">
        <v>1005.6</v>
      </c>
      <c r="L5474" s="56" t="n">
        <v>0</v>
      </c>
      <c r="M5474" s="56" t="n">
        <v>87</v>
      </c>
      <c r="N5474" s="56" t="n">
        <v>0</v>
      </c>
      <c r="O5474" s="56" t="n">
        <f aca="false">IF(D5474=1,"",E5473)</f>
        <v>17.1</v>
      </c>
      <c r="P5474" s="56" t="n">
        <f aca="false">IF(OR(D5474=1,K5473=""),"",K5473)</f>
        <v>1007.3</v>
      </c>
      <c r="Q5474" s="56" t="n">
        <f aca="false">IF(OR(F5474&lt;&gt;0,AND(I5474&lt;&gt;"",E5474&lt;I5474)),1,0)</f>
        <v>0</v>
      </c>
      <c r="R5474" s="56" t="n">
        <f aca="false">IF(AND(D5474&gt;1,Q5474=0,ISNUMBER(O5474),ISNUMBER(P5474)),IF(Q5473=0,1,0),0)</f>
        <v>1</v>
      </c>
      <c r="S5474" s="56" t="n">
        <f aca="false">R5474*(B5474&gt;=Train_Start)*(B5474&lt;=Train_End)</f>
        <v>0</v>
      </c>
      <c r="T5474" s="84" t="n">
        <f aca="false">IF(AND(ISNUMBER(O5474),ISNUMBER(P5474)),Coef_A+Coef_B1*O5474+Coef_B2*P5474,"")</f>
        <v>17.6965704878427</v>
      </c>
      <c r="U5474" s="84" t="n">
        <f aca="false">IF(AND(R5474=1,ISNUMBER(T5474)),E5474-T5474,"")</f>
        <v>2.30342951215734</v>
      </c>
      <c r="V5474" s="84" t="n">
        <f aca="false">IF(ISNUMBER(T5474),T5474,-99)</f>
        <v>17.6965704878427</v>
      </c>
      <c r="W5474" s="84" t="n">
        <f aca="false">IF(ISNUMBER(U5474),ABS(U5474),"")</f>
        <v>2.30342951215734</v>
      </c>
    </row>
    <row r="5475" customFormat="false" ht="15" hidden="false" customHeight="false" outlineLevel="0" collapsed="false">
      <c r="A5475" s="57" t="n">
        <v>41878</v>
      </c>
      <c r="B5475" s="56" t="n">
        <v>2014</v>
      </c>
      <c r="C5475" s="56" t="n">
        <v>8</v>
      </c>
      <c r="D5475" s="56" t="n">
        <v>119</v>
      </c>
      <c r="E5475" s="56" t="n">
        <v>22.8</v>
      </c>
      <c r="F5475" s="56" t="n">
        <v>0</v>
      </c>
      <c r="G5475" s="56" t="n">
        <v>10.7</v>
      </c>
      <c r="H5475" s="56" t="n">
        <v>0</v>
      </c>
      <c r="I5475" s="56" t="n">
        <v>15.4</v>
      </c>
      <c r="J5475" s="56" t="n">
        <v>0</v>
      </c>
      <c r="K5475" s="56" t="n">
        <v>1013.8</v>
      </c>
      <c r="L5475" s="56" t="n">
        <v>0</v>
      </c>
      <c r="M5475" s="56" t="n">
        <v>75</v>
      </c>
      <c r="N5475" s="56" t="n">
        <v>2.6</v>
      </c>
      <c r="O5475" s="56" t="n">
        <f aca="false">IF(D5475=1,"",E5474)</f>
        <v>20</v>
      </c>
      <c r="P5475" s="56" t="n">
        <f aca="false">IF(OR(D5475=1,K5474=""),"",K5474)</f>
        <v>1005.6</v>
      </c>
      <c r="Q5475" s="56" t="n">
        <f aca="false">IF(OR(F5475&lt;&gt;0,AND(I5475&lt;&gt;"",E5475&lt;I5475)),1,0)</f>
        <v>0</v>
      </c>
      <c r="R5475" s="56" t="n">
        <f aca="false">IF(AND(D5475&gt;1,Q5475=0,ISNUMBER(O5475),ISNUMBER(P5475)),IF(Q5474=0,1,0),0)</f>
        <v>1</v>
      </c>
      <c r="S5475" s="56" t="n">
        <f aca="false">R5475*(B5475&gt;=Train_Start)*(B5475&lt;=Train_End)</f>
        <v>0</v>
      </c>
      <c r="T5475" s="84" t="n">
        <f aca="false">IF(AND(ISNUMBER(O5475),ISNUMBER(P5475)),Coef_A+Coef_B1*O5475+Coef_B2*P5475,"")</f>
        <v>20.0193253267886</v>
      </c>
      <c r="U5475" s="84" t="n">
        <f aca="false">IF(AND(R5475=1,ISNUMBER(T5475)),E5475-T5475,"")</f>
        <v>2.78067467321142</v>
      </c>
      <c r="V5475" s="84" t="n">
        <f aca="false">IF(ISNUMBER(T5475),T5475,-99)</f>
        <v>20.0193253267886</v>
      </c>
      <c r="W5475" s="84" t="n">
        <f aca="false">IF(ISNUMBER(U5475),ABS(U5475),"")</f>
        <v>2.78067467321142</v>
      </c>
    </row>
    <row r="5476" customFormat="false" ht="15" hidden="false" customHeight="false" outlineLevel="0" collapsed="false">
      <c r="A5476" s="57" t="n">
        <v>41879</v>
      </c>
      <c r="B5476" s="56" t="n">
        <v>2014</v>
      </c>
      <c r="C5476" s="56" t="n">
        <v>8</v>
      </c>
      <c r="D5476" s="56" t="n">
        <v>120</v>
      </c>
      <c r="E5476" s="56" t="n">
        <v>21.5</v>
      </c>
      <c r="F5476" s="56" t="n">
        <v>0</v>
      </c>
      <c r="G5476" s="56" t="n">
        <v>16.3</v>
      </c>
      <c r="H5476" s="56" t="n">
        <v>0</v>
      </c>
      <c r="I5476" s="56" t="n">
        <v>19.6</v>
      </c>
      <c r="J5476" s="56" t="n">
        <v>0</v>
      </c>
      <c r="K5476" s="56" t="n">
        <v>1010.8</v>
      </c>
      <c r="L5476" s="56" t="n">
        <v>0</v>
      </c>
      <c r="M5476" s="56" t="n">
        <v>79</v>
      </c>
      <c r="N5476" s="56" t="n">
        <v>4.7</v>
      </c>
      <c r="O5476" s="56" t="n">
        <f aca="false">IF(D5476=1,"",E5475)</f>
        <v>22.8</v>
      </c>
      <c r="P5476" s="56" t="n">
        <f aca="false">IF(OR(D5476=1,K5475=""),"",K5475)</f>
        <v>1013.8</v>
      </c>
      <c r="Q5476" s="56" t="n">
        <f aca="false">IF(OR(F5476&lt;&gt;0,AND(I5476&lt;&gt;"",E5476&lt;I5476)),1,0)</f>
        <v>0</v>
      </c>
      <c r="R5476" s="56" t="n">
        <f aca="false">IF(AND(D5476&gt;1,Q5476=0,ISNUMBER(O5476),ISNUMBER(P5476)),IF(Q5475=0,1,0),0)</f>
        <v>1</v>
      </c>
      <c r="S5476" s="56" t="n">
        <f aca="false">R5476*(B5476&gt;=Train_Start)*(B5476&lt;=Train_End)</f>
        <v>0</v>
      </c>
      <c r="T5476" s="84" t="n">
        <f aca="false">IF(AND(ISNUMBER(O5476),ISNUMBER(P5476)),Coef_A+Coef_B1*O5476+Coef_B2*P5476,"")</f>
        <v>22.5707082033067</v>
      </c>
      <c r="U5476" s="84" t="n">
        <f aca="false">IF(AND(R5476=1,ISNUMBER(T5476)),E5476-T5476,"")</f>
        <v>-1.07070820330674</v>
      </c>
      <c r="V5476" s="84" t="n">
        <f aca="false">IF(ISNUMBER(T5476),T5476,-99)</f>
        <v>22.5707082033067</v>
      </c>
      <c r="W5476" s="84" t="n">
        <f aca="false">IF(ISNUMBER(U5476),ABS(U5476),"")</f>
        <v>1.07070820330674</v>
      </c>
    </row>
    <row r="5477" customFormat="false" ht="15" hidden="false" customHeight="false" outlineLevel="0" collapsed="false">
      <c r="A5477" s="57" t="n">
        <v>41880</v>
      </c>
      <c r="B5477" s="56" t="n">
        <v>2014</v>
      </c>
      <c r="C5477" s="56" t="n">
        <v>8</v>
      </c>
      <c r="D5477" s="56" t="n">
        <v>121</v>
      </c>
      <c r="E5477" s="56" t="n">
        <v>20.2</v>
      </c>
      <c r="F5477" s="56" t="n">
        <v>0</v>
      </c>
      <c r="G5477" s="56" t="n">
        <v>13.9</v>
      </c>
      <c r="H5477" s="56" t="n">
        <v>0</v>
      </c>
      <c r="I5477" s="56" t="n">
        <v>17.7</v>
      </c>
      <c r="J5477" s="56" t="n">
        <v>0</v>
      </c>
      <c r="K5477" s="56" t="n">
        <v>1013</v>
      </c>
      <c r="L5477" s="56" t="n">
        <v>0</v>
      </c>
      <c r="M5477" s="56" t="n">
        <v>73</v>
      </c>
      <c r="N5477" s="56" t="n">
        <v>4.8</v>
      </c>
      <c r="O5477" s="56" t="n">
        <f aca="false">IF(D5477=1,"",E5476)</f>
        <v>21.5</v>
      </c>
      <c r="P5477" s="56" t="n">
        <f aca="false">IF(OR(D5477=1,K5476=""),"",K5476)</f>
        <v>1010.8</v>
      </c>
      <c r="Q5477" s="56" t="n">
        <f aca="false">IF(OR(F5477&lt;&gt;0,AND(I5477&lt;&gt;"",E5477&lt;I5477)),1,0)</f>
        <v>0</v>
      </c>
      <c r="R5477" s="56" t="n">
        <f aca="false">IF(AND(D5477&gt;1,Q5477=0,ISNUMBER(O5477),ISNUMBER(P5477)),IF(Q5476=0,1,0),0)</f>
        <v>1</v>
      </c>
      <c r="S5477" s="56" t="n">
        <f aca="false">R5477*(B5477&gt;=Train_Start)*(B5477&lt;=Train_End)</f>
        <v>0</v>
      </c>
      <c r="T5477" s="84" t="n">
        <f aca="false">IF(AND(ISNUMBER(O5477),ISNUMBER(P5477)),Coef_A+Coef_B1*O5477+Coef_B2*P5477,"")</f>
        <v>21.4114575684493</v>
      </c>
      <c r="U5477" s="84" t="n">
        <f aca="false">IF(AND(R5477=1,ISNUMBER(T5477)),E5477-T5477,"")</f>
        <v>-1.21145756844931</v>
      </c>
      <c r="V5477" s="84" t="n">
        <f aca="false">IF(ISNUMBER(T5477),T5477,-99)</f>
        <v>21.4114575684493</v>
      </c>
      <c r="W5477" s="84" t="n">
        <f aca="false">IF(ISNUMBER(U5477),ABS(U5477),"")</f>
        <v>1.21145756844931</v>
      </c>
    </row>
    <row r="5478" customFormat="false" ht="15" hidden="false" customHeight="false" outlineLevel="0" collapsed="false">
      <c r="A5478" s="57" t="n">
        <v>41881</v>
      </c>
      <c r="B5478" s="56" t="n">
        <v>2014</v>
      </c>
      <c r="C5478" s="56" t="n">
        <v>8</v>
      </c>
      <c r="D5478" s="56" t="n">
        <v>122</v>
      </c>
      <c r="E5478" s="56" t="n">
        <v>21.7</v>
      </c>
      <c r="F5478" s="56" t="n">
        <v>0</v>
      </c>
      <c r="G5478" s="56" t="n">
        <v>14.7</v>
      </c>
      <c r="H5478" s="56" t="n">
        <v>0</v>
      </c>
      <c r="I5478" s="56" t="n">
        <v>17.5</v>
      </c>
      <c r="J5478" s="56" t="n">
        <v>0</v>
      </c>
      <c r="K5478" s="56" t="n">
        <v>1015.2</v>
      </c>
      <c r="L5478" s="56" t="n">
        <v>0</v>
      </c>
      <c r="M5478" s="56" t="n">
        <v>67</v>
      </c>
      <c r="N5478" s="56" t="n">
        <v>3.4</v>
      </c>
      <c r="O5478" s="56" t="n">
        <f aca="false">IF(D5478=1,"",E5477)</f>
        <v>20.2</v>
      </c>
      <c r="P5478" s="56" t="n">
        <f aca="false">IF(OR(D5478=1,K5477=""),"",K5477)</f>
        <v>1013</v>
      </c>
      <c r="Q5478" s="56" t="n">
        <f aca="false">IF(OR(F5478&lt;&gt;0,AND(I5478&lt;&gt;"",E5478&lt;I5478)),1,0)</f>
        <v>0</v>
      </c>
      <c r="R5478" s="56" t="n">
        <f aca="false">IF(AND(D5478&gt;1,Q5478=0,ISNUMBER(O5478),ISNUMBER(P5478)),IF(Q5477=0,1,0),0)</f>
        <v>1</v>
      </c>
      <c r="S5478" s="56" t="n">
        <f aca="false">R5478*(B5478&gt;=Train_Start)*(B5478&lt;=Train_End)</f>
        <v>0</v>
      </c>
      <c r="T5478" s="84" t="n">
        <f aca="false">IF(AND(ISNUMBER(O5478),ISNUMBER(P5478)),Coef_A+Coef_B1*O5478+Coef_B2*P5478,"")</f>
        <v>20.4153303856886</v>
      </c>
      <c r="U5478" s="84" t="n">
        <f aca="false">IF(AND(R5478=1,ISNUMBER(T5478)),E5478-T5478,"")</f>
        <v>1.28466961431137</v>
      </c>
      <c r="V5478" s="84" t="n">
        <f aca="false">IF(ISNUMBER(T5478),T5478,-99)</f>
        <v>20.4153303856886</v>
      </c>
      <c r="W5478" s="84" t="n">
        <f aca="false">IF(ISNUMBER(U5478),ABS(U5478),"")</f>
        <v>1.28466961431137</v>
      </c>
    </row>
    <row r="5479" customFormat="false" ht="15" hidden="false" customHeight="false" outlineLevel="0" collapsed="false">
      <c r="A5479" s="57" t="n">
        <v>41882</v>
      </c>
      <c r="B5479" s="56" t="n">
        <v>2014</v>
      </c>
      <c r="C5479" s="56" t="n">
        <v>8</v>
      </c>
      <c r="D5479" s="56" t="n">
        <v>123</v>
      </c>
      <c r="E5479" s="56" t="n">
        <v>19.2</v>
      </c>
      <c r="F5479" s="56" t="n">
        <v>0</v>
      </c>
      <c r="G5479" s="56" t="n">
        <v>12.1</v>
      </c>
      <c r="H5479" s="56" t="n">
        <v>0</v>
      </c>
      <c r="I5479" s="56" t="n">
        <v>16.9</v>
      </c>
      <c r="J5479" s="56" t="n">
        <v>0</v>
      </c>
      <c r="K5479" s="56" t="n">
        <v>1018.2</v>
      </c>
      <c r="L5479" s="56" t="n">
        <v>0</v>
      </c>
      <c r="M5479" s="56" t="n">
        <v>67</v>
      </c>
      <c r="N5479" s="56" t="n">
        <v>8.6</v>
      </c>
      <c r="O5479" s="56" t="n">
        <f aca="false">IF(D5479=1,"",E5478)</f>
        <v>21.7</v>
      </c>
      <c r="P5479" s="56" t="n">
        <f aca="false">IF(OR(D5479=1,K5478=""),"",K5478)</f>
        <v>1015.2</v>
      </c>
      <c r="Q5479" s="56" t="n">
        <f aca="false">IF(OR(F5479&lt;&gt;0,AND(I5479&lt;&gt;"",E5479&lt;I5479)),1,0)</f>
        <v>0</v>
      </c>
      <c r="R5479" s="56" t="n">
        <f aca="false">IF(AND(D5479&gt;1,Q5479=0,ISNUMBER(O5479),ISNUMBER(P5479)),IF(Q5478=0,1,0),0)</f>
        <v>1</v>
      </c>
      <c r="S5479" s="56" t="n">
        <f aca="false">R5479*(B5479&gt;=Train_Start)*(B5479&lt;=Train_End)</f>
        <v>0</v>
      </c>
      <c r="T5479" s="84" t="n">
        <f aca="false">IF(AND(ISNUMBER(O5479),ISNUMBER(P5479)),Coef_A+Coef_B1*O5479+Coef_B2*P5479,"")</f>
        <v>21.7133529434474</v>
      </c>
      <c r="U5479" s="84" t="n">
        <f aca="false">IF(AND(R5479=1,ISNUMBER(T5479)),E5479-T5479,"")</f>
        <v>-2.5133529434474</v>
      </c>
      <c r="V5479" s="84" t="n">
        <f aca="false">IF(ISNUMBER(T5479),T5479,-99)</f>
        <v>21.7133529434474</v>
      </c>
      <c r="W5479" s="84" t="n">
        <f aca="false">IF(ISNUMBER(U5479),ABS(U5479),"")</f>
        <v>2.5133529434474</v>
      </c>
    </row>
    <row r="5480" customFormat="false" ht="15" hidden="false" customHeight="false" outlineLevel="0" collapsed="false">
      <c r="A5480" s="57" t="n">
        <v>41883</v>
      </c>
      <c r="B5480" s="56" t="n">
        <v>2014</v>
      </c>
      <c r="C5480" s="56" t="n">
        <v>9</v>
      </c>
      <c r="D5480" s="56" t="n">
        <v>124</v>
      </c>
      <c r="E5480" s="56" t="n">
        <v>22.9</v>
      </c>
      <c r="F5480" s="56" t="n">
        <v>0</v>
      </c>
      <c r="G5480" s="56" t="n">
        <v>12.3</v>
      </c>
      <c r="H5480" s="56" t="n">
        <v>0</v>
      </c>
      <c r="I5480" s="56" t="n">
        <v>15.8</v>
      </c>
      <c r="J5480" s="56" t="n">
        <v>0</v>
      </c>
      <c r="K5480" s="56" t="n">
        <v>1020.5</v>
      </c>
      <c r="L5480" s="56" t="n">
        <v>0</v>
      </c>
      <c r="M5480" s="56" t="n">
        <v>88</v>
      </c>
      <c r="N5480" s="56" t="n">
        <v>0.7</v>
      </c>
      <c r="O5480" s="56" t="n">
        <f aca="false">IF(D5480=1,"",E5479)</f>
        <v>19.2</v>
      </c>
      <c r="P5480" s="56" t="n">
        <f aca="false">IF(OR(D5480=1,K5479=""),"",K5479)</f>
        <v>1018.2</v>
      </c>
      <c r="Q5480" s="56" t="n">
        <f aca="false">IF(OR(F5480&lt;&gt;0,AND(I5480&lt;&gt;"",E5480&lt;I5480)),1,0)</f>
        <v>0</v>
      </c>
      <c r="R5480" s="56" t="n">
        <f aca="false">IF(AND(D5480&gt;1,Q5480=0,ISNUMBER(O5480),ISNUMBER(P5480)),IF(Q5479=0,1,0),0)</f>
        <v>1</v>
      </c>
      <c r="S5480" s="56" t="n">
        <f aca="false">R5480*(B5480&gt;=Train_Start)*(B5480&lt;=Train_End)</f>
        <v>0</v>
      </c>
      <c r="T5480" s="84" t="n">
        <f aca="false">IF(AND(ISNUMBER(O5480),ISNUMBER(P5480)),Coef_A+Coef_B1*O5480+Coef_B2*P5480,"")</f>
        <v>19.7591146447427</v>
      </c>
      <c r="U5480" s="84" t="n">
        <f aca="false">IF(AND(R5480=1,ISNUMBER(T5480)),E5480-T5480,"")</f>
        <v>3.14088535525728</v>
      </c>
      <c r="V5480" s="84" t="n">
        <f aca="false">IF(ISNUMBER(T5480),T5480,-99)</f>
        <v>19.7591146447427</v>
      </c>
      <c r="W5480" s="84" t="n">
        <f aca="false">IF(ISNUMBER(U5480),ABS(U5480),"")</f>
        <v>3.14088535525728</v>
      </c>
    </row>
    <row r="5481" customFormat="false" ht="15" hidden="false" customHeight="false" outlineLevel="0" collapsed="false">
      <c r="A5481" s="57" t="n">
        <v>41884</v>
      </c>
      <c r="B5481" s="56" t="n">
        <v>2014</v>
      </c>
      <c r="C5481" s="56" t="n">
        <v>9</v>
      </c>
      <c r="D5481" s="56" t="n">
        <v>125</v>
      </c>
      <c r="E5481" s="56" t="n">
        <v>23.6</v>
      </c>
      <c r="F5481" s="56" t="n">
        <v>0</v>
      </c>
      <c r="G5481" s="56" t="n">
        <v>12.2</v>
      </c>
      <c r="H5481" s="56" t="n">
        <v>0</v>
      </c>
      <c r="I5481" s="56" t="n">
        <v>17.6</v>
      </c>
      <c r="J5481" s="56" t="n">
        <v>0</v>
      </c>
      <c r="K5481" s="56" t="n">
        <v>1023</v>
      </c>
      <c r="L5481" s="56" t="n">
        <v>0</v>
      </c>
      <c r="M5481" s="56" t="n">
        <v>73</v>
      </c>
      <c r="N5481" s="56" t="n">
        <v>8.3</v>
      </c>
      <c r="O5481" s="56" t="n">
        <f aca="false">IF(D5481=1,"",E5480)</f>
        <v>22.9</v>
      </c>
      <c r="P5481" s="56" t="n">
        <f aca="false">IF(OR(D5481=1,K5480=""),"",K5480)</f>
        <v>1020.5</v>
      </c>
      <c r="Q5481" s="56" t="n">
        <f aca="false">IF(OR(F5481&lt;&gt;0,AND(I5481&lt;&gt;"",E5481&lt;I5481)),1,0)</f>
        <v>0</v>
      </c>
      <c r="R5481" s="56" t="n">
        <f aca="false">IF(AND(D5481&gt;1,Q5481=0,ISNUMBER(O5481),ISNUMBER(P5481)),IF(Q5480=0,1,0),0)</f>
        <v>1</v>
      </c>
      <c r="S5481" s="56" t="n">
        <f aca="false">R5481*(B5481&gt;=Train_Start)*(B5481&lt;=Train_End)</f>
        <v>0</v>
      </c>
      <c r="T5481" s="84" t="n">
        <f aca="false">IF(AND(ISNUMBER(O5481),ISNUMBER(P5481)),Coef_A+Coef_B1*O5481+Coef_B2*P5481,"")</f>
        <v>22.8628204166587</v>
      </c>
      <c r="U5481" s="84" t="n">
        <f aca="false">IF(AND(R5481=1,ISNUMBER(T5481)),E5481-T5481,"")</f>
        <v>0.73717958334127</v>
      </c>
      <c r="V5481" s="84" t="n">
        <f aca="false">IF(ISNUMBER(T5481),T5481,-99)</f>
        <v>22.8628204166587</v>
      </c>
      <c r="W5481" s="84" t="n">
        <f aca="false">IF(ISNUMBER(U5481),ABS(U5481),"")</f>
        <v>0.73717958334127</v>
      </c>
    </row>
    <row r="5482" customFormat="false" ht="15" hidden="false" customHeight="false" outlineLevel="0" collapsed="false">
      <c r="A5482" s="57" t="n">
        <v>41885</v>
      </c>
      <c r="B5482" s="56" t="n">
        <v>2014</v>
      </c>
      <c r="C5482" s="56" t="n">
        <v>9</v>
      </c>
      <c r="D5482" s="56" t="n">
        <v>126</v>
      </c>
      <c r="E5482" s="56" t="n">
        <v>21.3</v>
      </c>
      <c r="F5482" s="56" t="n">
        <v>0</v>
      </c>
      <c r="G5482" s="56" t="n">
        <v>14.4</v>
      </c>
      <c r="H5482" s="56" t="n">
        <v>0</v>
      </c>
      <c r="I5482" s="56" t="n">
        <v>19</v>
      </c>
      <c r="J5482" s="56" t="n">
        <v>0</v>
      </c>
      <c r="K5482" s="56" t="n">
        <v>1022.5</v>
      </c>
      <c r="L5482" s="56" t="n">
        <v>0</v>
      </c>
      <c r="M5482" s="56" t="n">
        <v>73</v>
      </c>
      <c r="N5482" s="56" t="n">
        <v>6.3</v>
      </c>
      <c r="O5482" s="56" t="n">
        <f aca="false">IF(D5482=1,"",E5481)</f>
        <v>23.6</v>
      </c>
      <c r="P5482" s="56" t="n">
        <f aca="false">IF(OR(D5482=1,K5481=""),"",K5481)</f>
        <v>1023</v>
      </c>
      <c r="Q5482" s="56" t="n">
        <f aca="false">IF(OR(F5482&lt;&gt;0,AND(I5482&lt;&gt;"",E5482&lt;I5482)),1,0)</f>
        <v>0</v>
      </c>
      <c r="R5482" s="56" t="n">
        <f aca="false">IF(AND(D5482&gt;1,Q5482=0,ISNUMBER(O5482),ISNUMBER(P5482)),IF(Q5481=0,1,0),0)</f>
        <v>1</v>
      </c>
      <c r="S5482" s="56" t="n">
        <f aca="false">R5482*(B5482&gt;=Train_Start)*(B5482&lt;=Train_End)</f>
        <v>0</v>
      </c>
      <c r="T5482" s="84" t="n">
        <f aca="false">IF(AND(ISNUMBER(O5482),ISNUMBER(P5482)),Coef_A+Coef_B1*O5482+Coef_B2*P5482,"")</f>
        <v>23.5147825883736</v>
      </c>
      <c r="U5482" s="84" t="n">
        <f aca="false">IF(AND(R5482=1,ISNUMBER(T5482)),E5482-T5482,"")</f>
        <v>-2.21478258837357</v>
      </c>
      <c r="V5482" s="84" t="n">
        <f aca="false">IF(ISNUMBER(T5482),T5482,-99)</f>
        <v>23.5147825883736</v>
      </c>
      <c r="W5482" s="84" t="n">
        <f aca="false">IF(ISNUMBER(U5482),ABS(U5482),"")</f>
        <v>2.21478258837357</v>
      </c>
    </row>
    <row r="5483" customFormat="false" ht="15" hidden="false" customHeight="false" outlineLevel="0" collapsed="false">
      <c r="A5483" s="57" t="n">
        <v>41886</v>
      </c>
      <c r="B5483" s="56" t="n">
        <v>2014</v>
      </c>
      <c r="C5483" s="56" t="n">
        <v>9</v>
      </c>
      <c r="D5483" s="56" t="n">
        <v>127</v>
      </c>
      <c r="E5483" s="56" t="n">
        <v>20.7</v>
      </c>
      <c r="F5483" s="56" t="n">
        <v>0</v>
      </c>
      <c r="G5483" s="56" t="n">
        <v>13.5</v>
      </c>
      <c r="H5483" s="56" t="n">
        <v>0</v>
      </c>
      <c r="I5483" s="56" t="n">
        <v>17.4</v>
      </c>
      <c r="J5483" s="56" t="n">
        <v>0</v>
      </c>
      <c r="K5483" s="56" t="n">
        <v>1018.7</v>
      </c>
      <c r="L5483" s="56" t="n">
        <v>0</v>
      </c>
      <c r="M5483" s="56" t="n">
        <v>76</v>
      </c>
      <c r="N5483" s="56" t="n">
        <v>1.9</v>
      </c>
      <c r="O5483" s="56" t="n">
        <f aca="false">IF(D5483=1,"",E5482)</f>
        <v>21.3</v>
      </c>
      <c r="P5483" s="56" t="n">
        <f aca="false">IF(OR(D5483=1,K5482=""),"",K5482)</f>
        <v>1022.5</v>
      </c>
      <c r="Q5483" s="56" t="n">
        <f aca="false">IF(OR(F5483&lt;&gt;0,AND(I5483&lt;&gt;"",E5483&lt;I5483)),1,0)</f>
        <v>0</v>
      </c>
      <c r="R5483" s="56" t="n">
        <f aca="false">IF(AND(D5483&gt;1,Q5483=0,ISNUMBER(O5483),ISNUMBER(P5483)),IF(Q5482=0,1,0),0)</f>
        <v>1</v>
      </c>
      <c r="S5483" s="56" t="n">
        <f aca="false">R5483*(B5483&gt;=Train_Start)*(B5483&lt;=Train_End)</f>
        <v>0</v>
      </c>
      <c r="T5483" s="84" t="n">
        <f aca="false">IF(AND(ISNUMBER(O5483),ISNUMBER(P5483)),Coef_A+Coef_B1*O5483+Coef_B2*P5483,"")</f>
        <v>21.6146174970585</v>
      </c>
      <c r="U5483" s="84" t="n">
        <f aca="false">IF(AND(R5483=1,ISNUMBER(T5483)),E5483-T5483,"")</f>
        <v>-0.914617497058462</v>
      </c>
      <c r="V5483" s="84" t="n">
        <f aca="false">IF(ISNUMBER(T5483),T5483,-99)</f>
        <v>21.6146174970585</v>
      </c>
      <c r="W5483" s="84" t="n">
        <f aca="false">IF(ISNUMBER(U5483),ABS(U5483),"")</f>
        <v>0.914617497058462</v>
      </c>
    </row>
    <row r="5484" customFormat="false" ht="15" hidden="false" customHeight="false" outlineLevel="0" collapsed="false">
      <c r="A5484" s="57" t="n">
        <v>41887</v>
      </c>
      <c r="B5484" s="56" t="n">
        <v>2014</v>
      </c>
      <c r="C5484" s="56" t="n">
        <v>9</v>
      </c>
      <c r="D5484" s="56" t="n">
        <v>128</v>
      </c>
      <c r="E5484" s="56" t="n">
        <v>21.8</v>
      </c>
      <c r="F5484" s="56" t="n">
        <v>0</v>
      </c>
      <c r="G5484" s="56" t="n">
        <v>16.1</v>
      </c>
      <c r="H5484" s="56" t="n">
        <v>0</v>
      </c>
      <c r="I5484" s="56" t="n">
        <v>18.4</v>
      </c>
      <c r="J5484" s="56" t="n">
        <v>0</v>
      </c>
      <c r="K5484" s="56" t="n">
        <v>1016.1</v>
      </c>
      <c r="L5484" s="56" t="n">
        <v>0</v>
      </c>
      <c r="M5484" s="56" t="n">
        <v>72</v>
      </c>
      <c r="N5484" s="56" t="n">
        <v>1.3</v>
      </c>
      <c r="O5484" s="56" t="n">
        <f aca="false">IF(D5484=1,"",E5483)</f>
        <v>20.7</v>
      </c>
      <c r="P5484" s="56" t="n">
        <f aca="false">IF(OR(D5484=1,K5483=""),"",K5483)</f>
        <v>1018.7</v>
      </c>
      <c r="Q5484" s="56" t="n">
        <f aca="false">IF(OR(F5484&lt;&gt;0,AND(I5484&lt;&gt;"",E5484&lt;I5484)),1,0)</f>
        <v>0</v>
      </c>
      <c r="R5484" s="56" t="n">
        <f aca="false">IF(AND(D5484&gt;1,Q5484=0,ISNUMBER(O5484),ISNUMBER(P5484)),IF(Q5483=0,1,0),0)</f>
        <v>1</v>
      </c>
      <c r="S5484" s="56" t="n">
        <f aca="false">R5484*(B5484&gt;=Train_Start)*(B5484&lt;=Train_End)</f>
        <v>0</v>
      </c>
      <c r="T5484" s="84" t="n">
        <f aca="false">IF(AND(ISNUMBER(O5484),ISNUMBER(P5484)),Coef_A+Coef_B1*O5484+Coef_B2*P5484,"")</f>
        <v>21.0038083816237</v>
      </c>
      <c r="U5484" s="84" t="n">
        <f aca="false">IF(AND(R5484=1,ISNUMBER(T5484)),E5484-T5484,"")</f>
        <v>0.796191618376295</v>
      </c>
      <c r="V5484" s="84" t="n">
        <f aca="false">IF(ISNUMBER(T5484),T5484,-99)</f>
        <v>21.0038083816237</v>
      </c>
      <c r="W5484" s="84" t="n">
        <f aca="false">IF(ISNUMBER(U5484),ABS(U5484),"")</f>
        <v>0.796191618376295</v>
      </c>
    </row>
    <row r="5485" customFormat="false" ht="15" hidden="false" customHeight="false" outlineLevel="0" collapsed="false">
      <c r="A5485" s="57" t="n">
        <v>41888</v>
      </c>
      <c r="B5485" s="56" t="n">
        <v>2014</v>
      </c>
      <c r="C5485" s="56" t="n">
        <v>9</v>
      </c>
      <c r="D5485" s="56" t="n">
        <v>129</v>
      </c>
      <c r="E5485" s="56" t="n">
        <v>21.6</v>
      </c>
      <c r="F5485" s="56" t="n">
        <v>0</v>
      </c>
      <c r="G5485" s="56" t="n">
        <v>16.2</v>
      </c>
      <c r="H5485" s="56" t="n">
        <v>0</v>
      </c>
      <c r="I5485" s="56" t="n">
        <v>19</v>
      </c>
      <c r="J5485" s="56" t="n">
        <v>0</v>
      </c>
      <c r="K5485" s="56" t="n">
        <v>1014.3</v>
      </c>
      <c r="L5485" s="56" t="n">
        <v>0</v>
      </c>
      <c r="M5485" s="56" t="n">
        <v>73</v>
      </c>
      <c r="N5485" s="56" t="n">
        <v>2</v>
      </c>
      <c r="O5485" s="56" t="n">
        <f aca="false">IF(D5485=1,"",E5484)</f>
        <v>21.8</v>
      </c>
      <c r="P5485" s="56" t="n">
        <f aca="false">IF(OR(D5485=1,K5484=""),"",K5484)</f>
        <v>1016.1</v>
      </c>
      <c r="Q5485" s="56" t="n">
        <f aca="false">IF(OR(F5485&lt;&gt;0,AND(I5485&lt;&gt;"",E5485&lt;I5485)),1,0)</f>
        <v>0</v>
      </c>
      <c r="R5485" s="56" t="n">
        <f aca="false">IF(AND(D5485&gt;1,Q5485=0,ISNUMBER(O5485),ISNUMBER(P5485)),IF(Q5484=0,1,0),0)</f>
        <v>1</v>
      </c>
      <c r="S5485" s="56" t="n">
        <f aca="false">R5485*(B5485&gt;=Train_Start)*(B5485&lt;=Train_End)</f>
        <v>0</v>
      </c>
      <c r="T5485" s="84" t="n">
        <f aca="false">IF(AND(ISNUMBER(O5485),ISNUMBER(P5485)),Coef_A+Coef_B1*O5485+Coef_B2*P5485,"")</f>
        <v>21.8235197679223</v>
      </c>
      <c r="U5485" s="84" t="n">
        <f aca="false">IF(AND(R5485=1,ISNUMBER(T5485)),E5485-T5485,"")</f>
        <v>-0.223519767922255</v>
      </c>
      <c r="V5485" s="84" t="n">
        <f aca="false">IF(ISNUMBER(T5485),T5485,-99)</f>
        <v>21.8235197679223</v>
      </c>
      <c r="W5485" s="84" t="n">
        <f aca="false">IF(ISNUMBER(U5485),ABS(U5485),"")</f>
        <v>0.223519767922255</v>
      </c>
    </row>
    <row r="5486" customFormat="false" ht="15" hidden="false" customHeight="false" outlineLevel="0" collapsed="false">
      <c r="A5486" s="57" t="n">
        <v>41889</v>
      </c>
      <c r="B5486" s="56" t="n">
        <v>2014</v>
      </c>
      <c r="C5486" s="56" t="n">
        <v>9</v>
      </c>
      <c r="D5486" s="56" t="n">
        <v>130</v>
      </c>
      <c r="E5486" s="56" t="n">
        <v>22.5</v>
      </c>
      <c r="F5486" s="56" t="n">
        <v>0</v>
      </c>
      <c r="G5486" s="56" t="n">
        <v>13.5</v>
      </c>
      <c r="H5486" s="56" t="n">
        <v>0</v>
      </c>
      <c r="I5486" s="56" t="n">
        <v>17.6</v>
      </c>
      <c r="J5486" s="56" t="n">
        <v>0</v>
      </c>
      <c r="K5486" s="56" t="n">
        <v>1015.9</v>
      </c>
      <c r="L5486" s="56" t="n">
        <v>0</v>
      </c>
      <c r="M5486" s="56" t="n">
        <v>70</v>
      </c>
      <c r="N5486" s="56" t="n">
        <v>5.1</v>
      </c>
      <c r="O5486" s="56" t="n">
        <f aca="false">IF(D5486=1,"",E5485)</f>
        <v>21.6</v>
      </c>
      <c r="P5486" s="56" t="n">
        <f aca="false">IF(OR(D5486=1,K5485=""),"",K5485)</f>
        <v>1014.3</v>
      </c>
      <c r="Q5486" s="56" t="n">
        <f aca="false">IF(OR(F5486&lt;&gt;0,AND(I5486&lt;&gt;"",E5486&lt;I5486)),1,0)</f>
        <v>0</v>
      </c>
      <c r="R5486" s="56" t="n">
        <f aca="false">IF(AND(D5486&gt;1,Q5486=0,ISNUMBER(O5486),ISNUMBER(P5486)),IF(Q5485=0,1,0),0)</f>
        <v>1</v>
      </c>
      <c r="S5486" s="56" t="n">
        <f aca="false">R5486*(B5486&gt;=Train_Start)*(B5486&lt;=Train_End)</f>
        <v>0</v>
      </c>
      <c r="T5486" s="84" t="n">
        <f aca="false">IF(AND(ISNUMBER(O5486),ISNUMBER(P5486)),Coef_A+Coef_B1*O5486+Coef_B2*P5486,"")</f>
        <v>21.6031861189725</v>
      </c>
      <c r="U5486" s="84" t="n">
        <f aca="false">IF(AND(R5486=1,ISNUMBER(T5486)),E5486-T5486,"")</f>
        <v>0.896813881027459</v>
      </c>
      <c r="V5486" s="84" t="n">
        <f aca="false">IF(ISNUMBER(T5486),T5486,-99)</f>
        <v>21.6031861189725</v>
      </c>
      <c r="W5486" s="84" t="n">
        <f aca="false">IF(ISNUMBER(U5486),ABS(U5486),"")</f>
        <v>0.896813881027459</v>
      </c>
    </row>
    <row r="5487" customFormat="false" ht="15" hidden="false" customHeight="false" outlineLevel="0" collapsed="false">
      <c r="A5487" s="57" t="n">
        <v>41890</v>
      </c>
      <c r="B5487" s="56" t="n">
        <v>2014</v>
      </c>
      <c r="C5487" s="56" t="n">
        <v>9</v>
      </c>
      <c r="D5487" s="56" t="n">
        <v>131</v>
      </c>
      <c r="E5487" s="56" t="n">
        <v>22.4</v>
      </c>
      <c r="F5487" s="56" t="n">
        <v>0</v>
      </c>
      <c r="G5487" s="56" t="n">
        <v>10</v>
      </c>
      <c r="H5487" s="56" t="n">
        <v>0</v>
      </c>
      <c r="I5487" s="56" t="n">
        <v>16.3</v>
      </c>
      <c r="J5487" s="56" t="n">
        <v>0</v>
      </c>
      <c r="K5487" s="56" t="n">
        <v>1019.3</v>
      </c>
      <c r="L5487" s="56" t="n">
        <v>0</v>
      </c>
      <c r="M5487" s="56" t="n">
        <v>64</v>
      </c>
      <c r="N5487" s="56" t="n">
        <v>11.6</v>
      </c>
      <c r="O5487" s="56" t="n">
        <f aca="false">IF(D5487=1,"",E5486)</f>
        <v>22.5</v>
      </c>
      <c r="P5487" s="56" t="n">
        <f aca="false">IF(OR(D5487=1,K5486=""),"",K5486)</f>
        <v>1015.9</v>
      </c>
      <c r="Q5487" s="56" t="n">
        <f aca="false">IF(OR(F5487&lt;&gt;0,AND(I5487&lt;&gt;"",E5487&lt;I5487)),1,0)</f>
        <v>0</v>
      </c>
      <c r="R5487" s="56" t="n">
        <f aca="false">IF(AND(D5487&gt;1,Q5487=0,ISNUMBER(O5487),ISNUMBER(P5487)),IF(Q5486=0,1,0),0)</f>
        <v>1</v>
      </c>
      <c r="S5487" s="56" t="n">
        <f aca="false">R5487*(B5487&gt;=Train_Start)*(B5487&lt;=Train_End)</f>
        <v>0</v>
      </c>
      <c r="T5487" s="84" t="n">
        <f aca="false">IF(AND(ISNUMBER(O5487),ISNUMBER(P5487)),Coef_A+Coef_B1*O5487+Coef_B2*P5487,"")</f>
        <v>22.3907832241253</v>
      </c>
      <c r="U5487" s="84" t="n">
        <f aca="false">IF(AND(R5487=1,ISNUMBER(T5487)),E5487-T5487,"")</f>
        <v>0.00921677587468039</v>
      </c>
      <c r="V5487" s="84" t="n">
        <f aca="false">IF(ISNUMBER(T5487),T5487,-99)</f>
        <v>22.3907832241253</v>
      </c>
      <c r="W5487" s="84" t="n">
        <f aca="false">IF(ISNUMBER(U5487),ABS(U5487),"")</f>
        <v>0.00921677587468039</v>
      </c>
    </row>
    <row r="5488" customFormat="false" ht="15" hidden="false" customHeight="false" outlineLevel="0" collapsed="false">
      <c r="A5488" s="57" t="n">
        <v>41891</v>
      </c>
      <c r="B5488" s="56" t="n">
        <v>2014</v>
      </c>
      <c r="C5488" s="56" t="n">
        <v>9</v>
      </c>
      <c r="D5488" s="56" t="n">
        <v>132</v>
      </c>
      <c r="E5488" s="56" t="n">
        <v>21.2</v>
      </c>
      <c r="F5488" s="56" t="n">
        <v>0</v>
      </c>
      <c r="G5488" s="56" t="n">
        <v>11.9</v>
      </c>
      <c r="H5488" s="56" t="n">
        <v>0</v>
      </c>
      <c r="I5488" s="56" t="n">
        <v>17.2</v>
      </c>
      <c r="J5488" s="56" t="n">
        <v>0</v>
      </c>
      <c r="K5488" s="56" t="n">
        <v>1021.4</v>
      </c>
      <c r="L5488" s="56" t="n">
        <v>0</v>
      </c>
      <c r="M5488" s="56" t="n">
        <v>65</v>
      </c>
      <c r="N5488" s="56" t="n">
        <v>8.6</v>
      </c>
      <c r="O5488" s="56" t="n">
        <f aca="false">IF(D5488=1,"",E5487)</f>
        <v>22.4</v>
      </c>
      <c r="P5488" s="56" t="n">
        <f aca="false">IF(OR(D5488=1,K5487=""),"",K5487)</f>
        <v>1019.3</v>
      </c>
      <c r="Q5488" s="56" t="n">
        <f aca="false">IF(OR(F5488&lt;&gt;0,AND(I5488&lt;&gt;"",E5488&lt;I5488)),1,0)</f>
        <v>0</v>
      </c>
      <c r="R5488" s="56" t="n">
        <f aca="false">IF(AND(D5488&gt;1,Q5488=0,ISNUMBER(O5488),ISNUMBER(P5488)),IF(Q5487=0,1,0),0)</f>
        <v>1</v>
      </c>
      <c r="S5488" s="56" t="n">
        <f aca="false">R5488*(B5488&gt;=Train_Start)*(B5488&lt;=Train_End)</f>
        <v>0</v>
      </c>
      <c r="T5488" s="84" t="n">
        <f aca="false">IF(AND(ISNUMBER(O5488),ISNUMBER(P5488)),Coef_A+Coef_B1*O5488+Coef_B2*P5488,"")</f>
        <v>22.4155069465766</v>
      </c>
      <c r="U5488" s="84" t="n">
        <f aca="false">IF(AND(R5488=1,ISNUMBER(T5488)),E5488-T5488,"")</f>
        <v>-1.21550694657661</v>
      </c>
      <c r="V5488" s="84" t="n">
        <f aca="false">IF(ISNUMBER(T5488),T5488,-99)</f>
        <v>22.4155069465766</v>
      </c>
      <c r="W5488" s="84" t="n">
        <f aca="false">IF(ISNUMBER(U5488),ABS(U5488),"")</f>
        <v>1.21550694657661</v>
      </c>
    </row>
    <row r="5489" customFormat="false" ht="15" hidden="false" customHeight="false" outlineLevel="0" collapsed="false">
      <c r="A5489" s="57" t="n">
        <v>41892</v>
      </c>
      <c r="B5489" s="56" t="n">
        <v>2014</v>
      </c>
      <c r="C5489" s="56" t="n">
        <v>9</v>
      </c>
      <c r="D5489" s="56" t="n">
        <v>133</v>
      </c>
      <c r="E5489" s="56" t="n">
        <v>18.5</v>
      </c>
      <c r="F5489" s="56" t="n">
        <v>0</v>
      </c>
      <c r="G5489" s="56" t="n">
        <v>11.4</v>
      </c>
      <c r="H5489" s="56" t="n">
        <v>0</v>
      </c>
      <c r="I5489" s="56" t="n">
        <v>16.3</v>
      </c>
      <c r="J5489" s="56" t="n">
        <v>0</v>
      </c>
      <c r="K5489" s="56" t="n">
        <v>1021.7</v>
      </c>
      <c r="L5489" s="56" t="n">
        <v>0</v>
      </c>
      <c r="M5489" s="56" t="n">
        <v>69</v>
      </c>
      <c r="N5489" s="56" t="n">
        <v>9.9</v>
      </c>
      <c r="O5489" s="56" t="n">
        <f aca="false">IF(D5489=1,"",E5488)</f>
        <v>21.2</v>
      </c>
      <c r="P5489" s="56" t="n">
        <f aca="false">IF(OR(D5489=1,K5488=""),"",K5488)</f>
        <v>1021.4</v>
      </c>
      <c r="Q5489" s="56" t="n">
        <f aca="false">IF(OR(F5489&lt;&gt;0,AND(I5489&lt;&gt;"",E5489&lt;I5489)),1,0)</f>
        <v>0</v>
      </c>
      <c r="R5489" s="56" t="n">
        <f aca="false">IF(AND(D5489&gt;1,Q5489=0,ISNUMBER(O5489),ISNUMBER(P5489)),IF(Q5488=0,1,0),0)</f>
        <v>1</v>
      </c>
      <c r="S5489" s="56" t="n">
        <f aca="false">R5489*(B5489&gt;=Train_Start)*(B5489&lt;=Train_End)</f>
        <v>0</v>
      </c>
      <c r="T5489" s="84" t="n">
        <f aca="false">IF(AND(ISNUMBER(O5489),ISNUMBER(P5489)),Coef_A+Coef_B1*O5489+Coef_B2*P5489,"")</f>
        <v>21.4981766936568</v>
      </c>
      <c r="U5489" s="84" t="n">
        <f aca="false">IF(AND(R5489=1,ISNUMBER(T5489)),E5489-T5489,"")</f>
        <v>-2.99817669365681</v>
      </c>
      <c r="V5489" s="84" t="n">
        <f aca="false">IF(ISNUMBER(T5489),T5489,-99)</f>
        <v>21.4981766936568</v>
      </c>
      <c r="W5489" s="84" t="n">
        <f aca="false">IF(ISNUMBER(U5489),ABS(U5489),"")</f>
        <v>2.99817669365681</v>
      </c>
    </row>
    <row r="5490" customFormat="false" ht="15" hidden="false" customHeight="false" outlineLevel="0" collapsed="false">
      <c r="A5490" s="57" t="n">
        <v>41893</v>
      </c>
      <c r="B5490" s="56" t="n">
        <v>2014</v>
      </c>
      <c r="C5490" s="56" t="n">
        <v>9</v>
      </c>
      <c r="D5490" s="56" t="n">
        <v>134</v>
      </c>
      <c r="E5490" s="56" t="n">
        <v>23.5</v>
      </c>
      <c r="F5490" s="56" t="n">
        <v>0</v>
      </c>
      <c r="G5490" s="56" t="n">
        <v>10.3</v>
      </c>
      <c r="H5490" s="56" t="n">
        <v>0</v>
      </c>
      <c r="I5490" s="56" t="n">
        <v>14.4</v>
      </c>
      <c r="J5490" s="56" t="n">
        <v>0</v>
      </c>
      <c r="K5490" s="56" t="n">
        <v>1022.4</v>
      </c>
      <c r="L5490" s="56" t="n">
        <v>0</v>
      </c>
      <c r="M5490" s="56" t="n">
        <v>70</v>
      </c>
      <c r="N5490" s="56" t="n">
        <v>0</v>
      </c>
      <c r="O5490" s="56" t="n">
        <f aca="false">IF(D5490=1,"",E5489)</f>
        <v>18.5</v>
      </c>
      <c r="P5490" s="56" t="n">
        <f aca="false">IF(OR(D5490=1,K5489=""),"",K5489)</f>
        <v>1021.7</v>
      </c>
      <c r="Q5490" s="56" t="n">
        <f aca="false">IF(OR(F5490&lt;&gt;0,AND(I5490&lt;&gt;"",E5490&lt;I5490)),1,0)</f>
        <v>0</v>
      </c>
      <c r="R5490" s="56" t="n">
        <f aca="false">IF(AND(D5490&gt;1,Q5490=0,ISNUMBER(O5490),ISNUMBER(P5490)),IF(Q5489=0,1,0),0)</f>
        <v>1</v>
      </c>
      <c r="S5490" s="56" t="n">
        <f aca="false">R5490*(B5490&gt;=Train_Start)*(B5490&lt;=Train_End)</f>
        <v>0</v>
      </c>
      <c r="T5490" s="84" t="n">
        <f aca="false">IF(AND(ISNUMBER(O5490),ISNUMBER(P5490)),Coef_A+Coef_B1*O5490+Coef_B2*P5490,"")</f>
        <v>19.2953718408318</v>
      </c>
      <c r="U5490" s="84" t="n">
        <f aca="false">IF(AND(R5490=1,ISNUMBER(T5490)),E5490-T5490,"")</f>
        <v>4.20462815916817</v>
      </c>
      <c r="V5490" s="84" t="n">
        <f aca="false">IF(ISNUMBER(T5490),T5490,-99)</f>
        <v>19.2953718408318</v>
      </c>
      <c r="W5490" s="84" t="n">
        <f aca="false">IF(ISNUMBER(U5490),ABS(U5490),"")</f>
        <v>4.20462815916817</v>
      </c>
    </row>
    <row r="5491" customFormat="false" ht="15" hidden="false" customHeight="false" outlineLevel="0" collapsed="false">
      <c r="A5491" s="57" t="n">
        <v>41894</v>
      </c>
      <c r="B5491" s="56" t="n">
        <v>2014</v>
      </c>
      <c r="C5491" s="56" t="n">
        <v>9</v>
      </c>
      <c r="D5491" s="56" t="n">
        <v>135</v>
      </c>
      <c r="E5491" s="56" t="n">
        <v>21.3</v>
      </c>
      <c r="F5491" s="56" t="n">
        <v>0</v>
      </c>
      <c r="G5491" s="56" t="n">
        <v>12.8</v>
      </c>
      <c r="H5491" s="56" t="n">
        <v>0</v>
      </c>
      <c r="I5491" s="56" t="n">
        <v>18.2</v>
      </c>
      <c r="J5491" s="56" t="n">
        <v>0</v>
      </c>
      <c r="K5491" s="56" t="n">
        <v>1024.4</v>
      </c>
      <c r="L5491" s="56" t="n">
        <v>0</v>
      </c>
      <c r="M5491" s="56" t="n">
        <v>71</v>
      </c>
      <c r="N5491" s="56" t="n">
        <v>8</v>
      </c>
      <c r="O5491" s="56" t="n">
        <f aca="false">IF(D5491=1,"",E5490)</f>
        <v>23.5</v>
      </c>
      <c r="P5491" s="56" t="n">
        <f aca="false">IF(OR(D5491=1,K5490=""),"",K5490)</f>
        <v>1022.4</v>
      </c>
      <c r="Q5491" s="56" t="n">
        <f aca="false">IF(OR(F5491&lt;&gt;0,AND(I5491&lt;&gt;"",E5491&lt;I5491)),1,0)</f>
        <v>0</v>
      </c>
      <c r="R5491" s="56" t="n">
        <f aca="false">IF(AND(D5491&gt;1,Q5491=0,ISNUMBER(O5491),ISNUMBER(P5491)),IF(Q5490=0,1,0),0)</f>
        <v>1</v>
      </c>
      <c r="S5491" s="56" t="n">
        <f aca="false">R5491*(B5491&gt;=Train_Start)*(B5491&lt;=Train_End)</f>
        <v>0</v>
      </c>
      <c r="T5491" s="84" t="n">
        <f aca="false">IF(AND(ISNUMBER(O5491),ISNUMBER(P5491)),Coef_A+Coef_B1*O5491+Coef_B2*P5491,"")</f>
        <v>23.4140267322889</v>
      </c>
      <c r="U5491" s="84" t="n">
        <f aca="false">IF(AND(R5491=1,ISNUMBER(T5491)),E5491-T5491,"")</f>
        <v>-2.11402673228891</v>
      </c>
      <c r="V5491" s="84" t="n">
        <f aca="false">IF(ISNUMBER(T5491),T5491,-99)</f>
        <v>23.4140267322889</v>
      </c>
      <c r="W5491" s="84" t="n">
        <f aca="false">IF(ISNUMBER(U5491),ABS(U5491),"")</f>
        <v>2.11402673228891</v>
      </c>
    </row>
    <row r="5492" customFormat="false" ht="15" hidden="false" customHeight="false" outlineLevel="0" collapsed="false">
      <c r="A5492" s="57" t="n">
        <v>41895</v>
      </c>
      <c r="B5492" s="56" t="n">
        <v>2014</v>
      </c>
      <c r="C5492" s="56" t="n">
        <v>9</v>
      </c>
      <c r="D5492" s="56" t="n">
        <v>136</v>
      </c>
      <c r="E5492" s="56" t="n">
        <v>21.4</v>
      </c>
      <c r="F5492" s="56" t="n">
        <v>0</v>
      </c>
      <c r="G5492" s="56" t="n">
        <v>12.2</v>
      </c>
      <c r="H5492" s="56" t="n">
        <v>0</v>
      </c>
      <c r="I5492" s="56" t="n">
        <v>16.8</v>
      </c>
      <c r="J5492" s="56" t="n">
        <v>0</v>
      </c>
      <c r="K5492" s="56" t="n">
        <v>1026.4</v>
      </c>
      <c r="L5492" s="56" t="n">
        <v>0</v>
      </c>
      <c r="M5492" s="56" t="n">
        <v>75</v>
      </c>
      <c r="N5492" s="56" t="n">
        <v>1.9</v>
      </c>
      <c r="O5492" s="56" t="n">
        <f aca="false">IF(D5492=1,"",E5491)</f>
        <v>21.3</v>
      </c>
      <c r="P5492" s="56" t="n">
        <f aca="false">IF(OR(D5492=1,K5491=""),"",K5491)</f>
        <v>1024.4</v>
      </c>
      <c r="Q5492" s="56" t="n">
        <f aca="false">IF(OR(F5492&lt;&gt;0,AND(I5492&lt;&gt;"",E5492&lt;I5492)),1,0)</f>
        <v>0</v>
      </c>
      <c r="R5492" s="56" t="n">
        <f aca="false">IF(AND(D5492&gt;1,Q5492=0,ISNUMBER(O5492),ISNUMBER(P5492)),IF(Q5491=0,1,0),0)</f>
        <v>1</v>
      </c>
      <c r="S5492" s="56" t="n">
        <f aca="false">R5492*(B5492&gt;=Train_Start)*(B5492&lt;=Train_End)</f>
        <v>0</v>
      </c>
      <c r="T5492" s="84" t="n">
        <f aca="false">IF(AND(ISNUMBER(O5492),ISNUMBER(P5492)),Coef_A+Coef_B1*O5492+Coef_B2*P5492,"")</f>
        <v>21.674220296863</v>
      </c>
      <c r="U5492" s="84" t="n">
        <f aca="false">IF(AND(R5492=1,ISNUMBER(T5492)),E5492-T5492,"")</f>
        <v>-0.274220296863042</v>
      </c>
      <c r="V5492" s="84" t="n">
        <f aca="false">IF(ISNUMBER(T5492),T5492,-99)</f>
        <v>21.674220296863</v>
      </c>
      <c r="W5492" s="84" t="n">
        <f aca="false">IF(ISNUMBER(U5492),ABS(U5492),"")</f>
        <v>0.274220296863042</v>
      </c>
    </row>
    <row r="5493" customFormat="false" ht="15" hidden="false" customHeight="false" outlineLevel="0" collapsed="false">
      <c r="A5493" s="57" t="n">
        <v>41896</v>
      </c>
      <c r="B5493" s="56" t="n">
        <v>2014</v>
      </c>
      <c r="C5493" s="56" t="n">
        <v>9</v>
      </c>
      <c r="D5493" s="56" t="n">
        <v>137</v>
      </c>
      <c r="E5493" s="56" t="n">
        <v>22.1</v>
      </c>
      <c r="F5493" s="56" t="n">
        <v>0</v>
      </c>
      <c r="G5493" s="56" t="n">
        <v>12.2</v>
      </c>
      <c r="H5493" s="56" t="n">
        <v>0</v>
      </c>
      <c r="I5493" s="56" t="n">
        <v>16.8</v>
      </c>
      <c r="J5493" s="56" t="n">
        <v>0</v>
      </c>
      <c r="K5493" s="56" t="n">
        <v>1022.5</v>
      </c>
      <c r="L5493" s="56" t="n">
        <v>0</v>
      </c>
      <c r="M5493" s="56" t="n">
        <v>73</v>
      </c>
      <c r="N5493" s="56" t="n">
        <v>5.1</v>
      </c>
      <c r="O5493" s="56" t="n">
        <f aca="false">IF(D5493=1,"",E5492)</f>
        <v>21.4</v>
      </c>
      <c r="P5493" s="56" t="n">
        <f aca="false">IF(OR(D5493=1,K5492=""),"",K5492)</f>
        <v>1026.4</v>
      </c>
      <c r="Q5493" s="56" t="n">
        <f aca="false">IF(OR(F5493&lt;&gt;0,AND(I5493&lt;&gt;"",E5493&lt;I5493)),1,0)</f>
        <v>0</v>
      </c>
      <c r="R5493" s="56" t="n">
        <f aca="false">IF(AND(D5493&gt;1,Q5493=0,ISNUMBER(O5493),ISNUMBER(P5493)),IF(Q5492=0,1,0),0)</f>
        <v>1</v>
      </c>
      <c r="S5493" s="56" t="n">
        <f aca="false">R5493*(B5493&gt;=Train_Start)*(B5493&lt;=Train_End)</f>
        <v>0</v>
      </c>
      <c r="T5493" s="84" t="n">
        <f aca="false">IF(AND(ISNUMBER(O5493),ISNUMBER(P5493)),Coef_A+Coef_B1*O5493+Coef_B2*P5493,"")</f>
        <v>21.8188940054353</v>
      </c>
      <c r="U5493" s="84" t="n">
        <f aca="false">IF(AND(R5493=1,ISNUMBER(T5493)),E5493-T5493,"")</f>
        <v>0.281105994564715</v>
      </c>
      <c r="V5493" s="84" t="n">
        <f aca="false">IF(ISNUMBER(T5493),T5493,-99)</f>
        <v>21.8188940054353</v>
      </c>
      <c r="W5493" s="84" t="n">
        <f aca="false">IF(ISNUMBER(U5493),ABS(U5493),"")</f>
        <v>0.281105994564715</v>
      </c>
    </row>
    <row r="5494" customFormat="false" ht="15" hidden="false" customHeight="false" outlineLevel="0" collapsed="false">
      <c r="A5494" s="57" t="n">
        <v>41897</v>
      </c>
      <c r="B5494" s="56" t="n">
        <v>2014</v>
      </c>
      <c r="C5494" s="56" t="n">
        <v>9</v>
      </c>
      <c r="D5494" s="56" t="n">
        <v>138</v>
      </c>
      <c r="E5494" s="56" t="n">
        <v>23.8</v>
      </c>
      <c r="F5494" s="56" t="n">
        <v>0</v>
      </c>
      <c r="G5494" s="56" t="n">
        <v>12.1</v>
      </c>
      <c r="H5494" s="56" t="n">
        <v>0</v>
      </c>
      <c r="I5494" s="56" t="n">
        <v>17.1</v>
      </c>
      <c r="J5494" s="56" t="n">
        <v>0</v>
      </c>
      <c r="K5494" s="56" t="n">
        <v>1017.1</v>
      </c>
      <c r="L5494" s="56" t="n">
        <v>0</v>
      </c>
      <c r="M5494" s="56" t="n">
        <v>75</v>
      </c>
      <c r="N5494" s="56" t="n">
        <v>4.7</v>
      </c>
      <c r="O5494" s="56" t="n">
        <f aca="false">IF(D5494=1,"",E5493)</f>
        <v>22.1</v>
      </c>
      <c r="P5494" s="56" t="n">
        <f aca="false">IF(OR(D5494=1,K5493=""),"",K5493)</f>
        <v>1022.5</v>
      </c>
      <c r="Q5494" s="56" t="n">
        <f aca="false">IF(OR(F5494&lt;&gt;0,AND(I5494&lt;&gt;"",E5494&lt;I5494)),1,0)</f>
        <v>0</v>
      </c>
      <c r="R5494" s="56" t="n">
        <f aca="false">IF(AND(D5494&gt;1,Q5494=0,ISNUMBER(O5494),ISNUMBER(P5494)),IF(Q5493=0,1,0),0)</f>
        <v>1</v>
      </c>
      <c r="S5494" s="56" t="n">
        <f aca="false">R5494*(B5494&gt;=Train_Start)*(B5494&lt;=Train_End)</f>
        <v>0</v>
      </c>
      <c r="T5494" s="84" t="n">
        <f aca="false">IF(AND(ISNUMBER(O5494),ISNUMBER(P5494)),Coef_A+Coef_B1*O5494+Coef_B2*P5494,"")</f>
        <v>22.2700888514926</v>
      </c>
      <c r="U5494" s="84" t="n">
        <f aca="false">IF(AND(R5494=1,ISNUMBER(T5494)),E5494-T5494,"")</f>
        <v>1.52991114850741</v>
      </c>
      <c r="V5494" s="84" t="n">
        <f aca="false">IF(ISNUMBER(T5494),T5494,-99)</f>
        <v>22.2700888514926</v>
      </c>
      <c r="W5494" s="84" t="n">
        <f aca="false">IF(ISNUMBER(U5494),ABS(U5494),"")</f>
        <v>1.52991114850741</v>
      </c>
    </row>
    <row r="5495" customFormat="false" ht="15" hidden="false" customHeight="false" outlineLevel="0" collapsed="false">
      <c r="A5495" s="57" t="n">
        <v>41898</v>
      </c>
      <c r="B5495" s="56" t="n">
        <v>2014</v>
      </c>
      <c r="C5495" s="56" t="n">
        <v>9</v>
      </c>
      <c r="D5495" s="56" t="n">
        <v>139</v>
      </c>
      <c r="E5495" s="56" t="n">
        <v>20.7</v>
      </c>
      <c r="F5495" s="56" t="n">
        <v>0</v>
      </c>
      <c r="G5495" s="56" t="n">
        <v>13.2</v>
      </c>
      <c r="H5495" s="56" t="n">
        <v>0</v>
      </c>
      <c r="I5495" s="56" t="n">
        <v>18.5</v>
      </c>
      <c r="J5495" s="56" t="n">
        <v>0</v>
      </c>
      <c r="K5495" s="56" t="n">
        <v>1014.6</v>
      </c>
      <c r="L5495" s="56" t="n">
        <v>0</v>
      </c>
      <c r="M5495" s="56" t="n">
        <v>78</v>
      </c>
      <c r="N5495" s="56" t="n">
        <v>3.7</v>
      </c>
      <c r="O5495" s="56" t="n">
        <f aca="false">IF(D5495=1,"",E5494)</f>
        <v>23.8</v>
      </c>
      <c r="P5495" s="56" t="n">
        <f aca="false">IF(OR(D5495=1,K5494=""),"",K5494)</f>
        <v>1017.1</v>
      </c>
      <c r="Q5495" s="56" t="n">
        <f aca="false">IF(OR(F5495&lt;&gt;0,AND(I5495&lt;&gt;"",E5495&lt;I5495)),1,0)</f>
        <v>0</v>
      </c>
      <c r="R5495" s="56" t="n">
        <f aca="false">IF(AND(D5495&gt;1,Q5495=0,ISNUMBER(O5495),ISNUMBER(P5495)),IF(Q5494=0,1,0),0)</f>
        <v>1</v>
      </c>
      <c r="S5495" s="56" t="n">
        <f aca="false">R5495*(B5495&gt;=Train_Start)*(B5495&lt;=Train_End)</f>
        <v>0</v>
      </c>
      <c r="T5495" s="84" t="n">
        <f aca="false">IF(AND(ISNUMBER(O5495),ISNUMBER(P5495)),Coef_A+Coef_B1*O5495+Coef_B2*P5495,"")</f>
        <v>23.4935680486416</v>
      </c>
      <c r="U5495" s="84" t="n">
        <f aca="false">IF(AND(R5495=1,ISNUMBER(T5495)),E5495-T5495,"")</f>
        <v>-2.79356804864156</v>
      </c>
      <c r="V5495" s="84" t="n">
        <f aca="false">IF(ISNUMBER(T5495),T5495,-99)</f>
        <v>23.4935680486416</v>
      </c>
      <c r="W5495" s="84" t="n">
        <f aca="false">IF(ISNUMBER(U5495),ABS(U5495),"")</f>
        <v>2.79356804864156</v>
      </c>
    </row>
    <row r="5496" customFormat="false" ht="15" hidden="false" customHeight="false" outlineLevel="0" collapsed="false">
      <c r="A5496" s="57" t="n">
        <v>41899</v>
      </c>
      <c r="B5496" s="56" t="n">
        <v>2014</v>
      </c>
      <c r="C5496" s="56" t="n">
        <v>9</v>
      </c>
      <c r="D5496" s="56" t="n">
        <v>140</v>
      </c>
      <c r="E5496" s="56" t="n">
        <v>25.8</v>
      </c>
      <c r="F5496" s="56" t="n">
        <v>0</v>
      </c>
      <c r="G5496" s="56" t="n">
        <v>16</v>
      </c>
      <c r="H5496" s="56" t="n">
        <v>0</v>
      </c>
      <c r="I5496" s="56" t="n">
        <v>18.4</v>
      </c>
      <c r="J5496" s="56" t="n">
        <v>0</v>
      </c>
      <c r="K5496" s="56" t="n">
        <v>1012.2</v>
      </c>
      <c r="L5496" s="56" t="n">
        <v>0</v>
      </c>
      <c r="M5496" s="56" t="n">
        <v>78</v>
      </c>
      <c r="N5496" s="56" t="n">
        <v>0.2</v>
      </c>
      <c r="O5496" s="56" t="n">
        <f aca="false">IF(D5496=1,"",E5495)</f>
        <v>20.7</v>
      </c>
      <c r="P5496" s="56" t="n">
        <f aca="false">IF(OR(D5496=1,K5495=""),"",K5495)</f>
        <v>1014.6</v>
      </c>
      <c r="Q5496" s="56" t="n">
        <f aca="false">IF(OR(F5496&lt;&gt;0,AND(I5496&lt;&gt;"",E5496&lt;I5496)),1,0)</f>
        <v>0</v>
      </c>
      <c r="R5496" s="56" t="n">
        <f aca="false">IF(AND(D5496&gt;1,Q5496=0,ISNUMBER(O5496),ISNUMBER(P5496)),IF(Q5495=0,1,0),0)</f>
        <v>1</v>
      </c>
      <c r="S5496" s="56" t="n">
        <f aca="false">R5496*(B5496&gt;=Train_Start)*(B5496&lt;=Train_End)</f>
        <v>0</v>
      </c>
      <c r="T5496" s="84" t="n">
        <f aca="false">IF(AND(ISNUMBER(O5496),ISNUMBER(P5496)),Coef_A+Coef_B1*O5496+Coef_B2*P5496,"")</f>
        <v>20.8751918136243</v>
      </c>
      <c r="U5496" s="84" t="n">
        <f aca="false">IF(AND(R5496=1,ISNUMBER(T5496)),E5496-T5496,"")</f>
        <v>4.92480818637565</v>
      </c>
      <c r="V5496" s="84" t="n">
        <f aca="false">IF(ISNUMBER(T5496),T5496,-99)</f>
        <v>20.8751918136243</v>
      </c>
      <c r="W5496" s="84" t="n">
        <f aca="false">IF(ISNUMBER(U5496),ABS(U5496),"")</f>
        <v>4.92480818637565</v>
      </c>
    </row>
    <row r="5497" customFormat="false" ht="15" hidden="false" customHeight="false" outlineLevel="0" collapsed="false">
      <c r="A5497" s="57" t="n">
        <v>41900</v>
      </c>
      <c r="B5497" s="56" t="n">
        <v>2014</v>
      </c>
      <c r="C5497" s="56" t="n">
        <v>9</v>
      </c>
      <c r="D5497" s="56" t="n">
        <v>141</v>
      </c>
      <c r="E5497" s="56" t="n">
        <v>24.5</v>
      </c>
      <c r="F5497" s="56" t="n">
        <v>0</v>
      </c>
      <c r="G5497" s="56" t="n">
        <v>14.7</v>
      </c>
      <c r="H5497" s="56" t="n">
        <v>0</v>
      </c>
      <c r="I5497" s="56" t="n">
        <v>20.3</v>
      </c>
      <c r="J5497" s="56" t="n">
        <v>0</v>
      </c>
      <c r="K5497" s="56" t="n">
        <v>1009.4</v>
      </c>
      <c r="L5497" s="56" t="n">
        <v>0</v>
      </c>
      <c r="M5497" s="56" t="n">
        <v>75</v>
      </c>
      <c r="N5497" s="56" t="n">
        <v>4.8</v>
      </c>
      <c r="O5497" s="56" t="n">
        <f aca="false">IF(D5497=1,"",E5496)</f>
        <v>25.8</v>
      </c>
      <c r="P5497" s="56" t="n">
        <f aca="false">IF(OR(D5497=1,K5496=""),"",K5496)</f>
        <v>1012.2</v>
      </c>
      <c r="Q5497" s="56" t="n">
        <f aca="false">IF(OR(F5497&lt;&gt;0,AND(I5497&lt;&gt;"",E5497&lt;I5497)),1,0)</f>
        <v>0</v>
      </c>
      <c r="R5497" s="56" t="n">
        <f aca="false">IF(AND(D5497&gt;1,Q5497=0,ISNUMBER(O5497),ISNUMBER(P5497)),IF(Q5496=0,1,0),0)</f>
        <v>1</v>
      </c>
      <c r="S5497" s="56" t="n">
        <f aca="false">R5497*(B5497&gt;=Train_Start)*(B5497&lt;=Train_End)</f>
        <v>0</v>
      </c>
      <c r="T5497" s="84" t="n">
        <f aca="false">IF(AND(ISNUMBER(O5497),ISNUMBER(P5497)),Coef_A+Coef_B1*O5497+Coef_B2*P5497,"")</f>
        <v>24.9785339510203</v>
      </c>
      <c r="U5497" s="84" t="n">
        <f aca="false">IF(AND(R5497=1,ISNUMBER(T5497)),E5497-T5497,"")</f>
        <v>-0.478533951020328</v>
      </c>
      <c r="V5497" s="84" t="n">
        <f aca="false">IF(ISNUMBER(T5497),T5497,-99)</f>
        <v>24.9785339510203</v>
      </c>
      <c r="W5497" s="84" t="n">
        <f aca="false">IF(ISNUMBER(U5497),ABS(U5497),"")</f>
        <v>0.478533951020328</v>
      </c>
    </row>
    <row r="5498" customFormat="false" ht="15" hidden="false" customHeight="false" outlineLevel="0" collapsed="false">
      <c r="A5498" s="57" t="n">
        <v>41901</v>
      </c>
      <c r="B5498" s="56" t="n">
        <v>2014</v>
      </c>
      <c r="C5498" s="56" t="n">
        <v>9</v>
      </c>
      <c r="D5498" s="56" t="n">
        <v>142</v>
      </c>
      <c r="E5498" s="56" t="n">
        <v>19.3</v>
      </c>
      <c r="F5498" s="56" t="n">
        <v>1</v>
      </c>
      <c r="G5498" s="56" t="n">
        <v>16.3</v>
      </c>
      <c r="H5498" s="56" t="n">
        <v>0</v>
      </c>
      <c r="I5498" s="56" t="n">
        <v>20.4</v>
      </c>
      <c r="J5498" s="56" t="n">
        <v>1</v>
      </c>
      <c r="K5498" s="56" t="n">
        <v>1011.2</v>
      </c>
      <c r="L5498" s="56" t="n">
        <v>0</v>
      </c>
      <c r="M5498" s="56" t="n">
        <v>82</v>
      </c>
      <c r="N5498" s="56" t="n">
        <v>3.7</v>
      </c>
      <c r="O5498" s="56" t="n">
        <f aca="false">IF(D5498=1,"",E5497)</f>
        <v>24.5</v>
      </c>
      <c r="P5498" s="56" t="n">
        <f aca="false">IF(OR(D5498=1,K5497=""),"",K5497)</f>
        <v>1009.4</v>
      </c>
      <c r="Q5498" s="56" t="n">
        <f aca="false">IF(OR(F5498&lt;&gt;0,AND(I5498&lt;&gt;"",E5498&lt;I5498)),1,0)</f>
        <v>1</v>
      </c>
      <c r="R5498" s="56" t="n">
        <f aca="false">IF(AND(D5498&gt;1,Q5498=0,ISNUMBER(O5498),ISNUMBER(P5498)),IF(Q5497=0,1,0),0)</f>
        <v>0</v>
      </c>
      <c r="S5498" s="56" t="n">
        <f aca="false">R5498*(B5498&gt;=Train_Start)*(B5498&lt;=Train_End)</f>
        <v>0</v>
      </c>
      <c r="T5498" s="84" t="n">
        <f aca="false">IF(AND(ISNUMBER(O5498),ISNUMBER(P5498)),Coef_A+Coef_B1*O5498+Coef_B2*P5498,"")</f>
        <v>23.8255572950897</v>
      </c>
      <c r="U5498" s="84" t="str">
        <f aca="false">IF(AND(R5498=1,ISNUMBER(T5498)),E5498-T5498,"")</f>
        <v/>
      </c>
      <c r="V5498" s="84" t="n">
        <f aca="false">IF(ISNUMBER(T5498),T5498,-99)</f>
        <v>23.8255572950897</v>
      </c>
      <c r="W5498" s="84" t="str">
        <f aca="false">IF(ISNUMBER(U5498),ABS(U5498),"")</f>
        <v/>
      </c>
    </row>
    <row r="5499" customFormat="false" ht="15" hidden="false" customHeight="false" outlineLevel="0" collapsed="false">
      <c r="A5499" s="57" t="n">
        <v>41902</v>
      </c>
      <c r="B5499" s="56" t="n">
        <v>2014</v>
      </c>
      <c r="C5499" s="56" t="n">
        <v>9</v>
      </c>
      <c r="D5499" s="56" t="n">
        <v>143</v>
      </c>
      <c r="E5499" s="56" t="n">
        <v>18.6</v>
      </c>
      <c r="F5499" s="56" t="n">
        <v>0</v>
      </c>
      <c r="G5499" s="56" t="n">
        <v>16.6</v>
      </c>
      <c r="H5499" s="56" t="n">
        <v>0</v>
      </c>
      <c r="I5499" s="56" t="n">
        <v>18</v>
      </c>
      <c r="J5499" s="56" t="n">
        <v>0</v>
      </c>
      <c r="K5499" s="56" t="n">
        <v>1016.2</v>
      </c>
      <c r="L5499" s="56" t="n">
        <v>0</v>
      </c>
      <c r="M5499" s="56" t="n">
        <v>86</v>
      </c>
      <c r="N5499" s="56" t="n">
        <v>0</v>
      </c>
      <c r="O5499" s="56" t="n">
        <f aca="false">IF(D5499=1,"",E5498)</f>
        <v>19.3</v>
      </c>
      <c r="P5499" s="56" t="n">
        <f aca="false">IF(OR(D5499=1,K5498=""),"",K5498)</f>
        <v>1011.2</v>
      </c>
      <c r="Q5499" s="56" t="n">
        <f aca="false">IF(OR(F5499&lt;&gt;0,AND(I5499&lt;&gt;"",E5499&lt;I5499)),1,0)</f>
        <v>0</v>
      </c>
      <c r="R5499" s="56" t="n">
        <f aca="false">IF(AND(D5499&gt;1,Q5499=0,ISNUMBER(O5499),ISNUMBER(P5499)),IF(Q5498=0,1,0),0)</f>
        <v>0</v>
      </c>
      <c r="S5499" s="56" t="n">
        <f aca="false">R5499*(B5499&gt;=Train_Start)*(B5499&lt;=Train_End)</f>
        <v>0</v>
      </c>
      <c r="T5499" s="84" t="n">
        <f aca="false">IF(AND(ISNUMBER(O5499),ISNUMBER(P5499)),Coef_A+Coef_B1*O5499+Coef_B2*P5499,"")</f>
        <v>19.6214593016091</v>
      </c>
      <c r="U5499" s="84" t="str">
        <f aca="false">IF(AND(R5499=1,ISNUMBER(T5499)),E5499-T5499,"")</f>
        <v/>
      </c>
      <c r="V5499" s="84" t="n">
        <f aca="false">IF(ISNUMBER(T5499),T5499,-99)</f>
        <v>19.6214593016091</v>
      </c>
      <c r="W5499" s="84" t="str">
        <f aca="false">IF(ISNUMBER(U5499),ABS(U5499),"")</f>
        <v/>
      </c>
    </row>
    <row r="5500" customFormat="false" ht="15" hidden="false" customHeight="false" outlineLevel="0" collapsed="false">
      <c r="A5500" s="57" t="n">
        <v>41903</v>
      </c>
      <c r="B5500" s="56" t="n">
        <v>2014</v>
      </c>
      <c r="C5500" s="56" t="n">
        <v>9</v>
      </c>
      <c r="D5500" s="56" t="n">
        <v>144</v>
      </c>
      <c r="E5500" s="56" t="n">
        <v>19.3</v>
      </c>
      <c r="F5500" s="56" t="n">
        <v>0</v>
      </c>
      <c r="G5500" s="56" t="n">
        <v>12.3</v>
      </c>
      <c r="H5500" s="56" t="n">
        <v>0</v>
      </c>
      <c r="I5500" s="56" t="n">
        <v>15.5</v>
      </c>
      <c r="J5500" s="56" t="n">
        <v>0</v>
      </c>
      <c r="K5500" s="56" t="n">
        <v>1024.1</v>
      </c>
      <c r="L5500" s="56" t="n">
        <v>0</v>
      </c>
      <c r="M5500" s="56" t="n">
        <v>71</v>
      </c>
      <c r="N5500" s="56" t="n">
        <v>6.5</v>
      </c>
      <c r="O5500" s="56" t="n">
        <f aca="false">IF(D5500=1,"",E5499)</f>
        <v>18.6</v>
      </c>
      <c r="P5500" s="56" t="n">
        <f aca="false">IF(OR(D5500=1,K5499=""),"",K5499)</f>
        <v>1016.2</v>
      </c>
      <c r="Q5500" s="56" t="n">
        <f aca="false">IF(OR(F5500&lt;&gt;0,AND(I5500&lt;&gt;"",E5500&lt;I5500)),1,0)</f>
        <v>0</v>
      </c>
      <c r="R5500" s="56" t="n">
        <f aca="false">IF(AND(D5500&gt;1,Q5500=0,ISNUMBER(O5500),ISNUMBER(P5500)),IF(Q5499=0,1,0),0)</f>
        <v>1</v>
      </c>
      <c r="S5500" s="56" t="n">
        <f aca="false">R5500*(B5500&gt;=Train_Start)*(B5500&lt;=Train_End)</f>
        <v>0</v>
      </c>
      <c r="T5500" s="84" t="n">
        <f aca="false">IF(AND(ISNUMBER(O5500),ISNUMBER(P5500)),Coef_A+Coef_B1*O5500+Coef_B2*P5500,"")</f>
        <v>19.2047713396492</v>
      </c>
      <c r="U5500" s="84" t="n">
        <f aca="false">IF(AND(R5500=1,ISNUMBER(T5500)),E5500-T5500,"")</f>
        <v>0.0952286603508483</v>
      </c>
      <c r="V5500" s="84" t="n">
        <f aca="false">IF(ISNUMBER(T5500),T5500,-99)</f>
        <v>19.2047713396492</v>
      </c>
      <c r="W5500" s="84" t="n">
        <f aca="false">IF(ISNUMBER(U5500),ABS(U5500),"")</f>
        <v>0.0952286603508483</v>
      </c>
    </row>
    <row r="5501" customFormat="false" ht="15" hidden="false" customHeight="false" outlineLevel="0" collapsed="false">
      <c r="A5501" s="57" t="n">
        <v>41904</v>
      </c>
      <c r="B5501" s="56" t="n">
        <v>2014</v>
      </c>
      <c r="C5501" s="56" t="n">
        <v>9</v>
      </c>
      <c r="D5501" s="56" t="n">
        <v>145</v>
      </c>
      <c r="E5501" s="56" t="n">
        <v>19.1</v>
      </c>
      <c r="F5501" s="56" t="n">
        <v>0</v>
      </c>
      <c r="G5501" s="56" t="n">
        <v>7.4</v>
      </c>
      <c r="H5501" s="56" t="n">
        <v>0</v>
      </c>
      <c r="I5501" s="56" t="n">
        <v>13.4</v>
      </c>
      <c r="J5501" s="56" t="n">
        <v>0</v>
      </c>
      <c r="K5501" s="56" t="n">
        <v>1025.9</v>
      </c>
      <c r="L5501" s="56" t="n">
        <v>0</v>
      </c>
      <c r="M5501" s="56" t="n">
        <v>67</v>
      </c>
      <c r="N5501" s="56" t="n">
        <v>10.3</v>
      </c>
      <c r="O5501" s="56" t="n">
        <f aca="false">IF(D5501=1,"",E5500)</f>
        <v>19.3</v>
      </c>
      <c r="P5501" s="56" t="n">
        <f aca="false">IF(OR(D5501=1,K5500=""),"",K5500)</f>
        <v>1024.1</v>
      </c>
      <c r="Q5501" s="56" t="n">
        <f aca="false">IF(OR(F5501&lt;&gt;0,AND(I5501&lt;&gt;"",E5501&lt;I5501)),1,0)</f>
        <v>0</v>
      </c>
      <c r="R5501" s="56" t="n">
        <f aca="false">IF(AND(D5501&gt;1,Q5501=0,ISNUMBER(O5501),ISNUMBER(P5501)),IF(Q5500=0,1,0),0)</f>
        <v>1</v>
      </c>
      <c r="S5501" s="56" t="n">
        <f aca="false">R5501*(B5501&gt;=Train_Start)*(B5501&lt;=Train_End)</f>
        <v>0</v>
      </c>
      <c r="T5501" s="84" t="n">
        <f aca="false">IF(AND(ISNUMBER(O5501),ISNUMBER(P5501)),Coef_A+Coef_B1*O5501+Coef_B2*P5501,"")</f>
        <v>20.0261309423875</v>
      </c>
      <c r="U5501" s="84" t="n">
        <f aca="false">IF(AND(R5501=1,ISNUMBER(T5501)),E5501-T5501,"")</f>
        <v>-0.926130942387516</v>
      </c>
      <c r="V5501" s="84" t="n">
        <f aca="false">IF(ISNUMBER(T5501),T5501,-99)</f>
        <v>20.0261309423875</v>
      </c>
      <c r="W5501" s="84" t="n">
        <f aca="false">IF(ISNUMBER(U5501),ABS(U5501),"")</f>
        <v>0.926130942387516</v>
      </c>
    </row>
    <row r="5502" customFormat="false" ht="15" hidden="false" customHeight="false" outlineLevel="0" collapsed="false">
      <c r="A5502" s="57" t="n">
        <v>41905</v>
      </c>
      <c r="B5502" s="56" t="n">
        <v>2014</v>
      </c>
      <c r="C5502" s="56" t="n">
        <v>9</v>
      </c>
      <c r="D5502" s="56" t="n">
        <v>146</v>
      </c>
      <c r="E5502" s="56" t="n">
        <v>19</v>
      </c>
      <c r="F5502" s="56" t="n">
        <v>0</v>
      </c>
      <c r="G5502" s="56" t="n">
        <v>7.8</v>
      </c>
      <c r="H5502" s="56" t="n">
        <v>0</v>
      </c>
      <c r="I5502" s="56" t="n">
        <v>13.5</v>
      </c>
      <c r="J5502" s="56" t="n">
        <v>0</v>
      </c>
      <c r="K5502" s="56" t="n">
        <v>1020.5</v>
      </c>
      <c r="L5502" s="56" t="n">
        <v>0</v>
      </c>
      <c r="M5502" s="56" t="n">
        <v>69</v>
      </c>
      <c r="N5502" s="56" t="n">
        <v>5.5</v>
      </c>
      <c r="O5502" s="56" t="n">
        <f aca="false">IF(D5502=1,"",E5501)</f>
        <v>19.1</v>
      </c>
      <c r="P5502" s="56" t="n">
        <f aca="false">IF(OR(D5502=1,K5501=""),"",K5501)</f>
        <v>1025.9</v>
      </c>
      <c r="Q5502" s="56" t="n">
        <f aca="false">IF(OR(F5502&lt;&gt;0,AND(I5502&lt;&gt;"",E5502&lt;I5502)),1,0)</f>
        <v>0</v>
      </c>
      <c r="R5502" s="56" t="n">
        <f aca="false">IF(AND(D5502&gt;1,Q5502=0,ISNUMBER(O5502),ISNUMBER(P5502)),IF(Q5501=0,1,0),0)</f>
        <v>1</v>
      </c>
      <c r="S5502" s="56" t="n">
        <f aca="false">R5502*(B5502&gt;=Train_Start)*(B5502&lt;=Train_End)</f>
        <v>0</v>
      </c>
      <c r="T5502" s="84" t="n">
        <f aca="false">IF(AND(ISNUMBER(O5502),ISNUMBER(P5502)),Coef_A+Coef_B1*O5502+Coef_B2*P5502,"")</f>
        <v>19.9187289141202</v>
      </c>
      <c r="U5502" s="84" t="n">
        <f aca="false">IF(AND(R5502=1,ISNUMBER(T5502)),E5502-T5502,"")</f>
        <v>-0.918728914120177</v>
      </c>
      <c r="V5502" s="84" t="n">
        <f aca="false">IF(ISNUMBER(T5502),T5502,-99)</f>
        <v>19.9187289141202</v>
      </c>
      <c r="W5502" s="84" t="n">
        <f aca="false">IF(ISNUMBER(U5502),ABS(U5502),"")</f>
        <v>0.918728914120177</v>
      </c>
    </row>
    <row r="5503" customFormat="false" ht="15" hidden="false" customHeight="false" outlineLevel="0" collapsed="false">
      <c r="A5503" s="57" t="n">
        <v>41906</v>
      </c>
      <c r="B5503" s="56" t="n">
        <v>2014</v>
      </c>
      <c r="C5503" s="56" t="n">
        <v>9</v>
      </c>
      <c r="D5503" s="56" t="n">
        <v>147</v>
      </c>
      <c r="E5503" s="56" t="n">
        <v>19.8</v>
      </c>
      <c r="F5503" s="56" t="n">
        <v>0</v>
      </c>
      <c r="G5503" s="56" t="n">
        <v>12.1</v>
      </c>
      <c r="H5503" s="56" t="n">
        <v>0</v>
      </c>
      <c r="I5503" s="56" t="n">
        <v>15.6</v>
      </c>
      <c r="J5503" s="56" t="n">
        <v>0</v>
      </c>
      <c r="K5503" s="56" t="n">
        <v>1014.7</v>
      </c>
      <c r="L5503" s="56" t="n">
        <v>0</v>
      </c>
      <c r="M5503" s="56" t="n">
        <v>70</v>
      </c>
      <c r="N5503" s="56" t="n">
        <v>5.6</v>
      </c>
      <c r="O5503" s="56" t="n">
        <f aca="false">IF(D5503=1,"",E5502)</f>
        <v>19</v>
      </c>
      <c r="P5503" s="56" t="n">
        <f aca="false">IF(OR(D5503=1,K5502=""),"",K5502)</f>
        <v>1020.5</v>
      </c>
      <c r="Q5503" s="56" t="n">
        <f aca="false">IF(OR(F5503&lt;&gt;0,AND(I5503&lt;&gt;"",E5503&lt;I5503)),1,0)</f>
        <v>0</v>
      </c>
      <c r="R5503" s="56" t="n">
        <f aca="false">IF(AND(D5503&gt;1,Q5503=0,ISNUMBER(O5503),ISNUMBER(P5503)),IF(Q5502=0,1,0),0)</f>
        <v>1</v>
      </c>
      <c r="S5503" s="56" t="n">
        <f aca="false">R5503*(B5503&gt;=Train_Start)*(B5503&lt;=Train_End)</f>
        <v>0</v>
      </c>
      <c r="T5503" s="84" t="n">
        <f aca="false">IF(AND(ISNUMBER(O5503),ISNUMBER(P5503)),Coef_A+Coef_B1*O5503+Coef_B2*P5503,"")</f>
        <v>19.6673975637924</v>
      </c>
      <c r="U5503" s="84" t="n">
        <f aca="false">IF(AND(R5503=1,ISNUMBER(T5503)),E5503-T5503,"")</f>
        <v>0.13260243620763</v>
      </c>
      <c r="V5503" s="84" t="n">
        <f aca="false">IF(ISNUMBER(T5503),T5503,-99)</f>
        <v>19.6673975637924</v>
      </c>
      <c r="W5503" s="84" t="n">
        <f aca="false">IF(ISNUMBER(U5503),ABS(U5503),"")</f>
        <v>0.13260243620763</v>
      </c>
    </row>
    <row r="5504" customFormat="false" ht="15" hidden="false" customHeight="false" outlineLevel="0" collapsed="false">
      <c r="A5504" s="57" t="n">
        <v>41907</v>
      </c>
      <c r="B5504" s="56" t="n">
        <v>2014</v>
      </c>
      <c r="C5504" s="56" t="n">
        <v>9</v>
      </c>
      <c r="D5504" s="56" t="n">
        <v>148</v>
      </c>
      <c r="E5504" s="56" t="n">
        <v>22.2</v>
      </c>
      <c r="F5504" s="56" t="n">
        <v>0</v>
      </c>
      <c r="G5504" s="56" t="n">
        <v>7.1</v>
      </c>
      <c r="H5504" s="56" t="n">
        <v>0</v>
      </c>
      <c r="I5504" s="56" t="n">
        <v>13.5</v>
      </c>
      <c r="J5504" s="56" t="n">
        <v>0</v>
      </c>
      <c r="K5504" s="56" t="n">
        <v>1020.3</v>
      </c>
      <c r="L5504" s="56" t="n">
        <v>0</v>
      </c>
      <c r="M5504" s="56" t="n">
        <v>70</v>
      </c>
      <c r="N5504" s="56" t="n">
        <v>4.5</v>
      </c>
      <c r="O5504" s="56" t="n">
        <f aca="false">IF(D5504=1,"",E5503)</f>
        <v>19.8</v>
      </c>
      <c r="P5504" s="56" t="n">
        <f aca="false">IF(OR(D5504=1,K5503=""),"",K5503)</f>
        <v>1014.7</v>
      </c>
      <c r="Q5504" s="56" t="n">
        <f aca="false">IF(OR(F5504&lt;&gt;0,AND(I5504&lt;&gt;"",E5504&lt;I5504)),1,0)</f>
        <v>0</v>
      </c>
      <c r="R5504" s="56" t="n">
        <f aca="false">IF(AND(D5504&gt;1,Q5504=0,ISNUMBER(O5504),ISNUMBER(P5504)),IF(Q5503=0,1,0),0)</f>
        <v>1</v>
      </c>
      <c r="S5504" s="56" t="n">
        <f aca="false">R5504*(B5504&gt;=Train_Start)*(B5504&lt;=Train_End)</f>
        <v>0</v>
      </c>
      <c r="T5504" s="84" t="n">
        <f aca="false">IF(AND(ISNUMBER(O5504),ISNUMBER(P5504)),Coef_A+Coef_B1*O5504+Coef_B2*P5504,"")</f>
        <v>20.1409235293494</v>
      </c>
      <c r="U5504" s="84" t="n">
        <f aca="false">IF(AND(R5504=1,ISNUMBER(T5504)),E5504-T5504,"")</f>
        <v>2.05907647065064</v>
      </c>
      <c r="V5504" s="84" t="n">
        <f aca="false">IF(ISNUMBER(T5504),T5504,-99)</f>
        <v>20.1409235293494</v>
      </c>
      <c r="W5504" s="84" t="n">
        <f aca="false">IF(ISNUMBER(U5504),ABS(U5504),"")</f>
        <v>2.05907647065064</v>
      </c>
    </row>
    <row r="5505" customFormat="false" ht="15" hidden="false" customHeight="false" outlineLevel="0" collapsed="false">
      <c r="A5505" s="57" t="n">
        <v>41908</v>
      </c>
      <c r="B5505" s="56" t="n">
        <v>2014</v>
      </c>
      <c r="C5505" s="56" t="n">
        <v>9</v>
      </c>
      <c r="D5505" s="56" t="n">
        <v>149</v>
      </c>
      <c r="E5505" s="56" t="n">
        <v>21.3</v>
      </c>
      <c r="F5505" s="56" t="n">
        <v>0</v>
      </c>
      <c r="G5505" s="56" t="n">
        <v>13.9</v>
      </c>
      <c r="H5505" s="56" t="n">
        <v>0</v>
      </c>
      <c r="I5505" s="56" t="n">
        <v>18.1</v>
      </c>
      <c r="J5505" s="56" t="n">
        <v>0</v>
      </c>
      <c r="K5505" s="56" t="n">
        <v>1023.5</v>
      </c>
      <c r="L5505" s="56" t="n">
        <v>0</v>
      </c>
      <c r="M5505" s="56" t="n">
        <v>72</v>
      </c>
      <c r="N5505" s="56" t="n">
        <v>1.9</v>
      </c>
      <c r="O5505" s="56" t="n">
        <f aca="false">IF(D5505=1,"",E5504)</f>
        <v>22.2</v>
      </c>
      <c r="P5505" s="56" t="n">
        <f aca="false">IF(OR(D5505=1,K5504=""),"",K5504)</f>
        <v>1020.3</v>
      </c>
      <c r="Q5505" s="56" t="n">
        <f aca="false">IF(OR(F5505&lt;&gt;0,AND(I5505&lt;&gt;"",E5505&lt;I5505)),1,0)</f>
        <v>0</v>
      </c>
      <c r="R5505" s="56" t="n">
        <f aca="false">IF(AND(D5505&gt;1,Q5505=0,ISNUMBER(O5505),ISNUMBER(P5505)),IF(Q5504=0,1,0),0)</f>
        <v>1</v>
      </c>
      <c r="S5505" s="56" t="n">
        <f aca="false">R5505*(B5505&gt;=Train_Start)*(B5505&lt;=Train_End)</f>
        <v>0</v>
      </c>
      <c r="T5505" s="84" t="n">
        <f aca="false">IF(AND(ISNUMBER(O5505),ISNUMBER(P5505)),Coef_A+Coef_B1*O5505+Coef_B2*P5505,"")</f>
        <v>22.2830090026021</v>
      </c>
      <c r="U5505" s="84" t="n">
        <f aca="false">IF(AND(R5505=1,ISNUMBER(T5505)),E5505-T5505,"")</f>
        <v>-0.983009002602074</v>
      </c>
      <c r="V5505" s="84" t="n">
        <f aca="false">IF(ISNUMBER(T5505),T5505,-99)</f>
        <v>22.2830090026021</v>
      </c>
      <c r="W5505" s="84" t="n">
        <f aca="false">IF(ISNUMBER(U5505),ABS(U5505),"")</f>
        <v>0.983009002602074</v>
      </c>
    </row>
    <row r="5506" customFormat="false" ht="15" hidden="false" customHeight="false" outlineLevel="0" collapsed="false">
      <c r="A5506" s="57" t="n">
        <v>41909</v>
      </c>
      <c r="B5506" s="56" t="n">
        <v>2014</v>
      </c>
      <c r="C5506" s="56" t="n">
        <v>9</v>
      </c>
      <c r="D5506" s="56" t="n">
        <v>150</v>
      </c>
      <c r="E5506" s="56" t="n">
        <v>24.7</v>
      </c>
      <c r="F5506" s="56" t="n">
        <v>0</v>
      </c>
      <c r="G5506" s="56" t="n">
        <v>12.5</v>
      </c>
      <c r="H5506" s="56" t="n">
        <v>0</v>
      </c>
      <c r="I5506" s="56" t="n">
        <v>16.9</v>
      </c>
      <c r="J5506" s="56" t="n">
        <v>0</v>
      </c>
      <c r="K5506" s="56" t="n">
        <v>1026.1</v>
      </c>
      <c r="L5506" s="56" t="n">
        <v>0</v>
      </c>
      <c r="M5506" s="56" t="n">
        <v>71</v>
      </c>
      <c r="N5506" s="56" t="n">
        <v>1.9</v>
      </c>
      <c r="O5506" s="56" t="n">
        <f aca="false">IF(D5506=1,"",E5505)</f>
        <v>21.3</v>
      </c>
      <c r="P5506" s="56" t="n">
        <f aca="false">IF(OR(D5506=1,K5505=""),"",K5505)</f>
        <v>1023.5</v>
      </c>
      <c r="Q5506" s="56" t="n">
        <f aca="false">IF(OR(F5506&lt;&gt;0,AND(I5506&lt;&gt;"",E5506&lt;I5506)),1,0)</f>
        <v>0</v>
      </c>
      <c r="R5506" s="56" t="n">
        <f aca="false">IF(AND(D5506&gt;1,Q5506=0,ISNUMBER(O5506),ISNUMBER(P5506)),IF(Q5505=0,1,0),0)</f>
        <v>1</v>
      </c>
      <c r="S5506" s="56" t="n">
        <f aca="false">R5506*(B5506&gt;=Train_Start)*(B5506&lt;=Train_End)</f>
        <v>0</v>
      </c>
      <c r="T5506" s="84" t="n">
        <f aca="false">IF(AND(ISNUMBER(O5506),ISNUMBER(P5506)),Coef_A+Coef_B1*O5506+Coef_B2*P5506,"")</f>
        <v>21.6459873916925</v>
      </c>
      <c r="U5506" s="84" t="n">
        <f aca="false">IF(AND(R5506=1,ISNUMBER(T5506)),E5506-T5506,"")</f>
        <v>3.05401260830755</v>
      </c>
      <c r="V5506" s="84" t="n">
        <f aca="false">IF(ISNUMBER(T5506),T5506,-99)</f>
        <v>21.6459873916925</v>
      </c>
      <c r="W5506" s="84" t="n">
        <f aca="false">IF(ISNUMBER(U5506),ABS(U5506),"")</f>
        <v>3.05401260830755</v>
      </c>
    </row>
    <row r="5507" customFormat="false" ht="15" hidden="false" customHeight="false" outlineLevel="0" collapsed="false">
      <c r="A5507" s="57" t="n">
        <v>41910</v>
      </c>
      <c r="B5507" s="56" t="n">
        <v>2014</v>
      </c>
      <c r="C5507" s="56" t="n">
        <v>9</v>
      </c>
      <c r="D5507" s="56" t="n">
        <v>151</v>
      </c>
      <c r="E5507" s="56" t="n">
        <v>19.2</v>
      </c>
      <c r="F5507" s="56" t="n">
        <v>1</v>
      </c>
      <c r="G5507" s="56" t="n">
        <v>14.7</v>
      </c>
      <c r="H5507" s="56" t="n">
        <v>0</v>
      </c>
      <c r="I5507" s="56" t="n">
        <v>19.7</v>
      </c>
      <c r="J5507" s="56" t="n">
        <v>1</v>
      </c>
      <c r="K5507" s="56" t="n">
        <v>1020.8</v>
      </c>
      <c r="L5507" s="56" t="n">
        <v>0</v>
      </c>
      <c r="M5507" s="56" t="n">
        <v>72</v>
      </c>
      <c r="N5507" s="56" t="n">
        <v>6.2</v>
      </c>
      <c r="O5507" s="56" t="n">
        <f aca="false">IF(D5507=1,"",E5506)</f>
        <v>24.7</v>
      </c>
      <c r="P5507" s="56" t="n">
        <f aca="false">IF(OR(D5507=1,K5506=""),"",K5506)</f>
        <v>1026.1</v>
      </c>
      <c r="Q5507" s="56" t="n">
        <f aca="false">IF(OR(F5507&lt;&gt;0,AND(I5507&lt;&gt;"",E5507&lt;I5507)),1,0)</f>
        <v>1</v>
      </c>
      <c r="R5507" s="56" t="n">
        <f aca="false">IF(AND(D5507&gt;1,Q5507=0,ISNUMBER(O5507),ISNUMBER(P5507)),IF(Q5506=0,1,0),0)</f>
        <v>0</v>
      </c>
      <c r="S5507" s="56" t="n">
        <f aca="false">R5507*(B5507&gt;=Train_Start)*(B5507&lt;=Train_End)</f>
        <v>0</v>
      </c>
      <c r="T5507" s="84" t="n">
        <f aca="false">IF(AND(ISNUMBER(O5507),ISNUMBER(P5507)),Coef_A+Coef_B1*O5507+Coef_B2*P5507,"")</f>
        <v>24.5133023740859</v>
      </c>
      <c r="U5507" s="84" t="str">
        <f aca="false">IF(AND(R5507=1,ISNUMBER(T5507)),E5507-T5507,"")</f>
        <v/>
      </c>
      <c r="V5507" s="84" t="n">
        <f aca="false">IF(ISNUMBER(T5507),T5507,-99)</f>
        <v>24.5133023740859</v>
      </c>
      <c r="W5507" s="84" t="str">
        <f aca="false">IF(ISNUMBER(U5507),ABS(U5507),"")</f>
        <v/>
      </c>
    </row>
    <row r="5508" customFormat="false" ht="15" hidden="false" customHeight="false" outlineLevel="0" collapsed="false">
      <c r="A5508" s="57" t="n">
        <v>41911</v>
      </c>
      <c r="B5508" s="56" t="n">
        <v>2014</v>
      </c>
      <c r="C5508" s="56" t="n">
        <v>9</v>
      </c>
      <c r="D5508" s="56" t="n">
        <v>152</v>
      </c>
      <c r="E5508" s="56" t="n">
        <v>22.7</v>
      </c>
      <c r="F5508" s="56" t="n">
        <v>0</v>
      </c>
      <c r="G5508" s="56" t="n">
        <v>13.2</v>
      </c>
      <c r="H5508" s="56" t="n">
        <v>0</v>
      </c>
      <c r="I5508" s="56" t="n">
        <v>16.2</v>
      </c>
      <c r="J5508" s="56" t="n">
        <v>0</v>
      </c>
      <c r="K5508" s="56" t="n">
        <v>1020.1</v>
      </c>
      <c r="L5508" s="56" t="n">
        <v>0</v>
      </c>
      <c r="M5508" s="56" t="n">
        <v>84</v>
      </c>
      <c r="N5508" s="56" t="n">
        <v>0.1</v>
      </c>
      <c r="O5508" s="56" t="n">
        <f aca="false">IF(D5508=1,"",E5507)</f>
        <v>19.2</v>
      </c>
      <c r="P5508" s="56" t="n">
        <f aca="false">IF(OR(D5508=1,K5507=""),"",K5507)</f>
        <v>1020.8</v>
      </c>
      <c r="Q5508" s="56" t="n">
        <f aca="false">IF(OR(F5508&lt;&gt;0,AND(I5508&lt;&gt;"",E5508&lt;I5508)),1,0)</f>
        <v>0</v>
      </c>
      <c r="R5508" s="56" t="n">
        <f aca="false">IF(AND(D5508&gt;1,Q5508=0,ISNUMBER(O5508),ISNUMBER(P5508)),IF(Q5507=0,1,0),0)</f>
        <v>0</v>
      </c>
      <c r="S5508" s="56" t="n">
        <f aca="false">R5508*(B5508&gt;=Train_Start)*(B5508&lt;=Train_End)</f>
        <v>0</v>
      </c>
      <c r="T5508" s="84" t="n">
        <f aca="false">IF(AND(ISNUMBER(O5508),ISNUMBER(P5508)),Coef_A+Coef_B1*O5508+Coef_B2*P5508,"")</f>
        <v>19.8406763707911</v>
      </c>
      <c r="U5508" s="84" t="str">
        <f aca="false">IF(AND(R5508=1,ISNUMBER(T5508)),E5508-T5508,"")</f>
        <v/>
      </c>
      <c r="V5508" s="84" t="n">
        <f aca="false">IF(ISNUMBER(T5508),T5508,-99)</f>
        <v>19.8406763707911</v>
      </c>
      <c r="W5508" s="84" t="str">
        <f aca="false">IF(ISNUMBER(U5508),ABS(U5508),"")</f>
        <v/>
      </c>
    </row>
    <row r="5509" customFormat="false" ht="15" hidden="false" customHeight="false" outlineLevel="0" collapsed="false">
      <c r="A5509" s="57" t="n">
        <v>41912</v>
      </c>
      <c r="B5509" s="56" t="n">
        <v>2014</v>
      </c>
      <c r="C5509" s="56" t="n">
        <v>9</v>
      </c>
      <c r="D5509" s="56" t="n">
        <v>153</v>
      </c>
      <c r="E5509" s="56" t="n">
        <v>21.6</v>
      </c>
      <c r="F5509" s="56" t="n">
        <v>0</v>
      </c>
      <c r="G5509" s="56" t="n">
        <v>14.1</v>
      </c>
      <c r="H5509" s="56" t="n">
        <v>0</v>
      </c>
      <c r="I5509" s="56" t="n">
        <v>18.4</v>
      </c>
      <c r="J5509" s="56" t="n">
        <v>0</v>
      </c>
      <c r="K5509" s="56" t="n">
        <v>1022.7</v>
      </c>
      <c r="L5509" s="56" t="n">
        <v>0</v>
      </c>
      <c r="M5509" s="56" t="n">
        <v>76</v>
      </c>
      <c r="N5509" s="56" t="n">
        <v>4.3</v>
      </c>
      <c r="O5509" s="56" t="n">
        <f aca="false">IF(D5509=1,"",E5508)</f>
        <v>22.7</v>
      </c>
      <c r="P5509" s="56" t="n">
        <f aca="false">IF(OR(D5509=1,K5508=""),"",K5508)</f>
        <v>1020.1</v>
      </c>
      <c r="Q5509" s="56" t="n">
        <f aca="false">IF(OR(F5509&lt;&gt;0,AND(I5509&lt;&gt;"",E5509&lt;I5509)),1,0)</f>
        <v>0</v>
      </c>
      <c r="R5509" s="56" t="n">
        <f aca="false">IF(AND(D5509&gt;1,Q5509=0,ISNUMBER(O5509),ISNUMBER(P5509)),IF(Q5508=0,1,0),0)</f>
        <v>1</v>
      </c>
      <c r="S5509" s="56" t="n">
        <f aca="false">R5509*(B5509&gt;=Train_Start)*(B5509&lt;=Train_End)</f>
        <v>0</v>
      </c>
      <c r="T5509" s="84" t="n">
        <f aca="false">IF(AND(ISNUMBER(O5509),ISNUMBER(P5509)),Coef_A+Coef_B1*O5509+Coef_B2*P5509,"")</f>
        <v>22.6864046201966</v>
      </c>
      <c r="U5509" s="84" t="n">
        <f aca="false">IF(AND(R5509=1,ISNUMBER(T5509)),E5509-T5509,"")</f>
        <v>-1.0864046201966</v>
      </c>
      <c r="V5509" s="84" t="n">
        <f aca="false">IF(ISNUMBER(T5509),T5509,-99)</f>
        <v>22.6864046201966</v>
      </c>
      <c r="W5509" s="84" t="n">
        <f aca="false">IF(ISNUMBER(U5509),ABS(U5509),"")</f>
        <v>1.0864046201966</v>
      </c>
    </row>
    <row r="5510" customFormat="false" ht="15" hidden="false" customHeight="false" outlineLevel="0" collapsed="false">
      <c r="A5510" s="57" t="n">
        <v>42125</v>
      </c>
      <c r="B5510" s="56" t="n">
        <v>2015</v>
      </c>
      <c r="C5510" s="56" t="n">
        <v>5</v>
      </c>
      <c r="D5510" s="56" t="n">
        <v>1</v>
      </c>
      <c r="E5510" s="56" t="n">
        <v>15.7</v>
      </c>
      <c r="F5510" s="56" t="n">
        <v>0</v>
      </c>
      <c r="G5510" s="56" t="n">
        <v>5.9</v>
      </c>
      <c r="H5510" s="56" t="n">
        <v>0</v>
      </c>
      <c r="I5510" s="56" t="n">
        <v>9.8</v>
      </c>
      <c r="J5510" s="56" t="n">
        <v>0</v>
      </c>
      <c r="K5510" s="56" t="n">
        <v>1010.6</v>
      </c>
      <c r="L5510" s="56" t="n">
        <v>0</v>
      </c>
      <c r="M5510" s="56" t="n">
        <v>61</v>
      </c>
      <c r="N5510" s="56" t="n">
        <v>4.4</v>
      </c>
      <c r="O5510" s="56" t="str">
        <f aca="false">IF(D5510=1,"",E5509)</f>
        <v/>
      </c>
      <c r="P5510" s="56" t="str">
        <f aca="false">IF(OR(D5510=1,K5509=""),"",K5509)</f>
        <v/>
      </c>
      <c r="Q5510" s="56" t="n">
        <f aca="false">IF(OR(F5510&lt;&gt;0,AND(I5510&lt;&gt;"",E5510&lt;I5510)),1,0)</f>
        <v>0</v>
      </c>
      <c r="R5510" s="56" t="n">
        <f aca="false">IF(AND(D5510&gt;1,Q5510=0,ISNUMBER(O5510),ISNUMBER(P5510)),IF(Q5509=0,1,0),0)</f>
        <v>0</v>
      </c>
      <c r="S5510" s="56" t="n">
        <f aca="false">R5510*(B5510&gt;=Train_Start)*(B5510&lt;=Train_End)</f>
        <v>0</v>
      </c>
      <c r="T5510" s="84" t="str">
        <f aca="false">IF(AND(ISNUMBER(O5510),ISNUMBER(P5510)),Coef_A+Coef_B1*O5510+Coef_B2*P5510,"")</f>
        <v/>
      </c>
      <c r="U5510" s="84" t="str">
        <f aca="false">IF(AND(R5510=1,ISNUMBER(T5510)),E5510-T5510,"")</f>
        <v/>
      </c>
      <c r="V5510" s="84" t="n">
        <f aca="false">IF(ISNUMBER(T5510),T5510,-99)</f>
        <v>-99</v>
      </c>
      <c r="W5510" s="84" t="str">
        <f aca="false">IF(ISNUMBER(U5510),ABS(U5510),"")</f>
        <v/>
      </c>
    </row>
    <row r="5511" customFormat="false" ht="15" hidden="false" customHeight="false" outlineLevel="0" collapsed="false">
      <c r="A5511" s="57" t="n">
        <v>42126</v>
      </c>
      <c r="B5511" s="56" t="n">
        <v>2015</v>
      </c>
      <c r="C5511" s="56" t="n">
        <v>5</v>
      </c>
      <c r="D5511" s="56" t="n">
        <v>2</v>
      </c>
      <c r="E5511" s="56" t="n">
        <v>20.3</v>
      </c>
      <c r="F5511" s="56" t="n">
        <v>0</v>
      </c>
      <c r="G5511" s="56" t="n">
        <v>6.2</v>
      </c>
      <c r="H5511" s="56" t="n">
        <v>0</v>
      </c>
      <c r="I5511" s="56" t="n">
        <v>11</v>
      </c>
      <c r="J5511" s="56" t="n">
        <v>0</v>
      </c>
      <c r="K5511" s="56" t="n">
        <v>1009.1</v>
      </c>
      <c r="L5511" s="56" t="n">
        <v>0</v>
      </c>
      <c r="M5511" s="56" t="n">
        <v>70</v>
      </c>
      <c r="N5511" s="56" t="n">
        <v>0.7</v>
      </c>
      <c r="O5511" s="56" t="n">
        <f aca="false">IF(D5511=1,"",E5510)</f>
        <v>15.7</v>
      </c>
      <c r="P5511" s="56" t="n">
        <f aca="false">IF(OR(D5511=1,K5510=""),"",K5510)</f>
        <v>1010.6</v>
      </c>
      <c r="Q5511" s="56" t="n">
        <f aca="false">IF(OR(F5511&lt;&gt;0,AND(I5511&lt;&gt;"",E5511&lt;I5511)),1,0)</f>
        <v>0</v>
      </c>
      <c r="R5511" s="56" t="n">
        <f aca="false">IF(AND(D5511&gt;1,Q5511=0,ISNUMBER(O5511),ISNUMBER(P5511)),IF(Q5510=0,1,0),0)</f>
        <v>1</v>
      </c>
      <c r="S5511" s="56" t="n">
        <f aca="false">R5511*(B5511&gt;=Train_Start)*(B5511&lt;=Train_End)</f>
        <v>0</v>
      </c>
      <c r="T5511" s="84" t="n">
        <f aca="false">IF(AND(ISNUMBER(O5511),ISNUMBER(P5511)),Coef_A+Coef_B1*O5511+Coef_B2*P5511,"")</f>
        <v>16.6530162698751</v>
      </c>
      <c r="U5511" s="84" t="n">
        <f aca="false">IF(AND(R5511=1,ISNUMBER(T5511)),E5511-T5511,"")</f>
        <v>3.6469837301249</v>
      </c>
      <c r="V5511" s="84" t="n">
        <f aca="false">IF(ISNUMBER(T5511),T5511,-99)</f>
        <v>16.6530162698751</v>
      </c>
      <c r="W5511" s="84" t="n">
        <f aca="false">IF(ISNUMBER(U5511),ABS(U5511),"")</f>
        <v>3.6469837301249</v>
      </c>
    </row>
    <row r="5512" customFormat="false" ht="15" hidden="false" customHeight="false" outlineLevel="0" collapsed="false">
      <c r="A5512" s="57" t="n">
        <v>42127</v>
      </c>
      <c r="B5512" s="56" t="n">
        <v>2015</v>
      </c>
      <c r="C5512" s="56" t="n">
        <v>5</v>
      </c>
      <c r="D5512" s="56" t="n">
        <v>3</v>
      </c>
      <c r="E5512" s="56" t="n">
        <v>18.9</v>
      </c>
      <c r="F5512" s="56" t="n">
        <v>0</v>
      </c>
      <c r="G5512" s="56" t="n">
        <v>9.1</v>
      </c>
      <c r="H5512" s="56" t="n">
        <v>0</v>
      </c>
      <c r="I5512" s="56" t="n">
        <v>14.7</v>
      </c>
      <c r="J5512" s="56" t="n">
        <v>0</v>
      </c>
      <c r="K5512" s="56" t="n">
        <v>998.1</v>
      </c>
      <c r="L5512" s="56" t="n">
        <v>0</v>
      </c>
      <c r="M5512" s="56" t="n">
        <v>82</v>
      </c>
      <c r="N5512" s="56" t="n">
        <v>3.3</v>
      </c>
      <c r="O5512" s="56" t="n">
        <f aca="false">IF(D5512=1,"",E5511)</f>
        <v>20.3</v>
      </c>
      <c r="P5512" s="56" t="n">
        <f aca="false">IF(OR(D5512=1,K5511=""),"",K5511)</f>
        <v>1009.1</v>
      </c>
      <c r="Q5512" s="56" t="n">
        <f aca="false">IF(OR(F5512&lt;&gt;0,AND(I5512&lt;&gt;"",E5512&lt;I5512)),1,0)</f>
        <v>0</v>
      </c>
      <c r="R5512" s="56" t="n">
        <f aca="false">IF(AND(D5512&gt;1,Q5512=0,ISNUMBER(O5512),ISNUMBER(P5512)),IF(Q5511=0,1,0),0)</f>
        <v>1</v>
      </c>
      <c r="S5512" s="56" t="n">
        <f aca="false">R5512*(B5512&gt;=Train_Start)*(B5512&lt;=Train_End)</f>
        <v>0</v>
      </c>
      <c r="T5512" s="84" t="n">
        <f aca="false">IF(AND(ISNUMBER(O5512),ISNUMBER(P5512)),Coef_A+Coef_B1*O5512+Coef_B2*P5512,"")</f>
        <v>20.3749217159203</v>
      </c>
      <c r="U5512" s="84" t="n">
        <f aca="false">IF(AND(R5512=1,ISNUMBER(T5512)),E5512-T5512,"")</f>
        <v>-1.47492171592035</v>
      </c>
      <c r="V5512" s="84" t="n">
        <f aca="false">IF(ISNUMBER(T5512),T5512,-99)</f>
        <v>20.3749217159203</v>
      </c>
      <c r="W5512" s="84" t="n">
        <f aca="false">IF(ISNUMBER(U5512),ABS(U5512),"")</f>
        <v>1.47492171592035</v>
      </c>
    </row>
    <row r="5513" customFormat="false" ht="15" hidden="false" customHeight="false" outlineLevel="0" collapsed="false">
      <c r="A5513" s="57" t="n">
        <v>42128</v>
      </c>
      <c r="B5513" s="56" t="n">
        <v>2015</v>
      </c>
      <c r="C5513" s="56" t="n">
        <v>5</v>
      </c>
      <c r="D5513" s="56" t="n">
        <v>4</v>
      </c>
      <c r="E5513" s="56" t="n">
        <v>16.4</v>
      </c>
      <c r="F5513" s="56" t="n">
        <v>0</v>
      </c>
      <c r="G5513" s="56" t="n">
        <v>11.1</v>
      </c>
      <c r="H5513" s="56" t="n">
        <v>0</v>
      </c>
      <c r="I5513" s="56" t="n">
        <v>15</v>
      </c>
      <c r="J5513" s="56" t="n">
        <v>0</v>
      </c>
      <c r="K5513" s="56" t="n">
        <v>1001.6</v>
      </c>
      <c r="L5513" s="56" t="n">
        <v>0</v>
      </c>
      <c r="M5513" s="56" t="n">
        <v>70</v>
      </c>
      <c r="N5513" s="56" t="n">
        <v>6.9</v>
      </c>
      <c r="O5513" s="56" t="n">
        <f aca="false">IF(D5513=1,"",E5512)</f>
        <v>18.9</v>
      </c>
      <c r="P5513" s="56" t="n">
        <f aca="false">IF(OR(D5513=1,K5512=""),"",K5512)</f>
        <v>998.1</v>
      </c>
      <c r="Q5513" s="56" t="n">
        <f aca="false">IF(OR(F5513&lt;&gt;0,AND(I5513&lt;&gt;"",E5513&lt;I5513)),1,0)</f>
        <v>0</v>
      </c>
      <c r="R5513" s="56" t="n">
        <f aca="false">IF(AND(D5513&gt;1,Q5513=0,ISNUMBER(O5513),ISNUMBER(P5513)),IF(Q5512=0,1,0),0)</f>
        <v>1</v>
      </c>
      <c r="S5513" s="56" t="n">
        <f aca="false">R5513*(B5513&gt;=Train_Start)*(B5513&lt;=Train_End)</f>
        <v>0</v>
      </c>
      <c r="T5513" s="84" t="n">
        <f aca="false">IF(AND(ISNUMBER(O5513),ISNUMBER(P5513)),Coef_A+Coef_B1*O5513+Coef_B2*P5513,"")</f>
        <v>18.8827780046867</v>
      </c>
      <c r="U5513" s="84" t="n">
        <f aca="false">IF(AND(R5513=1,ISNUMBER(T5513)),E5513-T5513,"")</f>
        <v>-2.48277800468674</v>
      </c>
      <c r="V5513" s="84" t="n">
        <f aca="false">IF(ISNUMBER(T5513),T5513,-99)</f>
        <v>18.8827780046867</v>
      </c>
      <c r="W5513" s="84" t="n">
        <f aca="false">IF(ISNUMBER(U5513),ABS(U5513),"")</f>
        <v>2.48277800468674</v>
      </c>
    </row>
    <row r="5514" customFormat="false" ht="15" hidden="false" customHeight="false" outlineLevel="0" collapsed="false">
      <c r="A5514" s="57" t="n">
        <v>42129</v>
      </c>
      <c r="B5514" s="56" t="n">
        <v>2015</v>
      </c>
      <c r="C5514" s="56" t="n">
        <v>5</v>
      </c>
      <c r="D5514" s="56" t="n">
        <v>5</v>
      </c>
      <c r="E5514" s="56" t="n">
        <v>14.8</v>
      </c>
      <c r="F5514" s="56" t="n">
        <v>0</v>
      </c>
      <c r="G5514" s="56" t="n">
        <v>12.2</v>
      </c>
      <c r="H5514" s="56" t="n">
        <v>0</v>
      </c>
      <c r="I5514" s="56" t="n">
        <v>14.3</v>
      </c>
      <c r="J5514" s="56" t="n">
        <v>0</v>
      </c>
      <c r="K5514" s="56" t="n">
        <v>995.1</v>
      </c>
      <c r="L5514" s="56" t="n">
        <v>0</v>
      </c>
      <c r="M5514" s="56" t="n">
        <v>72</v>
      </c>
      <c r="N5514" s="56" t="n">
        <v>4.7</v>
      </c>
      <c r="O5514" s="56" t="n">
        <f aca="false">IF(D5514=1,"",E5513)</f>
        <v>16.4</v>
      </c>
      <c r="P5514" s="56" t="n">
        <f aca="false">IF(OR(D5514=1,K5513=""),"",K5513)</f>
        <v>1001.6</v>
      </c>
      <c r="Q5514" s="56" t="n">
        <f aca="false">IF(OR(F5514&lt;&gt;0,AND(I5514&lt;&gt;"",E5514&lt;I5514)),1,0)</f>
        <v>0</v>
      </c>
      <c r="R5514" s="56" t="n">
        <f aca="false">IF(AND(D5514&gt;1,Q5514=0,ISNUMBER(O5514),ISNUMBER(P5514)),IF(Q5513=0,1,0),0)</f>
        <v>1</v>
      </c>
      <c r="S5514" s="56" t="n">
        <f aca="false">R5514*(B5514&gt;=Train_Start)*(B5514&lt;=Train_End)</f>
        <v>0</v>
      </c>
      <c r="T5514" s="84" t="n">
        <f aca="false">IF(AND(ISNUMBER(O5514),ISNUMBER(P5514)),Coef_A+Coef_B1*O5514+Coef_B2*P5514,"")</f>
        <v>16.9442246532991</v>
      </c>
      <c r="U5514" s="84" t="n">
        <f aca="false">IF(AND(R5514=1,ISNUMBER(T5514)),E5514-T5514,"")</f>
        <v>-2.14422465329906</v>
      </c>
      <c r="V5514" s="84" t="n">
        <f aca="false">IF(ISNUMBER(T5514),T5514,-99)</f>
        <v>16.9442246532991</v>
      </c>
      <c r="W5514" s="84" t="n">
        <f aca="false">IF(ISNUMBER(U5514),ABS(U5514),"")</f>
        <v>2.14422465329906</v>
      </c>
    </row>
    <row r="5515" customFormat="false" ht="15" hidden="false" customHeight="false" outlineLevel="0" collapsed="false">
      <c r="A5515" s="57" t="n">
        <v>42130</v>
      </c>
      <c r="B5515" s="56" t="n">
        <v>2015</v>
      </c>
      <c r="C5515" s="56" t="n">
        <v>5</v>
      </c>
      <c r="D5515" s="56" t="n">
        <v>6</v>
      </c>
      <c r="E5515" s="56" t="n">
        <v>17.6</v>
      </c>
      <c r="F5515" s="56" t="n">
        <v>0</v>
      </c>
      <c r="G5515" s="56" t="n">
        <v>8.1</v>
      </c>
      <c r="H5515" s="56" t="n">
        <v>0</v>
      </c>
      <c r="I5515" s="56" t="n">
        <v>11.5</v>
      </c>
      <c r="J5515" s="56" t="n">
        <v>0</v>
      </c>
      <c r="K5515" s="56" t="n">
        <v>1004.3</v>
      </c>
      <c r="L5515" s="56" t="n">
        <v>0</v>
      </c>
      <c r="M5515" s="56" t="n">
        <v>76</v>
      </c>
      <c r="N5515" s="56" t="n">
        <v>5.4</v>
      </c>
      <c r="O5515" s="56" t="n">
        <f aca="false">IF(D5515=1,"",E5514)</f>
        <v>14.8</v>
      </c>
      <c r="P5515" s="56" t="n">
        <f aca="false">IF(OR(D5515=1,K5514=""),"",K5514)</f>
        <v>995.1</v>
      </c>
      <c r="Q5515" s="56" t="n">
        <f aca="false">IF(OR(F5515&lt;&gt;0,AND(I5515&lt;&gt;"",E5515&lt;I5515)),1,0)</f>
        <v>0</v>
      </c>
      <c r="R5515" s="56" t="n">
        <f aca="false">IF(AND(D5515&gt;1,Q5515=0,ISNUMBER(O5515),ISNUMBER(P5515)),IF(Q5514=0,1,0),0)</f>
        <v>1</v>
      </c>
      <c r="S5515" s="56" t="n">
        <f aca="false">R5515*(B5515&gt;=Train_Start)*(B5515&lt;=Train_End)</f>
        <v>0</v>
      </c>
      <c r="T5515" s="84" t="n">
        <f aca="false">IF(AND(ISNUMBER(O5515),ISNUMBER(P5515)),Coef_A+Coef_B1*O5515+Coef_B2*P5515,"")</f>
        <v>15.4293776293099</v>
      </c>
      <c r="U5515" s="84" t="n">
        <f aca="false">IF(AND(R5515=1,ISNUMBER(T5515)),E5515-T5515,"")</f>
        <v>2.17062237069013</v>
      </c>
      <c r="V5515" s="84" t="n">
        <f aca="false">IF(ISNUMBER(T5515),T5515,-99)</f>
        <v>15.4293776293099</v>
      </c>
      <c r="W5515" s="84" t="n">
        <f aca="false">IF(ISNUMBER(U5515),ABS(U5515),"")</f>
        <v>2.17062237069013</v>
      </c>
    </row>
    <row r="5516" customFormat="false" ht="15" hidden="false" customHeight="false" outlineLevel="0" collapsed="false">
      <c r="A5516" s="57" t="n">
        <v>42131</v>
      </c>
      <c r="B5516" s="56" t="n">
        <v>2015</v>
      </c>
      <c r="C5516" s="56" t="n">
        <v>5</v>
      </c>
      <c r="D5516" s="56" t="n">
        <v>7</v>
      </c>
      <c r="E5516" s="56" t="n">
        <v>16.7</v>
      </c>
      <c r="F5516" s="56" t="n">
        <v>0</v>
      </c>
      <c r="G5516" s="56" t="n">
        <v>8.5</v>
      </c>
      <c r="H5516" s="56" t="n">
        <v>0</v>
      </c>
      <c r="I5516" s="56" t="n">
        <v>13.1</v>
      </c>
      <c r="J5516" s="56" t="n">
        <v>0</v>
      </c>
      <c r="K5516" s="56" t="n">
        <v>1015.6</v>
      </c>
      <c r="L5516" s="56" t="n">
        <v>0</v>
      </c>
      <c r="M5516" s="56" t="n">
        <v>65</v>
      </c>
      <c r="N5516" s="56" t="n">
        <v>5.5</v>
      </c>
      <c r="O5516" s="56" t="n">
        <f aca="false">IF(D5516=1,"",E5515)</f>
        <v>17.6</v>
      </c>
      <c r="P5516" s="56" t="n">
        <f aca="false">IF(OR(D5516=1,K5515=""),"",K5515)</f>
        <v>1004.3</v>
      </c>
      <c r="Q5516" s="56" t="n">
        <f aca="false">IF(OR(F5516&lt;&gt;0,AND(I5516&lt;&gt;"",E5516&lt;I5516)),1,0)</f>
        <v>0</v>
      </c>
      <c r="R5516" s="56" t="n">
        <f aca="false">IF(AND(D5516&gt;1,Q5516=0,ISNUMBER(O5516),ISNUMBER(P5516)),IF(Q5515=0,1,0),0)</f>
        <v>1</v>
      </c>
      <c r="S5516" s="56" t="n">
        <f aca="false">R5516*(B5516&gt;=Train_Start)*(B5516&lt;=Train_End)</f>
        <v>0</v>
      </c>
      <c r="T5516" s="84" t="n">
        <f aca="false">IF(AND(ISNUMBER(O5516),ISNUMBER(P5516)),Coef_A+Coef_B1*O5516+Coef_B2*P5516,"")</f>
        <v>18.012130400462</v>
      </c>
      <c r="U5516" s="84" t="n">
        <f aca="false">IF(AND(R5516=1,ISNUMBER(T5516)),E5516-T5516,"")</f>
        <v>-1.31213040046202</v>
      </c>
      <c r="V5516" s="84" t="n">
        <f aca="false">IF(ISNUMBER(T5516),T5516,-99)</f>
        <v>18.012130400462</v>
      </c>
      <c r="W5516" s="84" t="n">
        <f aca="false">IF(ISNUMBER(U5516),ABS(U5516),"")</f>
        <v>1.31213040046202</v>
      </c>
    </row>
    <row r="5517" customFormat="false" ht="15" hidden="false" customHeight="false" outlineLevel="0" collapsed="false">
      <c r="A5517" s="57" t="n">
        <v>42132</v>
      </c>
      <c r="B5517" s="56" t="n">
        <v>2015</v>
      </c>
      <c r="C5517" s="56" t="n">
        <v>5</v>
      </c>
      <c r="D5517" s="56" t="n">
        <v>8</v>
      </c>
      <c r="E5517" s="56" t="n">
        <v>19.3</v>
      </c>
      <c r="F5517" s="56" t="n">
        <v>0</v>
      </c>
      <c r="G5517" s="56" t="n">
        <v>7.9</v>
      </c>
      <c r="H5517" s="56" t="n">
        <v>0</v>
      </c>
      <c r="I5517" s="56" t="n">
        <v>12.3</v>
      </c>
      <c r="J5517" s="56" t="n">
        <v>0</v>
      </c>
      <c r="K5517" s="56" t="n">
        <v>1013.1</v>
      </c>
      <c r="L5517" s="56" t="n">
        <v>0</v>
      </c>
      <c r="M5517" s="56" t="n">
        <v>73</v>
      </c>
      <c r="N5517" s="56" t="n">
        <v>0.1</v>
      </c>
      <c r="O5517" s="56" t="n">
        <f aca="false">IF(D5517=1,"",E5516)</f>
        <v>16.7</v>
      </c>
      <c r="P5517" s="56" t="n">
        <f aca="false">IF(OR(D5517=1,K5516=""),"",K5516)</f>
        <v>1015.6</v>
      </c>
      <c r="Q5517" s="56" t="n">
        <f aca="false">IF(OR(F5517&lt;&gt;0,AND(I5517&lt;&gt;"",E5517&lt;I5517)),1,0)</f>
        <v>0</v>
      </c>
      <c r="R5517" s="56" t="n">
        <f aca="false">IF(AND(D5517&gt;1,Q5517=0,ISNUMBER(O5517),ISNUMBER(P5517)),IF(Q5516=0,1,0),0)</f>
        <v>1</v>
      </c>
      <c r="S5517" s="56" t="n">
        <f aca="false">R5517*(B5517&gt;=Train_Start)*(B5517&lt;=Train_End)</f>
        <v>0</v>
      </c>
      <c r="T5517" s="84" t="n">
        <f aca="false">IF(AND(ISNUMBER(O5517),ISNUMBER(P5517)),Coef_A+Coef_B1*O5517+Coef_B2*P5517,"")</f>
        <v>17.6292049360877</v>
      </c>
      <c r="U5517" s="84" t="n">
        <f aca="false">IF(AND(R5517=1,ISNUMBER(T5517)),E5517-T5517,"")</f>
        <v>1.67079506391229</v>
      </c>
      <c r="V5517" s="84" t="n">
        <f aca="false">IF(ISNUMBER(T5517),T5517,-99)</f>
        <v>17.6292049360877</v>
      </c>
      <c r="W5517" s="84" t="n">
        <f aca="false">IF(ISNUMBER(U5517),ABS(U5517),"")</f>
        <v>1.67079506391229</v>
      </c>
    </row>
    <row r="5518" customFormat="false" ht="15" hidden="false" customHeight="false" outlineLevel="0" collapsed="false">
      <c r="A5518" s="57" t="n">
        <v>42133</v>
      </c>
      <c r="B5518" s="56" t="n">
        <v>2015</v>
      </c>
      <c r="C5518" s="56" t="n">
        <v>5</v>
      </c>
      <c r="D5518" s="56" t="n">
        <v>9</v>
      </c>
      <c r="E5518" s="56" t="n">
        <v>19.4</v>
      </c>
      <c r="F5518" s="56" t="n">
        <v>0</v>
      </c>
      <c r="G5518" s="56" t="n">
        <v>11.3</v>
      </c>
      <c r="H5518" s="56" t="n">
        <v>0</v>
      </c>
      <c r="I5518" s="56" t="n">
        <v>15.3</v>
      </c>
      <c r="J5518" s="56" t="n">
        <v>0</v>
      </c>
      <c r="K5518" s="56" t="n">
        <v>1016</v>
      </c>
      <c r="L5518" s="56" t="n">
        <v>0</v>
      </c>
      <c r="M5518" s="56" t="n">
        <v>61</v>
      </c>
      <c r="N5518" s="56" t="n">
        <v>5.7</v>
      </c>
      <c r="O5518" s="56" t="n">
        <f aca="false">IF(D5518=1,"",E5517)</f>
        <v>19.3</v>
      </c>
      <c r="P5518" s="56" t="n">
        <f aca="false">IF(OR(D5518=1,K5517=""),"",K5517)</f>
        <v>1013.1</v>
      </c>
      <c r="Q5518" s="56" t="n">
        <f aca="false">IF(OR(F5518&lt;&gt;0,AND(I5518&lt;&gt;"",E5518&lt;I5518)),1,0)</f>
        <v>0</v>
      </c>
      <c r="R5518" s="56" t="n">
        <f aca="false">IF(AND(D5518&gt;1,Q5518=0,ISNUMBER(O5518),ISNUMBER(P5518)),IF(Q5517=0,1,0),0)</f>
        <v>1</v>
      </c>
      <c r="S5518" s="56" t="n">
        <f aca="false">R5518*(B5518&gt;=Train_Start)*(B5518&lt;=Train_End)</f>
        <v>0</v>
      </c>
      <c r="T5518" s="84" t="n">
        <f aca="false">IF(AND(ISNUMBER(O5518),ISNUMBER(P5518)),Coef_A+Coef_B1*O5518+Coef_B2*P5518,"")</f>
        <v>19.6810621014136</v>
      </c>
      <c r="U5518" s="84" t="n">
        <f aca="false">IF(AND(R5518=1,ISNUMBER(T5518)),E5518-T5518,"")</f>
        <v>-0.281062101413646</v>
      </c>
      <c r="V5518" s="84" t="n">
        <f aca="false">IF(ISNUMBER(T5518),T5518,-99)</f>
        <v>19.6810621014136</v>
      </c>
      <c r="W5518" s="84" t="n">
        <f aca="false">IF(ISNUMBER(U5518),ABS(U5518),"")</f>
        <v>0.281062101413646</v>
      </c>
    </row>
    <row r="5519" customFormat="false" ht="15" hidden="false" customHeight="false" outlineLevel="0" collapsed="false">
      <c r="A5519" s="57" t="n">
        <v>42134</v>
      </c>
      <c r="B5519" s="56" t="n">
        <v>2015</v>
      </c>
      <c r="C5519" s="56" t="n">
        <v>5</v>
      </c>
      <c r="D5519" s="56" t="n">
        <v>10</v>
      </c>
      <c r="E5519" s="56" t="n">
        <v>21.6</v>
      </c>
      <c r="F5519" s="56" t="n">
        <v>0</v>
      </c>
      <c r="G5519" s="56" t="n">
        <v>8.6</v>
      </c>
      <c r="H5519" s="56" t="n">
        <v>0</v>
      </c>
      <c r="I5519" s="56" t="n">
        <v>14</v>
      </c>
      <c r="J5519" s="56" t="n">
        <v>0</v>
      </c>
      <c r="K5519" s="56" t="n">
        <v>1023</v>
      </c>
      <c r="L5519" s="56" t="n">
        <v>0</v>
      </c>
      <c r="M5519" s="56" t="n">
        <v>70</v>
      </c>
      <c r="N5519" s="56" t="n">
        <v>7.5</v>
      </c>
      <c r="O5519" s="56" t="n">
        <f aca="false">IF(D5519=1,"",E5518)</f>
        <v>19.4</v>
      </c>
      <c r="P5519" s="56" t="n">
        <f aca="false">IF(OR(D5519=1,K5518=""),"",K5518)</f>
        <v>1016</v>
      </c>
      <c r="Q5519" s="56" t="n">
        <f aca="false">IF(OR(F5519&lt;&gt;0,AND(I5519&lt;&gt;"",E5519&lt;I5519)),1,0)</f>
        <v>0</v>
      </c>
      <c r="R5519" s="56" t="n">
        <f aca="false">IF(AND(D5519&gt;1,Q5519=0,ISNUMBER(O5519),ISNUMBER(P5519)),IF(Q5518=0,1,0),0)</f>
        <v>1</v>
      </c>
      <c r="S5519" s="56" t="n">
        <f aca="false">R5519*(B5519&gt;=Train_Start)*(B5519&lt;=Train_End)</f>
        <v>0</v>
      </c>
      <c r="T5519" s="84" t="n">
        <f aca="false">IF(AND(ISNUMBER(O5519),ISNUMBER(P5519)),Coef_A+Coef_B1*O5519+Coef_B2*P5519,"")</f>
        <v>19.8539687151565</v>
      </c>
      <c r="U5519" s="84" t="n">
        <f aca="false">IF(AND(R5519=1,ISNUMBER(T5519)),E5519-T5519,"")</f>
        <v>1.74603128484353</v>
      </c>
      <c r="V5519" s="84" t="n">
        <f aca="false">IF(ISNUMBER(T5519),T5519,-99)</f>
        <v>19.8539687151565</v>
      </c>
      <c r="W5519" s="84" t="n">
        <f aca="false">IF(ISNUMBER(U5519),ABS(U5519),"")</f>
        <v>1.74603128484353</v>
      </c>
    </row>
    <row r="5520" customFormat="false" ht="15" hidden="false" customHeight="false" outlineLevel="0" collapsed="false">
      <c r="A5520" s="57" t="n">
        <v>42135</v>
      </c>
      <c r="B5520" s="56" t="n">
        <v>2015</v>
      </c>
      <c r="C5520" s="56" t="n">
        <v>5</v>
      </c>
      <c r="D5520" s="56" t="n">
        <v>11</v>
      </c>
      <c r="E5520" s="56" t="n">
        <v>18.2</v>
      </c>
      <c r="F5520" s="56" t="n">
        <v>0</v>
      </c>
      <c r="G5520" s="56" t="n">
        <v>11.1</v>
      </c>
      <c r="H5520" s="56" t="n">
        <v>0</v>
      </c>
      <c r="I5520" s="56" t="n">
        <v>16.4</v>
      </c>
      <c r="J5520" s="56" t="n">
        <v>0</v>
      </c>
      <c r="K5520" s="56" t="n">
        <v>1017.9</v>
      </c>
      <c r="L5520" s="56" t="n">
        <v>0</v>
      </c>
      <c r="M5520" s="56" t="n">
        <v>69</v>
      </c>
      <c r="N5520" s="56" t="n">
        <v>5.6</v>
      </c>
      <c r="O5520" s="56" t="n">
        <f aca="false">IF(D5520=1,"",E5519)</f>
        <v>21.6</v>
      </c>
      <c r="P5520" s="56" t="n">
        <f aca="false">IF(OR(D5520=1,K5519=""),"",K5519)</f>
        <v>1023</v>
      </c>
      <c r="Q5520" s="56" t="n">
        <f aca="false">IF(OR(F5520&lt;&gt;0,AND(I5520&lt;&gt;"",E5520&lt;I5520)),1,0)</f>
        <v>0</v>
      </c>
      <c r="R5520" s="56" t="n">
        <f aca="false">IF(AND(D5520&gt;1,Q5520=0,ISNUMBER(O5520),ISNUMBER(P5520)),IF(Q5519=0,1,0),0)</f>
        <v>1</v>
      </c>
      <c r="S5520" s="56" t="n">
        <f aca="false">R5520*(B5520&gt;=Train_Start)*(B5520&lt;=Train_End)</f>
        <v>0</v>
      </c>
      <c r="T5520" s="84" t="n">
        <f aca="false">IF(AND(ISNUMBER(O5520),ISNUMBER(P5520)),Coef_A+Coef_B1*O5520+Coef_B2*P5520,"")</f>
        <v>21.8761042022883</v>
      </c>
      <c r="U5520" s="84" t="n">
        <f aca="false">IF(AND(R5520=1,ISNUMBER(T5520)),E5520-T5520,"")</f>
        <v>-3.67610420228825</v>
      </c>
      <c r="V5520" s="84" t="n">
        <f aca="false">IF(ISNUMBER(T5520),T5520,-99)</f>
        <v>21.8761042022883</v>
      </c>
      <c r="W5520" s="84" t="n">
        <f aca="false">IF(ISNUMBER(U5520),ABS(U5520),"")</f>
        <v>3.67610420228825</v>
      </c>
    </row>
    <row r="5521" customFormat="false" ht="15" hidden="false" customHeight="false" outlineLevel="0" collapsed="false">
      <c r="A5521" s="57" t="n">
        <v>42136</v>
      </c>
      <c r="B5521" s="56" t="n">
        <v>2015</v>
      </c>
      <c r="C5521" s="56" t="n">
        <v>5</v>
      </c>
      <c r="D5521" s="56" t="n">
        <v>12</v>
      </c>
      <c r="E5521" s="56" t="n">
        <v>20.1</v>
      </c>
      <c r="F5521" s="56" t="n">
        <v>0</v>
      </c>
      <c r="G5521" s="56" t="n">
        <v>10.3</v>
      </c>
      <c r="H5521" s="56" t="n">
        <v>0</v>
      </c>
      <c r="I5521" s="56" t="n">
        <v>14.3</v>
      </c>
      <c r="J5521" s="56" t="n">
        <v>0</v>
      </c>
      <c r="K5521" s="56" t="n">
        <v>1019.3</v>
      </c>
      <c r="L5521" s="56" t="n">
        <v>0</v>
      </c>
      <c r="M5521" s="56" t="n">
        <v>57</v>
      </c>
      <c r="N5521" s="56" t="n">
        <v>9.3</v>
      </c>
      <c r="O5521" s="56" t="n">
        <f aca="false">IF(D5521=1,"",E5520)</f>
        <v>18.2</v>
      </c>
      <c r="P5521" s="56" t="n">
        <f aca="false">IF(OR(D5521=1,K5520=""),"",K5520)</f>
        <v>1017.9</v>
      </c>
      <c r="Q5521" s="56" t="n">
        <f aca="false">IF(OR(F5521&lt;&gt;0,AND(I5521&lt;&gt;"",E5521&lt;I5521)),1,0)</f>
        <v>0</v>
      </c>
      <c r="R5521" s="56" t="n">
        <f aca="false">IF(AND(D5521&gt;1,Q5521=0,ISNUMBER(O5521),ISNUMBER(P5521)),IF(Q5520=0,1,0),0)</f>
        <v>1</v>
      </c>
      <c r="S5521" s="56" t="n">
        <f aca="false">R5521*(B5521&gt;=Train_Start)*(B5521&lt;=Train_End)</f>
        <v>0</v>
      </c>
      <c r="T5521" s="84" t="n">
        <f aca="false">IF(AND(ISNUMBER(O5521),ISNUMBER(P5521)),Coef_A+Coef_B1*O5521+Coef_B2*P5521,"")</f>
        <v>18.9303644833099</v>
      </c>
      <c r="U5521" s="84" t="n">
        <f aca="false">IF(AND(R5521=1,ISNUMBER(T5521)),E5521-T5521,"")</f>
        <v>1.16963551669014</v>
      </c>
      <c r="V5521" s="84" t="n">
        <f aca="false">IF(ISNUMBER(T5521),T5521,-99)</f>
        <v>18.9303644833099</v>
      </c>
      <c r="W5521" s="84" t="n">
        <f aca="false">IF(ISNUMBER(U5521),ABS(U5521),"")</f>
        <v>1.16963551669014</v>
      </c>
    </row>
    <row r="5522" customFormat="false" ht="15" hidden="false" customHeight="false" outlineLevel="0" collapsed="false">
      <c r="A5522" s="57" t="n">
        <v>42137</v>
      </c>
      <c r="B5522" s="56" t="n">
        <v>2015</v>
      </c>
      <c r="C5522" s="56" t="n">
        <v>5</v>
      </c>
      <c r="D5522" s="56" t="n">
        <v>13</v>
      </c>
      <c r="E5522" s="56" t="n">
        <v>11.3</v>
      </c>
      <c r="F5522" s="56" t="n">
        <v>1</v>
      </c>
      <c r="G5522" s="56" t="n">
        <v>6</v>
      </c>
      <c r="H5522" s="56" t="n">
        <v>0</v>
      </c>
      <c r="I5522" s="56" t="n">
        <v>13.1</v>
      </c>
      <c r="J5522" s="56" t="n">
        <v>1</v>
      </c>
      <c r="K5522" s="56" t="n">
        <v>1019</v>
      </c>
      <c r="L5522" s="56" t="n">
        <v>0</v>
      </c>
      <c r="M5522" s="56" t="n">
        <v>55</v>
      </c>
      <c r="N5522" s="56" t="n">
        <v>14</v>
      </c>
      <c r="O5522" s="56" t="n">
        <f aca="false">IF(D5522=1,"",E5521)</f>
        <v>20.1</v>
      </c>
      <c r="P5522" s="56" t="n">
        <f aca="false">IF(OR(D5522=1,K5521=""),"",K5521)</f>
        <v>1019.3</v>
      </c>
      <c r="Q5522" s="56" t="n">
        <f aca="false">IF(OR(F5522&lt;&gt;0,AND(I5522&lt;&gt;"",E5522&lt;I5522)),1,0)</f>
        <v>1</v>
      </c>
      <c r="R5522" s="56" t="n">
        <f aca="false">IF(AND(D5522&gt;1,Q5522=0,ISNUMBER(O5522),ISNUMBER(P5522)),IF(Q5521=0,1,0),0)</f>
        <v>0</v>
      </c>
      <c r="S5522" s="56" t="n">
        <f aca="false">R5522*(B5522&gt;=Train_Start)*(B5522&lt;=Train_End)</f>
        <v>0</v>
      </c>
      <c r="T5522" s="84" t="n">
        <f aca="false">IF(AND(ISNUMBER(O5522),ISNUMBER(P5522)),Coef_A+Coef_B1*O5522+Coef_B2*P5522,"")</f>
        <v>20.5310268025785</v>
      </c>
      <c r="U5522" s="84" t="str">
        <f aca="false">IF(AND(R5522=1,ISNUMBER(T5522)),E5522-T5522,"")</f>
        <v/>
      </c>
      <c r="V5522" s="84" t="n">
        <f aca="false">IF(ISNUMBER(T5522),T5522,-99)</f>
        <v>20.5310268025785</v>
      </c>
      <c r="W5522" s="84" t="str">
        <f aca="false">IF(ISNUMBER(U5522),ABS(U5522),"")</f>
        <v/>
      </c>
    </row>
    <row r="5523" customFormat="false" ht="15" hidden="false" customHeight="false" outlineLevel="0" collapsed="false">
      <c r="A5523" s="57" t="n">
        <v>42138</v>
      </c>
      <c r="B5523" s="56" t="n">
        <v>2015</v>
      </c>
      <c r="C5523" s="56" t="n">
        <v>5</v>
      </c>
      <c r="D5523" s="56" t="n">
        <v>14</v>
      </c>
      <c r="E5523" s="56" t="n">
        <v>15.6</v>
      </c>
      <c r="F5523" s="56" t="n">
        <v>0</v>
      </c>
      <c r="G5523" s="56" t="n">
        <v>9.1</v>
      </c>
      <c r="H5523" s="56" t="n">
        <v>0</v>
      </c>
      <c r="I5523" s="56" t="n">
        <v>10.2</v>
      </c>
      <c r="J5523" s="56" t="n">
        <v>0</v>
      </c>
      <c r="K5523" s="56" t="n">
        <v>1012.7</v>
      </c>
      <c r="L5523" s="56" t="n">
        <v>0</v>
      </c>
      <c r="M5523" s="56" t="n">
        <v>86</v>
      </c>
      <c r="N5523" s="56" t="n">
        <v>0</v>
      </c>
      <c r="O5523" s="56" t="n">
        <f aca="false">IF(D5523=1,"",E5522)</f>
        <v>11.3</v>
      </c>
      <c r="P5523" s="56" t="n">
        <f aca="false">IF(OR(D5523=1,K5522=""),"",K5522)</f>
        <v>1019</v>
      </c>
      <c r="Q5523" s="56" t="n">
        <f aca="false">IF(OR(F5523&lt;&gt;0,AND(I5523&lt;&gt;"",E5523&lt;I5523)),1,0)</f>
        <v>0</v>
      </c>
      <c r="R5523" s="56" t="n">
        <f aca="false">IF(AND(D5523&gt;1,Q5523=0,ISNUMBER(O5523),ISNUMBER(P5523)),IF(Q5522=0,1,0),0)</f>
        <v>0</v>
      </c>
      <c r="S5523" s="56" t="n">
        <f aca="false">R5523*(B5523&gt;=Train_Start)*(B5523&lt;=Train_End)</f>
        <v>0</v>
      </c>
      <c r="T5523" s="84" t="n">
        <f aca="false">IF(AND(ISNUMBER(O5523),ISNUMBER(P5523)),Coef_A+Coef_B1*O5523+Coef_B2*P5523,"")</f>
        <v>13.3114309354129</v>
      </c>
      <c r="U5523" s="84" t="str">
        <f aca="false">IF(AND(R5523=1,ISNUMBER(T5523)),E5523-T5523,"")</f>
        <v/>
      </c>
      <c r="V5523" s="84" t="n">
        <f aca="false">IF(ISNUMBER(T5523),T5523,-99)</f>
        <v>13.3114309354129</v>
      </c>
      <c r="W5523" s="84" t="str">
        <f aca="false">IF(ISNUMBER(U5523),ABS(U5523),"")</f>
        <v/>
      </c>
    </row>
    <row r="5524" customFormat="false" ht="15" hidden="false" customHeight="false" outlineLevel="0" collapsed="false">
      <c r="A5524" s="57" t="n">
        <v>42139</v>
      </c>
      <c r="B5524" s="56" t="n">
        <v>2015</v>
      </c>
      <c r="C5524" s="56" t="n">
        <v>5</v>
      </c>
      <c r="D5524" s="56" t="n">
        <v>15</v>
      </c>
      <c r="E5524" s="56" t="n">
        <v>18.8</v>
      </c>
      <c r="F5524" s="56" t="n">
        <v>0</v>
      </c>
      <c r="G5524" s="56" t="n">
        <v>7.7</v>
      </c>
      <c r="H5524" s="56" t="n">
        <v>0</v>
      </c>
      <c r="I5524" s="56" t="n">
        <v>11.7</v>
      </c>
      <c r="J5524" s="56" t="n">
        <v>0</v>
      </c>
      <c r="K5524" s="56" t="n">
        <v>1021.1</v>
      </c>
      <c r="L5524" s="56" t="n">
        <v>0</v>
      </c>
      <c r="M5524" s="56" t="n">
        <v>73</v>
      </c>
      <c r="N5524" s="56" t="n">
        <v>5.7</v>
      </c>
      <c r="O5524" s="56" t="n">
        <f aca="false">IF(D5524=1,"",E5523)</f>
        <v>15.6</v>
      </c>
      <c r="P5524" s="56" t="n">
        <f aca="false">IF(OR(D5524=1,K5523=""),"",K5523)</f>
        <v>1012.7</v>
      </c>
      <c r="Q5524" s="56" t="n">
        <f aca="false">IF(OR(F5524&lt;&gt;0,AND(I5524&lt;&gt;"",E5524&lt;I5524)),1,0)</f>
        <v>0</v>
      </c>
      <c r="R5524" s="56" t="n">
        <f aca="false">IF(AND(D5524&gt;1,Q5524=0,ISNUMBER(O5524),ISNUMBER(P5524)),IF(Q5523=0,1,0),0)</f>
        <v>1</v>
      </c>
      <c r="S5524" s="56" t="n">
        <f aca="false">R5524*(B5524&gt;=Train_Start)*(B5524&lt;=Train_End)</f>
        <v>0</v>
      </c>
      <c r="T5524" s="84" t="n">
        <f aca="false">IF(AND(ISNUMBER(O5524),ISNUMBER(P5524)),Coef_A+Coef_B1*O5524+Coef_B2*P5524,"")</f>
        <v>16.6369591293022</v>
      </c>
      <c r="U5524" s="84" t="n">
        <f aca="false">IF(AND(R5524=1,ISNUMBER(T5524)),E5524-T5524,"")</f>
        <v>2.16304087069779</v>
      </c>
      <c r="V5524" s="84" t="n">
        <f aca="false">IF(ISNUMBER(T5524),T5524,-99)</f>
        <v>16.6369591293022</v>
      </c>
      <c r="W5524" s="84" t="n">
        <f aca="false">IF(ISNUMBER(U5524),ABS(U5524),"")</f>
        <v>2.16304087069779</v>
      </c>
    </row>
    <row r="5525" customFormat="false" ht="15" hidden="false" customHeight="false" outlineLevel="0" collapsed="false">
      <c r="A5525" s="57" t="n">
        <v>42140</v>
      </c>
      <c r="B5525" s="56" t="n">
        <v>2015</v>
      </c>
      <c r="C5525" s="56" t="n">
        <v>5</v>
      </c>
      <c r="D5525" s="56" t="n">
        <v>16</v>
      </c>
      <c r="E5525" s="56" t="n">
        <v>17.7</v>
      </c>
      <c r="F5525" s="56" t="n">
        <v>0</v>
      </c>
      <c r="G5525" s="56" t="n">
        <v>11</v>
      </c>
      <c r="H5525" s="56" t="n">
        <v>0</v>
      </c>
      <c r="I5525" s="56" t="n">
        <v>14.9</v>
      </c>
      <c r="J5525" s="56" t="n">
        <v>0</v>
      </c>
      <c r="K5525" s="56" t="n">
        <v>1024.1</v>
      </c>
      <c r="L5525" s="56" t="n">
        <v>0</v>
      </c>
      <c r="M5525" s="56" t="n">
        <v>59</v>
      </c>
      <c r="N5525" s="56" t="n">
        <v>10</v>
      </c>
      <c r="O5525" s="56" t="n">
        <f aca="false">IF(D5525=1,"",E5524)</f>
        <v>18.8</v>
      </c>
      <c r="P5525" s="56" t="n">
        <f aca="false">IF(OR(D5525=1,K5524=""),"",K5524)</f>
        <v>1021.1</v>
      </c>
      <c r="Q5525" s="56" t="n">
        <f aca="false">IF(OR(F5525&lt;&gt;0,AND(I5525&lt;&gt;"",E5525&lt;I5525)),1,0)</f>
        <v>0</v>
      </c>
      <c r="R5525" s="56" t="n">
        <f aca="false">IF(AND(D5525&gt;1,Q5525=0,ISNUMBER(O5525),ISNUMBER(P5525)),IF(Q5524=0,1,0),0)</f>
        <v>1</v>
      </c>
      <c r="S5525" s="56" t="n">
        <f aca="false">R5525*(B5525&gt;=Train_Start)*(B5525&lt;=Train_End)</f>
        <v>0</v>
      </c>
      <c r="T5525" s="84" t="n">
        <f aca="false">IF(AND(ISNUMBER(O5525),ISNUMBER(P5525)),Coef_A+Coef_B1*O5525+Coef_B2*P5525,"")</f>
        <v>19.5223516619642</v>
      </c>
      <c r="U5525" s="84" t="n">
        <f aca="false">IF(AND(R5525=1,ISNUMBER(T5525)),E5525-T5525,"")</f>
        <v>-1.82235166196423</v>
      </c>
      <c r="V5525" s="84" t="n">
        <f aca="false">IF(ISNUMBER(T5525),T5525,-99)</f>
        <v>19.5223516619642</v>
      </c>
      <c r="W5525" s="84" t="n">
        <f aca="false">IF(ISNUMBER(U5525),ABS(U5525),"")</f>
        <v>1.82235166196423</v>
      </c>
    </row>
    <row r="5526" customFormat="false" ht="15" hidden="false" customHeight="false" outlineLevel="0" collapsed="false">
      <c r="A5526" s="57" t="n">
        <v>42141</v>
      </c>
      <c r="B5526" s="56" t="n">
        <v>2015</v>
      </c>
      <c r="C5526" s="56" t="n">
        <v>5</v>
      </c>
      <c r="D5526" s="56" t="n">
        <v>17</v>
      </c>
      <c r="E5526" s="56" t="n">
        <v>15.8</v>
      </c>
      <c r="F5526" s="56" t="n">
        <v>0</v>
      </c>
      <c r="G5526" s="56" t="n">
        <v>6.4</v>
      </c>
      <c r="H5526" s="56" t="n">
        <v>0</v>
      </c>
      <c r="I5526" s="56" t="n">
        <v>12.1</v>
      </c>
      <c r="J5526" s="56" t="n">
        <v>0</v>
      </c>
      <c r="K5526" s="56" t="n">
        <v>1024.6</v>
      </c>
      <c r="L5526" s="56" t="n">
        <v>0</v>
      </c>
      <c r="M5526" s="56" t="n">
        <v>63</v>
      </c>
      <c r="N5526" s="56" t="n">
        <v>8.8</v>
      </c>
      <c r="O5526" s="56" t="n">
        <f aca="false">IF(D5526=1,"",E5525)</f>
        <v>17.7</v>
      </c>
      <c r="P5526" s="56" t="n">
        <f aca="false">IF(OR(D5526=1,K5525=""),"",K5525)</f>
        <v>1024.1</v>
      </c>
      <c r="Q5526" s="56" t="n">
        <f aca="false">IF(OR(F5526&lt;&gt;0,AND(I5526&lt;&gt;"",E5526&lt;I5526)),1,0)</f>
        <v>0</v>
      </c>
      <c r="R5526" s="56" t="n">
        <f aca="false">IF(AND(D5526&gt;1,Q5526=0,ISNUMBER(O5526),ISNUMBER(P5526)),IF(Q5525=0,1,0),0)</f>
        <v>1</v>
      </c>
      <c r="S5526" s="56" t="n">
        <f aca="false">R5526*(B5526&gt;=Train_Start)*(B5526&lt;=Train_End)</f>
        <v>0</v>
      </c>
      <c r="T5526" s="84" t="n">
        <f aca="false">IF(AND(ISNUMBER(O5526),ISNUMBER(P5526)),Coef_A+Coef_B1*O5526+Coef_B2*P5526,"")</f>
        <v>18.7151882335193</v>
      </c>
      <c r="U5526" s="84" t="n">
        <f aca="false">IF(AND(R5526=1,ISNUMBER(T5526)),E5526-T5526,"")</f>
        <v>-2.91518823351927</v>
      </c>
      <c r="V5526" s="84" t="n">
        <f aca="false">IF(ISNUMBER(T5526),T5526,-99)</f>
        <v>18.7151882335193</v>
      </c>
      <c r="W5526" s="84" t="n">
        <f aca="false">IF(ISNUMBER(U5526),ABS(U5526),"")</f>
        <v>2.91518823351927</v>
      </c>
    </row>
    <row r="5527" customFormat="false" ht="15" hidden="false" customHeight="false" outlineLevel="0" collapsed="false">
      <c r="A5527" s="57" t="n">
        <v>42142</v>
      </c>
      <c r="B5527" s="56" t="n">
        <v>2015</v>
      </c>
      <c r="C5527" s="56" t="n">
        <v>5</v>
      </c>
      <c r="D5527" s="56" t="n">
        <v>18</v>
      </c>
      <c r="E5527" s="56" t="n">
        <v>14.7</v>
      </c>
      <c r="F5527" s="56" t="n">
        <v>0</v>
      </c>
      <c r="G5527" s="56" t="n">
        <v>9</v>
      </c>
      <c r="H5527" s="56" t="n">
        <v>0</v>
      </c>
      <c r="I5527" s="56" t="n">
        <v>12.4</v>
      </c>
      <c r="J5527" s="56" t="n">
        <v>0</v>
      </c>
      <c r="K5527" s="56" t="n">
        <v>1006.8</v>
      </c>
      <c r="L5527" s="56" t="n">
        <v>0</v>
      </c>
      <c r="M5527" s="56" t="n">
        <v>70</v>
      </c>
      <c r="N5527" s="56" t="n">
        <v>5</v>
      </c>
      <c r="O5527" s="56" t="n">
        <f aca="false">IF(D5527=1,"",E5526)</f>
        <v>15.8</v>
      </c>
      <c r="P5527" s="56" t="n">
        <f aca="false">IF(OR(D5527=1,K5526=""),"",K5526)</f>
        <v>1024.6</v>
      </c>
      <c r="Q5527" s="56" t="n">
        <f aca="false">IF(OR(F5527&lt;&gt;0,AND(I5527&lt;&gt;"",E5527&lt;I5527)),1,0)</f>
        <v>0</v>
      </c>
      <c r="R5527" s="56" t="n">
        <f aca="false">IF(AND(D5527&gt;1,Q5527=0,ISNUMBER(O5527),ISNUMBER(P5527)),IF(Q5526=0,1,0),0)</f>
        <v>1</v>
      </c>
      <c r="S5527" s="56" t="n">
        <f aca="false">R5527*(B5527&gt;=Train_Start)*(B5527&lt;=Train_End)</f>
        <v>0</v>
      </c>
      <c r="T5527" s="84" t="n">
        <f aca="false">IF(AND(ISNUMBER(O5527),ISNUMBER(P5527)),Coef_A+Coef_B1*O5527+Coef_B2*P5527,"")</f>
        <v>17.1741287140552</v>
      </c>
      <c r="U5527" s="84" t="n">
        <f aca="false">IF(AND(R5527=1,ISNUMBER(T5527)),E5527-T5527,"")</f>
        <v>-2.47412871405522</v>
      </c>
      <c r="V5527" s="84" t="n">
        <f aca="false">IF(ISNUMBER(T5527),T5527,-99)</f>
        <v>17.1741287140552</v>
      </c>
      <c r="W5527" s="84" t="n">
        <f aca="false">IF(ISNUMBER(U5527),ABS(U5527),"")</f>
        <v>2.47412871405522</v>
      </c>
    </row>
    <row r="5528" customFormat="false" ht="15" hidden="false" customHeight="false" outlineLevel="0" collapsed="false">
      <c r="A5528" s="57" t="n">
        <v>42143</v>
      </c>
      <c r="B5528" s="56" t="n">
        <v>2015</v>
      </c>
      <c r="C5528" s="56" t="n">
        <v>5</v>
      </c>
      <c r="D5528" s="56" t="n">
        <v>19</v>
      </c>
      <c r="E5528" s="56" t="n">
        <v>16</v>
      </c>
      <c r="F5528" s="56" t="n">
        <v>0</v>
      </c>
      <c r="G5528" s="56" t="n">
        <v>7.2</v>
      </c>
      <c r="H5528" s="56" t="n">
        <v>0</v>
      </c>
      <c r="I5528" s="56" t="n">
        <v>11</v>
      </c>
      <c r="J5528" s="56" t="n">
        <v>0</v>
      </c>
      <c r="K5528" s="56" t="n">
        <v>1005.3</v>
      </c>
      <c r="L5528" s="56" t="n">
        <v>0</v>
      </c>
      <c r="M5528" s="56" t="n">
        <v>70</v>
      </c>
      <c r="N5528" s="56" t="n">
        <v>8</v>
      </c>
      <c r="O5528" s="56" t="n">
        <f aca="false">IF(D5528=1,"",E5527)</f>
        <v>14.7</v>
      </c>
      <c r="P5528" s="56" t="n">
        <f aca="false">IF(OR(D5528=1,K5527=""),"",K5527)</f>
        <v>1006.8</v>
      </c>
      <c r="Q5528" s="56" t="n">
        <f aca="false">IF(OR(F5528&lt;&gt;0,AND(I5528&lt;&gt;"",E5528&lt;I5528)),1,0)</f>
        <v>0</v>
      </c>
      <c r="R5528" s="56" t="n">
        <f aca="false">IF(AND(D5528&gt;1,Q5528=0,ISNUMBER(O5528),ISNUMBER(P5528)),IF(Q5527=0,1,0),0)</f>
        <v>1</v>
      </c>
      <c r="S5528" s="56" t="n">
        <f aca="false">R5528*(B5528&gt;=Train_Start)*(B5528&lt;=Train_End)</f>
        <v>0</v>
      </c>
      <c r="T5528" s="84" t="n">
        <f aca="false">IF(AND(ISNUMBER(O5528),ISNUMBER(P5528)),Coef_A+Coef_B1*O5528+Coef_B2*P5528,"")</f>
        <v>15.7144714772233</v>
      </c>
      <c r="U5528" s="84" t="n">
        <f aca="false">IF(AND(R5528=1,ISNUMBER(T5528)),E5528-T5528,"")</f>
        <v>0.285528522776717</v>
      </c>
      <c r="V5528" s="84" t="n">
        <f aca="false">IF(ISNUMBER(T5528),T5528,-99)</f>
        <v>15.7144714772233</v>
      </c>
      <c r="W5528" s="84" t="n">
        <f aca="false">IF(ISNUMBER(U5528),ABS(U5528),"")</f>
        <v>0.285528522776717</v>
      </c>
    </row>
    <row r="5529" customFormat="false" ht="15" hidden="false" customHeight="false" outlineLevel="0" collapsed="false">
      <c r="A5529" s="57" t="n">
        <v>42144</v>
      </c>
      <c r="B5529" s="56" t="n">
        <v>2015</v>
      </c>
      <c r="C5529" s="56" t="n">
        <v>5</v>
      </c>
      <c r="D5529" s="56" t="n">
        <v>20</v>
      </c>
      <c r="E5529" s="56" t="n">
        <v>20.4</v>
      </c>
      <c r="F5529" s="56" t="n">
        <v>0</v>
      </c>
      <c r="G5529" s="56" t="n">
        <v>4</v>
      </c>
      <c r="H5529" s="56" t="n">
        <v>0</v>
      </c>
      <c r="I5529" s="56" t="n">
        <v>10</v>
      </c>
      <c r="J5529" s="56" t="n">
        <v>0</v>
      </c>
      <c r="K5529" s="56" t="n">
        <v>1017.1</v>
      </c>
      <c r="L5529" s="56" t="n">
        <v>0</v>
      </c>
      <c r="M5529" s="56" t="n">
        <v>65</v>
      </c>
      <c r="N5529" s="56" t="n">
        <v>7.9</v>
      </c>
      <c r="O5529" s="56" t="n">
        <f aca="false">IF(D5529=1,"",E5528)</f>
        <v>16</v>
      </c>
      <c r="P5529" s="56" t="n">
        <f aca="false">IF(OR(D5529=1,K5528=""),"",K5528)</f>
        <v>1005.3</v>
      </c>
      <c r="Q5529" s="56" t="n">
        <f aca="false">IF(OR(F5529&lt;&gt;0,AND(I5529&lt;&gt;"",E5529&lt;I5529)),1,0)</f>
        <v>0</v>
      </c>
      <c r="R5529" s="56" t="n">
        <f aca="false">IF(AND(D5529&gt;1,Q5529=0,ISNUMBER(O5529),ISNUMBER(P5529)),IF(Q5528=0,1,0),0)</f>
        <v>1</v>
      </c>
      <c r="S5529" s="56" t="n">
        <f aca="false">R5529*(B5529&gt;=Train_Start)*(B5529&lt;=Train_End)</f>
        <v>0</v>
      </c>
      <c r="T5529" s="84" t="n">
        <f aca="false">IF(AND(ISNUMBER(O5529),ISNUMBER(P5529)),Coef_A+Coef_B1*O5529+Coef_B2*P5529,"")</f>
        <v>16.7325575862278</v>
      </c>
      <c r="U5529" s="84" t="n">
        <f aca="false">IF(AND(R5529=1,ISNUMBER(T5529)),E5529-T5529,"")</f>
        <v>3.66744241377224</v>
      </c>
      <c r="V5529" s="84" t="n">
        <f aca="false">IF(ISNUMBER(T5529),T5529,-99)</f>
        <v>16.7325575862278</v>
      </c>
      <c r="W5529" s="84" t="n">
        <f aca="false">IF(ISNUMBER(U5529),ABS(U5529),"")</f>
        <v>3.66744241377224</v>
      </c>
    </row>
    <row r="5530" customFormat="false" ht="15" hidden="false" customHeight="false" outlineLevel="0" collapsed="false">
      <c r="A5530" s="57" t="n">
        <v>42145</v>
      </c>
      <c r="B5530" s="56" t="n">
        <v>2015</v>
      </c>
      <c r="C5530" s="56" t="n">
        <v>5</v>
      </c>
      <c r="D5530" s="56" t="n">
        <v>21</v>
      </c>
      <c r="E5530" s="56" t="n">
        <v>19.6</v>
      </c>
      <c r="F5530" s="56" t="n">
        <v>0</v>
      </c>
      <c r="G5530" s="56" t="n">
        <v>5.3</v>
      </c>
      <c r="H5530" s="56" t="n">
        <v>0</v>
      </c>
      <c r="I5530" s="56" t="n">
        <v>12.9</v>
      </c>
      <c r="J5530" s="56" t="n">
        <v>0</v>
      </c>
      <c r="K5530" s="56" t="n">
        <v>1025.9</v>
      </c>
      <c r="L5530" s="56" t="n">
        <v>0</v>
      </c>
      <c r="M5530" s="56" t="n">
        <v>57</v>
      </c>
      <c r="N5530" s="56" t="n">
        <v>13.5</v>
      </c>
      <c r="O5530" s="56" t="n">
        <f aca="false">IF(D5530=1,"",E5529)</f>
        <v>20.4</v>
      </c>
      <c r="P5530" s="56" t="n">
        <f aca="false">IF(OR(D5530=1,K5529=""),"",K5529)</f>
        <v>1017.1</v>
      </c>
      <c r="Q5530" s="56" t="n">
        <f aca="false">IF(OR(F5530&lt;&gt;0,AND(I5530&lt;&gt;"",E5530&lt;I5530)),1,0)</f>
        <v>0</v>
      </c>
      <c r="R5530" s="56" t="n">
        <f aca="false">IF(AND(D5530&gt;1,Q5530=0,ISNUMBER(O5530),ISNUMBER(P5530)),IF(Q5529=0,1,0),0)</f>
        <v>1</v>
      </c>
      <c r="S5530" s="56" t="n">
        <f aca="false">R5530*(B5530&gt;=Train_Start)*(B5530&lt;=Train_End)</f>
        <v>0</v>
      </c>
      <c r="T5530" s="84" t="n">
        <f aca="false">IF(AND(ISNUMBER(O5530),ISNUMBER(P5530)),Coef_A+Coef_B1*O5530+Coef_B2*P5530,"")</f>
        <v>20.7078147922965</v>
      </c>
      <c r="U5530" s="84" t="n">
        <f aca="false">IF(AND(R5530=1,ISNUMBER(T5530)),E5530-T5530,"")</f>
        <v>-1.10781479229652</v>
      </c>
      <c r="V5530" s="84" t="n">
        <f aca="false">IF(ISNUMBER(T5530),T5530,-99)</f>
        <v>20.7078147922965</v>
      </c>
      <c r="W5530" s="84" t="n">
        <f aca="false">IF(ISNUMBER(U5530),ABS(U5530),"")</f>
        <v>1.10781479229652</v>
      </c>
    </row>
    <row r="5531" customFormat="false" ht="15" hidden="false" customHeight="false" outlineLevel="0" collapsed="false">
      <c r="A5531" s="57" t="n">
        <v>42146</v>
      </c>
      <c r="B5531" s="56" t="n">
        <v>2015</v>
      </c>
      <c r="C5531" s="56" t="n">
        <v>5</v>
      </c>
      <c r="D5531" s="56" t="n">
        <v>22</v>
      </c>
      <c r="E5531" s="56" t="n">
        <v>17.7</v>
      </c>
      <c r="F5531" s="56" t="n">
        <v>0</v>
      </c>
      <c r="G5531" s="56" t="n">
        <v>7.4</v>
      </c>
      <c r="H5531" s="56" t="n">
        <v>0</v>
      </c>
      <c r="I5531" s="56" t="n">
        <v>13.5</v>
      </c>
      <c r="J5531" s="56" t="n">
        <v>0</v>
      </c>
      <c r="K5531" s="56" t="n">
        <v>1025.3</v>
      </c>
      <c r="L5531" s="56" t="n">
        <v>0</v>
      </c>
      <c r="M5531" s="56" t="n">
        <v>74</v>
      </c>
      <c r="N5531" s="56" t="n">
        <v>3.5</v>
      </c>
      <c r="O5531" s="56" t="n">
        <f aca="false">IF(D5531=1,"",E5530)</f>
        <v>19.6</v>
      </c>
      <c r="P5531" s="56" t="n">
        <f aca="false">IF(OR(D5531=1,K5530=""),"",K5530)</f>
        <v>1025.9</v>
      </c>
      <c r="Q5531" s="56" t="n">
        <f aca="false">IF(OR(F5531&lt;&gt;0,AND(I5531&lt;&gt;"",E5531&lt;I5531)),1,0)</f>
        <v>0</v>
      </c>
      <c r="R5531" s="56" t="n">
        <f aca="false">IF(AND(D5531&gt;1,Q5531=0,ISNUMBER(O5531),ISNUMBER(P5531)),IF(Q5530=0,1,0),0)</f>
        <v>1</v>
      </c>
      <c r="S5531" s="56" t="n">
        <f aca="false">R5531*(B5531&gt;=Train_Start)*(B5531&lt;=Train_End)</f>
        <v>0</v>
      </c>
      <c r="T5531" s="84" t="n">
        <f aca="false">IF(AND(ISNUMBER(O5531),ISNUMBER(P5531)),Coef_A+Coef_B1*O5531+Coef_B2*P5531,"")</f>
        <v>20.3283985106415</v>
      </c>
      <c r="U5531" s="84" t="n">
        <f aca="false">IF(AND(R5531=1,ISNUMBER(T5531)),E5531-T5531,"")</f>
        <v>-2.62839851064151</v>
      </c>
      <c r="V5531" s="84" t="n">
        <f aca="false">IF(ISNUMBER(T5531),T5531,-99)</f>
        <v>20.3283985106415</v>
      </c>
      <c r="W5531" s="84" t="n">
        <f aca="false">IF(ISNUMBER(U5531),ABS(U5531),"")</f>
        <v>2.62839851064151</v>
      </c>
    </row>
    <row r="5532" customFormat="false" ht="15" hidden="false" customHeight="false" outlineLevel="0" collapsed="false">
      <c r="A5532" s="57" t="n">
        <v>42147</v>
      </c>
      <c r="B5532" s="56" t="n">
        <v>2015</v>
      </c>
      <c r="C5532" s="56" t="n">
        <v>5</v>
      </c>
      <c r="D5532" s="56" t="n">
        <v>23</v>
      </c>
      <c r="E5532" s="56" t="n">
        <v>20</v>
      </c>
      <c r="F5532" s="56" t="n">
        <v>0</v>
      </c>
      <c r="G5532" s="56" t="n">
        <v>12.9</v>
      </c>
      <c r="H5532" s="56" t="n">
        <v>0</v>
      </c>
      <c r="I5532" s="56" t="n">
        <v>15.3</v>
      </c>
      <c r="J5532" s="56" t="n">
        <v>0</v>
      </c>
      <c r="K5532" s="56" t="n">
        <v>1024.4</v>
      </c>
      <c r="L5532" s="56" t="n">
        <v>0</v>
      </c>
      <c r="M5532" s="56" t="n">
        <v>67</v>
      </c>
      <c r="N5532" s="56" t="n">
        <v>4.6</v>
      </c>
      <c r="O5532" s="56" t="n">
        <f aca="false">IF(D5532=1,"",E5531)</f>
        <v>17.7</v>
      </c>
      <c r="P5532" s="56" t="n">
        <f aca="false">IF(OR(D5532=1,K5531=""),"",K5531)</f>
        <v>1025.3</v>
      </c>
      <c r="Q5532" s="56" t="n">
        <f aca="false">IF(OR(F5532&lt;&gt;0,AND(I5532&lt;&gt;"",E5532&lt;I5532)),1,0)</f>
        <v>0</v>
      </c>
      <c r="R5532" s="56" t="n">
        <f aca="false">IF(AND(D5532&gt;1,Q5532=0,ISNUMBER(O5532),ISNUMBER(P5532)),IF(Q5531=0,1,0),0)</f>
        <v>1</v>
      </c>
      <c r="S5532" s="56" t="n">
        <f aca="false">R5532*(B5532&gt;=Train_Start)*(B5532&lt;=Train_End)</f>
        <v>0</v>
      </c>
      <c r="T5532" s="84" t="n">
        <f aca="false">IF(AND(ISNUMBER(O5532),ISNUMBER(P5532)),Coef_A+Coef_B1*O5532+Coef_B2*P5532,"")</f>
        <v>18.7528321070801</v>
      </c>
      <c r="U5532" s="84" t="n">
        <f aca="false">IF(AND(R5532=1,ISNUMBER(T5532)),E5532-T5532,"")</f>
        <v>1.24716789291994</v>
      </c>
      <c r="V5532" s="84" t="n">
        <f aca="false">IF(ISNUMBER(T5532),T5532,-99)</f>
        <v>18.7528321070801</v>
      </c>
      <c r="W5532" s="84" t="n">
        <f aca="false">IF(ISNUMBER(U5532),ABS(U5532),"")</f>
        <v>1.24716789291994</v>
      </c>
    </row>
    <row r="5533" customFormat="false" ht="15" hidden="false" customHeight="false" outlineLevel="0" collapsed="false">
      <c r="A5533" s="57" t="n">
        <v>42148</v>
      </c>
      <c r="B5533" s="56" t="n">
        <v>2015</v>
      </c>
      <c r="C5533" s="56" t="n">
        <v>5</v>
      </c>
      <c r="D5533" s="56" t="n">
        <v>24</v>
      </c>
      <c r="E5533" s="56" t="n">
        <v>16.7</v>
      </c>
      <c r="F5533" s="56" t="n">
        <v>0</v>
      </c>
      <c r="G5533" s="56" t="n">
        <v>12</v>
      </c>
      <c r="H5533" s="56" t="n">
        <v>0</v>
      </c>
      <c r="I5533" s="56" t="n">
        <v>16</v>
      </c>
      <c r="J5533" s="56" t="n">
        <v>0</v>
      </c>
      <c r="K5533" s="56" t="n">
        <v>1020</v>
      </c>
      <c r="L5533" s="56" t="n">
        <v>0</v>
      </c>
      <c r="M5533" s="56" t="n">
        <v>67</v>
      </c>
      <c r="N5533" s="56" t="n">
        <v>5.1</v>
      </c>
      <c r="O5533" s="56" t="n">
        <f aca="false">IF(D5533=1,"",E5532)</f>
        <v>20</v>
      </c>
      <c r="P5533" s="56" t="n">
        <f aca="false">IF(OR(D5533=1,K5532=""),"",K5532)</f>
        <v>1024.4</v>
      </c>
      <c r="Q5533" s="56" t="n">
        <f aca="false">IF(OR(F5533&lt;&gt;0,AND(I5533&lt;&gt;"",E5533&lt;I5533)),1,0)</f>
        <v>0</v>
      </c>
      <c r="R5533" s="56" t="n">
        <f aca="false">IF(AND(D5533&gt;1,Q5533=0,ISNUMBER(O5533),ISNUMBER(P5533)),IF(Q5532=0,1,0),0)</f>
        <v>1</v>
      </c>
      <c r="S5533" s="56" t="n">
        <f aca="false">R5533*(B5533&gt;=Train_Start)*(B5533&lt;=Train_End)</f>
        <v>0</v>
      </c>
      <c r="T5533" s="84" t="n">
        <f aca="false">IF(AND(ISNUMBER(O5533),ISNUMBER(P5533)),Coef_A+Coef_B1*O5533+Coef_B2*P5533,"")</f>
        <v>20.6090793459076</v>
      </c>
      <c r="U5533" s="84" t="n">
        <f aca="false">IF(AND(R5533=1,ISNUMBER(T5533)),E5533-T5533,"")</f>
        <v>-3.90907934590759</v>
      </c>
      <c r="V5533" s="84" t="n">
        <f aca="false">IF(ISNUMBER(T5533),T5533,-99)</f>
        <v>20.6090793459076</v>
      </c>
      <c r="W5533" s="84" t="n">
        <f aca="false">IF(ISNUMBER(U5533),ABS(U5533),"")</f>
        <v>3.90907934590759</v>
      </c>
    </row>
    <row r="5534" customFormat="false" ht="15" hidden="false" customHeight="false" outlineLevel="0" collapsed="false">
      <c r="A5534" s="57" t="n">
        <v>42149</v>
      </c>
      <c r="B5534" s="56" t="n">
        <v>2015</v>
      </c>
      <c r="C5534" s="56" t="n">
        <v>5</v>
      </c>
      <c r="D5534" s="56" t="n">
        <v>25</v>
      </c>
      <c r="E5534" s="56" t="n">
        <v>19.7</v>
      </c>
      <c r="F5534" s="56" t="n">
        <v>0</v>
      </c>
      <c r="G5534" s="56" t="n">
        <v>8.9</v>
      </c>
      <c r="H5534" s="56" t="n">
        <v>0</v>
      </c>
      <c r="I5534" s="56" t="n">
        <v>12.8</v>
      </c>
      <c r="J5534" s="56" t="n">
        <v>0</v>
      </c>
      <c r="K5534" s="56" t="n">
        <v>1019.8</v>
      </c>
      <c r="L5534" s="56" t="n">
        <v>0</v>
      </c>
      <c r="M5534" s="56" t="n">
        <v>60</v>
      </c>
      <c r="N5534" s="56" t="n">
        <v>2.7</v>
      </c>
      <c r="O5534" s="56" t="n">
        <f aca="false">IF(D5534=1,"",E5533)</f>
        <v>16.7</v>
      </c>
      <c r="P5534" s="56" t="n">
        <f aca="false">IF(OR(D5534=1,K5533=""),"",K5533)</f>
        <v>1020</v>
      </c>
      <c r="Q5534" s="56" t="n">
        <f aca="false">IF(OR(F5534&lt;&gt;0,AND(I5534&lt;&gt;"",E5534&lt;I5534)),1,0)</f>
        <v>0</v>
      </c>
      <c r="R5534" s="56" t="n">
        <f aca="false">IF(AND(D5534&gt;1,Q5534=0,ISNUMBER(O5534),ISNUMBER(P5534)),IF(Q5533=0,1,0),0)</f>
        <v>1</v>
      </c>
      <c r="S5534" s="56" t="n">
        <f aca="false">R5534*(B5534&gt;=Train_Start)*(B5534&lt;=Train_End)</f>
        <v>0</v>
      </c>
      <c r="T5534" s="84" t="n">
        <f aca="false">IF(AND(ISNUMBER(O5534),ISNUMBER(P5534)),Coef_A+Coef_B1*O5534+Coef_B2*P5534,"")</f>
        <v>17.7672324724773</v>
      </c>
      <c r="U5534" s="84" t="n">
        <f aca="false">IF(AND(R5534=1,ISNUMBER(T5534)),E5534-T5534,"")</f>
        <v>1.93276752752274</v>
      </c>
      <c r="V5534" s="84" t="n">
        <f aca="false">IF(ISNUMBER(T5534),T5534,-99)</f>
        <v>17.7672324724773</v>
      </c>
      <c r="W5534" s="84" t="n">
        <f aca="false">IF(ISNUMBER(U5534),ABS(U5534),"")</f>
        <v>1.93276752752274</v>
      </c>
    </row>
    <row r="5535" customFormat="false" ht="15" hidden="false" customHeight="false" outlineLevel="0" collapsed="false">
      <c r="A5535" s="57" t="n">
        <v>42150</v>
      </c>
      <c r="B5535" s="56" t="n">
        <v>2015</v>
      </c>
      <c r="C5535" s="56" t="n">
        <v>5</v>
      </c>
      <c r="D5535" s="56" t="n">
        <v>26</v>
      </c>
      <c r="E5535" s="56" t="n">
        <v>20.3</v>
      </c>
      <c r="F5535" s="56" t="n">
        <v>0</v>
      </c>
      <c r="G5535" s="56" t="n">
        <v>9.3</v>
      </c>
      <c r="H5535" s="56" t="n">
        <v>0</v>
      </c>
      <c r="I5535" s="56" t="n">
        <v>14.5</v>
      </c>
      <c r="J5535" s="56" t="n">
        <v>0</v>
      </c>
      <c r="K5535" s="56" t="n">
        <v>1023.7</v>
      </c>
      <c r="L5535" s="56" t="n">
        <v>0</v>
      </c>
      <c r="M5535" s="56" t="n">
        <v>62</v>
      </c>
      <c r="N5535" s="56" t="n">
        <v>8.5</v>
      </c>
      <c r="O5535" s="56" t="n">
        <f aca="false">IF(D5535=1,"",E5534)</f>
        <v>19.7</v>
      </c>
      <c r="P5535" s="56" t="n">
        <f aca="false">IF(OR(D5535=1,K5534=""),"",K5534)</f>
        <v>1019.8</v>
      </c>
      <c r="Q5535" s="56" t="n">
        <f aca="false">IF(OR(F5535&lt;&gt;0,AND(I5535&lt;&gt;"",E5535&lt;I5535)),1,0)</f>
        <v>0</v>
      </c>
      <c r="R5535" s="56" t="n">
        <f aca="false">IF(AND(D5535&gt;1,Q5535=0,ISNUMBER(O5535),ISNUMBER(P5535)),IF(Q5534=0,1,0),0)</f>
        <v>1</v>
      </c>
      <c r="S5535" s="56" t="n">
        <f aca="false">R5535*(B5535&gt;=Train_Start)*(B5535&lt;=Train_End)</f>
        <v>0</v>
      </c>
      <c r="T5535" s="84" t="n">
        <f aca="false">IF(AND(ISNUMBER(O5535),ISNUMBER(P5535)),Coef_A+Coef_B1*O5535+Coef_B2*P5535,"")</f>
        <v>20.2189760726784</v>
      </c>
      <c r="U5535" s="84" t="n">
        <f aca="false">IF(AND(R5535=1,ISNUMBER(T5535)),E5535-T5535,"")</f>
        <v>0.0810239273215707</v>
      </c>
      <c r="V5535" s="84" t="n">
        <f aca="false">IF(ISNUMBER(T5535),T5535,-99)</f>
        <v>20.2189760726784</v>
      </c>
      <c r="W5535" s="84" t="n">
        <f aca="false">IF(ISNUMBER(U5535),ABS(U5535),"")</f>
        <v>0.0810239273215707</v>
      </c>
    </row>
    <row r="5536" customFormat="false" ht="15" hidden="false" customHeight="false" outlineLevel="0" collapsed="false">
      <c r="A5536" s="57" t="n">
        <v>42151</v>
      </c>
      <c r="B5536" s="56" t="n">
        <v>2015</v>
      </c>
      <c r="C5536" s="56" t="n">
        <v>5</v>
      </c>
      <c r="D5536" s="56" t="n">
        <v>27</v>
      </c>
      <c r="E5536" s="56" t="n">
        <v>18.1</v>
      </c>
      <c r="F5536" s="56" t="n">
        <v>0</v>
      </c>
      <c r="G5536" s="56" t="n">
        <v>7.3</v>
      </c>
      <c r="H5536" s="56" t="n">
        <v>0</v>
      </c>
      <c r="I5536" s="56" t="n">
        <v>13.8</v>
      </c>
      <c r="J5536" s="56" t="n">
        <v>0</v>
      </c>
      <c r="K5536" s="56" t="n">
        <v>1022.5</v>
      </c>
      <c r="L5536" s="56" t="n">
        <v>0</v>
      </c>
      <c r="M5536" s="56" t="n">
        <v>61</v>
      </c>
      <c r="N5536" s="56" t="n">
        <v>9.7</v>
      </c>
      <c r="O5536" s="56" t="n">
        <f aca="false">IF(D5536=1,"",E5535)</f>
        <v>20.3</v>
      </c>
      <c r="P5536" s="56" t="n">
        <f aca="false">IF(OR(D5536=1,K5535=""),"",K5535)</f>
        <v>1023.7</v>
      </c>
      <c r="Q5536" s="56" t="n">
        <f aca="false">IF(OR(F5536&lt;&gt;0,AND(I5536&lt;&gt;"",E5536&lt;I5536)),1,0)</f>
        <v>0</v>
      </c>
      <c r="R5536" s="56" t="n">
        <f aca="false">IF(AND(D5536&gt;1,Q5536=0,ISNUMBER(O5536),ISNUMBER(P5536)),IF(Q5535=0,1,0),0)</f>
        <v>1</v>
      </c>
      <c r="S5536" s="56" t="n">
        <f aca="false">R5536*(B5536&gt;=Train_Start)*(B5536&lt;=Train_End)</f>
        <v>0</v>
      </c>
      <c r="T5536" s="84" t="n">
        <f aca="false">IF(AND(ISNUMBER(O5536),ISNUMBER(P5536)),Coef_A+Coef_B1*O5536+Coef_B2*P5536,"")</f>
        <v>20.8329221775766</v>
      </c>
      <c r="U5536" s="84" t="n">
        <f aca="false">IF(AND(R5536=1,ISNUMBER(T5536)),E5536-T5536,"")</f>
        <v>-2.73292217757659</v>
      </c>
      <c r="V5536" s="84" t="n">
        <f aca="false">IF(ISNUMBER(T5536),T5536,-99)</f>
        <v>20.8329221775766</v>
      </c>
      <c r="W5536" s="84" t="n">
        <f aca="false">IF(ISNUMBER(U5536),ABS(U5536),"")</f>
        <v>2.73292217757659</v>
      </c>
    </row>
    <row r="5537" customFormat="false" ht="15" hidden="false" customHeight="false" outlineLevel="0" collapsed="false">
      <c r="A5537" s="57" t="n">
        <v>42152</v>
      </c>
      <c r="B5537" s="56" t="n">
        <v>2015</v>
      </c>
      <c r="C5537" s="56" t="n">
        <v>5</v>
      </c>
      <c r="D5537" s="56" t="n">
        <v>28</v>
      </c>
      <c r="E5537" s="56" t="n">
        <v>14.6</v>
      </c>
      <c r="F5537" s="56" t="n">
        <v>1</v>
      </c>
      <c r="G5537" s="56" t="n">
        <v>11.5</v>
      </c>
      <c r="H5537" s="56" t="n">
        <v>0</v>
      </c>
      <c r="I5537" s="56" t="n">
        <v>14.8</v>
      </c>
      <c r="J5537" s="56" t="n">
        <v>1</v>
      </c>
      <c r="K5537" s="56" t="n">
        <v>1014.5</v>
      </c>
      <c r="L5537" s="56" t="n">
        <v>0</v>
      </c>
      <c r="M5537" s="56" t="n">
        <v>52</v>
      </c>
      <c r="N5537" s="56" t="n">
        <v>8.7</v>
      </c>
      <c r="O5537" s="56" t="n">
        <f aca="false">IF(D5537=1,"",E5536)</f>
        <v>18.1</v>
      </c>
      <c r="P5537" s="56" t="n">
        <f aca="false">IF(OR(D5537=1,K5536=""),"",K5536)</f>
        <v>1022.5</v>
      </c>
      <c r="Q5537" s="56" t="n">
        <f aca="false">IF(OR(F5537&lt;&gt;0,AND(I5537&lt;&gt;"",E5537&lt;I5537)),1,0)</f>
        <v>1</v>
      </c>
      <c r="R5537" s="56" t="n">
        <f aca="false">IF(AND(D5537&gt;1,Q5537=0,ISNUMBER(O5537),ISNUMBER(P5537)),IF(Q5536=0,1,0),0)</f>
        <v>0</v>
      </c>
      <c r="S5537" s="56" t="n">
        <f aca="false">R5537*(B5537&gt;=Train_Start)*(B5537&lt;=Train_End)</f>
        <v>0</v>
      </c>
      <c r="T5537" s="84" t="n">
        <f aca="false">IF(AND(ISNUMBER(O5537),ISNUMBER(P5537)),Coef_A+Coef_B1*O5537+Coef_B2*P5537,"")</f>
        <v>18.992732079322</v>
      </c>
      <c r="U5537" s="84" t="str">
        <f aca="false">IF(AND(R5537=1,ISNUMBER(T5537)),E5537-T5537,"")</f>
        <v/>
      </c>
      <c r="V5537" s="84" t="n">
        <f aca="false">IF(ISNUMBER(T5537),T5537,-99)</f>
        <v>18.992732079322</v>
      </c>
      <c r="W5537" s="84" t="str">
        <f aca="false">IF(ISNUMBER(U5537),ABS(U5537),"")</f>
        <v/>
      </c>
    </row>
    <row r="5538" customFormat="false" ht="15" hidden="false" customHeight="false" outlineLevel="0" collapsed="false">
      <c r="A5538" s="57" t="n">
        <v>42153</v>
      </c>
      <c r="B5538" s="56" t="n">
        <v>2015</v>
      </c>
      <c r="C5538" s="56" t="n">
        <v>5</v>
      </c>
      <c r="D5538" s="56" t="n">
        <v>29</v>
      </c>
      <c r="E5538" s="56" t="n">
        <v>18.6</v>
      </c>
      <c r="F5538" s="56" t="n">
        <v>0</v>
      </c>
      <c r="G5538" s="56" t="n">
        <v>9.2</v>
      </c>
      <c r="H5538" s="56" t="n">
        <v>0</v>
      </c>
      <c r="I5538" s="56" t="n">
        <v>11.9</v>
      </c>
      <c r="J5538" s="56" t="n">
        <v>0</v>
      </c>
      <c r="K5538" s="56" t="n">
        <v>1009</v>
      </c>
      <c r="L5538" s="56" t="n">
        <v>0</v>
      </c>
      <c r="M5538" s="56" t="n">
        <v>70</v>
      </c>
      <c r="N5538" s="56" t="n">
        <v>4.1</v>
      </c>
      <c r="O5538" s="56" t="n">
        <f aca="false">IF(D5538=1,"",E5537)</f>
        <v>14.6</v>
      </c>
      <c r="P5538" s="56" t="n">
        <f aca="false">IF(OR(D5538=1,K5537=""),"",K5537)</f>
        <v>1014.5</v>
      </c>
      <c r="Q5538" s="56" t="n">
        <f aca="false">IF(OR(F5538&lt;&gt;0,AND(I5538&lt;&gt;"",E5538&lt;I5538)),1,0)</f>
        <v>0</v>
      </c>
      <c r="R5538" s="56" t="n">
        <f aca="false">IF(AND(D5538&gt;1,Q5538=0,ISNUMBER(O5538),ISNUMBER(P5538)),IF(Q5537=0,1,0),0)</f>
        <v>0</v>
      </c>
      <c r="S5538" s="56" t="n">
        <f aca="false">R5538*(B5538&gt;=Train_Start)*(B5538&lt;=Train_End)</f>
        <v>0</v>
      </c>
      <c r="T5538" s="84" t="n">
        <f aca="false">IF(AND(ISNUMBER(O5538),ISNUMBER(P5538)),Coef_A+Coef_B1*O5538+Coef_B2*P5538,"")</f>
        <v>15.8740857466007</v>
      </c>
      <c r="U5538" s="84" t="str">
        <f aca="false">IF(AND(R5538=1,ISNUMBER(T5538)),E5538-T5538,"")</f>
        <v/>
      </c>
      <c r="V5538" s="84" t="n">
        <f aca="false">IF(ISNUMBER(T5538),T5538,-99)</f>
        <v>15.8740857466007</v>
      </c>
      <c r="W5538" s="84" t="str">
        <f aca="false">IF(ISNUMBER(U5538),ABS(U5538),"")</f>
        <v/>
      </c>
    </row>
    <row r="5539" customFormat="false" ht="15" hidden="false" customHeight="false" outlineLevel="0" collapsed="false">
      <c r="A5539" s="57" t="n">
        <v>42154</v>
      </c>
      <c r="B5539" s="56" t="n">
        <v>2015</v>
      </c>
      <c r="C5539" s="56" t="n">
        <v>5</v>
      </c>
      <c r="D5539" s="56" t="n">
        <v>30</v>
      </c>
      <c r="E5539" s="56" t="n">
        <v>16.3</v>
      </c>
      <c r="F5539" s="56" t="n">
        <v>0</v>
      </c>
      <c r="G5539" s="56" t="n">
        <v>6.6</v>
      </c>
      <c r="H5539" s="56" t="n">
        <v>0</v>
      </c>
      <c r="I5539" s="56" t="n">
        <v>12.6</v>
      </c>
      <c r="J5539" s="56" t="n">
        <v>0</v>
      </c>
      <c r="K5539" s="56" t="n">
        <v>1013.5</v>
      </c>
      <c r="L5539" s="56" t="n">
        <v>0</v>
      </c>
      <c r="M5539" s="56" t="n">
        <v>61</v>
      </c>
      <c r="N5539" s="56" t="n">
        <v>8.4</v>
      </c>
      <c r="O5539" s="56" t="n">
        <f aca="false">IF(D5539=1,"",E5538)</f>
        <v>18.6</v>
      </c>
      <c r="P5539" s="56" t="n">
        <f aca="false">IF(OR(D5539=1,K5538=""),"",K5538)</f>
        <v>1009</v>
      </c>
      <c r="Q5539" s="56" t="n">
        <f aca="false">IF(OR(F5539&lt;&gt;0,AND(I5539&lt;&gt;"",E5539&lt;I5539)),1,0)</f>
        <v>0</v>
      </c>
      <c r="R5539" s="56" t="n">
        <f aca="false">IF(AND(D5539&gt;1,Q5539=0,ISNUMBER(O5539),ISNUMBER(P5539)),IF(Q5538=0,1,0),0)</f>
        <v>1</v>
      </c>
      <c r="S5539" s="56" t="n">
        <f aca="false">R5539*(B5539&gt;=Train_Start)*(B5539&lt;=Train_End)</f>
        <v>0</v>
      </c>
      <c r="T5539" s="84" t="n">
        <f aca="false">IF(AND(ISNUMBER(O5539),ISNUMBER(P5539)),Coef_A+Coef_B1*O5539+Coef_B2*P5539,"")</f>
        <v>18.9789080982844</v>
      </c>
      <c r="U5539" s="84" t="n">
        <f aca="false">IF(AND(R5539=1,ISNUMBER(T5539)),E5539-T5539,"")</f>
        <v>-2.67890809828443</v>
      </c>
      <c r="V5539" s="84" t="n">
        <f aca="false">IF(ISNUMBER(T5539),T5539,-99)</f>
        <v>18.9789080982844</v>
      </c>
      <c r="W5539" s="84" t="n">
        <f aca="false">IF(ISNUMBER(U5539),ABS(U5539),"")</f>
        <v>2.67890809828443</v>
      </c>
    </row>
    <row r="5540" customFormat="false" ht="15" hidden="false" customHeight="false" outlineLevel="0" collapsed="false">
      <c r="A5540" s="57" t="n">
        <v>42155</v>
      </c>
      <c r="B5540" s="56" t="n">
        <v>2015</v>
      </c>
      <c r="C5540" s="56" t="n">
        <v>5</v>
      </c>
      <c r="D5540" s="56" t="n">
        <v>31</v>
      </c>
      <c r="E5540" s="56" t="n">
        <v>16.5</v>
      </c>
      <c r="F5540" s="56" t="n">
        <v>0</v>
      </c>
      <c r="G5540" s="56" t="n">
        <v>10.6</v>
      </c>
      <c r="H5540" s="56" t="n">
        <v>0</v>
      </c>
      <c r="I5540" s="56" t="n">
        <v>13.5</v>
      </c>
      <c r="J5540" s="56" t="n">
        <v>0</v>
      </c>
      <c r="K5540" s="56" t="n">
        <v>1007.8</v>
      </c>
      <c r="L5540" s="56" t="n">
        <v>0</v>
      </c>
      <c r="M5540" s="56" t="n">
        <v>76</v>
      </c>
      <c r="N5540" s="56" t="n">
        <v>1.7</v>
      </c>
      <c r="O5540" s="56" t="n">
        <f aca="false">IF(D5540=1,"",E5539)</f>
        <v>16.3</v>
      </c>
      <c r="P5540" s="56" t="n">
        <f aca="false">IF(OR(D5540=1,K5539=""),"",K5539)</f>
        <v>1013.5</v>
      </c>
      <c r="Q5540" s="56" t="n">
        <f aca="false">IF(OR(F5540&lt;&gt;0,AND(I5540&lt;&gt;"",E5540&lt;I5540)),1,0)</f>
        <v>0</v>
      </c>
      <c r="R5540" s="56" t="n">
        <f aca="false">IF(AND(D5540&gt;1,Q5540=0,ISNUMBER(O5540),ISNUMBER(P5540)),IF(Q5539=0,1,0),0)</f>
        <v>1</v>
      </c>
      <c r="S5540" s="56" t="n">
        <f aca="false">R5540*(B5540&gt;=Train_Start)*(B5540&lt;=Train_End)</f>
        <v>0</v>
      </c>
      <c r="T5540" s="84" t="n">
        <f aca="false">IF(AND(ISNUMBER(O5540),ISNUMBER(P5540)),Coef_A+Coef_B1*O5540+Coef_B2*P5540,"")</f>
        <v>17.2355924801393</v>
      </c>
      <c r="U5540" s="84" t="n">
        <f aca="false">IF(AND(R5540=1,ISNUMBER(T5540)),E5540-T5540,"")</f>
        <v>-0.735592480139268</v>
      </c>
      <c r="V5540" s="84" t="n">
        <f aca="false">IF(ISNUMBER(T5540),T5540,-99)</f>
        <v>17.2355924801393</v>
      </c>
      <c r="W5540" s="84" t="n">
        <f aca="false">IF(ISNUMBER(U5540),ABS(U5540),"")</f>
        <v>0.735592480139268</v>
      </c>
    </row>
    <row r="5541" customFormat="false" ht="15" hidden="false" customHeight="false" outlineLevel="0" collapsed="false">
      <c r="A5541" s="57" t="n">
        <v>42156</v>
      </c>
      <c r="B5541" s="56" t="n">
        <v>2015</v>
      </c>
      <c r="C5541" s="56" t="n">
        <v>6</v>
      </c>
      <c r="D5541" s="56" t="n">
        <v>32</v>
      </c>
      <c r="E5541" s="56" t="n">
        <v>20.1</v>
      </c>
      <c r="F5541" s="56" t="n">
        <v>0</v>
      </c>
      <c r="G5541" s="56" t="n">
        <v>7.6</v>
      </c>
      <c r="H5541" s="56" t="n">
        <v>0</v>
      </c>
      <c r="I5541" s="56" t="n">
        <v>12.1</v>
      </c>
      <c r="J5541" s="56" t="n">
        <v>0</v>
      </c>
      <c r="K5541" s="56" t="n">
        <v>1012.4</v>
      </c>
      <c r="L5541" s="56" t="n">
        <v>0</v>
      </c>
      <c r="M5541" s="56" t="n">
        <v>63</v>
      </c>
      <c r="N5541" s="56" t="n">
        <v>4.1</v>
      </c>
      <c r="O5541" s="56" t="n">
        <f aca="false">IF(D5541=1,"",E5540)</f>
        <v>16.5</v>
      </c>
      <c r="P5541" s="56" t="n">
        <f aca="false">IF(OR(D5541=1,K5540=""),"",K5540)</f>
        <v>1007.8</v>
      </c>
      <c r="Q5541" s="56" t="n">
        <f aca="false">IF(OR(F5541&lt;&gt;0,AND(I5541&lt;&gt;"",E5541&lt;I5541)),1,0)</f>
        <v>0</v>
      </c>
      <c r="R5541" s="56" t="n">
        <f aca="false">IF(AND(D5541&gt;1,Q5541=0,ISNUMBER(O5541),ISNUMBER(P5541)),IF(Q5540=0,1,0),0)</f>
        <v>1</v>
      </c>
      <c r="S5541" s="56" t="n">
        <f aca="false">R5541*(B5541&gt;=Train_Start)*(B5541&lt;=Train_End)</f>
        <v>0</v>
      </c>
      <c r="T5541" s="84" t="n">
        <f aca="false">IF(AND(ISNUMBER(O5541),ISNUMBER(P5541)),Coef_A+Coef_B1*O5541+Coef_B2*P5541,"")</f>
        <v>17.2206519193341</v>
      </c>
      <c r="U5541" s="84" t="n">
        <f aca="false">IF(AND(R5541=1,ISNUMBER(T5541)),E5541-T5541,"")</f>
        <v>2.87934808066594</v>
      </c>
      <c r="V5541" s="84" t="n">
        <f aca="false">IF(ISNUMBER(T5541),T5541,-99)</f>
        <v>17.2206519193341</v>
      </c>
      <c r="W5541" s="84" t="n">
        <f aca="false">IF(ISNUMBER(U5541),ABS(U5541),"")</f>
        <v>2.87934808066594</v>
      </c>
    </row>
    <row r="5542" customFormat="false" ht="15" hidden="false" customHeight="false" outlineLevel="0" collapsed="false">
      <c r="A5542" s="57" t="n">
        <v>42157</v>
      </c>
      <c r="B5542" s="56" t="n">
        <v>2015</v>
      </c>
      <c r="C5542" s="56" t="n">
        <v>6</v>
      </c>
      <c r="D5542" s="56" t="n">
        <v>33</v>
      </c>
      <c r="E5542" s="56" t="n">
        <v>20.4</v>
      </c>
      <c r="F5542" s="56" t="n">
        <v>0</v>
      </c>
      <c r="G5542" s="56" t="n">
        <v>10.7</v>
      </c>
      <c r="H5542" s="56" t="n">
        <v>0</v>
      </c>
      <c r="I5542" s="56" t="n">
        <v>15.4</v>
      </c>
      <c r="J5542" s="56" t="n">
        <v>0</v>
      </c>
      <c r="K5542" s="56" t="n">
        <v>1005.1</v>
      </c>
      <c r="L5542" s="56" t="n">
        <v>0</v>
      </c>
      <c r="M5542" s="56" t="n">
        <v>79</v>
      </c>
      <c r="N5542" s="56" t="n">
        <v>1.6</v>
      </c>
      <c r="O5542" s="56" t="n">
        <f aca="false">IF(D5542=1,"",E5541)</f>
        <v>20.1</v>
      </c>
      <c r="P5542" s="56" t="n">
        <f aca="false">IF(OR(D5542=1,K5541=""),"",K5541)</f>
        <v>1012.4</v>
      </c>
      <c r="Q5542" s="56" t="n">
        <f aca="false">IF(OR(F5542&lt;&gt;0,AND(I5542&lt;&gt;"",E5542&lt;I5542)),1,0)</f>
        <v>0</v>
      </c>
      <c r="R5542" s="56" t="n">
        <f aca="false">IF(AND(D5542&gt;1,Q5542=0,ISNUMBER(O5542),ISNUMBER(P5542)),IF(Q5541=0,1,0),0)</f>
        <v>1</v>
      </c>
      <c r="S5542" s="56" t="n">
        <f aca="false">R5542*(B5542&gt;=Train_Start)*(B5542&lt;=Train_End)</f>
        <v>0</v>
      </c>
      <c r="T5542" s="84" t="n">
        <f aca="false">IF(AND(ISNUMBER(O5542),ISNUMBER(P5542)),Coef_A+Coef_B1*O5542+Coef_B2*P5542,"")</f>
        <v>20.314574529604</v>
      </c>
      <c r="U5542" s="84" t="n">
        <f aca="false">IF(AND(R5542=1,ISNUMBER(T5542)),E5542-T5542,"")</f>
        <v>0.0854254703960216</v>
      </c>
      <c r="V5542" s="84" t="n">
        <f aca="false">IF(ISNUMBER(T5542),T5542,-99)</f>
        <v>20.314574529604</v>
      </c>
      <c r="W5542" s="84" t="n">
        <f aca="false">IF(ISNUMBER(U5542),ABS(U5542),"")</f>
        <v>0.0854254703960216</v>
      </c>
    </row>
    <row r="5543" customFormat="false" ht="15" hidden="false" customHeight="false" outlineLevel="0" collapsed="false">
      <c r="A5543" s="57" t="n">
        <v>42158</v>
      </c>
      <c r="B5543" s="56" t="n">
        <v>2015</v>
      </c>
      <c r="C5543" s="56" t="n">
        <v>6</v>
      </c>
      <c r="D5543" s="56" t="n">
        <v>34</v>
      </c>
      <c r="E5543" s="56" t="n">
        <v>23.6</v>
      </c>
      <c r="F5543" s="56" t="n">
        <v>0</v>
      </c>
      <c r="G5543" s="56" t="n">
        <v>11.1</v>
      </c>
      <c r="H5543" s="56" t="n">
        <v>0</v>
      </c>
      <c r="I5543" s="56" t="n">
        <v>15.8</v>
      </c>
      <c r="J5543" s="56" t="n">
        <v>0</v>
      </c>
      <c r="K5543" s="56" t="n">
        <v>1021.2</v>
      </c>
      <c r="L5543" s="56" t="n">
        <v>0</v>
      </c>
      <c r="M5543" s="56" t="n">
        <v>54</v>
      </c>
      <c r="N5543" s="56" t="n">
        <v>9.1</v>
      </c>
      <c r="O5543" s="56" t="n">
        <f aca="false">IF(D5543=1,"",E5542)</f>
        <v>20.4</v>
      </c>
      <c r="P5543" s="56" t="n">
        <f aca="false">IF(OR(D5543=1,K5542=""),"",K5542)</f>
        <v>1005.1</v>
      </c>
      <c r="Q5543" s="56" t="n">
        <f aca="false">IF(OR(F5543&lt;&gt;0,AND(I5543&lt;&gt;"",E5543&lt;I5543)),1,0)</f>
        <v>0</v>
      </c>
      <c r="R5543" s="56" t="n">
        <f aca="false">IF(AND(D5543&gt;1,Q5543=0,ISNUMBER(O5543),ISNUMBER(P5543)),IF(Q5542=0,1,0),0)</f>
        <v>1</v>
      </c>
      <c r="S5543" s="56" t="n">
        <f aca="false">R5543*(B5543&gt;=Train_Start)*(B5543&lt;=Train_End)</f>
        <v>0</v>
      </c>
      <c r="T5543" s="84" t="n">
        <f aca="false">IF(AND(ISNUMBER(O5543),ISNUMBER(P5543)),Coef_A+Coef_B1*O5543+Coef_B2*P5543,"")</f>
        <v>20.3313760566887</v>
      </c>
      <c r="U5543" s="84" t="n">
        <f aca="false">IF(AND(R5543=1,ISNUMBER(T5543)),E5543-T5543,"")</f>
        <v>3.26862394331135</v>
      </c>
      <c r="V5543" s="84" t="n">
        <f aca="false">IF(ISNUMBER(T5543),T5543,-99)</f>
        <v>20.3313760566887</v>
      </c>
      <c r="W5543" s="84" t="n">
        <f aca="false">IF(ISNUMBER(U5543),ABS(U5543),"")</f>
        <v>3.26862394331135</v>
      </c>
    </row>
    <row r="5544" customFormat="false" ht="15" hidden="false" customHeight="false" outlineLevel="0" collapsed="false">
      <c r="A5544" s="57" t="n">
        <v>42159</v>
      </c>
      <c r="B5544" s="56" t="n">
        <v>2015</v>
      </c>
      <c r="C5544" s="56" t="n">
        <v>6</v>
      </c>
      <c r="D5544" s="56" t="n">
        <v>35</v>
      </c>
      <c r="E5544" s="56" t="n">
        <v>24.4</v>
      </c>
      <c r="F5544" s="56" t="n">
        <v>0</v>
      </c>
      <c r="G5544" s="56" t="n">
        <v>8.5</v>
      </c>
      <c r="H5544" s="56" t="n">
        <v>0</v>
      </c>
      <c r="I5544" s="56" t="n">
        <v>16.1</v>
      </c>
      <c r="J5544" s="56" t="n">
        <v>0</v>
      </c>
      <c r="K5544" s="56" t="n">
        <v>1023.9</v>
      </c>
      <c r="L5544" s="56" t="n">
        <v>0</v>
      </c>
      <c r="M5544" s="56" t="n">
        <v>53</v>
      </c>
      <c r="N5544" s="56" t="n">
        <v>14.4</v>
      </c>
      <c r="O5544" s="56" t="n">
        <f aca="false">IF(D5544=1,"",E5543)</f>
        <v>23.6</v>
      </c>
      <c r="P5544" s="56" t="n">
        <f aca="false">IF(OR(D5544=1,K5543=""),"",K5543)</f>
        <v>1021.2</v>
      </c>
      <c r="Q5544" s="56" t="n">
        <f aca="false">IF(OR(F5544&lt;&gt;0,AND(I5544&lt;&gt;"",E5544&lt;I5544)),1,0)</f>
        <v>0</v>
      </c>
      <c r="R5544" s="56" t="n">
        <f aca="false">IF(AND(D5544&gt;1,Q5544=0,ISNUMBER(O5544),ISNUMBER(P5544)),IF(Q5543=0,1,0),0)</f>
        <v>1</v>
      </c>
      <c r="S5544" s="56" t="n">
        <f aca="false">R5544*(B5544&gt;=Train_Start)*(B5544&lt;=Train_End)</f>
        <v>0</v>
      </c>
      <c r="T5544" s="84" t="n">
        <f aca="false">IF(AND(ISNUMBER(O5544),ISNUMBER(P5544)),Coef_A+Coef_B1*O5544+Coef_B2*P5544,"")</f>
        <v>23.4583167780324</v>
      </c>
      <c r="U5544" s="84" t="n">
        <f aca="false">IF(AND(R5544=1,ISNUMBER(T5544)),E5544-T5544,"")</f>
        <v>0.941683221967612</v>
      </c>
      <c r="V5544" s="84" t="n">
        <f aca="false">IF(ISNUMBER(T5544),T5544,-99)</f>
        <v>23.4583167780324</v>
      </c>
      <c r="W5544" s="84" t="n">
        <f aca="false">IF(ISNUMBER(U5544),ABS(U5544),"")</f>
        <v>0.941683221967612</v>
      </c>
    </row>
    <row r="5545" customFormat="false" ht="15" hidden="false" customHeight="false" outlineLevel="0" collapsed="false">
      <c r="A5545" s="57" t="n">
        <v>42160</v>
      </c>
      <c r="B5545" s="56" t="n">
        <v>2015</v>
      </c>
      <c r="C5545" s="56" t="n">
        <v>6</v>
      </c>
      <c r="D5545" s="56" t="n">
        <v>36</v>
      </c>
      <c r="E5545" s="56" t="n">
        <v>20.5</v>
      </c>
      <c r="F5545" s="56" t="n">
        <v>0</v>
      </c>
      <c r="G5545" s="56" t="n">
        <v>14.7</v>
      </c>
      <c r="H5545" s="56" t="n">
        <v>0</v>
      </c>
      <c r="I5545" s="56" t="n">
        <v>19.6</v>
      </c>
      <c r="J5545" s="56" t="n">
        <v>0</v>
      </c>
      <c r="K5545" s="56" t="n">
        <v>1015.8</v>
      </c>
      <c r="L5545" s="56" t="n">
        <v>0</v>
      </c>
      <c r="M5545" s="56" t="n">
        <v>66</v>
      </c>
      <c r="N5545" s="56" t="n">
        <v>5.3</v>
      </c>
      <c r="O5545" s="56" t="n">
        <f aca="false">IF(D5545=1,"",E5544)</f>
        <v>24.4</v>
      </c>
      <c r="P5545" s="56" t="n">
        <f aca="false">IF(OR(D5545=1,K5544=""),"",K5544)</f>
        <v>1023.9</v>
      </c>
      <c r="Q5545" s="56" t="n">
        <f aca="false">IF(OR(F5545&lt;&gt;0,AND(I5545&lt;&gt;"",E5545&lt;I5545)),1,0)</f>
        <v>0</v>
      </c>
      <c r="R5545" s="56" t="n">
        <f aca="false">IF(AND(D5545&gt;1,Q5545=0,ISNUMBER(O5545),ISNUMBER(P5545)),IF(Q5544=0,1,0),0)</f>
        <v>1</v>
      </c>
      <c r="S5545" s="56" t="n">
        <f aca="false">R5545*(B5545&gt;=Train_Start)*(B5545&lt;=Train_End)</f>
        <v>0</v>
      </c>
      <c r="T5545" s="84" t="n">
        <f aca="false">IF(AND(ISNUMBER(O5545),ISNUMBER(P5545)),Coef_A+Coef_B1*O5545+Coef_B2*P5545,"")</f>
        <v>24.1984868479783</v>
      </c>
      <c r="U5545" s="84" t="n">
        <f aca="false">IF(AND(R5545=1,ISNUMBER(T5545)),E5545-T5545,"")</f>
        <v>-3.69848684797828</v>
      </c>
      <c r="V5545" s="84" t="n">
        <f aca="false">IF(ISNUMBER(T5545),T5545,-99)</f>
        <v>24.1984868479783</v>
      </c>
      <c r="W5545" s="84" t="n">
        <f aca="false">IF(ISNUMBER(U5545),ABS(U5545),"")</f>
        <v>3.69848684797828</v>
      </c>
    </row>
    <row r="5546" customFormat="false" ht="15" hidden="false" customHeight="false" outlineLevel="0" collapsed="false">
      <c r="A5546" s="57" t="n">
        <v>42161</v>
      </c>
      <c r="B5546" s="56" t="n">
        <v>2015</v>
      </c>
      <c r="C5546" s="56" t="n">
        <v>6</v>
      </c>
      <c r="D5546" s="56" t="n">
        <v>37</v>
      </c>
      <c r="E5546" s="56" t="n">
        <v>20.4</v>
      </c>
      <c r="F5546" s="56" t="n">
        <v>0</v>
      </c>
      <c r="G5546" s="56" t="n">
        <v>8.4</v>
      </c>
      <c r="H5546" s="56" t="n">
        <v>0</v>
      </c>
      <c r="I5546" s="56" t="n">
        <v>14.5</v>
      </c>
      <c r="J5546" s="56" t="n">
        <v>0</v>
      </c>
      <c r="K5546" s="56" t="n">
        <v>1024.8</v>
      </c>
      <c r="L5546" s="56" t="n">
        <v>0</v>
      </c>
      <c r="M5546" s="56" t="n">
        <v>53</v>
      </c>
      <c r="N5546" s="56" t="n">
        <v>12.3</v>
      </c>
      <c r="O5546" s="56" t="n">
        <f aca="false">IF(D5546=1,"",E5545)</f>
        <v>20.5</v>
      </c>
      <c r="P5546" s="56" t="n">
        <f aca="false">IF(OR(D5546=1,K5545=""),"",K5545)</f>
        <v>1015.8</v>
      </c>
      <c r="Q5546" s="56" t="n">
        <f aca="false">IF(OR(F5546&lt;&gt;0,AND(I5546&lt;&gt;"",E5546&lt;I5546)),1,0)</f>
        <v>0</v>
      </c>
      <c r="R5546" s="56" t="n">
        <f aca="false">IF(AND(D5546&gt;1,Q5546=0,ISNUMBER(O5546),ISNUMBER(P5546)),IF(Q5545=0,1,0),0)</f>
        <v>1</v>
      </c>
      <c r="S5546" s="56" t="n">
        <f aca="false">R5546*(B5546&gt;=Train_Start)*(B5546&lt;=Train_End)</f>
        <v>0</v>
      </c>
      <c r="T5546" s="84" t="n">
        <f aca="false">IF(AND(ISNUMBER(O5546),ISNUMBER(P5546)),Coef_A+Coef_B1*O5546+Coef_B2*P5546,"")</f>
        <v>20.7489678485766</v>
      </c>
      <c r="U5546" s="84" t="n">
        <f aca="false">IF(AND(R5546=1,ISNUMBER(T5546)),E5546-T5546,"")</f>
        <v>-0.348967848576603</v>
      </c>
      <c r="V5546" s="84" t="n">
        <f aca="false">IF(ISNUMBER(T5546),T5546,-99)</f>
        <v>20.7489678485766</v>
      </c>
      <c r="W5546" s="84" t="n">
        <f aca="false">IF(ISNUMBER(U5546),ABS(U5546),"")</f>
        <v>0.348967848576603</v>
      </c>
    </row>
    <row r="5547" customFormat="false" ht="15" hidden="false" customHeight="false" outlineLevel="0" collapsed="false">
      <c r="A5547" s="57" t="n">
        <v>42162</v>
      </c>
      <c r="B5547" s="56" t="n">
        <v>2015</v>
      </c>
      <c r="C5547" s="56" t="n">
        <v>6</v>
      </c>
      <c r="D5547" s="56" t="n">
        <v>38</v>
      </c>
      <c r="E5547" s="56" t="n">
        <v>18.9</v>
      </c>
      <c r="F5547" s="56" t="n">
        <v>0</v>
      </c>
      <c r="G5547" s="56" t="n">
        <v>7.5</v>
      </c>
      <c r="H5547" s="56" t="n">
        <v>0</v>
      </c>
      <c r="I5547" s="56" t="n">
        <v>14</v>
      </c>
      <c r="J5547" s="56" t="n">
        <v>0</v>
      </c>
      <c r="K5547" s="56" t="n">
        <v>1031.5</v>
      </c>
      <c r="L5547" s="56" t="n">
        <v>0</v>
      </c>
      <c r="M5547" s="56" t="n">
        <v>52</v>
      </c>
      <c r="N5547" s="56" t="n">
        <v>13.1</v>
      </c>
      <c r="O5547" s="56" t="n">
        <f aca="false">IF(D5547=1,"",E5546)</f>
        <v>20.4</v>
      </c>
      <c r="P5547" s="56" t="n">
        <f aca="false">IF(OR(D5547=1,K5546=""),"",K5546)</f>
        <v>1024.8</v>
      </c>
      <c r="Q5547" s="56" t="n">
        <f aca="false">IF(OR(F5547&lt;&gt;0,AND(I5547&lt;&gt;"",E5547&lt;I5547)),1,0)</f>
        <v>0</v>
      </c>
      <c r="R5547" s="56" t="n">
        <f aca="false">IF(AND(D5547&gt;1,Q5547=0,ISNUMBER(O5547),ISNUMBER(P5547)),IF(Q5546=0,1,0),0)</f>
        <v>1</v>
      </c>
      <c r="S5547" s="56" t="n">
        <f aca="false">R5547*(B5547&gt;=Train_Start)*(B5547&lt;=Train_End)</f>
        <v>0</v>
      </c>
      <c r="T5547" s="84" t="n">
        <f aca="false">IF(AND(ISNUMBER(O5547),ISNUMBER(P5547)),Coef_A+Coef_B1*O5547+Coef_B2*P5547,"")</f>
        <v>20.9493629809782</v>
      </c>
      <c r="U5547" s="84" t="n">
        <f aca="false">IF(AND(R5547=1,ISNUMBER(T5547)),E5547-T5547,"")</f>
        <v>-2.04936298097824</v>
      </c>
      <c r="V5547" s="84" t="n">
        <f aca="false">IF(ISNUMBER(T5547),T5547,-99)</f>
        <v>20.9493629809782</v>
      </c>
      <c r="W5547" s="84" t="n">
        <f aca="false">IF(ISNUMBER(U5547),ABS(U5547),"")</f>
        <v>2.04936298097824</v>
      </c>
    </row>
    <row r="5548" customFormat="false" ht="15" hidden="false" customHeight="false" outlineLevel="0" collapsed="false">
      <c r="A5548" s="57" t="n">
        <v>42163</v>
      </c>
      <c r="B5548" s="56" t="n">
        <v>2015</v>
      </c>
      <c r="C5548" s="56" t="n">
        <v>6</v>
      </c>
      <c r="D5548" s="56" t="n">
        <v>39</v>
      </c>
      <c r="E5548" s="56" t="n">
        <v>15.7</v>
      </c>
      <c r="F5548" s="56" t="n">
        <v>0</v>
      </c>
      <c r="G5548" s="56" t="n">
        <v>9.1</v>
      </c>
      <c r="H5548" s="56" t="n">
        <v>0</v>
      </c>
      <c r="I5548" s="56" t="n">
        <v>14</v>
      </c>
      <c r="J5548" s="56" t="n">
        <v>0</v>
      </c>
      <c r="K5548" s="56" t="n">
        <v>1033.2</v>
      </c>
      <c r="L5548" s="56" t="n">
        <v>0</v>
      </c>
      <c r="M5548" s="56" t="n">
        <v>56</v>
      </c>
      <c r="N5548" s="56" t="n">
        <v>6.4</v>
      </c>
      <c r="O5548" s="56" t="n">
        <f aca="false">IF(D5548=1,"",E5547)</f>
        <v>18.9</v>
      </c>
      <c r="P5548" s="56" t="n">
        <f aca="false">IF(OR(D5548=1,K5547=""),"",K5547)</f>
        <v>1031.5</v>
      </c>
      <c r="Q5548" s="56" t="n">
        <f aca="false">IF(OR(F5548&lt;&gt;0,AND(I5548&lt;&gt;"",E5548&lt;I5548)),1,0)</f>
        <v>0</v>
      </c>
      <c r="R5548" s="56" t="n">
        <f aca="false">IF(AND(D5548&gt;1,Q5548=0,ISNUMBER(O5548),ISNUMBER(P5548)),IF(Q5547=0,1,0),0)</f>
        <v>1</v>
      </c>
      <c r="S5548" s="56" t="n">
        <f aca="false">R5548*(B5548&gt;=Train_Start)*(B5548&lt;=Train_End)</f>
        <v>0</v>
      </c>
      <c r="T5548" s="84" t="n">
        <f aca="false">IF(AND(ISNUMBER(O5548),ISNUMBER(P5548)),Coef_A+Coef_B1*O5548+Coef_B2*P5548,"")</f>
        <v>19.930532485462</v>
      </c>
      <c r="U5548" s="84" t="n">
        <f aca="false">IF(AND(R5548=1,ISNUMBER(T5548)),E5548-T5548,"")</f>
        <v>-4.23053248546198</v>
      </c>
      <c r="V5548" s="84" t="n">
        <f aca="false">IF(ISNUMBER(T5548),T5548,-99)</f>
        <v>19.930532485462</v>
      </c>
      <c r="W5548" s="84" t="n">
        <f aca="false">IF(ISNUMBER(U5548),ABS(U5548),"")</f>
        <v>4.23053248546198</v>
      </c>
    </row>
    <row r="5549" customFormat="false" ht="15" hidden="false" customHeight="false" outlineLevel="0" collapsed="false">
      <c r="A5549" s="57" t="n">
        <v>42164</v>
      </c>
      <c r="B5549" s="56" t="n">
        <v>2015</v>
      </c>
      <c r="C5549" s="56" t="n">
        <v>6</v>
      </c>
      <c r="D5549" s="56" t="n">
        <v>40</v>
      </c>
      <c r="E5549" s="56" t="n">
        <v>19.2</v>
      </c>
      <c r="F5549" s="56" t="n">
        <v>0</v>
      </c>
      <c r="G5549" s="56" t="n">
        <v>7.1</v>
      </c>
      <c r="H5549" s="56" t="n">
        <v>0</v>
      </c>
      <c r="I5549" s="56" t="n">
        <v>11.4</v>
      </c>
      <c r="J5549" s="56" t="n">
        <v>0</v>
      </c>
      <c r="K5549" s="56" t="n">
        <v>1032.9</v>
      </c>
      <c r="L5549" s="56" t="n">
        <v>0</v>
      </c>
      <c r="M5549" s="56" t="n">
        <v>59</v>
      </c>
      <c r="N5549" s="56" t="n">
        <v>2.5</v>
      </c>
      <c r="O5549" s="56" t="n">
        <f aca="false">IF(D5549=1,"",E5548)</f>
        <v>15.7</v>
      </c>
      <c r="P5549" s="56" t="n">
        <f aca="false">IF(OR(D5549=1,K5548=""),"",K5548)</f>
        <v>1033.2</v>
      </c>
      <c r="Q5549" s="56" t="n">
        <f aca="false">IF(OR(F5549&lt;&gt;0,AND(I5549&lt;&gt;"",E5549&lt;I5549)),1,0)</f>
        <v>0</v>
      </c>
      <c r="R5549" s="56" t="n">
        <f aca="false">IF(AND(D5549&gt;1,Q5549=0,ISNUMBER(O5549),ISNUMBER(P5549)),IF(Q5548=0,1,0),0)</f>
        <v>1</v>
      </c>
      <c r="S5549" s="56" t="n">
        <f aca="false">R5549*(B5549&gt;=Train_Start)*(B5549&lt;=Train_End)</f>
        <v>0</v>
      </c>
      <c r="T5549" s="84" t="n">
        <f aca="false">IF(AND(ISNUMBER(O5549),ISNUMBER(P5549)),Coef_A+Coef_B1*O5549+Coef_B2*P5549,"")</f>
        <v>17.3619758886033</v>
      </c>
      <c r="U5549" s="84" t="n">
        <f aca="false">IF(AND(R5549=1,ISNUMBER(T5549)),E5549-T5549,"")</f>
        <v>1.83802411139673</v>
      </c>
      <c r="V5549" s="84" t="n">
        <f aca="false">IF(ISNUMBER(T5549),T5549,-99)</f>
        <v>17.3619758886033</v>
      </c>
      <c r="W5549" s="84" t="n">
        <f aca="false">IF(ISNUMBER(U5549),ABS(U5549),"")</f>
        <v>1.83802411139673</v>
      </c>
    </row>
    <row r="5550" customFormat="false" ht="15" hidden="false" customHeight="false" outlineLevel="0" collapsed="false">
      <c r="A5550" s="57" t="n">
        <v>42165</v>
      </c>
      <c r="B5550" s="56" t="n">
        <v>2015</v>
      </c>
      <c r="C5550" s="56" t="n">
        <v>6</v>
      </c>
      <c r="D5550" s="56" t="n">
        <v>41</v>
      </c>
      <c r="E5550" s="56" t="n">
        <v>24.7</v>
      </c>
      <c r="F5550" s="56" t="n">
        <v>0</v>
      </c>
      <c r="G5550" s="56" t="n">
        <v>9.4</v>
      </c>
      <c r="H5550" s="56" t="n">
        <v>0</v>
      </c>
      <c r="I5550" s="56" t="n">
        <v>14.3</v>
      </c>
      <c r="J5550" s="56" t="n">
        <v>0</v>
      </c>
      <c r="K5550" s="56" t="n">
        <v>1028.3</v>
      </c>
      <c r="L5550" s="56" t="n">
        <v>0</v>
      </c>
      <c r="M5550" s="56" t="n">
        <v>54</v>
      </c>
      <c r="N5550" s="56" t="n">
        <v>7.2</v>
      </c>
      <c r="O5550" s="56" t="n">
        <f aca="false">IF(D5550=1,"",E5549)</f>
        <v>19.2</v>
      </c>
      <c r="P5550" s="56" t="n">
        <f aca="false">IF(OR(D5550=1,K5549=""),"",K5549)</f>
        <v>1032.9</v>
      </c>
      <c r="Q5550" s="56" t="n">
        <f aca="false">IF(OR(F5550&lt;&gt;0,AND(I5550&lt;&gt;"",E5550&lt;I5550)),1,0)</f>
        <v>0</v>
      </c>
      <c r="R5550" s="56" t="n">
        <f aca="false">IF(AND(D5550&gt;1,Q5550=0,ISNUMBER(O5550),ISNUMBER(P5550)),IF(Q5549=0,1,0),0)</f>
        <v>1</v>
      </c>
      <c r="S5550" s="56" t="n">
        <f aca="false">R5550*(B5550&gt;=Train_Start)*(B5550&lt;=Train_End)</f>
        <v>0</v>
      </c>
      <c r="T5550" s="84" t="n">
        <f aca="false">IF(AND(ISNUMBER(O5550),ISNUMBER(P5550)),Coef_A+Coef_B1*O5550+Coef_B2*P5550,"")</f>
        <v>20.2202520958624</v>
      </c>
      <c r="U5550" s="84" t="n">
        <f aca="false">IF(AND(R5550=1,ISNUMBER(T5550)),E5550-T5550,"")</f>
        <v>4.47974790413763</v>
      </c>
      <c r="V5550" s="84" t="n">
        <f aca="false">IF(ISNUMBER(T5550),T5550,-99)</f>
        <v>20.2202520958624</v>
      </c>
      <c r="W5550" s="84" t="n">
        <f aca="false">IF(ISNUMBER(U5550),ABS(U5550),"")</f>
        <v>4.47974790413763</v>
      </c>
    </row>
    <row r="5551" customFormat="false" ht="15" hidden="false" customHeight="false" outlineLevel="0" collapsed="false">
      <c r="A5551" s="57" t="n">
        <v>42166</v>
      </c>
      <c r="B5551" s="56" t="n">
        <v>2015</v>
      </c>
      <c r="C5551" s="56" t="n">
        <v>6</v>
      </c>
      <c r="D5551" s="56" t="n">
        <v>42</v>
      </c>
      <c r="E5551" s="56" t="n">
        <v>25.4</v>
      </c>
      <c r="F5551" s="56" t="n">
        <v>0</v>
      </c>
      <c r="G5551" s="56" t="n">
        <v>9.5</v>
      </c>
      <c r="H5551" s="56" t="n">
        <v>0</v>
      </c>
      <c r="I5551" s="56" t="n">
        <v>17.1</v>
      </c>
      <c r="J5551" s="56" t="n">
        <v>0</v>
      </c>
      <c r="K5551" s="56" t="n">
        <v>1018.8</v>
      </c>
      <c r="L5551" s="56" t="n">
        <v>0</v>
      </c>
      <c r="M5551" s="56" t="n">
        <v>56</v>
      </c>
      <c r="N5551" s="56" t="n">
        <v>13.9</v>
      </c>
      <c r="O5551" s="56" t="n">
        <f aca="false">IF(D5551=1,"",E5550)</f>
        <v>24.7</v>
      </c>
      <c r="P5551" s="56" t="n">
        <f aca="false">IF(OR(D5551=1,K5550=""),"",K5550)</f>
        <v>1028.3</v>
      </c>
      <c r="Q5551" s="56" t="n">
        <f aca="false">IF(OR(F5551&lt;&gt;0,AND(I5551&lt;&gt;"",E5551&lt;I5551)),1,0)</f>
        <v>0</v>
      </c>
      <c r="R5551" s="56" t="n">
        <f aca="false">IF(AND(D5551&gt;1,Q5551=0,ISNUMBER(O5551),ISNUMBER(P5551)),IF(Q5550=0,1,0),0)</f>
        <v>1</v>
      </c>
      <c r="S5551" s="56" t="n">
        <f aca="false">R5551*(B5551&gt;=Train_Start)*(B5551&lt;=Train_End)</f>
        <v>0</v>
      </c>
      <c r="T5551" s="84" t="n">
        <f aca="false">IF(AND(ISNUMBER(O5551),ISNUMBER(P5551)),Coef_A+Coef_B1*O5551+Coef_B2*P5551,"")</f>
        <v>24.5823161422806</v>
      </c>
      <c r="U5551" s="84" t="n">
        <f aca="false">IF(AND(R5551=1,ISNUMBER(T5551)),E5551-T5551,"")</f>
        <v>0.81768385771937</v>
      </c>
      <c r="V5551" s="84" t="n">
        <f aca="false">IF(ISNUMBER(T5551),T5551,-99)</f>
        <v>24.5823161422806</v>
      </c>
      <c r="W5551" s="84" t="n">
        <f aca="false">IF(ISNUMBER(U5551),ABS(U5551),"")</f>
        <v>0.81768385771937</v>
      </c>
    </row>
    <row r="5552" customFormat="false" ht="15" hidden="false" customHeight="false" outlineLevel="0" collapsed="false">
      <c r="A5552" s="57" t="n">
        <v>42167</v>
      </c>
      <c r="B5552" s="56" t="n">
        <v>2015</v>
      </c>
      <c r="C5552" s="56" t="n">
        <v>6</v>
      </c>
      <c r="D5552" s="56" t="n">
        <v>43</v>
      </c>
      <c r="E5552" s="56" t="n">
        <v>20</v>
      </c>
      <c r="F5552" s="56" t="n">
        <v>0</v>
      </c>
      <c r="G5552" s="56" t="n">
        <v>12.9</v>
      </c>
      <c r="H5552" s="56" t="n">
        <v>0</v>
      </c>
      <c r="I5552" s="56" t="n">
        <v>19.2</v>
      </c>
      <c r="J5552" s="56" t="n">
        <v>0</v>
      </c>
      <c r="K5552" s="56" t="n">
        <v>1009.1</v>
      </c>
      <c r="L5552" s="56" t="n">
        <v>0</v>
      </c>
      <c r="M5552" s="56" t="n">
        <v>67</v>
      </c>
      <c r="N5552" s="56" t="n">
        <v>1.2</v>
      </c>
      <c r="O5552" s="56" t="n">
        <f aca="false">IF(D5552=1,"",E5551)</f>
        <v>25.4</v>
      </c>
      <c r="P5552" s="56" t="n">
        <f aca="false">IF(OR(D5552=1,K5551=""),"",K5551)</f>
        <v>1018.8</v>
      </c>
      <c r="Q5552" s="56" t="n">
        <f aca="false">IF(OR(F5552&lt;&gt;0,AND(I5552&lt;&gt;"",E5552&lt;I5552)),1,0)</f>
        <v>0</v>
      </c>
      <c r="R5552" s="56" t="n">
        <f aca="false">IF(AND(D5552&gt;1,Q5552=0,ISNUMBER(O5552),ISNUMBER(P5552)),IF(Q5551=0,1,0),0)</f>
        <v>1</v>
      </c>
      <c r="S5552" s="56" t="n">
        <f aca="false">R5552*(B5552&gt;=Train_Start)*(B5552&lt;=Train_End)</f>
        <v>0</v>
      </c>
      <c r="T5552" s="84" t="n">
        <f aca="false">IF(AND(ISNUMBER(O5552),ISNUMBER(P5552)),Coef_A+Coef_B1*O5552+Coef_B2*P5552,"")</f>
        <v>24.8578395783876</v>
      </c>
      <c r="U5552" s="84" t="n">
        <f aca="false">IF(AND(R5552=1,ISNUMBER(T5552)),E5552-T5552,"")</f>
        <v>-4.85783957838759</v>
      </c>
      <c r="V5552" s="84" t="n">
        <f aca="false">IF(ISNUMBER(T5552),T5552,-99)</f>
        <v>24.8578395783876</v>
      </c>
      <c r="W5552" s="84" t="n">
        <f aca="false">IF(ISNUMBER(U5552),ABS(U5552),"")</f>
        <v>4.85783957838759</v>
      </c>
    </row>
    <row r="5553" customFormat="false" ht="15" hidden="false" customHeight="false" outlineLevel="0" collapsed="false">
      <c r="A5553" s="57" t="n">
        <v>42168</v>
      </c>
      <c r="B5553" s="56" t="n">
        <v>2015</v>
      </c>
      <c r="C5553" s="56" t="n">
        <v>6</v>
      </c>
      <c r="D5553" s="56" t="n">
        <v>44</v>
      </c>
      <c r="E5553" s="56" t="n">
        <v>18.1</v>
      </c>
      <c r="F5553" s="56" t="n">
        <v>0</v>
      </c>
      <c r="G5553" s="56" t="n">
        <v>14.7</v>
      </c>
      <c r="H5553" s="56" t="n">
        <v>0</v>
      </c>
      <c r="I5553" s="56" t="n">
        <v>17.4</v>
      </c>
      <c r="J5553" s="56" t="n">
        <v>0</v>
      </c>
      <c r="K5553" s="56" t="n">
        <v>1009</v>
      </c>
      <c r="L5553" s="56" t="n">
        <v>0</v>
      </c>
      <c r="M5553" s="56" t="n">
        <v>81</v>
      </c>
      <c r="N5553" s="56" t="n">
        <v>0.9</v>
      </c>
      <c r="O5553" s="56" t="n">
        <f aca="false">IF(D5553=1,"",E5552)</f>
        <v>20</v>
      </c>
      <c r="P5553" s="56" t="n">
        <f aca="false">IF(OR(D5553=1,K5552=""),"",K5552)</f>
        <v>1009.1</v>
      </c>
      <c r="Q5553" s="56" t="n">
        <f aca="false">IF(OR(F5553&lt;&gt;0,AND(I5553&lt;&gt;"",E5553&lt;I5553)),1,0)</f>
        <v>0</v>
      </c>
      <c r="R5553" s="56" t="n">
        <f aca="false">IF(AND(D5553&gt;1,Q5553=0,ISNUMBER(O5553),ISNUMBER(P5553)),IF(Q5552=0,1,0),0)</f>
        <v>1</v>
      </c>
      <c r="S5553" s="56" t="n">
        <f aca="false">R5553*(B5553&gt;=Train_Start)*(B5553&lt;=Train_End)</f>
        <v>0</v>
      </c>
      <c r="T5553" s="84" t="n">
        <f aca="false">IF(AND(ISNUMBER(O5553),ISNUMBER(P5553)),Coef_A+Coef_B1*O5553+Coef_B2*P5553,"")</f>
        <v>20.1291199580075</v>
      </c>
      <c r="U5553" s="84" t="n">
        <f aca="false">IF(AND(R5553=1,ISNUMBER(T5553)),E5553-T5553,"")</f>
        <v>-2.02911995800755</v>
      </c>
      <c r="V5553" s="84" t="n">
        <f aca="false">IF(ISNUMBER(T5553),T5553,-99)</f>
        <v>20.1291199580075</v>
      </c>
      <c r="W5553" s="84" t="n">
        <f aca="false">IF(ISNUMBER(U5553),ABS(U5553),"")</f>
        <v>2.02911995800755</v>
      </c>
    </row>
    <row r="5554" customFormat="false" ht="15" hidden="false" customHeight="false" outlineLevel="0" collapsed="false">
      <c r="A5554" s="57" t="n">
        <v>42169</v>
      </c>
      <c r="B5554" s="56" t="n">
        <v>2015</v>
      </c>
      <c r="C5554" s="56" t="n">
        <v>6</v>
      </c>
      <c r="D5554" s="56" t="n">
        <v>45</v>
      </c>
      <c r="E5554" s="56" t="n">
        <v>20.7</v>
      </c>
      <c r="F5554" s="56" t="n">
        <v>0</v>
      </c>
      <c r="G5554" s="56" t="n">
        <v>12.4</v>
      </c>
      <c r="H5554" s="56" t="n">
        <v>0</v>
      </c>
      <c r="I5554" s="56" t="n">
        <v>15.3</v>
      </c>
      <c r="J5554" s="56" t="n">
        <v>0</v>
      </c>
      <c r="K5554" s="56" t="n">
        <v>1013.7</v>
      </c>
      <c r="L5554" s="56" t="n">
        <v>0</v>
      </c>
      <c r="M5554" s="56" t="n">
        <v>77</v>
      </c>
      <c r="N5554" s="56" t="n">
        <v>0.3</v>
      </c>
      <c r="O5554" s="56" t="n">
        <f aca="false">IF(D5554=1,"",E5553)</f>
        <v>18.1</v>
      </c>
      <c r="P5554" s="56" t="n">
        <f aca="false">IF(OR(D5554=1,K5553=""),"",K5553)</f>
        <v>1009</v>
      </c>
      <c r="Q5554" s="56" t="n">
        <f aca="false">IF(OR(F5554&lt;&gt;0,AND(I5554&lt;&gt;"",E5554&lt;I5554)),1,0)</f>
        <v>0</v>
      </c>
      <c r="R5554" s="56" t="n">
        <f aca="false">IF(AND(D5554&gt;1,Q5554=0,ISNUMBER(O5554),ISNUMBER(P5554)),IF(Q5553=0,1,0),0)</f>
        <v>1</v>
      </c>
      <c r="S5554" s="56" t="n">
        <f aca="false">R5554*(B5554&gt;=Train_Start)*(B5554&lt;=Train_End)</f>
        <v>0</v>
      </c>
      <c r="T5554" s="84" t="n">
        <f aca="false">IF(AND(ISNUMBER(O5554),ISNUMBER(P5554)),Coef_A+Coef_B1*O5554+Coef_B2*P5554,"")</f>
        <v>18.5692385017631</v>
      </c>
      <c r="U5554" s="84" t="n">
        <f aca="false">IF(AND(R5554=1,ISNUMBER(T5554)),E5554-T5554,"")</f>
        <v>2.1307614982369</v>
      </c>
      <c r="V5554" s="84" t="n">
        <f aca="false">IF(ISNUMBER(T5554),T5554,-99)</f>
        <v>18.5692385017631</v>
      </c>
      <c r="W5554" s="84" t="n">
        <f aca="false">IF(ISNUMBER(U5554),ABS(U5554),"")</f>
        <v>2.1307614982369</v>
      </c>
    </row>
    <row r="5555" customFormat="false" ht="15" hidden="false" customHeight="false" outlineLevel="0" collapsed="false">
      <c r="A5555" s="57" t="n">
        <v>42170</v>
      </c>
      <c r="B5555" s="56" t="n">
        <v>2015</v>
      </c>
      <c r="C5555" s="56" t="n">
        <v>6</v>
      </c>
      <c r="D5555" s="56" t="n">
        <v>46</v>
      </c>
      <c r="E5555" s="56" t="n">
        <v>24.5</v>
      </c>
      <c r="F5555" s="56" t="n">
        <v>0</v>
      </c>
      <c r="G5555" s="56" t="n">
        <v>11.2</v>
      </c>
      <c r="H5555" s="56" t="n">
        <v>0</v>
      </c>
      <c r="I5555" s="56" t="n">
        <v>16</v>
      </c>
      <c r="J5555" s="56" t="n">
        <v>0</v>
      </c>
      <c r="K5555" s="56" t="n">
        <v>1022</v>
      </c>
      <c r="L5555" s="56" t="n">
        <v>0</v>
      </c>
      <c r="M5555" s="56" t="n">
        <v>59</v>
      </c>
      <c r="N5555" s="56" t="n">
        <v>5.2</v>
      </c>
      <c r="O5555" s="56" t="n">
        <f aca="false">IF(D5555=1,"",E5554)</f>
        <v>20.7</v>
      </c>
      <c r="P5555" s="56" t="n">
        <f aca="false">IF(OR(D5555=1,K5554=""),"",K5554)</f>
        <v>1013.7</v>
      </c>
      <c r="Q5555" s="56" t="n">
        <f aca="false">IF(OR(F5555&lt;&gt;0,AND(I5555&lt;&gt;"",E5555&lt;I5555)),1,0)</f>
        <v>0</v>
      </c>
      <c r="R5555" s="56" t="n">
        <f aca="false">IF(AND(D5555&gt;1,Q5555=0,ISNUMBER(O5555),ISNUMBER(P5555)),IF(Q5554=0,1,0),0)</f>
        <v>1</v>
      </c>
      <c r="S5555" s="56" t="n">
        <f aca="false">R5555*(B5555&gt;=Train_Start)*(B5555&lt;=Train_End)</f>
        <v>0</v>
      </c>
      <c r="T5555" s="84" t="n">
        <f aca="false">IF(AND(ISNUMBER(O5555),ISNUMBER(P5555)),Coef_A+Coef_B1*O5555+Coef_B2*P5555,"")</f>
        <v>20.8469589084538</v>
      </c>
      <c r="U5555" s="84" t="n">
        <f aca="false">IF(AND(R5555=1,ISNUMBER(T5555)),E5555-T5555,"")</f>
        <v>3.65304109154624</v>
      </c>
      <c r="V5555" s="84" t="n">
        <f aca="false">IF(ISNUMBER(T5555),T5555,-99)</f>
        <v>20.8469589084538</v>
      </c>
      <c r="W5555" s="84" t="n">
        <f aca="false">IF(ISNUMBER(U5555),ABS(U5555),"")</f>
        <v>3.65304109154624</v>
      </c>
    </row>
    <row r="5556" customFormat="false" ht="15" hidden="false" customHeight="false" outlineLevel="0" collapsed="false">
      <c r="A5556" s="57" t="n">
        <v>42171</v>
      </c>
      <c r="B5556" s="56" t="n">
        <v>2015</v>
      </c>
      <c r="C5556" s="56" t="n">
        <v>6</v>
      </c>
      <c r="D5556" s="56" t="n">
        <v>47</v>
      </c>
      <c r="E5556" s="56" t="n">
        <v>26.1</v>
      </c>
      <c r="F5556" s="56" t="n">
        <v>0</v>
      </c>
      <c r="G5556" s="56" t="n">
        <v>9.2</v>
      </c>
      <c r="H5556" s="56" t="n">
        <v>0</v>
      </c>
      <c r="I5556" s="56" t="n">
        <v>16.9</v>
      </c>
      <c r="J5556" s="56" t="n">
        <v>0</v>
      </c>
      <c r="K5556" s="56" t="n">
        <v>1025.4</v>
      </c>
      <c r="L5556" s="56" t="n">
        <v>0</v>
      </c>
      <c r="M5556" s="56" t="n">
        <v>56</v>
      </c>
      <c r="N5556" s="56" t="n">
        <v>6.5</v>
      </c>
      <c r="O5556" s="56" t="n">
        <f aca="false">IF(D5556=1,"",E5555)</f>
        <v>24.5</v>
      </c>
      <c r="P5556" s="56" t="n">
        <f aca="false">IF(OR(D5556=1,K5555=""),"",K5555)</f>
        <v>1022</v>
      </c>
      <c r="Q5556" s="56" t="n">
        <f aca="false">IF(OR(F5556&lt;&gt;0,AND(I5556&lt;&gt;"",E5556&lt;I5556)),1,0)</f>
        <v>0</v>
      </c>
      <c r="R5556" s="56" t="n">
        <f aca="false">IF(AND(D5556&gt;1,Q5556=0,ISNUMBER(O5556),ISNUMBER(P5556)),IF(Q5555=0,1,0),0)</f>
        <v>1</v>
      </c>
      <c r="S5556" s="56" t="n">
        <f aca="false">R5556*(B5556&gt;=Train_Start)*(B5556&lt;=Train_End)</f>
        <v>0</v>
      </c>
      <c r="T5556" s="84" t="n">
        <f aca="false">IF(AND(ISNUMBER(O5556),ISNUMBER(P5556)),Coef_A+Coef_B1*O5556+Coef_B2*P5556,"")</f>
        <v>24.220817967478</v>
      </c>
      <c r="U5556" s="84" t="n">
        <f aca="false">IF(AND(R5556=1,ISNUMBER(T5556)),E5556-T5556,"")</f>
        <v>1.87918203252204</v>
      </c>
      <c r="V5556" s="84" t="n">
        <f aca="false">IF(ISNUMBER(T5556),T5556,-99)</f>
        <v>24.220817967478</v>
      </c>
      <c r="W5556" s="84" t="n">
        <f aca="false">IF(ISNUMBER(U5556),ABS(U5556),"")</f>
        <v>1.87918203252204</v>
      </c>
    </row>
    <row r="5557" customFormat="false" ht="15" hidden="false" customHeight="false" outlineLevel="0" collapsed="false">
      <c r="A5557" s="57" t="n">
        <v>42172</v>
      </c>
      <c r="B5557" s="56" t="n">
        <v>2015</v>
      </c>
      <c r="C5557" s="56" t="n">
        <v>6</v>
      </c>
      <c r="D5557" s="56" t="n">
        <v>48</v>
      </c>
      <c r="E5557" s="56" t="n">
        <v>22.1</v>
      </c>
      <c r="F5557" s="56" t="n">
        <v>0</v>
      </c>
      <c r="G5557" s="56" t="n">
        <v>11.7</v>
      </c>
      <c r="H5557" s="56" t="n">
        <v>0</v>
      </c>
      <c r="I5557" s="56" t="n">
        <v>18.9</v>
      </c>
      <c r="J5557" s="56" t="n">
        <v>0</v>
      </c>
      <c r="K5557" s="56" t="n">
        <v>1022.9</v>
      </c>
      <c r="L5557" s="56" t="n">
        <v>0</v>
      </c>
      <c r="M5557" s="56" t="n">
        <v>70</v>
      </c>
      <c r="N5557" s="56" t="n">
        <v>3.4</v>
      </c>
      <c r="O5557" s="56" t="n">
        <f aca="false">IF(D5557=1,"",E5556)</f>
        <v>26.1</v>
      </c>
      <c r="P5557" s="56" t="n">
        <f aca="false">IF(OR(D5557=1,K5556=""),"",K5556)</f>
        <v>1025.4</v>
      </c>
      <c r="Q5557" s="56" t="n">
        <f aca="false">IF(OR(F5557&lt;&gt;0,AND(I5557&lt;&gt;"",E5557&lt;I5557)),1,0)</f>
        <v>0</v>
      </c>
      <c r="R5557" s="56" t="n">
        <f aca="false">IF(AND(D5557&gt;1,Q5557=0,ISNUMBER(O5557),ISNUMBER(P5557)),IF(Q5556=0,1,0),0)</f>
        <v>1</v>
      </c>
      <c r="S5557" s="56" t="n">
        <f aca="false">R5557*(B5557&gt;=Train_Start)*(B5557&lt;=Train_End)</f>
        <v>0</v>
      </c>
      <c r="T5557" s="84" t="n">
        <f aca="false">IF(AND(ISNUMBER(O5557),ISNUMBER(P5557)),Coef_A+Coef_B1*O5557+Coef_B2*P5557,"")</f>
        <v>25.6384183181018</v>
      </c>
      <c r="U5557" s="84" t="n">
        <f aca="false">IF(AND(R5557=1,ISNUMBER(T5557)),E5557-T5557,"")</f>
        <v>-3.53841831810179</v>
      </c>
      <c r="V5557" s="84" t="n">
        <f aca="false">IF(ISNUMBER(T5557),T5557,-99)</f>
        <v>25.6384183181018</v>
      </c>
      <c r="W5557" s="84" t="n">
        <f aca="false">IF(ISNUMBER(U5557),ABS(U5557),"")</f>
        <v>3.53841831810179</v>
      </c>
    </row>
    <row r="5558" customFormat="false" ht="15" hidden="false" customHeight="false" outlineLevel="0" collapsed="false">
      <c r="A5558" s="57" t="n">
        <v>42173</v>
      </c>
      <c r="B5558" s="56" t="n">
        <v>2015</v>
      </c>
      <c r="C5558" s="56" t="n">
        <v>6</v>
      </c>
      <c r="D5558" s="56" t="n">
        <v>49</v>
      </c>
      <c r="E5558" s="56" t="n">
        <v>22.1</v>
      </c>
      <c r="F5558" s="56" t="n">
        <v>0</v>
      </c>
      <c r="G5558" s="56" t="n">
        <v>14</v>
      </c>
      <c r="H5558" s="56" t="n">
        <v>0</v>
      </c>
      <c r="I5558" s="56" t="n">
        <v>18.1</v>
      </c>
      <c r="J5558" s="56" t="n">
        <v>0</v>
      </c>
      <c r="K5558" s="56" t="n">
        <v>1020.8</v>
      </c>
      <c r="L5558" s="56" t="n">
        <v>0</v>
      </c>
      <c r="M5558" s="56" t="n">
        <v>56</v>
      </c>
      <c r="N5558" s="56" t="n">
        <v>10.3</v>
      </c>
      <c r="O5558" s="56" t="n">
        <f aca="false">IF(D5558=1,"",E5557)</f>
        <v>22.1</v>
      </c>
      <c r="P5558" s="56" t="n">
        <f aca="false">IF(OR(D5558=1,K5557=""),"",K5557)</f>
        <v>1022.9</v>
      </c>
      <c r="Q5558" s="56" t="n">
        <f aca="false">IF(OR(F5558&lt;&gt;0,AND(I5558&lt;&gt;"",E5558&lt;I5558)),1,0)</f>
        <v>0</v>
      </c>
      <c r="R5558" s="56" t="n">
        <f aca="false">IF(AND(D5558&gt;1,Q5558=0,ISNUMBER(O5558),ISNUMBER(P5558)),IF(Q5557=0,1,0),0)</f>
        <v>1</v>
      </c>
      <c r="S5558" s="56" t="n">
        <f aca="false">R5558*(B5558&gt;=Train_Start)*(B5558&lt;=Train_End)</f>
        <v>0</v>
      </c>
      <c r="T5558" s="84" t="n">
        <f aca="false">IF(AND(ISNUMBER(O5558),ISNUMBER(P5558)),Coef_A+Coef_B1*O5558+Coef_B2*P5558,"")</f>
        <v>22.2826368093462</v>
      </c>
      <c r="U5558" s="84" t="n">
        <f aca="false">IF(AND(R5558=1,ISNUMBER(T5558)),E5558-T5558,"")</f>
        <v>-0.182636809346178</v>
      </c>
      <c r="V5558" s="84" t="n">
        <f aca="false">IF(ISNUMBER(T5558),T5558,-99)</f>
        <v>22.2826368093462</v>
      </c>
      <c r="W5558" s="84" t="n">
        <f aca="false">IF(ISNUMBER(U5558),ABS(U5558),"")</f>
        <v>0.182636809346178</v>
      </c>
    </row>
    <row r="5559" customFormat="false" ht="15" hidden="false" customHeight="false" outlineLevel="0" collapsed="false">
      <c r="A5559" s="57" t="n">
        <v>42174</v>
      </c>
      <c r="B5559" s="56" t="n">
        <v>2015</v>
      </c>
      <c r="C5559" s="56" t="n">
        <v>6</v>
      </c>
      <c r="D5559" s="56" t="n">
        <v>50</v>
      </c>
      <c r="E5559" s="56" t="n">
        <v>20.4</v>
      </c>
      <c r="F5559" s="56" t="n">
        <v>0</v>
      </c>
      <c r="G5559" s="56" t="n">
        <v>11.3</v>
      </c>
      <c r="H5559" s="56" t="n">
        <v>0</v>
      </c>
      <c r="I5559" s="56" t="n">
        <v>16.7</v>
      </c>
      <c r="J5559" s="56" t="n">
        <v>0</v>
      </c>
      <c r="K5559" s="56" t="n">
        <v>1021.8</v>
      </c>
      <c r="L5559" s="56" t="n">
        <v>0</v>
      </c>
      <c r="M5559" s="56" t="n">
        <v>56</v>
      </c>
      <c r="N5559" s="56" t="n">
        <v>9.1</v>
      </c>
      <c r="O5559" s="56" t="n">
        <f aca="false">IF(D5559=1,"",E5558)</f>
        <v>22.1</v>
      </c>
      <c r="P5559" s="56" t="n">
        <f aca="false">IF(OR(D5559=1,K5558=""),"",K5558)</f>
        <v>1020.8</v>
      </c>
      <c r="Q5559" s="56" t="n">
        <f aca="false">IF(OR(F5559&lt;&gt;0,AND(I5559&lt;&gt;"",E5559&lt;I5559)),1,0)</f>
        <v>0</v>
      </c>
      <c r="R5559" s="56" t="n">
        <f aca="false">IF(AND(D5559&gt;1,Q5559=0,ISNUMBER(O5559),ISNUMBER(P5559)),IF(Q5558=0,1,0),0)</f>
        <v>1</v>
      </c>
      <c r="S5559" s="56" t="n">
        <f aca="false">R5559*(B5559&gt;=Train_Start)*(B5559&lt;=Train_End)</f>
        <v>0</v>
      </c>
      <c r="T5559" s="84" t="n">
        <f aca="false">IF(AND(ISNUMBER(O5559),ISNUMBER(P5559)),Coef_A+Coef_B1*O5559+Coef_B2*P5559,"")</f>
        <v>22.2167600306148</v>
      </c>
      <c r="U5559" s="84" t="n">
        <f aca="false">IF(AND(R5559=1,ISNUMBER(T5559)),E5559-T5559,"")</f>
        <v>-1.8167600306148</v>
      </c>
      <c r="V5559" s="84" t="n">
        <f aca="false">IF(ISNUMBER(T5559),T5559,-99)</f>
        <v>22.2167600306148</v>
      </c>
      <c r="W5559" s="84" t="n">
        <f aca="false">IF(ISNUMBER(U5559),ABS(U5559),"")</f>
        <v>1.8167600306148</v>
      </c>
    </row>
    <row r="5560" customFormat="false" ht="15" hidden="false" customHeight="false" outlineLevel="0" collapsed="false">
      <c r="A5560" s="57" t="n">
        <v>42175</v>
      </c>
      <c r="B5560" s="56" t="n">
        <v>2015</v>
      </c>
      <c r="C5560" s="56" t="n">
        <v>6</v>
      </c>
      <c r="D5560" s="56" t="n">
        <v>51</v>
      </c>
      <c r="E5560" s="56" t="n">
        <v>21.2</v>
      </c>
      <c r="F5560" s="56" t="n">
        <v>0</v>
      </c>
      <c r="G5560" s="56" t="n">
        <v>12.9</v>
      </c>
      <c r="H5560" s="56" t="n">
        <v>0</v>
      </c>
      <c r="I5560" s="56" t="n">
        <v>16.7</v>
      </c>
      <c r="J5560" s="56" t="n">
        <v>0</v>
      </c>
      <c r="K5560" s="56" t="n">
        <v>1020.9</v>
      </c>
      <c r="L5560" s="56" t="n">
        <v>0</v>
      </c>
      <c r="M5560" s="56" t="n">
        <v>76</v>
      </c>
      <c r="N5560" s="56" t="n">
        <v>0.1</v>
      </c>
      <c r="O5560" s="56" t="n">
        <f aca="false">IF(D5560=1,"",E5559)</f>
        <v>20.4</v>
      </c>
      <c r="P5560" s="56" t="n">
        <f aca="false">IF(OR(D5560=1,K5559=""),"",K5559)</f>
        <v>1021.8</v>
      </c>
      <c r="Q5560" s="56" t="n">
        <f aca="false">IF(OR(F5560&lt;&gt;0,AND(I5560&lt;&gt;"",E5560&lt;I5560)),1,0)</f>
        <v>0</v>
      </c>
      <c r="R5560" s="56" t="n">
        <f aca="false">IF(AND(D5560&gt;1,Q5560=0,ISNUMBER(O5560),ISNUMBER(P5560)),IF(Q5559=0,1,0),0)</f>
        <v>1</v>
      </c>
      <c r="S5560" s="56" t="n">
        <f aca="false">R5560*(B5560&gt;=Train_Start)*(B5560&lt;=Train_End)</f>
        <v>0</v>
      </c>
      <c r="T5560" s="84" t="n">
        <f aca="false">IF(AND(ISNUMBER(O5560),ISNUMBER(P5560)),Coef_A+Coef_B1*O5560+Coef_B2*P5560,"")</f>
        <v>20.8552532970763</v>
      </c>
      <c r="U5560" s="84" t="n">
        <f aca="false">IF(AND(R5560=1,ISNUMBER(T5560)),E5560-T5560,"")</f>
        <v>0.344746702923729</v>
      </c>
      <c r="V5560" s="84" t="n">
        <f aca="false">IF(ISNUMBER(T5560),T5560,-99)</f>
        <v>20.8552532970763</v>
      </c>
      <c r="W5560" s="84" t="n">
        <f aca="false">IF(ISNUMBER(U5560),ABS(U5560),"")</f>
        <v>0.344746702923729</v>
      </c>
    </row>
    <row r="5561" customFormat="false" ht="15" hidden="false" customHeight="false" outlineLevel="0" collapsed="false">
      <c r="A5561" s="57" t="n">
        <v>42176</v>
      </c>
      <c r="B5561" s="56" t="n">
        <v>2015</v>
      </c>
      <c r="C5561" s="56" t="n">
        <v>6</v>
      </c>
      <c r="D5561" s="56" t="n">
        <v>52</v>
      </c>
      <c r="E5561" s="56" t="n">
        <v>18.4</v>
      </c>
      <c r="F5561" s="56" t="n">
        <v>0</v>
      </c>
      <c r="G5561" s="56" t="n">
        <v>14</v>
      </c>
      <c r="H5561" s="56" t="n">
        <v>0</v>
      </c>
      <c r="I5561" s="56" t="n">
        <v>17.6</v>
      </c>
      <c r="J5561" s="56" t="n">
        <v>0</v>
      </c>
      <c r="K5561" s="56" t="n">
        <v>1016.1</v>
      </c>
      <c r="L5561" s="56" t="n">
        <v>0</v>
      </c>
      <c r="M5561" s="56" t="n">
        <v>63</v>
      </c>
      <c r="N5561" s="56" t="n">
        <v>3.6</v>
      </c>
      <c r="O5561" s="56" t="n">
        <f aca="false">IF(D5561=1,"",E5560)</f>
        <v>21.2</v>
      </c>
      <c r="P5561" s="56" t="n">
        <f aca="false">IF(OR(D5561=1,K5560=""),"",K5560)</f>
        <v>1020.9</v>
      </c>
      <c r="Q5561" s="56" t="n">
        <f aca="false">IF(OR(F5561&lt;&gt;0,AND(I5561&lt;&gt;"",E5561&lt;I5561)),1,0)</f>
        <v>0</v>
      </c>
      <c r="R5561" s="56" t="n">
        <f aca="false">IF(AND(D5561&gt;1,Q5561=0,ISNUMBER(O5561),ISNUMBER(P5561)),IF(Q5560=0,1,0),0)</f>
        <v>1</v>
      </c>
      <c r="S5561" s="56" t="n">
        <f aca="false">R5561*(B5561&gt;=Train_Start)*(B5561&lt;=Train_End)</f>
        <v>0</v>
      </c>
      <c r="T5561" s="84" t="n">
        <f aca="false">IF(AND(ISNUMBER(O5561),ISNUMBER(P5561)),Coef_A+Coef_B1*O5561+Coef_B2*P5561,"")</f>
        <v>21.4824917463398</v>
      </c>
      <c r="U5561" s="84" t="n">
        <f aca="false">IF(AND(R5561=1,ISNUMBER(T5561)),E5561-T5561,"")</f>
        <v>-3.08249174633981</v>
      </c>
      <c r="V5561" s="84" t="n">
        <f aca="false">IF(ISNUMBER(T5561),T5561,-99)</f>
        <v>21.4824917463398</v>
      </c>
      <c r="W5561" s="84" t="n">
        <f aca="false">IF(ISNUMBER(U5561),ABS(U5561),"")</f>
        <v>3.08249174633981</v>
      </c>
    </row>
    <row r="5562" customFormat="false" ht="15" hidden="false" customHeight="false" outlineLevel="0" collapsed="false">
      <c r="A5562" s="57" t="n">
        <v>42177</v>
      </c>
      <c r="B5562" s="56" t="n">
        <v>2015</v>
      </c>
      <c r="C5562" s="56" t="n">
        <v>6</v>
      </c>
      <c r="D5562" s="56" t="n">
        <v>53</v>
      </c>
      <c r="E5562" s="56" t="n">
        <v>21.3</v>
      </c>
      <c r="F5562" s="56" t="n">
        <v>0</v>
      </c>
      <c r="G5562" s="56" t="n">
        <v>10.9</v>
      </c>
      <c r="H5562" s="56" t="n">
        <v>0</v>
      </c>
      <c r="I5562" s="56" t="n">
        <v>14.7</v>
      </c>
      <c r="J5562" s="56" t="n">
        <v>0</v>
      </c>
      <c r="K5562" s="56" t="n">
        <v>1011.1</v>
      </c>
      <c r="L5562" s="56" t="n">
        <v>0</v>
      </c>
      <c r="M5562" s="56" t="n">
        <v>70</v>
      </c>
      <c r="N5562" s="56" t="n">
        <v>3.6</v>
      </c>
      <c r="O5562" s="56" t="n">
        <f aca="false">IF(D5562=1,"",E5561)</f>
        <v>18.4</v>
      </c>
      <c r="P5562" s="56" t="n">
        <f aca="false">IF(OR(D5562=1,K5561=""),"",K5561)</f>
        <v>1016.1</v>
      </c>
      <c r="Q5562" s="56" t="n">
        <f aca="false">IF(OR(F5562&lt;&gt;0,AND(I5562&lt;&gt;"",E5562&lt;I5562)),1,0)</f>
        <v>0</v>
      </c>
      <c r="R5562" s="56" t="n">
        <f aca="false">IF(AND(D5562&gt;1,Q5562=0,ISNUMBER(O5562),ISNUMBER(P5562)),IF(Q5561=0,1,0),0)</f>
        <v>1</v>
      </c>
      <c r="S5562" s="56" t="n">
        <f aca="false">R5562*(B5562&gt;=Train_Start)*(B5562&lt;=Train_End)</f>
        <v>0</v>
      </c>
      <c r="T5562" s="84" t="n">
        <f aca="false">IF(AND(ISNUMBER(O5562),ISNUMBER(P5562)),Coef_A+Coef_B1*O5562+Coef_B2*P5562,"")</f>
        <v>19.0377665115772</v>
      </c>
      <c r="U5562" s="84" t="n">
        <f aca="false">IF(AND(R5562=1,ISNUMBER(T5562)),E5562-T5562,"")</f>
        <v>2.26223348842278</v>
      </c>
      <c r="V5562" s="84" t="n">
        <f aca="false">IF(ISNUMBER(T5562),T5562,-99)</f>
        <v>19.0377665115772</v>
      </c>
      <c r="W5562" s="84" t="n">
        <f aca="false">IF(ISNUMBER(U5562),ABS(U5562),"")</f>
        <v>2.26223348842278</v>
      </c>
    </row>
    <row r="5563" customFormat="false" ht="15" hidden="false" customHeight="false" outlineLevel="0" collapsed="false">
      <c r="A5563" s="57" t="n">
        <v>42178</v>
      </c>
      <c r="B5563" s="56" t="n">
        <v>2015</v>
      </c>
      <c r="C5563" s="56" t="n">
        <v>6</v>
      </c>
      <c r="D5563" s="56" t="n">
        <v>54</v>
      </c>
      <c r="E5563" s="56" t="n">
        <v>24.4</v>
      </c>
      <c r="F5563" s="56" t="n">
        <v>0</v>
      </c>
      <c r="G5563" s="56" t="n">
        <v>11.8</v>
      </c>
      <c r="H5563" s="56" t="n">
        <v>0</v>
      </c>
      <c r="I5563" s="56" t="n">
        <v>16.6</v>
      </c>
      <c r="J5563" s="56" t="n">
        <v>0</v>
      </c>
      <c r="K5563" s="56" t="n">
        <v>1017.8</v>
      </c>
      <c r="L5563" s="56" t="n">
        <v>0</v>
      </c>
      <c r="M5563" s="56" t="n">
        <v>60</v>
      </c>
      <c r="N5563" s="56" t="n">
        <v>3.8</v>
      </c>
      <c r="O5563" s="56" t="n">
        <f aca="false">IF(D5563=1,"",E5562)</f>
        <v>21.3</v>
      </c>
      <c r="P5563" s="56" t="n">
        <f aca="false">IF(OR(D5563=1,K5562=""),"",K5562)</f>
        <v>1011.1</v>
      </c>
      <c r="Q5563" s="56" t="n">
        <f aca="false">IF(OR(F5563&lt;&gt;0,AND(I5563&lt;&gt;"",E5563&lt;I5563)),1,0)</f>
        <v>0</v>
      </c>
      <c r="R5563" s="56" t="n">
        <f aca="false">IF(AND(D5563&gt;1,Q5563=0,ISNUMBER(O5563),ISNUMBER(P5563)),IF(Q5562=0,1,0),0)</f>
        <v>1</v>
      </c>
      <c r="S5563" s="56" t="n">
        <f aca="false">R5563*(B5563&gt;=Train_Start)*(B5563&lt;=Train_End)</f>
        <v>0</v>
      </c>
      <c r="T5563" s="84" t="n">
        <f aca="false">IF(AND(ISNUMBER(O5563),ISNUMBER(P5563)),Coef_A+Coef_B1*O5563+Coef_B2*P5563,"")</f>
        <v>21.257000698231</v>
      </c>
      <c r="U5563" s="84" t="n">
        <f aca="false">IF(AND(R5563=1,ISNUMBER(T5563)),E5563-T5563,"")</f>
        <v>3.14299930176902</v>
      </c>
      <c r="V5563" s="84" t="n">
        <f aca="false">IF(ISNUMBER(T5563),T5563,-99)</f>
        <v>21.257000698231</v>
      </c>
      <c r="W5563" s="84" t="n">
        <f aca="false">IF(ISNUMBER(U5563),ABS(U5563),"")</f>
        <v>3.14299930176902</v>
      </c>
    </row>
    <row r="5564" customFormat="false" ht="15" hidden="false" customHeight="false" outlineLevel="0" collapsed="false">
      <c r="A5564" s="57" t="n">
        <v>42179</v>
      </c>
      <c r="B5564" s="56" t="n">
        <v>2015</v>
      </c>
      <c r="C5564" s="56" t="n">
        <v>6</v>
      </c>
      <c r="D5564" s="56" t="n">
        <v>55</v>
      </c>
      <c r="E5564" s="56" t="n">
        <v>25.2</v>
      </c>
      <c r="F5564" s="56" t="n">
        <v>0</v>
      </c>
      <c r="G5564" s="56" t="n">
        <v>12.4</v>
      </c>
      <c r="H5564" s="56" t="n">
        <v>0</v>
      </c>
      <c r="I5564" s="56" t="n">
        <v>18.4</v>
      </c>
      <c r="J5564" s="56" t="n">
        <v>0</v>
      </c>
      <c r="K5564" s="56" t="n">
        <v>1020.5</v>
      </c>
      <c r="L5564" s="56" t="n">
        <v>0</v>
      </c>
      <c r="M5564" s="56" t="n">
        <v>59</v>
      </c>
      <c r="N5564" s="56" t="n">
        <v>6.3</v>
      </c>
      <c r="O5564" s="56" t="n">
        <f aca="false">IF(D5564=1,"",E5563)</f>
        <v>24.4</v>
      </c>
      <c r="P5564" s="56" t="n">
        <f aca="false">IF(OR(D5564=1,K5563=""),"",K5563)</f>
        <v>1017.8</v>
      </c>
      <c r="Q5564" s="56" t="n">
        <f aca="false">IF(OR(F5564&lt;&gt;0,AND(I5564&lt;&gt;"",E5564&lt;I5564)),1,0)</f>
        <v>0</v>
      </c>
      <c r="R5564" s="56" t="n">
        <f aca="false">IF(AND(D5564&gt;1,Q5564=0,ISNUMBER(O5564),ISNUMBER(P5564)),IF(Q5563=0,1,0),0)</f>
        <v>1</v>
      </c>
      <c r="S5564" s="56" t="n">
        <f aca="false">R5564*(B5564&gt;=Train_Start)*(B5564&lt;=Train_End)</f>
        <v>0</v>
      </c>
      <c r="T5564" s="84" t="n">
        <f aca="false">IF(AND(ISNUMBER(O5564),ISNUMBER(P5564)),Coef_A+Coef_B1*O5564+Coef_B2*P5564,"")</f>
        <v>24.0071304907109</v>
      </c>
      <c r="U5564" s="84" t="n">
        <f aca="false">IF(AND(R5564=1,ISNUMBER(T5564)),E5564-T5564,"")</f>
        <v>1.19286950928905</v>
      </c>
      <c r="V5564" s="84" t="n">
        <f aca="false">IF(ISNUMBER(T5564),T5564,-99)</f>
        <v>24.0071304907109</v>
      </c>
      <c r="W5564" s="84" t="n">
        <f aca="false">IF(ISNUMBER(U5564),ABS(U5564),"")</f>
        <v>1.19286950928905</v>
      </c>
    </row>
    <row r="5565" customFormat="false" ht="15" hidden="false" customHeight="false" outlineLevel="0" collapsed="false">
      <c r="A5565" s="57" t="n">
        <v>42180</v>
      </c>
      <c r="B5565" s="56" t="n">
        <v>2015</v>
      </c>
      <c r="C5565" s="56" t="n">
        <v>6</v>
      </c>
      <c r="D5565" s="56" t="n">
        <v>56</v>
      </c>
      <c r="E5565" s="56" t="n">
        <v>27.7</v>
      </c>
      <c r="F5565" s="56" t="n">
        <v>0</v>
      </c>
      <c r="G5565" s="56" t="n">
        <v>11.8</v>
      </c>
      <c r="H5565" s="56" t="n">
        <v>0</v>
      </c>
      <c r="I5565" s="56" t="n">
        <v>18.5</v>
      </c>
      <c r="J5565" s="56" t="n">
        <v>0</v>
      </c>
      <c r="K5565" s="56" t="n">
        <v>1021.2</v>
      </c>
      <c r="L5565" s="56" t="n">
        <v>0</v>
      </c>
      <c r="M5565" s="56" t="n">
        <v>58</v>
      </c>
      <c r="N5565" s="56" t="n">
        <v>9.5</v>
      </c>
      <c r="O5565" s="56" t="n">
        <f aca="false">IF(D5565=1,"",E5564)</f>
        <v>25.2</v>
      </c>
      <c r="P5565" s="56" t="n">
        <f aca="false">IF(OR(D5565=1,K5564=""),"",K5564)</f>
        <v>1020.5</v>
      </c>
      <c r="Q5565" s="56" t="n">
        <f aca="false">IF(OR(F5565&lt;&gt;0,AND(I5565&lt;&gt;"",E5565&lt;I5565)),1,0)</f>
        <v>0</v>
      </c>
      <c r="R5565" s="56" t="n">
        <f aca="false">IF(AND(D5565&gt;1,Q5565=0,ISNUMBER(O5565),ISNUMBER(P5565)),IF(Q5564=0,1,0),0)</f>
        <v>1</v>
      </c>
      <c r="S5565" s="56" t="n">
        <f aca="false">R5565*(B5565&gt;=Train_Start)*(B5565&lt;=Train_End)</f>
        <v>0</v>
      </c>
      <c r="T5565" s="84" t="n">
        <f aca="false">IF(AND(ISNUMBER(O5565),ISNUMBER(P5565)),Coef_A+Coef_B1*O5565+Coef_B2*P5565,"")</f>
        <v>24.7473005606568</v>
      </c>
      <c r="U5565" s="84" t="n">
        <f aca="false">IF(AND(R5565=1,ISNUMBER(T5565)),E5565-T5565,"")</f>
        <v>2.95269943934315</v>
      </c>
      <c r="V5565" s="84" t="n">
        <f aca="false">IF(ISNUMBER(T5565),T5565,-99)</f>
        <v>24.7473005606568</v>
      </c>
      <c r="W5565" s="84" t="n">
        <f aca="false">IF(ISNUMBER(U5565),ABS(U5565),"")</f>
        <v>2.95269943934315</v>
      </c>
    </row>
    <row r="5566" customFormat="false" ht="15" hidden="false" customHeight="false" outlineLevel="0" collapsed="false">
      <c r="A5566" s="57" t="n">
        <v>42181</v>
      </c>
      <c r="B5566" s="56" t="n">
        <v>2015</v>
      </c>
      <c r="C5566" s="56" t="n">
        <v>6</v>
      </c>
      <c r="D5566" s="56" t="n">
        <v>57</v>
      </c>
      <c r="E5566" s="56" t="n">
        <v>25.1</v>
      </c>
      <c r="F5566" s="56" t="n">
        <v>0</v>
      </c>
      <c r="G5566" s="56" t="n">
        <v>13.5</v>
      </c>
      <c r="H5566" s="56" t="n">
        <v>0</v>
      </c>
      <c r="I5566" s="56" t="n">
        <v>20.6</v>
      </c>
      <c r="J5566" s="56" t="n">
        <v>0</v>
      </c>
      <c r="K5566" s="56" t="n">
        <v>1017</v>
      </c>
      <c r="L5566" s="56" t="n">
        <v>0</v>
      </c>
      <c r="M5566" s="56" t="n">
        <v>60</v>
      </c>
      <c r="N5566" s="56" t="n">
        <v>4.8</v>
      </c>
      <c r="O5566" s="56" t="n">
        <f aca="false">IF(D5566=1,"",E5565)</f>
        <v>27.7</v>
      </c>
      <c r="P5566" s="56" t="n">
        <f aca="false">IF(OR(D5566=1,K5565=""),"",K5565)</f>
        <v>1021.2</v>
      </c>
      <c r="Q5566" s="56" t="n">
        <f aca="false">IF(OR(F5566&lt;&gt;0,AND(I5566&lt;&gt;"",E5566&lt;I5566)),1,0)</f>
        <v>0</v>
      </c>
      <c r="R5566" s="56" t="n">
        <f aca="false">IF(AND(D5566&gt;1,Q5566=0,ISNUMBER(O5566),ISNUMBER(P5566)),IF(Q5565=0,1,0),0)</f>
        <v>1</v>
      </c>
      <c r="S5566" s="56" t="n">
        <f aca="false">R5566*(B5566&gt;=Train_Start)*(B5566&lt;=Train_End)</f>
        <v>0</v>
      </c>
      <c r="T5566" s="84" t="n">
        <f aca="false">IF(AND(ISNUMBER(O5566),ISNUMBER(P5566)),Coef_A+Coef_B1*O5566+Coef_B2*P5566,"")</f>
        <v>26.8176074695073</v>
      </c>
      <c r="U5566" s="84" t="n">
        <f aca="false">IF(AND(R5566=1,ISNUMBER(T5566)),E5566-T5566,"")</f>
        <v>-1.71760746950728</v>
      </c>
      <c r="V5566" s="84" t="n">
        <f aca="false">IF(ISNUMBER(T5566),T5566,-99)</f>
        <v>26.8176074695073</v>
      </c>
      <c r="W5566" s="84" t="n">
        <f aca="false">IF(ISNUMBER(U5566),ABS(U5566),"")</f>
        <v>1.71760746950728</v>
      </c>
    </row>
    <row r="5567" customFormat="false" ht="15" hidden="false" customHeight="false" outlineLevel="0" collapsed="false">
      <c r="A5567" s="57" t="n">
        <v>42182</v>
      </c>
      <c r="B5567" s="56" t="n">
        <v>2015</v>
      </c>
      <c r="C5567" s="56" t="n">
        <v>6</v>
      </c>
      <c r="D5567" s="56" t="n">
        <v>58</v>
      </c>
      <c r="E5567" s="56" t="n">
        <v>21.4</v>
      </c>
      <c r="F5567" s="56" t="n">
        <v>0</v>
      </c>
      <c r="G5567" s="56" t="n">
        <v>11.7</v>
      </c>
      <c r="H5567" s="56" t="n">
        <v>0</v>
      </c>
      <c r="I5567" s="56" t="n">
        <v>18.4</v>
      </c>
      <c r="J5567" s="56" t="n">
        <v>0</v>
      </c>
      <c r="K5567" s="56" t="n">
        <v>1019.4</v>
      </c>
      <c r="L5567" s="56" t="n">
        <v>0</v>
      </c>
      <c r="M5567" s="56" t="n">
        <v>59</v>
      </c>
      <c r="N5567" s="56" t="n">
        <v>8.8</v>
      </c>
      <c r="O5567" s="56" t="n">
        <f aca="false">IF(D5567=1,"",E5566)</f>
        <v>25.1</v>
      </c>
      <c r="P5567" s="56" t="n">
        <f aca="false">IF(OR(D5567=1,K5566=""),"",K5566)</f>
        <v>1017</v>
      </c>
      <c r="Q5567" s="56" t="n">
        <f aca="false">IF(OR(F5567&lt;&gt;0,AND(I5567&lt;&gt;"",E5567&lt;I5567)),1,0)</f>
        <v>0</v>
      </c>
      <c r="R5567" s="56" t="n">
        <f aca="false">IF(AND(D5567&gt;1,Q5567=0,ISNUMBER(O5567),ISNUMBER(P5567)),IF(Q5566=0,1,0),0)</f>
        <v>1</v>
      </c>
      <c r="S5567" s="56" t="n">
        <f aca="false">R5567*(B5567&gt;=Train_Start)*(B5567&lt;=Train_End)</f>
        <v>0</v>
      </c>
      <c r="T5567" s="84" t="n">
        <f aca="false">IF(AND(ISNUMBER(O5567),ISNUMBER(P5567)),Coef_A+Coef_B1*O5567+Coef_B2*P5567,"")</f>
        <v>24.5555720101336</v>
      </c>
      <c r="U5567" s="84" t="n">
        <f aca="false">IF(AND(R5567=1,ISNUMBER(T5567)),E5567-T5567,"")</f>
        <v>-3.15557201013362</v>
      </c>
      <c r="V5567" s="84" t="n">
        <f aca="false">IF(ISNUMBER(T5567),T5567,-99)</f>
        <v>24.5555720101336</v>
      </c>
      <c r="W5567" s="84" t="n">
        <f aca="false">IF(ISNUMBER(U5567),ABS(U5567),"")</f>
        <v>3.15557201013362</v>
      </c>
    </row>
    <row r="5568" customFormat="false" ht="15" hidden="false" customHeight="false" outlineLevel="0" collapsed="false">
      <c r="A5568" s="57" t="n">
        <v>42183</v>
      </c>
      <c r="B5568" s="56" t="n">
        <v>2015</v>
      </c>
      <c r="C5568" s="56" t="n">
        <v>6</v>
      </c>
      <c r="D5568" s="56" t="n">
        <v>59</v>
      </c>
      <c r="E5568" s="56" t="n">
        <v>25.9</v>
      </c>
      <c r="F5568" s="56" t="n">
        <v>0</v>
      </c>
      <c r="G5568" s="56" t="n">
        <v>15.3</v>
      </c>
      <c r="H5568" s="56" t="n">
        <v>0</v>
      </c>
      <c r="I5568" s="56" t="n">
        <v>18.4</v>
      </c>
      <c r="J5568" s="56" t="n">
        <v>0</v>
      </c>
      <c r="K5568" s="56" t="n">
        <v>1019.5</v>
      </c>
      <c r="L5568" s="56" t="n">
        <v>0</v>
      </c>
      <c r="M5568" s="56" t="n">
        <v>69</v>
      </c>
      <c r="N5568" s="56" t="n">
        <v>2</v>
      </c>
      <c r="O5568" s="56" t="n">
        <f aca="false">IF(D5568=1,"",E5567)</f>
        <v>21.4</v>
      </c>
      <c r="P5568" s="56" t="n">
        <f aca="false">IF(OR(D5568=1,K5567=""),"",K5567)</f>
        <v>1019.4</v>
      </c>
      <c r="Q5568" s="56" t="n">
        <f aca="false">IF(OR(F5568&lt;&gt;0,AND(I5568&lt;&gt;"",E5568&lt;I5568)),1,0)</f>
        <v>0</v>
      </c>
      <c r="R5568" s="56" t="n">
        <f aca="false">IF(AND(D5568&gt;1,Q5568=0,ISNUMBER(O5568),ISNUMBER(P5568)),IF(Q5567=0,1,0),0)</f>
        <v>1</v>
      </c>
      <c r="S5568" s="56" t="n">
        <f aca="false">R5568*(B5568&gt;=Train_Start)*(B5568&lt;=Train_End)</f>
        <v>0</v>
      </c>
      <c r="T5568" s="84" t="n">
        <f aca="false">IF(AND(ISNUMBER(O5568),ISNUMBER(P5568)),Coef_A+Coef_B1*O5568+Coef_B2*P5568,"")</f>
        <v>21.5993047429974</v>
      </c>
      <c r="U5568" s="84" t="n">
        <f aca="false">IF(AND(R5568=1,ISNUMBER(T5568)),E5568-T5568,"")</f>
        <v>4.30069525700264</v>
      </c>
      <c r="V5568" s="84" t="n">
        <f aca="false">IF(ISNUMBER(T5568),T5568,-99)</f>
        <v>21.5993047429974</v>
      </c>
      <c r="W5568" s="84" t="n">
        <f aca="false">IF(ISNUMBER(U5568),ABS(U5568),"")</f>
        <v>4.30069525700264</v>
      </c>
    </row>
    <row r="5569" customFormat="false" ht="15" hidden="false" customHeight="false" outlineLevel="0" collapsed="false">
      <c r="A5569" s="57" t="n">
        <v>42184</v>
      </c>
      <c r="B5569" s="56" t="n">
        <v>2015</v>
      </c>
      <c r="C5569" s="56" t="n">
        <v>6</v>
      </c>
      <c r="D5569" s="56" t="n">
        <v>60</v>
      </c>
      <c r="E5569" s="56" t="n">
        <v>32.5</v>
      </c>
      <c r="F5569" s="56" t="n">
        <v>0</v>
      </c>
      <c r="G5569" s="56" t="n">
        <v>13.3</v>
      </c>
      <c r="H5569" s="56" t="n">
        <v>0</v>
      </c>
      <c r="I5569" s="56" t="n">
        <v>19.6</v>
      </c>
      <c r="J5569" s="56" t="n">
        <v>0</v>
      </c>
      <c r="K5569" s="56" t="n">
        <v>1021.8</v>
      </c>
      <c r="L5569" s="56" t="n">
        <v>0</v>
      </c>
      <c r="M5569" s="56" t="n">
        <v>57</v>
      </c>
      <c r="N5569" s="56" t="n">
        <v>13</v>
      </c>
      <c r="O5569" s="56" t="n">
        <f aca="false">IF(D5569=1,"",E5568)</f>
        <v>25.9</v>
      </c>
      <c r="P5569" s="56" t="n">
        <f aca="false">IF(OR(D5569=1,K5568=""),"",K5568)</f>
        <v>1019.5</v>
      </c>
      <c r="Q5569" s="56" t="n">
        <f aca="false">IF(OR(F5569&lt;&gt;0,AND(I5569&lt;&gt;"",E5569&lt;I5569)),1,0)</f>
        <v>0</v>
      </c>
      <c r="R5569" s="56" t="n">
        <f aca="false">IF(AND(D5569&gt;1,Q5569=0,ISNUMBER(O5569),ISNUMBER(P5569)),IF(Q5568=0,1,0),0)</f>
        <v>1</v>
      </c>
      <c r="S5569" s="56" t="n">
        <f aca="false">R5569*(B5569&gt;=Train_Start)*(B5569&lt;=Train_End)</f>
        <v>0</v>
      </c>
      <c r="T5569" s="84" t="n">
        <f aca="false">IF(AND(ISNUMBER(O5569),ISNUMBER(P5569)),Coef_A+Coef_B1*O5569+Coef_B2*P5569,"")</f>
        <v>25.2894681011527</v>
      </c>
      <c r="U5569" s="84" t="n">
        <f aca="false">IF(AND(R5569=1,ISNUMBER(T5569)),E5569-T5569,"")</f>
        <v>7.21053189884729</v>
      </c>
      <c r="V5569" s="84" t="n">
        <f aca="false">IF(ISNUMBER(T5569),T5569,-99)</f>
        <v>25.2894681011527</v>
      </c>
      <c r="W5569" s="84" t="n">
        <f aca="false">IF(ISNUMBER(U5569),ABS(U5569),"")</f>
        <v>7.21053189884729</v>
      </c>
    </row>
    <row r="5570" customFormat="false" ht="15" hidden="false" customHeight="false" outlineLevel="0" collapsed="false">
      <c r="A5570" s="57" t="n">
        <v>42185</v>
      </c>
      <c r="B5570" s="56" t="n">
        <v>2015</v>
      </c>
      <c r="C5570" s="56" t="n">
        <v>6</v>
      </c>
      <c r="D5570" s="56" t="n">
        <v>61</v>
      </c>
      <c r="E5570" s="56" t="n">
        <v>36.7</v>
      </c>
      <c r="F5570" s="56" t="n">
        <v>0</v>
      </c>
      <c r="G5570" s="56" t="n">
        <v>13.4</v>
      </c>
      <c r="H5570" s="56" t="n">
        <v>0</v>
      </c>
      <c r="I5570" s="56" t="n">
        <v>23</v>
      </c>
      <c r="J5570" s="56" t="n">
        <v>0</v>
      </c>
      <c r="K5570" s="56" t="n">
        <v>1018.6</v>
      </c>
      <c r="L5570" s="56" t="n">
        <v>0</v>
      </c>
      <c r="M5570" s="56" t="n">
        <v>47</v>
      </c>
      <c r="N5570" s="56" t="n">
        <v>14.7</v>
      </c>
      <c r="O5570" s="56" t="n">
        <f aca="false">IF(D5570=1,"",E5569)</f>
        <v>32.5</v>
      </c>
      <c r="P5570" s="56" t="n">
        <f aca="false">IF(OR(D5570=1,K5569=""),"",K5569)</f>
        <v>1021.8</v>
      </c>
      <c r="Q5570" s="56" t="n">
        <f aca="false">IF(OR(F5570&lt;&gt;0,AND(I5570&lt;&gt;"",E5570&lt;I5570)),1,0)</f>
        <v>0</v>
      </c>
      <c r="R5570" s="56" t="n">
        <f aca="false">IF(AND(D5570&gt;1,Q5570=0,ISNUMBER(O5570),ISNUMBER(P5570)),IF(Q5569=0,1,0),0)</f>
        <v>1</v>
      </c>
      <c r="S5570" s="56" t="n">
        <f aca="false">R5570*(B5570&gt;=Train_Start)*(B5570&lt;=Train_End)</f>
        <v>0</v>
      </c>
      <c r="T5570" s="84" t="n">
        <f aca="false">IF(AND(ISNUMBER(O5570),ISNUMBER(P5570)),Coef_A+Coef_B1*O5570+Coef_B2*P5570,"")</f>
        <v>30.7692575328924</v>
      </c>
      <c r="U5570" s="84" t="n">
        <f aca="false">IF(AND(R5570=1,ISNUMBER(T5570)),E5570-T5570,"")</f>
        <v>5.93074246710757</v>
      </c>
      <c r="V5570" s="84" t="n">
        <f aca="false">IF(ISNUMBER(T5570),T5570,-99)</f>
        <v>30.7692575328924</v>
      </c>
      <c r="W5570" s="84" t="n">
        <f aca="false">IF(ISNUMBER(U5570),ABS(U5570),"")</f>
        <v>5.93074246710757</v>
      </c>
    </row>
    <row r="5571" customFormat="false" ht="15" hidden="false" customHeight="false" outlineLevel="0" collapsed="false">
      <c r="A5571" s="57" t="n">
        <v>42186</v>
      </c>
      <c r="B5571" s="56" t="n">
        <v>2015</v>
      </c>
      <c r="C5571" s="56" t="n">
        <v>7</v>
      </c>
      <c r="D5571" s="56" t="n">
        <v>62</v>
      </c>
      <c r="E5571" s="56" t="n">
        <v>26.2</v>
      </c>
      <c r="F5571" s="56" t="n">
        <v>1</v>
      </c>
      <c r="G5571" s="56" t="n">
        <v>20.7</v>
      </c>
      <c r="H5571" s="56" t="n">
        <v>0</v>
      </c>
      <c r="I5571" s="56" t="n">
        <v>28.7</v>
      </c>
      <c r="J5571" s="56" t="n">
        <v>1</v>
      </c>
      <c r="K5571" s="56" t="n">
        <v>1011.8</v>
      </c>
      <c r="L5571" s="56" t="n">
        <v>0</v>
      </c>
      <c r="M5571" s="56" t="n">
        <v>44</v>
      </c>
      <c r="N5571" s="56" t="n">
        <v>10.4</v>
      </c>
      <c r="O5571" s="56" t="n">
        <f aca="false">IF(D5571=1,"",E5570)</f>
        <v>36.7</v>
      </c>
      <c r="P5571" s="56" t="n">
        <f aca="false">IF(OR(D5571=1,K5570=""),"",K5570)</f>
        <v>1018.6</v>
      </c>
      <c r="Q5571" s="56" t="n">
        <f aca="false">IF(OR(F5571&lt;&gt;0,AND(I5571&lt;&gt;"",E5571&lt;I5571)),1,0)</f>
        <v>1</v>
      </c>
      <c r="R5571" s="56" t="n">
        <f aca="false">IF(AND(D5571&gt;1,Q5571=0,ISNUMBER(O5571),ISNUMBER(P5571)),IF(Q5570=0,1,0),0)</f>
        <v>0</v>
      </c>
      <c r="S5571" s="56" t="n">
        <f aca="false">R5571*(B5571&gt;=Train_Start)*(B5571&lt;=Train_End)</f>
        <v>0</v>
      </c>
      <c r="T5571" s="84" t="n">
        <f aca="false">IF(AND(ISNUMBER(O5571),ISNUMBER(P5571)),Coef_A+Coef_B1*O5571+Coef_B2*P5571,"")</f>
        <v>34.1100984808428</v>
      </c>
      <c r="U5571" s="84" t="str">
        <f aca="false">IF(AND(R5571=1,ISNUMBER(T5571)),E5571-T5571,"")</f>
        <v/>
      </c>
      <c r="V5571" s="84" t="n">
        <f aca="false">IF(ISNUMBER(T5571),T5571,-99)</f>
        <v>34.1100984808428</v>
      </c>
      <c r="W5571" s="84" t="str">
        <f aca="false">IF(ISNUMBER(U5571),ABS(U5571),"")</f>
        <v/>
      </c>
    </row>
    <row r="5572" customFormat="false" ht="15" hidden="false" customHeight="false" outlineLevel="0" collapsed="false">
      <c r="A5572" s="57" t="n">
        <v>42187</v>
      </c>
      <c r="B5572" s="56" t="n">
        <v>2015</v>
      </c>
      <c r="C5572" s="56" t="n">
        <v>7</v>
      </c>
      <c r="D5572" s="56" t="n">
        <v>63</v>
      </c>
      <c r="E5572" s="56" t="n">
        <v>27.2</v>
      </c>
      <c r="F5572" s="56" t="n">
        <v>0</v>
      </c>
      <c r="G5572" s="56" t="n">
        <v>17.4</v>
      </c>
      <c r="H5572" s="56" t="n">
        <v>0</v>
      </c>
      <c r="I5572" s="56" t="n">
        <v>21.8</v>
      </c>
      <c r="J5572" s="56" t="n">
        <v>0</v>
      </c>
      <c r="K5572" s="56" t="n">
        <v>1018.7</v>
      </c>
      <c r="L5572" s="56" t="n">
        <v>0</v>
      </c>
      <c r="M5572" s="56" t="n">
        <v>70</v>
      </c>
      <c r="N5572" s="56" t="n">
        <v>5.4</v>
      </c>
      <c r="O5572" s="56" t="n">
        <f aca="false">IF(D5572=1,"",E5571)</f>
        <v>26.2</v>
      </c>
      <c r="P5572" s="56" t="n">
        <f aca="false">IF(OR(D5572=1,K5571=""),"",K5571)</f>
        <v>1011.8</v>
      </c>
      <c r="Q5572" s="56" t="n">
        <f aca="false">IF(OR(F5572&lt;&gt;0,AND(I5572&lt;&gt;"",E5572&lt;I5572)),1,0)</f>
        <v>0</v>
      </c>
      <c r="R5572" s="56" t="n">
        <f aca="false">IF(AND(D5572&gt;1,Q5572=0,ISNUMBER(O5572),ISNUMBER(P5572)),IF(Q5571=0,1,0),0)</f>
        <v>0</v>
      </c>
      <c r="S5572" s="56" t="n">
        <f aca="false">R5572*(B5572&gt;=Train_Start)*(B5572&lt;=Train_End)</f>
        <v>0</v>
      </c>
      <c r="T5572" s="84" t="n">
        <f aca="false">IF(AND(ISNUMBER(O5572),ISNUMBER(P5572)),Coef_A+Coef_B1*O5572+Coef_B2*P5572,"")</f>
        <v>25.2937216703838</v>
      </c>
      <c r="U5572" s="84" t="str">
        <f aca="false">IF(AND(R5572=1,ISNUMBER(T5572)),E5572-T5572,"")</f>
        <v/>
      </c>
      <c r="V5572" s="84" t="n">
        <f aca="false">IF(ISNUMBER(T5572),T5572,-99)</f>
        <v>25.2937216703838</v>
      </c>
      <c r="W5572" s="84" t="str">
        <f aca="false">IF(ISNUMBER(U5572),ABS(U5572),"")</f>
        <v/>
      </c>
    </row>
    <row r="5573" customFormat="false" ht="15" hidden="false" customHeight="false" outlineLevel="0" collapsed="false">
      <c r="A5573" s="57" t="n">
        <v>42188</v>
      </c>
      <c r="B5573" s="56" t="n">
        <v>2015</v>
      </c>
      <c r="C5573" s="56" t="n">
        <v>7</v>
      </c>
      <c r="D5573" s="56" t="n">
        <v>64</v>
      </c>
      <c r="E5573" s="56" t="n">
        <v>27.2</v>
      </c>
      <c r="F5573" s="56" t="n">
        <v>0</v>
      </c>
      <c r="G5573" s="56" t="n">
        <v>13</v>
      </c>
      <c r="H5573" s="56" t="n">
        <v>0</v>
      </c>
      <c r="I5573" s="56" t="n">
        <v>20.1</v>
      </c>
      <c r="J5573" s="56" t="n">
        <v>0</v>
      </c>
      <c r="K5573" s="56" t="n">
        <v>1023.1</v>
      </c>
      <c r="L5573" s="56" t="n">
        <v>0</v>
      </c>
      <c r="M5573" s="56" t="n">
        <v>59</v>
      </c>
      <c r="N5573" s="56" t="n">
        <v>11.7</v>
      </c>
      <c r="O5573" s="56" t="n">
        <f aca="false">IF(D5573=1,"",E5572)</f>
        <v>27.2</v>
      </c>
      <c r="P5573" s="56" t="n">
        <f aca="false">IF(OR(D5573=1,K5572=""),"",K5572)</f>
        <v>1018.7</v>
      </c>
      <c r="Q5573" s="56" t="n">
        <f aca="false">IF(OR(F5573&lt;&gt;0,AND(I5573&lt;&gt;"",E5573&lt;I5573)),1,0)</f>
        <v>0</v>
      </c>
      <c r="R5573" s="56" t="n">
        <f aca="false">IF(AND(D5573&gt;1,Q5573=0,ISNUMBER(O5573),ISNUMBER(P5573)),IF(Q5572=0,1,0),0)</f>
        <v>1</v>
      </c>
      <c r="S5573" s="56" t="n">
        <f aca="false">R5573*(B5573&gt;=Train_Start)*(B5573&lt;=Train_End)</f>
        <v>0</v>
      </c>
      <c r="T5573" s="84" t="n">
        <f aca="false">IF(AND(ISNUMBER(O5573),ISNUMBER(P5573)),Coef_A+Coef_B1*O5573+Coef_B2*P5573,"")</f>
        <v>26.329513136401</v>
      </c>
      <c r="U5573" s="84" t="n">
        <f aca="false">IF(AND(R5573=1,ISNUMBER(T5573)),E5573-T5573,"")</f>
        <v>0.87048686359902</v>
      </c>
      <c r="V5573" s="84" t="n">
        <f aca="false">IF(ISNUMBER(T5573),T5573,-99)</f>
        <v>26.329513136401</v>
      </c>
      <c r="W5573" s="84" t="n">
        <f aca="false">IF(ISNUMBER(U5573),ABS(U5573),"")</f>
        <v>0.87048686359902</v>
      </c>
    </row>
    <row r="5574" customFormat="false" ht="15" hidden="false" customHeight="false" outlineLevel="0" collapsed="false">
      <c r="A5574" s="57" t="n">
        <v>42189</v>
      </c>
      <c r="B5574" s="56" t="n">
        <v>2015</v>
      </c>
      <c r="C5574" s="56" t="n">
        <v>7</v>
      </c>
      <c r="D5574" s="56" t="n">
        <v>65</v>
      </c>
      <c r="E5574" s="56" t="n">
        <v>24.7</v>
      </c>
      <c r="F5574" s="56" t="n">
        <v>0</v>
      </c>
      <c r="G5574" s="56" t="n">
        <v>17.1</v>
      </c>
      <c r="H5574" s="56" t="n">
        <v>0</v>
      </c>
      <c r="I5574" s="56" t="n">
        <v>22.2</v>
      </c>
      <c r="J5574" s="56" t="n">
        <v>0</v>
      </c>
      <c r="K5574" s="56" t="n">
        <v>1017.8</v>
      </c>
      <c r="L5574" s="56" t="n">
        <v>0</v>
      </c>
      <c r="M5574" s="56" t="n">
        <v>67</v>
      </c>
      <c r="N5574" s="56" t="n">
        <v>11.8</v>
      </c>
      <c r="O5574" s="56" t="n">
        <f aca="false">IF(D5574=1,"",E5573)</f>
        <v>27.2</v>
      </c>
      <c r="P5574" s="56" t="n">
        <f aca="false">IF(OR(D5574=1,K5573=""),"",K5573)</f>
        <v>1023.1</v>
      </c>
      <c r="Q5574" s="56" t="n">
        <f aca="false">IF(OR(F5574&lt;&gt;0,AND(I5574&lt;&gt;"",E5574&lt;I5574)),1,0)</f>
        <v>0</v>
      </c>
      <c r="R5574" s="56" t="n">
        <f aca="false">IF(AND(D5574&gt;1,Q5574=0,ISNUMBER(O5574),ISNUMBER(P5574)),IF(Q5573=0,1,0),0)</f>
        <v>1</v>
      </c>
      <c r="S5574" s="56" t="n">
        <f aca="false">R5574*(B5574&gt;=Train_Start)*(B5574&lt;=Train_End)</f>
        <v>0</v>
      </c>
      <c r="T5574" s="84" t="n">
        <f aca="false">IF(AND(ISNUMBER(O5574),ISNUMBER(P5574)),Coef_A+Coef_B1*O5574+Coef_B2*P5574,"")</f>
        <v>26.4675406727905</v>
      </c>
      <c r="U5574" s="84" t="n">
        <f aca="false">IF(AND(R5574=1,ISNUMBER(T5574)),E5574-T5574,"")</f>
        <v>-1.76754067279053</v>
      </c>
      <c r="V5574" s="84" t="n">
        <f aca="false">IF(ISNUMBER(T5574),T5574,-99)</f>
        <v>26.4675406727905</v>
      </c>
      <c r="W5574" s="84" t="n">
        <f aca="false">IF(ISNUMBER(U5574),ABS(U5574),"")</f>
        <v>1.76754067279053</v>
      </c>
    </row>
    <row r="5575" customFormat="false" ht="15" hidden="false" customHeight="false" outlineLevel="0" collapsed="false">
      <c r="A5575" s="57" t="n">
        <v>42190</v>
      </c>
      <c r="B5575" s="56" t="n">
        <v>2015</v>
      </c>
      <c r="C5575" s="56" t="n">
        <v>7</v>
      </c>
      <c r="D5575" s="56" t="n">
        <v>66</v>
      </c>
      <c r="E5575" s="56" t="n">
        <v>23.7</v>
      </c>
      <c r="F5575" s="56" t="n">
        <v>0</v>
      </c>
      <c r="G5575" s="56" t="n">
        <v>13.8</v>
      </c>
      <c r="H5575" s="56" t="n">
        <v>0</v>
      </c>
      <c r="I5575" s="56" t="n">
        <v>19.3</v>
      </c>
      <c r="J5575" s="56" t="n">
        <v>0</v>
      </c>
      <c r="K5575" s="56" t="n">
        <v>1017.8</v>
      </c>
      <c r="L5575" s="56" t="n">
        <v>0</v>
      </c>
      <c r="M5575" s="56" t="n">
        <v>63</v>
      </c>
      <c r="N5575" s="56" t="n">
        <v>5.1</v>
      </c>
      <c r="O5575" s="56" t="n">
        <f aca="false">IF(D5575=1,"",E5574)</f>
        <v>24.7</v>
      </c>
      <c r="P5575" s="56" t="n">
        <f aca="false">IF(OR(D5575=1,K5574=""),"",K5574)</f>
        <v>1017.8</v>
      </c>
      <c r="Q5575" s="56" t="n">
        <f aca="false">IF(OR(F5575&lt;&gt;0,AND(I5575&lt;&gt;"",E5575&lt;I5575)),1,0)</f>
        <v>0</v>
      </c>
      <c r="R5575" s="56" t="n">
        <f aca="false">IF(AND(D5575&gt;1,Q5575=0,ISNUMBER(O5575),ISNUMBER(P5575)),IF(Q5574=0,1,0),0)</f>
        <v>1</v>
      </c>
      <c r="S5575" s="56" t="n">
        <f aca="false">R5575*(B5575&gt;=Train_Start)*(B5575&lt;=Train_End)</f>
        <v>0</v>
      </c>
      <c r="T5575" s="84" t="n">
        <f aca="false">IF(AND(ISNUMBER(O5575),ISNUMBER(P5575)),Coef_A+Coef_B1*O5575+Coef_B2*P5575,"")</f>
        <v>24.2529322486237</v>
      </c>
      <c r="U5575" s="84" t="n">
        <f aca="false">IF(AND(R5575=1,ISNUMBER(T5575)),E5575-T5575,"")</f>
        <v>-0.552932248623744</v>
      </c>
      <c r="V5575" s="84" t="n">
        <f aca="false">IF(ISNUMBER(T5575),T5575,-99)</f>
        <v>24.2529322486237</v>
      </c>
      <c r="W5575" s="84" t="n">
        <f aca="false">IF(ISNUMBER(U5575),ABS(U5575),"")</f>
        <v>0.552932248623744</v>
      </c>
    </row>
    <row r="5576" customFormat="false" ht="15" hidden="false" customHeight="false" outlineLevel="0" collapsed="false">
      <c r="A5576" s="57" t="n">
        <v>42191</v>
      </c>
      <c r="B5576" s="56" t="n">
        <v>2015</v>
      </c>
      <c r="C5576" s="56" t="n">
        <v>7</v>
      </c>
      <c r="D5576" s="56" t="n">
        <v>67</v>
      </c>
      <c r="E5576" s="56" t="n">
        <v>24.3</v>
      </c>
      <c r="F5576" s="56" t="n">
        <v>0</v>
      </c>
      <c r="G5576" s="56" t="n">
        <v>12.4</v>
      </c>
      <c r="H5576" s="56" t="n">
        <v>0</v>
      </c>
      <c r="I5576" s="56" t="n">
        <v>18.1</v>
      </c>
      <c r="J5576" s="56" t="n">
        <v>0</v>
      </c>
      <c r="K5576" s="56" t="n">
        <v>1018.4</v>
      </c>
      <c r="L5576" s="56" t="n">
        <v>0</v>
      </c>
      <c r="M5576" s="56" t="n">
        <v>62</v>
      </c>
      <c r="N5576" s="56" t="n">
        <v>9</v>
      </c>
      <c r="O5576" s="56" t="n">
        <f aca="false">IF(D5576=1,"",E5575)</f>
        <v>23.7</v>
      </c>
      <c r="P5576" s="56" t="n">
        <f aca="false">IF(OR(D5576=1,K5575=""),"",K5575)</f>
        <v>1017.8</v>
      </c>
      <c r="Q5576" s="56" t="n">
        <f aca="false">IF(OR(F5576&lt;&gt;0,AND(I5576&lt;&gt;"",E5576&lt;I5576)),1,0)</f>
        <v>0</v>
      </c>
      <c r="R5576" s="56" t="n">
        <f aca="false">IF(AND(D5576&gt;1,Q5576=0,ISNUMBER(O5576),ISNUMBER(P5576)),IF(Q5575=0,1,0),0)</f>
        <v>1</v>
      </c>
      <c r="S5576" s="56" t="n">
        <f aca="false">R5576*(B5576&gt;=Train_Start)*(B5576&lt;=Train_End)</f>
        <v>0</v>
      </c>
      <c r="T5576" s="84" t="n">
        <f aca="false">IF(AND(ISNUMBER(O5576),ISNUMBER(P5576)),Coef_A+Coef_B1*O5576+Coef_B2*P5576,"")</f>
        <v>23.4335930555811</v>
      </c>
      <c r="U5576" s="84" t="n">
        <f aca="false">IF(AND(R5576=1,ISNUMBER(T5576)),E5576-T5576,"")</f>
        <v>0.866406944418916</v>
      </c>
      <c r="V5576" s="84" t="n">
        <f aca="false">IF(ISNUMBER(T5576),T5576,-99)</f>
        <v>23.4335930555811</v>
      </c>
      <c r="W5576" s="84" t="n">
        <f aca="false">IF(ISNUMBER(U5576),ABS(U5576),"")</f>
        <v>0.866406944418916</v>
      </c>
    </row>
    <row r="5577" customFormat="false" ht="15" hidden="false" customHeight="false" outlineLevel="0" collapsed="false">
      <c r="A5577" s="57" t="n">
        <v>42192</v>
      </c>
      <c r="B5577" s="56" t="n">
        <v>2015</v>
      </c>
      <c r="C5577" s="56" t="n">
        <v>7</v>
      </c>
      <c r="D5577" s="56" t="n">
        <v>68</v>
      </c>
      <c r="E5577" s="56" t="n">
        <v>21.5</v>
      </c>
      <c r="F5577" s="56" t="n">
        <v>0</v>
      </c>
      <c r="G5577" s="56" t="n">
        <v>15.1</v>
      </c>
      <c r="H5577" s="56" t="n">
        <v>0</v>
      </c>
      <c r="I5577" s="56" t="n">
        <v>19.7</v>
      </c>
      <c r="J5577" s="56" t="n">
        <v>0</v>
      </c>
      <c r="K5577" s="56" t="n">
        <v>1009.3</v>
      </c>
      <c r="L5577" s="56" t="n">
        <v>0</v>
      </c>
      <c r="M5577" s="56" t="n">
        <v>62</v>
      </c>
      <c r="N5577" s="56" t="n">
        <v>6.4</v>
      </c>
      <c r="O5577" s="56" t="n">
        <f aca="false">IF(D5577=1,"",E5576)</f>
        <v>24.3</v>
      </c>
      <c r="P5577" s="56" t="n">
        <f aca="false">IF(OR(D5577=1,K5576=""),"",K5576)</f>
        <v>1018.4</v>
      </c>
      <c r="Q5577" s="56" t="n">
        <f aca="false">IF(OR(F5577&lt;&gt;0,AND(I5577&lt;&gt;"",E5577&lt;I5577)),1,0)</f>
        <v>0</v>
      </c>
      <c r="R5577" s="56" t="n">
        <f aca="false">IF(AND(D5577&gt;1,Q5577=0,ISNUMBER(O5577),ISNUMBER(P5577)),IF(Q5576=0,1,0),0)</f>
        <v>1</v>
      </c>
      <c r="S5577" s="56" t="n">
        <f aca="false">R5577*(B5577&gt;=Train_Start)*(B5577&lt;=Train_End)</f>
        <v>0</v>
      </c>
      <c r="T5577" s="84" t="n">
        <f aca="false">IF(AND(ISNUMBER(O5577),ISNUMBER(P5577)),Coef_A+Coef_B1*O5577+Coef_B2*P5577,"")</f>
        <v>23.9440185081871</v>
      </c>
      <c r="U5577" s="84" t="n">
        <f aca="false">IF(AND(R5577=1,ISNUMBER(T5577)),E5577-T5577,"")</f>
        <v>-2.44401850818707</v>
      </c>
      <c r="V5577" s="84" t="n">
        <f aca="false">IF(ISNUMBER(T5577),T5577,-99)</f>
        <v>23.9440185081871</v>
      </c>
      <c r="W5577" s="84" t="n">
        <f aca="false">IF(ISNUMBER(U5577),ABS(U5577),"")</f>
        <v>2.44401850818707</v>
      </c>
    </row>
    <row r="5578" customFormat="false" ht="15" hidden="false" customHeight="false" outlineLevel="0" collapsed="false">
      <c r="A5578" s="57" t="n">
        <v>42193</v>
      </c>
      <c r="B5578" s="56" t="n">
        <v>2015</v>
      </c>
      <c r="C5578" s="56" t="n">
        <v>7</v>
      </c>
      <c r="D5578" s="56" t="n">
        <v>69</v>
      </c>
      <c r="E5578" s="56" t="n">
        <v>23.1</v>
      </c>
      <c r="F5578" s="56" t="n">
        <v>0</v>
      </c>
      <c r="G5578" s="56" t="n">
        <v>13.6</v>
      </c>
      <c r="H5578" s="56" t="n">
        <v>0</v>
      </c>
      <c r="I5578" s="56" t="n">
        <v>17.6</v>
      </c>
      <c r="J5578" s="56" t="n">
        <v>0</v>
      </c>
      <c r="K5578" s="56" t="n">
        <v>1011.7</v>
      </c>
      <c r="L5578" s="56" t="n">
        <v>0</v>
      </c>
      <c r="M5578" s="56" t="n">
        <v>64</v>
      </c>
      <c r="N5578" s="56" t="n">
        <v>2.3</v>
      </c>
      <c r="O5578" s="56" t="n">
        <f aca="false">IF(D5578=1,"",E5577)</f>
        <v>21.5</v>
      </c>
      <c r="P5578" s="56" t="n">
        <f aca="false">IF(OR(D5578=1,K5577=""),"",K5577)</f>
        <v>1009.3</v>
      </c>
      <c r="Q5578" s="56" t="n">
        <f aca="false">IF(OR(F5578&lt;&gt;0,AND(I5578&lt;&gt;"",E5578&lt;I5578)),1,0)</f>
        <v>0</v>
      </c>
      <c r="R5578" s="56" t="n">
        <f aca="false">IF(AND(D5578&gt;1,Q5578=0,ISNUMBER(O5578),ISNUMBER(P5578)),IF(Q5577=0,1,0),0)</f>
        <v>1</v>
      </c>
      <c r="S5578" s="56" t="n">
        <f aca="false">R5578*(B5578&gt;=Train_Start)*(B5578&lt;=Train_End)</f>
        <v>0</v>
      </c>
      <c r="T5578" s="84" t="n">
        <f aca="false">IF(AND(ISNUMBER(O5578),ISNUMBER(P5578)),Coef_A+Coef_B1*O5578+Coef_B2*P5578,"")</f>
        <v>21.3644027264983</v>
      </c>
      <c r="U5578" s="84" t="n">
        <f aca="false">IF(AND(R5578=1,ISNUMBER(T5578)),E5578-T5578,"")</f>
        <v>1.73559727350168</v>
      </c>
      <c r="V5578" s="84" t="n">
        <f aca="false">IF(ISNUMBER(T5578),T5578,-99)</f>
        <v>21.3644027264983</v>
      </c>
      <c r="W5578" s="84" t="n">
        <f aca="false">IF(ISNUMBER(U5578),ABS(U5578),"")</f>
        <v>1.73559727350168</v>
      </c>
    </row>
    <row r="5579" customFormat="false" ht="15" hidden="false" customHeight="false" outlineLevel="0" collapsed="false">
      <c r="A5579" s="57" t="n">
        <v>42194</v>
      </c>
      <c r="B5579" s="56" t="n">
        <v>2015</v>
      </c>
      <c r="C5579" s="56" t="n">
        <v>7</v>
      </c>
      <c r="D5579" s="56" t="n">
        <v>70</v>
      </c>
      <c r="E5579" s="56" t="n">
        <v>26.7</v>
      </c>
      <c r="F5579" s="56" t="n">
        <v>0</v>
      </c>
      <c r="G5579" s="56" t="n">
        <v>10.9</v>
      </c>
      <c r="H5579" s="56" t="n">
        <v>0</v>
      </c>
      <c r="I5579" s="56" t="n">
        <v>17</v>
      </c>
      <c r="J5579" s="56" t="n">
        <v>0</v>
      </c>
      <c r="K5579" s="56" t="n">
        <v>1022.5</v>
      </c>
      <c r="L5579" s="56" t="n">
        <v>0</v>
      </c>
      <c r="M5579" s="56" t="n">
        <v>47</v>
      </c>
      <c r="N5579" s="56" t="n">
        <v>13.7</v>
      </c>
      <c r="O5579" s="56" t="n">
        <f aca="false">IF(D5579=1,"",E5578)</f>
        <v>23.1</v>
      </c>
      <c r="P5579" s="56" t="n">
        <f aca="false">IF(OR(D5579=1,K5578=""),"",K5578)</f>
        <v>1011.7</v>
      </c>
      <c r="Q5579" s="56" t="n">
        <f aca="false">IF(OR(F5579&lt;&gt;0,AND(I5579&lt;&gt;"",E5579&lt;I5579)),1,0)</f>
        <v>0</v>
      </c>
      <c r="R5579" s="56" t="n">
        <f aca="false">IF(AND(D5579&gt;1,Q5579=0,ISNUMBER(O5579),ISNUMBER(P5579)),IF(Q5578=0,1,0),0)</f>
        <v>1</v>
      </c>
      <c r="S5579" s="56" t="n">
        <f aca="false">R5579*(B5579&gt;=Train_Start)*(B5579&lt;=Train_End)</f>
        <v>0</v>
      </c>
      <c r="T5579" s="84" t="n">
        <f aca="false">IF(AND(ISNUMBER(O5579),ISNUMBER(P5579)),Coef_A+Coef_B1*O5579+Coef_B2*P5579,"")</f>
        <v>22.7506331824882</v>
      </c>
      <c r="U5579" s="84" t="n">
        <f aca="false">IF(AND(R5579=1,ISNUMBER(T5579)),E5579-T5579,"")</f>
        <v>3.94936681751184</v>
      </c>
      <c r="V5579" s="84" t="n">
        <f aca="false">IF(ISNUMBER(T5579),T5579,-99)</f>
        <v>22.7506331824882</v>
      </c>
      <c r="W5579" s="84" t="n">
        <f aca="false">IF(ISNUMBER(U5579),ABS(U5579),"")</f>
        <v>3.94936681751184</v>
      </c>
    </row>
    <row r="5580" customFormat="false" ht="15" hidden="false" customHeight="false" outlineLevel="0" collapsed="false">
      <c r="A5580" s="57" t="n">
        <v>42195</v>
      </c>
      <c r="B5580" s="56" t="n">
        <v>2015</v>
      </c>
      <c r="C5580" s="56" t="n">
        <v>7</v>
      </c>
      <c r="D5580" s="56" t="n">
        <v>71</v>
      </c>
      <c r="E5580" s="56" t="n">
        <v>26</v>
      </c>
      <c r="F5580" s="56" t="n">
        <v>0</v>
      </c>
      <c r="G5580" s="56" t="n">
        <v>13</v>
      </c>
      <c r="H5580" s="56" t="n">
        <v>0</v>
      </c>
      <c r="I5580" s="56" t="n">
        <v>19.9</v>
      </c>
      <c r="J5580" s="56" t="n">
        <v>0</v>
      </c>
      <c r="K5580" s="56" t="n">
        <v>1019.6</v>
      </c>
      <c r="L5580" s="56" t="n">
        <v>0</v>
      </c>
      <c r="M5580" s="56" t="n">
        <v>47</v>
      </c>
      <c r="N5580" s="56" t="n">
        <v>12.2</v>
      </c>
      <c r="O5580" s="56" t="n">
        <f aca="false">IF(D5580=1,"",E5579)</f>
        <v>26.7</v>
      </c>
      <c r="P5580" s="56" t="n">
        <f aca="false">IF(OR(D5580=1,K5579=""),"",K5579)</f>
        <v>1022.5</v>
      </c>
      <c r="Q5580" s="56" t="n">
        <f aca="false">IF(OR(F5580&lt;&gt;0,AND(I5580&lt;&gt;"",E5580&lt;I5580)),1,0)</f>
        <v>0</v>
      </c>
      <c r="R5580" s="56" t="n">
        <f aca="false">IF(AND(D5580&gt;1,Q5580=0,ISNUMBER(O5580),ISNUMBER(P5580)),IF(Q5579=0,1,0),0)</f>
        <v>1</v>
      </c>
      <c r="S5580" s="56" t="n">
        <f aca="false">R5580*(B5580&gt;=Train_Start)*(B5580&lt;=Train_End)</f>
        <v>0</v>
      </c>
      <c r="T5580" s="84" t="n">
        <f aca="false">IF(AND(ISNUMBER(O5580),ISNUMBER(P5580)),Coef_A+Coef_B1*O5580+Coef_B2*P5580,"")</f>
        <v>26.0390491394888</v>
      </c>
      <c r="U5580" s="84" t="n">
        <f aca="false">IF(AND(R5580=1,ISNUMBER(T5580)),E5580-T5580,"")</f>
        <v>-0.0390491394888102</v>
      </c>
      <c r="V5580" s="84" t="n">
        <f aca="false">IF(ISNUMBER(T5580),T5580,-99)</f>
        <v>26.0390491394888</v>
      </c>
      <c r="W5580" s="84" t="n">
        <f aca="false">IF(ISNUMBER(U5580),ABS(U5580),"")</f>
        <v>0.0390491394888102</v>
      </c>
    </row>
    <row r="5581" customFormat="false" ht="15" hidden="false" customHeight="false" outlineLevel="0" collapsed="false">
      <c r="A5581" s="57" t="n">
        <v>42196</v>
      </c>
      <c r="B5581" s="56" t="n">
        <v>2015</v>
      </c>
      <c r="C5581" s="56" t="n">
        <v>7</v>
      </c>
      <c r="D5581" s="56" t="n">
        <v>72</v>
      </c>
      <c r="E5581" s="56" t="n">
        <v>22.6</v>
      </c>
      <c r="F5581" s="56" t="n">
        <v>0</v>
      </c>
      <c r="G5581" s="56" t="n">
        <v>14.4</v>
      </c>
      <c r="H5581" s="56" t="n">
        <v>0</v>
      </c>
      <c r="I5581" s="56" t="n">
        <v>20.2</v>
      </c>
      <c r="J5581" s="56" t="n">
        <v>0</v>
      </c>
      <c r="K5581" s="56" t="n">
        <v>1016.6</v>
      </c>
      <c r="L5581" s="56" t="n">
        <v>0</v>
      </c>
      <c r="M5581" s="56" t="n">
        <v>53</v>
      </c>
      <c r="N5581" s="56" t="n">
        <v>11.8</v>
      </c>
      <c r="O5581" s="56" t="n">
        <f aca="false">IF(D5581=1,"",E5580)</f>
        <v>26</v>
      </c>
      <c r="P5581" s="56" t="n">
        <f aca="false">IF(OR(D5581=1,K5580=""),"",K5580)</f>
        <v>1019.6</v>
      </c>
      <c r="Q5581" s="56" t="n">
        <f aca="false">IF(OR(F5581&lt;&gt;0,AND(I5581&lt;&gt;"",E5581&lt;I5581)),1,0)</f>
        <v>0</v>
      </c>
      <c r="R5581" s="56" t="n">
        <f aca="false">IF(AND(D5581&gt;1,Q5581=0,ISNUMBER(O5581),ISNUMBER(P5581)),IF(Q5580=0,1,0),0)</f>
        <v>1</v>
      </c>
      <c r="S5581" s="56" t="n">
        <f aca="false">R5581*(B5581&gt;=Train_Start)*(B5581&lt;=Train_End)</f>
        <v>0</v>
      </c>
      <c r="T5581" s="84" t="n">
        <f aca="false">IF(AND(ISNUMBER(O5581),ISNUMBER(P5581)),Coef_A+Coef_B1*O5581+Coef_B2*P5581,"")</f>
        <v>25.3745390099204</v>
      </c>
      <c r="U5581" s="84" t="n">
        <f aca="false">IF(AND(R5581=1,ISNUMBER(T5581)),E5581-T5581,"")</f>
        <v>-2.77453900992038</v>
      </c>
      <c r="V5581" s="84" t="n">
        <f aca="false">IF(ISNUMBER(T5581),T5581,-99)</f>
        <v>25.3745390099204</v>
      </c>
      <c r="W5581" s="84" t="n">
        <f aca="false">IF(ISNUMBER(U5581),ABS(U5581),"")</f>
        <v>2.77453900992038</v>
      </c>
    </row>
    <row r="5582" customFormat="false" ht="15" hidden="false" customHeight="false" outlineLevel="0" collapsed="false">
      <c r="A5582" s="57" t="n">
        <v>42197</v>
      </c>
      <c r="B5582" s="56" t="n">
        <v>2015</v>
      </c>
      <c r="C5582" s="56" t="n">
        <v>7</v>
      </c>
      <c r="D5582" s="56" t="n">
        <v>73</v>
      </c>
      <c r="E5582" s="56" t="n">
        <v>20.8</v>
      </c>
      <c r="F5582" s="56" t="n">
        <v>0</v>
      </c>
      <c r="G5582" s="56" t="n">
        <v>15.1</v>
      </c>
      <c r="H5582" s="56" t="n">
        <v>0</v>
      </c>
      <c r="I5582" s="56" t="n">
        <v>18.9</v>
      </c>
      <c r="J5582" s="56" t="n">
        <v>0</v>
      </c>
      <c r="K5582" s="56" t="n">
        <v>1016.9</v>
      </c>
      <c r="L5582" s="56" t="n">
        <v>0</v>
      </c>
      <c r="M5582" s="56" t="n">
        <v>81</v>
      </c>
      <c r="N5582" s="56" t="n">
        <v>0.2</v>
      </c>
      <c r="O5582" s="56" t="n">
        <f aca="false">IF(D5582=1,"",E5581)</f>
        <v>22.6</v>
      </c>
      <c r="P5582" s="56" t="n">
        <f aca="false">IF(OR(D5582=1,K5581=""),"",K5581)</f>
        <v>1016.6</v>
      </c>
      <c r="Q5582" s="56" t="n">
        <f aca="false">IF(OR(F5582&lt;&gt;0,AND(I5582&lt;&gt;"",E5582&lt;I5582)),1,0)</f>
        <v>0</v>
      </c>
      <c r="R5582" s="56" t="n">
        <f aca="false">IF(AND(D5582&gt;1,Q5582=0,ISNUMBER(O5582),ISNUMBER(P5582)),IF(Q5581=0,1,0),0)</f>
        <v>1</v>
      </c>
      <c r="S5582" s="56" t="n">
        <f aca="false">R5582*(B5582&gt;=Train_Start)*(B5582&lt;=Train_End)</f>
        <v>0</v>
      </c>
      <c r="T5582" s="84" t="n">
        <f aca="false">IF(AND(ISNUMBER(O5582),ISNUMBER(P5582)),Coef_A+Coef_B1*O5582+Coef_B2*P5582,"")</f>
        <v>22.4946760696734</v>
      </c>
      <c r="U5582" s="84" t="n">
        <f aca="false">IF(AND(R5582=1,ISNUMBER(T5582)),E5582-T5582,"")</f>
        <v>-1.69467606967338</v>
      </c>
      <c r="V5582" s="84" t="n">
        <f aca="false">IF(ISNUMBER(T5582),T5582,-99)</f>
        <v>22.4946760696734</v>
      </c>
      <c r="W5582" s="84" t="n">
        <f aca="false">IF(ISNUMBER(U5582),ABS(U5582),"")</f>
        <v>1.69467606967338</v>
      </c>
    </row>
    <row r="5583" customFormat="false" ht="15" hidden="false" customHeight="false" outlineLevel="0" collapsed="false">
      <c r="A5583" s="57" t="n">
        <v>42198</v>
      </c>
      <c r="B5583" s="56" t="n">
        <v>2015</v>
      </c>
      <c r="C5583" s="56" t="n">
        <v>7</v>
      </c>
      <c r="D5583" s="56" t="n">
        <v>74</v>
      </c>
      <c r="E5583" s="56" t="n">
        <v>22.9</v>
      </c>
      <c r="F5583" s="56" t="n">
        <v>0</v>
      </c>
      <c r="G5583" s="56" t="n">
        <v>16.3</v>
      </c>
      <c r="H5583" s="56" t="n">
        <v>0</v>
      </c>
      <c r="I5583" s="56" t="n">
        <v>18.6</v>
      </c>
      <c r="J5583" s="56" t="n">
        <v>0</v>
      </c>
      <c r="K5583" s="56" t="n">
        <v>1015.1</v>
      </c>
      <c r="L5583" s="56" t="n">
        <v>0</v>
      </c>
      <c r="M5583" s="56" t="n">
        <v>87</v>
      </c>
      <c r="N5583" s="56" t="n">
        <v>0</v>
      </c>
      <c r="O5583" s="56" t="n">
        <f aca="false">IF(D5583=1,"",E5582)</f>
        <v>20.8</v>
      </c>
      <c r="P5583" s="56" t="n">
        <f aca="false">IF(OR(D5583=1,K5582=""),"",K5582)</f>
        <v>1016.9</v>
      </c>
      <c r="Q5583" s="56" t="n">
        <f aca="false">IF(OR(F5583&lt;&gt;0,AND(I5583&lt;&gt;"",E5583&lt;I5583)),1,0)</f>
        <v>0</v>
      </c>
      <c r="R5583" s="56" t="n">
        <f aca="false">IF(AND(D5583&gt;1,Q5583=0,ISNUMBER(O5583),ISNUMBER(P5583)),IF(Q5582=0,1,0),0)</f>
        <v>1</v>
      </c>
      <c r="S5583" s="56" t="n">
        <f aca="false">R5583*(B5583&gt;=Train_Start)*(B5583&lt;=Train_End)</f>
        <v>0</v>
      </c>
      <c r="T5583" s="84" t="n">
        <f aca="false">IF(AND(ISNUMBER(O5583),ISNUMBER(P5583)),Coef_A+Coef_B1*O5583+Coef_B2*P5583,"")</f>
        <v>21.0292764905868</v>
      </c>
      <c r="U5583" s="84" t="n">
        <f aca="false">IF(AND(R5583=1,ISNUMBER(T5583)),E5583-T5583,"")</f>
        <v>1.87072350941321</v>
      </c>
      <c r="V5583" s="84" t="n">
        <f aca="false">IF(ISNUMBER(T5583),T5583,-99)</f>
        <v>21.0292764905868</v>
      </c>
      <c r="W5583" s="84" t="n">
        <f aca="false">IF(ISNUMBER(U5583),ABS(U5583),"")</f>
        <v>1.87072350941321</v>
      </c>
    </row>
    <row r="5584" customFormat="false" ht="15" hidden="false" customHeight="false" outlineLevel="0" collapsed="false">
      <c r="A5584" s="57" t="n">
        <v>42199</v>
      </c>
      <c r="B5584" s="56" t="n">
        <v>2015</v>
      </c>
      <c r="C5584" s="56" t="n">
        <v>7</v>
      </c>
      <c r="D5584" s="56" t="n">
        <v>75</v>
      </c>
      <c r="E5584" s="56" t="n">
        <v>22.5</v>
      </c>
      <c r="F5584" s="56" t="n">
        <v>0</v>
      </c>
      <c r="G5584" s="56" t="n">
        <v>16.8</v>
      </c>
      <c r="H5584" s="56" t="n">
        <v>0</v>
      </c>
      <c r="I5584" s="56" t="n">
        <v>19.9</v>
      </c>
      <c r="J5584" s="56" t="n">
        <v>0</v>
      </c>
      <c r="K5584" s="56" t="n">
        <v>1017.1</v>
      </c>
      <c r="L5584" s="56" t="n">
        <v>0</v>
      </c>
      <c r="M5584" s="56" t="n">
        <v>80</v>
      </c>
      <c r="N5584" s="56" t="n">
        <v>0.5</v>
      </c>
      <c r="O5584" s="56" t="n">
        <f aca="false">IF(D5584=1,"",E5583)</f>
        <v>22.9</v>
      </c>
      <c r="P5584" s="56" t="n">
        <f aca="false">IF(OR(D5584=1,K5583=""),"",K5583)</f>
        <v>1015.1</v>
      </c>
      <c r="Q5584" s="56" t="n">
        <f aca="false">IF(OR(F5584&lt;&gt;0,AND(I5584&lt;&gt;"",E5584&lt;I5584)),1,0)</f>
        <v>0</v>
      </c>
      <c r="R5584" s="56" t="n">
        <f aca="false">IF(AND(D5584&gt;1,Q5584=0,ISNUMBER(O5584),ISNUMBER(P5584)),IF(Q5583=0,1,0),0)</f>
        <v>1</v>
      </c>
      <c r="S5584" s="56" t="n">
        <f aca="false">R5584*(B5584&gt;=Train_Start)*(B5584&lt;=Train_End)</f>
        <v>0</v>
      </c>
      <c r="T5584" s="84" t="n">
        <f aca="false">IF(AND(ISNUMBER(O5584),ISNUMBER(P5584)),Coef_A+Coef_B1*O5584+Coef_B2*P5584,"")</f>
        <v>22.6934229856352</v>
      </c>
      <c r="U5584" s="84" t="n">
        <f aca="false">IF(AND(R5584=1,ISNUMBER(T5584)),E5584-T5584,"")</f>
        <v>-0.193422985635188</v>
      </c>
      <c r="V5584" s="84" t="n">
        <f aca="false">IF(ISNUMBER(T5584),T5584,-99)</f>
        <v>22.6934229856352</v>
      </c>
      <c r="W5584" s="84" t="n">
        <f aca="false">IF(ISNUMBER(U5584),ABS(U5584),"")</f>
        <v>0.193422985635188</v>
      </c>
    </row>
    <row r="5585" customFormat="false" ht="15" hidden="false" customHeight="false" outlineLevel="0" collapsed="false">
      <c r="A5585" s="57" t="n">
        <v>42200</v>
      </c>
      <c r="B5585" s="56" t="n">
        <v>2015</v>
      </c>
      <c r="C5585" s="56" t="n">
        <v>7</v>
      </c>
      <c r="D5585" s="56" t="n">
        <v>76</v>
      </c>
      <c r="E5585" s="56" t="n">
        <v>25.3</v>
      </c>
      <c r="F5585" s="56" t="n">
        <v>0</v>
      </c>
      <c r="G5585" s="56" t="n">
        <v>17.1</v>
      </c>
      <c r="H5585" s="56" t="n">
        <v>0</v>
      </c>
      <c r="I5585" s="56" t="n">
        <v>19.8</v>
      </c>
      <c r="J5585" s="56" t="n">
        <v>0</v>
      </c>
      <c r="K5585" s="56" t="n">
        <v>1018.2</v>
      </c>
      <c r="L5585" s="56" t="n">
        <v>0</v>
      </c>
      <c r="M5585" s="56" t="n">
        <v>77</v>
      </c>
      <c r="N5585" s="56" t="n">
        <v>1.1</v>
      </c>
      <c r="O5585" s="56" t="n">
        <f aca="false">IF(D5585=1,"",E5584)</f>
        <v>22.5</v>
      </c>
      <c r="P5585" s="56" t="n">
        <f aca="false">IF(OR(D5585=1,K5584=""),"",K5584)</f>
        <v>1017.1</v>
      </c>
      <c r="Q5585" s="56" t="n">
        <f aca="false">IF(OR(F5585&lt;&gt;0,AND(I5585&lt;&gt;"",E5585&lt;I5585)),1,0)</f>
        <v>0</v>
      </c>
      <c r="R5585" s="56" t="n">
        <f aca="false">IF(AND(D5585&gt;1,Q5585=0,ISNUMBER(O5585),ISNUMBER(P5585)),IF(Q5584=0,1,0),0)</f>
        <v>1</v>
      </c>
      <c r="S5585" s="56" t="n">
        <f aca="false">R5585*(B5585&gt;=Train_Start)*(B5585&lt;=Train_End)</f>
        <v>0</v>
      </c>
      <c r="T5585" s="84" t="n">
        <f aca="false">IF(AND(ISNUMBER(O5585),ISNUMBER(P5585)),Coef_A+Coef_B1*O5585+Coef_B2*P5585,"")</f>
        <v>22.4284270976861</v>
      </c>
      <c r="U5585" s="84" t="n">
        <f aca="false">IF(AND(R5585=1,ISNUMBER(T5585)),E5585-T5585,"")</f>
        <v>2.87157290231389</v>
      </c>
      <c r="V5585" s="84" t="n">
        <f aca="false">IF(ISNUMBER(T5585),T5585,-99)</f>
        <v>22.4284270976861</v>
      </c>
      <c r="W5585" s="84" t="n">
        <f aca="false">IF(ISNUMBER(U5585),ABS(U5585),"")</f>
        <v>2.87157290231389</v>
      </c>
    </row>
    <row r="5586" customFormat="false" ht="15" hidden="false" customHeight="false" outlineLevel="0" collapsed="false">
      <c r="A5586" s="57" t="n">
        <v>42201</v>
      </c>
      <c r="B5586" s="56" t="n">
        <v>2015</v>
      </c>
      <c r="C5586" s="56" t="n">
        <v>7</v>
      </c>
      <c r="D5586" s="56" t="n">
        <v>77</v>
      </c>
      <c r="E5586" s="56" t="n">
        <v>25.1</v>
      </c>
      <c r="F5586" s="56" t="n">
        <v>0</v>
      </c>
      <c r="G5586" s="56" t="n">
        <v>14.9</v>
      </c>
      <c r="H5586" s="56" t="n">
        <v>0</v>
      </c>
      <c r="I5586" s="56" t="n">
        <v>20.1</v>
      </c>
      <c r="J5586" s="56" t="n">
        <v>0</v>
      </c>
      <c r="K5586" s="56" t="n">
        <v>1015.7</v>
      </c>
      <c r="L5586" s="56" t="n">
        <v>0</v>
      </c>
      <c r="M5586" s="56" t="n">
        <v>68</v>
      </c>
      <c r="N5586" s="56" t="n">
        <v>1.9</v>
      </c>
      <c r="O5586" s="56" t="n">
        <f aca="false">IF(D5586=1,"",E5585)</f>
        <v>25.3</v>
      </c>
      <c r="P5586" s="56" t="n">
        <f aca="false">IF(OR(D5586=1,K5585=""),"",K5585)</f>
        <v>1018.2</v>
      </c>
      <c r="Q5586" s="56" t="n">
        <f aca="false">IF(OR(F5586&lt;&gt;0,AND(I5586&lt;&gt;"",E5586&lt;I5586)),1,0)</f>
        <v>0</v>
      </c>
      <c r="R5586" s="56" t="n">
        <f aca="false">IF(AND(D5586&gt;1,Q5586=0,ISNUMBER(O5586),ISNUMBER(P5586)),IF(Q5585=0,1,0),0)</f>
        <v>1</v>
      </c>
      <c r="S5586" s="56" t="n">
        <f aca="false">R5586*(B5586&gt;=Train_Start)*(B5586&lt;=Train_End)</f>
        <v>0</v>
      </c>
      <c r="T5586" s="84" t="n">
        <f aca="false">IF(AND(ISNUMBER(O5586),ISNUMBER(P5586)),Coef_A+Coef_B1*O5586+Coef_B2*P5586,"")</f>
        <v>24.7570837223029</v>
      </c>
      <c r="U5586" s="84" t="n">
        <f aca="false">IF(AND(R5586=1,ISNUMBER(T5586)),E5586-T5586,"")</f>
        <v>0.342916277697064</v>
      </c>
      <c r="V5586" s="84" t="n">
        <f aca="false">IF(ISNUMBER(T5586),T5586,-99)</f>
        <v>24.7570837223029</v>
      </c>
      <c r="W5586" s="84" t="n">
        <f aca="false">IF(ISNUMBER(U5586),ABS(U5586),"")</f>
        <v>0.342916277697064</v>
      </c>
    </row>
    <row r="5587" customFormat="false" ht="15" hidden="false" customHeight="false" outlineLevel="0" collapsed="false">
      <c r="A5587" s="57" t="n">
        <v>42202</v>
      </c>
      <c r="B5587" s="56" t="n">
        <v>2015</v>
      </c>
      <c r="C5587" s="56" t="n">
        <v>7</v>
      </c>
      <c r="D5587" s="56" t="n">
        <v>78</v>
      </c>
      <c r="E5587" s="56" t="n">
        <v>23.6</v>
      </c>
      <c r="F5587" s="56" t="n">
        <v>0</v>
      </c>
      <c r="G5587" s="56" t="n">
        <v>14.9</v>
      </c>
      <c r="H5587" s="56" t="n">
        <v>0</v>
      </c>
      <c r="I5587" s="56" t="n">
        <v>20</v>
      </c>
      <c r="J5587" s="56" t="n">
        <v>0</v>
      </c>
      <c r="K5587" s="56" t="n">
        <v>1011.6</v>
      </c>
      <c r="L5587" s="56" t="n">
        <v>0</v>
      </c>
      <c r="M5587" s="56" t="n">
        <v>69</v>
      </c>
      <c r="N5587" s="56" t="n">
        <v>5.1</v>
      </c>
      <c r="O5587" s="56" t="n">
        <f aca="false">IF(D5587=1,"",E5586)</f>
        <v>25.1</v>
      </c>
      <c r="P5587" s="56" t="n">
        <f aca="false">IF(OR(D5587=1,K5586=""),"",K5586)</f>
        <v>1015.7</v>
      </c>
      <c r="Q5587" s="56" t="n">
        <f aca="false">IF(OR(F5587&lt;&gt;0,AND(I5587&lt;&gt;"",E5587&lt;I5587)),1,0)</f>
        <v>0</v>
      </c>
      <c r="R5587" s="56" t="n">
        <f aca="false">IF(AND(D5587&gt;1,Q5587=0,ISNUMBER(O5587),ISNUMBER(P5587)),IF(Q5586=0,1,0),0)</f>
        <v>1</v>
      </c>
      <c r="S5587" s="56" t="n">
        <f aca="false">R5587*(B5587&gt;=Train_Start)*(B5587&lt;=Train_End)</f>
        <v>0</v>
      </c>
      <c r="T5587" s="84" t="n">
        <f aca="false">IF(AND(ISNUMBER(O5587),ISNUMBER(P5587)),Coef_A+Coef_B1*O5587+Coef_B2*P5587,"")</f>
        <v>24.5147911471094</v>
      </c>
      <c r="U5587" s="84" t="n">
        <f aca="false">IF(AND(R5587=1,ISNUMBER(T5587)),E5587-T5587,"")</f>
        <v>-0.91479114710943</v>
      </c>
      <c r="V5587" s="84" t="n">
        <f aca="false">IF(ISNUMBER(T5587),T5587,-99)</f>
        <v>24.5147911471094</v>
      </c>
      <c r="W5587" s="84" t="n">
        <f aca="false">IF(ISNUMBER(U5587),ABS(U5587),"")</f>
        <v>0.91479114710943</v>
      </c>
    </row>
    <row r="5588" customFormat="false" ht="15" hidden="false" customHeight="false" outlineLevel="0" collapsed="false">
      <c r="A5588" s="57" t="n">
        <v>42203</v>
      </c>
      <c r="B5588" s="56" t="n">
        <v>2015</v>
      </c>
      <c r="C5588" s="56" t="n">
        <v>7</v>
      </c>
      <c r="D5588" s="56" t="n">
        <v>79</v>
      </c>
      <c r="E5588" s="56" t="n">
        <v>24.9</v>
      </c>
      <c r="F5588" s="56" t="n">
        <v>0</v>
      </c>
      <c r="G5588" s="56" t="n">
        <v>12.1</v>
      </c>
      <c r="H5588" s="56" t="n">
        <v>0</v>
      </c>
      <c r="I5588" s="56" t="n">
        <v>17.9</v>
      </c>
      <c r="J5588" s="56" t="n">
        <v>0</v>
      </c>
      <c r="K5588" s="56" t="n">
        <v>1016.3</v>
      </c>
      <c r="L5588" s="56" t="n">
        <v>0</v>
      </c>
      <c r="M5588" s="56" t="n">
        <v>58</v>
      </c>
      <c r="N5588" s="56" t="n">
        <v>10.6</v>
      </c>
      <c r="O5588" s="56" t="n">
        <f aca="false">IF(D5588=1,"",E5587)</f>
        <v>23.6</v>
      </c>
      <c r="P5588" s="56" t="n">
        <f aca="false">IF(OR(D5588=1,K5587=""),"",K5587)</f>
        <v>1011.6</v>
      </c>
      <c r="Q5588" s="56" t="n">
        <f aca="false">IF(OR(F5588&lt;&gt;0,AND(I5588&lt;&gt;"",E5588&lt;I5588)),1,0)</f>
        <v>0</v>
      </c>
      <c r="R5588" s="56" t="n">
        <f aca="false">IF(AND(D5588&gt;1,Q5588=0,ISNUMBER(O5588),ISNUMBER(P5588)),IF(Q5587=0,1,0),0)</f>
        <v>1</v>
      </c>
      <c r="S5588" s="56" t="n">
        <f aca="false">R5588*(B5588&gt;=Train_Start)*(B5588&lt;=Train_End)</f>
        <v>0</v>
      </c>
      <c r="T5588" s="84" t="n">
        <f aca="false">IF(AND(ISNUMBER(O5588),ISNUMBER(P5588)),Coef_A+Coef_B1*O5588+Coef_B2*P5588,"")</f>
        <v>23.1571657895461</v>
      </c>
      <c r="U5588" s="84" t="n">
        <f aca="false">IF(AND(R5588=1,ISNUMBER(T5588)),E5588-T5588,"")</f>
        <v>1.74283421045391</v>
      </c>
      <c r="V5588" s="84" t="n">
        <f aca="false">IF(ISNUMBER(T5588),T5588,-99)</f>
        <v>23.1571657895461</v>
      </c>
      <c r="W5588" s="84" t="n">
        <f aca="false">IF(ISNUMBER(U5588),ABS(U5588),"")</f>
        <v>1.74283421045391</v>
      </c>
    </row>
    <row r="5589" customFormat="false" ht="15" hidden="false" customHeight="false" outlineLevel="0" collapsed="false">
      <c r="A5589" s="57" t="n">
        <v>42204</v>
      </c>
      <c r="B5589" s="56" t="n">
        <v>2015</v>
      </c>
      <c r="C5589" s="56" t="n">
        <v>7</v>
      </c>
      <c r="D5589" s="56" t="n">
        <v>80</v>
      </c>
      <c r="E5589" s="56" t="n">
        <v>24.7</v>
      </c>
      <c r="F5589" s="56" t="n">
        <v>0</v>
      </c>
      <c r="G5589" s="56" t="n">
        <v>13.9</v>
      </c>
      <c r="H5589" s="56" t="n">
        <v>0</v>
      </c>
      <c r="I5589" s="56" t="n">
        <v>19.4</v>
      </c>
      <c r="J5589" s="56" t="n">
        <v>0</v>
      </c>
      <c r="K5589" s="56" t="n">
        <v>1010.6</v>
      </c>
      <c r="L5589" s="56" t="n">
        <v>0</v>
      </c>
      <c r="M5589" s="56" t="n">
        <v>53</v>
      </c>
      <c r="N5589" s="56" t="n">
        <v>10.4</v>
      </c>
      <c r="O5589" s="56" t="n">
        <f aca="false">IF(D5589=1,"",E5588)</f>
        <v>24.9</v>
      </c>
      <c r="P5589" s="56" t="n">
        <f aca="false">IF(OR(D5589=1,K5588=""),"",K5588)</f>
        <v>1016.3</v>
      </c>
      <c r="Q5589" s="56" t="n">
        <f aca="false">IF(OR(F5589&lt;&gt;0,AND(I5589&lt;&gt;"",E5589&lt;I5589)),1,0)</f>
        <v>0</v>
      </c>
      <c r="R5589" s="56" t="n">
        <f aca="false">IF(AND(D5589&gt;1,Q5589=0,ISNUMBER(O5589),ISNUMBER(P5589)),IF(Q5588=0,1,0),0)</f>
        <v>1</v>
      </c>
      <c r="S5589" s="56" t="n">
        <f aca="false">R5589*(B5589&gt;=Train_Start)*(B5589&lt;=Train_End)</f>
        <v>0</v>
      </c>
      <c r="T5589" s="84" t="n">
        <f aca="false">IF(AND(ISNUMBER(O5589),ISNUMBER(P5589)),Coef_A+Coef_B1*O5589+Coef_B2*P5589,"")</f>
        <v>24.3697452452813</v>
      </c>
      <c r="U5589" s="84" t="n">
        <f aca="false">IF(AND(R5589=1,ISNUMBER(T5589)),E5589-T5589,"")</f>
        <v>0.330254754718709</v>
      </c>
      <c r="V5589" s="84" t="n">
        <f aca="false">IF(ISNUMBER(T5589),T5589,-99)</f>
        <v>24.3697452452813</v>
      </c>
      <c r="W5589" s="84" t="n">
        <f aca="false">IF(ISNUMBER(U5589),ABS(U5589),"")</f>
        <v>0.330254754718709</v>
      </c>
    </row>
    <row r="5590" customFormat="false" ht="15" hidden="false" customHeight="false" outlineLevel="0" collapsed="false">
      <c r="A5590" s="57" t="n">
        <v>42205</v>
      </c>
      <c r="B5590" s="56" t="n">
        <v>2015</v>
      </c>
      <c r="C5590" s="56" t="n">
        <v>7</v>
      </c>
      <c r="D5590" s="56" t="n">
        <v>81</v>
      </c>
      <c r="E5590" s="56" t="n">
        <v>26.5</v>
      </c>
      <c r="F5590" s="56" t="n">
        <v>0</v>
      </c>
      <c r="G5590" s="56" t="n">
        <v>14</v>
      </c>
      <c r="H5590" s="56" t="n">
        <v>0</v>
      </c>
      <c r="I5590" s="56" t="n">
        <v>19.4</v>
      </c>
      <c r="J5590" s="56" t="n">
        <v>0</v>
      </c>
      <c r="K5590" s="56" t="n">
        <v>1009.9</v>
      </c>
      <c r="L5590" s="56" t="n">
        <v>0</v>
      </c>
      <c r="M5590" s="56" t="n">
        <v>81</v>
      </c>
      <c r="N5590" s="56" t="n">
        <v>0.4</v>
      </c>
      <c r="O5590" s="56" t="n">
        <f aca="false">IF(D5590=1,"",E5589)</f>
        <v>24.7</v>
      </c>
      <c r="P5590" s="56" t="n">
        <f aca="false">IF(OR(D5590=1,K5589=""),"",K5589)</f>
        <v>1010.6</v>
      </c>
      <c r="Q5590" s="56" t="n">
        <f aca="false">IF(OR(F5590&lt;&gt;0,AND(I5590&lt;&gt;"",E5590&lt;I5590)),1,0)</f>
        <v>0</v>
      </c>
      <c r="R5590" s="56" t="n">
        <f aca="false">IF(AND(D5590&gt;1,Q5590=0,ISNUMBER(O5590),ISNUMBER(P5590)),IF(Q5589=0,1,0),0)</f>
        <v>1</v>
      </c>
      <c r="S5590" s="56" t="n">
        <f aca="false">R5590*(B5590&gt;=Train_Start)*(B5590&lt;=Train_End)</f>
        <v>0</v>
      </c>
      <c r="T5590" s="84" t="n">
        <f aca="false">IF(AND(ISNUMBER(O5590),ISNUMBER(P5590)),Coef_A+Coef_B1*O5590+Coef_B2*P5590,"")</f>
        <v>24.027069007259</v>
      </c>
      <c r="U5590" s="84" t="n">
        <f aca="false">IF(AND(R5590=1,ISNUMBER(T5590)),E5590-T5590,"")</f>
        <v>2.47293099274098</v>
      </c>
      <c r="V5590" s="84" t="n">
        <f aca="false">IF(ISNUMBER(T5590),T5590,-99)</f>
        <v>24.027069007259</v>
      </c>
      <c r="W5590" s="84" t="n">
        <f aca="false">IF(ISNUMBER(U5590),ABS(U5590),"")</f>
        <v>2.47293099274098</v>
      </c>
    </row>
    <row r="5591" customFormat="false" ht="15" hidden="false" customHeight="false" outlineLevel="0" collapsed="false">
      <c r="A5591" s="57" t="n">
        <v>42206</v>
      </c>
      <c r="B5591" s="56" t="n">
        <v>2015</v>
      </c>
      <c r="C5591" s="56" t="n">
        <v>7</v>
      </c>
      <c r="D5591" s="56" t="n">
        <v>82</v>
      </c>
      <c r="E5591" s="56" t="n">
        <v>23</v>
      </c>
      <c r="F5591" s="56" t="n">
        <v>0</v>
      </c>
      <c r="G5591" s="56" t="n">
        <v>13.2</v>
      </c>
      <c r="H5591" s="56" t="n">
        <v>0</v>
      </c>
      <c r="I5591" s="56" t="n">
        <v>19.9</v>
      </c>
      <c r="J5591" s="56" t="n">
        <v>0</v>
      </c>
      <c r="K5591" s="56" t="n">
        <v>1012.4</v>
      </c>
      <c r="L5591" s="56" t="n">
        <v>0</v>
      </c>
      <c r="M5591" s="56" t="n">
        <v>63</v>
      </c>
      <c r="N5591" s="56" t="n">
        <v>10.5</v>
      </c>
      <c r="O5591" s="56" t="n">
        <f aca="false">IF(D5591=1,"",E5590)</f>
        <v>26.5</v>
      </c>
      <c r="P5591" s="56" t="n">
        <f aca="false">IF(OR(D5591=1,K5590=""),"",K5590)</f>
        <v>1009.9</v>
      </c>
      <c r="Q5591" s="56" t="n">
        <f aca="false">IF(OR(F5591&lt;&gt;0,AND(I5591&lt;&gt;"",E5591&lt;I5591)),1,0)</f>
        <v>0</v>
      </c>
      <c r="R5591" s="56" t="n">
        <f aca="false">IF(AND(D5591&gt;1,Q5591=0,ISNUMBER(O5591),ISNUMBER(P5591)),IF(Q5590=0,1,0),0)</f>
        <v>1</v>
      </c>
      <c r="S5591" s="56" t="n">
        <f aca="false">R5591*(B5591&gt;=Train_Start)*(B5591&lt;=Train_End)</f>
        <v>0</v>
      </c>
      <c r="T5591" s="84" t="n">
        <f aca="false">IF(AND(ISNUMBER(O5591),ISNUMBER(P5591)),Coef_A+Coef_B1*O5591+Coef_B2*P5591,"")</f>
        <v>25.479920628492</v>
      </c>
      <c r="U5591" s="84" t="n">
        <f aca="false">IF(AND(R5591=1,ISNUMBER(T5591)),E5591-T5591,"")</f>
        <v>-2.47992062849201</v>
      </c>
      <c r="V5591" s="84" t="n">
        <f aca="false">IF(ISNUMBER(T5591),T5591,-99)</f>
        <v>25.479920628492</v>
      </c>
      <c r="W5591" s="84" t="n">
        <f aca="false">IF(ISNUMBER(U5591),ABS(U5591),"")</f>
        <v>2.47992062849201</v>
      </c>
    </row>
    <row r="5592" customFormat="false" ht="15" hidden="false" customHeight="false" outlineLevel="0" collapsed="false">
      <c r="A5592" s="57" t="n">
        <v>42207</v>
      </c>
      <c r="B5592" s="56" t="n">
        <v>2015</v>
      </c>
      <c r="C5592" s="56" t="n">
        <v>7</v>
      </c>
      <c r="D5592" s="56" t="n">
        <v>83</v>
      </c>
      <c r="E5592" s="56" t="n">
        <v>22.4</v>
      </c>
      <c r="F5592" s="56" t="n">
        <v>0</v>
      </c>
      <c r="G5592" s="56" t="n">
        <v>14.5</v>
      </c>
      <c r="H5592" s="56" t="n">
        <v>0</v>
      </c>
      <c r="I5592" s="56" t="n">
        <v>18.8</v>
      </c>
      <c r="J5592" s="56" t="n">
        <v>0</v>
      </c>
      <c r="K5592" s="56" t="n">
        <v>1015</v>
      </c>
      <c r="L5592" s="56" t="n">
        <v>0</v>
      </c>
      <c r="M5592" s="56" t="n">
        <v>66</v>
      </c>
      <c r="N5592" s="56" t="n">
        <v>6.3</v>
      </c>
      <c r="O5592" s="56" t="n">
        <f aca="false">IF(D5592=1,"",E5591)</f>
        <v>23</v>
      </c>
      <c r="P5592" s="56" t="n">
        <f aca="false">IF(OR(D5592=1,K5591=""),"",K5591)</f>
        <v>1012.4</v>
      </c>
      <c r="Q5592" s="56" t="n">
        <f aca="false">IF(OR(F5592&lt;&gt;0,AND(I5592&lt;&gt;"",E5592&lt;I5592)),1,0)</f>
        <v>0</v>
      </c>
      <c r="R5592" s="56" t="n">
        <f aca="false">IF(AND(D5592&gt;1,Q5592=0,ISNUMBER(O5592),ISNUMBER(P5592)),IF(Q5591=0,1,0),0)</f>
        <v>1</v>
      </c>
      <c r="S5592" s="56" t="n">
        <f aca="false">R5592*(B5592&gt;=Train_Start)*(B5592&lt;=Train_End)</f>
        <v>0</v>
      </c>
      <c r="T5592" s="84" t="n">
        <f aca="false">IF(AND(ISNUMBER(O5592),ISNUMBER(P5592)),Coef_A+Coef_B1*O5592+Coef_B2*P5592,"")</f>
        <v>22.6906581894277</v>
      </c>
      <c r="U5592" s="84" t="n">
        <f aca="false">IF(AND(R5592=1,ISNUMBER(T5592)),E5592-T5592,"")</f>
        <v>-0.290658189427685</v>
      </c>
      <c r="V5592" s="84" t="n">
        <f aca="false">IF(ISNUMBER(T5592),T5592,-99)</f>
        <v>22.6906581894277</v>
      </c>
      <c r="W5592" s="84" t="n">
        <f aca="false">IF(ISNUMBER(U5592),ABS(U5592),"")</f>
        <v>0.290658189427685</v>
      </c>
    </row>
    <row r="5593" customFormat="false" ht="15" hidden="false" customHeight="false" outlineLevel="0" collapsed="false">
      <c r="A5593" s="57" t="n">
        <v>42208</v>
      </c>
      <c r="B5593" s="56" t="n">
        <v>2015</v>
      </c>
      <c r="C5593" s="56" t="n">
        <v>7</v>
      </c>
      <c r="D5593" s="56" t="n">
        <v>84</v>
      </c>
      <c r="E5593" s="56" t="n">
        <v>16.5</v>
      </c>
      <c r="F5593" s="56" t="n">
        <v>1</v>
      </c>
      <c r="G5593" s="56" t="n">
        <v>11.4</v>
      </c>
      <c r="H5593" s="56" t="n">
        <v>0</v>
      </c>
      <c r="I5593" s="56" t="n">
        <v>16.9</v>
      </c>
      <c r="J5593" s="56" t="n">
        <v>1</v>
      </c>
      <c r="K5593" s="56" t="n">
        <v>1017.3</v>
      </c>
      <c r="L5593" s="56" t="n">
        <v>0</v>
      </c>
      <c r="M5593" s="56" t="n">
        <v>60</v>
      </c>
      <c r="N5593" s="56" t="n">
        <v>4.7</v>
      </c>
      <c r="O5593" s="56" t="n">
        <f aca="false">IF(D5593=1,"",E5592)</f>
        <v>22.4</v>
      </c>
      <c r="P5593" s="56" t="n">
        <f aca="false">IF(OR(D5593=1,K5592=""),"",K5592)</f>
        <v>1015</v>
      </c>
      <c r="Q5593" s="56" t="n">
        <f aca="false">IF(OR(F5593&lt;&gt;0,AND(I5593&lt;&gt;"",E5593&lt;I5593)),1,0)</f>
        <v>1</v>
      </c>
      <c r="R5593" s="56" t="n">
        <f aca="false">IF(AND(D5593&gt;1,Q5593=0,ISNUMBER(O5593),ISNUMBER(P5593)),IF(Q5592=0,1,0),0)</f>
        <v>0</v>
      </c>
      <c r="S5593" s="56" t="n">
        <f aca="false">R5593*(B5593&gt;=Train_Start)*(B5593&lt;=Train_End)</f>
        <v>0</v>
      </c>
      <c r="T5593" s="84" t="n">
        <f aca="false">IF(AND(ISNUMBER(O5593),ISNUMBER(P5593)),Coef_A+Coef_B1*O5593+Coef_B2*P5593,"")</f>
        <v>22.2806163996505</v>
      </c>
      <c r="U5593" s="84" t="str">
        <f aca="false">IF(AND(R5593=1,ISNUMBER(T5593)),E5593-T5593,"")</f>
        <v/>
      </c>
      <c r="V5593" s="84" t="n">
        <f aca="false">IF(ISNUMBER(T5593),T5593,-99)</f>
        <v>22.2806163996505</v>
      </c>
      <c r="W5593" s="84" t="str">
        <f aca="false">IF(ISNUMBER(U5593),ABS(U5593),"")</f>
        <v/>
      </c>
    </row>
    <row r="5594" customFormat="false" ht="15" hidden="false" customHeight="false" outlineLevel="0" collapsed="false">
      <c r="A5594" s="57" t="n">
        <v>42209</v>
      </c>
      <c r="B5594" s="56" t="n">
        <v>2015</v>
      </c>
      <c r="C5594" s="56" t="n">
        <v>7</v>
      </c>
      <c r="D5594" s="56" t="n">
        <v>85</v>
      </c>
      <c r="E5594" s="56" t="n">
        <v>21.7</v>
      </c>
      <c r="F5594" s="56" t="n">
        <v>0</v>
      </c>
      <c r="G5594" s="56" t="n">
        <v>15.8</v>
      </c>
      <c r="H5594" s="56" t="n">
        <v>0</v>
      </c>
      <c r="I5594" s="56" t="n">
        <v>16.2</v>
      </c>
      <c r="J5594" s="56" t="n">
        <v>0</v>
      </c>
      <c r="K5594" s="56" t="n">
        <v>1009.7</v>
      </c>
      <c r="L5594" s="56" t="n">
        <v>0</v>
      </c>
      <c r="M5594" s="56" t="n">
        <v>80</v>
      </c>
      <c r="N5594" s="56" t="n">
        <v>0</v>
      </c>
      <c r="O5594" s="56" t="n">
        <f aca="false">IF(D5594=1,"",E5593)</f>
        <v>16.5</v>
      </c>
      <c r="P5594" s="56" t="n">
        <f aca="false">IF(OR(D5594=1,K5593=""),"",K5593)</f>
        <v>1017.3</v>
      </c>
      <c r="Q5594" s="56" t="n">
        <f aca="false">IF(OR(F5594&lt;&gt;0,AND(I5594&lt;&gt;"",E5594&lt;I5594)),1,0)</f>
        <v>0</v>
      </c>
      <c r="R5594" s="56" t="n">
        <f aca="false">IF(AND(D5594&gt;1,Q5594=0,ISNUMBER(O5594),ISNUMBER(P5594)),IF(Q5593=0,1,0),0)</f>
        <v>0</v>
      </c>
      <c r="S5594" s="56" t="n">
        <f aca="false">R5594*(B5594&gt;=Train_Start)*(B5594&lt;=Train_End)</f>
        <v>0</v>
      </c>
      <c r="T5594" s="84" t="n">
        <f aca="false">IF(AND(ISNUMBER(O5594),ISNUMBER(P5594)),Coef_A+Coef_B1*O5594+Coef_B2*P5594,"")</f>
        <v>17.518665918357</v>
      </c>
      <c r="U5594" s="84" t="str">
        <f aca="false">IF(AND(R5594=1,ISNUMBER(T5594)),E5594-T5594,"")</f>
        <v/>
      </c>
      <c r="V5594" s="84" t="n">
        <f aca="false">IF(ISNUMBER(T5594),T5594,-99)</f>
        <v>17.518665918357</v>
      </c>
      <c r="W5594" s="84" t="str">
        <f aca="false">IF(ISNUMBER(U5594),ABS(U5594),"")</f>
        <v/>
      </c>
    </row>
    <row r="5595" customFormat="false" ht="15" hidden="false" customHeight="false" outlineLevel="0" collapsed="false">
      <c r="A5595" s="57" t="n">
        <v>42210</v>
      </c>
      <c r="B5595" s="56" t="n">
        <v>2015</v>
      </c>
      <c r="C5595" s="56" t="n">
        <v>7</v>
      </c>
      <c r="D5595" s="56" t="n">
        <v>86</v>
      </c>
      <c r="E5595" s="56" t="n">
        <v>19.1</v>
      </c>
      <c r="F5595" s="56" t="n">
        <v>0</v>
      </c>
      <c r="G5595" s="56" t="n">
        <v>11.4</v>
      </c>
      <c r="H5595" s="56" t="n">
        <v>0</v>
      </c>
      <c r="I5595" s="56" t="n">
        <v>16.6</v>
      </c>
      <c r="J5595" s="56" t="n">
        <v>0</v>
      </c>
      <c r="K5595" s="56" t="n">
        <v>1012.7</v>
      </c>
      <c r="L5595" s="56" t="n">
        <v>0</v>
      </c>
      <c r="M5595" s="56" t="n">
        <v>63</v>
      </c>
      <c r="N5595" s="56" t="n">
        <v>9.4</v>
      </c>
      <c r="O5595" s="56" t="n">
        <f aca="false">IF(D5595=1,"",E5594)</f>
        <v>21.7</v>
      </c>
      <c r="P5595" s="56" t="n">
        <f aca="false">IF(OR(D5595=1,K5594=""),"",K5594)</f>
        <v>1009.7</v>
      </c>
      <c r="Q5595" s="56" t="n">
        <f aca="false">IF(OR(F5595&lt;&gt;0,AND(I5595&lt;&gt;"",E5595&lt;I5595)),1,0)</f>
        <v>0</v>
      </c>
      <c r="R5595" s="56" t="n">
        <f aca="false">IF(AND(D5595&gt;1,Q5595=0,ISNUMBER(O5595),ISNUMBER(P5595)),IF(Q5594=0,1,0),0)</f>
        <v>1</v>
      </c>
      <c r="S5595" s="56" t="n">
        <f aca="false">R5595*(B5595&gt;=Train_Start)*(B5595&lt;=Train_End)</f>
        <v>0</v>
      </c>
      <c r="T5595" s="84" t="n">
        <f aca="false">IF(AND(ISNUMBER(O5595),ISNUMBER(P5595)),Coef_A+Coef_B1*O5595+Coef_B2*P5595,"")</f>
        <v>21.5408185229605</v>
      </c>
      <c r="U5595" s="84" t="n">
        <f aca="false">IF(AND(R5595=1,ISNUMBER(T5595)),E5595-T5595,"")</f>
        <v>-2.44081852296046</v>
      </c>
      <c r="V5595" s="84" t="n">
        <f aca="false">IF(ISNUMBER(T5595),T5595,-99)</f>
        <v>21.5408185229605</v>
      </c>
      <c r="W5595" s="84" t="n">
        <f aca="false">IF(ISNUMBER(U5595),ABS(U5595),"")</f>
        <v>2.44081852296046</v>
      </c>
    </row>
    <row r="5596" customFormat="false" ht="15" hidden="false" customHeight="false" outlineLevel="0" collapsed="false">
      <c r="A5596" s="57" t="n">
        <v>42211</v>
      </c>
      <c r="B5596" s="56" t="n">
        <v>2015</v>
      </c>
      <c r="C5596" s="56" t="n">
        <v>7</v>
      </c>
      <c r="D5596" s="56" t="n">
        <v>87</v>
      </c>
      <c r="E5596" s="56" t="n">
        <v>20.9</v>
      </c>
      <c r="F5596" s="56" t="n">
        <v>0</v>
      </c>
      <c r="G5596" s="56" t="n">
        <v>12.1</v>
      </c>
      <c r="H5596" s="56" t="n">
        <v>0</v>
      </c>
      <c r="I5596" s="56" t="n">
        <v>15.6</v>
      </c>
      <c r="J5596" s="56" t="n">
        <v>0</v>
      </c>
      <c r="K5596" s="56" t="n">
        <v>1005.4</v>
      </c>
      <c r="L5596" s="56" t="n">
        <v>0</v>
      </c>
      <c r="M5596" s="56" t="n">
        <v>84</v>
      </c>
      <c r="N5596" s="56" t="n">
        <v>0.1</v>
      </c>
      <c r="O5596" s="56" t="n">
        <f aca="false">IF(D5596=1,"",E5595)</f>
        <v>19.1</v>
      </c>
      <c r="P5596" s="56" t="n">
        <f aca="false">IF(OR(D5596=1,K5595=""),"",K5595)</f>
        <v>1012.7</v>
      </c>
      <c r="Q5596" s="56" t="n">
        <f aca="false">IF(OR(F5596&lt;&gt;0,AND(I5596&lt;&gt;"",E5596&lt;I5596)),1,0)</f>
        <v>0</v>
      </c>
      <c r="R5596" s="56" t="n">
        <f aca="false">IF(AND(D5596&gt;1,Q5596=0,ISNUMBER(O5596),ISNUMBER(P5596)),IF(Q5595=0,1,0),0)</f>
        <v>1</v>
      </c>
      <c r="S5596" s="56" t="n">
        <f aca="false">R5596*(B5596&gt;=Train_Start)*(B5596&lt;=Train_End)</f>
        <v>0</v>
      </c>
      <c r="T5596" s="84" t="n">
        <f aca="false">IF(AND(ISNUMBER(O5596),ISNUMBER(P5596)),Coef_A+Coef_B1*O5596+Coef_B2*P5596,"")</f>
        <v>19.5046463049515</v>
      </c>
      <c r="U5596" s="84" t="n">
        <f aca="false">IF(AND(R5596=1,ISNUMBER(T5596)),E5596-T5596,"")</f>
        <v>1.39535369504848</v>
      </c>
      <c r="V5596" s="84" t="n">
        <f aca="false">IF(ISNUMBER(T5596),T5596,-99)</f>
        <v>19.5046463049515</v>
      </c>
      <c r="W5596" s="84" t="n">
        <f aca="false">IF(ISNUMBER(U5596),ABS(U5596),"")</f>
        <v>1.39535369504848</v>
      </c>
    </row>
    <row r="5597" customFormat="false" ht="15" hidden="false" customHeight="false" outlineLevel="0" collapsed="false">
      <c r="A5597" s="57" t="n">
        <v>42212</v>
      </c>
      <c r="B5597" s="56" t="n">
        <v>2015</v>
      </c>
      <c r="C5597" s="56" t="n">
        <v>7</v>
      </c>
      <c r="D5597" s="56" t="n">
        <v>88</v>
      </c>
      <c r="E5597" s="56" t="n">
        <v>20.8</v>
      </c>
      <c r="F5597" s="56" t="n">
        <v>0</v>
      </c>
      <c r="G5597" s="56" t="n">
        <v>12.6</v>
      </c>
      <c r="H5597" s="56" t="n">
        <v>0</v>
      </c>
      <c r="I5597" s="56" t="n">
        <v>16.8</v>
      </c>
      <c r="J5597" s="56" t="n">
        <v>0</v>
      </c>
      <c r="K5597" s="56" t="n">
        <v>1000.4</v>
      </c>
      <c r="L5597" s="56" t="n">
        <v>0</v>
      </c>
      <c r="M5597" s="56" t="n">
        <v>73</v>
      </c>
      <c r="N5597" s="56" t="n">
        <v>1.2</v>
      </c>
      <c r="O5597" s="56" t="n">
        <f aca="false">IF(D5597=1,"",E5596)</f>
        <v>20.9</v>
      </c>
      <c r="P5597" s="56" t="n">
        <f aca="false">IF(OR(D5597=1,K5596=""),"",K5596)</f>
        <v>1005.4</v>
      </c>
      <c r="Q5597" s="56" t="n">
        <f aca="false">IF(OR(F5597&lt;&gt;0,AND(I5597&lt;&gt;"",E5597&lt;I5597)),1,0)</f>
        <v>0</v>
      </c>
      <c r="R5597" s="56" t="n">
        <f aca="false">IF(AND(D5597&gt;1,Q5597=0,ISNUMBER(O5597),ISNUMBER(P5597)),IF(Q5596=0,1,0),0)</f>
        <v>1</v>
      </c>
      <c r="S5597" s="56" t="n">
        <f aca="false">R5597*(B5597&gt;=Train_Start)*(B5597&lt;=Train_End)</f>
        <v>0</v>
      </c>
      <c r="T5597" s="84" t="n">
        <f aca="false">IF(AND(ISNUMBER(O5597),ISNUMBER(P5597)),Coef_A+Coef_B1*O5597+Coef_B2*P5597,"")</f>
        <v>20.7504566216002</v>
      </c>
      <c r="U5597" s="84" t="n">
        <f aca="false">IF(AND(R5597=1,ISNUMBER(T5597)),E5597-T5597,"")</f>
        <v>0.0495433783998251</v>
      </c>
      <c r="V5597" s="84" t="n">
        <f aca="false">IF(ISNUMBER(T5597),T5597,-99)</f>
        <v>20.7504566216002</v>
      </c>
      <c r="W5597" s="84" t="n">
        <f aca="false">IF(ISNUMBER(U5597),ABS(U5597),"")</f>
        <v>0.0495433783998251</v>
      </c>
    </row>
    <row r="5598" customFormat="false" ht="15" hidden="false" customHeight="false" outlineLevel="0" collapsed="false">
      <c r="A5598" s="57" t="n">
        <v>42213</v>
      </c>
      <c r="B5598" s="56" t="n">
        <v>2015</v>
      </c>
      <c r="C5598" s="56" t="n">
        <v>7</v>
      </c>
      <c r="D5598" s="56" t="n">
        <v>89</v>
      </c>
      <c r="E5598" s="56" t="n">
        <v>20.3</v>
      </c>
      <c r="F5598" s="56" t="n">
        <v>0</v>
      </c>
      <c r="G5598" s="56" t="n">
        <v>12.9</v>
      </c>
      <c r="H5598" s="56" t="n">
        <v>0</v>
      </c>
      <c r="I5598" s="56" t="n">
        <v>16.9</v>
      </c>
      <c r="J5598" s="56" t="n">
        <v>0</v>
      </c>
      <c r="K5598" s="56" t="n">
        <v>1006</v>
      </c>
      <c r="L5598" s="56" t="n">
        <v>0</v>
      </c>
      <c r="M5598" s="56" t="n">
        <v>62</v>
      </c>
      <c r="N5598" s="56" t="n">
        <v>5.2</v>
      </c>
      <c r="O5598" s="56" t="n">
        <f aca="false">IF(D5598=1,"",E5597)</f>
        <v>20.8</v>
      </c>
      <c r="P5598" s="56" t="n">
        <f aca="false">IF(OR(D5598=1,K5597=""),"",K5597)</f>
        <v>1000.4</v>
      </c>
      <c r="Q5598" s="56" t="n">
        <f aca="false">IF(OR(F5598&lt;&gt;0,AND(I5598&lt;&gt;"",E5598&lt;I5598)),1,0)</f>
        <v>0</v>
      </c>
      <c r="R5598" s="56" t="n">
        <f aca="false">IF(AND(D5598&gt;1,Q5598=0,ISNUMBER(O5598),ISNUMBER(P5598)),IF(Q5597=0,1,0),0)</f>
        <v>1</v>
      </c>
      <c r="S5598" s="56" t="n">
        <f aca="false">R5598*(B5598&gt;=Train_Start)*(B5598&lt;=Train_End)</f>
        <v>0</v>
      </c>
      <c r="T5598" s="84" t="n">
        <f aca="false">IF(AND(ISNUMBER(O5598),ISNUMBER(P5598)),Coef_A+Coef_B1*O5598+Coef_B2*P5598,"")</f>
        <v>20.511673229126</v>
      </c>
      <c r="U5598" s="84" t="n">
        <f aca="false">IF(AND(R5598=1,ISNUMBER(T5598)),E5598-T5598,"")</f>
        <v>-0.21167322912596</v>
      </c>
      <c r="V5598" s="84" t="n">
        <f aca="false">IF(ISNUMBER(T5598),T5598,-99)</f>
        <v>20.511673229126</v>
      </c>
      <c r="W5598" s="84" t="n">
        <f aca="false">IF(ISNUMBER(U5598),ABS(U5598),"")</f>
        <v>0.21167322912596</v>
      </c>
    </row>
    <row r="5599" customFormat="false" ht="15" hidden="false" customHeight="false" outlineLevel="0" collapsed="false">
      <c r="A5599" s="57" t="n">
        <v>42214</v>
      </c>
      <c r="B5599" s="56" t="n">
        <v>2015</v>
      </c>
      <c r="C5599" s="56" t="n">
        <v>7</v>
      </c>
      <c r="D5599" s="56" t="n">
        <v>90</v>
      </c>
      <c r="E5599" s="56" t="n">
        <v>20.3</v>
      </c>
      <c r="F5599" s="56" t="n">
        <v>0</v>
      </c>
      <c r="G5599" s="56" t="n">
        <v>9.7</v>
      </c>
      <c r="H5599" s="56" t="n">
        <v>0</v>
      </c>
      <c r="I5599" s="56" t="n">
        <v>15</v>
      </c>
      <c r="J5599" s="56" t="n">
        <v>0</v>
      </c>
      <c r="K5599" s="56" t="n">
        <v>1011.4</v>
      </c>
      <c r="L5599" s="56" t="n">
        <v>0</v>
      </c>
      <c r="M5599" s="56" t="n">
        <v>67</v>
      </c>
      <c r="N5599" s="56" t="n">
        <v>4.1</v>
      </c>
      <c r="O5599" s="56" t="n">
        <f aca="false">IF(D5599=1,"",E5598)</f>
        <v>20.3</v>
      </c>
      <c r="P5599" s="56" t="n">
        <f aca="false">IF(OR(D5599=1,K5598=""),"",K5598)</f>
        <v>1006</v>
      </c>
      <c r="Q5599" s="56" t="n">
        <f aca="false">IF(OR(F5599&lt;&gt;0,AND(I5599&lt;&gt;"",E5599&lt;I5599)),1,0)</f>
        <v>0</v>
      </c>
      <c r="R5599" s="56" t="n">
        <f aca="false">IF(AND(D5599&gt;1,Q5599=0,ISNUMBER(O5599),ISNUMBER(P5599)),IF(Q5598=0,1,0),0)</f>
        <v>1</v>
      </c>
      <c r="S5599" s="56" t="n">
        <f aca="false">R5599*(B5599&gt;=Train_Start)*(B5599&lt;=Train_End)</f>
        <v>0</v>
      </c>
      <c r="T5599" s="84" t="n">
        <f aca="false">IF(AND(ISNUMBER(O5599),ISNUMBER(P5599)),Coef_A+Coef_B1*O5599+Coef_B2*P5599,"")</f>
        <v>20.277675042555</v>
      </c>
      <c r="U5599" s="84" t="n">
        <f aca="false">IF(AND(R5599=1,ISNUMBER(T5599)),E5599-T5599,"")</f>
        <v>0.0223249574450257</v>
      </c>
      <c r="V5599" s="84" t="n">
        <f aca="false">IF(ISNUMBER(T5599),T5599,-99)</f>
        <v>20.277675042555</v>
      </c>
      <c r="W5599" s="84" t="n">
        <f aca="false">IF(ISNUMBER(U5599),ABS(U5599),"")</f>
        <v>0.0223249574450257</v>
      </c>
    </row>
    <row r="5600" customFormat="false" ht="15" hidden="false" customHeight="false" outlineLevel="0" collapsed="false">
      <c r="A5600" s="57" t="n">
        <v>42215</v>
      </c>
      <c r="B5600" s="56" t="n">
        <v>2015</v>
      </c>
      <c r="C5600" s="56" t="n">
        <v>7</v>
      </c>
      <c r="D5600" s="56" t="n">
        <v>91</v>
      </c>
      <c r="E5600" s="56" t="n">
        <v>22.7</v>
      </c>
      <c r="F5600" s="56" t="n">
        <v>0</v>
      </c>
      <c r="G5600" s="56" t="n">
        <v>10.2</v>
      </c>
      <c r="H5600" s="56" t="n">
        <v>0</v>
      </c>
      <c r="I5600" s="56" t="n">
        <v>15.3</v>
      </c>
      <c r="J5600" s="56" t="n">
        <v>0</v>
      </c>
      <c r="K5600" s="56" t="n">
        <v>1018.3</v>
      </c>
      <c r="L5600" s="56" t="n">
        <v>0</v>
      </c>
      <c r="M5600" s="56" t="n">
        <v>58</v>
      </c>
      <c r="N5600" s="56" t="n">
        <v>8.1</v>
      </c>
      <c r="O5600" s="56" t="n">
        <f aca="false">IF(D5600=1,"",E5599)</f>
        <v>20.3</v>
      </c>
      <c r="P5600" s="56" t="n">
        <f aca="false">IF(OR(D5600=1,K5599=""),"",K5599)</f>
        <v>1011.4</v>
      </c>
      <c r="Q5600" s="56" t="n">
        <f aca="false">IF(OR(F5600&lt;&gt;0,AND(I5600&lt;&gt;"",E5600&lt;I5600)),1,0)</f>
        <v>0</v>
      </c>
      <c r="R5600" s="56" t="n">
        <f aca="false">IF(AND(D5600&gt;1,Q5600=0,ISNUMBER(O5600),ISNUMBER(P5600)),IF(Q5599=0,1,0),0)</f>
        <v>1</v>
      </c>
      <c r="S5600" s="56" t="n">
        <f aca="false">R5600*(B5600&gt;=Train_Start)*(B5600&lt;=Train_End)</f>
        <v>0</v>
      </c>
      <c r="T5600" s="84" t="n">
        <f aca="false">IF(AND(ISNUMBER(O5600),ISNUMBER(P5600)),Coef_A+Coef_B1*O5600+Coef_B2*P5600,"")</f>
        <v>20.4470724735785</v>
      </c>
      <c r="U5600" s="84" t="n">
        <f aca="false">IF(AND(R5600=1,ISNUMBER(T5600)),E5600-T5600,"")</f>
        <v>2.25292752642148</v>
      </c>
      <c r="V5600" s="84" t="n">
        <f aca="false">IF(ISNUMBER(T5600),T5600,-99)</f>
        <v>20.4470724735785</v>
      </c>
      <c r="W5600" s="84" t="n">
        <f aca="false">IF(ISNUMBER(U5600),ABS(U5600),"")</f>
        <v>2.25292752642148</v>
      </c>
    </row>
    <row r="5601" customFormat="false" ht="15" hidden="false" customHeight="false" outlineLevel="0" collapsed="false">
      <c r="A5601" s="57" t="n">
        <v>42216</v>
      </c>
      <c r="B5601" s="56" t="n">
        <v>2015</v>
      </c>
      <c r="C5601" s="56" t="n">
        <v>7</v>
      </c>
      <c r="D5601" s="56" t="n">
        <v>92</v>
      </c>
      <c r="E5601" s="56" t="n">
        <v>21.5</v>
      </c>
      <c r="F5601" s="56" t="n">
        <v>0</v>
      </c>
      <c r="G5601" s="56" t="n">
        <v>8.7</v>
      </c>
      <c r="H5601" s="56" t="n">
        <v>0</v>
      </c>
      <c r="I5601" s="56" t="n">
        <v>15.7</v>
      </c>
      <c r="J5601" s="56" t="n">
        <v>0</v>
      </c>
      <c r="K5601" s="56" t="n">
        <v>1018.4</v>
      </c>
      <c r="L5601" s="56" t="n">
        <v>0</v>
      </c>
      <c r="M5601" s="56" t="n">
        <v>56</v>
      </c>
      <c r="N5601" s="56" t="n">
        <v>10.1</v>
      </c>
      <c r="O5601" s="56" t="n">
        <f aca="false">IF(D5601=1,"",E5600)</f>
        <v>22.7</v>
      </c>
      <c r="P5601" s="56" t="n">
        <f aca="false">IF(OR(D5601=1,K5600=""),"",K5600)</f>
        <v>1018.3</v>
      </c>
      <c r="Q5601" s="56" t="n">
        <f aca="false">IF(OR(F5601&lt;&gt;0,AND(I5601&lt;&gt;"",E5601&lt;I5601)),1,0)</f>
        <v>0</v>
      </c>
      <c r="R5601" s="56" t="n">
        <f aca="false">IF(AND(D5601&gt;1,Q5601=0,ISNUMBER(O5601),ISNUMBER(P5601)),IF(Q5600=0,1,0),0)</f>
        <v>1</v>
      </c>
      <c r="S5601" s="56" t="n">
        <f aca="false">R5601*(B5601&gt;=Train_Start)*(B5601&lt;=Train_End)</f>
        <v>0</v>
      </c>
      <c r="T5601" s="84" t="n">
        <f aca="false">IF(AND(ISNUMBER(O5601),ISNUMBER(P5601)),Coef_A+Coef_B1*O5601+Coef_B2*P5601,"")</f>
        <v>22.6299388098554</v>
      </c>
      <c r="U5601" s="84" t="n">
        <f aca="false">IF(AND(R5601=1,ISNUMBER(T5601)),E5601-T5601,"")</f>
        <v>-1.12993880985542</v>
      </c>
      <c r="V5601" s="84" t="n">
        <f aca="false">IF(ISNUMBER(T5601),T5601,-99)</f>
        <v>22.6299388098554</v>
      </c>
      <c r="W5601" s="84" t="n">
        <f aca="false">IF(ISNUMBER(U5601),ABS(U5601),"")</f>
        <v>1.12993880985542</v>
      </c>
    </row>
    <row r="5602" customFormat="false" ht="15" hidden="false" customHeight="false" outlineLevel="0" collapsed="false">
      <c r="A5602" s="57" t="n">
        <v>42217</v>
      </c>
      <c r="B5602" s="56" t="n">
        <v>2015</v>
      </c>
      <c r="C5602" s="56" t="n">
        <v>8</v>
      </c>
      <c r="D5602" s="56" t="n">
        <v>93</v>
      </c>
      <c r="E5602" s="56" t="n">
        <v>26.2</v>
      </c>
      <c r="F5602" s="56" t="n">
        <v>0</v>
      </c>
      <c r="G5602" s="56" t="n">
        <v>9.4</v>
      </c>
      <c r="H5602" s="56" t="n">
        <v>0</v>
      </c>
      <c r="I5602" s="56" t="n">
        <v>15.5</v>
      </c>
      <c r="J5602" s="56" t="n">
        <v>0</v>
      </c>
      <c r="K5602" s="56" t="n">
        <v>1016.6</v>
      </c>
      <c r="L5602" s="56" t="n">
        <v>0</v>
      </c>
      <c r="M5602" s="56" t="n">
        <v>62</v>
      </c>
      <c r="N5602" s="56" t="n">
        <v>7.4</v>
      </c>
      <c r="O5602" s="56" t="n">
        <f aca="false">IF(D5602=1,"",E5601)</f>
        <v>21.5</v>
      </c>
      <c r="P5602" s="56" t="n">
        <f aca="false">IF(OR(D5602=1,K5601=""),"",K5601)</f>
        <v>1018.4</v>
      </c>
      <c r="Q5602" s="56" t="n">
        <f aca="false">IF(OR(F5602&lt;&gt;0,AND(I5602&lt;&gt;"",E5602&lt;I5602)),1,0)</f>
        <v>0</v>
      </c>
      <c r="R5602" s="56" t="n">
        <f aca="false">IF(AND(D5602&gt;1,Q5602=0,ISNUMBER(O5602),ISNUMBER(P5602)),IF(Q5601=0,1,0),0)</f>
        <v>1</v>
      </c>
      <c r="S5602" s="56" t="n">
        <f aca="false">R5602*(B5602&gt;=Train_Start)*(B5602&lt;=Train_End)</f>
        <v>0</v>
      </c>
      <c r="T5602" s="84" t="n">
        <f aca="false">IF(AND(ISNUMBER(O5602),ISNUMBER(P5602)),Coef_A+Coef_B1*O5602+Coef_B2*P5602,"")</f>
        <v>21.6498687676676</v>
      </c>
      <c r="U5602" s="84" t="n">
        <f aca="false">IF(AND(R5602=1,ISNUMBER(T5602)),E5602-T5602,"")</f>
        <v>4.55013123233237</v>
      </c>
      <c r="V5602" s="84" t="n">
        <f aca="false">IF(ISNUMBER(T5602),T5602,-99)</f>
        <v>21.6498687676676</v>
      </c>
      <c r="W5602" s="84" t="n">
        <f aca="false">IF(ISNUMBER(U5602),ABS(U5602),"")</f>
        <v>4.55013123233237</v>
      </c>
    </row>
    <row r="5603" customFormat="false" ht="15" hidden="false" customHeight="false" outlineLevel="0" collapsed="false">
      <c r="A5603" s="57" t="n">
        <v>42218</v>
      </c>
      <c r="B5603" s="56" t="n">
        <v>2015</v>
      </c>
      <c r="C5603" s="56" t="n">
        <v>8</v>
      </c>
      <c r="D5603" s="56" t="n">
        <v>94</v>
      </c>
      <c r="E5603" s="56" t="n">
        <v>25.1</v>
      </c>
      <c r="F5603" s="56" t="n">
        <v>0</v>
      </c>
      <c r="G5603" s="56" t="n">
        <v>12.2</v>
      </c>
      <c r="H5603" s="56" t="n">
        <v>0</v>
      </c>
      <c r="I5603" s="56" t="n">
        <v>19.2</v>
      </c>
      <c r="J5603" s="56" t="n">
        <v>0</v>
      </c>
      <c r="K5603" s="56" t="n">
        <v>1016.5</v>
      </c>
      <c r="L5603" s="56" t="n">
        <v>0</v>
      </c>
      <c r="M5603" s="56" t="n">
        <v>61</v>
      </c>
      <c r="N5603" s="56" t="n">
        <v>11.9</v>
      </c>
      <c r="O5603" s="56" t="n">
        <f aca="false">IF(D5603=1,"",E5602)</f>
        <v>26.2</v>
      </c>
      <c r="P5603" s="56" t="n">
        <f aca="false">IF(OR(D5603=1,K5602=""),"",K5602)</f>
        <v>1016.6</v>
      </c>
      <c r="Q5603" s="56" t="n">
        <f aca="false">IF(OR(F5603&lt;&gt;0,AND(I5603&lt;&gt;"",E5603&lt;I5603)),1,0)</f>
        <v>0</v>
      </c>
      <c r="R5603" s="56" t="n">
        <f aca="false">IF(AND(D5603&gt;1,Q5603=0,ISNUMBER(O5603),ISNUMBER(P5603)),IF(Q5602=0,1,0),0)</f>
        <v>1</v>
      </c>
      <c r="S5603" s="56" t="n">
        <f aca="false">R5603*(B5603&gt;=Train_Start)*(B5603&lt;=Train_End)</f>
        <v>0</v>
      </c>
      <c r="T5603" s="84" t="n">
        <f aca="false">IF(AND(ISNUMBER(O5603),ISNUMBER(P5603)),Coef_A+Coef_B1*O5603+Coef_B2*P5603,"")</f>
        <v>25.4442971646269</v>
      </c>
      <c r="U5603" s="84" t="n">
        <f aca="false">IF(AND(R5603=1,ISNUMBER(T5603)),E5603-T5603,"")</f>
        <v>-0.344297164626941</v>
      </c>
      <c r="V5603" s="84" t="n">
        <f aca="false">IF(ISNUMBER(T5603),T5603,-99)</f>
        <v>25.4442971646269</v>
      </c>
      <c r="W5603" s="84" t="n">
        <f aca="false">IF(ISNUMBER(U5603),ABS(U5603),"")</f>
        <v>0.344297164626941</v>
      </c>
    </row>
    <row r="5604" customFormat="false" ht="15" hidden="false" customHeight="false" outlineLevel="0" collapsed="false">
      <c r="A5604" s="57" t="n">
        <v>42219</v>
      </c>
      <c r="B5604" s="56" t="n">
        <v>2015</v>
      </c>
      <c r="C5604" s="56" t="n">
        <v>8</v>
      </c>
      <c r="D5604" s="56" t="n">
        <v>95</v>
      </c>
      <c r="E5604" s="56" t="n">
        <v>22.4</v>
      </c>
      <c r="F5604" s="56" t="n">
        <v>0</v>
      </c>
      <c r="G5604" s="56" t="n">
        <v>15.6</v>
      </c>
      <c r="H5604" s="56" t="n">
        <v>0</v>
      </c>
      <c r="I5604" s="56" t="n">
        <v>20.4</v>
      </c>
      <c r="J5604" s="56" t="n">
        <v>0</v>
      </c>
      <c r="K5604" s="56" t="n">
        <v>1010.7</v>
      </c>
      <c r="L5604" s="56" t="n">
        <v>0</v>
      </c>
      <c r="M5604" s="56" t="n">
        <v>65</v>
      </c>
      <c r="N5604" s="56" t="n">
        <v>2.3</v>
      </c>
      <c r="O5604" s="56" t="n">
        <f aca="false">IF(D5604=1,"",E5603)</f>
        <v>25.1</v>
      </c>
      <c r="P5604" s="56" t="n">
        <f aca="false">IF(OR(D5604=1,K5603=""),"",K5603)</f>
        <v>1016.5</v>
      </c>
      <c r="Q5604" s="56" t="n">
        <f aca="false">IF(OR(F5604&lt;&gt;0,AND(I5604&lt;&gt;"",E5604&lt;I5604)),1,0)</f>
        <v>0</v>
      </c>
      <c r="R5604" s="56" t="n">
        <f aca="false">IF(AND(D5604&gt;1,Q5604=0,ISNUMBER(O5604),ISNUMBER(P5604)),IF(Q5603=0,1,0),0)</f>
        <v>1</v>
      </c>
      <c r="S5604" s="56" t="n">
        <f aca="false">R5604*(B5604&gt;=Train_Start)*(B5604&lt;=Train_End)</f>
        <v>0</v>
      </c>
      <c r="T5604" s="84" t="n">
        <f aca="false">IF(AND(ISNUMBER(O5604),ISNUMBER(P5604)),Coef_A+Coef_B1*O5604+Coef_B2*P5604,"")</f>
        <v>24.5398870628166</v>
      </c>
      <c r="U5604" s="84" t="n">
        <f aca="false">IF(AND(R5604=1,ISNUMBER(T5604)),E5604-T5604,"")</f>
        <v>-2.13988706281662</v>
      </c>
      <c r="V5604" s="84" t="n">
        <f aca="false">IF(ISNUMBER(T5604),T5604,-99)</f>
        <v>24.5398870628166</v>
      </c>
      <c r="W5604" s="84" t="n">
        <f aca="false">IF(ISNUMBER(U5604),ABS(U5604),"")</f>
        <v>2.13988706281662</v>
      </c>
    </row>
    <row r="5605" customFormat="false" ht="15" hidden="false" customHeight="false" outlineLevel="0" collapsed="false">
      <c r="A5605" s="57" t="n">
        <v>42220</v>
      </c>
      <c r="B5605" s="56" t="n">
        <v>2015</v>
      </c>
      <c r="C5605" s="56" t="n">
        <v>8</v>
      </c>
      <c r="D5605" s="56" t="n">
        <v>96</v>
      </c>
      <c r="E5605" s="56" t="n">
        <v>22</v>
      </c>
      <c r="F5605" s="56" t="n">
        <v>0</v>
      </c>
      <c r="G5605" s="56" t="n">
        <v>13.4</v>
      </c>
      <c r="H5605" s="56" t="n">
        <v>0</v>
      </c>
      <c r="I5605" s="56" t="n">
        <v>17.9</v>
      </c>
      <c r="J5605" s="56" t="n">
        <v>0</v>
      </c>
      <c r="K5605" s="56" t="n">
        <v>1013.1</v>
      </c>
      <c r="L5605" s="56" t="n">
        <v>0</v>
      </c>
      <c r="M5605" s="56" t="n">
        <v>61</v>
      </c>
      <c r="N5605" s="56" t="n">
        <v>6.4</v>
      </c>
      <c r="O5605" s="56" t="n">
        <f aca="false">IF(D5605=1,"",E5604)</f>
        <v>22.4</v>
      </c>
      <c r="P5605" s="56" t="n">
        <f aca="false">IF(OR(D5605=1,K5604=""),"",K5604)</f>
        <v>1010.7</v>
      </c>
      <c r="Q5605" s="56" t="n">
        <f aca="false">IF(OR(F5605&lt;&gt;0,AND(I5605&lt;&gt;"",E5605&lt;I5605)),1,0)</f>
        <v>0</v>
      </c>
      <c r="R5605" s="56" t="n">
        <f aca="false">IF(AND(D5605&gt;1,Q5605=0,ISNUMBER(O5605),ISNUMBER(P5605)),IF(Q5604=0,1,0),0)</f>
        <v>1</v>
      </c>
      <c r="S5605" s="56" t="n">
        <f aca="false">R5605*(B5605&gt;=Train_Start)*(B5605&lt;=Train_End)</f>
        <v>0</v>
      </c>
      <c r="T5605" s="84" t="n">
        <f aca="false">IF(AND(ISNUMBER(O5605),ISNUMBER(P5605)),Coef_A+Coef_B1*O5605+Coef_B2*P5605,"")</f>
        <v>22.1457258527243</v>
      </c>
      <c r="U5605" s="84" t="n">
        <f aca="false">IF(AND(R5605=1,ISNUMBER(T5605)),E5605-T5605,"")</f>
        <v>-0.145725852724304</v>
      </c>
      <c r="V5605" s="84" t="n">
        <f aca="false">IF(ISNUMBER(T5605),T5605,-99)</f>
        <v>22.1457258527243</v>
      </c>
      <c r="W5605" s="84" t="n">
        <f aca="false">IF(ISNUMBER(U5605),ABS(U5605),"")</f>
        <v>0.145725852724304</v>
      </c>
    </row>
    <row r="5606" customFormat="false" ht="15" hidden="false" customHeight="false" outlineLevel="0" collapsed="false">
      <c r="A5606" s="57" t="n">
        <v>42221</v>
      </c>
      <c r="B5606" s="56" t="n">
        <v>2015</v>
      </c>
      <c r="C5606" s="56" t="n">
        <v>8</v>
      </c>
      <c r="D5606" s="56" t="n">
        <v>97</v>
      </c>
      <c r="E5606" s="56" t="n">
        <v>23.9</v>
      </c>
      <c r="F5606" s="56" t="n">
        <v>0</v>
      </c>
      <c r="G5606" s="56" t="n">
        <v>14.8</v>
      </c>
      <c r="H5606" s="56" t="n">
        <v>0</v>
      </c>
      <c r="I5606" s="56" t="n">
        <v>18.4</v>
      </c>
      <c r="J5606" s="56" t="n">
        <v>0</v>
      </c>
      <c r="K5606" s="56" t="n">
        <v>1013.4</v>
      </c>
      <c r="L5606" s="56" t="n">
        <v>0</v>
      </c>
      <c r="M5606" s="56" t="n">
        <v>72</v>
      </c>
      <c r="N5606" s="56" t="n">
        <v>0.9</v>
      </c>
      <c r="O5606" s="56" t="n">
        <f aca="false">IF(D5606=1,"",E5605)</f>
        <v>22</v>
      </c>
      <c r="P5606" s="56" t="n">
        <f aca="false">IF(OR(D5606=1,K5605=""),"",K5605)</f>
        <v>1013.1</v>
      </c>
      <c r="Q5606" s="56" t="n">
        <f aca="false">IF(OR(F5606&lt;&gt;0,AND(I5606&lt;&gt;"",E5606&lt;I5606)),1,0)</f>
        <v>0</v>
      </c>
      <c r="R5606" s="56" t="n">
        <f aca="false">IF(AND(D5606&gt;1,Q5606=0,ISNUMBER(O5606),ISNUMBER(P5606)),IF(Q5605=0,1,0),0)</f>
        <v>1</v>
      </c>
      <c r="S5606" s="56" t="n">
        <f aca="false">R5606*(B5606&gt;=Train_Start)*(B5606&lt;=Train_End)</f>
        <v>0</v>
      </c>
      <c r="T5606" s="84" t="n">
        <f aca="false">IF(AND(ISNUMBER(O5606),ISNUMBER(P5606)),Coef_A+Coef_B1*O5606+Coef_B2*P5606,"")</f>
        <v>21.8932779226288</v>
      </c>
      <c r="U5606" s="84" t="n">
        <f aca="false">IF(AND(R5606=1,ISNUMBER(T5606)),E5606-T5606,"")</f>
        <v>2.00672207737118</v>
      </c>
      <c r="V5606" s="84" t="n">
        <f aca="false">IF(ISNUMBER(T5606),T5606,-99)</f>
        <v>21.8932779226288</v>
      </c>
      <c r="W5606" s="84" t="n">
        <f aca="false">IF(ISNUMBER(U5606),ABS(U5606),"")</f>
        <v>2.00672207737118</v>
      </c>
    </row>
    <row r="5607" customFormat="false" ht="15" hidden="false" customHeight="false" outlineLevel="0" collapsed="false">
      <c r="A5607" s="57" t="n">
        <v>42222</v>
      </c>
      <c r="B5607" s="56" t="n">
        <v>2015</v>
      </c>
      <c r="C5607" s="56" t="n">
        <v>8</v>
      </c>
      <c r="D5607" s="56" t="n">
        <v>98</v>
      </c>
      <c r="E5607" s="56" t="n">
        <v>24.8</v>
      </c>
      <c r="F5607" s="56" t="n">
        <v>0</v>
      </c>
      <c r="G5607" s="56" t="n">
        <v>13.7</v>
      </c>
      <c r="H5607" s="56" t="n">
        <v>0</v>
      </c>
      <c r="I5607" s="56" t="n">
        <v>18.8</v>
      </c>
      <c r="J5607" s="56" t="n">
        <v>0</v>
      </c>
      <c r="K5607" s="56" t="n">
        <v>1012.8</v>
      </c>
      <c r="L5607" s="56" t="n">
        <v>0</v>
      </c>
      <c r="M5607" s="56" t="n">
        <v>71</v>
      </c>
      <c r="N5607" s="56" t="n">
        <v>6.2</v>
      </c>
      <c r="O5607" s="56" t="n">
        <f aca="false">IF(D5607=1,"",E5606)</f>
        <v>23.9</v>
      </c>
      <c r="P5607" s="56" t="n">
        <f aca="false">IF(OR(D5607=1,K5606=""),"",K5606)</f>
        <v>1013.4</v>
      </c>
      <c r="Q5607" s="56" t="n">
        <f aca="false">IF(OR(F5607&lt;&gt;0,AND(I5607&lt;&gt;"",E5607&lt;I5607)),1,0)</f>
        <v>0</v>
      </c>
      <c r="R5607" s="56" t="n">
        <f aca="false">IF(AND(D5607&gt;1,Q5607=0,ISNUMBER(O5607),ISNUMBER(P5607)),IF(Q5606=0,1,0),0)</f>
        <v>1</v>
      </c>
      <c r="S5607" s="56" t="n">
        <f aca="false">R5607*(B5607&gt;=Train_Start)*(B5607&lt;=Train_End)</f>
        <v>0</v>
      </c>
      <c r="T5607" s="84" t="n">
        <f aca="false">IF(AND(ISNUMBER(O5607),ISNUMBER(P5607)),Coef_A+Coef_B1*O5607+Coef_B2*P5607,"")</f>
        <v>23.4594333578001</v>
      </c>
      <c r="U5607" s="84" t="n">
        <f aca="false">IF(AND(R5607=1,ISNUMBER(T5607)),E5607-T5607,"")</f>
        <v>1.34056664219994</v>
      </c>
      <c r="V5607" s="84" t="n">
        <f aca="false">IF(ISNUMBER(T5607),T5607,-99)</f>
        <v>23.4594333578001</v>
      </c>
      <c r="W5607" s="84" t="n">
        <f aca="false">IF(ISNUMBER(U5607),ABS(U5607),"")</f>
        <v>1.34056664219994</v>
      </c>
    </row>
    <row r="5608" customFormat="false" ht="15" hidden="false" customHeight="false" outlineLevel="0" collapsed="false">
      <c r="A5608" s="57" t="n">
        <v>42223</v>
      </c>
      <c r="B5608" s="56" t="n">
        <v>2015</v>
      </c>
      <c r="C5608" s="56" t="n">
        <v>8</v>
      </c>
      <c r="D5608" s="56" t="n">
        <v>99</v>
      </c>
      <c r="E5608" s="56" t="n">
        <v>26.6</v>
      </c>
      <c r="F5608" s="56" t="n">
        <v>0</v>
      </c>
      <c r="G5608" s="56" t="n">
        <v>12.5</v>
      </c>
      <c r="H5608" s="56" t="n">
        <v>0</v>
      </c>
      <c r="I5608" s="56" t="n">
        <v>18.7</v>
      </c>
      <c r="J5608" s="56" t="n">
        <v>0</v>
      </c>
      <c r="K5608" s="56" t="n">
        <v>1017.9</v>
      </c>
      <c r="L5608" s="56" t="n">
        <v>0</v>
      </c>
      <c r="M5608" s="56" t="n">
        <v>57</v>
      </c>
      <c r="N5608" s="56" t="n">
        <v>9.8</v>
      </c>
      <c r="O5608" s="56" t="n">
        <f aca="false">IF(D5608=1,"",E5607)</f>
        <v>24.8</v>
      </c>
      <c r="P5608" s="56" t="n">
        <f aca="false">IF(OR(D5608=1,K5607=""),"",K5607)</f>
        <v>1012.8</v>
      </c>
      <c r="Q5608" s="56" t="n">
        <f aca="false">IF(OR(F5608&lt;&gt;0,AND(I5608&lt;&gt;"",E5608&lt;I5608)),1,0)</f>
        <v>0</v>
      </c>
      <c r="R5608" s="56" t="n">
        <f aca="false">IF(AND(D5608&gt;1,Q5608=0,ISNUMBER(O5608),ISNUMBER(P5608)),IF(Q5607=0,1,0),0)</f>
        <v>1</v>
      </c>
      <c r="S5608" s="56" t="n">
        <f aca="false">R5608*(B5608&gt;=Train_Start)*(B5608&lt;=Train_End)</f>
        <v>0</v>
      </c>
      <c r="T5608" s="84" t="n">
        <f aca="false">IF(AND(ISNUMBER(O5608),ISNUMBER(P5608)),Coef_A+Coef_B1*O5608+Coef_B2*P5608,"")</f>
        <v>24.1780166947581</v>
      </c>
      <c r="U5608" s="84" t="n">
        <f aca="false">IF(AND(R5608=1,ISNUMBER(T5608)),E5608-T5608,"")</f>
        <v>2.42198330524194</v>
      </c>
      <c r="V5608" s="84" t="n">
        <f aca="false">IF(ISNUMBER(T5608),T5608,-99)</f>
        <v>24.1780166947581</v>
      </c>
      <c r="W5608" s="84" t="n">
        <f aca="false">IF(ISNUMBER(U5608),ABS(U5608),"")</f>
        <v>2.42198330524194</v>
      </c>
    </row>
    <row r="5609" customFormat="false" ht="15" hidden="false" customHeight="false" outlineLevel="0" collapsed="false">
      <c r="A5609" s="57" t="n">
        <v>42224</v>
      </c>
      <c r="B5609" s="56" t="n">
        <v>2015</v>
      </c>
      <c r="C5609" s="56" t="n">
        <v>8</v>
      </c>
      <c r="D5609" s="56" t="n">
        <v>100</v>
      </c>
      <c r="E5609" s="56" t="n">
        <v>26.6</v>
      </c>
      <c r="F5609" s="56" t="n">
        <v>0</v>
      </c>
      <c r="G5609" s="56" t="n">
        <v>14.5</v>
      </c>
      <c r="H5609" s="56" t="n">
        <v>0</v>
      </c>
      <c r="I5609" s="56" t="n">
        <v>20.6</v>
      </c>
      <c r="J5609" s="56" t="n">
        <v>0</v>
      </c>
      <c r="K5609" s="56" t="n">
        <v>1022.7</v>
      </c>
      <c r="L5609" s="56" t="n">
        <v>0</v>
      </c>
      <c r="M5609" s="56" t="n">
        <v>64</v>
      </c>
      <c r="N5609" s="56" t="n">
        <v>9.5</v>
      </c>
      <c r="O5609" s="56" t="n">
        <f aca="false">IF(D5609=1,"",E5608)</f>
        <v>26.6</v>
      </c>
      <c r="P5609" s="56" t="n">
        <f aca="false">IF(OR(D5609=1,K5608=""),"",K5608)</f>
        <v>1017.9</v>
      </c>
      <c r="Q5609" s="56" t="n">
        <f aca="false">IF(OR(F5609&lt;&gt;0,AND(I5609&lt;&gt;"",E5609&lt;I5609)),1,0)</f>
        <v>0</v>
      </c>
      <c r="R5609" s="56" t="n">
        <f aca="false">IF(AND(D5609&gt;1,Q5609=0,ISNUMBER(O5609),ISNUMBER(P5609)),IF(Q5608=0,1,0),0)</f>
        <v>1</v>
      </c>
      <c r="S5609" s="56" t="n">
        <f aca="false">R5609*(B5609&gt;=Train_Start)*(B5609&lt;=Train_End)</f>
        <v>0</v>
      </c>
      <c r="T5609" s="84" t="n">
        <f aca="false">IF(AND(ISNUMBER(O5609),ISNUMBER(P5609)),Coef_A+Coef_B1*O5609+Coef_B2*P5609,"")</f>
        <v>25.8128137048682</v>
      </c>
      <c r="U5609" s="84" t="n">
        <f aca="false">IF(AND(R5609=1,ISNUMBER(T5609)),E5609-T5609,"")</f>
        <v>0.787186295131807</v>
      </c>
      <c r="V5609" s="84" t="n">
        <f aca="false">IF(ISNUMBER(T5609),T5609,-99)</f>
        <v>25.8128137048682</v>
      </c>
      <c r="W5609" s="84" t="n">
        <f aca="false">IF(ISNUMBER(U5609),ABS(U5609),"")</f>
        <v>0.787186295131807</v>
      </c>
    </row>
    <row r="5610" customFormat="false" ht="15" hidden="false" customHeight="false" outlineLevel="0" collapsed="false">
      <c r="A5610" s="57" t="n">
        <v>42225</v>
      </c>
      <c r="B5610" s="56" t="n">
        <v>2015</v>
      </c>
      <c r="C5610" s="56" t="n">
        <v>8</v>
      </c>
      <c r="D5610" s="56" t="n">
        <v>101</v>
      </c>
      <c r="E5610" s="56" t="n">
        <v>22.7</v>
      </c>
      <c r="F5610" s="56" t="n">
        <v>0</v>
      </c>
      <c r="G5610" s="56" t="n">
        <v>12.5</v>
      </c>
      <c r="H5610" s="56" t="n">
        <v>0</v>
      </c>
      <c r="I5610" s="56" t="n">
        <v>19.6</v>
      </c>
      <c r="J5610" s="56" t="n">
        <v>0</v>
      </c>
      <c r="K5610" s="56" t="n">
        <v>1020.3</v>
      </c>
      <c r="L5610" s="56" t="n">
        <v>0</v>
      </c>
      <c r="M5610" s="56" t="n">
        <v>60</v>
      </c>
      <c r="N5610" s="56" t="n">
        <v>11.7</v>
      </c>
      <c r="O5610" s="56" t="n">
        <f aca="false">IF(D5610=1,"",E5609)</f>
        <v>26.6</v>
      </c>
      <c r="P5610" s="56" t="n">
        <f aca="false">IF(OR(D5610=1,K5609=""),"",K5609)</f>
        <v>1022.7</v>
      </c>
      <c r="Q5610" s="56" t="n">
        <f aca="false">IF(OR(F5610&lt;&gt;0,AND(I5610&lt;&gt;"",E5610&lt;I5610)),1,0)</f>
        <v>0</v>
      </c>
      <c r="R5610" s="56" t="n">
        <f aca="false">IF(AND(D5610&gt;1,Q5610=0,ISNUMBER(O5610),ISNUMBER(P5610)),IF(Q5609=0,1,0),0)</f>
        <v>1</v>
      </c>
      <c r="S5610" s="56" t="n">
        <f aca="false">R5610*(B5610&gt;=Train_Start)*(B5610&lt;=Train_End)</f>
        <v>0</v>
      </c>
      <c r="T5610" s="84" t="n">
        <f aca="false">IF(AND(ISNUMBER(O5610),ISNUMBER(P5610)),Coef_A+Coef_B1*O5610+Coef_B2*P5610,"")</f>
        <v>25.9633891991113</v>
      </c>
      <c r="U5610" s="84" t="n">
        <f aca="false">IF(AND(R5610=1,ISNUMBER(T5610)),E5610-T5610,"")</f>
        <v>-3.26338919911135</v>
      </c>
      <c r="V5610" s="84" t="n">
        <f aca="false">IF(ISNUMBER(T5610),T5610,-99)</f>
        <v>25.9633891991113</v>
      </c>
      <c r="W5610" s="84" t="n">
        <f aca="false">IF(ISNUMBER(U5610),ABS(U5610),"")</f>
        <v>3.26338919911135</v>
      </c>
    </row>
    <row r="5611" customFormat="false" ht="15" hidden="false" customHeight="false" outlineLevel="0" collapsed="false">
      <c r="A5611" s="57" t="n">
        <v>42226</v>
      </c>
      <c r="B5611" s="56" t="n">
        <v>2015</v>
      </c>
      <c r="C5611" s="56" t="n">
        <v>8</v>
      </c>
      <c r="D5611" s="56" t="n">
        <v>102</v>
      </c>
      <c r="E5611" s="56" t="n">
        <v>21.3</v>
      </c>
      <c r="F5611" s="56" t="n">
        <v>0</v>
      </c>
      <c r="G5611" s="56" t="n">
        <v>17</v>
      </c>
      <c r="H5611" s="56" t="n">
        <v>0</v>
      </c>
      <c r="I5611" s="56" t="n">
        <v>19.9</v>
      </c>
      <c r="J5611" s="56" t="n">
        <v>0</v>
      </c>
      <c r="K5611" s="56" t="n">
        <v>1017.3</v>
      </c>
      <c r="L5611" s="56" t="n">
        <v>0</v>
      </c>
      <c r="M5611" s="56" t="n">
        <v>78</v>
      </c>
      <c r="N5611" s="56" t="n">
        <v>0.9</v>
      </c>
      <c r="O5611" s="56" t="n">
        <f aca="false">IF(D5611=1,"",E5610)</f>
        <v>22.7</v>
      </c>
      <c r="P5611" s="56" t="n">
        <f aca="false">IF(OR(D5611=1,K5610=""),"",K5610)</f>
        <v>1020.3</v>
      </c>
      <c r="Q5611" s="56" t="n">
        <f aca="false">IF(OR(F5611&lt;&gt;0,AND(I5611&lt;&gt;"",E5611&lt;I5611)),1,0)</f>
        <v>0</v>
      </c>
      <c r="R5611" s="56" t="n">
        <f aca="false">IF(AND(D5611&gt;1,Q5611=0,ISNUMBER(O5611),ISNUMBER(P5611)),IF(Q5610=0,1,0),0)</f>
        <v>1</v>
      </c>
      <c r="S5611" s="56" t="n">
        <f aca="false">R5611*(B5611&gt;=Train_Start)*(B5611&lt;=Train_End)</f>
        <v>0</v>
      </c>
      <c r="T5611" s="84" t="n">
        <f aca="false">IF(AND(ISNUMBER(O5611),ISNUMBER(P5611)),Coef_A+Coef_B1*O5611+Coef_B2*P5611,"")</f>
        <v>22.6926785991234</v>
      </c>
      <c r="U5611" s="84" t="n">
        <f aca="false">IF(AND(R5611=1,ISNUMBER(T5611)),E5611-T5611,"")</f>
        <v>-1.3926785991234</v>
      </c>
      <c r="V5611" s="84" t="n">
        <f aca="false">IF(ISNUMBER(T5611),T5611,-99)</f>
        <v>22.6926785991234</v>
      </c>
      <c r="W5611" s="84" t="n">
        <f aca="false">IF(ISNUMBER(U5611),ABS(U5611),"")</f>
        <v>1.3926785991234</v>
      </c>
    </row>
    <row r="5612" customFormat="false" ht="15" hidden="false" customHeight="false" outlineLevel="0" collapsed="false">
      <c r="A5612" s="57" t="n">
        <v>42227</v>
      </c>
      <c r="B5612" s="56" t="n">
        <v>2015</v>
      </c>
      <c r="C5612" s="56" t="n">
        <v>8</v>
      </c>
      <c r="D5612" s="56" t="n">
        <v>103</v>
      </c>
      <c r="E5612" s="56" t="n">
        <v>23.4</v>
      </c>
      <c r="F5612" s="56" t="n">
        <v>0</v>
      </c>
      <c r="G5612" s="56" t="n">
        <v>13.9</v>
      </c>
      <c r="H5612" s="56" t="n">
        <v>0</v>
      </c>
      <c r="I5612" s="56" t="n">
        <v>17.6</v>
      </c>
      <c r="J5612" s="56" t="n">
        <v>0</v>
      </c>
      <c r="K5612" s="56" t="n">
        <v>1020.2</v>
      </c>
      <c r="L5612" s="56" t="n">
        <v>0</v>
      </c>
      <c r="M5612" s="56" t="n">
        <v>69</v>
      </c>
      <c r="N5612" s="56" t="n">
        <v>1.6</v>
      </c>
      <c r="O5612" s="56" t="n">
        <f aca="false">IF(D5612=1,"",E5611)</f>
        <v>21.3</v>
      </c>
      <c r="P5612" s="56" t="n">
        <f aca="false">IF(OR(D5612=1,K5611=""),"",K5611)</f>
        <v>1017.3</v>
      </c>
      <c r="Q5612" s="56" t="n">
        <f aca="false">IF(OR(F5612&lt;&gt;0,AND(I5612&lt;&gt;"",E5612&lt;I5612)),1,0)</f>
        <v>0</v>
      </c>
      <c r="R5612" s="56" t="n">
        <f aca="false">IF(AND(D5612&gt;1,Q5612=0,ISNUMBER(O5612),ISNUMBER(P5612)),IF(Q5611=0,1,0),0)</f>
        <v>1</v>
      </c>
      <c r="S5612" s="56" t="n">
        <f aca="false">R5612*(B5612&gt;=Train_Start)*(B5612&lt;=Train_End)</f>
        <v>0</v>
      </c>
      <c r="T5612" s="84" t="n">
        <f aca="false">IF(AND(ISNUMBER(O5612),ISNUMBER(P5612)),Coef_A+Coef_B1*O5612+Coef_B2*P5612,"")</f>
        <v>21.4514940449617</v>
      </c>
      <c r="U5612" s="84" t="n">
        <f aca="false">IF(AND(R5612=1,ISNUMBER(T5612)),E5612-T5612,"")</f>
        <v>1.94850595503829</v>
      </c>
      <c r="V5612" s="84" t="n">
        <f aca="false">IF(ISNUMBER(T5612),T5612,-99)</f>
        <v>21.4514940449617</v>
      </c>
      <c r="W5612" s="84" t="n">
        <f aca="false">IF(ISNUMBER(U5612),ABS(U5612),"")</f>
        <v>1.94850595503829</v>
      </c>
    </row>
    <row r="5613" customFormat="false" ht="15" hidden="false" customHeight="false" outlineLevel="0" collapsed="false">
      <c r="A5613" s="57" t="n">
        <v>42228</v>
      </c>
      <c r="B5613" s="56" t="n">
        <v>2015</v>
      </c>
      <c r="C5613" s="56" t="n">
        <v>8</v>
      </c>
      <c r="D5613" s="56" t="n">
        <v>104</v>
      </c>
      <c r="E5613" s="56" t="n">
        <v>20.3</v>
      </c>
      <c r="F5613" s="56" t="n">
        <v>0</v>
      </c>
      <c r="G5613" s="56" t="n">
        <v>15</v>
      </c>
      <c r="H5613" s="56" t="n">
        <v>0</v>
      </c>
      <c r="I5613" s="56" t="n">
        <v>19.2</v>
      </c>
      <c r="J5613" s="56" t="n">
        <v>0</v>
      </c>
      <c r="K5613" s="56" t="n">
        <v>1022.9</v>
      </c>
      <c r="L5613" s="56" t="n">
        <v>0</v>
      </c>
      <c r="M5613" s="56" t="n">
        <v>68</v>
      </c>
      <c r="N5613" s="56" t="n">
        <v>3.2</v>
      </c>
      <c r="O5613" s="56" t="n">
        <f aca="false">IF(D5613=1,"",E5612)</f>
        <v>23.4</v>
      </c>
      <c r="P5613" s="56" t="n">
        <f aca="false">IF(OR(D5613=1,K5612=""),"",K5612)</f>
        <v>1020.2</v>
      </c>
      <c r="Q5613" s="56" t="n">
        <f aca="false">IF(OR(F5613&lt;&gt;0,AND(I5613&lt;&gt;"",E5613&lt;I5613)),1,0)</f>
        <v>0</v>
      </c>
      <c r="R5613" s="56" t="n">
        <f aca="false">IF(AND(D5613&gt;1,Q5613=0,ISNUMBER(O5613),ISNUMBER(P5613)),IF(Q5612=0,1,0),0)</f>
        <v>1</v>
      </c>
      <c r="S5613" s="56" t="n">
        <f aca="false">R5613*(B5613&gt;=Train_Start)*(B5613&lt;=Train_End)</f>
        <v>0</v>
      </c>
      <c r="T5613" s="84" t="n">
        <f aca="false">IF(AND(ISNUMBER(O5613),ISNUMBER(P5613)),Coef_A+Coef_B1*O5613+Coef_B2*P5613,"")</f>
        <v>23.2630790447899</v>
      </c>
      <c r="U5613" s="84" t="n">
        <f aca="false">IF(AND(R5613=1,ISNUMBER(T5613)),E5613-T5613,"")</f>
        <v>-2.96307904478986</v>
      </c>
      <c r="V5613" s="84" t="n">
        <f aca="false">IF(ISNUMBER(T5613),T5613,-99)</f>
        <v>23.2630790447899</v>
      </c>
      <c r="W5613" s="84" t="n">
        <f aca="false">IF(ISNUMBER(U5613),ABS(U5613),"")</f>
        <v>2.96307904478986</v>
      </c>
    </row>
    <row r="5614" customFormat="false" ht="15" hidden="false" customHeight="false" outlineLevel="0" collapsed="false">
      <c r="A5614" s="57" t="n">
        <v>42229</v>
      </c>
      <c r="B5614" s="56" t="n">
        <v>2015</v>
      </c>
      <c r="C5614" s="56" t="n">
        <v>8</v>
      </c>
      <c r="D5614" s="56" t="n">
        <v>105</v>
      </c>
      <c r="E5614" s="56" t="n">
        <v>21.3</v>
      </c>
      <c r="F5614" s="56" t="n">
        <v>0</v>
      </c>
      <c r="G5614" s="56" t="n">
        <v>16.1</v>
      </c>
      <c r="H5614" s="56" t="n">
        <v>0</v>
      </c>
      <c r="I5614" s="56" t="n">
        <v>18.2</v>
      </c>
      <c r="J5614" s="56" t="n">
        <v>0</v>
      </c>
      <c r="K5614" s="56" t="n">
        <v>1014.4</v>
      </c>
      <c r="L5614" s="56" t="n">
        <v>0</v>
      </c>
      <c r="M5614" s="56" t="n">
        <v>86</v>
      </c>
      <c r="N5614" s="56" t="n">
        <v>0</v>
      </c>
      <c r="O5614" s="56" t="n">
        <f aca="false">IF(D5614=1,"",E5613)</f>
        <v>20.3</v>
      </c>
      <c r="P5614" s="56" t="n">
        <f aca="false">IF(OR(D5614=1,K5613=""),"",K5613)</f>
        <v>1022.9</v>
      </c>
      <c r="Q5614" s="56" t="n">
        <f aca="false">IF(OR(F5614&lt;&gt;0,AND(I5614&lt;&gt;"",E5614&lt;I5614)),1,0)</f>
        <v>0</v>
      </c>
      <c r="R5614" s="56" t="n">
        <f aca="false">IF(AND(D5614&gt;1,Q5614=0,ISNUMBER(O5614),ISNUMBER(P5614)),IF(Q5613=0,1,0),0)</f>
        <v>1</v>
      </c>
      <c r="S5614" s="56" t="n">
        <f aca="false">R5614*(B5614&gt;=Train_Start)*(B5614&lt;=Train_End)</f>
        <v>0</v>
      </c>
      <c r="T5614" s="84" t="n">
        <f aca="false">IF(AND(ISNUMBER(O5614),ISNUMBER(P5614)),Coef_A+Coef_B1*O5614+Coef_B2*P5614,"")</f>
        <v>20.8078262618694</v>
      </c>
      <c r="U5614" s="84" t="n">
        <f aca="false">IF(AND(R5614=1,ISNUMBER(T5614)),E5614-T5614,"")</f>
        <v>0.492173738130607</v>
      </c>
      <c r="V5614" s="84" t="n">
        <f aca="false">IF(ISNUMBER(T5614),T5614,-99)</f>
        <v>20.8078262618694</v>
      </c>
      <c r="W5614" s="84" t="n">
        <f aca="false">IF(ISNUMBER(U5614),ABS(U5614),"")</f>
        <v>0.492173738130607</v>
      </c>
    </row>
    <row r="5615" customFormat="false" ht="15" hidden="false" customHeight="false" outlineLevel="0" collapsed="false">
      <c r="A5615" s="57" t="n">
        <v>42230</v>
      </c>
      <c r="B5615" s="56" t="n">
        <v>2015</v>
      </c>
      <c r="C5615" s="56" t="n">
        <v>8</v>
      </c>
      <c r="D5615" s="56" t="n">
        <v>106</v>
      </c>
      <c r="E5615" s="56" t="n">
        <v>20.7</v>
      </c>
      <c r="F5615" s="56" t="n">
        <v>0</v>
      </c>
      <c r="G5615" s="56" t="n">
        <v>17.4</v>
      </c>
      <c r="H5615" s="56" t="n">
        <v>0</v>
      </c>
      <c r="I5615" s="56" t="n">
        <v>19.4</v>
      </c>
      <c r="J5615" s="56" t="n">
        <v>0</v>
      </c>
      <c r="K5615" s="56" t="n">
        <v>1006</v>
      </c>
      <c r="L5615" s="56" t="n">
        <v>0</v>
      </c>
      <c r="M5615" s="56" t="n">
        <v>90</v>
      </c>
      <c r="N5615" s="56" t="n">
        <v>0.4</v>
      </c>
      <c r="O5615" s="56" t="n">
        <f aca="false">IF(D5615=1,"",E5614)</f>
        <v>21.3</v>
      </c>
      <c r="P5615" s="56" t="n">
        <f aca="false">IF(OR(D5615=1,K5614=""),"",K5614)</f>
        <v>1014.4</v>
      </c>
      <c r="Q5615" s="56" t="n">
        <f aca="false">IF(OR(F5615&lt;&gt;0,AND(I5615&lt;&gt;"",E5615&lt;I5615)),1,0)</f>
        <v>0</v>
      </c>
      <c r="R5615" s="56" t="n">
        <f aca="false">IF(AND(D5615&gt;1,Q5615=0,ISNUMBER(O5615),ISNUMBER(P5615)),IF(Q5614=0,1,0),0)</f>
        <v>1</v>
      </c>
      <c r="S5615" s="56" t="n">
        <f aca="false">R5615*(B5615&gt;=Train_Start)*(B5615&lt;=Train_End)</f>
        <v>0</v>
      </c>
      <c r="T5615" s="84" t="n">
        <f aca="false">IF(AND(ISNUMBER(O5615),ISNUMBER(P5615)),Coef_A+Coef_B1*O5615+Coef_B2*P5615,"")</f>
        <v>21.3605213505231</v>
      </c>
      <c r="U5615" s="84" t="n">
        <f aca="false">IF(AND(R5615=1,ISNUMBER(T5615)),E5615-T5615,"")</f>
        <v>-0.660521350523144</v>
      </c>
      <c r="V5615" s="84" t="n">
        <f aca="false">IF(ISNUMBER(T5615),T5615,-99)</f>
        <v>21.3605213505231</v>
      </c>
      <c r="W5615" s="84" t="n">
        <f aca="false">IF(ISNUMBER(U5615),ABS(U5615),"")</f>
        <v>0.660521350523144</v>
      </c>
    </row>
    <row r="5616" customFormat="false" ht="15" hidden="false" customHeight="false" outlineLevel="0" collapsed="false">
      <c r="A5616" s="57" t="n">
        <v>42231</v>
      </c>
      <c r="B5616" s="56" t="n">
        <v>2015</v>
      </c>
      <c r="C5616" s="56" t="n">
        <v>8</v>
      </c>
      <c r="D5616" s="56" t="n">
        <v>107</v>
      </c>
      <c r="E5616" s="56" t="n">
        <v>20.8</v>
      </c>
      <c r="F5616" s="56" t="n">
        <v>0</v>
      </c>
      <c r="G5616" s="56" t="n">
        <v>14.2</v>
      </c>
      <c r="H5616" s="56" t="n">
        <v>0</v>
      </c>
      <c r="I5616" s="56" t="n">
        <v>17.5</v>
      </c>
      <c r="J5616" s="56" t="n">
        <v>0</v>
      </c>
      <c r="K5616" s="56" t="n">
        <v>1012.4</v>
      </c>
      <c r="L5616" s="56" t="n">
        <v>0</v>
      </c>
      <c r="M5616" s="56" t="n">
        <v>64</v>
      </c>
      <c r="N5616" s="56" t="n">
        <v>5.3</v>
      </c>
      <c r="O5616" s="56" t="n">
        <f aca="false">IF(D5616=1,"",E5615)</f>
        <v>20.7</v>
      </c>
      <c r="P5616" s="56" t="n">
        <f aca="false">IF(OR(D5616=1,K5615=""),"",K5615)</f>
        <v>1006</v>
      </c>
      <c r="Q5616" s="56" t="n">
        <f aca="false">IF(OR(F5616&lt;&gt;0,AND(I5616&lt;&gt;"",E5616&lt;I5616)),1,0)</f>
        <v>0</v>
      </c>
      <c r="R5616" s="56" t="n">
        <f aca="false">IF(AND(D5616&gt;1,Q5616=0,ISNUMBER(O5616),ISNUMBER(P5616)),IF(Q5615=0,1,0),0)</f>
        <v>1</v>
      </c>
      <c r="S5616" s="56" t="n">
        <f aca="false">R5616*(B5616&gt;=Train_Start)*(B5616&lt;=Train_End)</f>
        <v>0</v>
      </c>
      <c r="T5616" s="84" t="n">
        <f aca="false">IF(AND(ISNUMBER(O5616),ISNUMBER(P5616)),Coef_A+Coef_B1*O5616+Coef_B2*P5616,"")</f>
        <v>20.605410719772</v>
      </c>
      <c r="U5616" s="84" t="n">
        <f aca="false">IF(AND(R5616=1,ISNUMBER(T5616)),E5616-T5616,"")</f>
        <v>0.194589280227962</v>
      </c>
      <c r="V5616" s="84" t="n">
        <f aca="false">IF(ISNUMBER(T5616),T5616,-99)</f>
        <v>20.605410719772</v>
      </c>
      <c r="W5616" s="84" t="n">
        <f aca="false">IF(ISNUMBER(U5616),ABS(U5616),"")</f>
        <v>0.194589280227962</v>
      </c>
    </row>
    <row r="5617" customFormat="false" ht="15" hidden="false" customHeight="false" outlineLevel="0" collapsed="false">
      <c r="A5617" s="57" t="n">
        <v>42232</v>
      </c>
      <c r="B5617" s="56" t="n">
        <v>2015</v>
      </c>
      <c r="C5617" s="56" t="n">
        <v>8</v>
      </c>
      <c r="D5617" s="56" t="n">
        <v>108</v>
      </c>
      <c r="E5617" s="56" t="n">
        <v>22.1</v>
      </c>
      <c r="F5617" s="56" t="n">
        <v>0</v>
      </c>
      <c r="G5617" s="56" t="n">
        <v>11.3</v>
      </c>
      <c r="H5617" s="56" t="n">
        <v>0</v>
      </c>
      <c r="I5617" s="56" t="n">
        <v>16.1</v>
      </c>
      <c r="J5617" s="56" t="n">
        <v>0</v>
      </c>
      <c r="K5617" s="56" t="n">
        <v>1017.1</v>
      </c>
      <c r="L5617" s="56" t="n">
        <v>0</v>
      </c>
      <c r="M5617" s="56" t="n">
        <v>63</v>
      </c>
      <c r="N5617" s="56" t="n">
        <v>3.4</v>
      </c>
      <c r="O5617" s="56" t="n">
        <f aca="false">IF(D5617=1,"",E5616)</f>
        <v>20.8</v>
      </c>
      <c r="P5617" s="56" t="n">
        <f aca="false">IF(OR(D5617=1,K5616=""),"",K5616)</f>
        <v>1012.4</v>
      </c>
      <c r="Q5617" s="56" t="n">
        <f aca="false">IF(OR(F5617&lt;&gt;0,AND(I5617&lt;&gt;"",E5617&lt;I5617)),1,0)</f>
        <v>0</v>
      </c>
      <c r="R5617" s="56" t="n">
        <f aca="false">IF(AND(D5617&gt;1,Q5617=0,ISNUMBER(O5617),ISNUMBER(P5617)),IF(Q5616=0,1,0),0)</f>
        <v>1</v>
      </c>
      <c r="S5617" s="56" t="n">
        <f aca="false">R5617*(B5617&gt;=Train_Start)*(B5617&lt;=Train_End)</f>
        <v>0</v>
      </c>
      <c r="T5617" s="84" t="n">
        <f aca="false">IF(AND(ISNUMBER(O5617),ISNUMBER(P5617)),Coef_A+Coef_B1*O5617+Coef_B2*P5617,"")</f>
        <v>20.8881119647338</v>
      </c>
      <c r="U5617" s="84" t="n">
        <f aca="false">IF(AND(R5617=1,ISNUMBER(T5617)),E5617-T5617,"")</f>
        <v>1.21188803526617</v>
      </c>
      <c r="V5617" s="84" t="n">
        <f aca="false">IF(ISNUMBER(T5617),T5617,-99)</f>
        <v>20.8881119647338</v>
      </c>
      <c r="W5617" s="84" t="n">
        <f aca="false">IF(ISNUMBER(U5617),ABS(U5617),"")</f>
        <v>1.21188803526617</v>
      </c>
    </row>
    <row r="5618" customFormat="false" ht="15" hidden="false" customHeight="false" outlineLevel="0" collapsed="false">
      <c r="A5618" s="57" t="n">
        <v>42233</v>
      </c>
      <c r="B5618" s="56" t="n">
        <v>2015</v>
      </c>
      <c r="C5618" s="56" t="n">
        <v>8</v>
      </c>
      <c r="D5618" s="56" t="n">
        <v>109</v>
      </c>
      <c r="E5618" s="56" t="n">
        <v>19.5</v>
      </c>
      <c r="F5618" s="56" t="n">
        <v>0</v>
      </c>
      <c r="G5618" s="56" t="n">
        <v>13.3</v>
      </c>
      <c r="H5618" s="56" t="n">
        <v>0</v>
      </c>
      <c r="I5618" s="56" t="n">
        <v>17.7</v>
      </c>
      <c r="J5618" s="56" t="n">
        <v>0</v>
      </c>
      <c r="K5618" s="56" t="n">
        <v>1017.5</v>
      </c>
      <c r="L5618" s="56" t="n">
        <v>0</v>
      </c>
      <c r="M5618" s="56"/>
      <c r="N5618" s="56" t="n">
        <v>6.5</v>
      </c>
      <c r="O5618" s="56" t="n">
        <f aca="false">IF(D5618=1,"",E5617)</f>
        <v>22.1</v>
      </c>
      <c r="P5618" s="56" t="n">
        <f aca="false">IF(OR(D5618=1,K5617=""),"",K5617)</f>
        <v>1017.1</v>
      </c>
      <c r="Q5618" s="56" t="n">
        <f aca="false">IF(OR(F5618&lt;&gt;0,AND(I5618&lt;&gt;"",E5618&lt;I5618)),1,0)</f>
        <v>0</v>
      </c>
      <c r="R5618" s="56" t="n">
        <f aca="false">IF(AND(D5618&gt;1,Q5618=0,ISNUMBER(O5618),ISNUMBER(P5618)),IF(Q5617=0,1,0),0)</f>
        <v>1</v>
      </c>
      <c r="S5618" s="56" t="n">
        <f aca="false">R5618*(B5618&gt;=Train_Start)*(B5618&lt;=Train_End)</f>
        <v>0</v>
      </c>
      <c r="T5618" s="84" t="n">
        <f aca="false">IF(AND(ISNUMBER(O5618),ISNUMBER(P5618)),Coef_A+Coef_B1*O5618+Coef_B2*P5618,"")</f>
        <v>22.100691420469</v>
      </c>
      <c r="U5618" s="84" t="n">
        <f aca="false">IF(AND(R5618=1,ISNUMBER(T5618)),E5618-T5618,"")</f>
        <v>-2.60069142046904</v>
      </c>
      <c r="V5618" s="84" t="n">
        <f aca="false">IF(ISNUMBER(T5618),T5618,-99)</f>
        <v>22.100691420469</v>
      </c>
      <c r="W5618" s="84" t="n">
        <f aca="false">IF(ISNUMBER(U5618),ABS(U5618),"")</f>
        <v>2.60069142046904</v>
      </c>
    </row>
    <row r="5619" customFormat="false" ht="15" hidden="false" customHeight="false" outlineLevel="0" collapsed="false">
      <c r="A5619" s="57" t="n">
        <v>42234</v>
      </c>
      <c r="B5619" s="56" t="n">
        <v>2015</v>
      </c>
      <c r="C5619" s="56" t="n">
        <v>8</v>
      </c>
      <c r="D5619" s="56" t="n">
        <v>110</v>
      </c>
      <c r="E5619" s="56" t="n">
        <v>20.9</v>
      </c>
      <c r="F5619" s="56" t="n">
        <v>0</v>
      </c>
      <c r="G5619" s="56" t="n">
        <v>14.1</v>
      </c>
      <c r="H5619" s="56" t="n">
        <v>0</v>
      </c>
      <c r="I5619" s="56" t="n">
        <v>16.8</v>
      </c>
      <c r="J5619" s="56" t="n">
        <v>0</v>
      </c>
      <c r="K5619" s="56" t="n">
        <v>1014.7</v>
      </c>
      <c r="L5619" s="56" t="n">
        <v>0</v>
      </c>
      <c r="M5619" s="56" t="n">
        <v>65</v>
      </c>
      <c r="N5619" s="56" t="n">
        <v>0</v>
      </c>
      <c r="O5619" s="56" t="n">
        <f aca="false">IF(D5619=1,"",E5618)</f>
        <v>19.5</v>
      </c>
      <c r="P5619" s="56" t="n">
        <f aca="false">IF(OR(D5619=1,K5618=""),"",K5618)</f>
        <v>1017.5</v>
      </c>
      <c r="Q5619" s="56" t="n">
        <f aca="false">IF(OR(F5619&lt;&gt;0,AND(I5619&lt;&gt;"",E5619&lt;I5619)),1,0)</f>
        <v>0</v>
      </c>
      <c r="R5619" s="56" t="n">
        <f aca="false">IF(AND(D5619&gt;1,Q5619=0,ISNUMBER(O5619),ISNUMBER(P5619)),IF(Q5618=0,1,0),0)</f>
        <v>1</v>
      </c>
      <c r="S5619" s="56" t="n">
        <f aca="false">R5619*(B5619&gt;=Train_Start)*(B5619&lt;=Train_End)</f>
        <v>0</v>
      </c>
      <c r="T5619" s="84" t="n">
        <f aca="false">IF(AND(ISNUMBER(O5619),ISNUMBER(P5619)),Coef_A+Coef_B1*O5619+Coef_B2*P5619,"")</f>
        <v>19.9829574764117</v>
      </c>
      <c r="U5619" s="84" t="n">
        <f aca="false">IF(AND(R5619=1,ISNUMBER(T5619)),E5619-T5619,"")</f>
        <v>0.917042523588272</v>
      </c>
      <c r="V5619" s="84" t="n">
        <f aca="false">IF(ISNUMBER(T5619),T5619,-99)</f>
        <v>19.9829574764117</v>
      </c>
      <c r="W5619" s="84" t="n">
        <f aca="false">IF(ISNUMBER(U5619),ABS(U5619),"")</f>
        <v>0.917042523588272</v>
      </c>
    </row>
    <row r="5620" customFormat="false" ht="15" hidden="false" customHeight="false" outlineLevel="0" collapsed="false">
      <c r="A5620" s="57" t="n">
        <v>42235</v>
      </c>
      <c r="B5620" s="56" t="n">
        <v>2015</v>
      </c>
      <c r="C5620" s="56" t="n">
        <v>8</v>
      </c>
      <c r="D5620" s="56" t="n">
        <v>111</v>
      </c>
      <c r="E5620" s="56" t="n">
        <v>21.1</v>
      </c>
      <c r="F5620" s="56" t="n">
        <v>0</v>
      </c>
      <c r="G5620" s="56" t="n">
        <v>13.4</v>
      </c>
      <c r="H5620" s="56" t="n">
        <v>0</v>
      </c>
      <c r="I5620" s="56" t="n">
        <v>17.2</v>
      </c>
      <c r="J5620" s="56" t="n">
        <v>0</v>
      </c>
      <c r="K5620" s="56" t="n">
        <v>1017.2</v>
      </c>
      <c r="L5620" s="56" t="n">
        <v>0</v>
      </c>
      <c r="M5620" s="56" t="n">
        <v>79</v>
      </c>
      <c r="N5620" s="56" t="n">
        <v>2.5</v>
      </c>
      <c r="O5620" s="56" t="n">
        <f aca="false">IF(D5620=1,"",E5619)</f>
        <v>20.9</v>
      </c>
      <c r="P5620" s="56" t="n">
        <f aca="false">IF(OR(D5620=1,K5619=""),"",K5619)</f>
        <v>1014.7</v>
      </c>
      <c r="Q5620" s="56" t="n">
        <f aca="false">IF(OR(F5620&lt;&gt;0,AND(I5620&lt;&gt;"",E5620&lt;I5620)),1,0)</f>
        <v>0</v>
      </c>
      <c r="R5620" s="56" t="n">
        <f aca="false">IF(AND(D5620&gt;1,Q5620=0,ISNUMBER(O5620),ISNUMBER(P5620)),IF(Q5619=0,1,0),0)</f>
        <v>1</v>
      </c>
      <c r="S5620" s="56" t="n">
        <f aca="false">R5620*(B5620&gt;=Train_Start)*(B5620&lt;=Train_End)</f>
        <v>0</v>
      </c>
      <c r="T5620" s="84" t="n">
        <f aca="false">IF(AND(ISNUMBER(O5620),ISNUMBER(P5620)),Coef_A+Coef_B1*O5620+Coef_B2*P5620,"")</f>
        <v>21.0421966416963</v>
      </c>
      <c r="U5620" s="84" t="n">
        <f aca="false">IF(AND(R5620=1,ISNUMBER(T5620)),E5620-T5620,"")</f>
        <v>0.0578033583037225</v>
      </c>
      <c r="V5620" s="84" t="n">
        <f aca="false">IF(ISNUMBER(T5620),T5620,-99)</f>
        <v>21.0421966416963</v>
      </c>
      <c r="W5620" s="84" t="n">
        <f aca="false">IF(ISNUMBER(U5620),ABS(U5620),"")</f>
        <v>0.0578033583037225</v>
      </c>
    </row>
    <row r="5621" customFormat="false" ht="15" hidden="false" customHeight="false" outlineLevel="0" collapsed="false">
      <c r="A5621" s="57" t="n">
        <v>42236</v>
      </c>
      <c r="B5621" s="56" t="n">
        <v>2015</v>
      </c>
      <c r="C5621" s="56" t="n">
        <v>8</v>
      </c>
      <c r="D5621" s="56" t="n">
        <v>112</v>
      </c>
      <c r="E5621" s="56" t="n">
        <v>26.5</v>
      </c>
      <c r="F5621" s="56" t="n">
        <v>0</v>
      </c>
      <c r="G5621" s="56" t="n">
        <v>15.1</v>
      </c>
      <c r="H5621" s="56" t="n">
        <v>0</v>
      </c>
      <c r="I5621" s="56" t="n">
        <v>18.1</v>
      </c>
      <c r="J5621" s="56" t="n">
        <v>0</v>
      </c>
      <c r="K5621" s="56" t="n">
        <v>1019.5</v>
      </c>
      <c r="L5621" s="56" t="n">
        <v>0</v>
      </c>
      <c r="M5621" s="56" t="n">
        <v>87</v>
      </c>
      <c r="N5621" s="56" t="n">
        <v>0.4</v>
      </c>
      <c r="O5621" s="56" t="n">
        <f aca="false">IF(D5621=1,"",E5620)</f>
        <v>21.1</v>
      </c>
      <c r="P5621" s="56" t="n">
        <f aca="false">IF(OR(D5621=1,K5620=""),"",K5620)</f>
        <v>1017.2</v>
      </c>
      <c r="Q5621" s="56" t="n">
        <f aca="false">IF(OR(F5621&lt;&gt;0,AND(I5621&lt;&gt;"",E5621&lt;I5621)),1,0)</f>
        <v>0</v>
      </c>
      <c r="R5621" s="56" t="n">
        <f aca="false">IF(AND(D5621&gt;1,Q5621=0,ISNUMBER(O5621),ISNUMBER(P5621)),IF(Q5620=0,1,0),0)</f>
        <v>1</v>
      </c>
      <c r="S5621" s="56" t="n">
        <f aca="false">R5621*(B5621&gt;=Train_Start)*(B5621&lt;=Train_End)</f>
        <v>0</v>
      </c>
      <c r="T5621" s="84" t="n">
        <f aca="false">IF(AND(ISNUMBER(O5621),ISNUMBER(P5621)),Coef_A+Coef_B1*O5621+Coef_B2*P5621,"")</f>
        <v>21.2844892168898</v>
      </c>
      <c r="U5621" s="84" t="n">
        <f aca="false">IF(AND(R5621=1,ISNUMBER(T5621)),E5621-T5621,"")</f>
        <v>5.21551078311022</v>
      </c>
      <c r="V5621" s="84" t="n">
        <f aca="false">IF(ISNUMBER(T5621),T5621,-99)</f>
        <v>21.2844892168898</v>
      </c>
      <c r="W5621" s="84" t="n">
        <f aca="false">IF(ISNUMBER(U5621),ABS(U5621),"")</f>
        <v>5.21551078311022</v>
      </c>
    </row>
    <row r="5622" customFormat="false" ht="15" hidden="false" customHeight="false" outlineLevel="0" collapsed="false">
      <c r="A5622" s="57" t="n">
        <v>42237</v>
      </c>
      <c r="B5622" s="56" t="n">
        <v>2015</v>
      </c>
      <c r="C5622" s="56" t="n">
        <v>8</v>
      </c>
      <c r="D5622" s="56" t="n">
        <v>113</v>
      </c>
      <c r="E5622" s="56" t="n">
        <v>30.7</v>
      </c>
      <c r="F5622" s="56" t="n">
        <v>0</v>
      </c>
      <c r="G5622" s="56" t="n">
        <v>17.9</v>
      </c>
      <c r="H5622" s="56" t="n">
        <v>0</v>
      </c>
      <c r="I5622" s="56" t="n">
        <v>22.2</v>
      </c>
      <c r="J5622" s="56" t="n">
        <v>0</v>
      </c>
      <c r="K5622" s="56" t="n">
        <v>1019.6</v>
      </c>
      <c r="L5622" s="56" t="n">
        <v>0</v>
      </c>
      <c r="M5622" s="56" t="n">
        <v>72</v>
      </c>
      <c r="N5622" s="56" t="n">
        <v>8</v>
      </c>
      <c r="O5622" s="56" t="n">
        <f aca="false">IF(D5622=1,"",E5621)</f>
        <v>26.5</v>
      </c>
      <c r="P5622" s="56" t="n">
        <f aca="false">IF(OR(D5622=1,K5621=""),"",K5621)</f>
        <v>1019.5</v>
      </c>
      <c r="Q5622" s="56" t="n">
        <f aca="false">IF(OR(F5622&lt;&gt;0,AND(I5622&lt;&gt;"",E5622&lt;I5622)),1,0)</f>
        <v>0</v>
      </c>
      <c r="R5622" s="56" t="n">
        <f aca="false">IF(AND(D5622&gt;1,Q5622=0,ISNUMBER(O5622),ISNUMBER(P5622)),IF(Q5621=0,1,0),0)</f>
        <v>1</v>
      </c>
      <c r="S5622" s="56" t="n">
        <f aca="false">R5622*(B5622&gt;=Train_Start)*(B5622&lt;=Train_End)</f>
        <v>0</v>
      </c>
      <c r="T5622" s="84" t="n">
        <f aca="false">IF(AND(ISNUMBER(O5622),ISNUMBER(P5622)),Coef_A+Coef_B1*O5622+Coef_B2*P5622,"")</f>
        <v>25.7810716169783</v>
      </c>
      <c r="U5622" s="84" t="n">
        <f aca="false">IF(AND(R5622=1,ISNUMBER(T5622)),E5622-T5622,"")</f>
        <v>4.91892838302169</v>
      </c>
      <c r="V5622" s="84" t="n">
        <f aca="false">IF(ISNUMBER(T5622),T5622,-99)</f>
        <v>25.7810716169783</v>
      </c>
      <c r="W5622" s="84" t="n">
        <f aca="false">IF(ISNUMBER(U5622),ABS(U5622),"")</f>
        <v>4.91892838302169</v>
      </c>
    </row>
    <row r="5623" customFormat="false" ht="15" hidden="false" customHeight="false" outlineLevel="0" collapsed="false">
      <c r="A5623" s="57" t="n">
        <v>42238</v>
      </c>
      <c r="B5623" s="56" t="n">
        <v>2015</v>
      </c>
      <c r="C5623" s="56" t="n">
        <v>8</v>
      </c>
      <c r="D5623" s="56" t="n">
        <v>114</v>
      </c>
      <c r="E5623" s="56" t="n">
        <v>21.5</v>
      </c>
      <c r="F5623" s="56" t="n">
        <v>1</v>
      </c>
      <c r="G5623" s="56" t="n">
        <v>15</v>
      </c>
      <c r="H5623" s="56" t="n">
        <v>0</v>
      </c>
      <c r="I5623" s="56" t="n">
        <v>22.9</v>
      </c>
      <c r="J5623" s="56" t="n">
        <v>1</v>
      </c>
      <c r="K5623" s="56" t="n">
        <v>1013.7</v>
      </c>
      <c r="L5623" s="56" t="n">
        <v>0</v>
      </c>
      <c r="M5623" s="56" t="n">
        <v>65</v>
      </c>
      <c r="N5623" s="56" t="n">
        <v>9</v>
      </c>
      <c r="O5623" s="56" t="n">
        <f aca="false">IF(D5623=1,"",E5622)</f>
        <v>30.7</v>
      </c>
      <c r="P5623" s="56" t="n">
        <f aca="false">IF(OR(D5623=1,K5622=""),"",K5622)</f>
        <v>1019.6</v>
      </c>
      <c r="Q5623" s="56" t="n">
        <f aca="false">IF(OR(F5623&lt;&gt;0,AND(I5623&lt;&gt;"",E5623&lt;I5623)),1,0)</f>
        <v>1</v>
      </c>
      <c r="R5623" s="56" t="n">
        <f aca="false">IF(AND(D5623&gt;1,Q5623=0,ISNUMBER(O5623),ISNUMBER(P5623)),IF(Q5622=0,1,0),0)</f>
        <v>0</v>
      </c>
      <c r="S5623" s="56" t="n">
        <f aca="false">R5623*(B5623&gt;=Train_Start)*(B5623&lt;=Train_End)</f>
        <v>0</v>
      </c>
      <c r="T5623" s="84" t="n">
        <f aca="false">IF(AND(ISNUMBER(O5623),ISNUMBER(P5623)),Coef_A+Coef_B1*O5623+Coef_B2*P5623,"")</f>
        <v>29.2254332172209</v>
      </c>
      <c r="U5623" s="84" t="str">
        <f aca="false">IF(AND(R5623=1,ISNUMBER(T5623)),E5623-T5623,"")</f>
        <v/>
      </c>
      <c r="V5623" s="84" t="n">
        <f aca="false">IF(ISNUMBER(T5623),T5623,-99)</f>
        <v>29.2254332172209</v>
      </c>
      <c r="W5623" s="84" t="str">
        <f aca="false">IF(ISNUMBER(U5623),ABS(U5623),"")</f>
        <v/>
      </c>
    </row>
    <row r="5624" customFormat="false" ht="15" hidden="false" customHeight="false" outlineLevel="0" collapsed="false">
      <c r="A5624" s="57" t="n">
        <v>42239</v>
      </c>
      <c r="B5624" s="56" t="n">
        <v>2015</v>
      </c>
      <c r="C5624" s="56" t="n">
        <v>8</v>
      </c>
      <c r="D5624" s="56" t="n">
        <v>115</v>
      </c>
      <c r="E5624" s="56" t="n">
        <v>17</v>
      </c>
      <c r="F5624" s="56" t="n">
        <v>1</v>
      </c>
      <c r="G5624" s="56" t="n">
        <v>17.8</v>
      </c>
      <c r="H5624" s="56" t="n">
        <v>1</v>
      </c>
      <c r="I5624" s="56" t="n">
        <v>19.7</v>
      </c>
      <c r="J5624" s="56" t="n">
        <v>1</v>
      </c>
      <c r="K5624" s="56" t="n">
        <v>1002.5</v>
      </c>
      <c r="L5624" s="56" t="n">
        <v>0</v>
      </c>
      <c r="M5624" s="56" t="n">
        <v>69</v>
      </c>
      <c r="N5624" s="56" t="n">
        <v>3.7</v>
      </c>
      <c r="O5624" s="56" t="n">
        <f aca="false">IF(D5624=1,"",E5623)</f>
        <v>21.5</v>
      </c>
      <c r="P5624" s="56" t="n">
        <f aca="false">IF(OR(D5624=1,K5623=""),"",K5623)</f>
        <v>1013.7</v>
      </c>
      <c r="Q5624" s="56" t="n">
        <f aca="false">IF(OR(F5624&lt;&gt;0,AND(I5624&lt;&gt;"",E5624&lt;I5624)),1,0)</f>
        <v>1</v>
      </c>
      <c r="R5624" s="56" t="n">
        <f aca="false">IF(AND(D5624&gt;1,Q5624=0,ISNUMBER(O5624),ISNUMBER(P5624)),IF(Q5623=0,1,0),0)</f>
        <v>0</v>
      </c>
      <c r="S5624" s="56" t="n">
        <f aca="false">R5624*(B5624&gt;=Train_Start)*(B5624&lt;=Train_End)</f>
        <v>0</v>
      </c>
      <c r="T5624" s="84" t="n">
        <f aca="false">IF(AND(ISNUMBER(O5624),ISNUMBER(P5624)),Coef_A+Coef_B1*O5624+Coef_B2*P5624,"")</f>
        <v>21.5024302628879</v>
      </c>
      <c r="U5624" s="84" t="str">
        <f aca="false">IF(AND(R5624=1,ISNUMBER(T5624)),E5624-T5624,"")</f>
        <v/>
      </c>
      <c r="V5624" s="84" t="n">
        <f aca="false">IF(ISNUMBER(T5624),T5624,-99)</f>
        <v>21.5024302628879</v>
      </c>
      <c r="W5624" s="84" t="str">
        <f aca="false">IF(ISNUMBER(U5624),ABS(U5624),"")</f>
        <v/>
      </c>
    </row>
    <row r="5625" customFormat="false" ht="15" hidden="false" customHeight="false" outlineLevel="0" collapsed="false">
      <c r="A5625" s="57" t="n">
        <v>42240</v>
      </c>
      <c r="B5625" s="56" t="n">
        <v>2015</v>
      </c>
      <c r="C5625" s="56" t="n">
        <v>8</v>
      </c>
      <c r="D5625" s="56" t="n">
        <v>116</v>
      </c>
      <c r="E5625" s="56" t="n">
        <v>19</v>
      </c>
      <c r="F5625" s="56" t="n">
        <v>0</v>
      </c>
      <c r="G5625" s="56" t="n">
        <v>12.5</v>
      </c>
      <c r="H5625" s="56" t="n">
        <v>0</v>
      </c>
      <c r="I5625" s="56" t="n">
        <v>14.8</v>
      </c>
      <c r="J5625" s="56" t="n">
        <v>0</v>
      </c>
      <c r="K5625" s="56" t="n">
        <v>999.6</v>
      </c>
      <c r="L5625" s="56" t="n">
        <v>0</v>
      </c>
      <c r="M5625" s="56" t="n">
        <v>92</v>
      </c>
      <c r="N5625" s="56" t="n">
        <v>0</v>
      </c>
      <c r="O5625" s="56" t="n">
        <f aca="false">IF(D5625=1,"",E5624)</f>
        <v>17</v>
      </c>
      <c r="P5625" s="56" t="n">
        <f aca="false">IF(OR(D5625=1,K5624=""),"",K5624)</f>
        <v>1002.5</v>
      </c>
      <c r="Q5625" s="56" t="n">
        <f aca="false">IF(OR(F5625&lt;&gt;0,AND(I5625&lt;&gt;"",E5625&lt;I5625)),1,0)</f>
        <v>0</v>
      </c>
      <c r="R5625" s="56" t="n">
        <f aca="false">IF(AND(D5625&gt;1,Q5625=0,ISNUMBER(O5625),ISNUMBER(P5625)),IF(Q5624=0,1,0),0)</f>
        <v>0</v>
      </c>
      <c r="S5625" s="56" t="n">
        <f aca="false">R5625*(B5625&gt;=Train_Start)*(B5625&lt;=Train_End)</f>
        <v>0</v>
      </c>
      <c r="T5625" s="84" t="n">
        <f aca="false">IF(AND(ISNUMBER(O5625),ISNUMBER(P5625)),Coef_A+Coef_B1*O5625+Coef_B2*P5625,"")</f>
        <v>17.4640610742952</v>
      </c>
      <c r="U5625" s="84" t="str">
        <f aca="false">IF(AND(R5625=1,ISNUMBER(T5625)),E5625-T5625,"")</f>
        <v/>
      </c>
      <c r="V5625" s="84" t="n">
        <f aca="false">IF(ISNUMBER(T5625),T5625,-99)</f>
        <v>17.4640610742952</v>
      </c>
      <c r="W5625" s="84" t="str">
        <f aca="false">IF(ISNUMBER(U5625),ABS(U5625),"")</f>
        <v/>
      </c>
    </row>
    <row r="5626" customFormat="false" ht="15" hidden="false" customHeight="false" outlineLevel="0" collapsed="false">
      <c r="A5626" s="57" t="n">
        <v>42241</v>
      </c>
      <c r="B5626" s="56" t="n">
        <v>2015</v>
      </c>
      <c r="C5626" s="56" t="n">
        <v>8</v>
      </c>
      <c r="D5626" s="56" t="n">
        <v>117</v>
      </c>
      <c r="E5626" s="56" t="n">
        <v>19.9</v>
      </c>
      <c r="F5626" s="56" t="n">
        <v>0</v>
      </c>
      <c r="G5626" s="56" t="n">
        <v>11.2</v>
      </c>
      <c r="H5626" s="56" t="n">
        <v>0</v>
      </c>
      <c r="I5626" s="56" t="n">
        <v>15.1</v>
      </c>
      <c r="J5626" s="56" t="n">
        <v>0</v>
      </c>
      <c r="K5626" s="56" t="n">
        <v>1007.9</v>
      </c>
      <c r="L5626" s="56" t="n">
        <v>0</v>
      </c>
      <c r="M5626" s="56" t="n">
        <v>86</v>
      </c>
      <c r="N5626" s="56" t="n">
        <v>3.5</v>
      </c>
      <c r="O5626" s="56" t="n">
        <f aca="false">IF(D5626=1,"",E5625)</f>
        <v>19</v>
      </c>
      <c r="P5626" s="56" t="n">
        <f aca="false">IF(OR(D5626=1,K5625=""),"",K5625)</f>
        <v>999.6</v>
      </c>
      <c r="Q5626" s="56" t="n">
        <f aca="false">IF(OR(F5626&lt;&gt;0,AND(I5626&lt;&gt;"",E5626&lt;I5626)),1,0)</f>
        <v>0</v>
      </c>
      <c r="R5626" s="56" t="n">
        <f aca="false">IF(AND(D5626&gt;1,Q5626=0,ISNUMBER(O5626),ISNUMBER(P5626)),IF(Q5625=0,1,0),0)</f>
        <v>1</v>
      </c>
      <c r="S5626" s="56" t="n">
        <f aca="false">R5626*(B5626&gt;=Train_Start)*(B5626&lt;=Train_End)</f>
        <v>0</v>
      </c>
      <c r="T5626" s="84" t="n">
        <f aca="false">IF(AND(ISNUMBER(O5626),ISNUMBER(P5626)),Coef_A+Coef_B1*O5626+Coef_B2*P5626,"")</f>
        <v>19.011766765942</v>
      </c>
      <c r="U5626" s="84" t="n">
        <f aca="false">IF(AND(R5626=1,ISNUMBER(T5626)),E5626-T5626,"")</f>
        <v>0.888233234058014</v>
      </c>
      <c r="V5626" s="84" t="n">
        <f aca="false">IF(ISNUMBER(T5626),T5626,-99)</f>
        <v>19.011766765942</v>
      </c>
      <c r="W5626" s="84" t="n">
        <f aca="false">IF(ISNUMBER(U5626),ABS(U5626),"")</f>
        <v>0.888233234058014</v>
      </c>
    </row>
    <row r="5627" customFormat="false" ht="15" hidden="false" customHeight="false" outlineLevel="0" collapsed="false">
      <c r="A5627" s="57" t="n">
        <v>42242</v>
      </c>
      <c r="B5627" s="56" t="n">
        <v>2015</v>
      </c>
      <c r="C5627" s="56" t="n">
        <v>8</v>
      </c>
      <c r="D5627" s="56" t="n">
        <v>118</v>
      </c>
      <c r="E5627" s="56" t="n">
        <v>19.6</v>
      </c>
      <c r="F5627" s="56" t="n">
        <v>0</v>
      </c>
      <c r="G5627" s="56" t="n">
        <v>14.1</v>
      </c>
      <c r="H5627" s="56" t="n">
        <v>0</v>
      </c>
      <c r="I5627" s="56" t="n">
        <v>17</v>
      </c>
      <c r="J5627" s="56" t="n">
        <v>0</v>
      </c>
      <c r="K5627" s="56" t="n">
        <v>1004.2</v>
      </c>
      <c r="L5627" s="56" t="n">
        <v>0</v>
      </c>
      <c r="M5627" s="56" t="n">
        <v>87</v>
      </c>
      <c r="N5627" s="56" t="n">
        <v>3.4</v>
      </c>
      <c r="O5627" s="56" t="n">
        <f aca="false">IF(D5627=1,"",E5626)</f>
        <v>19.9</v>
      </c>
      <c r="P5627" s="56" t="n">
        <f aca="false">IF(OR(D5627=1,K5626=""),"",K5626)</f>
        <v>1007.9</v>
      </c>
      <c r="Q5627" s="56" t="n">
        <f aca="false">IF(OR(F5627&lt;&gt;0,AND(I5627&lt;&gt;"",E5627&lt;I5627)),1,0)</f>
        <v>0</v>
      </c>
      <c r="R5627" s="56" t="n">
        <f aca="false">IF(AND(D5627&gt;1,Q5627=0,ISNUMBER(O5627),ISNUMBER(P5627)),IF(Q5626=0,1,0),0)</f>
        <v>1</v>
      </c>
      <c r="S5627" s="56" t="n">
        <f aca="false">R5627*(B5627&gt;=Train_Start)*(B5627&lt;=Train_End)</f>
        <v>0</v>
      </c>
      <c r="T5627" s="84" t="n">
        <f aca="false">IF(AND(ISNUMBER(O5627),ISNUMBER(P5627)),Coef_A+Coef_B1*O5627+Coef_B2*P5627,"")</f>
        <v>20.0095421651425</v>
      </c>
      <c r="U5627" s="84" t="n">
        <f aca="false">IF(AND(R5627=1,ISNUMBER(T5627)),E5627-T5627,"")</f>
        <v>-0.40954216514249</v>
      </c>
      <c r="V5627" s="84" t="n">
        <f aca="false">IF(ISNUMBER(T5627),T5627,-99)</f>
        <v>20.0095421651425</v>
      </c>
      <c r="W5627" s="84" t="n">
        <f aca="false">IF(ISNUMBER(U5627),ABS(U5627),"")</f>
        <v>0.40954216514249</v>
      </c>
    </row>
    <row r="5628" customFormat="false" ht="15" hidden="false" customHeight="false" outlineLevel="0" collapsed="false">
      <c r="A5628" s="57" t="n">
        <v>42243</v>
      </c>
      <c r="B5628" s="56" t="n">
        <v>2015</v>
      </c>
      <c r="C5628" s="56" t="n">
        <v>8</v>
      </c>
      <c r="D5628" s="56" t="n">
        <v>119</v>
      </c>
      <c r="E5628" s="56" t="n">
        <v>21.1</v>
      </c>
      <c r="F5628" s="56" t="n">
        <v>0</v>
      </c>
      <c r="G5628" s="56" t="n">
        <v>13.5</v>
      </c>
      <c r="H5628" s="56" t="n">
        <v>0</v>
      </c>
      <c r="I5628" s="56" t="n">
        <v>16.6</v>
      </c>
      <c r="J5628" s="56" t="n">
        <v>0</v>
      </c>
      <c r="K5628" s="56" t="n">
        <v>1007.2</v>
      </c>
      <c r="L5628" s="56" t="n">
        <v>0</v>
      </c>
      <c r="M5628" s="56" t="n">
        <v>80</v>
      </c>
      <c r="N5628" s="56" t="n">
        <v>2.9</v>
      </c>
      <c r="O5628" s="56" t="n">
        <f aca="false">IF(D5628=1,"",E5627)</f>
        <v>19.6</v>
      </c>
      <c r="P5628" s="56" t="n">
        <f aca="false">IF(OR(D5628=1,K5627=""),"",K5627)</f>
        <v>1004.2</v>
      </c>
      <c r="Q5628" s="56" t="n">
        <f aca="false">IF(OR(F5628&lt;&gt;0,AND(I5628&lt;&gt;"",E5628&lt;I5628)),1,0)</f>
        <v>0</v>
      </c>
      <c r="R5628" s="56" t="n">
        <f aca="false">IF(AND(D5628&gt;1,Q5628=0,ISNUMBER(O5628),ISNUMBER(P5628)),IF(Q5627=0,1,0),0)</f>
        <v>1</v>
      </c>
      <c r="S5628" s="56" t="n">
        <f aca="false">R5628*(B5628&gt;=Train_Start)*(B5628&lt;=Train_End)</f>
        <v>0</v>
      </c>
      <c r="T5628" s="84" t="n">
        <f aca="false">IF(AND(ISNUMBER(O5628),ISNUMBER(P5628)),Coef_A+Coef_B1*O5628+Coef_B2*P5628,"")</f>
        <v>19.6476717970839</v>
      </c>
      <c r="U5628" s="84" t="n">
        <f aca="false">IF(AND(R5628=1,ISNUMBER(T5628)),E5628-T5628,"")</f>
        <v>1.45232820291606</v>
      </c>
      <c r="V5628" s="84" t="n">
        <f aca="false">IF(ISNUMBER(T5628),T5628,-99)</f>
        <v>19.6476717970839</v>
      </c>
      <c r="W5628" s="84" t="n">
        <f aca="false">IF(ISNUMBER(U5628),ABS(U5628),"")</f>
        <v>1.45232820291606</v>
      </c>
    </row>
    <row r="5629" customFormat="false" ht="15" hidden="false" customHeight="false" outlineLevel="0" collapsed="false">
      <c r="A5629" s="57" t="n">
        <v>42244</v>
      </c>
      <c r="B5629" s="56" t="n">
        <v>2015</v>
      </c>
      <c r="C5629" s="56" t="n">
        <v>8</v>
      </c>
      <c r="D5629" s="56" t="n">
        <v>120</v>
      </c>
      <c r="E5629" s="56" t="n">
        <v>22.3</v>
      </c>
      <c r="F5629" s="56" t="n">
        <v>0</v>
      </c>
      <c r="G5629" s="56" t="n">
        <v>10.9</v>
      </c>
      <c r="H5629" s="56" t="n">
        <v>0</v>
      </c>
      <c r="I5629" s="56" t="n">
        <v>16</v>
      </c>
      <c r="J5629" s="56" t="n">
        <v>0</v>
      </c>
      <c r="K5629" s="56" t="n">
        <v>1016.3</v>
      </c>
      <c r="L5629" s="56" t="n">
        <v>0</v>
      </c>
      <c r="M5629" s="56" t="n">
        <v>72</v>
      </c>
      <c r="N5629" s="56" t="n">
        <v>8.8</v>
      </c>
      <c r="O5629" s="56" t="n">
        <f aca="false">IF(D5629=1,"",E5628)</f>
        <v>21.1</v>
      </c>
      <c r="P5629" s="56" t="n">
        <f aca="false">IF(OR(D5629=1,K5628=""),"",K5628)</f>
        <v>1007.2</v>
      </c>
      <c r="Q5629" s="56" t="n">
        <f aca="false">IF(OR(F5629&lt;&gt;0,AND(I5629&lt;&gt;"",E5629&lt;I5629)),1,0)</f>
        <v>0</v>
      </c>
      <c r="R5629" s="56" t="n">
        <f aca="false">IF(AND(D5629&gt;1,Q5629=0,ISNUMBER(O5629),ISNUMBER(P5629)),IF(Q5628=0,1,0),0)</f>
        <v>1</v>
      </c>
      <c r="S5629" s="56" t="n">
        <f aca="false">R5629*(B5629&gt;=Train_Start)*(B5629&lt;=Train_End)</f>
        <v>0</v>
      </c>
      <c r="T5629" s="84" t="n">
        <f aca="false">IF(AND(ISNUMBER(O5629),ISNUMBER(P5629)),Coef_A+Coef_B1*O5629+Coef_B2*P5629,"")</f>
        <v>20.9707902705499</v>
      </c>
      <c r="U5629" s="84" t="n">
        <f aca="false">IF(AND(R5629=1,ISNUMBER(T5629)),E5629-T5629,"")</f>
        <v>1.32920972945011</v>
      </c>
      <c r="V5629" s="84" t="n">
        <f aca="false">IF(ISNUMBER(T5629),T5629,-99)</f>
        <v>20.9707902705499</v>
      </c>
      <c r="W5629" s="84" t="n">
        <f aca="false">IF(ISNUMBER(U5629),ABS(U5629),"")</f>
        <v>1.32920972945011</v>
      </c>
    </row>
    <row r="5630" customFormat="false" ht="15" hidden="false" customHeight="false" outlineLevel="0" collapsed="false">
      <c r="A5630" s="57" t="n">
        <v>42245</v>
      </c>
      <c r="B5630" s="56" t="n">
        <v>2015</v>
      </c>
      <c r="C5630" s="56" t="n">
        <v>8</v>
      </c>
      <c r="D5630" s="56" t="n">
        <v>121</v>
      </c>
      <c r="E5630" s="56" t="n">
        <v>20.8</v>
      </c>
      <c r="F5630" s="56" t="n">
        <v>0</v>
      </c>
      <c r="G5630" s="56" t="n">
        <v>14.1</v>
      </c>
      <c r="H5630" s="56" t="n">
        <v>0</v>
      </c>
      <c r="I5630" s="56" t="n">
        <v>18.2</v>
      </c>
      <c r="J5630" s="56" t="n">
        <v>0</v>
      </c>
      <c r="K5630" s="56" t="n">
        <v>1019.8</v>
      </c>
      <c r="L5630" s="56" t="n">
        <v>0</v>
      </c>
      <c r="M5630" s="56" t="n">
        <v>78</v>
      </c>
      <c r="N5630" s="56" t="n">
        <v>3.5</v>
      </c>
      <c r="O5630" s="56" t="n">
        <f aca="false">IF(D5630=1,"",E5629)</f>
        <v>22.3</v>
      </c>
      <c r="P5630" s="56" t="n">
        <f aca="false">IF(OR(D5630=1,K5629=""),"",K5629)</f>
        <v>1016.3</v>
      </c>
      <c r="Q5630" s="56" t="n">
        <f aca="false">IF(OR(F5630&lt;&gt;0,AND(I5630&lt;&gt;"",E5630&lt;I5630)),1,0)</f>
        <v>0</v>
      </c>
      <c r="R5630" s="56" t="n">
        <f aca="false">IF(AND(D5630&gt;1,Q5630=0,ISNUMBER(O5630),ISNUMBER(P5630)),IF(Q5629=0,1,0),0)</f>
        <v>1</v>
      </c>
      <c r="S5630" s="56" t="n">
        <f aca="false">R5630*(B5630&gt;=Train_Start)*(B5630&lt;=Train_End)</f>
        <v>0</v>
      </c>
      <c r="T5630" s="84" t="n">
        <f aca="false">IF(AND(ISNUMBER(O5630),ISNUMBER(P5630)),Coef_A+Coef_B1*O5630+Coef_B2*P5630,"")</f>
        <v>22.2394633433704</v>
      </c>
      <c r="U5630" s="84" t="n">
        <f aca="false">IF(AND(R5630=1,ISNUMBER(T5630)),E5630-T5630,"")</f>
        <v>-1.43946334337038</v>
      </c>
      <c r="V5630" s="84" t="n">
        <f aca="false">IF(ISNUMBER(T5630),T5630,-99)</f>
        <v>22.2394633433704</v>
      </c>
      <c r="W5630" s="84" t="n">
        <f aca="false">IF(ISNUMBER(U5630),ABS(U5630),"")</f>
        <v>1.43946334337038</v>
      </c>
    </row>
    <row r="5631" customFormat="false" ht="15" hidden="false" customHeight="false" outlineLevel="0" collapsed="false">
      <c r="A5631" s="57" t="n">
        <v>42246</v>
      </c>
      <c r="B5631" s="56" t="n">
        <v>2015</v>
      </c>
      <c r="C5631" s="56" t="n">
        <v>8</v>
      </c>
      <c r="D5631" s="56" t="n">
        <v>122</v>
      </c>
      <c r="E5631" s="56" t="n">
        <v>16</v>
      </c>
      <c r="F5631" s="56" t="n">
        <v>1</v>
      </c>
      <c r="G5631" s="56" t="n">
        <v>15.6</v>
      </c>
      <c r="H5631" s="56" t="n">
        <v>0</v>
      </c>
      <c r="I5631" s="56" t="n">
        <v>18.2</v>
      </c>
      <c r="J5631" s="56" t="n">
        <v>1</v>
      </c>
      <c r="K5631" s="56" t="n">
        <v>1017.4</v>
      </c>
      <c r="L5631" s="56" t="n">
        <v>0</v>
      </c>
      <c r="M5631" s="56" t="n">
        <v>83</v>
      </c>
      <c r="N5631" s="56" t="n">
        <v>1</v>
      </c>
      <c r="O5631" s="56" t="n">
        <f aca="false">IF(D5631=1,"",E5630)</f>
        <v>20.8</v>
      </c>
      <c r="P5631" s="56" t="n">
        <f aca="false">IF(OR(D5631=1,K5630=""),"",K5630)</f>
        <v>1019.8</v>
      </c>
      <c r="Q5631" s="56" t="n">
        <f aca="false">IF(OR(F5631&lt;&gt;0,AND(I5631&lt;&gt;"",E5631&lt;I5631)),1,0)</f>
        <v>1</v>
      </c>
      <c r="R5631" s="56" t="n">
        <f aca="false">IF(AND(D5631&gt;1,Q5631=0,ISNUMBER(O5631),ISNUMBER(P5631)),IF(Q5630=0,1,0),0)</f>
        <v>0</v>
      </c>
      <c r="S5631" s="56" t="n">
        <f aca="false">R5631*(B5631&gt;=Train_Start)*(B5631&lt;=Train_End)</f>
        <v>0</v>
      </c>
      <c r="T5631" s="84" t="n">
        <f aca="false">IF(AND(ISNUMBER(O5631),ISNUMBER(P5631)),Coef_A+Coef_B1*O5631+Coef_B2*P5631,"")</f>
        <v>21.1202491850254</v>
      </c>
      <c r="U5631" s="84" t="str">
        <f aca="false">IF(AND(R5631=1,ISNUMBER(T5631)),E5631-T5631,"")</f>
        <v/>
      </c>
      <c r="V5631" s="84" t="n">
        <f aca="false">IF(ISNUMBER(T5631),T5631,-99)</f>
        <v>21.1202491850254</v>
      </c>
      <c r="W5631" s="84" t="str">
        <f aca="false">IF(ISNUMBER(U5631),ABS(U5631),"")</f>
        <v/>
      </c>
    </row>
    <row r="5632" customFormat="false" ht="15" hidden="false" customHeight="false" outlineLevel="0" collapsed="false">
      <c r="A5632" s="57" t="n">
        <v>42247</v>
      </c>
      <c r="B5632" s="56" t="n">
        <v>2015</v>
      </c>
      <c r="C5632" s="56" t="n">
        <v>8</v>
      </c>
      <c r="D5632" s="56" t="n">
        <v>123</v>
      </c>
      <c r="E5632" s="56" t="n">
        <v>19.2</v>
      </c>
      <c r="F5632" s="56" t="n">
        <v>0</v>
      </c>
      <c r="G5632" s="56" t="n">
        <v>14.3</v>
      </c>
      <c r="H5632" s="56" t="n">
        <v>0</v>
      </c>
      <c r="I5632" s="56" t="n">
        <v>15.2</v>
      </c>
      <c r="J5632" s="56" t="n">
        <v>0</v>
      </c>
      <c r="K5632" s="56" t="n">
        <v>1013.8</v>
      </c>
      <c r="L5632" s="56" t="n">
        <v>0</v>
      </c>
      <c r="M5632" s="56" t="n">
        <v>93</v>
      </c>
      <c r="N5632" s="56" t="n">
        <v>0</v>
      </c>
      <c r="O5632" s="56" t="n">
        <f aca="false">IF(D5632=1,"",E5631)</f>
        <v>16</v>
      </c>
      <c r="P5632" s="56" t="n">
        <f aca="false">IF(OR(D5632=1,K5631=""),"",K5631)</f>
        <v>1017.4</v>
      </c>
      <c r="Q5632" s="56" t="n">
        <f aca="false">IF(OR(F5632&lt;&gt;0,AND(I5632&lt;&gt;"",E5632&lt;I5632)),1,0)</f>
        <v>0</v>
      </c>
      <c r="R5632" s="56" t="n">
        <f aca="false">IF(AND(D5632&gt;1,Q5632=0,ISNUMBER(O5632),ISNUMBER(P5632)),IF(Q5631=0,1,0),0)</f>
        <v>0</v>
      </c>
      <c r="S5632" s="56" t="n">
        <f aca="false">R5632*(B5632&gt;=Train_Start)*(B5632&lt;=Train_End)</f>
        <v>0</v>
      </c>
      <c r="T5632" s="84" t="n">
        <f aca="false">IF(AND(ISNUMBER(O5632),ISNUMBER(P5632)),Coef_A+Coef_B1*O5632+Coef_B2*P5632,"")</f>
        <v>17.112133311299</v>
      </c>
      <c r="U5632" s="84" t="str">
        <f aca="false">IF(AND(R5632=1,ISNUMBER(T5632)),E5632-T5632,"")</f>
        <v/>
      </c>
      <c r="V5632" s="84" t="n">
        <f aca="false">IF(ISNUMBER(T5632),T5632,-99)</f>
        <v>17.112133311299</v>
      </c>
      <c r="W5632" s="84" t="str">
        <f aca="false">IF(ISNUMBER(U5632),ABS(U5632),"")</f>
        <v/>
      </c>
    </row>
    <row r="5633" customFormat="false" ht="15" hidden="false" customHeight="false" outlineLevel="0" collapsed="false">
      <c r="A5633" s="57" t="n">
        <v>42248</v>
      </c>
      <c r="B5633" s="56" t="n">
        <v>2015</v>
      </c>
      <c r="C5633" s="56" t="n">
        <v>9</v>
      </c>
      <c r="D5633" s="56" t="n">
        <v>124</v>
      </c>
      <c r="E5633" s="56" t="n">
        <v>19</v>
      </c>
      <c r="F5633" s="56" t="n">
        <v>0</v>
      </c>
      <c r="G5633" s="56" t="n">
        <v>13.4</v>
      </c>
      <c r="H5633" s="56" t="n">
        <v>0</v>
      </c>
      <c r="I5633" s="56" t="n">
        <v>16.3</v>
      </c>
      <c r="J5633" s="56" t="n">
        <v>0</v>
      </c>
      <c r="K5633" s="56" t="n">
        <v>1017.8</v>
      </c>
      <c r="L5633" s="56" t="n">
        <v>0</v>
      </c>
      <c r="M5633" s="56" t="n">
        <v>80</v>
      </c>
      <c r="N5633" s="56" t="n">
        <v>3.1</v>
      </c>
      <c r="O5633" s="56" t="n">
        <f aca="false">IF(D5633=1,"",E5632)</f>
        <v>19.2</v>
      </c>
      <c r="P5633" s="56" t="n">
        <f aca="false">IF(OR(D5633=1,K5632=""),"",K5632)</f>
        <v>1013.8</v>
      </c>
      <c r="Q5633" s="56" t="n">
        <f aca="false">IF(OR(F5633&lt;&gt;0,AND(I5633&lt;&gt;"",E5633&lt;I5633)),1,0)</f>
        <v>0</v>
      </c>
      <c r="R5633" s="56" t="n">
        <f aca="false">IF(AND(D5633&gt;1,Q5633=0,ISNUMBER(O5633),ISNUMBER(P5633)),IF(Q5632=0,1,0),0)</f>
        <v>1</v>
      </c>
      <c r="S5633" s="56" t="n">
        <f aca="false">R5633*(B5633&gt;=Train_Start)*(B5633&lt;=Train_End)</f>
        <v>0</v>
      </c>
      <c r="T5633" s="84" t="n">
        <f aca="false">IF(AND(ISNUMBER(O5633),ISNUMBER(P5633)),Coef_A+Coef_B1*O5633+Coef_B2*P5633,"")</f>
        <v>19.6210871083532</v>
      </c>
      <c r="U5633" s="84" t="n">
        <f aca="false">IF(AND(R5633=1,ISNUMBER(T5633)),E5633-T5633,"")</f>
        <v>-0.621087108353166</v>
      </c>
      <c r="V5633" s="84" t="n">
        <f aca="false">IF(ISNUMBER(T5633),T5633,-99)</f>
        <v>19.6210871083532</v>
      </c>
      <c r="W5633" s="84" t="n">
        <f aca="false">IF(ISNUMBER(U5633),ABS(U5633),"")</f>
        <v>0.621087108353166</v>
      </c>
    </row>
    <row r="5634" customFormat="false" ht="15" hidden="false" customHeight="false" outlineLevel="0" collapsed="false">
      <c r="A5634" s="57" t="n">
        <v>42249</v>
      </c>
      <c r="B5634" s="56" t="n">
        <v>2015</v>
      </c>
      <c r="C5634" s="56" t="n">
        <v>9</v>
      </c>
      <c r="D5634" s="56" t="n">
        <v>125</v>
      </c>
      <c r="E5634" s="56" t="n">
        <v>16.4</v>
      </c>
      <c r="F5634" s="56" t="n">
        <v>0</v>
      </c>
      <c r="G5634" s="56" t="n">
        <v>9.5</v>
      </c>
      <c r="H5634" s="56" t="n">
        <v>0</v>
      </c>
      <c r="I5634" s="56" t="n">
        <v>14.3</v>
      </c>
      <c r="J5634" s="56" t="n">
        <v>0</v>
      </c>
      <c r="K5634" s="56" t="n">
        <v>1017.8</v>
      </c>
      <c r="L5634" s="56" t="n">
        <v>0</v>
      </c>
      <c r="M5634" s="56" t="n">
        <v>75</v>
      </c>
      <c r="N5634" s="56" t="n">
        <v>5.5</v>
      </c>
      <c r="O5634" s="56" t="n">
        <f aca="false">IF(D5634=1,"",E5633)</f>
        <v>19</v>
      </c>
      <c r="P5634" s="56" t="n">
        <f aca="false">IF(OR(D5634=1,K5633=""),"",K5633)</f>
        <v>1017.8</v>
      </c>
      <c r="Q5634" s="56" t="n">
        <f aca="false">IF(OR(F5634&lt;&gt;0,AND(I5634&lt;&gt;"",E5634&lt;I5634)),1,0)</f>
        <v>0</v>
      </c>
      <c r="R5634" s="56" t="n">
        <f aca="false">IF(AND(D5634&gt;1,Q5634=0,ISNUMBER(O5634),ISNUMBER(P5634)),IF(Q5633=0,1,0),0)</f>
        <v>1</v>
      </c>
      <c r="S5634" s="56" t="n">
        <f aca="false">R5634*(B5634&gt;=Train_Start)*(B5634&lt;=Train_End)</f>
        <v>0</v>
      </c>
      <c r="T5634" s="84" t="n">
        <f aca="false">IF(AND(ISNUMBER(O5634),ISNUMBER(P5634)),Coef_A+Coef_B1*O5634+Coef_B2*P5634,"")</f>
        <v>19.5826988482806</v>
      </c>
      <c r="U5634" s="84" t="n">
        <f aca="false">IF(AND(R5634=1,ISNUMBER(T5634)),E5634-T5634,"")</f>
        <v>-3.18269884828059</v>
      </c>
      <c r="V5634" s="84" t="n">
        <f aca="false">IF(ISNUMBER(T5634),T5634,-99)</f>
        <v>19.5826988482806</v>
      </c>
      <c r="W5634" s="84" t="n">
        <f aca="false">IF(ISNUMBER(U5634),ABS(U5634),"")</f>
        <v>3.18269884828059</v>
      </c>
    </row>
    <row r="5635" customFormat="false" ht="15" hidden="false" customHeight="false" outlineLevel="0" collapsed="false">
      <c r="A5635" s="57" t="n">
        <v>42250</v>
      </c>
      <c r="B5635" s="56" t="n">
        <v>2015</v>
      </c>
      <c r="C5635" s="56" t="n">
        <v>9</v>
      </c>
      <c r="D5635" s="56" t="n">
        <v>126</v>
      </c>
      <c r="E5635" s="56" t="n">
        <v>16.6</v>
      </c>
      <c r="F5635" s="56" t="n">
        <v>0</v>
      </c>
      <c r="G5635" s="56" t="n">
        <v>9.6</v>
      </c>
      <c r="H5635" s="56" t="n">
        <v>0</v>
      </c>
      <c r="I5635" s="56" t="n">
        <v>13</v>
      </c>
      <c r="J5635" s="56" t="n">
        <v>0</v>
      </c>
      <c r="K5635" s="56" t="n">
        <v>1016.2</v>
      </c>
      <c r="L5635" s="56" t="n">
        <v>0</v>
      </c>
      <c r="M5635" s="56" t="n">
        <v>74</v>
      </c>
      <c r="N5635" s="56" t="n">
        <v>1.5</v>
      </c>
      <c r="O5635" s="56" t="n">
        <f aca="false">IF(D5635=1,"",E5634)</f>
        <v>16.4</v>
      </c>
      <c r="P5635" s="56" t="n">
        <f aca="false">IF(OR(D5635=1,K5634=""),"",K5634)</f>
        <v>1017.8</v>
      </c>
      <c r="Q5635" s="56" t="n">
        <f aca="false">IF(OR(F5635&lt;&gt;0,AND(I5635&lt;&gt;"",E5635&lt;I5635)),1,0)</f>
        <v>0</v>
      </c>
      <c r="R5635" s="56" t="n">
        <f aca="false">IF(AND(D5635&gt;1,Q5635=0,ISNUMBER(O5635),ISNUMBER(P5635)),IF(Q5634=0,1,0),0)</f>
        <v>1</v>
      </c>
      <c r="S5635" s="56" t="n">
        <f aca="false">R5635*(B5635&gt;=Train_Start)*(B5635&lt;=Train_End)</f>
        <v>0</v>
      </c>
      <c r="T5635" s="84" t="n">
        <f aca="false">IF(AND(ISNUMBER(O5635),ISNUMBER(P5635)),Coef_A+Coef_B1*O5635+Coef_B2*P5635,"")</f>
        <v>17.4524169463697</v>
      </c>
      <c r="U5635" s="84" t="n">
        <f aca="false">IF(AND(R5635=1,ISNUMBER(T5635)),E5635-T5635,"")</f>
        <v>-0.852416946369683</v>
      </c>
      <c r="V5635" s="84" t="n">
        <f aca="false">IF(ISNUMBER(T5635),T5635,-99)</f>
        <v>17.4524169463697</v>
      </c>
      <c r="W5635" s="84" t="n">
        <f aca="false">IF(ISNUMBER(U5635),ABS(U5635),"")</f>
        <v>0.852416946369683</v>
      </c>
    </row>
    <row r="5636" customFormat="false" ht="15" hidden="false" customHeight="false" outlineLevel="0" collapsed="false">
      <c r="A5636" s="57" t="n">
        <v>42251</v>
      </c>
      <c r="B5636" s="56" t="n">
        <v>2015</v>
      </c>
      <c r="C5636" s="56" t="n">
        <v>9</v>
      </c>
      <c r="D5636" s="56" t="n">
        <v>127</v>
      </c>
      <c r="E5636" s="56" t="n">
        <v>16.3</v>
      </c>
      <c r="F5636" s="56" t="n">
        <v>0</v>
      </c>
      <c r="G5636" s="56" t="n">
        <v>10.7</v>
      </c>
      <c r="H5636" s="56" t="n">
        <v>0</v>
      </c>
      <c r="I5636" s="56" t="n">
        <v>13.7</v>
      </c>
      <c r="J5636" s="56" t="n">
        <v>0</v>
      </c>
      <c r="K5636" s="56" t="n">
        <v>1017.8</v>
      </c>
      <c r="L5636" s="56" t="n">
        <v>0</v>
      </c>
      <c r="M5636" s="56" t="n">
        <v>69</v>
      </c>
      <c r="N5636" s="56" t="n">
        <v>1.5</v>
      </c>
      <c r="O5636" s="56" t="n">
        <f aca="false">IF(D5636=1,"",E5635)</f>
        <v>16.6</v>
      </c>
      <c r="P5636" s="56" t="n">
        <f aca="false">IF(OR(D5636=1,K5635=""),"",K5635)</f>
        <v>1016.2</v>
      </c>
      <c r="Q5636" s="56" t="n">
        <f aca="false">IF(OR(F5636&lt;&gt;0,AND(I5636&lt;&gt;"",E5636&lt;I5636)),1,0)</f>
        <v>0</v>
      </c>
      <c r="R5636" s="56" t="n">
        <f aca="false">IF(AND(D5636&gt;1,Q5636=0,ISNUMBER(O5636),ISNUMBER(P5636)),IF(Q5635=0,1,0),0)</f>
        <v>1</v>
      </c>
      <c r="S5636" s="56" t="n">
        <f aca="false">R5636*(B5636&gt;=Train_Start)*(B5636&lt;=Train_End)</f>
        <v>0</v>
      </c>
      <c r="T5636" s="84" t="n">
        <f aca="false">IF(AND(ISNUMBER(O5636),ISNUMBER(P5636)),Coef_A+Coef_B1*O5636+Coef_B2*P5636,"")</f>
        <v>17.5660929535638</v>
      </c>
      <c r="U5636" s="84" t="n">
        <f aca="false">IF(AND(R5636=1,ISNUMBER(T5636)),E5636-T5636,"")</f>
        <v>-1.26609295356384</v>
      </c>
      <c r="V5636" s="84" t="n">
        <f aca="false">IF(ISNUMBER(T5636),T5636,-99)</f>
        <v>17.5660929535638</v>
      </c>
      <c r="W5636" s="84" t="n">
        <f aca="false">IF(ISNUMBER(U5636),ABS(U5636),"")</f>
        <v>1.26609295356384</v>
      </c>
    </row>
    <row r="5637" customFormat="false" ht="15" hidden="false" customHeight="false" outlineLevel="0" collapsed="false">
      <c r="A5637" s="57" t="n">
        <v>42252</v>
      </c>
      <c r="B5637" s="56" t="n">
        <v>2015</v>
      </c>
      <c r="C5637" s="56" t="n">
        <v>9</v>
      </c>
      <c r="D5637" s="56" t="n">
        <v>128</v>
      </c>
      <c r="E5637" s="56" t="n">
        <v>19.9</v>
      </c>
      <c r="F5637" s="56" t="n">
        <v>0</v>
      </c>
      <c r="G5637" s="56" t="n">
        <v>8.9</v>
      </c>
      <c r="H5637" s="56" t="n">
        <v>0</v>
      </c>
      <c r="I5637" s="56" t="n">
        <v>12.6</v>
      </c>
      <c r="J5637" s="56" t="n">
        <v>0</v>
      </c>
      <c r="K5637" s="56" t="n">
        <v>1021.9</v>
      </c>
      <c r="L5637" s="56" t="n">
        <v>0</v>
      </c>
      <c r="M5637" s="56" t="n">
        <v>76</v>
      </c>
      <c r="N5637" s="56" t="n">
        <v>0.8</v>
      </c>
      <c r="O5637" s="56" t="n">
        <f aca="false">IF(D5637=1,"",E5636)</f>
        <v>16.3</v>
      </c>
      <c r="P5637" s="56" t="n">
        <f aca="false">IF(OR(D5637=1,K5636=""),"",K5636)</f>
        <v>1017.8</v>
      </c>
      <c r="Q5637" s="56" t="n">
        <f aca="false">IF(OR(F5637&lt;&gt;0,AND(I5637&lt;&gt;"",E5637&lt;I5637)),1,0)</f>
        <v>0</v>
      </c>
      <c r="R5637" s="56" t="n">
        <f aca="false">IF(AND(D5637&gt;1,Q5637=0,ISNUMBER(O5637),ISNUMBER(P5637)),IF(Q5636=0,1,0),0)</f>
        <v>1</v>
      </c>
      <c r="S5637" s="56" t="n">
        <f aca="false">R5637*(B5637&gt;=Train_Start)*(B5637&lt;=Train_End)</f>
        <v>0</v>
      </c>
      <c r="T5637" s="84" t="n">
        <f aca="false">IF(AND(ISNUMBER(O5637),ISNUMBER(P5637)),Coef_A+Coef_B1*O5637+Coef_B2*P5637,"")</f>
        <v>17.3704830270654</v>
      </c>
      <c r="U5637" s="84" t="n">
        <f aca="false">IF(AND(R5637=1,ISNUMBER(T5637)),E5637-T5637,"")</f>
        <v>2.52951697293458</v>
      </c>
      <c r="V5637" s="84" t="n">
        <f aca="false">IF(ISNUMBER(T5637),T5637,-99)</f>
        <v>17.3704830270654</v>
      </c>
      <c r="W5637" s="84" t="n">
        <f aca="false">IF(ISNUMBER(U5637),ABS(U5637),"")</f>
        <v>2.52951697293458</v>
      </c>
    </row>
    <row r="5638" customFormat="false" ht="15" hidden="false" customHeight="false" outlineLevel="0" collapsed="false">
      <c r="A5638" s="57" t="n">
        <v>42253</v>
      </c>
      <c r="B5638" s="56" t="n">
        <v>2015</v>
      </c>
      <c r="C5638" s="56" t="n">
        <v>9</v>
      </c>
      <c r="D5638" s="56" t="n">
        <v>129</v>
      </c>
      <c r="E5638" s="56" t="n">
        <v>19.3</v>
      </c>
      <c r="F5638" s="56" t="n">
        <v>0</v>
      </c>
      <c r="G5638" s="56" t="n">
        <v>5.7</v>
      </c>
      <c r="H5638" s="56" t="n">
        <v>0</v>
      </c>
      <c r="I5638" s="56" t="n">
        <v>12.8</v>
      </c>
      <c r="J5638" s="56" t="n">
        <v>0</v>
      </c>
      <c r="K5638" s="56" t="n">
        <v>1028.5</v>
      </c>
      <c r="L5638" s="56" t="n">
        <v>0</v>
      </c>
      <c r="M5638" s="56" t="n">
        <v>69</v>
      </c>
      <c r="N5638" s="56" t="n">
        <v>11.6</v>
      </c>
      <c r="O5638" s="56" t="n">
        <f aca="false">IF(D5638=1,"",E5637)</f>
        <v>19.9</v>
      </c>
      <c r="P5638" s="56" t="n">
        <f aca="false">IF(OR(D5638=1,K5637=""),"",K5637)</f>
        <v>1021.9</v>
      </c>
      <c r="Q5638" s="56" t="n">
        <f aca="false">IF(OR(F5638&lt;&gt;0,AND(I5638&lt;&gt;"",E5638&lt;I5638)),1,0)</f>
        <v>0</v>
      </c>
      <c r="R5638" s="56" t="n">
        <f aca="false">IF(AND(D5638&gt;1,Q5638=0,ISNUMBER(O5638),ISNUMBER(P5638)),IF(Q5637=0,1,0),0)</f>
        <v>1</v>
      </c>
      <c r="S5638" s="56" t="n">
        <f aca="false">R5638*(B5638&gt;=Train_Start)*(B5638&lt;=Train_End)</f>
        <v>0</v>
      </c>
      <c r="T5638" s="84" t="n">
        <f aca="false">IF(AND(ISNUMBER(O5638),ISNUMBER(P5638)),Coef_A+Coef_B1*O5638+Coef_B2*P5638,"")</f>
        <v>20.4487206900183</v>
      </c>
      <c r="U5638" s="84" t="n">
        <f aca="false">IF(AND(R5638=1,ISNUMBER(T5638)),E5638-T5638,"")</f>
        <v>-1.14872069001834</v>
      </c>
      <c r="V5638" s="84" t="n">
        <f aca="false">IF(ISNUMBER(T5638),T5638,-99)</f>
        <v>20.4487206900183</v>
      </c>
      <c r="W5638" s="84" t="n">
        <f aca="false">IF(ISNUMBER(U5638),ABS(U5638),"")</f>
        <v>1.14872069001834</v>
      </c>
    </row>
    <row r="5639" customFormat="false" ht="15" hidden="false" customHeight="false" outlineLevel="0" collapsed="false">
      <c r="A5639" s="57" t="n">
        <v>42254</v>
      </c>
      <c r="B5639" s="56" t="n">
        <v>2015</v>
      </c>
      <c r="C5639" s="56" t="n">
        <v>9</v>
      </c>
      <c r="D5639" s="56" t="n">
        <v>130</v>
      </c>
      <c r="E5639" s="56" t="n">
        <v>16.5</v>
      </c>
      <c r="F5639" s="56" t="n">
        <v>0</v>
      </c>
      <c r="G5639" s="56" t="n">
        <v>8.4</v>
      </c>
      <c r="H5639" s="56" t="n">
        <v>0</v>
      </c>
      <c r="I5639" s="56" t="n">
        <v>13.9</v>
      </c>
      <c r="J5639" s="56" t="n">
        <v>0</v>
      </c>
      <c r="K5639" s="56" t="n">
        <v>1030.6</v>
      </c>
      <c r="L5639" s="56" t="n">
        <v>0</v>
      </c>
      <c r="M5639" s="56" t="n">
        <v>75</v>
      </c>
      <c r="N5639" s="56" t="n">
        <v>9.8</v>
      </c>
      <c r="O5639" s="56" t="n">
        <f aca="false">IF(D5639=1,"",E5638)</f>
        <v>19.3</v>
      </c>
      <c r="P5639" s="56" t="n">
        <f aca="false">IF(OR(D5639=1,K5638=""),"",K5638)</f>
        <v>1028.5</v>
      </c>
      <c r="Q5639" s="56" t="n">
        <f aca="false">IF(OR(F5639&lt;&gt;0,AND(I5639&lt;&gt;"",E5639&lt;I5639)),1,0)</f>
        <v>0</v>
      </c>
      <c r="R5639" s="56" t="n">
        <f aca="false">IF(AND(D5639&gt;1,Q5639=0,ISNUMBER(O5639),ISNUMBER(P5639)),IF(Q5638=0,1,0),0)</f>
        <v>1</v>
      </c>
      <c r="S5639" s="56" t="n">
        <f aca="false">R5639*(B5639&gt;=Train_Start)*(B5639&lt;=Train_End)</f>
        <v>0</v>
      </c>
      <c r="T5639" s="84" t="n">
        <f aca="false">IF(AND(ISNUMBER(O5639),ISNUMBER(P5639)),Coef_A+Coef_B1*O5639+Coef_B2*P5639,"")</f>
        <v>20.1641584787771</v>
      </c>
      <c r="U5639" s="84" t="n">
        <f aca="false">IF(AND(R5639=1,ISNUMBER(T5639)),E5639-T5639,"")</f>
        <v>-3.66415847877708</v>
      </c>
      <c r="V5639" s="84" t="n">
        <f aca="false">IF(ISNUMBER(T5639),T5639,-99)</f>
        <v>20.1641584787771</v>
      </c>
      <c r="W5639" s="84" t="n">
        <f aca="false">IF(ISNUMBER(U5639),ABS(U5639),"")</f>
        <v>3.66415847877708</v>
      </c>
    </row>
    <row r="5640" customFormat="false" ht="15" hidden="false" customHeight="false" outlineLevel="0" collapsed="false">
      <c r="A5640" s="57" t="n">
        <v>42255</v>
      </c>
      <c r="B5640" s="56" t="n">
        <v>2015</v>
      </c>
      <c r="C5640" s="56" t="n">
        <v>9</v>
      </c>
      <c r="D5640" s="56" t="n">
        <v>131</v>
      </c>
      <c r="E5640" s="56" t="n">
        <v>19.7</v>
      </c>
      <c r="F5640" s="56" t="n">
        <v>0</v>
      </c>
      <c r="G5640" s="56" t="n">
        <v>10.1</v>
      </c>
      <c r="H5640" s="56" t="n">
        <v>0</v>
      </c>
      <c r="I5640" s="56" t="n">
        <v>13.3</v>
      </c>
      <c r="J5640" s="56" t="n">
        <v>0</v>
      </c>
      <c r="K5640" s="56" t="n">
        <v>1028.1</v>
      </c>
      <c r="L5640" s="56" t="n">
        <v>0</v>
      </c>
      <c r="M5640" s="56" t="n">
        <v>74</v>
      </c>
      <c r="N5640" s="56" t="n">
        <v>1.4</v>
      </c>
      <c r="O5640" s="56" t="n">
        <f aca="false">IF(D5640=1,"",E5639)</f>
        <v>16.5</v>
      </c>
      <c r="P5640" s="56" t="n">
        <f aca="false">IF(OR(D5640=1,K5639=""),"",K5639)</f>
        <v>1030.6</v>
      </c>
      <c r="Q5640" s="56" t="n">
        <f aca="false">IF(OR(F5640&lt;&gt;0,AND(I5640&lt;&gt;"",E5640&lt;I5640)),1,0)</f>
        <v>0</v>
      </c>
      <c r="R5640" s="56" t="n">
        <f aca="false">IF(AND(D5640&gt;1,Q5640=0,ISNUMBER(O5640),ISNUMBER(P5640)),IF(Q5639=0,1,0),0)</f>
        <v>1</v>
      </c>
      <c r="S5640" s="56" t="n">
        <f aca="false">R5640*(B5640&gt;=Train_Start)*(B5640&lt;=Train_End)</f>
        <v>0</v>
      </c>
      <c r="T5640" s="84" t="n">
        <f aca="false">IF(AND(ISNUMBER(O5640),ISNUMBER(P5640)),Coef_A+Coef_B1*O5640+Coef_B2*P5640,"")</f>
        <v>17.935885516989</v>
      </c>
      <c r="U5640" s="84" t="n">
        <f aca="false">IF(AND(R5640=1,ISNUMBER(T5640)),E5640-T5640,"")</f>
        <v>1.76411448301098</v>
      </c>
      <c r="V5640" s="84" t="n">
        <f aca="false">IF(ISNUMBER(T5640),T5640,-99)</f>
        <v>17.935885516989</v>
      </c>
      <c r="W5640" s="84" t="n">
        <f aca="false">IF(ISNUMBER(U5640),ABS(U5640),"")</f>
        <v>1.76411448301098</v>
      </c>
    </row>
    <row r="5641" customFormat="false" ht="15" hidden="false" customHeight="false" outlineLevel="0" collapsed="false">
      <c r="A5641" s="57" t="n">
        <v>42256</v>
      </c>
      <c r="B5641" s="56" t="n">
        <v>2015</v>
      </c>
      <c r="C5641" s="56" t="n">
        <v>9</v>
      </c>
      <c r="D5641" s="56" t="n">
        <v>132</v>
      </c>
      <c r="E5641" s="56" t="n">
        <v>21.2</v>
      </c>
      <c r="F5641" s="56" t="n">
        <v>0</v>
      </c>
      <c r="G5641" s="56" t="n">
        <v>12.7</v>
      </c>
      <c r="H5641" s="56" t="n">
        <v>0</v>
      </c>
      <c r="I5641" s="56" t="n">
        <v>16.2</v>
      </c>
      <c r="J5641" s="56" t="n">
        <v>0</v>
      </c>
      <c r="K5641" s="56" t="n">
        <v>1022.8</v>
      </c>
      <c r="L5641" s="56" t="n">
        <v>0</v>
      </c>
      <c r="M5641" s="56" t="n">
        <v>74</v>
      </c>
      <c r="N5641" s="56" t="n">
        <v>2.1</v>
      </c>
      <c r="O5641" s="56" t="n">
        <f aca="false">IF(D5641=1,"",E5640)</f>
        <v>19.7</v>
      </c>
      <c r="P5641" s="56" t="n">
        <f aca="false">IF(OR(D5641=1,K5640=""),"",K5640)</f>
        <v>1028.1</v>
      </c>
      <c r="Q5641" s="56" t="n">
        <f aca="false">IF(OR(F5641&lt;&gt;0,AND(I5641&lt;&gt;"",E5641&lt;I5641)),1,0)</f>
        <v>0</v>
      </c>
      <c r="R5641" s="56" t="n">
        <f aca="false">IF(AND(D5641&gt;1,Q5641=0,ISNUMBER(O5641),ISNUMBER(P5641)),IF(Q5640=0,1,0),0)</f>
        <v>1</v>
      </c>
      <c r="S5641" s="56" t="n">
        <f aca="false">R5641*(B5641&gt;=Train_Start)*(B5641&lt;=Train_End)</f>
        <v>0</v>
      </c>
      <c r="T5641" s="84" t="n">
        <f aca="false">IF(AND(ISNUMBER(O5641),ISNUMBER(P5641)),Coef_A+Coef_B1*O5641+Coef_B2*P5641,"")</f>
        <v>20.4793461981405</v>
      </c>
      <c r="U5641" s="84" t="n">
        <f aca="false">IF(AND(R5641=1,ISNUMBER(T5641)),E5641-T5641,"")</f>
        <v>0.720653801859459</v>
      </c>
      <c r="V5641" s="84" t="n">
        <f aca="false">IF(ISNUMBER(T5641),T5641,-99)</f>
        <v>20.4793461981405</v>
      </c>
      <c r="W5641" s="84" t="n">
        <f aca="false">IF(ISNUMBER(U5641),ABS(U5641),"")</f>
        <v>0.720653801859459</v>
      </c>
    </row>
    <row r="5642" customFormat="false" ht="15" hidden="false" customHeight="false" outlineLevel="0" collapsed="false">
      <c r="A5642" s="57" t="n">
        <v>42257</v>
      </c>
      <c r="B5642" s="56" t="n">
        <v>2015</v>
      </c>
      <c r="C5642" s="56" t="n">
        <v>9</v>
      </c>
      <c r="D5642" s="56" t="n">
        <v>133</v>
      </c>
      <c r="E5642" s="56" t="n">
        <v>22.3</v>
      </c>
      <c r="F5642" s="56" t="n">
        <v>0</v>
      </c>
      <c r="G5642" s="56" t="n">
        <v>11.8</v>
      </c>
      <c r="H5642" s="56" t="n">
        <v>0</v>
      </c>
      <c r="I5642" s="56" t="n">
        <v>16.5</v>
      </c>
      <c r="J5642" s="56" t="n">
        <v>0</v>
      </c>
      <c r="K5642" s="56" t="n">
        <v>1020.5</v>
      </c>
      <c r="L5642" s="56" t="n">
        <v>0</v>
      </c>
      <c r="M5642" s="56" t="n">
        <v>72</v>
      </c>
      <c r="N5642" s="56" t="n">
        <v>11.9</v>
      </c>
      <c r="O5642" s="56" t="n">
        <f aca="false">IF(D5642=1,"",E5641)</f>
        <v>21.2</v>
      </c>
      <c r="P5642" s="56" t="n">
        <f aca="false">IF(OR(D5642=1,K5641=""),"",K5641)</f>
        <v>1022.8</v>
      </c>
      <c r="Q5642" s="56" t="n">
        <f aca="false">IF(OR(F5642&lt;&gt;0,AND(I5642&lt;&gt;"",E5642&lt;I5642)),1,0)</f>
        <v>0</v>
      </c>
      <c r="R5642" s="56" t="n">
        <f aca="false">IF(AND(D5642&gt;1,Q5642=0,ISNUMBER(O5642),ISNUMBER(P5642)),IF(Q5641=0,1,0),0)</f>
        <v>1</v>
      </c>
      <c r="S5642" s="56" t="n">
        <f aca="false">R5642*(B5642&gt;=Train_Start)*(B5642&lt;=Train_End)</f>
        <v>0</v>
      </c>
      <c r="T5642" s="84" t="n">
        <f aca="false">IF(AND(ISNUMBER(O5642),ISNUMBER(P5642)),Coef_A+Coef_B1*O5642+Coef_B2*P5642,"")</f>
        <v>21.5420945461444</v>
      </c>
      <c r="U5642" s="84" t="n">
        <f aca="false">IF(AND(R5642=1,ISNUMBER(T5642)),E5642-T5642,"")</f>
        <v>0.757905453855614</v>
      </c>
      <c r="V5642" s="84" t="n">
        <f aca="false">IF(ISNUMBER(T5642),T5642,-99)</f>
        <v>21.5420945461444</v>
      </c>
      <c r="W5642" s="84" t="n">
        <f aca="false">IF(ISNUMBER(U5642),ABS(U5642),"")</f>
        <v>0.757905453855614</v>
      </c>
    </row>
    <row r="5643" customFormat="false" ht="15" hidden="false" customHeight="false" outlineLevel="0" collapsed="false">
      <c r="A5643" s="57" t="n">
        <v>42258</v>
      </c>
      <c r="B5643" s="56" t="n">
        <v>2015</v>
      </c>
      <c r="C5643" s="56" t="n">
        <v>9</v>
      </c>
      <c r="D5643" s="56" t="n">
        <v>134</v>
      </c>
      <c r="E5643" s="56" t="n">
        <v>21.5</v>
      </c>
      <c r="F5643" s="56" t="n">
        <v>0</v>
      </c>
      <c r="G5643" s="56" t="n">
        <v>11.8</v>
      </c>
      <c r="H5643" s="56" t="n">
        <v>0</v>
      </c>
      <c r="I5643" s="56" t="n">
        <v>17.1</v>
      </c>
      <c r="J5643" s="56" t="n">
        <v>0</v>
      </c>
      <c r="K5643" s="56" t="n">
        <v>1014.5</v>
      </c>
      <c r="L5643" s="56" t="n">
        <v>0</v>
      </c>
      <c r="M5643" s="56" t="n">
        <v>67</v>
      </c>
      <c r="N5643" s="56" t="n">
        <v>10</v>
      </c>
      <c r="O5643" s="56" t="n">
        <f aca="false">IF(D5643=1,"",E5642)</f>
        <v>22.3</v>
      </c>
      <c r="P5643" s="56" t="n">
        <f aca="false">IF(OR(D5643=1,K5642=""),"",K5642)</f>
        <v>1020.5</v>
      </c>
      <c r="Q5643" s="56" t="n">
        <f aca="false">IF(OR(F5643&lt;&gt;0,AND(I5643&lt;&gt;"",E5643&lt;I5643)),1,0)</f>
        <v>0</v>
      </c>
      <c r="R5643" s="56" t="n">
        <f aca="false">IF(AND(D5643&gt;1,Q5643=0,ISNUMBER(O5643),ISNUMBER(P5643)),IF(Q5642=0,1,0),0)</f>
        <v>1</v>
      </c>
      <c r="S5643" s="56" t="n">
        <f aca="false">R5643*(B5643&gt;=Train_Start)*(B5643&lt;=Train_End)</f>
        <v>0</v>
      </c>
      <c r="T5643" s="84" t="n">
        <f aca="false">IF(AND(ISNUMBER(O5643),ISNUMBER(P5643)),Coef_A+Coef_B1*O5643+Coef_B2*P5643,"")</f>
        <v>22.3712169008331</v>
      </c>
      <c r="U5643" s="84" t="n">
        <f aca="false">IF(AND(R5643=1,ISNUMBER(T5643)),E5643-T5643,"")</f>
        <v>-0.87121690083314</v>
      </c>
      <c r="V5643" s="84" t="n">
        <f aca="false">IF(ISNUMBER(T5643),T5643,-99)</f>
        <v>22.3712169008331</v>
      </c>
      <c r="W5643" s="84" t="n">
        <f aca="false">IF(ISNUMBER(U5643),ABS(U5643),"")</f>
        <v>0.87121690083314</v>
      </c>
    </row>
    <row r="5644" customFormat="false" ht="15" hidden="false" customHeight="false" outlineLevel="0" collapsed="false">
      <c r="A5644" s="57" t="n">
        <v>42259</v>
      </c>
      <c r="B5644" s="56" t="n">
        <v>2015</v>
      </c>
      <c r="C5644" s="56" t="n">
        <v>9</v>
      </c>
      <c r="D5644" s="56" t="n">
        <v>135</v>
      </c>
      <c r="E5644" s="56" t="n">
        <v>20</v>
      </c>
      <c r="F5644" s="56" t="n">
        <v>0</v>
      </c>
      <c r="G5644" s="56" t="n">
        <v>15</v>
      </c>
      <c r="H5644" s="56" t="n">
        <v>0</v>
      </c>
      <c r="I5644" s="56" t="n">
        <v>18.3</v>
      </c>
      <c r="J5644" s="56" t="n">
        <v>0</v>
      </c>
      <c r="K5644" s="56" t="n">
        <v>1007.7</v>
      </c>
      <c r="L5644" s="56" t="n">
        <v>0</v>
      </c>
      <c r="M5644" s="56" t="n">
        <v>68</v>
      </c>
      <c r="N5644" s="56" t="n">
        <v>4.9</v>
      </c>
      <c r="O5644" s="56" t="n">
        <f aca="false">IF(D5644=1,"",E5643)</f>
        <v>21.5</v>
      </c>
      <c r="P5644" s="56" t="n">
        <f aca="false">IF(OR(D5644=1,K5643=""),"",K5643)</f>
        <v>1014.5</v>
      </c>
      <c r="Q5644" s="56" t="n">
        <f aca="false">IF(OR(F5644&lt;&gt;0,AND(I5644&lt;&gt;"",E5644&lt;I5644)),1,0)</f>
        <v>0</v>
      </c>
      <c r="R5644" s="56" t="n">
        <f aca="false">IF(AND(D5644&gt;1,Q5644=0,ISNUMBER(O5644),ISNUMBER(P5644)),IF(Q5643=0,1,0),0)</f>
        <v>1</v>
      </c>
      <c r="S5644" s="56" t="n">
        <f aca="false">R5644*(B5644&gt;=Train_Start)*(B5644&lt;=Train_End)</f>
        <v>0</v>
      </c>
      <c r="T5644" s="84" t="n">
        <f aca="false">IF(AND(ISNUMBER(O5644),ISNUMBER(P5644)),Coef_A+Coef_B1*O5644+Coef_B2*P5644,"")</f>
        <v>21.5275261785951</v>
      </c>
      <c r="U5644" s="84" t="n">
        <f aca="false">IF(AND(R5644=1,ISNUMBER(T5644)),E5644-T5644,"")</f>
        <v>-1.52752617859507</v>
      </c>
      <c r="V5644" s="84" t="n">
        <f aca="false">IF(ISNUMBER(T5644),T5644,-99)</f>
        <v>21.5275261785951</v>
      </c>
      <c r="W5644" s="84" t="n">
        <f aca="false">IF(ISNUMBER(U5644),ABS(U5644),"")</f>
        <v>1.52752617859507</v>
      </c>
    </row>
    <row r="5645" customFormat="false" ht="15" hidden="false" customHeight="false" outlineLevel="0" collapsed="false">
      <c r="A5645" s="57" t="n">
        <v>42260</v>
      </c>
      <c r="B5645" s="56" t="n">
        <v>2015</v>
      </c>
      <c r="C5645" s="56" t="n">
        <v>9</v>
      </c>
      <c r="D5645" s="56" t="n">
        <v>136</v>
      </c>
      <c r="E5645" s="56" t="n">
        <v>19.8</v>
      </c>
      <c r="F5645" s="56" t="n">
        <v>0</v>
      </c>
      <c r="G5645" s="56" t="n">
        <v>10</v>
      </c>
      <c r="H5645" s="56" t="n">
        <v>0</v>
      </c>
      <c r="I5645" s="56" t="n">
        <v>15</v>
      </c>
      <c r="J5645" s="56" t="n">
        <v>0</v>
      </c>
      <c r="K5645" s="56" t="n">
        <v>1005.7</v>
      </c>
      <c r="L5645" s="56" t="n">
        <v>0</v>
      </c>
      <c r="M5645" s="56" t="n">
        <v>74</v>
      </c>
      <c r="N5645" s="56" t="n">
        <v>2.3</v>
      </c>
      <c r="O5645" s="56" t="n">
        <f aca="false">IF(D5645=1,"",E5644)</f>
        <v>20</v>
      </c>
      <c r="P5645" s="56" t="n">
        <f aca="false">IF(OR(D5645=1,K5644=""),"",K5644)</f>
        <v>1007.7</v>
      </c>
      <c r="Q5645" s="56" t="n">
        <f aca="false">IF(OR(F5645&lt;&gt;0,AND(I5645&lt;&gt;"",E5645&lt;I5645)),1,0)</f>
        <v>0</v>
      </c>
      <c r="R5645" s="56" t="n">
        <f aca="false">IF(AND(D5645&gt;1,Q5645=0,ISNUMBER(O5645),ISNUMBER(P5645)),IF(Q5644=0,1,0),0)</f>
        <v>1</v>
      </c>
      <c r="S5645" s="56" t="n">
        <f aca="false">R5645*(B5645&gt;=Train_Start)*(B5645&lt;=Train_End)</f>
        <v>0</v>
      </c>
      <c r="T5645" s="84" t="n">
        <f aca="false">IF(AND(ISNUMBER(O5645),ISNUMBER(P5645)),Coef_A+Coef_B1*O5645+Coef_B2*P5645,"")</f>
        <v>20.08520210552</v>
      </c>
      <c r="U5645" s="84" t="n">
        <f aca="false">IF(AND(R5645=1,ISNUMBER(T5645)),E5645-T5645,"")</f>
        <v>-0.285202105519961</v>
      </c>
      <c r="V5645" s="84" t="n">
        <f aca="false">IF(ISNUMBER(T5645),T5645,-99)</f>
        <v>20.08520210552</v>
      </c>
      <c r="W5645" s="84" t="n">
        <f aca="false">IF(ISNUMBER(U5645),ABS(U5645),"")</f>
        <v>0.285202105519961</v>
      </c>
    </row>
    <row r="5646" customFormat="false" ht="15" hidden="false" customHeight="false" outlineLevel="0" collapsed="false">
      <c r="A5646" s="57" t="n">
        <v>42261</v>
      </c>
      <c r="B5646" s="56" t="n">
        <v>2015</v>
      </c>
      <c r="C5646" s="56" t="n">
        <v>9</v>
      </c>
      <c r="D5646" s="56" t="n">
        <v>137</v>
      </c>
      <c r="E5646" s="56" t="n">
        <v>19.9</v>
      </c>
      <c r="F5646" s="56" t="n">
        <v>0</v>
      </c>
      <c r="G5646" s="56" t="n">
        <v>11.8</v>
      </c>
      <c r="H5646" s="56" t="n">
        <v>0</v>
      </c>
      <c r="I5646" s="56" t="n">
        <v>15.8</v>
      </c>
      <c r="J5646" s="56" t="n">
        <v>0</v>
      </c>
      <c r="K5646" s="56" t="n">
        <v>994.6</v>
      </c>
      <c r="L5646" s="56" t="n">
        <v>0</v>
      </c>
      <c r="M5646" s="56" t="n">
        <v>83</v>
      </c>
      <c r="N5646" s="56" t="n">
        <v>3.1</v>
      </c>
      <c r="O5646" s="56" t="n">
        <f aca="false">IF(D5646=1,"",E5645)</f>
        <v>19.8</v>
      </c>
      <c r="P5646" s="56" t="n">
        <f aca="false">IF(OR(D5646=1,K5645=""),"",K5645)</f>
        <v>1005.7</v>
      </c>
      <c r="Q5646" s="56" t="n">
        <f aca="false">IF(OR(F5646&lt;&gt;0,AND(I5646&lt;&gt;"",E5646&lt;I5646)),1,0)</f>
        <v>0</v>
      </c>
      <c r="R5646" s="56" t="n">
        <f aca="false">IF(AND(D5646&gt;1,Q5646=0,ISNUMBER(O5646),ISNUMBER(P5646)),IF(Q5645=0,1,0),0)</f>
        <v>1</v>
      </c>
      <c r="S5646" s="56" t="n">
        <f aca="false">R5646*(B5646&gt;=Train_Start)*(B5646&lt;=Train_End)</f>
        <v>0</v>
      </c>
      <c r="T5646" s="84" t="n">
        <f aca="false">IF(AND(ISNUMBER(O5646),ISNUMBER(P5646)),Coef_A+Coef_B1*O5646+Coef_B2*P5646,"")</f>
        <v>19.8585944776435</v>
      </c>
      <c r="U5646" s="84" t="n">
        <f aca="false">IF(AND(R5646=1,ISNUMBER(T5646)),E5646-T5646,"")</f>
        <v>0.0414055223565448</v>
      </c>
      <c r="V5646" s="84" t="n">
        <f aca="false">IF(ISNUMBER(T5646),T5646,-99)</f>
        <v>19.8585944776435</v>
      </c>
      <c r="W5646" s="84" t="n">
        <f aca="false">IF(ISNUMBER(U5646),ABS(U5646),"")</f>
        <v>0.0414055223565448</v>
      </c>
    </row>
    <row r="5647" customFormat="false" ht="15" hidden="false" customHeight="false" outlineLevel="0" collapsed="false">
      <c r="A5647" s="57" t="n">
        <v>42262</v>
      </c>
      <c r="B5647" s="56" t="n">
        <v>2015</v>
      </c>
      <c r="C5647" s="56" t="n">
        <v>9</v>
      </c>
      <c r="D5647" s="56" t="n">
        <v>138</v>
      </c>
      <c r="E5647" s="56" t="n">
        <v>16</v>
      </c>
      <c r="F5647" s="56" t="n">
        <v>0</v>
      </c>
      <c r="G5647" s="56" t="n">
        <v>10.3</v>
      </c>
      <c r="H5647" s="56" t="n">
        <v>0</v>
      </c>
      <c r="I5647" s="56" t="n">
        <v>15.1</v>
      </c>
      <c r="J5647" s="56" t="n">
        <v>0</v>
      </c>
      <c r="K5647" s="56" t="n">
        <v>995.8</v>
      </c>
      <c r="L5647" s="56" t="n">
        <v>0</v>
      </c>
      <c r="M5647" s="56" t="n">
        <v>80</v>
      </c>
      <c r="N5647" s="56" t="n">
        <v>1.1</v>
      </c>
      <c r="O5647" s="56" t="n">
        <f aca="false">IF(D5647=1,"",E5646)</f>
        <v>19.9</v>
      </c>
      <c r="P5647" s="56" t="n">
        <f aca="false">IF(OR(D5647=1,K5646=""),"",K5646)</f>
        <v>994.6</v>
      </c>
      <c r="Q5647" s="56" t="n">
        <f aca="false">IF(OR(F5647&lt;&gt;0,AND(I5647&lt;&gt;"",E5647&lt;I5647)),1,0)</f>
        <v>0</v>
      </c>
      <c r="R5647" s="56" t="n">
        <f aca="false">IF(AND(D5647&gt;1,Q5647=0,ISNUMBER(O5647),ISNUMBER(P5647)),IF(Q5646=0,1,0),0)</f>
        <v>1</v>
      </c>
      <c r="S5647" s="56" t="n">
        <f aca="false">R5647*(B5647&gt;=Train_Start)*(B5647&lt;=Train_End)</f>
        <v>0</v>
      </c>
      <c r="T5647" s="84" t="n">
        <f aca="false">IF(AND(ISNUMBER(O5647),ISNUMBER(P5647)),Coef_A+Coef_B1*O5647+Coef_B2*P5647,"")</f>
        <v>19.5923225665104</v>
      </c>
      <c r="U5647" s="84" t="n">
        <f aca="false">IF(AND(R5647=1,ISNUMBER(T5647)),E5647-T5647,"")</f>
        <v>-3.59232256651043</v>
      </c>
      <c r="V5647" s="84" t="n">
        <f aca="false">IF(ISNUMBER(T5647),T5647,-99)</f>
        <v>19.5923225665104</v>
      </c>
      <c r="W5647" s="84" t="n">
        <f aca="false">IF(ISNUMBER(U5647),ABS(U5647),"")</f>
        <v>3.59232256651043</v>
      </c>
    </row>
    <row r="5648" customFormat="false" ht="15" hidden="false" customHeight="false" outlineLevel="0" collapsed="false">
      <c r="A5648" s="57" t="n">
        <v>42263</v>
      </c>
      <c r="B5648" s="56" t="n">
        <v>2015</v>
      </c>
      <c r="C5648" s="56" t="n">
        <v>9</v>
      </c>
      <c r="D5648" s="56" t="n">
        <v>139</v>
      </c>
      <c r="E5648" s="56" t="n">
        <v>18.5</v>
      </c>
      <c r="F5648" s="56" t="n">
        <v>0</v>
      </c>
      <c r="G5648" s="56" t="n">
        <v>10.5</v>
      </c>
      <c r="H5648" s="56" t="n">
        <v>0</v>
      </c>
      <c r="I5648" s="56" t="n">
        <v>13.3</v>
      </c>
      <c r="J5648" s="56" t="n">
        <v>0</v>
      </c>
      <c r="K5648" s="56" t="n">
        <v>988.7</v>
      </c>
      <c r="L5648" s="56" t="n">
        <v>0</v>
      </c>
      <c r="M5648" s="56" t="n">
        <v>91</v>
      </c>
      <c r="N5648" s="56" t="n">
        <v>0.1</v>
      </c>
      <c r="O5648" s="56" t="n">
        <f aca="false">IF(D5648=1,"",E5647)</f>
        <v>16</v>
      </c>
      <c r="P5648" s="56" t="n">
        <f aca="false">IF(OR(D5648=1,K5647=""),"",K5647)</f>
        <v>995.8</v>
      </c>
      <c r="Q5648" s="56" t="n">
        <f aca="false">IF(OR(F5648&lt;&gt;0,AND(I5648&lt;&gt;"",E5648&lt;I5648)),1,0)</f>
        <v>0</v>
      </c>
      <c r="R5648" s="56" t="n">
        <f aca="false">IF(AND(D5648&gt;1,Q5648=0,ISNUMBER(O5648),ISNUMBER(P5648)),IF(Q5647=0,1,0),0)</f>
        <v>1</v>
      </c>
      <c r="S5648" s="56" t="n">
        <f aca="false">R5648*(B5648&gt;=Train_Start)*(B5648&lt;=Train_End)</f>
        <v>0</v>
      </c>
      <c r="T5648" s="84" t="n">
        <f aca="false">IF(AND(ISNUMBER(O5648),ISNUMBER(P5648)),Coef_A+Coef_B1*O5648+Coef_B2*P5648,"")</f>
        <v>16.4345435872049</v>
      </c>
      <c r="U5648" s="84" t="n">
        <f aca="false">IF(AND(R5648=1,ISNUMBER(T5648)),E5648-T5648,"")</f>
        <v>2.06545641279514</v>
      </c>
      <c r="V5648" s="84" t="n">
        <f aca="false">IF(ISNUMBER(T5648),T5648,-99)</f>
        <v>16.4345435872049</v>
      </c>
      <c r="W5648" s="84" t="n">
        <f aca="false">IF(ISNUMBER(U5648),ABS(U5648),"")</f>
        <v>2.06545641279514</v>
      </c>
    </row>
    <row r="5649" customFormat="false" ht="15" hidden="false" customHeight="false" outlineLevel="0" collapsed="false">
      <c r="A5649" s="57" t="n">
        <v>42264</v>
      </c>
      <c r="B5649" s="56" t="n">
        <v>2015</v>
      </c>
      <c r="C5649" s="56" t="n">
        <v>9</v>
      </c>
      <c r="D5649" s="56" t="n">
        <v>140</v>
      </c>
      <c r="E5649" s="56" t="n">
        <v>19.5</v>
      </c>
      <c r="F5649" s="56" t="n">
        <v>0</v>
      </c>
      <c r="G5649" s="56" t="n">
        <v>9.1</v>
      </c>
      <c r="H5649" s="56" t="n">
        <v>0</v>
      </c>
      <c r="I5649" s="56" t="n">
        <v>13.8</v>
      </c>
      <c r="J5649" s="56" t="n">
        <v>0</v>
      </c>
      <c r="K5649" s="56" t="n">
        <v>999.8</v>
      </c>
      <c r="L5649" s="56" t="n">
        <v>0</v>
      </c>
      <c r="M5649" s="56" t="n">
        <v>77</v>
      </c>
      <c r="N5649" s="56" t="n">
        <v>7.3</v>
      </c>
      <c r="O5649" s="56" t="n">
        <f aca="false">IF(D5649=1,"",E5648)</f>
        <v>18.5</v>
      </c>
      <c r="P5649" s="56" t="n">
        <f aca="false">IF(OR(D5649=1,K5648=""),"",K5648)</f>
        <v>988.7</v>
      </c>
      <c r="Q5649" s="56" t="n">
        <f aca="false">IF(OR(F5649&lt;&gt;0,AND(I5649&lt;&gt;"",E5649&lt;I5649)),1,0)</f>
        <v>0</v>
      </c>
      <c r="R5649" s="56" t="n">
        <f aca="false">IF(AND(D5649&gt;1,Q5649=0,ISNUMBER(O5649),ISNUMBER(P5649)),IF(Q5648=0,1,0),0)</f>
        <v>1</v>
      </c>
      <c r="S5649" s="56" t="n">
        <f aca="false">R5649*(B5649&gt;=Train_Start)*(B5649&lt;=Train_End)</f>
        <v>0</v>
      </c>
      <c r="T5649" s="84" t="n">
        <f aca="false">IF(AND(ISNUMBER(O5649),ISNUMBER(P5649)),Coef_A+Coef_B1*O5649+Coef_B2*P5649,"")</f>
        <v>18.2601653179102</v>
      </c>
      <c r="U5649" s="84" t="n">
        <f aca="false">IF(AND(R5649=1,ISNUMBER(T5649)),E5649-T5649,"")</f>
        <v>1.23983468208982</v>
      </c>
      <c r="V5649" s="84" t="n">
        <f aca="false">IF(ISNUMBER(T5649),T5649,-99)</f>
        <v>18.2601653179102</v>
      </c>
      <c r="W5649" s="84" t="n">
        <f aca="false">IF(ISNUMBER(U5649),ABS(U5649),"")</f>
        <v>1.23983468208982</v>
      </c>
    </row>
    <row r="5650" customFormat="false" ht="15" hidden="false" customHeight="false" outlineLevel="0" collapsed="false">
      <c r="A5650" s="57" t="n">
        <v>42265</v>
      </c>
      <c r="B5650" s="56" t="n">
        <v>2015</v>
      </c>
      <c r="C5650" s="56" t="n">
        <v>9</v>
      </c>
      <c r="D5650" s="56" t="n">
        <v>141</v>
      </c>
      <c r="E5650" s="56" t="n">
        <v>19.6</v>
      </c>
      <c r="F5650" s="56" t="n">
        <v>0</v>
      </c>
      <c r="G5650" s="56" t="n">
        <v>11.7</v>
      </c>
      <c r="H5650" s="56" t="n">
        <v>0</v>
      </c>
      <c r="I5650" s="56" t="n">
        <v>15.6</v>
      </c>
      <c r="J5650" s="56" t="n">
        <v>0</v>
      </c>
      <c r="K5650" s="56" t="n">
        <v>1011.2</v>
      </c>
      <c r="L5650" s="56" t="n">
        <v>0</v>
      </c>
      <c r="M5650" s="56" t="n">
        <v>83</v>
      </c>
      <c r="N5650" s="56" t="n">
        <v>2.4</v>
      </c>
      <c r="O5650" s="56" t="n">
        <f aca="false">IF(D5650=1,"",E5649)</f>
        <v>19.5</v>
      </c>
      <c r="P5650" s="56" t="n">
        <f aca="false">IF(OR(D5650=1,K5649=""),"",K5649)</f>
        <v>999.8</v>
      </c>
      <c r="Q5650" s="56" t="n">
        <f aca="false">IF(OR(F5650&lt;&gt;0,AND(I5650&lt;&gt;"",E5650&lt;I5650)),1,0)</f>
        <v>0</v>
      </c>
      <c r="R5650" s="56" t="n">
        <f aca="false">IF(AND(D5650&gt;1,Q5650=0,ISNUMBER(O5650),ISNUMBER(P5650)),IF(Q5649=0,1,0),0)</f>
        <v>1</v>
      </c>
      <c r="S5650" s="56" t="n">
        <f aca="false">R5650*(B5650&gt;=Train_Start)*(B5650&lt;=Train_End)</f>
        <v>0</v>
      </c>
      <c r="T5650" s="84" t="n">
        <f aca="false">IF(AND(ISNUMBER(O5650),ISNUMBER(P5650)),Coef_A+Coef_B1*O5650+Coef_B2*P5650,"")</f>
        <v>19.4277103413901</v>
      </c>
      <c r="U5650" s="84" t="n">
        <f aca="false">IF(AND(R5650=1,ISNUMBER(T5650)),E5650-T5650,"")</f>
        <v>0.172289658609891</v>
      </c>
      <c r="V5650" s="84" t="n">
        <f aca="false">IF(ISNUMBER(T5650),T5650,-99)</f>
        <v>19.4277103413901</v>
      </c>
      <c r="W5650" s="84" t="n">
        <f aca="false">IF(ISNUMBER(U5650),ABS(U5650),"")</f>
        <v>0.172289658609891</v>
      </c>
    </row>
    <row r="5651" customFormat="false" ht="15" hidden="false" customHeight="false" outlineLevel="0" collapsed="false">
      <c r="A5651" s="57" t="n">
        <v>42266</v>
      </c>
      <c r="B5651" s="56" t="n">
        <v>2015</v>
      </c>
      <c r="C5651" s="56" t="n">
        <v>9</v>
      </c>
      <c r="D5651" s="56" t="n">
        <v>142</v>
      </c>
      <c r="E5651" s="56" t="n">
        <v>20.2</v>
      </c>
      <c r="F5651" s="56" t="n">
        <v>0</v>
      </c>
      <c r="G5651" s="56" t="n">
        <v>10.7</v>
      </c>
      <c r="H5651" s="56" t="n">
        <v>0</v>
      </c>
      <c r="I5651" s="56" t="n">
        <v>15.2</v>
      </c>
      <c r="J5651" s="56" t="n">
        <v>0</v>
      </c>
      <c r="K5651" s="56" t="n">
        <v>1024.8</v>
      </c>
      <c r="L5651" s="56" t="n">
        <v>0</v>
      </c>
      <c r="M5651" s="56" t="n">
        <v>76</v>
      </c>
      <c r="N5651" s="56" t="n">
        <v>8.1</v>
      </c>
      <c r="O5651" s="56" t="n">
        <f aca="false">IF(D5651=1,"",E5650)</f>
        <v>19.6</v>
      </c>
      <c r="P5651" s="56" t="n">
        <f aca="false">IF(OR(D5651=1,K5650=""),"",K5650)</f>
        <v>1011.2</v>
      </c>
      <c r="Q5651" s="56" t="n">
        <f aca="false">IF(OR(F5651&lt;&gt;0,AND(I5651&lt;&gt;"",E5651&lt;I5651)),1,0)</f>
        <v>0</v>
      </c>
      <c r="R5651" s="56" t="n">
        <f aca="false">IF(AND(D5651&gt;1,Q5651=0,ISNUMBER(O5651),ISNUMBER(P5651)),IF(Q5650=0,1,0),0)</f>
        <v>1</v>
      </c>
      <c r="S5651" s="56" t="n">
        <f aca="false">R5651*(B5651&gt;=Train_Start)*(B5651&lt;=Train_End)</f>
        <v>0</v>
      </c>
      <c r="T5651" s="84" t="n">
        <f aca="false">IF(AND(ISNUMBER(O5651),ISNUMBER(P5651)),Coef_A+Coef_B1*O5651+Coef_B2*P5651,"")</f>
        <v>19.8672610595219</v>
      </c>
      <c r="U5651" s="84" t="n">
        <f aca="false">IF(AND(R5651=1,ISNUMBER(T5651)),E5651-T5651,"")</f>
        <v>0.332738940478137</v>
      </c>
      <c r="V5651" s="84" t="n">
        <f aca="false">IF(ISNUMBER(T5651),T5651,-99)</f>
        <v>19.8672610595219</v>
      </c>
      <c r="W5651" s="84" t="n">
        <f aca="false">IF(ISNUMBER(U5651),ABS(U5651),"")</f>
        <v>0.332738940478137</v>
      </c>
    </row>
    <row r="5652" customFormat="false" ht="15" hidden="false" customHeight="false" outlineLevel="0" collapsed="false">
      <c r="A5652" s="57" t="n">
        <v>42267</v>
      </c>
      <c r="B5652" s="56" t="n">
        <v>2015</v>
      </c>
      <c r="C5652" s="56" t="n">
        <v>9</v>
      </c>
      <c r="D5652" s="56" t="n">
        <v>143</v>
      </c>
      <c r="E5652" s="56" t="n">
        <v>14.8</v>
      </c>
      <c r="F5652" s="56" t="n">
        <v>0</v>
      </c>
      <c r="G5652" s="56" t="n">
        <v>9.1</v>
      </c>
      <c r="H5652" s="56" t="n">
        <v>0</v>
      </c>
      <c r="I5652" s="56" t="n">
        <v>14.7</v>
      </c>
      <c r="J5652" s="56" t="n">
        <v>0</v>
      </c>
      <c r="K5652" s="56" t="n">
        <v>1024.8</v>
      </c>
      <c r="L5652" s="56" t="n">
        <v>0</v>
      </c>
      <c r="M5652" s="56" t="n">
        <v>80</v>
      </c>
      <c r="N5652" s="56" t="n">
        <v>7.5</v>
      </c>
      <c r="O5652" s="56" t="n">
        <f aca="false">IF(D5652=1,"",E5651)</f>
        <v>20.2</v>
      </c>
      <c r="P5652" s="56" t="n">
        <f aca="false">IF(OR(D5652=1,K5651=""),"",K5651)</f>
        <v>1024.8</v>
      </c>
      <c r="Q5652" s="56" t="n">
        <f aca="false">IF(OR(F5652&lt;&gt;0,AND(I5652&lt;&gt;"",E5652&lt;I5652)),1,0)</f>
        <v>0</v>
      </c>
      <c r="R5652" s="56" t="n">
        <f aca="false">IF(AND(D5652&gt;1,Q5652=0,ISNUMBER(O5652),ISNUMBER(P5652)),IF(Q5651=0,1,0),0)</f>
        <v>1</v>
      </c>
      <c r="S5652" s="56" t="n">
        <f aca="false">R5652*(B5652&gt;=Train_Start)*(B5652&lt;=Train_End)</f>
        <v>0</v>
      </c>
      <c r="T5652" s="84" t="n">
        <f aca="false">IF(AND(ISNUMBER(O5652),ISNUMBER(P5652)),Coef_A+Coef_B1*O5652+Coef_B2*P5652,"")</f>
        <v>20.7854951423697</v>
      </c>
      <c r="U5652" s="84" t="n">
        <f aca="false">IF(AND(R5652=1,ISNUMBER(T5652)),E5652-T5652,"")</f>
        <v>-5.98549514236971</v>
      </c>
      <c r="V5652" s="84" t="n">
        <f aca="false">IF(ISNUMBER(T5652),T5652,-99)</f>
        <v>20.7854951423697</v>
      </c>
      <c r="W5652" s="84" t="n">
        <f aca="false">IF(ISNUMBER(U5652),ABS(U5652),"")</f>
        <v>5.98549514236971</v>
      </c>
    </row>
    <row r="5653" customFormat="false" ht="15" hidden="false" customHeight="false" outlineLevel="0" collapsed="false">
      <c r="A5653" s="57" t="n">
        <v>42268</v>
      </c>
      <c r="B5653" s="56" t="n">
        <v>2015</v>
      </c>
      <c r="C5653" s="56" t="n">
        <v>9</v>
      </c>
      <c r="D5653" s="56" t="n">
        <v>144</v>
      </c>
      <c r="E5653" s="56" t="n">
        <v>15.3</v>
      </c>
      <c r="F5653" s="56" t="n">
        <v>0</v>
      </c>
      <c r="G5653" s="56" t="n">
        <v>12.9</v>
      </c>
      <c r="H5653" s="56" t="n">
        <v>0</v>
      </c>
      <c r="I5653" s="56" t="n">
        <v>13.9</v>
      </c>
      <c r="J5653" s="56" t="n">
        <v>0</v>
      </c>
      <c r="K5653" s="56" t="n">
        <v>1011.9</v>
      </c>
      <c r="L5653" s="56" t="n">
        <v>0</v>
      </c>
      <c r="M5653" s="56" t="n">
        <v>90</v>
      </c>
      <c r="N5653" s="56" t="n">
        <v>0.3</v>
      </c>
      <c r="O5653" s="56" t="n">
        <f aca="false">IF(D5653=1,"",E5652)</f>
        <v>14.8</v>
      </c>
      <c r="P5653" s="56" t="n">
        <f aca="false">IF(OR(D5653=1,K5652=""),"",K5652)</f>
        <v>1024.8</v>
      </c>
      <c r="Q5653" s="56" t="n">
        <f aca="false">IF(OR(F5653&lt;&gt;0,AND(I5653&lt;&gt;"",E5653&lt;I5653)),1,0)</f>
        <v>0</v>
      </c>
      <c r="R5653" s="56" t="n">
        <f aca="false">IF(AND(D5653&gt;1,Q5653=0,ISNUMBER(O5653),ISNUMBER(P5653)),IF(Q5652=0,1,0),0)</f>
        <v>1</v>
      </c>
      <c r="S5653" s="56" t="n">
        <f aca="false">R5653*(B5653&gt;=Train_Start)*(B5653&lt;=Train_End)</f>
        <v>0</v>
      </c>
      <c r="T5653" s="84" t="n">
        <f aca="false">IF(AND(ISNUMBER(O5653),ISNUMBER(P5653)),Coef_A+Coef_B1*O5653+Coef_B2*P5653,"")</f>
        <v>16.3610634999394</v>
      </c>
      <c r="U5653" s="84" t="n">
        <f aca="false">IF(AND(R5653=1,ISNUMBER(T5653)),E5653-T5653,"")</f>
        <v>-1.06106349993936</v>
      </c>
      <c r="V5653" s="84" t="n">
        <f aca="false">IF(ISNUMBER(T5653),T5653,-99)</f>
        <v>16.3610634999394</v>
      </c>
      <c r="W5653" s="84" t="n">
        <f aca="false">IF(ISNUMBER(U5653),ABS(U5653),"")</f>
        <v>1.06106349993936</v>
      </c>
    </row>
    <row r="5654" customFormat="false" ht="15" hidden="false" customHeight="false" outlineLevel="0" collapsed="false">
      <c r="A5654" s="57" t="n">
        <v>42269</v>
      </c>
      <c r="B5654" s="56" t="n">
        <v>2015</v>
      </c>
      <c r="C5654" s="56" t="n">
        <v>9</v>
      </c>
      <c r="D5654" s="56" t="n">
        <v>145</v>
      </c>
      <c r="E5654" s="56" t="n">
        <v>17.4</v>
      </c>
      <c r="F5654" s="56" t="n">
        <v>0</v>
      </c>
      <c r="G5654" s="56" t="n">
        <v>8.6</v>
      </c>
      <c r="H5654" s="56" t="n">
        <v>0</v>
      </c>
      <c r="I5654" s="56" t="n">
        <v>12</v>
      </c>
      <c r="J5654" s="56" t="n">
        <v>0</v>
      </c>
      <c r="K5654" s="56" t="n">
        <v>1002.3</v>
      </c>
      <c r="L5654" s="56" t="n">
        <v>0</v>
      </c>
      <c r="M5654" s="56" t="n">
        <v>88</v>
      </c>
      <c r="N5654" s="56" t="n">
        <v>0.7</v>
      </c>
      <c r="O5654" s="56" t="n">
        <f aca="false">IF(D5654=1,"",E5653)</f>
        <v>15.3</v>
      </c>
      <c r="P5654" s="56" t="n">
        <f aca="false">IF(OR(D5654=1,K5653=""),"",K5653)</f>
        <v>1011.9</v>
      </c>
      <c r="Q5654" s="56" t="n">
        <f aca="false">IF(OR(F5654&lt;&gt;0,AND(I5654&lt;&gt;"",E5654&lt;I5654)),1,0)</f>
        <v>0</v>
      </c>
      <c r="R5654" s="56" t="n">
        <f aca="false">IF(AND(D5654&gt;1,Q5654=0,ISNUMBER(O5654),ISNUMBER(P5654)),IF(Q5653=0,1,0),0)</f>
        <v>1</v>
      </c>
      <c r="S5654" s="56" t="n">
        <f aca="false">R5654*(B5654&gt;=Train_Start)*(B5654&lt;=Train_End)</f>
        <v>0</v>
      </c>
      <c r="T5654" s="84" t="n">
        <f aca="false">IF(AND(ISNUMBER(O5654),ISNUMBER(P5654)),Coef_A+Coef_B1*O5654+Coef_B2*P5654,"")</f>
        <v>16.3660614556822</v>
      </c>
      <c r="U5654" s="84" t="n">
        <f aca="false">IF(AND(R5654=1,ISNUMBER(T5654)),E5654-T5654,"")</f>
        <v>1.03393854431777</v>
      </c>
      <c r="V5654" s="84" t="n">
        <f aca="false">IF(ISNUMBER(T5654),T5654,-99)</f>
        <v>16.3660614556822</v>
      </c>
      <c r="W5654" s="84" t="n">
        <f aca="false">IF(ISNUMBER(U5654),ABS(U5654),"")</f>
        <v>1.03393854431777</v>
      </c>
    </row>
    <row r="5655" customFormat="false" ht="15" hidden="false" customHeight="false" outlineLevel="0" collapsed="false">
      <c r="A5655" s="57" t="n">
        <v>42270</v>
      </c>
      <c r="B5655" s="56" t="n">
        <v>2015</v>
      </c>
      <c r="C5655" s="56" t="n">
        <v>9</v>
      </c>
      <c r="D5655" s="56" t="n">
        <v>146</v>
      </c>
      <c r="E5655" s="56" t="n">
        <v>18.7</v>
      </c>
      <c r="F5655" s="56" t="n">
        <v>0</v>
      </c>
      <c r="G5655" s="56" t="n">
        <v>7.9</v>
      </c>
      <c r="H5655" s="56" t="n">
        <v>0</v>
      </c>
      <c r="I5655" s="56" t="n">
        <v>12.7</v>
      </c>
      <c r="J5655" s="56" t="n">
        <v>0</v>
      </c>
      <c r="K5655" s="56" t="n">
        <v>1011.8</v>
      </c>
      <c r="L5655" s="56" t="n">
        <v>0</v>
      </c>
      <c r="M5655" s="56" t="n">
        <v>76</v>
      </c>
      <c r="N5655" s="56" t="n">
        <v>6.2</v>
      </c>
      <c r="O5655" s="56" t="n">
        <f aca="false">IF(D5655=1,"",E5654)</f>
        <v>17.4</v>
      </c>
      <c r="P5655" s="56" t="n">
        <f aca="false">IF(OR(D5655=1,K5654=""),"",K5654)</f>
        <v>1002.3</v>
      </c>
      <c r="Q5655" s="56" t="n">
        <f aca="false">IF(OR(F5655&lt;&gt;0,AND(I5655&lt;&gt;"",E5655&lt;I5655)),1,0)</f>
        <v>0</v>
      </c>
      <c r="R5655" s="56" t="n">
        <f aca="false">IF(AND(D5655&gt;1,Q5655=0,ISNUMBER(O5655),ISNUMBER(P5655)),IF(Q5654=0,1,0),0)</f>
        <v>1</v>
      </c>
      <c r="S5655" s="56" t="n">
        <f aca="false">R5655*(B5655&gt;=Train_Start)*(B5655&lt;=Train_End)</f>
        <v>0</v>
      </c>
      <c r="T5655" s="84" t="n">
        <f aca="false">IF(AND(ISNUMBER(O5655),ISNUMBER(P5655)),Coef_A+Coef_B1*O5655+Coef_B2*P5655,"")</f>
        <v>17.7855227725855</v>
      </c>
      <c r="U5655" s="84" t="n">
        <f aca="false">IF(AND(R5655=1,ISNUMBER(T5655)),E5655-T5655,"")</f>
        <v>0.914477227414494</v>
      </c>
      <c r="V5655" s="84" t="n">
        <f aca="false">IF(ISNUMBER(T5655),T5655,-99)</f>
        <v>17.7855227725855</v>
      </c>
      <c r="W5655" s="84" t="n">
        <f aca="false">IF(ISNUMBER(U5655),ABS(U5655),"")</f>
        <v>0.914477227414494</v>
      </c>
    </row>
    <row r="5656" customFormat="false" ht="15" hidden="false" customHeight="false" outlineLevel="0" collapsed="false">
      <c r="A5656" s="57" t="n">
        <v>42271</v>
      </c>
      <c r="B5656" s="56" t="n">
        <v>2015</v>
      </c>
      <c r="C5656" s="56" t="n">
        <v>9</v>
      </c>
      <c r="D5656" s="56" t="n">
        <v>147</v>
      </c>
      <c r="E5656" s="56" t="n">
        <v>17.9</v>
      </c>
      <c r="F5656" s="56" t="n">
        <v>0</v>
      </c>
      <c r="G5656" s="56" t="n">
        <v>12.6</v>
      </c>
      <c r="H5656" s="56" t="n">
        <v>0</v>
      </c>
      <c r="I5656" s="56" t="n">
        <v>15.7</v>
      </c>
      <c r="J5656" s="56" t="n">
        <v>0</v>
      </c>
      <c r="K5656" s="56" t="n">
        <v>1014.3</v>
      </c>
      <c r="L5656" s="56" t="n">
        <v>0</v>
      </c>
      <c r="M5656" s="56" t="n">
        <v>76</v>
      </c>
      <c r="N5656" s="56" t="n">
        <v>5.3</v>
      </c>
      <c r="O5656" s="56" t="n">
        <f aca="false">IF(D5656=1,"",E5655)</f>
        <v>18.7</v>
      </c>
      <c r="P5656" s="56" t="n">
        <f aca="false">IF(OR(D5656=1,K5655=""),"",K5655)</f>
        <v>1011.8</v>
      </c>
      <c r="Q5656" s="56" t="n">
        <f aca="false">IF(OR(F5656&lt;&gt;0,AND(I5656&lt;&gt;"",E5656&lt;I5656)),1,0)</f>
        <v>0</v>
      </c>
      <c r="R5656" s="56" t="n">
        <f aca="false">IF(AND(D5656&gt;1,Q5656=0,ISNUMBER(O5656),ISNUMBER(P5656)),IF(Q5655=0,1,0),0)</f>
        <v>1</v>
      </c>
      <c r="S5656" s="56" t="n">
        <f aca="false">R5656*(B5656&gt;=Train_Start)*(B5656&lt;=Train_End)</f>
        <v>0</v>
      </c>
      <c r="T5656" s="84" t="n">
        <f aca="false">IF(AND(ISNUMBER(O5656),ISNUMBER(P5656)),Coef_A+Coef_B1*O5656+Coef_B2*P5656,"")</f>
        <v>19.1486777225639</v>
      </c>
      <c r="U5656" s="84" t="n">
        <f aca="false">IF(AND(R5656=1,ISNUMBER(T5656)),E5656-T5656,"")</f>
        <v>-1.24867772256386</v>
      </c>
      <c r="V5656" s="84" t="n">
        <f aca="false">IF(ISNUMBER(T5656),T5656,-99)</f>
        <v>19.1486777225639</v>
      </c>
      <c r="W5656" s="84" t="n">
        <f aca="false">IF(ISNUMBER(U5656),ABS(U5656),"")</f>
        <v>1.24867772256386</v>
      </c>
    </row>
    <row r="5657" customFormat="false" ht="15" hidden="false" customHeight="false" outlineLevel="0" collapsed="false">
      <c r="A5657" s="57" t="n">
        <v>42272</v>
      </c>
      <c r="B5657" s="56" t="n">
        <v>2015</v>
      </c>
      <c r="C5657" s="56" t="n">
        <v>9</v>
      </c>
      <c r="D5657" s="56" t="n">
        <v>148</v>
      </c>
      <c r="E5657" s="56" t="n">
        <v>18</v>
      </c>
      <c r="F5657" s="56" t="n">
        <v>0</v>
      </c>
      <c r="G5657" s="56" t="n">
        <v>8.5</v>
      </c>
      <c r="H5657" s="56" t="n">
        <v>0</v>
      </c>
      <c r="I5657" s="56" t="n">
        <v>13.2</v>
      </c>
      <c r="J5657" s="56" t="n">
        <v>0</v>
      </c>
      <c r="K5657" s="56" t="n">
        <v>1022.9</v>
      </c>
      <c r="L5657" s="56" t="n">
        <v>0</v>
      </c>
      <c r="M5657" s="56" t="n">
        <v>71</v>
      </c>
      <c r="N5657" s="56" t="n">
        <v>7.3</v>
      </c>
      <c r="O5657" s="56" t="n">
        <f aca="false">IF(D5657=1,"",E5656)</f>
        <v>17.9</v>
      </c>
      <c r="P5657" s="56" t="n">
        <f aca="false">IF(OR(D5657=1,K5656=""),"",K5656)</f>
        <v>1014.3</v>
      </c>
      <c r="Q5657" s="56" t="n">
        <f aca="false">IF(OR(F5657&lt;&gt;0,AND(I5657&lt;&gt;"",E5657&lt;I5657)),1,0)</f>
        <v>0</v>
      </c>
      <c r="R5657" s="56" t="n">
        <f aca="false">IF(AND(D5657&gt;1,Q5657=0,ISNUMBER(O5657),ISNUMBER(P5657)),IF(Q5656=0,1,0),0)</f>
        <v>1</v>
      </c>
      <c r="S5657" s="56" t="n">
        <f aca="false">R5657*(B5657&gt;=Train_Start)*(B5657&lt;=Train_End)</f>
        <v>0</v>
      </c>
      <c r="T5657" s="84" t="n">
        <f aca="false">IF(AND(ISNUMBER(O5657),ISNUMBER(P5657)),Coef_A+Coef_B1*O5657+Coef_B2*P5657,"")</f>
        <v>18.5716311047147</v>
      </c>
      <c r="U5657" s="84" t="n">
        <f aca="false">IF(AND(R5657=1,ISNUMBER(T5657)),E5657-T5657,"")</f>
        <v>-0.571631104714705</v>
      </c>
      <c r="V5657" s="84" t="n">
        <f aca="false">IF(ISNUMBER(T5657),T5657,-99)</f>
        <v>18.5716311047147</v>
      </c>
      <c r="W5657" s="84" t="n">
        <f aca="false">IF(ISNUMBER(U5657),ABS(U5657),"")</f>
        <v>0.571631104714705</v>
      </c>
    </row>
    <row r="5658" customFormat="false" ht="15" hidden="false" customHeight="false" outlineLevel="0" collapsed="false">
      <c r="A5658" s="57" t="n">
        <v>42273</v>
      </c>
      <c r="B5658" s="56" t="n">
        <v>2015</v>
      </c>
      <c r="C5658" s="56" t="n">
        <v>9</v>
      </c>
      <c r="D5658" s="56" t="n">
        <v>149</v>
      </c>
      <c r="E5658" s="56" t="n">
        <v>19.3</v>
      </c>
      <c r="F5658" s="56" t="n">
        <v>0</v>
      </c>
      <c r="G5658" s="56" t="n">
        <v>6.7</v>
      </c>
      <c r="H5658" s="56" t="n">
        <v>0</v>
      </c>
      <c r="I5658" s="56" t="n">
        <v>12.4</v>
      </c>
      <c r="J5658" s="56" t="n">
        <v>0</v>
      </c>
      <c r="K5658" s="56" t="n">
        <v>1028.8</v>
      </c>
      <c r="L5658" s="56" t="n">
        <v>0</v>
      </c>
      <c r="M5658" s="56" t="n">
        <v>71</v>
      </c>
      <c r="N5658" s="56" t="n">
        <v>8.4</v>
      </c>
      <c r="O5658" s="56" t="n">
        <f aca="false">IF(D5658=1,"",E5657)</f>
        <v>18</v>
      </c>
      <c r="P5658" s="56" t="n">
        <f aca="false">IF(OR(D5658=1,K5657=""),"",K5657)</f>
        <v>1022.9</v>
      </c>
      <c r="Q5658" s="56" t="n">
        <f aca="false">IF(OR(F5658&lt;&gt;0,AND(I5658&lt;&gt;"",E5658&lt;I5658)),1,0)</f>
        <v>0</v>
      </c>
      <c r="R5658" s="56" t="n">
        <f aca="false">IF(AND(D5658&gt;1,Q5658=0,ISNUMBER(O5658),ISNUMBER(P5658)),IF(Q5657=0,1,0),0)</f>
        <v>1</v>
      </c>
      <c r="S5658" s="56" t="n">
        <f aca="false">R5658*(B5658&gt;=Train_Start)*(B5658&lt;=Train_End)</f>
        <v>0</v>
      </c>
      <c r="T5658" s="84" t="n">
        <f aca="false">IF(AND(ISNUMBER(O5658),ISNUMBER(P5658)),Coef_A+Coef_B1*O5658+Coef_B2*P5658,"")</f>
        <v>18.9233461178713</v>
      </c>
      <c r="U5658" s="84" t="n">
        <f aca="false">IF(AND(R5658=1,ISNUMBER(T5658)),E5658-T5658,"")</f>
        <v>0.376653882128718</v>
      </c>
      <c r="V5658" s="84" t="n">
        <f aca="false">IF(ISNUMBER(T5658),T5658,-99)</f>
        <v>18.9233461178713</v>
      </c>
      <c r="W5658" s="84" t="n">
        <f aca="false">IF(ISNUMBER(U5658),ABS(U5658),"")</f>
        <v>0.376653882128718</v>
      </c>
    </row>
    <row r="5659" customFormat="false" ht="15" hidden="false" customHeight="false" outlineLevel="0" collapsed="false">
      <c r="A5659" s="57" t="n">
        <v>42274</v>
      </c>
      <c r="B5659" s="56" t="n">
        <v>2015</v>
      </c>
      <c r="C5659" s="56" t="n">
        <v>9</v>
      </c>
      <c r="D5659" s="56" t="n">
        <v>150</v>
      </c>
      <c r="E5659" s="56" t="n">
        <v>18.4</v>
      </c>
      <c r="F5659" s="56" t="n">
        <v>0</v>
      </c>
      <c r="G5659" s="56" t="n">
        <v>7.8</v>
      </c>
      <c r="H5659" s="56" t="n">
        <v>0</v>
      </c>
      <c r="I5659" s="56" t="n">
        <v>13.6</v>
      </c>
      <c r="J5659" s="56" t="n">
        <v>0</v>
      </c>
      <c r="K5659" s="56" t="n">
        <v>1033.7</v>
      </c>
      <c r="L5659" s="56" t="n">
        <v>0</v>
      </c>
      <c r="M5659" s="56" t="n">
        <v>73</v>
      </c>
      <c r="N5659" s="56" t="n">
        <v>8.5</v>
      </c>
      <c r="O5659" s="56" t="n">
        <f aca="false">IF(D5659=1,"",E5658)</f>
        <v>19.3</v>
      </c>
      <c r="P5659" s="56" t="n">
        <f aca="false">IF(OR(D5659=1,K5658=""),"",K5658)</f>
        <v>1028.8</v>
      </c>
      <c r="Q5659" s="56" t="n">
        <f aca="false">IF(OR(F5659&lt;&gt;0,AND(I5659&lt;&gt;"",E5659&lt;I5659)),1,0)</f>
        <v>0</v>
      </c>
      <c r="R5659" s="56" t="n">
        <f aca="false">IF(AND(D5659&gt;1,Q5659=0,ISNUMBER(O5659),ISNUMBER(P5659)),IF(Q5658=0,1,0),0)</f>
        <v>1</v>
      </c>
      <c r="S5659" s="56" t="n">
        <f aca="false">R5659*(B5659&gt;=Train_Start)*(B5659&lt;=Train_End)</f>
        <v>0</v>
      </c>
      <c r="T5659" s="84" t="n">
        <f aca="false">IF(AND(ISNUMBER(O5659),ISNUMBER(P5659)),Coef_A+Coef_B1*O5659+Coef_B2*P5659,"")</f>
        <v>20.1735694471673</v>
      </c>
      <c r="U5659" s="84" t="n">
        <f aca="false">IF(AND(R5659=1,ISNUMBER(T5659)),E5659-T5659,"")</f>
        <v>-1.77356944716728</v>
      </c>
      <c r="V5659" s="84" t="n">
        <f aca="false">IF(ISNUMBER(T5659),T5659,-99)</f>
        <v>20.1735694471673</v>
      </c>
      <c r="W5659" s="84" t="n">
        <f aca="false">IF(ISNUMBER(U5659),ABS(U5659),"")</f>
        <v>1.77356944716728</v>
      </c>
    </row>
    <row r="5660" customFormat="false" ht="15" hidden="false" customHeight="false" outlineLevel="0" collapsed="false">
      <c r="A5660" s="57" t="n">
        <v>42275</v>
      </c>
      <c r="B5660" s="56" t="n">
        <v>2015</v>
      </c>
      <c r="C5660" s="56" t="n">
        <v>9</v>
      </c>
      <c r="D5660" s="56" t="n">
        <v>151</v>
      </c>
      <c r="E5660" s="56" t="n">
        <v>19.1</v>
      </c>
      <c r="F5660" s="56" t="n">
        <v>0</v>
      </c>
      <c r="G5660" s="56" t="n">
        <v>9</v>
      </c>
      <c r="H5660" s="56" t="n">
        <v>0</v>
      </c>
      <c r="I5660" s="56" t="n">
        <v>13.7</v>
      </c>
      <c r="J5660" s="56" t="n">
        <v>0</v>
      </c>
      <c r="K5660" s="56" t="n">
        <v>1036.4</v>
      </c>
      <c r="L5660" s="56" t="n">
        <v>0</v>
      </c>
      <c r="M5660" s="56" t="n">
        <v>76</v>
      </c>
      <c r="N5660" s="56" t="n">
        <v>10</v>
      </c>
      <c r="O5660" s="56" t="n">
        <f aca="false">IF(D5660=1,"",E5659)</f>
        <v>18.4</v>
      </c>
      <c r="P5660" s="56" t="n">
        <f aca="false">IF(OR(D5660=1,K5659=""),"",K5659)</f>
        <v>1033.7</v>
      </c>
      <c r="Q5660" s="56" t="n">
        <f aca="false">IF(OR(F5660&lt;&gt;0,AND(I5660&lt;&gt;"",E5660&lt;I5660)),1,0)</f>
        <v>0</v>
      </c>
      <c r="R5660" s="56" t="n">
        <f aca="false">IF(AND(D5660&gt;1,Q5660=0,ISNUMBER(O5660),ISNUMBER(P5660)),IF(Q5659=0,1,0),0)</f>
        <v>1</v>
      </c>
      <c r="S5660" s="56" t="n">
        <f aca="false">R5660*(B5660&gt;=Train_Start)*(B5660&lt;=Train_End)</f>
        <v>0</v>
      </c>
      <c r="T5660" s="84" t="n">
        <f aca="false">IF(AND(ISNUMBER(O5660),ISNUMBER(P5660)),Coef_A+Coef_B1*O5660+Coef_B2*P5660,"")</f>
        <v>19.5898766571354</v>
      </c>
      <c r="U5660" s="84" t="n">
        <f aca="false">IF(AND(R5660=1,ISNUMBER(T5660)),E5660-T5660,"")</f>
        <v>-0.489876657135433</v>
      </c>
      <c r="V5660" s="84" t="n">
        <f aca="false">IF(ISNUMBER(T5660),T5660,-99)</f>
        <v>19.5898766571354</v>
      </c>
      <c r="W5660" s="84" t="n">
        <f aca="false">IF(ISNUMBER(U5660),ABS(U5660),"")</f>
        <v>0.489876657135433</v>
      </c>
    </row>
    <row r="5661" customFormat="false" ht="15" hidden="false" customHeight="false" outlineLevel="0" collapsed="false">
      <c r="A5661" s="57" t="n">
        <v>42276</v>
      </c>
      <c r="B5661" s="56" t="n">
        <v>2015</v>
      </c>
      <c r="C5661" s="56" t="n">
        <v>9</v>
      </c>
      <c r="D5661" s="56" t="n">
        <v>152</v>
      </c>
      <c r="E5661" s="56" t="n">
        <v>18.7</v>
      </c>
      <c r="F5661" s="56" t="n">
        <v>0</v>
      </c>
      <c r="G5661" s="56" t="n">
        <v>10.4</v>
      </c>
      <c r="H5661" s="56" t="n">
        <v>0</v>
      </c>
      <c r="I5661" s="56" t="n">
        <v>14.8</v>
      </c>
      <c r="J5661" s="56" t="n">
        <v>0</v>
      </c>
      <c r="K5661" s="56" t="n">
        <v>1034.8</v>
      </c>
      <c r="L5661" s="56" t="n">
        <v>0</v>
      </c>
      <c r="M5661" s="56" t="n">
        <v>71</v>
      </c>
      <c r="N5661" s="56" t="n">
        <v>8.9</v>
      </c>
      <c r="O5661" s="56" t="n">
        <f aca="false">IF(D5661=1,"",E5660)</f>
        <v>19.1</v>
      </c>
      <c r="P5661" s="56" t="n">
        <f aca="false">IF(OR(D5661=1,K5660=""),"",K5660)</f>
        <v>1036.4</v>
      </c>
      <c r="Q5661" s="56" t="n">
        <f aca="false">IF(OR(F5661&lt;&gt;0,AND(I5661&lt;&gt;"",E5661&lt;I5661)),1,0)</f>
        <v>0</v>
      </c>
      <c r="R5661" s="56" t="n">
        <f aca="false">IF(AND(D5661&gt;1,Q5661=0,ISNUMBER(O5661),ISNUMBER(P5661)),IF(Q5660=0,1,0),0)</f>
        <v>1</v>
      </c>
      <c r="S5661" s="56" t="n">
        <f aca="false">R5661*(B5661&gt;=Train_Start)*(B5661&lt;=Train_End)</f>
        <v>0</v>
      </c>
      <c r="T5661" s="84" t="n">
        <f aca="false">IF(AND(ISNUMBER(O5661),ISNUMBER(P5661)),Coef_A+Coef_B1*O5661+Coef_B2*P5661,"")</f>
        <v>20.2481128077771</v>
      </c>
      <c r="U5661" s="84" t="n">
        <f aca="false">IF(AND(R5661=1,ISNUMBER(T5661)),E5661-T5661,"")</f>
        <v>-1.54811280777707</v>
      </c>
      <c r="V5661" s="84" t="n">
        <f aca="false">IF(ISNUMBER(T5661),T5661,-99)</f>
        <v>20.2481128077771</v>
      </c>
      <c r="W5661" s="84" t="n">
        <f aca="false">IF(ISNUMBER(U5661),ABS(U5661),"")</f>
        <v>1.54811280777707</v>
      </c>
    </row>
    <row r="5662" customFormat="false" ht="15" hidden="false" customHeight="false" outlineLevel="0" collapsed="false">
      <c r="A5662" s="57" t="n">
        <v>42277</v>
      </c>
      <c r="B5662" s="56" t="n">
        <v>2015</v>
      </c>
      <c r="C5662" s="56" t="n">
        <v>9</v>
      </c>
      <c r="D5662" s="56" t="n">
        <v>153</v>
      </c>
      <c r="E5662" s="56" t="n">
        <v>18.8</v>
      </c>
      <c r="F5662" s="56" t="n">
        <v>0</v>
      </c>
      <c r="G5662" s="56" t="n">
        <v>9.7</v>
      </c>
      <c r="H5662" s="56" t="n">
        <v>0</v>
      </c>
      <c r="I5662" s="56" t="n">
        <v>14.2</v>
      </c>
      <c r="J5662" s="56" t="n">
        <v>0</v>
      </c>
      <c r="K5662" s="56" t="n">
        <v>1032.8</v>
      </c>
      <c r="L5662" s="56" t="n">
        <v>0</v>
      </c>
      <c r="M5662" s="56" t="n">
        <v>68</v>
      </c>
      <c r="N5662" s="56" t="n">
        <v>10.7</v>
      </c>
      <c r="O5662" s="56" t="n">
        <f aca="false">IF(D5662=1,"",E5661)</f>
        <v>18.7</v>
      </c>
      <c r="P5662" s="56" t="n">
        <f aca="false">IF(OR(D5662=1,K5661=""),"",K5661)</f>
        <v>1034.8</v>
      </c>
      <c r="Q5662" s="56" t="n">
        <f aca="false">IF(OR(F5662&lt;&gt;0,AND(I5662&lt;&gt;"",E5662&lt;I5662)),1,0)</f>
        <v>0</v>
      </c>
      <c r="R5662" s="56" t="n">
        <f aca="false">IF(AND(D5662&gt;1,Q5662=0,ISNUMBER(O5662),ISNUMBER(P5662)),IF(Q5661=0,1,0),0)</f>
        <v>1</v>
      </c>
      <c r="S5662" s="56" t="n">
        <f aca="false">R5662*(B5662&gt;=Train_Start)*(B5662&lt;=Train_End)</f>
        <v>0</v>
      </c>
      <c r="T5662" s="84" t="n">
        <f aca="false">IF(AND(ISNUMBER(O5662),ISNUMBER(P5662)),Coef_A+Coef_B1*O5662+Coef_B2*P5662,"")</f>
        <v>19.8701852991456</v>
      </c>
      <c r="U5662" s="84" t="n">
        <f aca="false">IF(AND(R5662=1,ISNUMBER(T5662)),E5662-T5662,"")</f>
        <v>-1.07018529914561</v>
      </c>
      <c r="V5662" s="84" t="n">
        <f aca="false">IF(ISNUMBER(T5662),T5662,-99)</f>
        <v>19.8701852991456</v>
      </c>
      <c r="W5662" s="84" t="n">
        <f aca="false">IF(ISNUMBER(U5662),ABS(U5662),"")</f>
        <v>1.07018529914561</v>
      </c>
    </row>
    <row r="5663" customFormat="false" ht="15" hidden="false" customHeight="false" outlineLevel="0" collapsed="false">
      <c r="A5663" s="57" t="n">
        <v>42491</v>
      </c>
      <c r="B5663" s="56" t="n">
        <v>2016</v>
      </c>
      <c r="C5663" s="56" t="n">
        <v>5</v>
      </c>
      <c r="D5663" s="56" t="n">
        <v>1</v>
      </c>
      <c r="E5663" s="56" t="n">
        <v>18.4</v>
      </c>
      <c r="F5663" s="56" t="n">
        <v>0</v>
      </c>
      <c r="G5663" s="56" t="n">
        <v>2</v>
      </c>
      <c r="H5663" s="56" t="n">
        <v>0</v>
      </c>
      <c r="I5663" s="56" t="n">
        <v>9.2</v>
      </c>
      <c r="J5663" s="56" t="n">
        <v>0</v>
      </c>
      <c r="K5663" s="56" t="n">
        <v>1027.5</v>
      </c>
      <c r="L5663" s="56" t="n">
        <v>0</v>
      </c>
      <c r="M5663" s="56" t="n">
        <v>68</v>
      </c>
      <c r="N5663" s="56" t="n">
        <v>11.1</v>
      </c>
      <c r="O5663" s="56" t="str">
        <f aca="false">IF(D5663=1,"",E5662)</f>
        <v/>
      </c>
      <c r="P5663" s="56" t="str">
        <f aca="false">IF(OR(D5663=1,K5662=""),"",K5662)</f>
        <v/>
      </c>
      <c r="Q5663" s="56" t="n">
        <f aca="false">IF(OR(F5663&lt;&gt;0,AND(I5663&lt;&gt;"",E5663&lt;I5663)),1,0)</f>
        <v>0</v>
      </c>
      <c r="R5663" s="56" t="n">
        <f aca="false">IF(AND(D5663&gt;1,Q5663=0,ISNUMBER(O5663),ISNUMBER(P5663)),IF(Q5662=0,1,0),0)</f>
        <v>0</v>
      </c>
      <c r="S5663" s="56" t="n">
        <f aca="false">R5663*(B5663&gt;=Train_Start)*(B5663&lt;=Train_End)</f>
        <v>0</v>
      </c>
      <c r="T5663" s="84" t="str">
        <f aca="false">IF(AND(ISNUMBER(O5663),ISNUMBER(P5663)),Coef_A+Coef_B1*O5663+Coef_B2*P5663,"")</f>
        <v/>
      </c>
      <c r="U5663" s="84" t="str">
        <f aca="false">IF(AND(R5663=1,ISNUMBER(T5663)),E5663-T5663,"")</f>
        <v/>
      </c>
      <c r="V5663" s="84" t="n">
        <f aca="false">IF(ISNUMBER(T5663),T5663,-99)</f>
        <v>-99</v>
      </c>
      <c r="W5663" s="84" t="str">
        <f aca="false">IF(ISNUMBER(U5663),ABS(U5663),"")</f>
        <v/>
      </c>
    </row>
    <row r="5664" customFormat="false" ht="15" hidden="false" customHeight="false" outlineLevel="0" collapsed="false">
      <c r="A5664" s="57" t="n">
        <v>42492</v>
      </c>
      <c r="B5664" s="56" t="n">
        <v>2016</v>
      </c>
      <c r="C5664" s="56" t="n">
        <v>5</v>
      </c>
      <c r="D5664" s="56" t="n">
        <v>2</v>
      </c>
      <c r="E5664" s="56" t="n">
        <v>15.7</v>
      </c>
      <c r="F5664" s="56" t="n">
        <v>0</v>
      </c>
      <c r="G5664" s="56" t="n">
        <v>9.9</v>
      </c>
      <c r="H5664" s="56" t="n">
        <v>0</v>
      </c>
      <c r="I5664" s="56" t="n">
        <v>14.2</v>
      </c>
      <c r="J5664" s="56" t="n">
        <v>0</v>
      </c>
      <c r="K5664" s="56" t="n">
        <v>1020.8</v>
      </c>
      <c r="L5664" s="56" t="n">
        <v>0</v>
      </c>
      <c r="M5664" s="56" t="n">
        <v>84</v>
      </c>
      <c r="N5664" s="56" t="n">
        <v>1.7</v>
      </c>
      <c r="O5664" s="56" t="n">
        <f aca="false">IF(D5664=1,"",E5663)</f>
        <v>18.4</v>
      </c>
      <c r="P5664" s="56" t="n">
        <f aca="false">IF(OR(D5664=1,K5663=""),"",K5663)</f>
        <v>1027.5</v>
      </c>
      <c r="Q5664" s="56" t="n">
        <f aca="false">IF(OR(F5664&lt;&gt;0,AND(I5664&lt;&gt;"",E5664&lt;I5664)),1,0)</f>
        <v>0</v>
      </c>
      <c r="R5664" s="56" t="n">
        <f aca="false">IF(AND(D5664&gt;1,Q5664=0,ISNUMBER(O5664),ISNUMBER(P5664)),IF(Q5663=0,1,0),0)</f>
        <v>1</v>
      </c>
      <c r="S5664" s="56" t="n">
        <f aca="false">R5664*(B5664&gt;=Train_Start)*(B5664&lt;=Train_End)</f>
        <v>0</v>
      </c>
      <c r="T5664" s="84" t="n">
        <f aca="false">IF(AND(ISNUMBER(O5664),ISNUMBER(P5664)),Coef_A+Coef_B1*O5664+Coef_B2*P5664,"")</f>
        <v>19.3953833104047</v>
      </c>
      <c r="U5664" s="84" t="n">
        <f aca="false">IF(AND(R5664=1,ISNUMBER(T5664)),E5664-T5664,"")</f>
        <v>-3.6953833104047</v>
      </c>
      <c r="V5664" s="84" t="n">
        <f aca="false">IF(ISNUMBER(T5664),T5664,-99)</f>
        <v>19.3953833104047</v>
      </c>
      <c r="W5664" s="84" t="n">
        <f aca="false">IF(ISNUMBER(U5664),ABS(U5664),"")</f>
        <v>3.6953833104047</v>
      </c>
    </row>
    <row r="5665" customFormat="false" ht="15" hidden="false" customHeight="false" outlineLevel="0" collapsed="false">
      <c r="A5665" s="57" t="n">
        <v>42493</v>
      </c>
      <c r="B5665" s="56" t="n">
        <v>2016</v>
      </c>
      <c r="C5665" s="56" t="n">
        <v>5</v>
      </c>
      <c r="D5665" s="56" t="n">
        <v>3</v>
      </c>
      <c r="E5665" s="56" t="n">
        <v>17.4</v>
      </c>
      <c r="F5665" s="56" t="n">
        <v>0</v>
      </c>
      <c r="G5665" s="56" t="n">
        <v>4.2</v>
      </c>
      <c r="H5665" s="56" t="n">
        <v>0</v>
      </c>
      <c r="I5665" s="56" t="n">
        <v>10</v>
      </c>
      <c r="J5665" s="56" t="n">
        <v>0</v>
      </c>
      <c r="K5665" s="56" t="n">
        <v>1025.6</v>
      </c>
      <c r="L5665" s="56" t="n">
        <v>0</v>
      </c>
      <c r="M5665" s="56" t="n">
        <v>63</v>
      </c>
      <c r="N5665" s="56" t="n">
        <v>8.5</v>
      </c>
      <c r="O5665" s="56" t="n">
        <f aca="false">IF(D5665=1,"",E5664)</f>
        <v>15.7</v>
      </c>
      <c r="P5665" s="56" t="n">
        <f aca="false">IF(OR(D5665=1,K5664=""),"",K5664)</f>
        <v>1020.8</v>
      </c>
      <c r="Q5665" s="56" t="n">
        <f aca="false">IF(OR(F5665&lt;&gt;0,AND(I5665&lt;&gt;"",E5665&lt;I5665)),1,0)</f>
        <v>0</v>
      </c>
      <c r="R5665" s="56" t="n">
        <f aca="false">IF(AND(D5665&gt;1,Q5665=0,ISNUMBER(O5665),ISNUMBER(P5665)),IF(Q5664=0,1,0),0)</f>
        <v>1</v>
      </c>
      <c r="S5665" s="56" t="n">
        <f aca="false">R5665*(B5665&gt;=Train_Start)*(B5665&lt;=Train_End)</f>
        <v>0</v>
      </c>
      <c r="T5665" s="84" t="n">
        <f aca="false">IF(AND(ISNUMBER(O5665),ISNUMBER(P5665)),Coef_A+Coef_B1*O5665+Coef_B2*P5665,"")</f>
        <v>16.9729891951418</v>
      </c>
      <c r="U5665" s="84" t="n">
        <f aca="false">IF(AND(R5665=1,ISNUMBER(T5665)),E5665-T5665,"")</f>
        <v>0.427010804858206</v>
      </c>
      <c r="V5665" s="84" t="n">
        <f aca="false">IF(ISNUMBER(T5665),T5665,-99)</f>
        <v>16.9729891951418</v>
      </c>
      <c r="W5665" s="84" t="n">
        <f aca="false">IF(ISNUMBER(U5665),ABS(U5665),"")</f>
        <v>0.427010804858206</v>
      </c>
    </row>
    <row r="5666" customFormat="false" ht="15" hidden="false" customHeight="false" outlineLevel="0" collapsed="false">
      <c r="A5666" s="57" t="n">
        <v>42494</v>
      </c>
      <c r="B5666" s="56" t="n">
        <v>2016</v>
      </c>
      <c r="C5666" s="56" t="n">
        <v>5</v>
      </c>
      <c r="D5666" s="56" t="n">
        <v>4</v>
      </c>
      <c r="E5666" s="56" t="n">
        <v>20.7</v>
      </c>
      <c r="F5666" s="56" t="n">
        <v>0</v>
      </c>
      <c r="G5666" s="56" t="n">
        <v>3.9</v>
      </c>
      <c r="H5666" s="56" t="n">
        <v>0</v>
      </c>
      <c r="I5666" s="56" t="n">
        <v>10.6</v>
      </c>
      <c r="J5666" s="56" t="n">
        <v>0</v>
      </c>
      <c r="K5666" s="56" t="n">
        <v>1026.3</v>
      </c>
      <c r="L5666" s="56" t="n">
        <v>0</v>
      </c>
      <c r="M5666" s="56" t="n">
        <v>57</v>
      </c>
      <c r="N5666" s="56" t="n">
        <v>13.7</v>
      </c>
      <c r="O5666" s="56" t="n">
        <f aca="false">IF(D5666=1,"",E5665)</f>
        <v>17.4</v>
      </c>
      <c r="P5666" s="56" t="n">
        <f aca="false">IF(OR(D5666=1,K5665=""),"",K5665)</f>
        <v>1025.6</v>
      </c>
      <c r="Q5666" s="56" t="n">
        <f aca="false">IF(OR(F5666&lt;&gt;0,AND(I5666&lt;&gt;"",E5666&lt;I5666)),1,0)</f>
        <v>0</v>
      </c>
      <c r="R5666" s="56" t="n">
        <f aca="false">IF(AND(D5666&gt;1,Q5666=0,ISNUMBER(O5666),ISNUMBER(P5666)),IF(Q5665=0,1,0),0)</f>
        <v>1</v>
      </c>
      <c r="S5666" s="56" t="n">
        <f aca="false">R5666*(B5666&gt;=Train_Start)*(B5666&lt;=Train_End)</f>
        <v>0</v>
      </c>
      <c r="T5666" s="84" t="n">
        <f aca="false">IF(AND(ISNUMBER(O5666),ISNUMBER(P5666)),Coef_A+Coef_B1*O5666+Coef_B2*P5666,"")</f>
        <v>18.5164413175575</v>
      </c>
      <c r="U5666" s="84" t="n">
        <f aca="false">IF(AND(R5666=1,ISNUMBER(T5666)),E5666-T5666,"")</f>
        <v>2.18355868244254</v>
      </c>
      <c r="V5666" s="84" t="n">
        <f aca="false">IF(ISNUMBER(T5666),T5666,-99)</f>
        <v>18.5164413175575</v>
      </c>
      <c r="W5666" s="84" t="n">
        <f aca="false">IF(ISNUMBER(U5666),ABS(U5666),"")</f>
        <v>2.18355868244254</v>
      </c>
    </row>
    <row r="5667" customFormat="false" ht="15" hidden="false" customHeight="false" outlineLevel="0" collapsed="false">
      <c r="A5667" s="57" t="n">
        <v>42495</v>
      </c>
      <c r="B5667" s="56" t="n">
        <v>2016</v>
      </c>
      <c r="C5667" s="56" t="n">
        <v>5</v>
      </c>
      <c r="D5667" s="56" t="n">
        <v>5</v>
      </c>
      <c r="E5667" s="56" t="n">
        <v>23.5</v>
      </c>
      <c r="F5667" s="56" t="n">
        <v>0</v>
      </c>
      <c r="G5667" s="56" t="n">
        <v>5.9</v>
      </c>
      <c r="H5667" s="56" t="n">
        <v>0</v>
      </c>
      <c r="I5667" s="56" t="n">
        <v>13.3</v>
      </c>
      <c r="J5667" s="56" t="n">
        <v>0</v>
      </c>
      <c r="K5667" s="56" t="n">
        <v>1019.9</v>
      </c>
      <c r="L5667" s="56" t="n">
        <v>0</v>
      </c>
      <c r="M5667" s="56" t="n">
        <v>47</v>
      </c>
      <c r="N5667" s="56" t="n">
        <v>13.1</v>
      </c>
      <c r="O5667" s="56" t="n">
        <f aca="false">IF(D5667=1,"",E5666)</f>
        <v>20.7</v>
      </c>
      <c r="P5667" s="56" t="n">
        <f aca="false">IF(OR(D5667=1,K5666=""),"",K5666)</f>
        <v>1026.3</v>
      </c>
      <c r="Q5667" s="56" t="n">
        <f aca="false">IF(OR(F5667&lt;&gt;0,AND(I5667&lt;&gt;"",E5667&lt;I5667)),1,0)</f>
        <v>0</v>
      </c>
      <c r="R5667" s="56" t="n">
        <f aca="false">IF(AND(D5667&gt;1,Q5667=0,ISNUMBER(O5667),ISNUMBER(P5667)),IF(Q5666=0,1,0),0)</f>
        <v>1</v>
      </c>
      <c r="S5667" s="56" t="n">
        <f aca="false">R5667*(B5667&gt;=Train_Start)*(B5667&lt;=Train_End)</f>
        <v>0</v>
      </c>
      <c r="T5667" s="84" t="n">
        <f aca="false">IF(AND(ISNUMBER(O5667),ISNUMBER(P5667)),Coef_A+Coef_B1*O5667+Coef_B2*P5667,"")</f>
        <v>21.242219580842</v>
      </c>
      <c r="U5667" s="84" t="n">
        <f aca="false">IF(AND(R5667=1,ISNUMBER(T5667)),E5667-T5667,"")</f>
        <v>2.25778041915798</v>
      </c>
      <c r="V5667" s="84" t="n">
        <f aca="false">IF(ISNUMBER(T5667),T5667,-99)</f>
        <v>21.242219580842</v>
      </c>
      <c r="W5667" s="84" t="n">
        <f aca="false">IF(ISNUMBER(U5667),ABS(U5667),"")</f>
        <v>2.25778041915798</v>
      </c>
    </row>
    <row r="5668" customFormat="false" ht="15" hidden="false" customHeight="false" outlineLevel="0" collapsed="false">
      <c r="A5668" s="57" t="n">
        <v>42496</v>
      </c>
      <c r="B5668" s="56" t="n">
        <v>2016</v>
      </c>
      <c r="C5668" s="56" t="n">
        <v>5</v>
      </c>
      <c r="D5668" s="56" t="n">
        <v>6</v>
      </c>
      <c r="E5668" s="56" t="n">
        <v>23.9</v>
      </c>
      <c r="F5668" s="56" t="n">
        <v>0</v>
      </c>
      <c r="G5668" s="56" t="n">
        <v>8.2</v>
      </c>
      <c r="H5668" s="56" t="n">
        <v>0</v>
      </c>
      <c r="I5668" s="56" t="n">
        <v>15.8</v>
      </c>
      <c r="J5668" s="56" t="n">
        <v>0</v>
      </c>
      <c r="K5668" s="56" t="n">
        <v>1010.7</v>
      </c>
      <c r="L5668" s="56" t="n">
        <v>0</v>
      </c>
      <c r="M5668" s="56" t="n">
        <v>57</v>
      </c>
      <c r="N5668" s="56" t="n">
        <v>10.4</v>
      </c>
      <c r="O5668" s="56" t="n">
        <f aca="false">IF(D5668=1,"",E5667)</f>
        <v>23.5</v>
      </c>
      <c r="P5668" s="56" t="n">
        <f aca="false">IF(OR(D5668=1,K5667=""),"",K5667)</f>
        <v>1019.9</v>
      </c>
      <c r="Q5668" s="56" t="n">
        <f aca="false">IF(OR(F5668&lt;&gt;0,AND(I5668&lt;&gt;"",E5668&lt;I5668)),1,0)</f>
        <v>0</v>
      </c>
      <c r="R5668" s="56" t="n">
        <f aca="false">IF(AND(D5668&gt;1,Q5668=0,ISNUMBER(O5668),ISNUMBER(P5668)),IF(Q5667=0,1,0),0)</f>
        <v>1</v>
      </c>
      <c r="S5668" s="56" t="n">
        <f aca="false">R5668*(B5668&gt;=Train_Start)*(B5668&lt;=Train_End)</f>
        <v>0</v>
      </c>
      <c r="T5668" s="84" t="n">
        <f aca="false">IF(AND(ISNUMBER(O5668),ISNUMBER(P5668)),Coef_A+Coef_B1*O5668+Coef_B2*P5668,"")</f>
        <v>23.3356019957039</v>
      </c>
      <c r="U5668" s="84" t="n">
        <f aca="false">IF(AND(R5668=1,ISNUMBER(T5668)),E5668-T5668,"")</f>
        <v>0.56439800429607</v>
      </c>
      <c r="V5668" s="84" t="n">
        <f aca="false">IF(ISNUMBER(T5668),T5668,-99)</f>
        <v>23.3356019957039</v>
      </c>
      <c r="W5668" s="84" t="n">
        <f aca="false">IF(ISNUMBER(U5668),ABS(U5668),"")</f>
        <v>0.56439800429607</v>
      </c>
    </row>
    <row r="5669" customFormat="false" ht="15" hidden="false" customHeight="false" outlineLevel="0" collapsed="false">
      <c r="A5669" s="57" t="n">
        <v>42497</v>
      </c>
      <c r="B5669" s="56" t="n">
        <v>2016</v>
      </c>
      <c r="C5669" s="56" t="n">
        <v>5</v>
      </c>
      <c r="D5669" s="56" t="n">
        <v>7</v>
      </c>
      <c r="E5669" s="56" t="n">
        <v>26.8</v>
      </c>
      <c r="F5669" s="56" t="n">
        <v>0</v>
      </c>
      <c r="G5669" s="56" t="n">
        <v>12.8</v>
      </c>
      <c r="H5669" s="56" t="n">
        <v>0</v>
      </c>
      <c r="I5669" s="56" t="n">
        <v>18.4</v>
      </c>
      <c r="J5669" s="56" t="n">
        <v>0</v>
      </c>
      <c r="K5669" s="56" t="n">
        <v>1006.7</v>
      </c>
      <c r="L5669" s="56" t="n">
        <v>0</v>
      </c>
      <c r="M5669" s="56" t="n">
        <v>62</v>
      </c>
      <c r="N5669" s="56" t="n">
        <v>6.3</v>
      </c>
      <c r="O5669" s="56" t="n">
        <f aca="false">IF(D5669=1,"",E5668)</f>
        <v>23.9</v>
      </c>
      <c r="P5669" s="56" t="n">
        <f aca="false">IF(OR(D5669=1,K5668=""),"",K5668)</f>
        <v>1010.7</v>
      </c>
      <c r="Q5669" s="56" t="n">
        <f aca="false">IF(OR(F5669&lt;&gt;0,AND(I5669&lt;&gt;"",E5669&lt;I5669)),1,0)</f>
        <v>0</v>
      </c>
      <c r="R5669" s="56" t="n">
        <f aca="false">IF(AND(D5669&gt;1,Q5669=0,ISNUMBER(O5669),ISNUMBER(P5669)),IF(Q5668=0,1,0),0)</f>
        <v>1</v>
      </c>
      <c r="S5669" s="56" t="n">
        <f aca="false">R5669*(B5669&gt;=Train_Start)*(B5669&lt;=Train_End)</f>
        <v>0</v>
      </c>
      <c r="T5669" s="84" t="n">
        <f aca="false">IF(AND(ISNUMBER(O5669),ISNUMBER(P5669)),Coef_A+Coef_B1*O5669+Coef_B2*P5669,"")</f>
        <v>23.3747346422883</v>
      </c>
      <c r="U5669" s="84" t="n">
        <f aca="false">IF(AND(R5669=1,ISNUMBER(T5669)),E5669-T5669,"")</f>
        <v>3.42526535771171</v>
      </c>
      <c r="V5669" s="84" t="n">
        <f aca="false">IF(ISNUMBER(T5669),T5669,-99)</f>
        <v>23.3747346422883</v>
      </c>
      <c r="W5669" s="84" t="n">
        <f aca="false">IF(ISNUMBER(U5669),ABS(U5669),"")</f>
        <v>3.42526535771171</v>
      </c>
    </row>
    <row r="5670" customFormat="false" ht="15" hidden="false" customHeight="false" outlineLevel="0" collapsed="false">
      <c r="A5670" s="57" t="n">
        <v>42498</v>
      </c>
      <c r="B5670" s="56" t="n">
        <v>2016</v>
      </c>
      <c r="C5670" s="56" t="n">
        <v>5</v>
      </c>
      <c r="D5670" s="56" t="n">
        <v>8</v>
      </c>
      <c r="E5670" s="56" t="n">
        <v>24.9</v>
      </c>
      <c r="F5670" s="56" t="n">
        <v>0</v>
      </c>
      <c r="G5670" s="56" t="n">
        <v>13.3</v>
      </c>
      <c r="H5670" s="56" t="n">
        <v>0</v>
      </c>
      <c r="I5670" s="56" t="n">
        <v>20</v>
      </c>
      <c r="J5670" s="56" t="n">
        <v>0</v>
      </c>
      <c r="K5670" s="56" t="n">
        <v>1007</v>
      </c>
      <c r="L5670" s="56" t="n">
        <v>0</v>
      </c>
      <c r="M5670" s="56" t="n">
        <v>50</v>
      </c>
      <c r="N5670" s="56" t="n">
        <v>13.3</v>
      </c>
      <c r="O5670" s="56" t="n">
        <f aca="false">IF(D5670=1,"",E5669)</f>
        <v>26.8</v>
      </c>
      <c r="P5670" s="56" t="n">
        <f aca="false">IF(OR(D5670=1,K5669=""),"",K5669)</f>
        <v>1006.7</v>
      </c>
      <c r="Q5670" s="56" t="n">
        <f aca="false">IF(OR(F5670&lt;&gt;0,AND(I5670&lt;&gt;"",E5670&lt;I5670)),1,0)</f>
        <v>0</v>
      </c>
      <c r="R5670" s="56" t="n">
        <f aca="false">IF(AND(D5670&gt;1,Q5670=0,ISNUMBER(O5670),ISNUMBER(P5670)),IF(Q5669=0,1,0),0)</f>
        <v>1</v>
      </c>
      <c r="S5670" s="56" t="n">
        <f aca="false">R5670*(B5670&gt;=Train_Start)*(B5670&lt;=Train_End)</f>
        <v>0</v>
      </c>
      <c r="T5670" s="84" t="n">
        <f aca="false">IF(AND(ISNUMBER(O5670),ISNUMBER(P5670)),Coef_A+Coef_B1*O5670+Coef_B2*P5670,"")</f>
        <v>25.625338723576</v>
      </c>
      <c r="U5670" s="84" t="n">
        <f aca="false">IF(AND(R5670=1,ISNUMBER(T5670)),E5670-T5670,"")</f>
        <v>-0.725338723576048</v>
      </c>
      <c r="V5670" s="84" t="n">
        <f aca="false">IF(ISNUMBER(T5670),T5670,-99)</f>
        <v>25.625338723576</v>
      </c>
      <c r="W5670" s="84" t="n">
        <f aca="false">IF(ISNUMBER(U5670),ABS(U5670),"")</f>
        <v>0.725338723576048</v>
      </c>
    </row>
    <row r="5671" customFormat="false" ht="15" hidden="false" customHeight="false" outlineLevel="0" collapsed="false">
      <c r="A5671" s="57" t="n">
        <v>42499</v>
      </c>
      <c r="B5671" s="56" t="n">
        <v>2016</v>
      </c>
      <c r="C5671" s="56" t="n">
        <v>5</v>
      </c>
      <c r="D5671" s="56" t="n">
        <v>9</v>
      </c>
      <c r="E5671" s="56" t="n">
        <v>17.2</v>
      </c>
      <c r="F5671" s="56" t="n">
        <v>1</v>
      </c>
      <c r="G5671" s="56" t="n">
        <v>14.5</v>
      </c>
      <c r="H5671" s="56" t="n">
        <v>0</v>
      </c>
      <c r="I5671" s="56" t="n">
        <v>19.7</v>
      </c>
      <c r="J5671" s="56" t="n">
        <v>1</v>
      </c>
      <c r="K5671" s="56" t="n">
        <v>1008</v>
      </c>
      <c r="L5671" s="56" t="n">
        <v>0</v>
      </c>
      <c r="M5671" s="56" t="n">
        <v>65</v>
      </c>
      <c r="N5671" s="56" t="n">
        <v>4.7</v>
      </c>
      <c r="O5671" s="56" t="n">
        <f aca="false">IF(D5671=1,"",E5670)</f>
        <v>24.9</v>
      </c>
      <c r="P5671" s="56" t="n">
        <f aca="false">IF(OR(D5671=1,K5670=""),"",K5670)</f>
        <v>1007</v>
      </c>
      <c r="Q5671" s="56" t="n">
        <f aca="false">IF(OR(F5671&lt;&gt;0,AND(I5671&lt;&gt;"",E5671&lt;I5671)),1,0)</f>
        <v>1</v>
      </c>
      <c r="R5671" s="56" t="n">
        <f aca="false">IF(AND(D5671&gt;1,Q5671=0,ISNUMBER(O5671),ISNUMBER(P5671)),IF(Q5670=0,1,0),0)</f>
        <v>0</v>
      </c>
      <c r="S5671" s="56" t="n">
        <f aca="false">R5671*(B5671&gt;=Train_Start)*(B5671&lt;=Train_End)</f>
        <v>0</v>
      </c>
      <c r="T5671" s="84" t="n">
        <f aca="false">IF(AND(ISNUMBER(O5671),ISNUMBER(P5671)),Coef_A+Coef_B1*O5671+Coef_B2*P5671,"")</f>
        <v>24.0780052251852</v>
      </c>
      <c r="U5671" s="84" t="str">
        <f aca="false">IF(AND(R5671=1,ISNUMBER(T5671)),E5671-T5671,"")</f>
        <v/>
      </c>
      <c r="V5671" s="84" t="n">
        <f aca="false">IF(ISNUMBER(T5671),T5671,-99)</f>
        <v>24.0780052251852</v>
      </c>
      <c r="W5671" s="84" t="str">
        <f aca="false">IF(ISNUMBER(U5671),ABS(U5671),"")</f>
        <v/>
      </c>
    </row>
    <row r="5672" customFormat="false" ht="15" hidden="false" customHeight="false" outlineLevel="0" collapsed="false">
      <c r="A5672" s="57" t="n">
        <v>42500</v>
      </c>
      <c r="B5672" s="56" t="n">
        <v>2016</v>
      </c>
      <c r="C5672" s="56" t="n">
        <v>5</v>
      </c>
      <c r="D5672" s="56" t="n">
        <v>10</v>
      </c>
      <c r="E5672" s="56" t="n">
        <v>18.9</v>
      </c>
      <c r="F5672" s="56" t="n">
        <v>0</v>
      </c>
      <c r="G5672" s="56" t="n">
        <v>15.2</v>
      </c>
      <c r="H5672" s="56" t="n">
        <v>0</v>
      </c>
      <c r="I5672" s="56" t="n">
        <v>16.2</v>
      </c>
      <c r="J5672" s="56" t="n">
        <v>0</v>
      </c>
      <c r="K5672" s="56" t="n">
        <v>1006.1</v>
      </c>
      <c r="L5672" s="56" t="n">
        <v>0</v>
      </c>
      <c r="M5672" s="56" t="n">
        <v>98</v>
      </c>
      <c r="N5672" s="56" t="n">
        <v>0</v>
      </c>
      <c r="O5672" s="56" t="n">
        <f aca="false">IF(D5672=1,"",E5671)</f>
        <v>17.2</v>
      </c>
      <c r="P5672" s="56" t="n">
        <f aca="false">IF(OR(D5672=1,K5671=""),"",K5671)</f>
        <v>1008</v>
      </c>
      <c r="Q5672" s="56" t="n">
        <f aca="false">IF(OR(F5672&lt;&gt;0,AND(I5672&lt;&gt;"",E5672&lt;I5672)),1,0)</f>
        <v>0</v>
      </c>
      <c r="R5672" s="56" t="n">
        <f aca="false">IF(AND(D5672&gt;1,Q5672=0,ISNUMBER(O5672),ISNUMBER(P5672)),IF(Q5671=0,1,0),0)</f>
        <v>0</v>
      </c>
      <c r="S5672" s="56" t="n">
        <f aca="false">R5672*(B5672&gt;=Train_Start)*(B5672&lt;=Train_End)</f>
        <v>0</v>
      </c>
      <c r="T5672" s="84" t="n">
        <f aca="false">IF(AND(ISNUMBER(O5672),ISNUMBER(P5672)),Coef_A+Coef_B1*O5672+Coef_B2*P5672,"")</f>
        <v>17.8004633333907</v>
      </c>
      <c r="U5672" s="84" t="str">
        <f aca="false">IF(AND(R5672=1,ISNUMBER(T5672)),E5672-T5672,"")</f>
        <v/>
      </c>
      <c r="V5672" s="84" t="n">
        <f aca="false">IF(ISNUMBER(T5672),T5672,-99)</f>
        <v>17.8004633333907</v>
      </c>
      <c r="W5672" s="84" t="str">
        <f aca="false">IF(ISNUMBER(U5672),ABS(U5672),"")</f>
        <v/>
      </c>
    </row>
    <row r="5673" customFormat="false" ht="15" hidden="false" customHeight="false" outlineLevel="0" collapsed="false">
      <c r="A5673" s="57" t="n">
        <v>42501</v>
      </c>
      <c r="B5673" s="56" t="n">
        <v>2016</v>
      </c>
      <c r="C5673" s="56" t="n">
        <v>5</v>
      </c>
      <c r="D5673" s="56" t="n">
        <v>11</v>
      </c>
      <c r="E5673" s="56" t="n">
        <v>24.3</v>
      </c>
      <c r="F5673" s="56" t="n">
        <v>0</v>
      </c>
      <c r="G5673" s="56" t="n">
        <v>14.7</v>
      </c>
      <c r="H5673" s="56" t="n">
        <v>0</v>
      </c>
      <c r="I5673" s="56" t="n">
        <v>16.8</v>
      </c>
      <c r="J5673" s="56" t="n">
        <v>0</v>
      </c>
      <c r="K5673" s="56" t="n">
        <v>1003.3</v>
      </c>
      <c r="L5673" s="56" t="n">
        <v>0</v>
      </c>
      <c r="M5673" s="56" t="n">
        <v>96</v>
      </c>
      <c r="N5673" s="56" t="n">
        <v>1.6</v>
      </c>
      <c r="O5673" s="56" t="n">
        <f aca="false">IF(D5673=1,"",E5672)</f>
        <v>18.9</v>
      </c>
      <c r="P5673" s="56" t="n">
        <f aca="false">IF(OR(D5673=1,K5672=""),"",K5672)</f>
        <v>1006.1</v>
      </c>
      <c r="Q5673" s="56" t="n">
        <f aca="false">IF(OR(F5673&lt;&gt;0,AND(I5673&lt;&gt;"",E5673&lt;I5673)),1,0)</f>
        <v>0</v>
      </c>
      <c r="R5673" s="56" t="n">
        <f aca="false">IF(AND(D5673&gt;1,Q5673=0,ISNUMBER(O5673),ISNUMBER(P5673)),IF(Q5672=0,1,0),0)</f>
        <v>1</v>
      </c>
      <c r="S5673" s="56" t="n">
        <f aca="false">R5673*(B5673&gt;=Train_Start)*(B5673&lt;=Train_End)</f>
        <v>0</v>
      </c>
      <c r="T5673" s="84" t="n">
        <f aca="false">IF(AND(ISNUMBER(O5673),ISNUMBER(P5673)),Coef_A+Coef_B1*O5673+Coef_B2*P5673,"")</f>
        <v>19.1337371617587</v>
      </c>
      <c r="U5673" s="84" t="n">
        <f aca="false">IF(AND(R5673=1,ISNUMBER(T5673)),E5673-T5673,"")</f>
        <v>5.16626283824135</v>
      </c>
      <c r="V5673" s="84" t="n">
        <f aca="false">IF(ISNUMBER(T5673),T5673,-99)</f>
        <v>19.1337371617587</v>
      </c>
      <c r="W5673" s="84" t="n">
        <f aca="false">IF(ISNUMBER(U5673),ABS(U5673),"")</f>
        <v>5.16626283824135</v>
      </c>
    </row>
    <row r="5674" customFormat="false" ht="15" hidden="false" customHeight="false" outlineLevel="0" collapsed="false">
      <c r="A5674" s="57" t="n">
        <v>42502</v>
      </c>
      <c r="B5674" s="56" t="n">
        <v>2016</v>
      </c>
      <c r="C5674" s="56" t="n">
        <v>5</v>
      </c>
      <c r="D5674" s="56" t="n">
        <v>12</v>
      </c>
      <c r="E5674" s="56" t="n">
        <v>17.7</v>
      </c>
      <c r="F5674" s="56" t="n">
        <v>1</v>
      </c>
      <c r="G5674" s="56" t="n">
        <v>11.9</v>
      </c>
      <c r="H5674" s="56" t="n">
        <v>0</v>
      </c>
      <c r="I5674" s="56" t="n">
        <v>18.1</v>
      </c>
      <c r="J5674" s="56" t="n">
        <v>1</v>
      </c>
      <c r="K5674" s="56" t="n">
        <v>1002.4</v>
      </c>
      <c r="L5674" s="56" t="n">
        <v>0</v>
      </c>
      <c r="M5674" s="56" t="n">
        <v>75</v>
      </c>
      <c r="N5674" s="56" t="n">
        <v>11.6</v>
      </c>
      <c r="O5674" s="56" t="n">
        <f aca="false">IF(D5674=1,"",E5673)</f>
        <v>24.3</v>
      </c>
      <c r="P5674" s="56" t="n">
        <f aca="false">IF(OR(D5674=1,K5673=""),"",K5673)</f>
        <v>1003.3</v>
      </c>
      <c r="Q5674" s="56" t="n">
        <f aca="false">IF(OR(F5674&lt;&gt;0,AND(I5674&lt;&gt;"",E5674&lt;I5674)),1,0)</f>
        <v>1</v>
      </c>
      <c r="R5674" s="56" t="n">
        <f aca="false">IF(AND(D5674&gt;1,Q5674=0,ISNUMBER(O5674),ISNUMBER(P5674)),IF(Q5673=0,1,0),0)</f>
        <v>0</v>
      </c>
      <c r="S5674" s="56" t="n">
        <f aca="false">R5674*(B5674&gt;=Train_Start)*(B5674&lt;=Train_End)</f>
        <v>0</v>
      </c>
      <c r="T5674" s="84" t="n">
        <f aca="false">IF(AND(ISNUMBER(O5674),ISNUMBER(P5674)),Coef_A+Coef_B1*O5674+Coef_B2*P5674,"")</f>
        <v>23.4703330992138</v>
      </c>
      <c r="U5674" s="84" t="str">
        <f aca="false">IF(AND(R5674=1,ISNUMBER(T5674)),E5674-T5674,"")</f>
        <v/>
      </c>
      <c r="V5674" s="84" t="n">
        <f aca="false">IF(ISNUMBER(T5674),T5674,-99)</f>
        <v>23.4703330992138</v>
      </c>
      <c r="W5674" s="84" t="str">
        <f aca="false">IF(ISNUMBER(U5674),ABS(U5674),"")</f>
        <v/>
      </c>
    </row>
    <row r="5675" customFormat="false" ht="15" hidden="false" customHeight="false" outlineLevel="0" collapsed="false">
      <c r="A5675" s="57" t="n">
        <v>42503</v>
      </c>
      <c r="B5675" s="56" t="n">
        <v>2016</v>
      </c>
      <c r="C5675" s="56" t="n">
        <v>5</v>
      </c>
      <c r="D5675" s="56" t="n">
        <v>13</v>
      </c>
      <c r="E5675" s="56" t="n">
        <v>14.6</v>
      </c>
      <c r="F5675" s="56" t="n">
        <v>0</v>
      </c>
      <c r="G5675" s="56" t="n">
        <v>11.2</v>
      </c>
      <c r="H5675" s="56" t="n">
        <v>0</v>
      </c>
      <c r="I5675" s="56" t="n">
        <v>14.4</v>
      </c>
      <c r="J5675" s="56" t="n">
        <v>0</v>
      </c>
      <c r="K5675" s="56" t="n">
        <v>1010.5</v>
      </c>
      <c r="L5675" s="56" t="n">
        <v>0</v>
      </c>
      <c r="M5675" s="56" t="n">
        <v>77</v>
      </c>
      <c r="N5675" s="56" t="n">
        <v>7.7</v>
      </c>
      <c r="O5675" s="56" t="n">
        <f aca="false">IF(D5675=1,"",E5674)</f>
        <v>17.7</v>
      </c>
      <c r="P5675" s="56" t="n">
        <f aca="false">IF(OR(D5675=1,K5674=""),"",K5674)</f>
        <v>1002.4</v>
      </c>
      <c r="Q5675" s="56" t="n">
        <f aca="false">IF(OR(F5675&lt;&gt;0,AND(I5675&lt;&gt;"",E5675&lt;I5675)),1,0)</f>
        <v>0</v>
      </c>
      <c r="R5675" s="56" t="n">
        <f aca="false">IF(AND(D5675&gt;1,Q5675=0,ISNUMBER(O5675),ISNUMBER(P5675)),IF(Q5674=0,1,0),0)</f>
        <v>0</v>
      </c>
      <c r="S5675" s="56" t="n">
        <f aca="false">R5675*(B5675&gt;=Train_Start)*(B5675&lt;=Train_End)</f>
        <v>0</v>
      </c>
      <c r="T5675" s="84" t="n">
        <f aca="false">IF(AND(ISNUMBER(O5675),ISNUMBER(P5675)),Coef_A+Coef_B1*O5675+Coef_B2*P5675,"")</f>
        <v>18.0344615199617</v>
      </c>
      <c r="U5675" s="84" t="str">
        <f aca="false">IF(AND(R5675=1,ISNUMBER(T5675)),E5675-T5675,"")</f>
        <v/>
      </c>
      <c r="V5675" s="84" t="n">
        <f aca="false">IF(ISNUMBER(T5675),T5675,-99)</f>
        <v>18.0344615199617</v>
      </c>
      <c r="W5675" s="84" t="str">
        <f aca="false">IF(ISNUMBER(U5675),ABS(U5675),"")</f>
        <v/>
      </c>
    </row>
    <row r="5676" customFormat="false" ht="15" hidden="false" customHeight="false" outlineLevel="0" collapsed="false">
      <c r="A5676" s="57" t="n">
        <v>42504</v>
      </c>
      <c r="B5676" s="56" t="n">
        <v>2016</v>
      </c>
      <c r="C5676" s="56" t="n">
        <v>5</v>
      </c>
      <c r="D5676" s="56" t="n">
        <v>14</v>
      </c>
      <c r="E5676" s="56" t="n">
        <v>17.4</v>
      </c>
      <c r="F5676" s="56" t="n">
        <v>0</v>
      </c>
      <c r="G5676" s="56" t="n">
        <v>7.6</v>
      </c>
      <c r="H5676" s="56" t="n">
        <v>0</v>
      </c>
      <c r="I5676" s="56" t="n">
        <v>11.1</v>
      </c>
      <c r="J5676" s="56" t="n">
        <v>0</v>
      </c>
      <c r="K5676" s="56" t="n">
        <v>1020.1</v>
      </c>
      <c r="L5676" s="56" t="n">
        <v>0</v>
      </c>
      <c r="M5676" s="56" t="n">
        <v>56</v>
      </c>
      <c r="N5676" s="56" t="n">
        <v>7.2</v>
      </c>
      <c r="O5676" s="56" t="n">
        <f aca="false">IF(D5676=1,"",E5675)</f>
        <v>14.6</v>
      </c>
      <c r="P5676" s="56" t="n">
        <f aca="false">IF(OR(D5676=1,K5675=""),"",K5675)</f>
        <v>1010.5</v>
      </c>
      <c r="Q5676" s="56" t="n">
        <f aca="false">IF(OR(F5676&lt;&gt;0,AND(I5676&lt;&gt;"",E5676&lt;I5676)),1,0)</f>
        <v>0</v>
      </c>
      <c r="R5676" s="56" t="n">
        <f aca="false">IF(AND(D5676&gt;1,Q5676=0,ISNUMBER(O5676),ISNUMBER(P5676)),IF(Q5675=0,1,0),0)</f>
        <v>1</v>
      </c>
      <c r="S5676" s="56" t="n">
        <f aca="false">R5676*(B5676&gt;=Train_Start)*(B5676&lt;=Train_End)</f>
        <v>0</v>
      </c>
      <c r="T5676" s="84" t="n">
        <f aca="false">IF(AND(ISNUMBER(O5676),ISNUMBER(P5676)),Coef_A+Coef_B1*O5676+Coef_B2*P5676,"")</f>
        <v>15.7486061680648</v>
      </c>
      <c r="U5676" s="84" t="n">
        <f aca="false">IF(AND(R5676=1,ISNUMBER(T5676)),E5676-T5676,"")</f>
        <v>1.65139383193522</v>
      </c>
      <c r="V5676" s="84" t="n">
        <f aca="false">IF(ISNUMBER(T5676),T5676,-99)</f>
        <v>15.7486061680648</v>
      </c>
      <c r="W5676" s="84" t="n">
        <f aca="false">IF(ISNUMBER(U5676),ABS(U5676),"")</f>
        <v>1.65139383193522</v>
      </c>
    </row>
    <row r="5677" customFormat="false" ht="15" hidden="false" customHeight="false" outlineLevel="0" collapsed="false">
      <c r="A5677" s="57" t="n">
        <v>42505</v>
      </c>
      <c r="B5677" s="56" t="n">
        <v>2016</v>
      </c>
      <c r="C5677" s="56" t="n">
        <v>5</v>
      </c>
      <c r="D5677" s="56" t="n">
        <v>15</v>
      </c>
      <c r="E5677" s="56" t="n">
        <v>18.1</v>
      </c>
      <c r="F5677" s="56" t="n">
        <v>0</v>
      </c>
      <c r="G5677" s="56" t="n">
        <v>5.2</v>
      </c>
      <c r="H5677" s="56" t="n">
        <v>0</v>
      </c>
      <c r="I5677" s="56" t="n">
        <v>11.3</v>
      </c>
      <c r="J5677" s="56" t="n">
        <v>0</v>
      </c>
      <c r="K5677" s="56" t="n">
        <v>1022.2</v>
      </c>
      <c r="L5677" s="56" t="n">
        <v>0</v>
      </c>
      <c r="M5677" s="56" t="n">
        <v>61</v>
      </c>
      <c r="N5677" s="56" t="n">
        <v>8.3</v>
      </c>
      <c r="O5677" s="56" t="n">
        <f aca="false">IF(D5677=1,"",E5676)</f>
        <v>17.4</v>
      </c>
      <c r="P5677" s="56" t="n">
        <f aca="false">IF(OR(D5677=1,K5676=""),"",K5676)</f>
        <v>1020.1</v>
      </c>
      <c r="Q5677" s="56" t="n">
        <f aca="false">IF(OR(F5677&lt;&gt;0,AND(I5677&lt;&gt;"",E5677&lt;I5677)),1,0)</f>
        <v>0</v>
      </c>
      <c r="R5677" s="56" t="n">
        <f aca="false">IF(AND(D5677&gt;1,Q5677=0,ISNUMBER(O5677),ISNUMBER(P5677)),IF(Q5676=0,1,0),0)</f>
        <v>1</v>
      </c>
      <c r="S5677" s="56" t="n">
        <f aca="false">R5677*(B5677&gt;=Train_Start)*(B5677&lt;=Train_End)</f>
        <v>0</v>
      </c>
      <c r="T5677" s="84" t="n">
        <f aca="false">IF(AND(ISNUMBER(O5677),ISNUMBER(P5677)),Coef_A+Coef_B1*O5677+Coef_B2*P5677,"")</f>
        <v>18.3439068970705</v>
      </c>
      <c r="U5677" s="84" t="n">
        <f aca="false">IF(AND(R5677=1,ISNUMBER(T5677)),E5677-T5677,"")</f>
        <v>-0.243906897070517</v>
      </c>
      <c r="V5677" s="84" t="n">
        <f aca="false">IF(ISNUMBER(T5677),T5677,-99)</f>
        <v>18.3439068970705</v>
      </c>
      <c r="W5677" s="84" t="n">
        <f aca="false">IF(ISNUMBER(U5677),ABS(U5677),"")</f>
        <v>0.243906897070517</v>
      </c>
    </row>
    <row r="5678" customFormat="false" ht="15" hidden="false" customHeight="false" outlineLevel="0" collapsed="false">
      <c r="A5678" s="57" t="n">
        <v>42506</v>
      </c>
      <c r="B5678" s="56" t="n">
        <v>2016</v>
      </c>
      <c r="C5678" s="56" t="n">
        <v>5</v>
      </c>
      <c r="D5678" s="56" t="n">
        <v>16</v>
      </c>
      <c r="E5678" s="56" t="n">
        <v>17.8</v>
      </c>
      <c r="F5678" s="56" t="n">
        <v>0</v>
      </c>
      <c r="G5678" s="56" t="n">
        <v>8.6</v>
      </c>
      <c r="H5678" s="56" t="n">
        <v>0</v>
      </c>
      <c r="I5678" s="56" t="n">
        <v>13.4</v>
      </c>
      <c r="J5678" s="56" t="n">
        <v>0</v>
      </c>
      <c r="K5678" s="56" t="n">
        <v>1020.8</v>
      </c>
      <c r="L5678" s="56" t="n">
        <v>0</v>
      </c>
      <c r="M5678" s="56" t="n">
        <v>66</v>
      </c>
      <c r="N5678" s="56" t="n">
        <v>11.5</v>
      </c>
      <c r="O5678" s="56" t="n">
        <f aca="false">IF(D5678=1,"",E5677)</f>
        <v>18.1</v>
      </c>
      <c r="P5678" s="56" t="n">
        <f aca="false">IF(OR(D5678=1,K5677=""),"",K5677)</f>
        <v>1022.2</v>
      </c>
      <c r="Q5678" s="56" t="n">
        <f aca="false">IF(OR(F5678&lt;&gt;0,AND(I5678&lt;&gt;"",E5678&lt;I5678)),1,0)</f>
        <v>0</v>
      </c>
      <c r="R5678" s="56" t="n">
        <f aca="false">IF(AND(D5678&gt;1,Q5678=0,ISNUMBER(O5678),ISNUMBER(P5678)),IF(Q5677=0,1,0),0)</f>
        <v>1</v>
      </c>
      <c r="S5678" s="56" t="n">
        <f aca="false">R5678*(B5678&gt;=Train_Start)*(B5678&lt;=Train_End)</f>
        <v>0</v>
      </c>
      <c r="T5678" s="84" t="n">
        <f aca="false">IF(AND(ISNUMBER(O5678),ISNUMBER(P5678)),Coef_A+Coef_B1*O5678+Coef_B2*P5678,"")</f>
        <v>18.9833211109318</v>
      </c>
      <c r="U5678" s="84" t="n">
        <f aca="false">IF(AND(R5678=1,ISNUMBER(T5678)),E5678-T5678,"")</f>
        <v>-1.18332111093176</v>
      </c>
      <c r="V5678" s="84" t="n">
        <f aca="false">IF(ISNUMBER(T5678),T5678,-99)</f>
        <v>18.9833211109318</v>
      </c>
      <c r="W5678" s="84" t="n">
        <f aca="false">IF(ISNUMBER(U5678),ABS(U5678),"")</f>
        <v>1.18332111093176</v>
      </c>
    </row>
    <row r="5679" customFormat="false" ht="15" hidden="false" customHeight="false" outlineLevel="0" collapsed="false">
      <c r="A5679" s="57" t="n">
        <v>42507</v>
      </c>
      <c r="B5679" s="56" t="n">
        <v>2016</v>
      </c>
      <c r="C5679" s="56" t="n">
        <v>5</v>
      </c>
      <c r="D5679" s="56" t="n">
        <v>17</v>
      </c>
      <c r="E5679" s="56" t="n">
        <v>14.2</v>
      </c>
      <c r="F5679" s="56" t="n">
        <v>0</v>
      </c>
      <c r="G5679" s="56" t="n">
        <v>7.9</v>
      </c>
      <c r="H5679" s="56" t="n">
        <v>0</v>
      </c>
      <c r="I5679" s="56" t="n">
        <v>12.8</v>
      </c>
      <c r="J5679" s="56" t="n">
        <v>0</v>
      </c>
      <c r="K5679" s="56" t="n">
        <v>1016.2</v>
      </c>
      <c r="L5679" s="56" t="n">
        <v>0</v>
      </c>
      <c r="M5679" s="56" t="n">
        <v>75</v>
      </c>
      <c r="N5679" s="56" t="n">
        <v>4.5</v>
      </c>
      <c r="O5679" s="56" t="n">
        <f aca="false">IF(D5679=1,"",E5678)</f>
        <v>17.8</v>
      </c>
      <c r="P5679" s="56" t="n">
        <f aca="false">IF(OR(D5679=1,K5678=""),"",K5678)</f>
        <v>1020.8</v>
      </c>
      <c r="Q5679" s="56" t="n">
        <f aca="false">IF(OR(F5679&lt;&gt;0,AND(I5679&lt;&gt;"",E5679&lt;I5679)),1,0)</f>
        <v>0</v>
      </c>
      <c r="R5679" s="56" t="n">
        <f aca="false">IF(AND(D5679&gt;1,Q5679=0,ISNUMBER(O5679),ISNUMBER(P5679)),IF(Q5678=0,1,0),0)</f>
        <v>1</v>
      </c>
      <c r="S5679" s="56" t="n">
        <f aca="false">R5679*(B5679&gt;=Train_Start)*(B5679&lt;=Train_End)</f>
        <v>0</v>
      </c>
      <c r="T5679" s="84" t="n">
        <f aca="false">IF(AND(ISNUMBER(O5679),ISNUMBER(P5679)),Coef_A+Coef_B1*O5679+Coef_B2*P5679,"")</f>
        <v>18.6936015005314</v>
      </c>
      <c r="U5679" s="84" t="n">
        <f aca="false">IF(AND(R5679=1,ISNUMBER(T5679)),E5679-T5679,"")</f>
        <v>-4.49360150053137</v>
      </c>
      <c r="V5679" s="84" t="n">
        <f aca="false">IF(ISNUMBER(T5679),T5679,-99)</f>
        <v>18.6936015005314</v>
      </c>
      <c r="W5679" s="84" t="n">
        <f aca="false">IF(ISNUMBER(U5679),ABS(U5679),"")</f>
        <v>4.49360150053137</v>
      </c>
    </row>
    <row r="5680" customFormat="false" ht="15" hidden="false" customHeight="false" outlineLevel="0" collapsed="false">
      <c r="A5680" s="57" t="n">
        <v>42508</v>
      </c>
      <c r="B5680" s="56" t="n">
        <v>2016</v>
      </c>
      <c r="C5680" s="56" t="n">
        <v>5</v>
      </c>
      <c r="D5680" s="56" t="n">
        <v>18</v>
      </c>
      <c r="E5680" s="56" t="n">
        <v>19</v>
      </c>
      <c r="F5680" s="56" t="n">
        <v>0</v>
      </c>
      <c r="G5680" s="56" t="n">
        <v>11.3</v>
      </c>
      <c r="H5680" s="56" t="n">
        <v>0</v>
      </c>
      <c r="I5680" s="56" t="n">
        <v>12.8</v>
      </c>
      <c r="J5680" s="56" t="n">
        <v>0</v>
      </c>
      <c r="K5680" s="56" t="n">
        <v>1005</v>
      </c>
      <c r="L5680" s="56" t="n">
        <v>0</v>
      </c>
      <c r="M5680" s="56" t="n">
        <v>88</v>
      </c>
      <c r="N5680" s="56" t="n">
        <v>0</v>
      </c>
      <c r="O5680" s="56" t="n">
        <f aca="false">IF(D5680=1,"",E5679)</f>
        <v>14.2</v>
      </c>
      <c r="P5680" s="56" t="n">
        <f aca="false">IF(OR(D5680=1,K5679=""),"",K5679)</f>
        <v>1016.2</v>
      </c>
      <c r="Q5680" s="56" t="n">
        <f aca="false">IF(OR(F5680&lt;&gt;0,AND(I5680&lt;&gt;"",E5680&lt;I5680)),1,0)</f>
        <v>0</v>
      </c>
      <c r="R5680" s="56" t="n">
        <f aca="false">IF(AND(D5680&gt;1,Q5680=0,ISNUMBER(O5680),ISNUMBER(P5680)),IF(Q5679=0,1,0),0)</f>
        <v>1</v>
      </c>
      <c r="S5680" s="56" t="n">
        <f aca="false">R5680*(B5680&gt;=Train_Start)*(B5680&lt;=Train_End)</f>
        <v>0</v>
      </c>
      <c r="T5680" s="84" t="n">
        <f aca="false">IF(AND(ISNUMBER(O5680),ISNUMBER(P5680)),Coef_A+Coef_B1*O5680+Coef_B2*P5680,"")</f>
        <v>15.5996788902615</v>
      </c>
      <c r="U5680" s="84" t="n">
        <f aca="false">IF(AND(R5680=1,ISNUMBER(T5680)),E5680-T5680,"")</f>
        <v>3.40032110973854</v>
      </c>
      <c r="V5680" s="84" t="n">
        <f aca="false">IF(ISNUMBER(T5680),T5680,-99)</f>
        <v>15.5996788902615</v>
      </c>
      <c r="W5680" s="84" t="n">
        <f aca="false">IF(ISNUMBER(U5680),ABS(U5680),"")</f>
        <v>3.40032110973854</v>
      </c>
    </row>
    <row r="5681" customFormat="false" ht="15" hidden="false" customHeight="false" outlineLevel="0" collapsed="false">
      <c r="A5681" s="57" t="n">
        <v>42509</v>
      </c>
      <c r="B5681" s="56" t="n">
        <v>2016</v>
      </c>
      <c r="C5681" s="56" t="n">
        <v>5</v>
      </c>
      <c r="D5681" s="56" t="n">
        <v>19</v>
      </c>
      <c r="E5681" s="56" t="n">
        <v>19.2</v>
      </c>
      <c r="F5681" s="56" t="n">
        <v>0</v>
      </c>
      <c r="G5681" s="56" t="n">
        <v>9.9</v>
      </c>
      <c r="H5681" s="56" t="n">
        <v>0</v>
      </c>
      <c r="I5681" s="56" t="n">
        <v>14.4</v>
      </c>
      <c r="J5681" s="56" t="n">
        <v>0</v>
      </c>
      <c r="K5681" s="56" t="n">
        <v>1011.4</v>
      </c>
      <c r="L5681" s="56" t="n">
        <v>0</v>
      </c>
      <c r="M5681" s="56" t="n">
        <v>79</v>
      </c>
      <c r="N5681" s="56" t="n">
        <v>1.3</v>
      </c>
      <c r="O5681" s="56" t="n">
        <f aca="false">IF(D5681=1,"",E5680)</f>
        <v>19</v>
      </c>
      <c r="P5681" s="56" t="n">
        <f aca="false">IF(OR(D5681=1,K5680=""),"",K5680)</f>
        <v>1005</v>
      </c>
      <c r="Q5681" s="56" t="n">
        <f aca="false">IF(OR(F5681&lt;&gt;0,AND(I5681&lt;&gt;"",E5681&lt;I5681)),1,0)</f>
        <v>0</v>
      </c>
      <c r="R5681" s="56" t="n">
        <f aca="false">IF(AND(D5681&gt;1,Q5681=0,ISNUMBER(O5681),ISNUMBER(P5681)),IF(Q5680=0,1,0),0)</f>
        <v>1</v>
      </c>
      <c r="S5681" s="56" t="n">
        <f aca="false">R5681*(B5681&gt;=Train_Start)*(B5681&lt;=Train_End)</f>
        <v>0</v>
      </c>
      <c r="T5681" s="84" t="n">
        <f aca="false">IF(AND(ISNUMBER(O5681),ISNUMBER(P5681)),Coef_A+Coef_B1*O5681+Coef_B2*P5681,"")</f>
        <v>19.1811641969655</v>
      </c>
      <c r="U5681" s="84" t="n">
        <f aca="false">IF(AND(R5681=1,ISNUMBER(T5681)),E5681-T5681,"")</f>
        <v>0.0188358030344666</v>
      </c>
      <c r="V5681" s="84" t="n">
        <f aca="false">IF(ISNUMBER(T5681),T5681,-99)</f>
        <v>19.1811641969655</v>
      </c>
      <c r="W5681" s="84" t="n">
        <f aca="false">IF(ISNUMBER(U5681),ABS(U5681),"")</f>
        <v>0.0188358030344666</v>
      </c>
    </row>
    <row r="5682" customFormat="false" ht="15" hidden="false" customHeight="false" outlineLevel="0" collapsed="false">
      <c r="A5682" s="57" t="n">
        <v>42510</v>
      </c>
      <c r="B5682" s="56" t="n">
        <v>2016</v>
      </c>
      <c r="C5682" s="56" t="n">
        <v>5</v>
      </c>
      <c r="D5682" s="56" t="n">
        <v>20</v>
      </c>
      <c r="E5682" s="56" t="n">
        <v>18.3</v>
      </c>
      <c r="F5682" s="56" t="n">
        <v>0</v>
      </c>
      <c r="G5682" s="56" t="n">
        <v>13.1</v>
      </c>
      <c r="H5682" s="56" t="n">
        <v>0</v>
      </c>
      <c r="I5682" s="56" t="n">
        <v>16.2</v>
      </c>
      <c r="J5682" s="56" t="n">
        <v>0</v>
      </c>
      <c r="K5682" s="56" t="n">
        <v>1014.2</v>
      </c>
      <c r="L5682" s="56" t="n">
        <v>0</v>
      </c>
      <c r="M5682" s="56" t="n">
        <v>74</v>
      </c>
      <c r="N5682" s="56" t="n">
        <v>2.9</v>
      </c>
      <c r="O5682" s="56" t="n">
        <f aca="false">IF(D5682=1,"",E5681)</f>
        <v>19.2</v>
      </c>
      <c r="P5682" s="56" t="n">
        <f aca="false">IF(OR(D5682=1,K5681=""),"",K5681)</f>
        <v>1011.4</v>
      </c>
      <c r="Q5682" s="56" t="n">
        <f aca="false">IF(OR(F5682&lt;&gt;0,AND(I5682&lt;&gt;"",E5682&lt;I5682)),1,0)</f>
        <v>0</v>
      </c>
      <c r="R5682" s="56" t="n">
        <f aca="false">IF(AND(D5682&gt;1,Q5682=0,ISNUMBER(O5682),ISNUMBER(P5682)),IF(Q5681=0,1,0),0)</f>
        <v>1</v>
      </c>
      <c r="S5682" s="56" t="n">
        <f aca="false">R5682*(B5682&gt;=Train_Start)*(B5682&lt;=Train_End)</f>
        <v>0</v>
      </c>
      <c r="T5682" s="84" t="n">
        <f aca="false">IF(AND(ISNUMBER(O5682),ISNUMBER(P5682)),Coef_A+Coef_B1*O5682+Coef_B2*P5682,"")</f>
        <v>19.5457993612316</v>
      </c>
      <c r="U5682" s="84" t="n">
        <f aca="false">IF(AND(R5682=1,ISNUMBER(T5682)),E5682-T5682,"")</f>
        <v>-1.24579936123159</v>
      </c>
      <c r="V5682" s="84" t="n">
        <f aca="false">IF(ISNUMBER(T5682),T5682,-99)</f>
        <v>19.5457993612316</v>
      </c>
      <c r="W5682" s="84" t="n">
        <f aca="false">IF(ISNUMBER(U5682),ABS(U5682),"")</f>
        <v>1.24579936123159</v>
      </c>
    </row>
    <row r="5683" customFormat="false" ht="15" hidden="false" customHeight="false" outlineLevel="0" collapsed="false">
      <c r="A5683" s="57" t="n">
        <v>42511</v>
      </c>
      <c r="B5683" s="56" t="n">
        <v>2016</v>
      </c>
      <c r="C5683" s="56" t="n">
        <v>5</v>
      </c>
      <c r="D5683" s="56" t="n">
        <v>21</v>
      </c>
      <c r="E5683" s="56" t="n">
        <v>18.8</v>
      </c>
      <c r="F5683" s="56" t="n">
        <v>0</v>
      </c>
      <c r="G5683" s="56" t="n">
        <v>12.6</v>
      </c>
      <c r="H5683" s="56" t="n">
        <v>0</v>
      </c>
      <c r="I5683" s="56" t="n">
        <v>15.4</v>
      </c>
      <c r="J5683" s="56" t="n">
        <v>0</v>
      </c>
      <c r="K5683" s="56" t="n">
        <v>1008.8</v>
      </c>
      <c r="L5683" s="56" t="n">
        <v>0</v>
      </c>
      <c r="M5683" s="56" t="n">
        <v>87</v>
      </c>
      <c r="N5683" s="56" t="n">
        <v>0.3</v>
      </c>
      <c r="O5683" s="56" t="n">
        <f aca="false">IF(D5683=1,"",E5682)</f>
        <v>18.3</v>
      </c>
      <c r="P5683" s="56" t="n">
        <f aca="false">IF(OR(D5683=1,K5682=""),"",K5682)</f>
        <v>1014.2</v>
      </c>
      <c r="Q5683" s="56" t="n">
        <f aca="false">IF(OR(F5683&lt;&gt;0,AND(I5683&lt;&gt;"",E5683&lt;I5683)),1,0)</f>
        <v>0</v>
      </c>
      <c r="R5683" s="56" t="n">
        <f aca="false">IF(AND(D5683&gt;1,Q5683=0,ISNUMBER(O5683),ISNUMBER(P5683)),IF(Q5682=0,1,0),0)</f>
        <v>1</v>
      </c>
      <c r="S5683" s="56" t="n">
        <f aca="false">R5683*(B5683&gt;=Train_Start)*(B5683&lt;=Train_End)</f>
        <v>0</v>
      </c>
      <c r="T5683" s="84" t="n">
        <f aca="false">IF(AND(ISNUMBER(O5683),ISNUMBER(P5683)),Coef_A+Coef_B1*O5683+Coef_B2*P5683,"")</f>
        <v>18.8962297924684</v>
      </c>
      <c r="U5683" s="84" t="n">
        <f aca="false">IF(AND(R5683=1,ISNUMBER(T5683)),E5683-T5683,"")</f>
        <v>-0.0962297924683746</v>
      </c>
      <c r="V5683" s="84" t="n">
        <f aca="false">IF(ISNUMBER(T5683),T5683,-99)</f>
        <v>18.8962297924684</v>
      </c>
      <c r="W5683" s="84" t="n">
        <f aca="false">IF(ISNUMBER(U5683),ABS(U5683),"")</f>
        <v>0.0962297924683746</v>
      </c>
    </row>
    <row r="5684" customFormat="false" ht="15" hidden="false" customHeight="false" outlineLevel="0" collapsed="false">
      <c r="A5684" s="57" t="n">
        <v>42512</v>
      </c>
      <c r="B5684" s="56" t="n">
        <v>2016</v>
      </c>
      <c r="C5684" s="56" t="n">
        <v>5</v>
      </c>
      <c r="D5684" s="56" t="n">
        <v>22</v>
      </c>
      <c r="E5684" s="56" t="n">
        <v>19.7</v>
      </c>
      <c r="F5684" s="56" t="n">
        <v>0</v>
      </c>
      <c r="G5684" s="56" t="n">
        <v>11</v>
      </c>
      <c r="H5684" s="56" t="n">
        <v>0</v>
      </c>
      <c r="I5684" s="56" t="n">
        <v>14.9</v>
      </c>
      <c r="J5684" s="56" t="n">
        <v>0</v>
      </c>
      <c r="K5684" s="56" t="n">
        <v>1007.9</v>
      </c>
      <c r="L5684" s="56" t="n">
        <v>0</v>
      </c>
      <c r="M5684" s="56" t="n">
        <v>74</v>
      </c>
      <c r="N5684" s="56" t="n">
        <v>5.4</v>
      </c>
      <c r="O5684" s="56" t="n">
        <f aca="false">IF(D5684=1,"",E5683)</f>
        <v>18.8</v>
      </c>
      <c r="P5684" s="56" t="n">
        <f aca="false">IF(OR(D5684=1,K5683=""),"",K5683)</f>
        <v>1008.8</v>
      </c>
      <c r="Q5684" s="56" t="n">
        <f aca="false">IF(OR(F5684&lt;&gt;0,AND(I5684&lt;&gt;"",E5684&lt;I5684)),1,0)</f>
        <v>0</v>
      </c>
      <c r="R5684" s="56" t="n">
        <f aca="false">IF(AND(D5684&gt;1,Q5684=0,ISNUMBER(O5684),ISNUMBER(P5684)),IF(Q5683=0,1,0),0)</f>
        <v>1</v>
      </c>
      <c r="S5684" s="56" t="n">
        <f aca="false">R5684*(B5684&gt;=Train_Start)*(B5684&lt;=Train_End)</f>
        <v>0</v>
      </c>
      <c r="T5684" s="84" t="n">
        <f aca="false">IF(AND(ISNUMBER(O5684),ISNUMBER(P5684)),Coef_A+Coef_B1*O5684+Coef_B2*P5684,"")</f>
        <v>19.1365019579662</v>
      </c>
      <c r="U5684" s="84" t="n">
        <f aca="false">IF(AND(R5684=1,ISNUMBER(T5684)),E5684-T5684,"")</f>
        <v>0.563498042033839</v>
      </c>
      <c r="V5684" s="84" t="n">
        <f aca="false">IF(ISNUMBER(T5684),T5684,-99)</f>
        <v>19.1365019579662</v>
      </c>
      <c r="W5684" s="84" t="n">
        <f aca="false">IF(ISNUMBER(U5684),ABS(U5684),"")</f>
        <v>0.563498042033839</v>
      </c>
    </row>
    <row r="5685" customFormat="false" ht="15" hidden="false" customHeight="false" outlineLevel="0" collapsed="false">
      <c r="A5685" s="57" t="n">
        <v>42513</v>
      </c>
      <c r="B5685" s="56" t="n">
        <v>2016</v>
      </c>
      <c r="C5685" s="56" t="n">
        <v>5</v>
      </c>
      <c r="D5685" s="56" t="n">
        <v>23</v>
      </c>
      <c r="E5685" s="56" t="n">
        <v>17.2</v>
      </c>
      <c r="F5685" s="56" t="n">
        <v>0</v>
      </c>
      <c r="G5685" s="56" t="n">
        <v>9.5</v>
      </c>
      <c r="H5685" s="56" t="n">
        <v>0</v>
      </c>
      <c r="I5685" s="56" t="n">
        <v>14.6</v>
      </c>
      <c r="J5685" s="56" t="n">
        <v>0</v>
      </c>
      <c r="K5685" s="56" t="n">
        <v>1017.7</v>
      </c>
      <c r="L5685" s="56" t="n">
        <v>0</v>
      </c>
      <c r="M5685" s="56" t="n">
        <v>67</v>
      </c>
      <c r="N5685" s="56" t="n">
        <v>8.9</v>
      </c>
      <c r="O5685" s="56" t="n">
        <f aca="false">IF(D5685=1,"",E5684)</f>
        <v>19.7</v>
      </c>
      <c r="P5685" s="56" t="n">
        <f aca="false">IF(OR(D5685=1,K5684=""),"",K5684)</f>
        <v>1007.9</v>
      </c>
      <c r="Q5685" s="56" t="n">
        <f aca="false">IF(OR(F5685&lt;&gt;0,AND(I5685&lt;&gt;"",E5685&lt;I5685)),1,0)</f>
        <v>0</v>
      </c>
      <c r="R5685" s="56" t="n">
        <f aca="false">IF(AND(D5685&gt;1,Q5685=0,ISNUMBER(O5685),ISNUMBER(P5685)),IF(Q5684=0,1,0),0)</f>
        <v>1</v>
      </c>
      <c r="S5685" s="56" t="n">
        <f aca="false">R5685*(B5685&gt;=Train_Start)*(B5685&lt;=Train_End)</f>
        <v>0</v>
      </c>
      <c r="T5685" s="84" t="n">
        <f aca="false">IF(AND(ISNUMBER(O5685),ISNUMBER(P5685)),Coef_A+Coef_B1*O5685+Coef_B2*P5685,"")</f>
        <v>19.845674326534</v>
      </c>
      <c r="U5685" s="84" t="n">
        <f aca="false">IF(AND(R5685=1,ISNUMBER(T5685)),E5685-T5685,"")</f>
        <v>-2.64567432653396</v>
      </c>
      <c r="V5685" s="84" t="n">
        <f aca="false">IF(ISNUMBER(T5685),T5685,-99)</f>
        <v>19.845674326534</v>
      </c>
      <c r="W5685" s="84" t="n">
        <f aca="false">IF(ISNUMBER(U5685),ABS(U5685),"")</f>
        <v>2.64567432653396</v>
      </c>
    </row>
    <row r="5686" customFormat="false" ht="15" hidden="false" customHeight="false" outlineLevel="0" collapsed="false">
      <c r="A5686" s="57" t="n">
        <v>42514</v>
      </c>
      <c r="B5686" s="56" t="n">
        <v>2016</v>
      </c>
      <c r="C5686" s="56" t="n">
        <v>5</v>
      </c>
      <c r="D5686" s="56" t="n">
        <v>24</v>
      </c>
      <c r="E5686" s="56" t="n">
        <v>14.7</v>
      </c>
      <c r="F5686" s="56" t="n">
        <v>0</v>
      </c>
      <c r="G5686" s="56" t="n">
        <v>7.5</v>
      </c>
      <c r="H5686" s="56" t="n">
        <v>0</v>
      </c>
      <c r="I5686" s="56" t="n">
        <v>12.4</v>
      </c>
      <c r="J5686" s="56" t="n">
        <v>0</v>
      </c>
      <c r="K5686" s="56" t="n">
        <v>1021.3</v>
      </c>
      <c r="L5686" s="56" t="n">
        <v>0</v>
      </c>
      <c r="M5686" s="56" t="n">
        <v>67</v>
      </c>
      <c r="N5686" s="56" t="n">
        <v>9.7</v>
      </c>
      <c r="O5686" s="56" t="n">
        <f aca="false">IF(D5686=1,"",E5685)</f>
        <v>17.2</v>
      </c>
      <c r="P5686" s="56" t="n">
        <f aca="false">IF(OR(D5686=1,K5685=""),"",K5685)</f>
        <v>1017.7</v>
      </c>
      <c r="Q5686" s="56" t="n">
        <f aca="false">IF(OR(F5686&lt;&gt;0,AND(I5686&lt;&gt;"",E5686&lt;I5686)),1,0)</f>
        <v>0</v>
      </c>
      <c r="R5686" s="56" t="n">
        <f aca="false">IF(AND(D5686&gt;1,Q5686=0,ISNUMBER(O5686),ISNUMBER(P5686)),IF(Q5685=0,1,0),0)</f>
        <v>1</v>
      </c>
      <c r="S5686" s="56" t="n">
        <f aca="false">R5686*(B5686&gt;=Train_Start)*(B5686&lt;=Train_End)</f>
        <v>0</v>
      </c>
      <c r="T5686" s="84" t="n">
        <f aca="false">IF(AND(ISNUMBER(O5686),ISNUMBER(P5686)),Coef_A+Coef_B1*O5686+Coef_B2*P5686,"")</f>
        <v>18.1047513113404</v>
      </c>
      <c r="U5686" s="84" t="n">
        <f aca="false">IF(AND(R5686=1,ISNUMBER(T5686)),E5686-T5686,"")</f>
        <v>-3.40475131134042</v>
      </c>
      <c r="V5686" s="84" t="n">
        <f aca="false">IF(ISNUMBER(T5686),T5686,-99)</f>
        <v>18.1047513113404</v>
      </c>
      <c r="W5686" s="84" t="n">
        <f aca="false">IF(ISNUMBER(U5686),ABS(U5686),"")</f>
        <v>3.40475131134042</v>
      </c>
    </row>
    <row r="5687" customFormat="false" ht="15" hidden="false" customHeight="false" outlineLevel="0" collapsed="false">
      <c r="A5687" s="57" t="n">
        <v>42515</v>
      </c>
      <c r="B5687" s="56" t="n">
        <v>2016</v>
      </c>
      <c r="C5687" s="56" t="n">
        <v>5</v>
      </c>
      <c r="D5687" s="56" t="n">
        <v>25</v>
      </c>
      <c r="E5687" s="56" t="n">
        <v>21.2</v>
      </c>
      <c r="F5687" s="56" t="n">
        <v>0</v>
      </c>
      <c r="G5687" s="56" t="n">
        <v>9</v>
      </c>
      <c r="H5687" s="56" t="n">
        <v>0</v>
      </c>
      <c r="I5687" s="56" t="n">
        <v>11.8</v>
      </c>
      <c r="J5687" s="56" t="n">
        <v>0</v>
      </c>
      <c r="K5687" s="56" t="n">
        <v>1017.8</v>
      </c>
      <c r="L5687" s="56" t="n">
        <v>0</v>
      </c>
      <c r="M5687" s="56" t="n">
        <v>76</v>
      </c>
      <c r="N5687" s="56" t="n">
        <v>0</v>
      </c>
      <c r="O5687" s="56" t="n">
        <f aca="false">IF(D5687=1,"",E5686)</f>
        <v>14.7</v>
      </c>
      <c r="P5687" s="56" t="n">
        <f aca="false">IF(OR(D5687=1,K5686=""),"",K5686)</f>
        <v>1021.3</v>
      </c>
      <c r="Q5687" s="56" t="n">
        <f aca="false">IF(OR(F5687&lt;&gt;0,AND(I5687&lt;&gt;"",E5687&lt;I5687)),1,0)</f>
        <v>0</v>
      </c>
      <c r="R5687" s="56" t="n">
        <f aca="false">IF(AND(D5687&gt;1,Q5687=0,ISNUMBER(O5687),ISNUMBER(P5687)),IF(Q5686=0,1,0),0)</f>
        <v>1</v>
      </c>
      <c r="S5687" s="56" t="n">
        <f aca="false">R5687*(B5687&gt;=Train_Start)*(B5687&lt;=Train_End)</f>
        <v>0</v>
      </c>
      <c r="T5687" s="84" t="n">
        <f aca="false">IF(AND(ISNUMBER(O5687),ISNUMBER(P5687)),Coef_A+Coef_B1*O5687+Coef_B2*P5687,"")</f>
        <v>16.1693349494161</v>
      </c>
      <c r="U5687" s="84" t="n">
        <f aca="false">IF(AND(R5687=1,ISNUMBER(T5687)),E5687-T5687,"")</f>
        <v>5.03066505058387</v>
      </c>
      <c r="V5687" s="84" t="n">
        <f aca="false">IF(ISNUMBER(T5687),T5687,-99)</f>
        <v>16.1693349494161</v>
      </c>
      <c r="W5687" s="84" t="n">
        <f aca="false">IF(ISNUMBER(U5687),ABS(U5687),"")</f>
        <v>5.03066505058387</v>
      </c>
    </row>
    <row r="5688" customFormat="false" ht="15" hidden="false" customHeight="false" outlineLevel="0" collapsed="false">
      <c r="A5688" s="57" t="n">
        <v>42516</v>
      </c>
      <c r="B5688" s="56" t="n">
        <v>2016</v>
      </c>
      <c r="C5688" s="56" t="n">
        <v>5</v>
      </c>
      <c r="D5688" s="56" t="n">
        <v>26</v>
      </c>
      <c r="E5688" s="56" t="n">
        <v>22.2</v>
      </c>
      <c r="F5688" s="56" t="n">
        <v>0</v>
      </c>
      <c r="G5688" s="56" t="n">
        <v>7.7</v>
      </c>
      <c r="H5688" s="56" t="n">
        <v>0</v>
      </c>
      <c r="I5688" s="56" t="n">
        <v>14.4</v>
      </c>
      <c r="J5688" s="56" t="n">
        <v>0</v>
      </c>
      <c r="K5688" s="56" t="n">
        <v>1016.1</v>
      </c>
      <c r="L5688" s="56" t="n">
        <v>0</v>
      </c>
      <c r="M5688" s="56" t="n">
        <v>69</v>
      </c>
      <c r="N5688" s="56" t="n">
        <v>10.5</v>
      </c>
      <c r="O5688" s="56" t="n">
        <f aca="false">IF(D5688=1,"",E5687)</f>
        <v>21.2</v>
      </c>
      <c r="P5688" s="56" t="n">
        <f aca="false">IF(OR(D5688=1,K5687=""),"",K5687)</f>
        <v>1017.8</v>
      </c>
      <c r="Q5688" s="56" t="n">
        <f aca="false">IF(OR(F5688&lt;&gt;0,AND(I5688&lt;&gt;"",E5688&lt;I5688)),1,0)</f>
        <v>0</v>
      </c>
      <c r="R5688" s="56" t="n">
        <f aca="false">IF(AND(D5688&gt;1,Q5688=0,ISNUMBER(O5688),ISNUMBER(P5688)),IF(Q5687=0,1,0),0)</f>
        <v>1</v>
      </c>
      <c r="S5688" s="56" t="n">
        <f aca="false">R5688*(B5688&gt;=Train_Start)*(B5688&lt;=Train_End)</f>
        <v>0</v>
      </c>
      <c r="T5688" s="84" t="n">
        <f aca="false">IF(AND(ISNUMBER(O5688),ISNUMBER(P5688)),Coef_A+Coef_B1*O5688+Coef_B2*P5688,"")</f>
        <v>21.3852450729744</v>
      </c>
      <c r="U5688" s="84" t="n">
        <f aca="false">IF(AND(R5688=1,ISNUMBER(T5688)),E5688-T5688,"")</f>
        <v>0.814754927025557</v>
      </c>
      <c r="V5688" s="84" t="n">
        <f aca="false">IF(ISNUMBER(T5688),T5688,-99)</f>
        <v>21.3852450729744</v>
      </c>
      <c r="W5688" s="84" t="n">
        <f aca="false">IF(ISNUMBER(U5688),ABS(U5688),"")</f>
        <v>0.814754927025557</v>
      </c>
    </row>
    <row r="5689" customFormat="false" ht="15" hidden="false" customHeight="false" outlineLevel="0" collapsed="false">
      <c r="A5689" s="57" t="n">
        <v>42517</v>
      </c>
      <c r="B5689" s="56" t="n">
        <v>2016</v>
      </c>
      <c r="C5689" s="56" t="n">
        <v>5</v>
      </c>
      <c r="D5689" s="56" t="n">
        <v>27</v>
      </c>
      <c r="E5689" s="56" t="n">
        <v>21</v>
      </c>
      <c r="F5689" s="56" t="n">
        <v>0</v>
      </c>
      <c r="G5689" s="56" t="n">
        <v>11</v>
      </c>
      <c r="H5689" s="56" t="n">
        <v>0</v>
      </c>
      <c r="I5689" s="56" t="n">
        <v>16.6</v>
      </c>
      <c r="J5689" s="56" t="n">
        <v>0</v>
      </c>
      <c r="K5689" s="56" t="n">
        <v>1016.7</v>
      </c>
      <c r="L5689" s="56" t="n">
        <v>0</v>
      </c>
      <c r="M5689" s="56" t="n">
        <v>68</v>
      </c>
      <c r="N5689" s="56" t="n">
        <v>7.3</v>
      </c>
      <c r="O5689" s="56" t="n">
        <f aca="false">IF(D5689=1,"",E5688)</f>
        <v>22.2</v>
      </c>
      <c r="P5689" s="56" t="n">
        <f aca="false">IF(OR(D5689=1,K5688=""),"",K5688)</f>
        <v>1016.1</v>
      </c>
      <c r="Q5689" s="56" t="n">
        <f aca="false">IF(OR(F5689&lt;&gt;0,AND(I5689&lt;&gt;"",E5689&lt;I5689)),1,0)</f>
        <v>0</v>
      </c>
      <c r="R5689" s="56" t="n">
        <f aca="false">IF(AND(D5689&gt;1,Q5689=0,ISNUMBER(O5689),ISNUMBER(P5689)),IF(Q5688=0,1,0),0)</f>
        <v>1</v>
      </c>
      <c r="S5689" s="56" t="n">
        <f aca="false">R5689*(B5689&gt;=Train_Start)*(B5689&lt;=Train_End)</f>
        <v>0</v>
      </c>
      <c r="T5689" s="84" t="n">
        <f aca="false">IF(AND(ISNUMBER(O5689),ISNUMBER(P5689)),Coef_A+Coef_B1*O5689+Coef_B2*P5689,"")</f>
        <v>22.1512554451393</v>
      </c>
      <c r="U5689" s="84" t="n">
        <f aca="false">IF(AND(R5689=1,ISNUMBER(T5689)),E5689-T5689,"")</f>
        <v>-1.15125544513932</v>
      </c>
      <c r="V5689" s="84" t="n">
        <f aca="false">IF(ISNUMBER(T5689),T5689,-99)</f>
        <v>22.1512554451393</v>
      </c>
      <c r="W5689" s="84" t="n">
        <f aca="false">IF(ISNUMBER(U5689),ABS(U5689),"")</f>
        <v>1.15125544513932</v>
      </c>
    </row>
    <row r="5690" customFormat="false" ht="15" hidden="false" customHeight="false" outlineLevel="0" collapsed="false">
      <c r="A5690" s="57" t="n">
        <v>42518</v>
      </c>
      <c r="B5690" s="56" t="n">
        <v>2016</v>
      </c>
      <c r="C5690" s="56" t="n">
        <v>5</v>
      </c>
      <c r="D5690" s="56" t="n">
        <v>28</v>
      </c>
      <c r="E5690" s="56" t="n">
        <v>19.2</v>
      </c>
      <c r="F5690" s="56" t="n">
        <v>0</v>
      </c>
      <c r="G5690" s="56" t="n">
        <v>10.3</v>
      </c>
      <c r="H5690" s="56" t="n">
        <v>0</v>
      </c>
      <c r="I5690" s="56" t="n">
        <v>15.6</v>
      </c>
      <c r="J5690" s="56" t="n">
        <v>0</v>
      </c>
      <c r="K5690" s="56" t="n">
        <v>1015.2</v>
      </c>
      <c r="L5690" s="56" t="n">
        <v>0</v>
      </c>
      <c r="M5690" s="56" t="n">
        <v>72</v>
      </c>
      <c r="N5690" s="56" t="n">
        <v>6.6</v>
      </c>
      <c r="O5690" s="56" t="n">
        <f aca="false">IF(D5690=1,"",E5689)</f>
        <v>21</v>
      </c>
      <c r="P5690" s="56" t="n">
        <f aca="false">IF(OR(D5690=1,K5689=""),"",K5689)</f>
        <v>1016.7</v>
      </c>
      <c r="Q5690" s="56" t="n">
        <f aca="false">IF(OR(F5690&lt;&gt;0,AND(I5690&lt;&gt;"",E5690&lt;I5690)),1,0)</f>
        <v>0</v>
      </c>
      <c r="R5690" s="56" t="n">
        <f aca="false">IF(AND(D5690&gt;1,Q5690=0,ISNUMBER(O5690),ISNUMBER(P5690)),IF(Q5689=0,1,0),0)</f>
        <v>1</v>
      </c>
      <c r="S5690" s="56" t="n">
        <f aca="false">R5690*(B5690&gt;=Train_Start)*(B5690&lt;=Train_End)</f>
        <v>0</v>
      </c>
      <c r="T5690" s="84" t="n">
        <f aca="false">IF(AND(ISNUMBER(O5690),ISNUMBER(P5690)),Coef_A+Coef_B1*O5690+Coef_B2*P5690,"")</f>
        <v>21.1868703502685</v>
      </c>
      <c r="U5690" s="84" t="n">
        <f aca="false">IF(AND(R5690=1,ISNUMBER(T5690)),E5690-T5690,"")</f>
        <v>-1.98687035026853</v>
      </c>
      <c r="V5690" s="84" t="n">
        <f aca="false">IF(ISNUMBER(T5690),T5690,-99)</f>
        <v>21.1868703502685</v>
      </c>
      <c r="W5690" s="84" t="n">
        <f aca="false">IF(ISNUMBER(U5690),ABS(U5690),"")</f>
        <v>1.98687035026853</v>
      </c>
    </row>
    <row r="5691" customFormat="false" ht="15" hidden="false" customHeight="false" outlineLevel="0" collapsed="false">
      <c r="A5691" s="57" t="n">
        <v>42519</v>
      </c>
      <c r="B5691" s="56" t="n">
        <v>2016</v>
      </c>
      <c r="C5691" s="56" t="n">
        <v>5</v>
      </c>
      <c r="D5691" s="56" t="n">
        <v>29</v>
      </c>
      <c r="E5691" s="56" t="n">
        <v>18</v>
      </c>
      <c r="F5691" s="56" t="n">
        <v>0</v>
      </c>
      <c r="G5691" s="56" t="n">
        <v>9.3</v>
      </c>
      <c r="H5691" s="56" t="n">
        <v>0</v>
      </c>
      <c r="I5691" s="56" t="n">
        <v>14.2</v>
      </c>
      <c r="J5691" s="56" t="n">
        <v>0</v>
      </c>
      <c r="K5691" s="56" t="n">
        <v>1013.6</v>
      </c>
      <c r="L5691" s="56" t="n">
        <v>0</v>
      </c>
      <c r="M5691" s="56" t="n">
        <v>78</v>
      </c>
      <c r="N5691" s="56" t="n">
        <v>4.6</v>
      </c>
      <c r="O5691" s="56" t="n">
        <f aca="false">IF(D5691=1,"",E5690)</f>
        <v>19.2</v>
      </c>
      <c r="P5691" s="56" t="n">
        <f aca="false">IF(OR(D5691=1,K5690=""),"",K5690)</f>
        <v>1015.2</v>
      </c>
      <c r="Q5691" s="56" t="n">
        <f aca="false">IF(OR(F5691&lt;&gt;0,AND(I5691&lt;&gt;"",E5691&lt;I5691)),1,0)</f>
        <v>0</v>
      </c>
      <c r="R5691" s="56" t="n">
        <f aca="false">IF(AND(D5691&gt;1,Q5691=0,ISNUMBER(O5691),ISNUMBER(P5691)),IF(Q5690=0,1,0),0)</f>
        <v>1</v>
      </c>
      <c r="S5691" s="56" t="n">
        <f aca="false">R5691*(B5691&gt;=Train_Start)*(B5691&lt;=Train_End)</f>
        <v>0</v>
      </c>
      <c r="T5691" s="84" t="n">
        <f aca="false">IF(AND(ISNUMBER(O5691),ISNUMBER(P5691)),Coef_A+Coef_B1*O5691+Coef_B2*P5691,"")</f>
        <v>19.6650049608408</v>
      </c>
      <c r="U5691" s="84" t="n">
        <f aca="false">IF(AND(R5691=1,ISNUMBER(T5691)),E5691-T5691,"")</f>
        <v>-1.66500496084075</v>
      </c>
      <c r="V5691" s="84" t="n">
        <f aca="false">IF(ISNUMBER(T5691),T5691,-99)</f>
        <v>19.6650049608408</v>
      </c>
      <c r="W5691" s="84" t="n">
        <f aca="false">IF(ISNUMBER(U5691),ABS(U5691),"")</f>
        <v>1.66500496084075</v>
      </c>
    </row>
    <row r="5692" customFormat="false" ht="15" hidden="false" customHeight="false" outlineLevel="0" collapsed="false">
      <c r="A5692" s="57" t="n">
        <v>42520</v>
      </c>
      <c r="B5692" s="56" t="n">
        <v>2016</v>
      </c>
      <c r="C5692" s="56" t="n">
        <v>5</v>
      </c>
      <c r="D5692" s="56" t="n">
        <v>30</v>
      </c>
      <c r="E5692" s="56" t="n">
        <v>12.9</v>
      </c>
      <c r="F5692" s="56" t="n">
        <v>1</v>
      </c>
      <c r="G5692" s="56" t="n">
        <v>11.3</v>
      </c>
      <c r="H5692" s="56" t="n">
        <v>0</v>
      </c>
      <c r="I5692" s="56" t="n">
        <v>14.6</v>
      </c>
      <c r="J5692" s="56" t="n">
        <v>1</v>
      </c>
      <c r="K5692" s="56" t="n">
        <v>1015.8</v>
      </c>
      <c r="L5692" s="56" t="n">
        <v>0</v>
      </c>
      <c r="M5692" s="56" t="n">
        <v>78</v>
      </c>
      <c r="N5692" s="56" t="n">
        <v>0</v>
      </c>
      <c r="O5692" s="56" t="n">
        <f aca="false">IF(D5692=1,"",E5691)</f>
        <v>18</v>
      </c>
      <c r="P5692" s="56" t="n">
        <f aca="false">IF(OR(D5692=1,K5691=""),"",K5691)</f>
        <v>1013.6</v>
      </c>
      <c r="Q5692" s="56" t="n">
        <f aca="false">IF(OR(F5692&lt;&gt;0,AND(I5692&lt;&gt;"",E5692&lt;I5692)),1,0)</f>
        <v>1</v>
      </c>
      <c r="R5692" s="56" t="n">
        <f aca="false">IF(AND(D5692&gt;1,Q5692=0,ISNUMBER(O5692),ISNUMBER(P5692)),IF(Q5691=0,1,0),0)</f>
        <v>0</v>
      </c>
      <c r="S5692" s="56" t="n">
        <f aca="false">R5692*(B5692&gt;=Train_Start)*(B5692&lt;=Train_End)</f>
        <v>0</v>
      </c>
      <c r="T5692" s="84" t="n">
        <f aca="false">IF(AND(ISNUMBER(O5692),ISNUMBER(P5692)),Coef_A+Coef_B1*O5692+Coef_B2*P5692,"")</f>
        <v>18.6316060977752</v>
      </c>
      <c r="U5692" s="84" t="str">
        <f aca="false">IF(AND(R5692=1,ISNUMBER(T5692)),E5692-T5692,"")</f>
        <v/>
      </c>
      <c r="V5692" s="84" t="n">
        <f aca="false">IF(ISNUMBER(T5692),T5692,-99)</f>
        <v>18.6316060977752</v>
      </c>
      <c r="W5692" s="84" t="str">
        <f aca="false">IF(ISNUMBER(U5692),ABS(U5692),"")</f>
        <v/>
      </c>
    </row>
    <row r="5693" customFormat="false" ht="15" hidden="false" customHeight="false" outlineLevel="0" collapsed="false">
      <c r="A5693" s="57" t="n">
        <v>42521</v>
      </c>
      <c r="B5693" s="56" t="n">
        <v>2016</v>
      </c>
      <c r="C5693" s="56" t="n">
        <v>5</v>
      </c>
      <c r="D5693" s="56" t="n">
        <v>31</v>
      </c>
      <c r="E5693" s="56" t="n">
        <v>13.8</v>
      </c>
      <c r="F5693" s="56" t="n">
        <v>0</v>
      </c>
      <c r="G5693" s="56" t="n">
        <v>11.5</v>
      </c>
      <c r="H5693" s="56" t="n">
        <v>0</v>
      </c>
      <c r="I5693" s="56" t="n">
        <v>12.2</v>
      </c>
      <c r="J5693" s="56" t="n">
        <v>0</v>
      </c>
      <c r="K5693" s="56" t="n">
        <v>1016.5</v>
      </c>
      <c r="L5693" s="56" t="n">
        <v>0</v>
      </c>
      <c r="M5693" s="56" t="n">
        <v>88</v>
      </c>
      <c r="N5693" s="56" t="n">
        <v>0</v>
      </c>
      <c r="O5693" s="56" t="n">
        <f aca="false">IF(D5693=1,"",E5692)</f>
        <v>12.9</v>
      </c>
      <c r="P5693" s="56" t="n">
        <f aca="false">IF(OR(D5693=1,K5692=""),"",K5692)</f>
        <v>1015.8</v>
      </c>
      <c r="Q5693" s="56" t="n">
        <f aca="false">IF(OR(F5693&lt;&gt;0,AND(I5693&lt;&gt;"",E5693&lt;I5693)),1,0)</f>
        <v>0</v>
      </c>
      <c r="R5693" s="56" t="n">
        <f aca="false">IF(AND(D5693&gt;1,Q5693=0,ISNUMBER(O5693),ISNUMBER(P5693)),IF(Q5692=0,1,0),0)</f>
        <v>0</v>
      </c>
      <c r="S5693" s="56" t="n">
        <f aca="false">R5693*(B5693&gt;=Train_Start)*(B5693&lt;=Train_End)</f>
        <v>0</v>
      </c>
      <c r="T5693" s="84" t="n">
        <f aca="false">IF(AND(ISNUMBER(O5693),ISNUMBER(P5693)),Coef_A+Coef_B1*O5693+Coef_B2*P5693,"")</f>
        <v>14.5219899814524</v>
      </c>
      <c r="U5693" s="84" t="str">
        <f aca="false">IF(AND(R5693=1,ISNUMBER(T5693)),E5693-T5693,"")</f>
        <v/>
      </c>
      <c r="V5693" s="84" t="n">
        <f aca="false">IF(ISNUMBER(T5693),T5693,-99)</f>
        <v>14.5219899814524</v>
      </c>
      <c r="W5693" s="84" t="str">
        <f aca="false">IF(ISNUMBER(U5693),ABS(U5693),"")</f>
        <v/>
      </c>
    </row>
    <row r="5694" customFormat="false" ht="15" hidden="false" customHeight="false" outlineLevel="0" collapsed="false">
      <c r="A5694" s="57" t="n">
        <v>42522</v>
      </c>
      <c r="B5694" s="56" t="n">
        <v>2016</v>
      </c>
      <c r="C5694" s="56" t="n">
        <v>6</v>
      </c>
      <c r="D5694" s="56" t="n">
        <v>32</v>
      </c>
      <c r="E5694" s="56" t="n">
        <v>13.7</v>
      </c>
      <c r="F5694" s="56" t="n">
        <v>0</v>
      </c>
      <c r="G5694" s="56" t="n">
        <v>11.3</v>
      </c>
      <c r="H5694" s="56" t="n">
        <v>0</v>
      </c>
      <c r="I5694" s="56" t="n">
        <v>12.6</v>
      </c>
      <c r="J5694" s="56" t="n">
        <v>0</v>
      </c>
      <c r="K5694" s="56" t="n">
        <v>1021.4</v>
      </c>
      <c r="L5694" s="56" t="n">
        <v>0</v>
      </c>
      <c r="M5694" s="56" t="n">
        <v>93</v>
      </c>
      <c r="N5694" s="56" t="n">
        <v>0</v>
      </c>
      <c r="O5694" s="56" t="n">
        <f aca="false">IF(D5694=1,"",E5693)</f>
        <v>13.8</v>
      </c>
      <c r="P5694" s="56" t="n">
        <f aca="false">IF(OR(D5694=1,K5693=""),"",K5693)</f>
        <v>1016.5</v>
      </c>
      <c r="Q5694" s="56" t="n">
        <f aca="false">IF(OR(F5694&lt;&gt;0,AND(I5694&lt;&gt;"",E5694&lt;I5694)),1,0)</f>
        <v>0</v>
      </c>
      <c r="R5694" s="56" t="n">
        <f aca="false">IF(AND(D5694&gt;1,Q5694=0,ISNUMBER(O5694),ISNUMBER(P5694)),IF(Q5693=0,1,0),0)</f>
        <v>1</v>
      </c>
      <c r="S5694" s="56" t="n">
        <f aca="false">R5694*(B5694&gt;=Train_Start)*(B5694&lt;=Train_End)</f>
        <v>0</v>
      </c>
      <c r="T5694" s="84" t="n">
        <f aca="false">IF(AND(ISNUMBER(O5694),ISNUMBER(P5694)),Coef_A+Coef_B1*O5694+Coef_B2*P5694,"")</f>
        <v>15.2813541814346</v>
      </c>
      <c r="U5694" s="84" t="n">
        <f aca="false">IF(AND(R5694=1,ISNUMBER(T5694)),E5694-T5694,"")</f>
        <v>-1.58135418143459</v>
      </c>
      <c r="V5694" s="84" t="n">
        <f aca="false">IF(ISNUMBER(T5694),T5694,-99)</f>
        <v>15.2813541814346</v>
      </c>
      <c r="W5694" s="84" t="n">
        <f aca="false">IF(ISNUMBER(U5694),ABS(U5694),"")</f>
        <v>1.58135418143459</v>
      </c>
    </row>
    <row r="5695" customFormat="false" ht="15" hidden="false" customHeight="false" outlineLevel="0" collapsed="false">
      <c r="A5695" s="57" t="n">
        <v>42523</v>
      </c>
      <c r="B5695" s="56" t="n">
        <v>2016</v>
      </c>
      <c r="C5695" s="56" t="n">
        <v>6</v>
      </c>
      <c r="D5695" s="56" t="n">
        <v>33</v>
      </c>
      <c r="E5695" s="56" t="n">
        <v>14.5</v>
      </c>
      <c r="F5695" s="56" t="n">
        <v>0</v>
      </c>
      <c r="G5695" s="56" t="n">
        <v>10.2</v>
      </c>
      <c r="H5695" s="56" t="n">
        <v>0</v>
      </c>
      <c r="I5695" s="56" t="n">
        <v>12</v>
      </c>
      <c r="J5695" s="56" t="n">
        <v>0</v>
      </c>
      <c r="K5695" s="56" t="n">
        <v>1020.8</v>
      </c>
      <c r="L5695" s="56" t="n">
        <v>0</v>
      </c>
      <c r="M5695" s="56" t="n">
        <v>85</v>
      </c>
      <c r="N5695" s="56" t="n">
        <v>0.1</v>
      </c>
      <c r="O5695" s="56" t="n">
        <f aca="false">IF(D5695=1,"",E5694)</f>
        <v>13.7</v>
      </c>
      <c r="P5695" s="56" t="n">
        <f aca="false">IF(OR(D5695=1,K5694=""),"",K5694)</f>
        <v>1021.4</v>
      </c>
      <c r="Q5695" s="56" t="n">
        <f aca="false">IF(OR(F5695&lt;&gt;0,AND(I5695&lt;&gt;"",E5695&lt;I5695)),1,0)</f>
        <v>0</v>
      </c>
      <c r="R5695" s="56" t="n">
        <f aca="false">IF(AND(D5695&gt;1,Q5695=0,ISNUMBER(O5695),ISNUMBER(P5695)),IF(Q5694=0,1,0),0)</f>
        <v>1</v>
      </c>
      <c r="S5695" s="56" t="n">
        <f aca="false">R5695*(B5695&gt;=Train_Start)*(B5695&lt;=Train_End)</f>
        <v>0</v>
      </c>
      <c r="T5695" s="84" t="n">
        <f aca="false">IF(AND(ISNUMBER(O5695),ISNUMBER(P5695)),Coef_A+Coef_B1*O5695+Coef_B2*P5695,"")</f>
        <v>15.3531327458369</v>
      </c>
      <c r="U5695" s="84" t="n">
        <f aca="false">IF(AND(R5695=1,ISNUMBER(T5695)),E5695-T5695,"")</f>
        <v>-0.853132745836874</v>
      </c>
      <c r="V5695" s="84" t="n">
        <f aca="false">IF(ISNUMBER(T5695),T5695,-99)</f>
        <v>15.3531327458369</v>
      </c>
      <c r="W5695" s="84" t="n">
        <f aca="false">IF(ISNUMBER(U5695),ABS(U5695),"")</f>
        <v>0.853132745836874</v>
      </c>
    </row>
    <row r="5696" customFormat="false" ht="15" hidden="false" customHeight="false" outlineLevel="0" collapsed="false">
      <c r="A5696" s="57" t="n">
        <v>42524</v>
      </c>
      <c r="B5696" s="56" t="n">
        <v>2016</v>
      </c>
      <c r="C5696" s="56" t="n">
        <v>6</v>
      </c>
      <c r="D5696" s="56" t="n">
        <v>34</v>
      </c>
      <c r="E5696" s="56" t="n">
        <v>19.2</v>
      </c>
      <c r="F5696" s="56" t="n">
        <v>0</v>
      </c>
      <c r="G5696" s="56" t="n">
        <v>9</v>
      </c>
      <c r="H5696" s="56" t="n">
        <v>0</v>
      </c>
      <c r="I5696" s="56" t="n">
        <v>11.8</v>
      </c>
      <c r="J5696" s="56" t="n">
        <v>0</v>
      </c>
      <c r="K5696" s="56" t="n">
        <v>1017.7</v>
      </c>
      <c r="L5696" s="56" t="n">
        <v>0</v>
      </c>
      <c r="M5696" s="56" t="n">
        <v>84</v>
      </c>
      <c r="N5696" s="56" t="n">
        <v>0</v>
      </c>
      <c r="O5696" s="56" t="n">
        <f aca="false">IF(D5696=1,"",E5695)</f>
        <v>14.5</v>
      </c>
      <c r="P5696" s="56" t="n">
        <f aca="false">IF(OR(D5696=1,K5695=""),"",K5695)</f>
        <v>1020.8</v>
      </c>
      <c r="Q5696" s="56" t="n">
        <f aca="false">IF(OR(F5696&lt;&gt;0,AND(I5696&lt;&gt;"",E5696&lt;I5696)),1,0)</f>
        <v>0</v>
      </c>
      <c r="R5696" s="56" t="n">
        <f aca="false">IF(AND(D5696&gt;1,Q5696=0,ISNUMBER(O5696),ISNUMBER(P5696)),IF(Q5695=0,1,0),0)</f>
        <v>1</v>
      </c>
      <c r="S5696" s="56" t="n">
        <f aca="false">R5696*(B5696&gt;=Train_Start)*(B5696&lt;=Train_End)</f>
        <v>0</v>
      </c>
      <c r="T5696" s="84" t="n">
        <f aca="false">IF(AND(ISNUMBER(O5696),ISNUMBER(P5696)),Coef_A+Coef_B1*O5696+Coef_B2*P5696,"")</f>
        <v>15.9897821634906</v>
      </c>
      <c r="U5696" s="84" t="n">
        <f aca="false">IF(AND(R5696=1,ISNUMBER(T5696)),E5696-T5696,"")</f>
        <v>3.2102178365094</v>
      </c>
      <c r="V5696" s="84" t="n">
        <f aca="false">IF(ISNUMBER(T5696),T5696,-99)</f>
        <v>15.9897821634906</v>
      </c>
      <c r="W5696" s="84" t="n">
        <f aca="false">IF(ISNUMBER(U5696),ABS(U5696),"")</f>
        <v>3.2102178365094</v>
      </c>
    </row>
    <row r="5697" customFormat="false" ht="15" hidden="false" customHeight="false" outlineLevel="0" collapsed="false">
      <c r="A5697" s="57" t="n">
        <v>42525</v>
      </c>
      <c r="B5697" s="56" t="n">
        <v>2016</v>
      </c>
      <c r="C5697" s="56" t="n">
        <v>6</v>
      </c>
      <c r="D5697" s="56" t="n">
        <v>35</v>
      </c>
      <c r="E5697" s="56" t="n">
        <v>24.2</v>
      </c>
      <c r="F5697" s="56" t="n">
        <v>0</v>
      </c>
      <c r="G5697" s="56" t="n">
        <v>9.9</v>
      </c>
      <c r="H5697" s="56" t="n">
        <v>0</v>
      </c>
      <c r="I5697" s="56" t="n">
        <v>14.6</v>
      </c>
      <c r="J5697" s="56" t="n">
        <v>0</v>
      </c>
      <c r="K5697" s="56" t="n">
        <v>1017.4</v>
      </c>
      <c r="L5697" s="56" t="n">
        <v>0</v>
      </c>
      <c r="M5697" s="56" t="n">
        <v>90</v>
      </c>
      <c r="N5697" s="56" t="n">
        <v>0</v>
      </c>
      <c r="O5697" s="56" t="n">
        <f aca="false">IF(D5697=1,"",E5696)</f>
        <v>19.2</v>
      </c>
      <c r="P5697" s="56" t="n">
        <f aca="false">IF(OR(D5697=1,K5696=""),"",K5696)</f>
        <v>1017.7</v>
      </c>
      <c r="Q5697" s="56" t="n">
        <f aca="false">IF(OR(F5697&lt;&gt;0,AND(I5697&lt;&gt;"",E5697&lt;I5697)),1,0)</f>
        <v>0</v>
      </c>
      <c r="R5697" s="56" t="n">
        <f aca="false">IF(AND(D5697&gt;1,Q5697=0,ISNUMBER(O5697),ISNUMBER(P5697)),IF(Q5696=0,1,0),0)</f>
        <v>1</v>
      </c>
      <c r="S5697" s="56" t="n">
        <f aca="false">R5697*(B5697&gt;=Train_Start)*(B5697&lt;=Train_End)</f>
        <v>0</v>
      </c>
      <c r="T5697" s="84" t="n">
        <f aca="false">IF(AND(ISNUMBER(O5697),ISNUMBER(P5697)),Coef_A+Coef_B1*O5697+Coef_B2*P5697,"")</f>
        <v>19.7434296974257</v>
      </c>
      <c r="U5697" s="84" t="n">
        <f aca="false">IF(AND(R5697=1,ISNUMBER(T5697)),E5697-T5697,"")</f>
        <v>4.45657030257427</v>
      </c>
      <c r="V5697" s="84" t="n">
        <f aca="false">IF(ISNUMBER(T5697),T5697,-99)</f>
        <v>19.7434296974257</v>
      </c>
      <c r="W5697" s="84" t="n">
        <f aca="false">IF(ISNUMBER(U5697),ABS(U5697),"")</f>
        <v>4.45657030257427</v>
      </c>
    </row>
    <row r="5698" customFormat="false" ht="15" hidden="false" customHeight="false" outlineLevel="0" collapsed="false">
      <c r="A5698" s="57" t="n">
        <v>42526</v>
      </c>
      <c r="B5698" s="56" t="n">
        <v>2016</v>
      </c>
      <c r="C5698" s="56" t="n">
        <v>6</v>
      </c>
      <c r="D5698" s="56" t="n">
        <v>36</v>
      </c>
      <c r="E5698" s="56" t="n">
        <v>25</v>
      </c>
      <c r="F5698" s="56" t="n">
        <v>0</v>
      </c>
      <c r="G5698" s="56" t="n">
        <v>11.7</v>
      </c>
      <c r="H5698" s="56" t="n">
        <v>0</v>
      </c>
      <c r="I5698" s="56" t="n">
        <v>18</v>
      </c>
      <c r="J5698" s="56" t="n">
        <v>0</v>
      </c>
      <c r="K5698" s="56" t="n">
        <v>1020.6</v>
      </c>
      <c r="L5698" s="56" t="n">
        <v>0</v>
      </c>
      <c r="M5698" s="56" t="n">
        <v>80</v>
      </c>
      <c r="N5698" s="56" t="n">
        <v>9.1</v>
      </c>
      <c r="O5698" s="56" t="n">
        <f aca="false">IF(D5698=1,"",E5697)</f>
        <v>24.2</v>
      </c>
      <c r="P5698" s="56" t="n">
        <f aca="false">IF(OR(D5698=1,K5697=""),"",K5697)</f>
        <v>1017.4</v>
      </c>
      <c r="Q5698" s="56" t="n">
        <f aca="false">IF(OR(F5698&lt;&gt;0,AND(I5698&lt;&gt;"",E5698&lt;I5698)),1,0)</f>
        <v>0</v>
      </c>
      <c r="R5698" s="56" t="n">
        <f aca="false">IF(AND(D5698&gt;1,Q5698=0,ISNUMBER(O5698),ISNUMBER(P5698)),IF(Q5697=0,1,0),0)</f>
        <v>1</v>
      </c>
      <c r="S5698" s="56" t="n">
        <f aca="false">R5698*(B5698&gt;=Train_Start)*(B5698&lt;=Train_End)</f>
        <v>0</v>
      </c>
      <c r="T5698" s="84" t="n">
        <f aca="false">IF(AND(ISNUMBER(O5698),ISNUMBER(P5698)),Coef_A+Coef_B1*O5698+Coef_B2*P5698,"")</f>
        <v>23.8307146942488</v>
      </c>
      <c r="U5698" s="84" t="n">
        <f aca="false">IF(AND(R5698=1,ISNUMBER(T5698)),E5698-T5698,"")</f>
        <v>1.16928530575118</v>
      </c>
      <c r="V5698" s="84" t="n">
        <f aca="false">IF(ISNUMBER(T5698),T5698,-99)</f>
        <v>23.8307146942488</v>
      </c>
      <c r="W5698" s="84" t="n">
        <f aca="false">IF(ISNUMBER(U5698),ABS(U5698),"")</f>
        <v>1.16928530575118</v>
      </c>
    </row>
    <row r="5699" customFormat="false" ht="15" hidden="false" customHeight="false" outlineLevel="0" collapsed="false">
      <c r="A5699" s="57" t="n">
        <v>42527</v>
      </c>
      <c r="B5699" s="56" t="n">
        <v>2016</v>
      </c>
      <c r="C5699" s="56" t="n">
        <v>6</v>
      </c>
      <c r="D5699" s="56" t="n">
        <v>37</v>
      </c>
      <c r="E5699" s="56" t="n">
        <v>24.4</v>
      </c>
      <c r="F5699" s="56" t="n">
        <v>0</v>
      </c>
      <c r="G5699" s="56" t="n">
        <v>11.8</v>
      </c>
      <c r="H5699" s="56" t="n">
        <v>0</v>
      </c>
      <c r="I5699" s="56" t="n">
        <v>18.4</v>
      </c>
      <c r="J5699" s="56" t="n">
        <v>0</v>
      </c>
      <c r="K5699" s="56" t="n">
        <v>1021.6</v>
      </c>
      <c r="L5699" s="56" t="n">
        <v>0</v>
      </c>
      <c r="M5699" s="56" t="n">
        <v>58</v>
      </c>
      <c r="N5699" s="56" t="n">
        <v>13.4</v>
      </c>
      <c r="O5699" s="56" t="n">
        <f aca="false">IF(D5699=1,"",E5698)</f>
        <v>25</v>
      </c>
      <c r="P5699" s="56" t="n">
        <f aca="false">IF(OR(D5699=1,K5698=""),"",K5698)</f>
        <v>1020.6</v>
      </c>
      <c r="Q5699" s="56" t="n">
        <f aca="false">IF(OR(F5699&lt;&gt;0,AND(I5699&lt;&gt;"",E5699&lt;I5699)),1,0)</f>
        <v>0</v>
      </c>
      <c r="R5699" s="56" t="n">
        <f aca="false">IF(AND(D5699&gt;1,Q5699=0,ISNUMBER(O5699),ISNUMBER(P5699)),IF(Q5698=0,1,0),0)</f>
        <v>1</v>
      </c>
      <c r="S5699" s="56" t="n">
        <f aca="false">R5699*(B5699&gt;=Train_Start)*(B5699&lt;=Train_End)</f>
        <v>0</v>
      </c>
      <c r="T5699" s="84" t="n">
        <f aca="false">IF(AND(ISNUMBER(O5699),ISNUMBER(P5699)),Coef_A+Coef_B1*O5699+Coef_B2*P5699,"")</f>
        <v>24.5865697115117</v>
      </c>
      <c r="U5699" s="84" t="n">
        <f aca="false">IF(AND(R5699=1,ISNUMBER(T5699)),E5699-T5699,"")</f>
        <v>-0.186569711511716</v>
      </c>
      <c r="V5699" s="84" t="n">
        <f aca="false">IF(ISNUMBER(T5699),T5699,-99)</f>
        <v>24.5865697115117</v>
      </c>
      <c r="W5699" s="84" t="n">
        <f aca="false">IF(ISNUMBER(U5699),ABS(U5699),"")</f>
        <v>0.186569711511716</v>
      </c>
    </row>
    <row r="5700" customFormat="false" ht="15" hidden="false" customHeight="false" outlineLevel="0" collapsed="false">
      <c r="A5700" s="57" t="n">
        <v>42528</v>
      </c>
      <c r="B5700" s="56" t="n">
        <v>2016</v>
      </c>
      <c r="C5700" s="56" t="n">
        <v>6</v>
      </c>
      <c r="D5700" s="56" t="n">
        <v>38</v>
      </c>
      <c r="E5700" s="56" t="n">
        <v>25.9</v>
      </c>
      <c r="F5700" s="56" t="n">
        <v>0</v>
      </c>
      <c r="G5700" s="56" t="n">
        <v>12.7</v>
      </c>
      <c r="H5700" s="56" t="n">
        <v>0</v>
      </c>
      <c r="I5700" s="56" t="n">
        <v>18.6</v>
      </c>
      <c r="J5700" s="56" t="n">
        <v>0</v>
      </c>
      <c r="K5700" s="56" t="n">
        <v>1022.7</v>
      </c>
      <c r="L5700" s="56" t="n">
        <v>0</v>
      </c>
      <c r="M5700" s="56" t="n">
        <v>72</v>
      </c>
      <c r="N5700" s="56" t="n">
        <v>4.3</v>
      </c>
      <c r="O5700" s="56" t="n">
        <f aca="false">IF(D5700=1,"",E5699)</f>
        <v>24.4</v>
      </c>
      <c r="P5700" s="56" t="n">
        <f aca="false">IF(OR(D5700=1,K5699=""),"",K5699)</f>
        <v>1021.6</v>
      </c>
      <c r="Q5700" s="56" t="n">
        <f aca="false">IF(OR(F5700&lt;&gt;0,AND(I5700&lt;&gt;"",E5700&lt;I5700)),1,0)</f>
        <v>0</v>
      </c>
      <c r="R5700" s="56" t="n">
        <f aca="false">IF(AND(D5700&gt;1,Q5700=0,ISNUMBER(O5700),ISNUMBER(P5700)),IF(Q5699=0,1,0),0)</f>
        <v>1</v>
      </c>
      <c r="S5700" s="56" t="n">
        <f aca="false">R5700*(B5700&gt;=Train_Start)*(B5700&lt;=Train_End)</f>
        <v>0</v>
      </c>
      <c r="T5700" s="84" t="n">
        <f aca="false">IF(AND(ISNUMBER(O5700),ISNUMBER(P5700)),Coef_A+Coef_B1*O5700+Coef_B2*P5700,"")</f>
        <v>24.1263360903201</v>
      </c>
      <c r="U5700" s="84" t="n">
        <f aca="false">IF(AND(R5700=1,ISNUMBER(T5700)),E5700-T5700,"")</f>
        <v>1.77366390967989</v>
      </c>
      <c r="V5700" s="84" t="n">
        <f aca="false">IF(ISNUMBER(T5700),T5700,-99)</f>
        <v>24.1263360903201</v>
      </c>
      <c r="W5700" s="84" t="n">
        <f aca="false">IF(ISNUMBER(U5700),ABS(U5700),"")</f>
        <v>1.77366390967989</v>
      </c>
    </row>
    <row r="5701" customFormat="false" ht="15" hidden="false" customHeight="false" outlineLevel="0" collapsed="false">
      <c r="A5701" s="57" t="n">
        <v>42529</v>
      </c>
      <c r="B5701" s="56" t="n">
        <v>2016</v>
      </c>
      <c r="C5701" s="56" t="n">
        <v>6</v>
      </c>
      <c r="D5701" s="56" t="n">
        <v>39</v>
      </c>
      <c r="E5701" s="56" t="n">
        <v>23.2</v>
      </c>
      <c r="F5701" s="56" t="n">
        <v>0</v>
      </c>
      <c r="G5701" s="56" t="n">
        <v>15.2</v>
      </c>
      <c r="H5701" s="56" t="n">
        <v>0</v>
      </c>
      <c r="I5701" s="56" t="n">
        <v>20.6</v>
      </c>
      <c r="J5701" s="56" t="n">
        <v>0</v>
      </c>
      <c r="K5701" s="56" t="n">
        <v>1023.7</v>
      </c>
      <c r="L5701" s="56" t="n">
        <v>0</v>
      </c>
      <c r="M5701" s="56" t="n">
        <v>84</v>
      </c>
      <c r="N5701" s="56" t="n">
        <v>4.2</v>
      </c>
      <c r="O5701" s="56" t="n">
        <f aca="false">IF(D5701=1,"",E5700)</f>
        <v>25.9</v>
      </c>
      <c r="P5701" s="56" t="n">
        <f aca="false">IF(OR(D5701=1,K5700=""),"",K5700)</f>
        <v>1022.7</v>
      </c>
      <c r="Q5701" s="56" t="n">
        <f aca="false">IF(OR(F5701&lt;&gt;0,AND(I5701&lt;&gt;"",E5701&lt;I5701)),1,0)</f>
        <v>0</v>
      </c>
      <c r="R5701" s="56" t="n">
        <f aca="false">IF(AND(D5701&gt;1,Q5701=0,ISNUMBER(O5701),ISNUMBER(P5701)),IF(Q5700=0,1,0),0)</f>
        <v>1</v>
      </c>
      <c r="S5701" s="56" t="n">
        <f aca="false">R5701*(B5701&gt;=Train_Start)*(B5701&lt;=Train_End)</f>
        <v>0</v>
      </c>
      <c r="T5701" s="84" t="n">
        <f aca="false">IF(AND(ISNUMBER(O5701),ISNUMBER(P5701)),Coef_A+Coef_B1*O5701+Coef_B2*P5701,"")</f>
        <v>25.3898517639815</v>
      </c>
      <c r="U5701" s="84" t="n">
        <f aca="false">IF(AND(R5701=1,ISNUMBER(T5701)),E5701-T5701,"")</f>
        <v>-2.18985176398148</v>
      </c>
      <c r="V5701" s="84" t="n">
        <f aca="false">IF(ISNUMBER(T5701),T5701,-99)</f>
        <v>25.3898517639815</v>
      </c>
      <c r="W5701" s="84" t="n">
        <f aca="false">IF(ISNUMBER(U5701),ABS(U5701),"")</f>
        <v>2.18985176398148</v>
      </c>
    </row>
    <row r="5702" customFormat="false" ht="15" hidden="false" customHeight="false" outlineLevel="0" collapsed="false">
      <c r="A5702" s="57" t="n">
        <v>42530</v>
      </c>
      <c r="B5702" s="56" t="n">
        <v>2016</v>
      </c>
      <c r="C5702" s="56" t="n">
        <v>6</v>
      </c>
      <c r="D5702" s="56" t="n">
        <v>40</v>
      </c>
      <c r="E5702" s="56" t="n">
        <v>24</v>
      </c>
      <c r="F5702" s="56" t="n">
        <v>0</v>
      </c>
      <c r="G5702" s="56" t="n">
        <v>13.2</v>
      </c>
      <c r="H5702" s="56" t="n">
        <v>0</v>
      </c>
      <c r="I5702" s="56" t="n">
        <v>18.2</v>
      </c>
      <c r="J5702" s="56" t="n">
        <v>0</v>
      </c>
      <c r="K5702" s="56" t="n">
        <v>1021.4</v>
      </c>
      <c r="L5702" s="56" t="n">
        <v>0</v>
      </c>
      <c r="M5702" s="56" t="n">
        <v>75</v>
      </c>
      <c r="N5702" s="56" t="n">
        <v>8.3</v>
      </c>
      <c r="O5702" s="56" t="n">
        <f aca="false">IF(D5702=1,"",E5701)</f>
        <v>23.2</v>
      </c>
      <c r="P5702" s="56" t="n">
        <f aca="false">IF(OR(D5702=1,K5701=""),"",K5701)</f>
        <v>1023.7</v>
      </c>
      <c r="Q5702" s="56" t="n">
        <f aca="false">IF(OR(F5702&lt;&gt;0,AND(I5702&lt;&gt;"",E5702&lt;I5702)),1,0)</f>
        <v>0</v>
      </c>
      <c r="R5702" s="56" t="n">
        <f aca="false">IF(AND(D5702&gt;1,Q5702=0,ISNUMBER(O5702),ISNUMBER(P5702)),IF(Q5701=0,1,0),0)</f>
        <v>1</v>
      </c>
      <c r="S5702" s="56" t="n">
        <f aca="false">R5702*(B5702&gt;=Train_Start)*(B5702&lt;=Train_End)</f>
        <v>0</v>
      </c>
      <c r="T5702" s="84" t="n">
        <f aca="false">IF(AND(ISNUMBER(O5702),ISNUMBER(P5702)),Coef_A+Coef_B1*O5702+Coef_B2*P5702,"")</f>
        <v>23.2090058374003</v>
      </c>
      <c r="U5702" s="84" t="n">
        <f aca="false">IF(AND(R5702=1,ISNUMBER(T5702)),E5702-T5702,"")</f>
        <v>0.790994162599702</v>
      </c>
      <c r="V5702" s="84" t="n">
        <f aca="false">IF(ISNUMBER(T5702),T5702,-99)</f>
        <v>23.2090058374003</v>
      </c>
      <c r="W5702" s="84" t="n">
        <f aca="false">IF(ISNUMBER(U5702),ABS(U5702),"")</f>
        <v>0.790994162599702</v>
      </c>
    </row>
    <row r="5703" customFormat="false" ht="15" hidden="false" customHeight="false" outlineLevel="0" collapsed="false">
      <c r="A5703" s="57" t="n">
        <v>42531</v>
      </c>
      <c r="B5703" s="56" t="n">
        <v>2016</v>
      </c>
      <c r="C5703" s="56" t="n">
        <v>6</v>
      </c>
      <c r="D5703" s="56" t="n">
        <v>41</v>
      </c>
      <c r="E5703" s="56" t="n">
        <v>22.5</v>
      </c>
      <c r="F5703" s="56" t="n">
        <v>0</v>
      </c>
      <c r="G5703" s="56" t="n">
        <v>13.6</v>
      </c>
      <c r="H5703" s="56" t="n">
        <v>0</v>
      </c>
      <c r="I5703" s="56" t="n">
        <v>18.8</v>
      </c>
      <c r="J5703" s="56" t="n">
        <v>0</v>
      </c>
      <c r="K5703" s="56" t="n">
        <v>1013.6</v>
      </c>
      <c r="L5703" s="56" t="n">
        <v>0</v>
      </c>
      <c r="M5703" s="56" t="n">
        <v>69</v>
      </c>
      <c r="N5703" s="56" t="n">
        <v>3.1</v>
      </c>
      <c r="O5703" s="56" t="n">
        <f aca="false">IF(D5703=1,"",E5702)</f>
        <v>24</v>
      </c>
      <c r="P5703" s="56" t="n">
        <f aca="false">IF(OR(D5703=1,K5702=""),"",K5702)</f>
        <v>1021.4</v>
      </c>
      <c r="Q5703" s="56" t="n">
        <f aca="false">IF(OR(F5703&lt;&gt;0,AND(I5703&lt;&gt;"",E5703&lt;I5703)),1,0)</f>
        <v>0</v>
      </c>
      <c r="R5703" s="56" t="n">
        <f aca="false">IF(AND(D5703&gt;1,Q5703=0,ISNUMBER(O5703),ISNUMBER(P5703)),IF(Q5702=0,1,0),0)</f>
        <v>1</v>
      </c>
      <c r="S5703" s="56" t="n">
        <f aca="false">R5703*(B5703&gt;=Train_Start)*(B5703&lt;=Train_End)</f>
        <v>0</v>
      </c>
      <c r="T5703" s="84" t="n">
        <f aca="false">IF(AND(ISNUMBER(O5703),ISNUMBER(P5703)),Coef_A+Coef_B1*O5703+Coef_B2*P5703,"")</f>
        <v>23.7923264341762</v>
      </c>
      <c r="U5703" s="84" t="n">
        <f aca="false">IF(AND(R5703=1,ISNUMBER(T5703)),E5703-T5703,"")</f>
        <v>-1.29232643417625</v>
      </c>
      <c r="V5703" s="84" t="n">
        <f aca="false">IF(ISNUMBER(T5703),T5703,-99)</f>
        <v>23.7923264341762</v>
      </c>
      <c r="W5703" s="84" t="n">
        <f aca="false">IF(ISNUMBER(U5703),ABS(U5703),"")</f>
        <v>1.29232643417625</v>
      </c>
    </row>
    <row r="5704" customFormat="false" ht="15" hidden="false" customHeight="false" outlineLevel="0" collapsed="false">
      <c r="A5704" s="57" t="n">
        <v>42532</v>
      </c>
      <c r="B5704" s="56" t="n">
        <v>2016</v>
      </c>
      <c r="C5704" s="56" t="n">
        <v>6</v>
      </c>
      <c r="D5704" s="56" t="n">
        <v>42</v>
      </c>
      <c r="E5704" s="56" t="n">
        <v>21.5</v>
      </c>
      <c r="F5704" s="56" t="n">
        <v>0</v>
      </c>
      <c r="G5704" s="56" t="n">
        <v>16.2</v>
      </c>
      <c r="H5704" s="56" t="n">
        <v>0</v>
      </c>
      <c r="I5704" s="56" t="n">
        <v>19.4</v>
      </c>
      <c r="J5704" s="56" t="n">
        <v>0</v>
      </c>
      <c r="K5704" s="56" t="n">
        <v>1010.6</v>
      </c>
      <c r="L5704" s="56" t="n">
        <v>0</v>
      </c>
      <c r="M5704" s="56" t="n">
        <v>75</v>
      </c>
      <c r="N5704" s="56" t="n">
        <v>1.2</v>
      </c>
      <c r="O5704" s="56" t="n">
        <f aca="false">IF(D5704=1,"",E5703)</f>
        <v>22.5</v>
      </c>
      <c r="P5704" s="56" t="n">
        <f aca="false">IF(OR(D5704=1,K5703=""),"",K5703)</f>
        <v>1013.6</v>
      </c>
      <c r="Q5704" s="56" t="n">
        <f aca="false">IF(OR(F5704&lt;&gt;0,AND(I5704&lt;&gt;"",E5704&lt;I5704)),1,0)</f>
        <v>0</v>
      </c>
      <c r="R5704" s="56" t="n">
        <f aca="false">IF(AND(D5704&gt;1,Q5704=0,ISNUMBER(O5704),ISNUMBER(P5704)),IF(Q5703=0,1,0),0)</f>
        <v>1</v>
      </c>
      <c r="S5704" s="56" t="n">
        <f aca="false">R5704*(B5704&gt;=Train_Start)*(B5704&lt;=Train_End)</f>
        <v>0</v>
      </c>
      <c r="T5704" s="84" t="n">
        <f aca="false">IF(AND(ISNUMBER(O5704),ISNUMBER(P5704)),Coef_A+Coef_B1*O5704+Coef_B2*P5704,"")</f>
        <v>22.3186324664671</v>
      </c>
      <c r="U5704" s="84" t="n">
        <f aca="false">IF(AND(R5704=1,ISNUMBER(T5704)),E5704-T5704,"")</f>
        <v>-0.818632466467143</v>
      </c>
      <c r="V5704" s="84" t="n">
        <f aca="false">IF(ISNUMBER(T5704),T5704,-99)</f>
        <v>22.3186324664671</v>
      </c>
      <c r="W5704" s="84" t="n">
        <f aca="false">IF(ISNUMBER(U5704),ABS(U5704),"")</f>
        <v>0.818632466467143</v>
      </c>
    </row>
    <row r="5705" customFormat="false" ht="15" hidden="false" customHeight="false" outlineLevel="0" collapsed="false">
      <c r="A5705" s="57" t="n">
        <v>42533</v>
      </c>
      <c r="B5705" s="56" t="n">
        <v>2016</v>
      </c>
      <c r="C5705" s="56" t="n">
        <v>6</v>
      </c>
      <c r="D5705" s="56" t="n">
        <v>43</v>
      </c>
      <c r="E5705" s="56" t="n">
        <v>19.2</v>
      </c>
      <c r="F5705" s="56" t="n">
        <v>0</v>
      </c>
      <c r="G5705" s="56" t="n">
        <v>13.9</v>
      </c>
      <c r="H5705" s="56" t="n">
        <v>0</v>
      </c>
      <c r="I5705" s="56" t="n">
        <v>17.7</v>
      </c>
      <c r="J5705" s="56" t="n">
        <v>0</v>
      </c>
      <c r="K5705" s="56" t="n">
        <v>1006.9</v>
      </c>
      <c r="L5705" s="56" t="n">
        <v>0</v>
      </c>
      <c r="M5705" s="56" t="n">
        <v>89</v>
      </c>
      <c r="N5705" s="56" t="n">
        <v>1.1</v>
      </c>
      <c r="O5705" s="56" t="n">
        <f aca="false">IF(D5705=1,"",E5704)</f>
        <v>21.5</v>
      </c>
      <c r="P5705" s="56" t="n">
        <f aca="false">IF(OR(D5705=1,K5704=""),"",K5704)</f>
        <v>1010.6</v>
      </c>
      <c r="Q5705" s="56" t="n">
        <f aca="false">IF(OR(F5705&lt;&gt;0,AND(I5705&lt;&gt;"",E5705&lt;I5705)),1,0)</f>
        <v>0</v>
      </c>
      <c r="R5705" s="56" t="n">
        <f aca="false">IF(AND(D5705&gt;1,Q5705=0,ISNUMBER(O5705),ISNUMBER(P5705)),IF(Q5704=0,1,0),0)</f>
        <v>1</v>
      </c>
      <c r="S5705" s="56" t="n">
        <f aca="false">R5705*(B5705&gt;=Train_Start)*(B5705&lt;=Train_End)</f>
        <v>0</v>
      </c>
      <c r="T5705" s="84" t="n">
        <f aca="false">IF(AND(ISNUMBER(O5705),ISNUMBER(P5705)),Coef_A+Coef_B1*O5705+Coef_B2*P5705,"")</f>
        <v>21.4051835895225</v>
      </c>
      <c r="U5705" s="84" t="n">
        <f aca="false">IF(AND(R5705=1,ISNUMBER(T5705)),E5705-T5705,"")</f>
        <v>-2.20518358952252</v>
      </c>
      <c r="V5705" s="84" t="n">
        <f aca="false">IF(ISNUMBER(T5705),T5705,-99)</f>
        <v>21.4051835895225</v>
      </c>
      <c r="W5705" s="84" t="n">
        <f aca="false">IF(ISNUMBER(U5705),ABS(U5705),"")</f>
        <v>2.20518358952252</v>
      </c>
    </row>
    <row r="5706" customFormat="false" ht="15" hidden="false" customHeight="false" outlineLevel="0" collapsed="false">
      <c r="A5706" s="57" t="n">
        <v>42534</v>
      </c>
      <c r="B5706" s="56" t="n">
        <v>2016</v>
      </c>
      <c r="C5706" s="56" t="n">
        <v>6</v>
      </c>
      <c r="D5706" s="56" t="n">
        <v>44</v>
      </c>
      <c r="E5706" s="56" t="n">
        <v>19.1</v>
      </c>
      <c r="F5706" s="56" t="n">
        <v>0</v>
      </c>
      <c r="G5706" s="56" t="n">
        <v>13.8</v>
      </c>
      <c r="H5706" s="56" t="n">
        <v>0</v>
      </c>
      <c r="I5706" s="56" t="n">
        <v>16.5</v>
      </c>
      <c r="J5706" s="56" t="n">
        <v>0</v>
      </c>
      <c r="K5706" s="56" t="n">
        <v>1002.2</v>
      </c>
      <c r="L5706" s="56" t="n">
        <v>0</v>
      </c>
      <c r="M5706" s="56" t="n">
        <v>87</v>
      </c>
      <c r="N5706" s="56" t="n">
        <v>0.7</v>
      </c>
      <c r="O5706" s="56" t="n">
        <f aca="false">IF(D5706=1,"",E5705)</f>
        <v>19.2</v>
      </c>
      <c r="P5706" s="56" t="n">
        <f aca="false">IF(OR(D5706=1,K5705=""),"",K5705)</f>
        <v>1006.9</v>
      </c>
      <c r="Q5706" s="56" t="n">
        <f aca="false">IF(OR(F5706&lt;&gt;0,AND(I5706&lt;&gt;"",E5706&lt;I5706)),1,0)</f>
        <v>0</v>
      </c>
      <c r="R5706" s="56" t="n">
        <f aca="false">IF(AND(D5706&gt;1,Q5706=0,ISNUMBER(O5706),ISNUMBER(P5706)),IF(Q5705=0,1,0),0)</f>
        <v>1</v>
      </c>
      <c r="S5706" s="56" t="n">
        <f aca="false">R5706*(B5706&gt;=Train_Start)*(B5706&lt;=Train_End)</f>
        <v>0</v>
      </c>
      <c r="T5706" s="84" t="n">
        <f aca="false">IF(AND(ISNUMBER(O5706),ISNUMBER(P5706)),Coef_A+Coef_B1*O5706+Coef_B2*P5706,"")</f>
        <v>19.4046348353786</v>
      </c>
      <c r="U5706" s="84" t="n">
        <f aca="false">IF(AND(R5706=1,ISNUMBER(T5706)),E5706-T5706,"")</f>
        <v>-0.304634835378643</v>
      </c>
      <c r="V5706" s="84" t="n">
        <f aca="false">IF(ISNUMBER(T5706),T5706,-99)</f>
        <v>19.4046348353786</v>
      </c>
      <c r="W5706" s="84" t="n">
        <f aca="false">IF(ISNUMBER(U5706),ABS(U5706),"")</f>
        <v>0.304634835378643</v>
      </c>
    </row>
    <row r="5707" customFormat="false" ht="15" hidden="false" customHeight="false" outlineLevel="0" collapsed="false">
      <c r="A5707" s="57" t="n">
        <v>42535</v>
      </c>
      <c r="B5707" s="56" t="n">
        <v>2016</v>
      </c>
      <c r="C5707" s="56" t="n">
        <v>6</v>
      </c>
      <c r="D5707" s="56" t="n">
        <v>45</v>
      </c>
      <c r="E5707" s="56" t="n">
        <v>20.5</v>
      </c>
      <c r="F5707" s="56" t="n">
        <v>0</v>
      </c>
      <c r="G5707" s="56" t="n">
        <v>13.4</v>
      </c>
      <c r="H5707" s="56" t="n">
        <v>0</v>
      </c>
      <c r="I5707" s="56" t="n">
        <v>16.2</v>
      </c>
      <c r="J5707" s="56" t="n">
        <v>0</v>
      </c>
      <c r="K5707" s="56" t="n">
        <v>996.6</v>
      </c>
      <c r="L5707" s="56" t="n">
        <v>0</v>
      </c>
      <c r="M5707" s="56" t="n">
        <v>88</v>
      </c>
      <c r="N5707" s="56" t="n">
        <v>0.7</v>
      </c>
      <c r="O5707" s="56" t="n">
        <f aca="false">IF(D5707=1,"",E5706)</f>
        <v>19.1</v>
      </c>
      <c r="P5707" s="56" t="n">
        <f aca="false">IF(OR(D5707=1,K5706=""),"",K5706)</f>
        <v>1002.2</v>
      </c>
      <c r="Q5707" s="56" t="n">
        <f aca="false">IF(OR(F5707&lt;&gt;0,AND(I5707&lt;&gt;"",E5707&lt;I5707)),1,0)</f>
        <v>0</v>
      </c>
      <c r="R5707" s="56" t="n">
        <f aca="false">IF(AND(D5707&gt;1,Q5707=0,ISNUMBER(O5707),ISNUMBER(P5707)),IF(Q5706=0,1,0),0)</f>
        <v>1</v>
      </c>
      <c r="S5707" s="56" t="n">
        <f aca="false">R5707*(B5707&gt;=Train_Start)*(B5707&lt;=Train_End)</f>
        <v>0</v>
      </c>
      <c r="T5707" s="84" t="n">
        <f aca="false">IF(AND(ISNUMBER(O5707),ISNUMBER(P5707)),Coef_A+Coef_B1*O5707+Coef_B2*P5707,"")</f>
        <v>19.1752624112946</v>
      </c>
      <c r="U5707" s="84" t="n">
        <f aca="false">IF(AND(R5707=1,ISNUMBER(T5707)),E5707-T5707,"")</f>
        <v>1.32473758870537</v>
      </c>
      <c r="V5707" s="84" t="n">
        <f aca="false">IF(ISNUMBER(T5707),T5707,-99)</f>
        <v>19.1752624112946</v>
      </c>
      <c r="W5707" s="84" t="n">
        <f aca="false">IF(ISNUMBER(U5707),ABS(U5707),"")</f>
        <v>1.32473758870537</v>
      </c>
    </row>
    <row r="5708" customFormat="false" ht="15" hidden="false" customHeight="false" outlineLevel="0" collapsed="false">
      <c r="A5708" s="57" t="n">
        <v>42536</v>
      </c>
      <c r="B5708" s="56" t="n">
        <v>2016</v>
      </c>
      <c r="C5708" s="56" t="n">
        <v>6</v>
      </c>
      <c r="D5708" s="56" t="n">
        <v>46</v>
      </c>
      <c r="E5708" s="56" t="n">
        <v>18</v>
      </c>
      <c r="F5708" s="56" t="n">
        <v>0</v>
      </c>
      <c r="G5708" s="56" t="n">
        <v>11.9</v>
      </c>
      <c r="H5708" s="56" t="n">
        <v>0</v>
      </c>
      <c r="I5708" s="56" t="n">
        <v>16.2</v>
      </c>
      <c r="J5708" s="56" t="n">
        <v>0</v>
      </c>
      <c r="K5708" s="56" t="n">
        <v>996.8</v>
      </c>
      <c r="L5708" s="56" t="n">
        <v>0</v>
      </c>
      <c r="M5708" s="56" t="n">
        <v>81</v>
      </c>
      <c r="N5708" s="56" t="n">
        <v>6.8</v>
      </c>
      <c r="O5708" s="56" t="n">
        <f aca="false">IF(D5708=1,"",E5707)</f>
        <v>20.5</v>
      </c>
      <c r="P5708" s="56" t="n">
        <f aca="false">IF(OR(D5708=1,K5707=""),"",K5707)</f>
        <v>996.6</v>
      </c>
      <c r="Q5708" s="56" t="n">
        <f aca="false">IF(OR(F5708&lt;&gt;0,AND(I5708&lt;&gt;"",E5708&lt;I5708)),1,0)</f>
        <v>0</v>
      </c>
      <c r="R5708" s="56" t="n">
        <f aca="false">IF(AND(D5708&gt;1,Q5708=0,ISNUMBER(O5708),ISNUMBER(P5708)),IF(Q5707=0,1,0),0)</f>
        <v>1</v>
      </c>
      <c r="S5708" s="56" t="n">
        <f aca="false">R5708*(B5708&gt;=Train_Start)*(B5708&lt;=Train_End)</f>
        <v>0</v>
      </c>
      <c r="T5708" s="84" t="n">
        <f aca="false">IF(AND(ISNUMBER(O5708),ISNUMBER(P5708)),Coef_A+Coef_B1*O5708+Coef_B2*P5708,"")</f>
        <v>20.146665871604</v>
      </c>
      <c r="U5708" s="84" t="n">
        <f aca="false">IF(AND(R5708=1,ISNUMBER(T5708)),E5708-T5708,"")</f>
        <v>-2.14666587160401</v>
      </c>
      <c r="V5708" s="84" t="n">
        <f aca="false">IF(ISNUMBER(T5708),T5708,-99)</f>
        <v>20.146665871604</v>
      </c>
      <c r="W5708" s="84" t="n">
        <f aca="false">IF(ISNUMBER(U5708),ABS(U5708),"")</f>
        <v>2.14666587160401</v>
      </c>
    </row>
    <row r="5709" customFormat="false" ht="15" hidden="false" customHeight="false" outlineLevel="0" collapsed="false">
      <c r="A5709" s="57" t="n">
        <v>42537</v>
      </c>
      <c r="B5709" s="56" t="n">
        <v>2016</v>
      </c>
      <c r="C5709" s="56" t="n">
        <v>6</v>
      </c>
      <c r="D5709" s="56" t="n">
        <v>47</v>
      </c>
      <c r="E5709" s="56" t="n">
        <v>20.3</v>
      </c>
      <c r="F5709" s="56" t="n">
        <v>0</v>
      </c>
      <c r="G5709" s="56" t="n">
        <v>12.5</v>
      </c>
      <c r="H5709" s="56" t="n">
        <v>0</v>
      </c>
      <c r="I5709" s="56" t="n">
        <v>15.2</v>
      </c>
      <c r="J5709" s="56" t="n">
        <v>0</v>
      </c>
      <c r="K5709" s="56" t="n">
        <v>1000.5</v>
      </c>
      <c r="L5709" s="56" t="n">
        <v>0</v>
      </c>
      <c r="M5709" s="56" t="n">
        <v>90</v>
      </c>
      <c r="N5709" s="56" t="n">
        <v>0.2</v>
      </c>
      <c r="O5709" s="56" t="n">
        <f aca="false">IF(D5709=1,"",E5708)</f>
        <v>18</v>
      </c>
      <c r="P5709" s="56" t="n">
        <f aca="false">IF(OR(D5709=1,K5708=""),"",K5708)</f>
        <v>996.8</v>
      </c>
      <c r="Q5709" s="56" t="n">
        <f aca="false">IF(OR(F5709&lt;&gt;0,AND(I5709&lt;&gt;"",E5709&lt;I5709)),1,0)</f>
        <v>0</v>
      </c>
      <c r="R5709" s="56" t="n">
        <f aca="false">IF(AND(D5709&gt;1,Q5709=0,ISNUMBER(O5709),ISNUMBER(P5709)),IF(Q5708=0,1,0),0)</f>
        <v>1</v>
      </c>
      <c r="S5709" s="56" t="n">
        <f aca="false">R5709*(B5709&gt;=Train_Start)*(B5709&lt;=Train_End)</f>
        <v>0</v>
      </c>
      <c r="T5709" s="84" t="n">
        <f aca="false">IF(AND(ISNUMBER(O5709),ISNUMBER(P5709)),Coef_A+Coef_B1*O5709+Coef_B2*P5709,"")</f>
        <v>18.1045918679242</v>
      </c>
      <c r="U5709" s="84" t="n">
        <f aca="false">IF(AND(R5709=1,ISNUMBER(T5709)),E5709-T5709,"")</f>
        <v>2.19540813207584</v>
      </c>
      <c r="V5709" s="84" t="n">
        <f aca="false">IF(ISNUMBER(T5709),T5709,-99)</f>
        <v>18.1045918679242</v>
      </c>
      <c r="W5709" s="84" t="n">
        <f aca="false">IF(ISNUMBER(U5709),ABS(U5709),"")</f>
        <v>2.19540813207584</v>
      </c>
    </row>
    <row r="5710" customFormat="false" ht="15" hidden="false" customHeight="false" outlineLevel="0" collapsed="false">
      <c r="A5710" s="57" t="n">
        <v>42538</v>
      </c>
      <c r="B5710" s="56" t="n">
        <v>2016</v>
      </c>
      <c r="C5710" s="56" t="n">
        <v>6</v>
      </c>
      <c r="D5710" s="56" t="n">
        <v>48</v>
      </c>
      <c r="E5710" s="56" t="n">
        <v>17.7</v>
      </c>
      <c r="F5710" s="56" t="n">
        <v>0</v>
      </c>
      <c r="G5710" s="56" t="n">
        <v>12.8</v>
      </c>
      <c r="H5710" s="56" t="n">
        <v>0</v>
      </c>
      <c r="I5710" s="56" t="n">
        <v>16.6</v>
      </c>
      <c r="J5710" s="56" t="n">
        <v>0</v>
      </c>
      <c r="K5710" s="56" t="n">
        <v>1007.5</v>
      </c>
      <c r="L5710" s="56" t="n">
        <v>0</v>
      </c>
      <c r="M5710" s="56" t="n">
        <v>85</v>
      </c>
      <c r="N5710" s="56" t="n">
        <v>2.1</v>
      </c>
      <c r="O5710" s="56" t="n">
        <f aca="false">IF(D5710=1,"",E5709)</f>
        <v>20.3</v>
      </c>
      <c r="P5710" s="56" t="n">
        <f aca="false">IF(OR(D5710=1,K5709=""),"",K5709)</f>
        <v>1000.5</v>
      </c>
      <c r="Q5710" s="56" t="n">
        <f aca="false">IF(OR(F5710&lt;&gt;0,AND(I5710&lt;&gt;"",E5710&lt;I5710)),1,0)</f>
        <v>0</v>
      </c>
      <c r="R5710" s="56" t="n">
        <f aca="false">IF(AND(D5710&gt;1,Q5710=0,ISNUMBER(O5710),ISNUMBER(P5710)),IF(Q5709=0,1,0),0)</f>
        <v>1</v>
      </c>
      <c r="S5710" s="56" t="n">
        <f aca="false">R5710*(B5710&gt;=Train_Start)*(B5710&lt;=Train_End)</f>
        <v>0</v>
      </c>
      <c r="T5710" s="84" t="n">
        <f aca="false">IF(AND(ISNUMBER(O5710),ISNUMBER(P5710)),Coef_A+Coef_B1*O5710+Coef_B2*P5710,"")</f>
        <v>20.105140622068</v>
      </c>
      <c r="U5710" s="84" t="n">
        <f aca="false">IF(AND(R5710=1,ISNUMBER(T5710)),E5710-T5710,"")</f>
        <v>-2.40514062206803</v>
      </c>
      <c r="V5710" s="84" t="n">
        <f aca="false">IF(ISNUMBER(T5710),T5710,-99)</f>
        <v>20.105140622068</v>
      </c>
      <c r="W5710" s="84" t="n">
        <f aca="false">IF(ISNUMBER(U5710),ABS(U5710),"")</f>
        <v>2.40514062206803</v>
      </c>
    </row>
    <row r="5711" customFormat="false" ht="15" hidden="false" customHeight="false" outlineLevel="0" collapsed="false">
      <c r="A5711" s="57" t="n">
        <v>42539</v>
      </c>
      <c r="B5711" s="56" t="n">
        <v>2016</v>
      </c>
      <c r="C5711" s="56" t="n">
        <v>6</v>
      </c>
      <c r="D5711" s="56" t="n">
        <v>49</v>
      </c>
      <c r="E5711" s="56" t="n">
        <v>20.2</v>
      </c>
      <c r="F5711" s="56" t="n">
        <v>0</v>
      </c>
      <c r="G5711" s="56" t="n">
        <v>12</v>
      </c>
      <c r="H5711" s="56" t="n">
        <v>0</v>
      </c>
      <c r="I5711" s="56" t="n">
        <v>14.8</v>
      </c>
      <c r="J5711" s="56" t="n">
        <v>0</v>
      </c>
      <c r="K5711" s="56" t="n">
        <v>1019.5</v>
      </c>
      <c r="L5711" s="56" t="n">
        <v>0</v>
      </c>
      <c r="M5711" s="56" t="n">
        <v>83</v>
      </c>
      <c r="N5711" s="56" t="n">
        <v>0.5</v>
      </c>
      <c r="O5711" s="56" t="n">
        <f aca="false">IF(D5711=1,"",E5710)</f>
        <v>17.7</v>
      </c>
      <c r="P5711" s="56" t="n">
        <f aca="false">IF(OR(D5711=1,K5710=""),"",K5710)</f>
        <v>1007.5</v>
      </c>
      <c r="Q5711" s="56" t="n">
        <f aca="false">IF(OR(F5711&lt;&gt;0,AND(I5711&lt;&gt;"",E5711&lt;I5711)),1,0)</f>
        <v>0</v>
      </c>
      <c r="R5711" s="56" t="n">
        <f aca="false">IF(AND(D5711&gt;1,Q5711=0,ISNUMBER(O5711),ISNUMBER(P5711)),IF(Q5710=0,1,0),0)</f>
        <v>1</v>
      </c>
      <c r="S5711" s="56" t="n">
        <f aca="false">R5711*(B5711&gt;=Train_Start)*(B5711&lt;=Train_End)</f>
        <v>0</v>
      </c>
      <c r="T5711" s="84" t="n">
        <f aca="false">IF(AND(ISNUMBER(O5711),ISNUMBER(P5711)),Coef_A+Coef_B1*O5711+Coef_B2*P5711,"")</f>
        <v>18.1944479825951</v>
      </c>
      <c r="U5711" s="84" t="n">
        <f aca="false">IF(AND(R5711=1,ISNUMBER(T5711)),E5711-T5711,"")</f>
        <v>2.00555201740495</v>
      </c>
      <c r="V5711" s="84" t="n">
        <f aca="false">IF(ISNUMBER(T5711),T5711,-99)</f>
        <v>18.1944479825951</v>
      </c>
      <c r="W5711" s="84" t="n">
        <f aca="false">IF(ISNUMBER(U5711),ABS(U5711),"")</f>
        <v>2.00555201740495</v>
      </c>
    </row>
    <row r="5712" customFormat="false" ht="15" hidden="false" customHeight="false" outlineLevel="0" collapsed="false">
      <c r="A5712" s="57" t="n">
        <v>42540</v>
      </c>
      <c r="B5712" s="56" t="n">
        <v>2016</v>
      </c>
      <c r="C5712" s="56" t="n">
        <v>6</v>
      </c>
      <c r="D5712" s="56" t="n">
        <v>50</v>
      </c>
      <c r="E5712" s="56" t="n">
        <v>22.7</v>
      </c>
      <c r="F5712" s="56" t="n">
        <v>0</v>
      </c>
      <c r="G5712" s="56" t="n">
        <v>11.5</v>
      </c>
      <c r="H5712" s="56" t="n">
        <v>0</v>
      </c>
      <c r="I5712" s="56" t="n">
        <v>15.8</v>
      </c>
      <c r="J5712" s="56" t="n">
        <v>0</v>
      </c>
      <c r="K5712" s="56" t="n">
        <v>1022.7</v>
      </c>
      <c r="L5712" s="56" t="n">
        <v>0</v>
      </c>
      <c r="M5712" s="56" t="n">
        <v>84</v>
      </c>
      <c r="N5712" s="56" t="n">
        <v>5.4</v>
      </c>
      <c r="O5712" s="56" t="n">
        <f aca="false">IF(D5712=1,"",E5711)</f>
        <v>20.2</v>
      </c>
      <c r="P5712" s="56" t="n">
        <f aca="false">IF(OR(D5712=1,K5711=""),"",K5711)</f>
        <v>1019.5</v>
      </c>
      <c r="Q5712" s="56" t="n">
        <f aca="false">IF(OR(F5712&lt;&gt;0,AND(I5712&lt;&gt;"",E5712&lt;I5712)),1,0)</f>
        <v>0</v>
      </c>
      <c r="R5712" s="56" t="n">
        <f aca="false">IF(AND(D5712&gt;1,Q5712=0,ISNUMBER(O5712),ISNUMBER(P5712)),IF(Q5711=0,1,0),0)</f>
        <v>1</v>
      </c>
      <c r="S5712" s="56" t="n">
        <f aca="false">R5712*(B5712&gt;=Train_Start)*(B5712&lt;=Train_End)</f>
        <v>0</v>
      </c>
      <c r="T5712" s="84" t="n">
        <f aca="false">IF(AND(ISNUMBER(O5712),ISNUMBER(P5712)),Coef_A+Coef_B1*O5712+Coef_B2*P5712,"")</f>
        <v>20.6192347008096</v>
      </c>
      <c r="U5712" s="84" t="n">
        <f aca="false">IF(AND(R5712=1,ISNUMBER(T5712)),E5712-T5712,"")</f>
        <v>2.08076529919044</v>
      </c>
      <c r="V5712" s="84" t="n">
        <f aca="false">IF(ISNUMBER(T5712),T5712,-99)</f>
        <v>20.6192347008096</v>
      </c>
      <c r="W5712" s="84" t="n">
        <f aca="false">IF(ISNUMBER(U5712),ABS(U5712),"")</f>
        <v>2.08076529919044</v>
      </c>
    </row>
    <row r="5713" customFormat="false" ht="15" hidden="false" customHeight="false" outlineLevel="0" collapsed="false">
      <c r="A5713" s="57" t="n">
        <v>42541</v>
      </c>
      <c r="B5713" s="56" t="n">
        <v>2016</v>
      </c>
      <c r="C5713" s="56" t="n">
        <v>6</v>
      </c>
      <c r="D5713" s="56" t="n">
        <v>51</v>
      </c>
      <c r="E5713" s="56" t="n">
        <v>21.7</v>
      </c>
      <c r="F5713" s="56" t="n">
        <v>0</v>
      </c>
      <c r="G5713" s="56" t="n">
        <v>15.1</v>
      </c>
      <c r="H5713" s="56" t="n">
        <v>0</v>
      </c>
      <c r="I5713" s="56" t="n">
        <v>18.9</v>
      </c>
      <c r="J5713" s="56" t="n">
        <v>0</v>
      </c>
      <c r="K5713" s="56" t="n">
        <v>1013.7</v>
      </c>
      <c r="L5713" s="56" t="n">
        <v>0</v>
      </c>
      <c r="M5713" s="56" t="n">
        <v>89</v>
      </c>
      <c r="N5713" s="56" t="n">
        <v>4.2</v>
      </c>
      <c r="O5713" s="56" t="n">
        <f aca="false">IF(D5713=1,"",E5712)</f>
        <v>22.7</v>
      </c>
      <c r="P5713" s="56" t="n">
        <f aca="false">IF(OR(D5713=1,K5712=""),"",K5712)</f>
        <v>1022.7</v>
      </c>
      <c r="Q5713" s="56" t="n">
        <f aca="false">IF(OR(F5713&lt;&gt;0,AND(I5713&lt;&gt;"",E5713&lt;I5713)),1,0)</f>
        <v>0</v>
      </c>
      <c r="R5713" s="56" t="n">
        <f aca="false">IF(AND(D5713&gt;1,Q5713=0,ISNUMBER(O5713),ISNUMBER(P5713)),IF(Q5712=0,1,0),0)</f>
        <v>1</v>
      </c>
      <c r="S5713" s="56" t="n">
        <f aca="false">R5713*(B5713&gt;=Train_Start)*(B5713&lt;=Train_End)</f>
        <v>0</v>
      </c>
      <c r="T5713" s="84" t="n">
        <f aca="false">IF(AND(ISNUMBER(O5713),ISNUMBER(P5713)),Coef_A+Coef_B1*O5713+Coef_B2*P5713,"")</f>
        <v>22.767966346245</v>
      </c>
      <c r="U5713" s="84" t="n">
        <f aca="false">IF(AND(R5713=1,ISNUMBER(T5713)),E5713-T5713,"")</f>
        <v>-1.06796634624498</v>
      </c>
      <c r="V5713" s="84" t="n">
        <f aca="false">IF(ISNUMBER(T5713),T5713,-99)</f>
        <v>22.767966346245</v>
      </c>
      <c r="W5713" s="84" t="n">
        <f aca="false">IF(ISNUMBER(U5713),ABS(U5713),"")</f>
        <v>1.06796634624498</v>
      </c>
    </row>
    <row r="5714" customFormat="false" ht="15" hidden="false" customHeight="false" outlineLevel="0" collapsed="false">
      <c r="A5714" s="57" t="n">
        <v>42542</v>
      </c>
      <c r="B5714" s="56" t="n">
        <v>2016</v>
      </c>
      <c r="C5714" s="56" t="n">
        <v>6</v>
      </c>
      <c r="D5714" s="56" t="n">
        <v>52</v>
      </c>
      <c r="E5714" s="56" t="n">
        <v>22.5</v>
      </c>
      <c r="F5714" s="56" t="n">
        <v>0</v>
      </c>
      <c r="G5714" s="56" t="n">
        <v>14</v>
      </c>
      <c r="H5714" s="56" t="n">
        <v>0</v>
      </c>
      <c r="I5714" s="56" t="n">
        <v>17.8</v>
      </c>
      <c r="J5714" s="56" t="n">
        <v>0</v>
      </c>
      <c r="K5714" s="56" t="n">
        <v>1017</v>
      </c>
      <c r="L5714" s="56" t="n">
        <v>0</v>
      </c>
      <c r="M5714" s="56" t="n">
        <v>75</v>
      </c>
      <c r="N5714" s="56" t="n">
        <v>5.7</v>
      </c>
      <c r="O5714" s="56" t="n">
        <f aca="false">IF(D5714=1,"",E5713)</f>
        <v>21.7</v>
      </c>
      <c r="P5714" s="56" t="n">
        <f aca="false">IF(OR(D5714=1,K5713=""),"",K5713)</f>
        <v>1013.7</v>
      </c>
      <c r="Q5714" s="56" t="n">
        <f aca="false">IF(OR(F5714&lt;&gt;0,AND(I5714&lt;&gt;"",E5714&lt;I5714)),1,0)</f>
        <v>0</v>
      </c>
      <c r="R5714" s="56" t="n">
        <f aca="false">IF(AND(D5714&gt;1,Q5714=0,ISNUMBER(O5714),ISNUMBER(P5714)),IF(Q5713=0,1,0),0)</f>
        <v>1</v>
      </c>
      <c r="S5714" s="56" t="n">
        <f aca="false">R5714*(B5714&gt;=Train_Start)*(B5714&lt;=Train_End)</f>
        <v>0</v>
      </c>
      <c r="T5714" s="84" t="n">
        <f aca="false">IF(AND(ISNUMBER(O5714),ISNUMBER(P5714)),Coef_A+Coef_B1*O5714+Coef_B2*P5714,"")</f>
        <v>21.6662981014964</v>
      </c>
      <c r="U5714" s="84" t="n">
        <f aca="false">IF(AND(R5714=1,ISNUMBER(T5714)),E5714-T5714,"")</f>
        <v>0.833701898503584</v>
      </c>
      <c r="V5714" s="84" t="n">
        <f aca="false">IF(ISNUMBER(T5714),T5714,-99)</f>
        <v>21.6662981014964</v>
      </c>
      <c r="W5714" s="84" t="n">
        <f aca="false">IF(ISNUMBER(U5714),ABS(U5714),"")</f>
        <v>0.833701898503584</v>
      </c>
    </row>
    <row r="5715" customFormat="false" ht="15" hidden="false" customHeight="false" outlineLevel="0" collapsed="false">
      <c r="A5715" s="57" t="n">
        <v>42543</v>
      </c>
      <c r="B5715" s="56" t="n">
        <v>2016</v>
      </c>
      <c r="C5715" s="56" t="n">
        <v>6</v>
      </c>
      <c r="D5715" s="56" t="n">
        <v>53</v>
      </c>
      <c r="E5715" s="56" t="n">
        <v>21.1</v>
      </c>
      <c r="F5715" s="56" t="n">
        <v>0</v>
      </c>
      <c r="G5715" s="56" t="n">
        <v>14.5</v>
      </c>
      <c r="H5715" s="56" t="n">
        <v>0</v>
      </c>
      <c r="I5715" s="56" t="n">
        <v>18.5</v>
      </c>
      <c r="J5715" s="56" t="n">
        <v>0</v>
      </c>
      <c r="K5715" s="56" t="n">
        <v>1018.8</v>
      </c>
      <c r="L5715" s="56" t="n">
        <v>0</v>
      </c>
      <c r="M5715" s="56" t="n">
        <v>88</v>
      </c>
      <c r="N5715" s="56" t="n">
        <v>1.1</v>
      </c>
      <c r="O5715" s="56" t="n">
        <f aca="false">IF(D5715=1,"",E5714)</f>
        <v>22.5</v>
      </c>
      <c r="P5715" s="56" t="n">
        <f aca="false">IF(OR(D5715=1,K5714=""),"",K5714)</f>
        <v>1017</v>
      </c>
      <c r="Q5715" s="56" t="n">
        <f aca="false">IF(OR(F5715&lt;&gt;0,AND(I5715&lt;&gt;"",E5715&lt;I5715)),1,0)</f>
        <v>0</v>
      </c>
      <c r="R5715" s="56" t="n">
        <f aca="false">IF(AND(D5715&gt;1,Q5715=0,ISNUMBER(O5715),ISNUMBER(P5715)),IF(Q5714=0,1,0),0)</f>
        <v>1</v>
      </c>
      <c r="S5715" s="56" t="n">
        <f aca="false">R5715*(B5715&gt;=Train_Start)*(B5715&lt;=Train_End)</f>
        <v>0</v>
      </c>
      <c r="T5715" s="84" t="n">
        <f aca="false">IF(AND(ISNUMBER(O5715),ISNUMBER(P5715)),Coef_A+Coef_B1*O5715+Coef_B2*P5715,"")</f>
        <v>22.4252901082227</v>
      </c>
      <c r="U5715" s="84" t="n">
        <f aca="false">IF(AND(R5715=1,ISNUMBER(T5715)),E5715-T5715,"")</f>
        <v>-1.32529010822271</v>
      </c>
      <c r="V5715" s="84" t="n">
        <f aca="false">IF(ISNUMBER(T5715),T5715,-99)</f>
        <v>22.4252901082227</v>
      </c>
      <c r="W5715" s="84" t="n">
        <f aca="false">IF(ISNUMBER(U5715),ABS(U5715),"")</f>
        <v>1.32529010822271</v>
      </c>
    </row>
    <row r="5716" customFormat="false" ht="15" hidden="false" customHeight="false" outlineLevel="0" collapsed="false">
      <c r="A5716" s="57" t="n">
        <v>42544</v>
      </c>
      <c r="B5716" s="56" t="n">
        <v>2016</v>
      </c>
      <c r="C5716" s="56" t="n">
        <v>6</v>
      </c>
      <c r="D5716" s="56" t="n">
        <v>54</v>
      </c>
      <c r="E5716" s="56" t="n">
        <v>22.6</v>
      </c>
      <c r="F5716" s="56" t="n">
        <v>0</v>
      </c>
      <c r="G5716" s="56" t="n">
        <v>16.3</v>
      </c>
      <c r="H5716" s="56" t="n">
        <v>0</v>
      </c>
      <c r="I5716" s="56" t="n">
        <v>18.7</v>
      </c>
      <c r="J5716" s="56" t="n">
        <v>0</v>
      </c>
      <c r="K5716" s="56" t="n">
        <v>1015.9</v>
      </c>
      <c r="L5716" s="56" t="n">
        <v>0</v>
      </c>
      <c r="M5716" s="56" t="n">
        <v>99</v>
      </c>
      <c r="N5716" s="56" t="n">
        <v>0</v>
      </c>
      <c r="O5716" s="56" t="n">
        <f aca="false">IF(D5716=1,"",E5715)</f>
        <v>21.1</v>
      </c>
      <c r="P5716" s="56" t="n">
        <f aca="false">IF(OR(D5716=1,K5715=""),"",K5715)</f>
        <v>1018.8</v>
      </c>
      <c r="Q5716" s="56" t="n">
        <f aca="false">IF(OR(F5716&lt;&gt;0,AND(I5716&lt;&gt;"",E5716&lt;I5716)),1,0)</f>
        <v>0</v>
      </c>
      <c r="R5716" s="56" t="n">
        <f aca="false">IF(AND(D5716&gt;1,Q5716=0,ISNUMBER(O5716),ISNUMBER(P5716)),IF(Q5715=0,1,0),0)</f>
        <v>1</v>
      </c>
      <c r="S5716" s="56" t="n">
        <f aca="false">R5716*(B5716&gt;=Train_Start)*(B5716&lt;=Train_End)</f>
        <v>0</v>
      </c>
      <c r="T5716" s="84" t="n">
        <f aca="false">IF(AND(ISNUMBER(O5716),ISNUMBER(P5716)),Coef_A+Coef_B1*O5716+Coef_B2*P5716,"")</f>
        <v>21.3346810483042</v>
      </c>
      <c r="U5716" s="84" t="n">
        <f aca="false">IF(AND(R5716=1,ISNUMBER(T5716)),E5716-T5716,"")</f>
        <v>1.26531895169584</v>
      </c>
      <c r="V5716" s="84" t="n">
        <f aca="false">IF(ISNUMBER(T5716),T5716,-99)</f>
        <v>21.3346810483042</v>
      </c>
      <c r="W5716" s="84" t="n">
        <f aca="false">IF(ISNUMBER(U5716),ABS(U5716),"")</f>
        <v>1.26531895169584</v>
      </c>
    </row>
    <row r="5717" customFormat="false" ht="15" hidden="false" customHeight="false" outlineLevel="0" collapsed="false">
      <c r="A5717" s="57" t="n">
        <v>42545</v>
      </c>
      <c r="B5717" s="56" t="n">
        <v>2016</v>
      </c>
      <c r="C5717" s="56" t="n">
        <v>6</v>
      </c>
      <c r="D5717" s="56" t="n">
        <v>55</v>
      </c>
      <c r="E5717" s="56" t="n">
        <v>20.3</v>
      </c>
      <c r="F5717" s="56" t="n">
        <v>0</v>
      </c>
      <c r="G5717" s="56" t="n">
        <v>11.3</v>
      </c>
      <c r="H5717" s="56" t="n">
        <v>0</v>
      </c>
      <c r="I5717" s="56" t="n">
        <v>17</v>
      </c>
      <c r="J5717" s="56" t="n">
        <v>0</v>
      </c>
      <c r="K5717" s="56" t="n">
        <v>1017.8</v>
      </c>
      <c r="L5717" s="56" t="n">
        <v>0</v>
      </c>
      <c r="M5717" s="56" t="n">
        <v>77</v>
      </c>
      <c r="N5717" s="56" t="n">
        <v>8.3</v>
      </c>
      <c r="O5717" s="56" t="n">
        <f aca="false">IF(D5717=1,"",E5716)</f>
        <v>22.6</v>
      </c>
      <c r="P5717" s="56" t="n">
        <f aca="false">IF(OR(D5717=1,K5716=""),"",K5716)</f>
        <v>1015.9</v>
      </c>
      <c r="Q5717" s="56" t="n">
        <f aca="false">IF(OR(F5717&lt;&gt;0,AND(I5717&lt;&gt;"",E5717&lt;I5717)),1,0)</f>
        <v>0</v>
      </c>
      <c r="R5717" s="56" t="n">
        <f aca="false">IF(AND(D5717&gt;1,Q5717=0,ISNUMBER(O5717),ISNUMBER(P5717)),IF(Q5716=0,1,0),0)</f>
        <v>1</v>
      </c>
      <c r="S5717" s="56" t="n">
        <f aca="false">R5717*(B5717&gt;=Train_Start)*(B5717&lt;=Train_End)</f>
        <v>0</v>
      </c>
      <c r="T5717" s="84" t="n">
        <f aca="false">IF(AND(ISNUMBER(O5717),ISNUMBER(P5717)),Coef_A+Coef_B1*O5717+Coef_B2*P5717,"")</f>
        <v>22.4727171434296</v>
      </c>
      <c r="U5717" s="84" t="n">
        <f aca="false">IF(AND(R5717=1,ISNUMBER(T5717)),E5717-T5717,"")</f>
        <v>-2.17271714342958</v>
      </c>
      <c r="V5717" s="84" t="n">
        <f aca="false">IF(ISNUMBER(T5717),T5717,-99)</f>
        <v>22.4727171434296</v>
      </c>
      <c r="W5717" s="84" t="n">
        <f aca="false">IF(ISNUMBER(U5717),ABS(U5717),"")</f>
        <v>2.17271714342958</v>
      </c>
    </row>
    <row r="5718" customFormat="false" ht="15" hidden="false" customHeight="false" outlineLevel="0" collapsed="false">
      <c r="A5718" s="57" t="n">
        <v>42546</v>
      </c>
      <c r="B5718" s="56" t="n">
        <v>2016</v>
      </c>
      <c r="C5718" s="56" t="n">
        <v>6</v>
      </c>
      <c r="D5718" s="56" t="n">
        <v>56</v>
      </c>
      <c r="E5718" s="56" t="n">
        <v>21.2</v>
      </c>
      <c r="F5718" s="56" t="n">
        <v>0</v>
      </c>
      <c r="G5718" s="56" t="n">
        <v>11.8</v>
      </c>
      <c r="H5718" s="56" t="n">
        <v>0</v>
      </c>
      <c r="I5718" s="56" t="n">
        <v>16</v>
      </c>
      <c r="J5718" s="56" t="n">
        <v>0</v>
      </c>
      <c r="K5718" s="56" t="n">
        <v>1016.9</v>
      </c>
      <c r="L5718" s="56" t="n">
        <v>0</v>
      </c>
      <c r="M5718" s="56" t="n">
        <v>77</v>
      </c>
      <c r="N5718" s="56" t="n">
        <v>7</v>
      </c>
      <c r="O5718" s="56" t="n">
        <f aca="false">IF(D5718=1,"",E5717)</f>
        <v>20.3</v>
      </c>
      <c r="P5718" s="56" t="n">
        <f aca="false">IF(OR(D5718=1,K5717=""),"",K5717)</f>
        <v>1017.8</v>
      </c>
      <c r="Q5718" s="56" t="n">
        <f aca="false">IF(OR(F5718&lt;&gt;0,AND(I5718&lt;&gt;"",E5718&lt;I5718)),1,0)</f>
        <v>0</v>
      </c>
      <c r="R5718" s="56" t="n">
        <f aca="false">IF(AND(D5718&gt;1,Q5718=0,ISNUMBER(O5718),ISNUMBER(P5718)),IF(Q5717=0,1,0),0)</f>
        <v>1</v>
      </c>
      <c r="S5718" s="56" t="n">
        <f aca="false">R5718*(B5718&gt;=Train_Start)*(B5718&lt;=Train_End)</f>
        <v>0</v>
      </c>
      <c r="T5718" s="84" t="n">
        <f aca="false">IF(AND(ISNUMBER(O5718),ISNUMBER(P5718)),Coef_A+Coef_B1*O5718+Coef_B2*P5718,"")</f>
        <v>20.6478397992361</v>
      </c>
      <c r="U5718" s="84" t="n">
        <f aca="false">IF(AND(R5718=1,ISNUMBER(T5718)),E5718-T5718,"")</f>
        <v>0.55216020076395</v>
      </c>
      <c r="V5718" s="84" t="n">
        <f aca="false">IF(ISNUMBER(T5718),T5718,-99)</f>
        <v>20.6478397992361</v>
      </c>
      <c r="W5718" s="84" t="n">
        <f aca="false">IF(ISNUMBER(U5718),ABS(U5718),"")</f>
        <v>0.55216020076395</v>
      </c>
    </row>
    <row r="5719" customFormat="false" ht="15" hidden="false" customHeight="false" outlineLevel="0" collapsed="false">
      <c r="A5719" s="57" t="n">
        <v>42547</v>
      </c>
      <c r="B5719" s="56" t="n">
        <v>2016</v>
      </c>
      <c r="C5719" s="56" t="n">
        <v>6</v>
      </c>
      <c r="D5719" s="56" t="n">
        <v>57</v>
      </c>
      <c r="E5719" s="56" t="n">
        <v>21.7</v>
      </c>
      <c r="F5719" s="56" t="n">
        <v>0</v>
      </c>
      <c r="G5719" s="56" t="n">
        <v>11.9</v>
      </c>
      <c r="H5719" s="56" t="n">
        <v>0</v>
      </c>
      <c r="I5719" s="56" t="n">
        <v>16.6</v>
      </c>
      <c r="J5719" s="56" t="n">
        <v>0</v>
      </c>
      <c r="K5719" s="56" t="n">
        <v>1017.7</v>
      </c>
      <c r="L5719" s="56" t="n">
        <v>0</v>
      </c>
      <c r="M5719" s="56" t="n">
        <v>81</v>
      </c>
      <c r="N5719" s="56" t="n">
        <v>0</v>
      </c>
      <c r="O5719" s="56" t="n">
        <f aca="false">IF(D5719=1,"",E5718)</f>
        <v>21.2</v>
      </c>
      <c r="P5719" s="56" t="n">
        <f aca="false">IF(OR(D5719=1,K5718=""),"",K5718)</f>
        <v>1016.9</v>
      </c>
      <c r="Q5719" s="56" t="n">
        <f aca="false">IF(OR(F5719&lt;&gt;0,AND(I5719&lt;&gt;"",E5719&lt;I5719)),1,0)</f>
        <v>0</v>
      </c>
      <c r="R5719" s="56" t="n">
        <f aca="false">IF(AND(D5719&gt;1,Q5719=0,ISNUMBER(O5719),ISNUMBER(P5719)),IF(Q5718=0,1,0),0)</f>
        <v>1</v>
      </c>
      <c r="S5719" s="56" t="n">
        <f aca="false">R5719*(B5719&gt;=Train_Start)*(B5719&lt;=Train_End)</f>
        <v>0</v>
      </c>
      <c r="T5719" s="84" t="n">
        <f aca="false">IF(AND(ISNUMBER(O5719),ISNUMBER(P5719)),Coef_A+Coef_B1*O5719+Coef_B2*P5719,"")</f>
        <v>21.3570121678039</v>
      </c>
      <c r="U5719" s="84" t="n">
        <f aca="false">IF(AND(R5719=1,ISNUMBER(T5719)),E5719-T5719,"")</f>
        <v>0.342987832196148</v>
      </c>
      <c r="V5719" s="84" t="n">
        <f aca="false">IF(ISNUMBER(T5719),T5719,-99)</f>
        <v>21.3570121678039</v>
      </c>
      <c r="W5719" s="84" t="n">
        <f aca="false">IF(ISNUMBER(U5719),ABS(U5719),"")</f>
        <v>0.342987832196148</v>
      </c>
    </row>
    <row r="5720" customFormat="false" ht="15" hidden="false" customHeight="false" outlineLevel="0" collapsed="false">
      <c r="A5720" s="57" t="n">
        <v>42548</v>
      </c>
      <c r="B5720" s="56" t="n">
        <v>2016</v>
      </c>
      <c r="C5720" s="56" t="n">
        <v>6</v>
      </c>
      <c r="D5720" s="56" t="n">
        <v>58</v>
      </c>
      <c r="E5720" s="56" t="n">
        <v>21.4</v>
      </c>
      <c r="F5720" s="56" t="n">
        <v>0</v>
      </c>
      <c r="G5720" s="56" t="n">
        <v>14.3</v>
      </c>
      <c r="H5720" s="56" t="n">
        <v>0</v>
      </c>
      <c r="I5720" s="56" t="n">
        <v>18</v>
      </c>
      <c r="J5720" s="56" t="n">
        <v>0</v>
      </c>
      <c r="K5720" s="56" t="n">
        <v>1017.5</v>
      </c>
      <c r="L5720" s="56" t="n">
        <v>0</v>
      </c>
      <c r="M5720" s="56" t="n">
        <v>74</v>
      </c>
      <c r="N5720" s="56" t="n">
        <v>3.3</v>
      </c>
      <c r="O5720" s="56" t="n">
        <f aca="false">IF(D5720=1,"",E5719)</f>
        <v>21.7</v>
      </c>
      <c r="P5720" s="56" t="n">
        <f aca="false">IF(OR(D5720=1,K5719=""),"",K5719)</f>
        <v>1017.7</v>
      </c>
      <c r="Q5720" s="56" t="n">
        <f aca="false">IF(OR(F5720&lt;&gt;0,AND(I5720&lt;&gt;"",E5720&lt;I5720)),1,0)</f>
        <v>0</v>
      </c>
      <c r="R5720" s="56" t="n">
        <f aca="false">IF(AND(D5720&gt;1,Q5720=0,ISNUMBER(O5720),ISNUMBER(P5720)),IF(Q5719=0,1,0),0)</f>
        <v>1</v>
      </c>
      <c r="S5720" s="56" t="n">
        <f aca="false">R5720*(B5720&gt;=Train_Start)*(B5720&lt;=Train_End)</f>
        <v>0</v>
      </c>
      <c r="T5720" s="84" t="n">
        <f aca="false">IF(AND(ISNUMBER(O5720),ISNUMBER(P5720)),Coef_A+Coef_B1*O5720+Coef_B2*P5720,"")</f>
        <v>21.7917776800324</v>
      </c>
      <c r="U5720" s="84" t="n">
        <f aca="false">IF(AND(R5720=1,ISNUMBER(T5720)),E5720-T5720,"")</f>
        <v>-0.391777680032376</v>
      </c>
      <c r="V5720" s="84" t="n">
        <f aca="false">IF(ISNUMBER(T5720),T5720,-99)</f>
        <v>21.7917776800324</v>
      </c>
      <c r="W5720" s="84" t="n">
        <f aca="false">IF(ISNUMBER(U5720),ABS(U5720),"")</f>
        <v>0.391777680032376</v>
      </c>
    </row>
    <row r="5721" customFormat="false" ht="15" hidden="false" customHeight="false" outlineLevel="0" collapsed="false">
      <c r="A5721" s="57" t="n">
        <v>42549</v>
      </c>
      <c r="B5721" s="56" t="n">
        <v>2016</v>
      </c>
      <c r="C5721" s="56" t="n">
        <v>6</v>
      </c>
      <c r="D5721" s="56" t="n">
        <v>59</v>
      </c>
      <c r="E5721" s="56" t="n">
        <v>17.2</v>
      </c>
      <c r="F5721" s="56" t="n">
        <v>0</v>
      </c>
      <c r="G5721" s="56" t="n">
        <v>10.8</v>
      </c>
      <c r="H5721" s="56" t="n">
        <v>0</v>
      </c>
      <c r="I5721" s="56" t="n">
        <v>16.1</v>
      </c>
      <c r="J5721" s="56" t="n">
        <v>0</v>
      </c>
      <c r="K5721" s="56" t="n">
        <v>1013.9</v>
      </c>
      <c r="L5721" s="56" t="n">
        <v>0</v>
      </c>
      <c r="M5721" s="56" t="n">
        <v>75</v>
      </c>
      <c r="N5721" s="56" t="n">
        <v>7.3</v>
      </c>
      <c r="O5721" s="56" t="n">
        <f aca="false">IF(D5721=1,"",E5720)</f>
        <v>21.4</v>
      </c>
      <c r="P5721" s="56" t="n">
        <f aca="false">IF(OR(D5721=1,K5720=""),"",K5720)</f>
        <v>1017.5</v>
      </c>
      <c r="Q5721" s="56" t="n">
        <f aca="false">IF(OR(F5721&lt;&gt;0,AND(I5721&lt;&gt;"",E5721&lt;I5721)),1,0)</f>
        <v>0</v>
      </c>
      <c r="R5721" s="56" t="n">
        <f aca="false">IF(AND(D5721&gt;1,Q5721=0,ISNUMBER(O5721),ISNUMBER(P5721)),IF(Q5720=0,1,0),0)</f>
        <v>1</v>
      </c>
      <c r="S5721" s="56" t="n">
        <f aca="false">R5721*(B5721&gt;=Train_Start)*(B5721&lt;=Train_End)</f>
        <v>0</v>
      </c>
      <c r="T5721" s="84" t="n">
        <f aca="false">IF(AND(ISNUMBER(O5721),ISNUMBER(P5721)),Coef_A+Coef_B1*O5721+Coef_B2*P5721,"")</f>
        <v>21.5397019431928</v>
      </c>
      <c r="U5721" s="84" t="n">
        <f aca="false">IF(AND(R5721=1,ISNUMBER(T5721)),E5721-T5721,"")</f>
        <v>-4.33970194319278</v>
      </c>
      <c r="V5721" s="84" t="n">
        <f aca="false">IF(ISNUMBER(T5721),T5721,-99)</f>
        <v>21.5397019431928</v>
      </c>
      <c r="W5721" s="84" t="n">
        <f aca="false">IF(ISNUMBER(U5721),ABS(U5721),"")</f>
        <v>4.33970194319278</v>
      </c>
    </row>
    <row r="5722" customFormat="false" ht="15" hidden="false" customHeight="false" outlineLevel="0" collapsed="false">
      <c r="A5722" s="57" t="n">
        <v>42550</v>
      </c>
      <c r="B5722" s="56" t="n">
        <v>2016</v>
      </c>
      <c r="C5722" s="56" t="n">
        <v>6</v>
      </c>
      <c r="D5722" s="56" t="n">
        <v>60</v>
      </c>
      <c r="E5722" s="56" t="n">
        <v>20.5</v>
      </c>
      <c r="F5722" s="56" t="n">
        <v>0</v>
      </c>
      <c r="G5722" s="56" t="n">
        <v>10.9</v>
      </c>
      <c r="H5722" s="56" t="n">
        <v>0</v>
      </c>
      <c r="I5722" s="56" t="n">
        <v>14</v>
      </c>
      <c r="J5722" s="56" t="n">
        <v>0</v>
      </c>
      <c r="K5722" s="56" t="n">
        <v>1008.8</v>
      </c>
      <c r="L5722" s="56" t="n">
        <v>0</v>
      </c>
      <c r="M5722" s="56" t="n">
        <v>91</v>
      </c>
      <c r="N5722" s="56" t="n">
        <v>1.7</v>
      </c>
      <c r="O5722" s="56" t="n">
        <f aca="false">IF(D5722=1,"",E5721)</f>
        <v>17.2</v>
      </c>
      <c r="P5722" s="56" t="n">
        <f aca="false">IF(OR(D5722=1,K5721=""),"",K5721)</f>
        <v>1013.9</v>
      </c>
      <c r="Q5722" s="56" t="n">
        <f aca="false">IF(OR(F5722&lt;&gt;0,AND(I5722&lt;&gt;"",E5722&lt;I5722)),1,0)</f>
        <v>0</v>
      </c>
      <c r="R5722" s="56" t="n">
        <f aca="false">IF(AND(D5722&gt;1,Q5722=0,ISNUMBER(O5722),ISNUMBER(P5722)),IF(Q5721=0,1,0),0)</f>
        <v>1</v>
      </c>
      <c r="S5722" s="56" t="n">
        <f aca="false">R5722*(B5722&gt;=Train_Start)*(B5722&lt;=Train_End)</f>
        <v>0</v>
      </c>
      <c r="T5722" s="84" t="n">
        <f aca="false">IF(AND(ISNUMBER(O5722),ISNUMBER(P5722)),Coef_A+Coef_B1*O5722+Coef_B2*P5722,"")</f>
        <v>17.9855457117313</v>
      </c>
      <c r="U5722" s="84" t="n">
        <f aca="false">IF(AND(R5722=1,ISNUMBER(T5722)),E5722-T5722,"")</f>
        <v>2.51445428826875</v>
      </c>
      <c r="V5722" s="84" t="n">
        <f aca="false">IF(ISNUMBER(T5722),T5722,-99)</f>
        <v>17.9855457117313</v>
      </c>
      <c r="W5722" s="84" t="n">
        <f aca="false">IF(ISNUMBER(U5722),ABS(U5722),"")</f>
        <v>2.51445428826875</v>
      </c>
    </row>
    <row r="5723" customFormat="false" ht="15" hidden="false" customHeight="false" outlineLevel="0" collapsed="false">
      <c r="A5723" s="57" t="n">
        <v>42551</v>
      </c>
      <c r="B5723" s="56" t="n">
        <v>2016</v>
      </c>
      <c r="C5723" s="56" t="n">
        <v>6</v>
      </c>
      <c r="D5723" s="56" t="n">
        <v>61</v>
      </c>
      <c r="E5723" s="56" t="n">
        <v>19.9</v>
      </c>
      <c r="F5723" s="56" t="n">
        <v>0</v>
      </c>
      <c r="G5723" s="56" t="n">
        <v>13.3</v>
      </c>
      <c r="H5723" s="56" t="n">
        <v>0</v>
      </c>
      <c r="I5723" s="56" t="n">
        <v>16.9</v>
      </c>
      <c r="J5723" s="56" t="n">
        <v>0</v>
      </c>
      <c r="K5723" s="56" t="n">
        <v>1009</v>
      </c>
      <c r="L5723" s="56" t="n">
        <v>0</v>
      </c>
      <c r="M5723" s="56" t="n">
        <v>81</v>
      </c>
      <c r="N5723" s="56" t="n">
        <v>1.9</v>
      </c>
      <c r="O5723" s="56" t="n">
        <f aca="false">IF(D5723=1,"",E5722)</f>
        <v>20.5</v>
      </c>
      <c r="P5723" s="56" t="n">
        <f aca="false">IF(OR(D5723=1,K5722=""),"",K5722)</f>
        <v>1008.8</v>
      </c>
      <c r="Q5723" s="56" t="n">
        <f aca="false">IF(OR(F5723&lt;&gt;0,AND(I5723&lt;&gt;"",E5723&lt;I5723)),1,0)</f>
        <v>0</v>
      </c>
      <c r="R5723" s="56" t="n">
        <f aca="false">IF(AND(D5723&gt;1,Q5723=0,ISNUMBER(O5723),ISNUMBER(P5723)),IF(Q5722=0,1,0),0)</f>
        <v>1</v>
      </c>
      <c r="S5723" s="56" t="n">
        <f aca="false">R5723*(B5723&gt;=Train_Start)*(B5723&lt;=Train_End)</f>
        <v>0</v>
      </c>
      <c r="T5723" s="84" t="n">
        <f aca="false">IF(AND(ISNUMBER(O5723),ISNUMBER(P5723)),Coef_A+Coef_B1*O5723+Coef_B2*P5723,"")</f>
        <v>20.5293785861387</v>
      </c>
      <c r="U5723" s="84" t="n">
        <f aca="false">IF(AND(R5723=1,ISNUMBER(T5723)),E5723-T5723,"")</f>
        <v>-0.629378586138678</v>
      </c>
      <c r="V5723" s="84" t="n">
        <f aca="false">IF(ISNUMBER(T5723),T5723,-99)</f>
        <v>20.5293785861387</v>
      </c>
      <c r="W5723" s="84" t="n">
        <f aca="false">IF(ISNUMBER(U5723),ABS(U5723),"")</f>
        <v>0.629378586138678</v>
      </c>
    </row>
    <row r="5724" customFormat="false" ht="15" hidden="false" customHeight="false" outlineLevel="0" collapsed="false">
      <c r="A5724" s="57" t="n">
        <v>42552</v>
      </c>
      <c r="B5724" s="56" t="n">
        <v>2016</v>
      </c>
      <c r="C5724" s="56" t="n">
        <v>7</v>
      </c>
      <c r="D5724" s="56" t="n">
        <v>62</v>
      </c>
      <c r="E5724" s="56" t="n">
        <v>20.6</v>
      </c>
      <c r="F5724" s="56" t="n">
        <v>0</v>
      </c>
      <c r="G5724" s="56" t="n">
        <v>14.3</v>
      </c>
      <c r="H5724" s="56" t="n">
        <v>0</v>
      </c>
      <c r="I5724" s="56" t="n">
        <v>17.1</v>
      </c>
      <c r="J5724" s="56" t="n">
        <v>0</v>
      </c>
      <c r="K5724" s="56" t="n">
        <v>1008.8</v>
      </c>
      <c r="L5724" s="56" t="n">
        <v>0</v>
      </c>
      <c r="M5724" s="56" t="n">
        <v>78</v>
      </c>
      <c r="N5724" s="56" t="n">
        <v>2.8</v>
      </c>
      <c r="O5724" s="56" t="n">
        <f aca="false">IF(D5724=1,"",E5723)</f>
        <v>19.9</v>
      </c>
      <c r="P5724" s="56" t="n">
        <f aca="false">IF(OR(D5724=1,K5723=""),"",K5723)</f>
        <v>1009</v>
      </c>
      <c r="Q5724" s="56" t="n">
        <f aca="false">IF(OR(F5724&lt;&gt;0,AND(I5724&lt;&gt;"",E5724&lt;I5724)),1,0)</f>
        <v>0</v>
      </c>
      <c r="R5724" s="56" t="n">
        <f aca="false">IF(AND(D5724&gt;1,Q5724=0,ISNUMBER(O5724),ISNUMBER(P5724)),IF(Q5723=0,1,0),0)</f>
        <v>1</v>
      </c>
      <c r="S5724" s="56" t="n">
        <f aca="false">R5724*(B5724&gt;=Train_Start)*(B5724&lt;=Train_End)</f>
        <v>0</v>
      </c>
      <c r="T5724" s="84" t="n">
        <f aca="false">IF(AND(ISNUMBER(O5724),ISNUMBER(P5724)),Coef_A+Coef_B1*O5724+Coef_B2*P5724,"")</f>
        <v>20.0440490492399</v>
      </c>
      <c r="U5724" s="84" t="n">
        <f aca="false">IF(AND(R5724=1,ISNUMBER(T5724)),E5724-T5724,"")</f>
        <v>0.555950950760121</v>
      </c>
      <c r="V5724" s="84" t="n">
        <f aca="false">IF(ISNUMBER(T5724),T5724,-99)</f>
        <v>20.0440490492399</v>
      </c>
      <c r="W5724" s="84" t="n">
        <f aca="false">IF(ISNUMBER(U5724),ABS(U5724),"")</f>
        <v>0.555950950760121</v>
      </c>
    </row>
    <row r="5725" customFormat="false" ht="15" hidden="false" customHeight="false" outlineLevel="0" collapsed="false">
      <c r="A5725" s="57" t="n">
        <v>42553</v>
      </c>
      <c r="B5725" s="56" t="n">
        <v>2016</v>
      </c>
      <c r="C5725" s="56" t="n">
        <v>7</v>
      </c>
      <c r="D5725" s="56" t="n">
        <v>63</v>
      </c>
      <c r="E5725" s="56" t="n">
        <v>21.6</v>
      </c>
      <c r="F5725" s="56" t="n">
        <v>0</v>
      </c>
      <c r="G5725" s="56" t="n">
        <v>10.5</v>
      </c>
      <c r="H5725" s="56" t="n">
        <v>0</v>
      </c>
      <c r="I5725" s="56" t="n">
        <v>15.6</v>
      </c>
      <c r="J5725" s="56" t="n">
        <v>0</v>
      </c>
      <c r="K5725" s="56" t="n">
        <v>1013.6</v>
      </c>
      <c r="L5725" s="56" t="n">
        <v>0</v>
      </c>
      <c r="M5725" s="56" t="n">
        <v>64</v>
      </c>
      <c r="N5725" s="56" t="n">
        <v>10.1</v>
      </c>
      <c r="O5725" s="56" t="n">
        <f aca="false">IF(D5725=1,"",E5724)</f>
        <v>20.6</v>
      </c>
      <c r="P5725" s="56" t="n">
        <f aca="false">IF(OR(D5725=1,K5724=""),"",K5724)</f>
        <v>1008.8</v>
      </c>
      <c r="Q5725" s="56" t="n">
        <f aca="false">IF(OR(F5725&lt;&gt;0,AND(I5725&lt;&gt;"",E5725&lt;I5725)),1,0)</f>
        <v>0</v>
      </c>
      <c r="R5725" s="56" t="n">
        <f aca="false">IF(AND(D5725&gt;1,Q5725=0,ISNUMBER(O5725),ISNUMBER(P5725)),IF(Q5724=0,1,0),0)</f>
        <v>1</v>
      </c>
      <c r="S5725" s="56" t="n">
        <f aca="false">R5725*(B5725&gt;=Train_Start)*(B5725&lt;=Train_End)</f>
        <v>0</v>
      </c>
      <c r="T5725" s="84" t="n">
        <f aca="false">IF(AND(ISNUMBER(O5725),ISNUMBER(P5725)),Coef_A+Coef_B1*O5725+Coef_B2*P5725,"")</f>
        <v>20.6113125054429</v>
      </c>
      <c r="U5725" s="84" t="n">
        <f aca="false">IF(AND(R5725=1,ISNUMBER(T5725)),E5725-T5725,"")</f>
        <v>0.988687494557055</v>
      </c>
      <c r="V5725" s="84" t="n">
        <f aca="false">IF(ISNUMBER(T5725),T5725,-99)</f>
        <v>20.6113125054429</v>
      </c>
      <c r="W5725" s="84" t="n">
        <f aca="false">IF(ISNUMBER(U5725),ABS(U5725),"")</f>
        <v>0.988687494557055</v>
      </c>
    </row>
    <row r="5726" customFormat="false" ht="15" hidden="false" customHeight="false" outlineLevel="0" collapsed="false">
      <c r="A5726" s="57" t="n">
        <v>42554</v>
      </c>
      <c r="B5726" s="56" t="n">
        <v>2016</v>
      </c>
      <c r="C5726" s="56" t="n">
        <v>7</v>
      </c>
      <c r="D5726" s="56" t="n">
        <v>64</v>
      </c>
      <c r="E5726" s="56" t="n">
        <v>21.3</v>
      </c>
      <c r="F5726" s="56" t="n">
        <v>0</v>
      </c>
      <c r="G5726" s="56" t="n">
        <v>10.2</v>
      </c>
      <c r="H5726" s="56" t="n">
        <v>0</v>
      </c>
      <c r="I5726" s="56" t="n">
        <v>15.9</v>
      </c>
      <c r="J5726" s="56" t="n">
        <v>0</v>
      </c>
      <c r="K5726" s="56" t="n">
        <v>1018.5</v>
      </c>
      <c r="L5726" s="56" t="n">
        <v>0</v>
      </c>
      <c r="M5726" s="56" t="n">
        <v>71</v>
      </c>
      <c r="N5726" s="56" t="n">
        <v>7.7</v>
      </c>
      <c r="O5726" s="56" t="n">
        <f aca="false">IF(D5726=1,"",E5725)</f>
        <v>21.6</v>
      </c>
      <c r="P5726" s="56" t="n">
        <f aca="false">IF(OR(D5726=1,K5725=""),"",K5725)</f>
        <v>1013.6</v>
      </c>
      <c r="Q5726" s="56" t="n">
        <f aca="false">IF(OR(F5726&lt;&gt;0,AND(I5726&lt;&gt;"",E5726&lt;I5726)),1,0)</f>
        <v>0</v>
      </c>
      <c r="R5726" s="56" t="n">
        <f aca="false">IF(AND(D5726&gt;1,Q5726=0,ISNUMBER(O5726),ISNUMBER(P5726)),IF(Q5725=0,1,0),0)</f>
        <v>1</v>
      </c>
      <c r="S5726" s="56" t="n">
        <f aca="false">R5726*(B5726&gt;=Train_Start)*(B5726&lt;=Train_End)</f>
        <v>0</v>
      </c>
      <c r="T5726" s="84" t="n">
        <f aca="false">IF(AND(ISNUMBER(O5726),ISNUMBER(P5726)),Coef_A+Coef_B1*O5726+Coef_B2*P5726,"")</f>
        <v>21.5812271927288</v>
      </c>
      <c r="U5726" s="84" t="n">
        <f aca="false">IF(AND(R5726=1,ISNUMBER(T5726)),E5726-T5726,"")</f>
        <v>-0.28122719272875</v>
      </c>
      <c r="V5726" s="84" t="n">
        <f aca="false">IF(ISNUMBER(T5726),T5726,-99)</f>
        <v>21.5812271927288</v>
      </c>
      <c r="W5726" s="84" t="n">
        <f aca="false">IF(ISNUMBER(U5726),ABS(U5726),"")</f>
        <v>0.28122719272875</v>
      </c>
    </row>
    <row r="5727" customFormat="false" ht="15" hidden="false" customHeight="false" outlineLevel="0" collapsed="false">
      <c r="A5727" s="57" t="n">
        <v>42555</v>
      </c>
      <c r="B5727" s="56" t="n">
        <v>2016</v>
      </c>
      <c r="C5727" s="56" t="n">
        <v>7</v>
      </c>
      <c r="D5727" s="56" t="n">
        <v>65</v>
      </c>
      <c r="E5727" s="56" t="n">
        <v>21.6</v>
      </c>
      <c r="F5727" s="56" t="n">
        <v>0</v>
      </c>
      <c r="G5727" s="56" t="n">
        <v>11</v>
      </c>
      <c r="H5727" s="56" t="n">
        <v>0</v>
      </c>
      <c r="I5727" s="56" t="n">
        <v>16.2</v>
      </c>
      <c r="J5727" s="56" t="n">
        <v>0</v>
      </c>
      <c r="K5727" s="56" t="n">
        <v>1018.6</v>
      </c>
      <c r="L5727" s="56" t="n">
        <v>0</v>
      </c>
      <c r="M5727" s="56" t="n">
        <v>78</v>
      </c>
      <c r="N5727" s="56" t="n">
        <v>5.2</v>
      </c>
      <c r="O5727" s="56" t="n">
        <f aca="false">IF(D5727=1,"",E5726)</f>
        <v>21.3</v>
      </c>
      <c r="P5727" s="56" t="n">
        <f aca="false">IF(OR(D5727=1,K5726=""),"",K5726)</f>
        <v>1018.5</v>
      </c>
      <c r="Q5727" s="56" t="n">
        <f aca="false">IF(OR(F5727&lt;&gt;0,AND(I5727&lt;&gt;"",E5727&lt;I5727)),1,0)</f>
        <v>0</v>
      </c>
      <c r="R5727" s="56" t="n">
        <f aca="false">IF(AND(D5727&gt;1,Q5727=0,ISNUMBER(O5727),ISNUMBER(P5727)),IF(Q5726=0,1,0),0)</f>
        <v>1</v>
      </c>
      <c r="S5727" s="56" t="n">
        <f aca="false">R5727*(B5727&gt;=Train_Start)*(B5727&lt;=Train_End)</f>
        <v>0</v>
      </c>
      <c r="T5727" s="84" t="n">
        <f aca="false">IF(AND(ISNUMBER(O5727),ISNUMBER(P5727)),Coef_A+Coef_B1*O5727+Coef_B2*P5727,"")</f>
        <v>21.4891379185225</v>
      </c>
      <c r="U5727" s="84" t="n">
        <f aca="false">IF(AND(R5727=1,ISNUMBER(T5727)),E5727-T5727,"")</f>
        <v>0.110862081477499</v>
      </c>
      <c r="V5727" s="84" t="n">
        <f aca="false">IF(ISNUMBER(T5727),T5727,-99)</f>
        <v>21.4891379185225</v>
      </c>
      <c r="W5727" s="84" t="n">
        <f aca="false">IF(ISNUMBER(U5727),ABS(U5727),"")</f>
        <v>0.110862081477499</v>
      </c>
    </row>
    <row r="5728" customFormat="false" ht="15" hidden="false" customHeight="false" outlineLevel="0" collapsed="false">
      <c r="A5728" s="57" t="n">
        <v>42556</v>
      </c>
      <c r="B5728" s="56" t="n">
        <v>2016</v>
      </c>
      <c r="C5728" s="56" t="n">
        <v>7</v>
      </c>
      <c r="D5728" s="56" t="n">
        <v>66</v>
      </c>
      <c r="E5728" s="56" t="n">
        <v>22.6</v>
      </c>
      <c r="F5728" s="56" t="n">
        <v>0</v>
      </c>
      <c r="G5728" s="56" t="n">
        <v>14.7</v>
      </c>
      <c r="H5728" s="56" t="n">
        <v>0</v>
      </c>
      <c r="I5728" s="56" t="n">
        <v>18.2</v>
      </c>
      <c r="J5728" s="56" t="n">
        <v>0</v>
      </c>
      <c r="K5728" s="56" t="n">
        <v>1017.8</v>
      </c>
      <c r="L5728" s="56" t="n">
        <v>0</v>
      </c>
      <c r="M5728" s="56" t="n">
        <v>66</v>
      </c>
      <c r="N5728" s="56" t="n">
        <v>5.9</v>
      </c>
      <c r="O5728" s="56" t="n">
        <f aca="false">IF(D5728=1,"",E5727)</f>
        <v>21.6</v>
      </c>
      <c r="P5728" s="56" t="n">
        <f aca="false">IF(OR(D5728=1,K5727=""),"",K5727)</f>
        <v>1018.6</v>
      </c>
      <c r="Q5728" s="56" t="n">
        <f aca="false">IF(OR(F5728&lt;&gt;0,AND(I5728&lt;&gt;"",E5728&lt;I5728)),1,0)</f>
        <v>0</v>
      </c>
      <c r="R5728" s="56" t="n">
        <f aca="false">IF(AND(D5728&gt;1,Q5728=0,ISNUMBER(O5728),ISNUMBER(P5728)),IF(Q5727=0,1,0),0)</f>
        <v>1</v>
      </c>
      <c r="S5728" s="56" t="n">
        <f aca="false">R5728*(B5728&gt;=Train_Start)*(B5728&lt;=Train_End)</f>
        <v>0</v>
      </c>
      <c r="T5728" s="84" t="n">
        <f aca="false">IF(AND(ISNUMBER(O5728),ISNUMBER(P5728)),Coef_A+Coef_B1*O5728+Coef_B2*P5728,"")</f>
        <v>21.7380766658987</v>
      </c>
      <c r="U5728" s="84" t="n">
        <f aca="false">IF(AND(R5728=1,ISNUMBER(T5728)),E5728-T5728,"")</f>
        <v>0.861923334101302</v>
      </c>
      <c r="V5728" s="84" t="n">
        <f aca="false">IF(ISNUMBER(T5728),T5728,-99)</f>
        <v>21.7380766658987</v>
      </c>
      <c r="W5728" s="84" t="n">
        <f aca="false">IF(ISNUMBER(U5728),ABS(U5728),"")</f>
        <v>0.861923334101302</v>
      </c>
    </row>
    <row r="5729" customFormat="false" ht="15" hidden="false" customHeight="false" outlineLevel="0" collapsed="false">
      <c r="A5729" s="57" t="n">
        <v>42557</v>
      </c>
      <c r="B5729" s="56" t="n">
        <v>2016</v>
      </c>
      <c r="C5729" s="56" t="n">
        <v>7</v>
      </c>
      <c r="D5729" s="56" t="n">
        <v>67</v>
      </c>
      <c r="E5729" s="56" t="n">
        <v>23.6</v>
      </c>
      <c r="F5729" s="56" t="n">
        <v>0</v>
      </c>
      <c r="G5729" s="56" t="n">
        <v>10.5</v>
      </c>
      <c r="H5729" s="56" t="n">
        <v>0</v>
      </c>
      <c r="I5729" s="56" t="n">
        <v>16.6</v>
      </c>
      <c r="J5729" s="56" t="n">
        <v>0</v>
      </c>
      <c r="K5729" s="56" t="n">
        <v>1022.6</v>
      </c>
      <c r="L5729" s="56" t="n">
        <v>0</v>
      </c>
      <c r="M5729" s="56" t="n">
        <v>57</v>
      </c>
      <c r="N5729" s="56" t="n">
        <v>8.6</v>
      </c>
      <c r="O5729" s="56" t="n">
        <f aca="false">IF(D5729=1,"",E5728)</f>
        <v>22.6</v>
      </c>
      <c r="P5729" s="56" t="n">
        <f aca="false">IF(OR(D5729=1,K5728=""),"",K5728)</f>
        <v>1017.8</v>
      </c>
      <c r="Q5729" s="56" t="n">
        <f aca="false">IF(OR(F5729&lt;&gt;0,AND(I5729&lt;&gt;"",E5729&lt;I5729)),1,0)</f>
        <v>0</v>
      </c>
      <c r="R5729" s="56" t="n">
        <f aca="false">IF(AND(D5729&gt;1,Q5729=0,ISNUMBER(O5729),ISNUMBER(P5729)),IF(Q5728=0,1,0),0)</f>
        <v>1</v>
      </c>
      <c r="S5729" s="56" t="n">
        <f aca="false">R5729*(B5729&gt;=Train_Start)*(B5729&lt;=Train_End)</f>
        <v>0</v>
      </c>
      <c r="T5729" s="84" t="n">
        <f aca="false">IF(AND(ISNUMBER(O5729),ISNUMBER(P5729)),Coef_A+Coef_B1*O5729+Coef_B2*P5729,"")</f>
        <v>22.5323199432342</v>
      </c>
      <c r="U5729" s="84" t="n">
        <f aca="false">IF(AND(R5729=1,ISNUMBER(T5729)),E5729-T5729,"")</f>
        <v>1.06768005676584</v>
      </c>
      <c r="V5729" s="84" t="n">
        <f aca="false">IF(ISNUMBER(T5729),T5729,-99)</f>
        <v>22.5323199432342</v>
      </c>
      <c r="W5729" s="84" t="n">
        <f aca="false">IF(ISNUMBER(U5729),ABS(U5729),"")</f>
        <v>1.06768005676584</v>
      </c>
    </row>
    <row r="5730" customFormat="false" ht="15" hidden="false" customHeight="false" outlineLevel="0" collapsed="false">
      <c r="A5730" s="57" t="n">
        <v>42558</v>
      </c>
      <c r="B5730" s="56" t="n">
        <v>2016</v>
      </c>
      <c r="C5730" s="56" t="n">
        <v>7</v>
      </c>
      <c r="D5730" s="56" t="n">
        <v>68</v>
      </c>
      <c r="E5730" s="56" t="n">
        <v>23.1</v>
      </c>
      <c r="F5730" s="56" t="n">
        <v>0</v>
      </c>
      <c r="G5730" s="56" t="n">
        <v>14.5</v>
      </c>
      <c r="H5730" s="56" t="n">
        <v>0</v>
      </c>
      <c r="I5730" s="56" t="n">
        <v>19</v>
      </c>
      <c r="J5730" s="56" t="n">
        <v>0</v>
      </c>
      <c r="K5730" s="56" t="n">
        <v>1019.4</v>
      </c>
      <c r="L5730" s="56" t="n">
        <v>0</v>
      </c>
      <c r="M5730" s="56" t="n">
        <v>66</v>
      </c>
      <c r="N5730" s="56" t="n">
        <v>6.6</v>
      </c>
      <c r="O5730" s="56" t="n">
        <f aca="false">IF(D5730=1,"",E5729)</f>
        <v>23.6</v>
      </c>
      <c r="P5730" s="56" t="n">
        <f aca="false">IF(OR(D5730=1,K5729=""),"",K5729)</f>
        <v>1022.6</v>
      </c>
      <c r="Q5730" s="56" t="n">
        <f aca="false">IF(OR(F5730&lt;&gt;0,AND(I5730&lt;&gt;"",E5730&lt;I5730)),1,0)</f>
        <v>0</v>
      </c>
      <c r="R5730" s="56" t="n">
        <f aca="false">IF(AND(D5730&gt;1,Q5730=0,ISNUMBER(O5730),ISNUMBER(P5730)),IF(Q5729=0,1,0),0)</f>
        <v>1</v>
      </c>
      <c r="S5730" s="56" t="n">
        <f aca="false">R5730*(B5730&gt;=Train_Start)*(B5730&lt;=Train_End)</f>
        <v>0</v>
      </c>
      <c r="T5730" s="84" t="n">
        <f aca="false">IF(AND(ISNUMBER(O5730),ISNUMBER(P5730)),Coef_A+Coef_B1*O5730+Coef_B2*P5730,"")</f>
        <v>23.50223463052</v>
      </c>
      <c r="U5730" s="84" t="n">
        <f aca="false">IF(AND(R5730=1,ISNUMBER(T5730)),E5730-T5730,"")</f>
        <v>-0.402234630519974</v>
      </c>
      <c r="V5730" s="84" t="n">
        <f aca="false">IF(ISNUMBER(T5730),T5730,-99)</f>
        <v>23.50223463052</v>
      </c>
      <c r="W5730" s="84" t="n">
        <f aca="false">IF(ISNUMBER(U5730),ABS(U5730),"")</f>
        <v>0.402234630519974</v>
      </c>
    </row>
    <row r="5731" customFormat="false" ht="15" hidden="false" customHeight="false" outlineLevel="0" collapsed="false">
      <c r="A5731" s="57" t="n">
        <v>42559</v>
      </c>
      <c r="B5731" s="56" t="n">
        <v>2016</v>
      </c>
      <c r="C5731" s="56" t="n">
        <v>7</v>
      </c>
      <c r="D5731" s="56" t="n">
        <v>69</v>
      </c>
      <c r="E5731" s="56" t="n">
        <v>23.2</v>
      </c>
      <c r="F5731" s="56" t="n">
        <v>0</v>
      </c>
      <c r="G5731" s="56" t="n">
        <v>14.9</v>
      </c>
      <c r="H5731" s="56" t="n">
        <v>0</v>
      </c>
      <c r="I5731" s="56" t="n">
        <v>19</v>
      </c>
      <c r="J5731" s="56" t="n">
        <v>0</v>
      </c>
      <c r="K5731" s="56" t="n">
        <v>1016.4</v>
      </c>
      <c r="L5731" s="56" t="n">
        <v>0</v>
      </c>
      <c r="M5731" s="56" t="n">
        <v>71</v>
      </c>
      <c r="N5731" s="56" t="n">
        <v>2.5</v>
      </c>
      <c r="O5731" s="56" t="n">
        <f aca="false">IF(D5731=1,"",E5730)</f>
        <v>23.1</v>
      </c>
      <c r="P5731" s="56" t="n">
        <f aca="false">IF(OR(D5731=1,K5730=""),"",K5730)</f>
        <v>1019.4</v>
      </c>
      <c r="Q5731" s="56" t="n">
        <f aca="false">IF(OR(F5731&lt;&gt;0,AND(I5731&lt;&gt;"",E5731&lt;I5731)),1,0)</f>
        <v>0</v>
      </c>
      <c r="R5731" s="56" t="n">
        <f aca="false">IF(AND(D5731&gt;1,Q5731=0,ISNUMBER(O5731),ISNUMBER(P5731)),IF(Q5730=0,1,0),0)</f>
        <v>1</v>
      </c>
      <c r="S5731" s="56" t="n">
        <f aca="false">R5731*(B5731&gt;=Train_Start)*(B5731&lt;=Train_End)</f>
        <v>0</v>
      </c>
      <c r="T5731" s="84" t="n">
        <f aca="false">IF(AND(ISNUMBER(O5731),ISNUMBER(P5731)),Coef_A+Coef_B1*O5731+Coef_B2*P5731,"")</f>
        <v>22.9921813711699</v>
      </c>
      <c r="U5731" s="84" t="n">
        <f aca="false">IF(AND(R5731=1,ISNUMBER(T5731)),E5731-T5731,"")</f>
        <v>0.207818628830125</v>
      </c>
      <c r="V5731" s="84" t="n">
        <f aca="false">IF(ISNUMBER(T5731),T5731,-99)</f>
        <v>22.9921813711699</v>
      </c>
      <c r="W5731" s="84" t="n">
        <f aca="false">IF(ISNUMBER(U5731),ABS(U5731),"")</f>
        <v>0.207818628830125</v>
      </c>
    </row>
    <row r="5732" customFormat="false" ht="15" hidden="false" customHeight="false" outlineLevel="0" collapsed="false">
      <c r="A5732" s="57" t="n">
        <v>42560</v>
      </c>
      <c r="B5732" s="56" t="n">
        <v>2016</v>
      </c>
      <c r="C5732" s="56" t="n">
        <v>7</v>
      </c>
      <c r="D5732" s="56" t="n">
        <v>70</v>
      </c>
      <c r="E5732" s="56" t="n">
        <v>23.5</v>
      </c>
      <c r="F5732" s="56" t="n">
        <v>0</v>
      </c>
      <c r="G5732" s="56" t="n">
        <v>15</v>
      </c>
      <c r="H5732" s="56" t="n">
        <v>0</v>
      </c>
      <c r="I5732" s="56" t="n">
        <v>19.1</v>
      </c>
      <c r="J5732" s="56" t="n">
        <v>0</v>
      </c>
      <c r="K5732" s="56" t="n">
        <v>1017.2</v>
      </c>
      <c r="L5732" s="56" t="n">
        <v>0</v>
      </c>
      <c r="M5732" s="56" t="n">
        <v>71</v>
      </c>
      <c r="N5732" s="56" t="n">
        <v>1.8</v>
      </c>
      <c r="O5732" s="56" t="n">
        <f aca="false">IF(D5732=1,"",E5731)</f>
        <v>23.2</v>
      </c>
      <c r="P5732" s="56" t="n">
        <f aca="false">IF(OR(D5732=1,K5731=""),"",K5731)</f>
        <v>1016.4</v>
      </c>
      <c r="Q5732" s="56" t="n">
        <f aca="false">IF(OR(F5732&lt;&gt;0,AND(I5732&lt;&gt;"",E5732&lt;I5732)),1,0)</f>
        <v>0</v>
      </c>
      <c r="R5732" s="56" t="n">
        <f aca="false">IF(AND(D5732&gt;1,Q5732=0,ISNUMBER(O5732),ISNUMBER(P5732)),IF(Q5731=0,1,0),0)</f>
        <v>1</v>
      </c>
      <c r="S5732" s="56" t="n">
        <f aca="false">R5732*(B5732&gt;=Train_Start)*(B5732&lt;=Train_End)</f>
        <v>0</v>
      </c>
      <c r="T5732" s="84" t="n">
        <f aca="false">IF(AND(ISNUMBER(O5732),ISNUMBER(P5732)),Coef_A+Coef_B1*O5732+Coef_B2*P5732,"")</f>
        <v>22.9800056065722</v>
      </c>
      <c r="U5732" s="84" t="n">
        <f aca="false">IF(AND(R5732=1,ISNUMBER(T5732)),E5732-T5732,"")</f>
        <v>0.51999439342783</v>
      </c>
      <c r="V5732" s="84" t="n">
        <f aca="false">IF(ISNUMBER(T5732),T5732,-99)</f>
        <v>22.9800056065722</v>
      </c>
      <c r="W5732" s="84" t="n">
        <f aca="false">IF(ISNUMBER(U5732),ABS(U5732),"")</f>
        <v>0.51999439342783</v>
      </c>
    </row>
    <row r="5733" customFormat="false" ht="15" hidden="false" customHeight="false" outlineLevel="0" collapsed="false">
      <c r="A5733" s="57" t="n">
        <v>42561</v>
      </c>
      <c r="B5733" s="56" t="n">
        <v>2016</v>
      </c>
      <c r="C5733" s="56" t="n">
        <v>7</v>
      </c>
      <c r="D5733" s="56" t="n">
        <v>71</v>
      </c>
      <c r="E5733" s="56" t="n">
        <v>22</v>
      </c>
      <c r="F5733" s="56" t="n">
        <v>0</v>
      </c>
      <c r="G5733" s="56" t="n">
        <v>17.1</v>
      </c>
      <c r="H5733" s="56" t="n">
        <v>0</v>
      </c>
      <c r="I5733" s="56" t="n">
        <v>20.3</v>
      </c>
      <c r="J5733" s="56" t="n">
        <v>0</v>
      </c>
      <c r="K5733" s="56" t="n">
        <v>1008.8</v>
      </c>
      <c r="L5733" s="56" t="n">
        <v>0</v>
      </c>
      <c r="M5733" s="56" t="n">
        <v>76</v>
      </c>
      <c r="N5733" s="56" t="n">
        <v>5.3</v>
      </c>
      <c r="O5733" s="56" t="n">
        <f aca="false">IF(D5733=1,"",E5732)</f>
        <v>23.5</v>
      </c>
      <c r="P5733" s="56" t="n">
        <f aca="false">IF(OR(D5733=1,K5732=""),"",K5732)</f>
        <v>1017.2</v>
      </c>
      <c r="Q5733" s="56" t="n">
        <f aca="false">IF(OR(F5733&lt;&gt;0,AND(I5733&lt;&gt;"",E5733&lt;I5733)),1,0)</f>
        <v>0</v>
      </c>
      <c r="R5733" s="56" t="n">
        <f aca="false">IF(AND(D5733&gt;1,Q5733=0,ISNUMBER(O5733),ISNUMBER(P5733)),IF(Q5732=0,1,0),0)</f>
        <v>1</v>
      </c>
      <c r="S5733" s="56" t="n">
        <f aca="false">R5733*(B5733&gt;=Train_Start)*(B5733&lt;=Train_End)</f>
        <v>0</v>
      </c>
      <c r="T5733" s="84" t="n">
        <f aca="false">IF(AND(ISNUMBER(O5733),ISNUMBER(P5733)),Coef_A+Coef_B1*O5733+Coef_B2*P5733,"")</f>
        <v>23.2509032801922</v>
      </c>
      <c r="U5733" s="84" t="n">
        <f aca="false">IF(AND(R5733=1,ISNUMBER(T5733)),E5733-T5733,"")</f>
        <v>-1.25090328019216</v>
      </c>
      <c r="V5733" s="84" t="n">
        <f aca="false">IF(ISNUMBER(T5733),T5733,-99)</f>
        <v>23.2509032801922</v>
      </c>
      <c r="W5733" s="84" t="n">
        <f aca="false">IF(ISNUMBER(U5733),ABS(U5733),"")</f>
        <v>1.25090328019216</v>
      </c>
    </row>
    <row r="5734" customFormat="false" ht="15" hidden="false" customHeight="false" outlineLevel="0" collapsed="false">
      <c r="A5734" s="57" t="n">
        <v>42562</v>
      </c>
      <c r="B5734" s="56" t="n">
        <v>2016</v>
      </c>
      <c r="C5734" s="56" t="n">
        <v>7</v>
      </c>
      <c r="D5734" s="56" t="n">
        <v>72</v>
      </c>
      <c r="E5734" s="56" t="n">
        <v>19.2</v>
      </c>
      <c r="F5734" s="56" t="n">
        <v>0</v>
      </c>
      <c r="G5734" s="56" t="n">
        <v>15.4</v>
      </c>
      <c r="H5734" s="56" t="n">
        <v>0</v>
      </c>
      <c r="I5734" s="56" t="n">
        <v>18.7</v>
      </c>
      <c r="J5734" s="56" t="n">
        <v>0</v>
      </c>
      <c r="K5734" s="56" t="n">
        <v>1007.9</v>
      </c>
      <c r="L5734" s="56" t="n">
        <v>0</v>
      </c>
      <c r="M5734" s="56" t="n">
        <v>78</v>
      </c>
      <c r="N5734" s="56" t="n">
        <v>2.1</v>
      </c>
      <c r="O5734" s="56" t="n">
        <f aca="false">IF(D5734=1,"",E5733)</f>
        <v>22</v>
      </c>
      <c r="P5734" s="56" t="n">
        <f aca="false">IF(OR(D5734=1,K5733=""),"",K5733)</f>
        <v>1008.8</v>
      </c>
      <c r="Q5734" s="56" t="n">
        <f aca="false">IF(OR(F5734&lt;&gt;0,AND(I5734&lt;&gt;"",E5734&lt;I5734)),1,0)</f>
        <v>0</v>
      </c>
      <c r="R5734" s="56" t="n">
        <f aca="false">IF(AND(D5734&gt;1,Q5734=0,ISNUMBER(O5734),ISNUMBER(P5734)),IF(Q5733=0,1,0),0)</f>
        <v>1</v>
      </c>
      <c r="S5734" s="56" t="n">
        <f aca="false">R5734*(B5734&gt;=Train_Start)*(B5734&lt;=Train_End)</f>
        <v>0</v>
      </c>
      <c r="T5734" s="84" t="n">
        <f aca="false">IF(AND(ISNUMBER(O5734),ISNUMBER(P5734)),Coef_A+Coef_B1*O5734+Coef_B2*P5734,"")</f>
        <v>21.7583873757027</v>
      </c>
      <c r="U5734" s="84" t="n">
        <f aca="false">IF(AND(R5734=1,ISNUMBER(T5734)),E5734-T5734,"")</f>
        <v>-2.55838737570267</v>
      </c>
      <c r="V5734" s="84" t="n">
        <f aca="false">IF(ISNUMBER(T5734),T5734,-99)</f>
        <v>21.7583873757027</v>
      </c>
      <c r="W5734" s="84" t="n">
        <f aca="false">IF(ISNUMBER(U5734),ABS(U5734),"")</f>
        <v>2.55838737570267</v>
      </c>
    </row>
    <row r="5735" customFormat="false" ht="15" hidden="false" customHeight="false" outlineLevel="0" collapsed="false">
      <c r="A5735" s="57" t="n">
        <v>42563</v>
      </c>
      <c r="B5735" s="56" t="n">
        <v>2016</v>
      </c>
      <c r="C5735" s="56" t="n">
        <v>7</v>
      </c>
      <c r="D5735" s="56" t="n">
        <v>73</v>
      </c>
      <c r="E5735" s="56" t="n">
        <v>20</v>
      </c>
      <c r="F5735" s="56" t="n">
        <v>0</v>
      </c>
      <c r="G5735" s="56" t="n">
        <v>12.4</v>
      </c>
      <c r="H5735" s="56" t="n">
        <v>0</v>
      </c>
      <c r="I5735" s="56" t="n">
        <v>15.8</v>
      </c>
      <c r="J5735" s="56" t="n">
        <v>0</v>
      </c>
      <c r="K5735" s="56" t="n">
        <v>1012.3</v>
      </c>
      <c r="L5735" s="56" t="n">
        <v>0</v>
      </c>
      <c r="M5735" s="56" t="n">
        <v>80</v>
      </c>
      <c r="N5735" s="56" t="n">
        <v>6.1</v>
      </c>
      <c r="O5735" s="56" t="n">
        <f aca="false">IF(D5735=1,"",E5734)</f>
        <v>19.2</v>
      </c>
      <c r="P5735" s="56" t="n">
        <f aca="false">IF(OR(D5735=1,K5734=""),"",K5734)</f>
        <v>1007.9</v>
      </c>
      <c r="Q5735" s="56" t="n">
        <f aca="false">IF(OR(F5735&lt;&gt;0,AND(I5735&lt;&gt;"",E5735&lt;I5735)),1,0)</f>
        <v>0</v>
      </c>
      <c r="R5735" s="56" t="n">
        <f aca="false">IF(AND(D5735&gt;1,Q5735=0,ISNUMBER(O5735),ISNUMBER(P5735)),IF(Q5734=0,1,0),0)</f>
        <v>1</v>
      </c>
      <c r="S5735" s="56" t="n">
        <f aca="false">R5735*(B5735&gt;=Train_Start)*(B5735&lt;=Train_End)</f>
        <v>0</v>
      </c>
      <c r="T5735" s="84" t="n">
        <f aca="false">IF(AND(ISNUMBER(O5735),ISNUMBER(P5735)),Coef_A+Coef_B1*O5735+Coef_B2*P5735,"")</f>
        <v>19.4360047300126</v>
      </c>
      <c r="U5735" s="84" t="n">
        <f aca="false">IF(AND(R5735=1,ISNUMBER(T5735)),E5735-T5735,"")</f>
        <v>0.563995269987366</v>
      </c>
      <c r="V5735" s="84" t="n">
        <f aca="false">IF(ISNUMBER(T5735),T5735,-99)</f>
        <v>19.4360047300126</v>
      </c>
      <c r="W5735" s="84" t="n">
        <f aca="false">IF(ISNUMBER(U5735),ABS(U5735),"")</f>
        <v>0.563995269987366</v>
      </c>
    </row>
    <row r="5736" customFormat="false" ht="15" hidden="false" customHeight="false" outlineLevel="0" collapsed="false">
      <c r="A5736" s="57" t="n">
        <v>42564</v>
      </c>
      <c r="B5736" s="56" t="n">
        <v>2016</v>
      </c>
      <c r="C5736" s="56" t="n">
        <v>7</v>
      </c>
      <c r="D5736" s="56" t="n">
        <v>74</v>
      </c>
      <c r="E5736" s="56" t="n">
        <v>22</v>
      </c>
      <c r="F5736" s="56" t="n">
        <v>0</v>
      </c>
      <c r="G5736" s="56" t="n">
        <v>12.4</v>
      </c>
      <c r="H5736" s="56" t="n">
        <v>0</v>
      </c>
      <c r="I5736" s="56" t="n">
        <v>16.2</v>
      </c>
      <c r="J5736" s="56" t="n">
        <v>0</v>
      </c>
      <c r="K5736" s="56" t="n">
        <v>1018.2</v>
      </c>
      <c r="L5736" s="56" t="n">
        <v>0</v>
      </c>
      <c r="M5736" s="56" t="n">
        <v>71</v>
      </c>
      <c r="N5736" s="56" t="n">
        <v>4</v>
      </c>
      <c r="O5736" s="56" t="n">
        <f aca="false">IF(D5736=1,"",E5735)</f>
        <v>20</v>
      </c>
      <c r="P5736" s="56" t="n">
        <f aca="false">IF(OR(D5736=1,K5735=""),"",K5735)</f>
        <v>1012.3</v>
      </c>
      <c r="Q5736" s="56" t="n">
        <f aca="false">IF(OR(F5736&lt;&gt;0,AND(I5736&lt;&gt;"",E5736&lt;I5736)),1,0)</f>
        <v>0</v>
      </c>
      <c r="R5736" s="56" t="n">
        <f aca="false">IF(AND(D5736&gt;1,Q5736=0,ISNUMBER(O5736),ISNUMBER(P5736)),IF(Q5735=0,1,0),0)</f>
        <v>1</v>
      </c>
      <c r="S5736" s="56" t="n">
        <f aca="false">R5736*(B5736&gt;=Train_Start)*(B5736&lt;=Train_End)</f>
        <v>0</v>
      </c>
      <c r="T5736" s="84" t="n">
        <f aca="false">IF(AND(ISNUMBER(O5736),ISNUMBER(P5736)),Coef_A+Coef_B1*O5736+Coef_B2*P5736,"")</f>
        <v>20.2295036208363</v>
      </c>
      <c r="U5736" s="84" t="n">
        <f aca="false">IF(AND(R5736=1,ISNUMBER(T5736)),E5736-T5736,"")</f>
        <v>1.77049637916369</v>
      </c>
      <c r="V5736" s="84" t="n">
        <f aca="false">IF(ISNUMBER(T5736),T5736,-99)</f>
        <v>20.2295036208363</v>
      </c>
      <c r="W5736" s="84" t="n">
        <f aca="false">IF(ISNUMBER(U5736),ABS(U5736),"")</f>
        <v>1.77049637916369</v>
      </c>
    </row>
    <row r="5737" customFormat="false" ht="15" hidden="false" customHeight="false" outlineLevel="0" collapsed="false">
      <c r="A5737" s="57" t="n">
        <v>42565</v>
      </c>
      <c r="B5737" s="56" t="n">
        <v>2016</v>
      </c>
      <c r="C5737" s="56" t="n">
        <v>7</v>
      </c>
      <c r="D5737" s="56" t="n">
        <v>75</v>
      </c>
      <c r="E5737" s="56" t="n">
        <v>21.1</v>
      </c>
      <c r="F5737" s="56" t="n">
        <v>0</v>
      </c>
      <c r="G5737" s="56" t="n">
        <v>11.4</v>
      </c>
      <c r="H5737" s="56" t="n">
        <v>0</v>
      </c>
      <c r="I5737" s="56" t="n">
        <v>16.7</v>
      </c>
      <c r="J5737" s="56" t="n">
        <v>0</v>
      </c>
      <c r="K5737" s="56" t="n">
        <v>1024</v>
      </c>
      <c r="L5737" s="56" t="n">
        <v>0</v>
      </c>
      <c r="M5737" s="56" t="n">
        <v>61</v>
      </c>
      <c r="N5737" s="56" t="n">
        <v>8.9</v>
      </c>
      <c r="O5737" s="56" t="n">
        <f aca="false">IF(D5737=1,"",E5736)</f>
        <v>22</v>
      </c>
      <c r="P5737" s="56" t="n">
        <f aca="false">IF(OR(D5737=1,K5736=""),"",K5736)</f>
        <v>1018.2</v>
      </c>
      <c r="Q5737" s="56" t="n">
        <f aca="false">IF(OR(F5737&lt;&gt;0,AND(I5737&lt;&gt;"",E5737&lt;I5737)),1,0)</f>
        <v>0</v>
      </c>
      <c r="R5737" s="56" t="n">
        <f aca="false">IF(AND(D5737&gt;1,Q5737=0,ISNUMBER(O5737),ISNUMBER(P5737)),IF(Q5736=0,1,0),0)</f>
        <v>1</v>
      </c>
      <c r="S5737" s="56" t="n">
        <f aca="false">R5737*(B5737&gt;=Train_Start)*(B5737&lt;=Train_End)</f>
        <v>0</v>
      </c>
      <c r="T5737" s="84" t="n">
        <f aca="false">IF(AND(ISNUMBER(O5737),ISNUMBER(P5737)),Coef_A+Coef_B1*O5737+Coef_B2*P5737,"")</f>
        <v>22.0532643852622</v>
      </c>
      <c r="U5737" s="84" t="n">
        <f aca="false">IF(AND(R5737=1,ISNUMBER(T5737)),E5737-T5737,"")</f>
        <v>-0.953264385262166</v>
      </c>
      <c r="V5737" s="84" t="n">
        <f aca="false">IF(ISNUMBER(T5737),T5737,-99)</f>
        <v>22.0532643852622</v>
      </c>
      <c r="W5737" s="84" t="n">
        <f aca="false">IF(ISNUMBER(U5737),ABS(U5737),"")</f>
        <v>0.953264385262166</v>
      </c>
    </row>
    <row r="5738" customFormat="false" ht="15" hidden="false" customHeight="false" outlineLevel="0" collapsed="false">
      <c r="A5738" s="57" t="n">
        <v>42566</v>
      </c>
      <c r="B5738" s="56" t="n">
        <v>2016</v>
      </c>
      <c r="C5738" s="56" t="n">
        <v>7</v>
      </c>
      <c r="D5738" s="56" t="n">
        <v>76</v>
      </c>
      <c r="E5738" s="56" t="n">
        <v>27</v>
      </c>
      <c r="F5738" s="56" t="n">
        <v>0</v>
      </c>
      <c r="G5738" s="56" t="n">
        <v>10.7</v>
      </c>
      <c r="H5738" s="56" t="n">
        <v>0</v>
      </c>
      <c r="I5738" s="56" t="n">
        <v>15.9</v>
      </c>
      <c r="J5738" s="56" t="n">
        <v>0</v>
      </c>
      <c r="K5738" s="56" t="n">
        <v>1026.3</v>
      </c>
      <c r="L5738" s="56" t="n">
        <v>0</v>
      </c>
      <c r="M5738" s="56" t="n">
        <v>76</v>
      </c>
      <c r="N5738" s="56" t="n">
        <v>3</v>
      </c>
      <c r="O5738" s="56" t="n">
        <f aca="false">IF(D5738=1,"",E5737)</f>
        <v>21.1</v>
      </c>
      <c r="P5738" s="56" t="n">
        <f aca="false">IF(OR(D5738=1,K5737=""),"",K5737)</f>
        <v>1024</v>
      </c>
      <c r="Q5738" s="56" t="n">
        <f aca="false">IF(OR(F5738&lt;&gt;0,AND(I5738&lt;&gt;"",E5738&lt;I5738)),1,0)</f>
        <v>0</v>
      </c>
      <c r="R5738" s="56" t="n">
        <f aca="false">IF(AND(D5738&gt;1,Q5738=0,ISNUMBER(O5738),ISNUMBER(P5738)),IF(Q5737=0,1,0),0)</f>
        <v>1</v>
      </c>
      <c r="S5738" s="56" t="n">
        <f aca="false">R5738*(B5738&gt;=Train_Start)*(B5738&lt;=Train_End)</f>
        <v>0</v>
      </c>
      <c r="T5738" s="84" t="n">
        <f aca="false">IF(AND(ISNUMBER(O5738),ISNUMBER(P5738)),Coef_A+Coef_B1*O5738+Coef_B2*P5738,"")</f>
        <v>21.4978045004009</v>
      </c>
      <c r="U5738" s="84" t="n">
        <f aca="false">IF(AND(R5738=1,ISNUMBER(T5738)),E5738-T5738,"")</f>
        <v>5.50219549959909</v>
      </c>
      <c r="V5738" s="84" t="n">
        <f aca="false">IF(ISNUMBER(T5738),T5738,-99)</f>
        <v>21.4978045004009</v>
      </c>
      <c r="W5738" s="84" t="n">
        <f aca="false">IF(ISNUMBER(U5738),ABS(U5738),"")</f>
        <v>5.50219549959909</v>
      </c>
    </row>
    <row r="5739" customFormat="false" ht="15" hidden="false" customHeight="false" outlineLevel="0" collapsed="false">
      <c r="A5739" s="57" t="n">
        <v>42567</v>
      </c>
      <c r="B5739" s="56" t="n">
        <v>2016</v>
      </c>
      <c r="C5739" s="56" t="n">
        <v>7</v>
      </c>
      <c r="D5739" s="56" t="n">
        <v>77</v>
      </c>
      <c r="E5739" s="56" t="n">
        <v>27.6</v>
      </c>
      <c r="F5739" s="56" t="n">
        <v>0</v>
      </c>
      <c r="G5739" s="56" t="n">
        <v>16.3</v>
      </c>
      <c r="H5739" s="56" t="n">
        <v>0</v>
      </c>
      <c r="I5739" s="56" t="n">
        <v>21.6</v>
      </c>
      <c r="J5739" s="56" t="n">
        <v>0</v>
      </c>
      <c r="K5739" s="56" t="n">
        <v>1024.6</v>
      </c>
      <c r="L5739" s="56" t="n">
        <v>0</v>
      </c>
      <c r="M5739" s="56" t="n">
        <v>74</v>
      </c>
      <c r="N5739" s="56" t="n">
        <v>4.5</v>
      </c>
      <c r="O5739" s="56" t="n">
        <f aca="false">IF(D5739=1,"",E5738)</f>
        <v>27</v>
      </c>
      <c r="P5739" s="56" t="n">
        <f aca="false">IF(OR(D5739=1,K5738=""),"",K5738)</f>
        <v>1026.3</v>
      </c>
      <c r="Q5739" s="56" t="n">
        <f aca="false">IF(OR(F5739&lt;&gt;0,AND(I5739&lt;&gt;"",E5739&lt;I5739)),1,0)</f>
        <v>0</v>
      </c>
      <c r="R5739" s="56" t="n">
        <f aca="false">IF(AND(D5739&gt;1,Q5739=0,ISNUMBER(O5739),ISNUMBER(P5739)),IF(Q5738=0,1,0),0)</f>
        <v>1</v>
      </c>
      <c r="S5739" s="56" t="n">
        <f aca="false">R5739*(B5739&gt;=Train_Start)*(B5739&lt;=Train_End)</f>
        <v>0</v>
      </c>
      <c r="T5739" s="84" t="n">
        <f aca="false">IF(AND(ISNUMBER(O5739),ISNUMBER(P5739)),Coef_A+Coef_B1*O5739+Coef_B2*P5739,"")</f>
        <v>26.4040564970108</v>
      </c>
      <c r="U5739" s="84" t="n">
        <f aca="false">IF(AND(R5739=1,ISNUMBER(T5739)),E5739-T5739,"")</f>
        <v>1.19594350298924</v>
      </c>
      <c r="V5739" s="84" t="n">
        <f aca="false">IF(ISNUMBER(T5739),T5739,-99)</f>
        <v>26.4040564970108</v>
      </c>
      <c r="W5739" s="84" t="n">
        <f aca="false">IF(ISNUMBER(U5739),ABS(U5739),"")</f>
        <v>1.19594350298924</v>
      </c>
    </row>
    <row r="5740" customFormat="false" ht="15" hidden="false" customHeight="false" outlineLevel="0" collapsed="false">
      <c r="A5740" s="57" t="n">
        <v>42568</v>
      </c>
      <c r="B5740" s="56" t="n">
        <v>2016</v>
      </c>
      <c r="C5740" s="56" t="n">
        <v>7</v>
      </c>
      <c r="D5740" s="56" t="n">
        <v>78</v>
      </c>
      <c r="E5740" s="56" t="n">
        <v>29.4</v>
      </c>
      <c r="F5740" s="56" t="n">
        <v>0</v>
      </c>
      <c r="G5740" s="56" t="n">
        <v>17.7</v>
      </c>
      <c r="H5740" s="56" t="n">
        <v>0</v>
      </c>
      <c r="I5740" s="56" t="n">
        <v>22.6</v>
      </c>
      <c r="J5740" s="56" t="n">
        <v>0</v>
      </c>
      <c r="K5740" s="56" t="n">
        <v>1022.3</v>
      </c>
      <c r="L5740" s="56" t="n">
        <v>0</v>
      </c>
      <c r="M5740" s="56" t="n">
        <v>72</v>
      </c>
      <c r="N5740" s="56" t="n">
        <v>6</v>
      </c>
      <c r="O5740" s="56" t="n">
        <f aca="false">IF(D5740=1,"",E5739)</f>
        <v>27.6</v>
      </c>
      <c r="P5740" s="56" t="n">
        <f aca="false">IF(OR(D5740=1,K5739=""),"",K5739)</f>
        <v>1024.6</v>
      </c>
      <c r="Q5740" s="56" t="n">
        <f aca="false">IF(OR(F5740&lt;&gt;0,AND(I5740&lt;&gt;"",E5740&lt;I5740)),1,0)</f>
        <v>0</v>
      </c>
      <c r="R5740" s="56" t="n">
        <f aca="false">IF(AND(D5740&gt;1,Q5740=0,ISNUMBER(O5740),ISNUMBER(P5740)),IF(Q5739=0,1,0),0)</f>
        <v>1</v>
      </c>
      <c r="S5740" s="56" t="n">
        <f aca="false">R5740*(B5740&gt;=Train_Start)*(B5740&lt;=Train_End)</f>
        <v>0</v>
      </c>
      <c r="T5740" s="84" t="n">
        <f aca="false">IF(AND(ISNUMBER(O5740),ISNUMBER(P5740)),Coef_A+Coef_B1*O5740+Coef_B2*P5740,"")</f>
        <v>26.8423311919586</v>
      </c>
      <c r="U5740" s="84" t="n">
        <f aca="false">IF(AND(R5740=1,ISNUMBER(T5740)),E5740-T5740,"")</f>
        <v>2.55766880804142</v>
      </c>
      <c r="V5740" s="84" t="n">
        <f aca="false">IF(ISNUMBER(T5740),T5740,-99)</f>
        <v>26.8423311919586</v>
      </c>
      <c r="W5740" s="84" t="n">
        <f aca="false">IF(ISNUMBER(U5740),ABS(U5740),"")</f>
        <v>2.55766880804142</v>
      </c>
    </row>
    <row r="5741" customFormat="false" ht="15" hidden="false" customHeight="false" outlineLevel="0" collapsed="false">
      <c r="A5741" s="57" t="n">
        <v>42569</v>
      </c>
      <c r="B5741" s="56" t="n">
        <v>2016</v>
      </c>
      <c r="C5741" s="56" t="n">
        <v>7</v>
      </c>
      <c r="D5741" s="56" t="n">
        <v>79</v>
      </c>
      <c r="E5741" s="56" t="n">
        <v>33.2</v>
      </c>
      <c r="F5741" s="56" t="n">
        <v>0</v>
      </c>
      <c r="G5741" s="56" t="n">
        <v>15.6</v>
      </c>
      <c r="H5741" s="56" t="n">
        <v>0</v>
      </c>
      <c r="I5741" s="56" t="n">
        <v>22.5</v>
      </c>
      <c r="J5741" s="56" t="n">
        <v>0</v>
      </c>
      <c r="K5741" s="56" t="n">
        <v>1021.5</v>
      </c>
      <c r="L5741" s="56" t="n">
        <v>0</v>
      </c>
      <c r="M5741" s="56" t="n">
        <v>61</v>
      </c>
      <c r="N5741" s="56" t="n">
        <v>14.4</v>
      </c>
      <c r="O5741" s="56" t="n">
        <f aca="false">IF(D5741=1,"",E5740)</f>
        <v>29.4</v>
      </c>
      <c r="P5741" s="56" t="n">
        <f aca="false">IF(OR(D5741=1,K5740=""),"",K5740)</f>
        <v>1022.3</v>
      </c>
      <c r="Q5741" s="56" t="n">
        <f aca="false">IF(OR(F5741&lt;&gt;0,AND(I5741&lt;&gt;"",E5741&lt;I5741)),1,0)</f>
        <v>0</v>
      </c>
      <c r="R5741" s="56" t="n">
        <f aca="false">IF(AND(D5741&gt;1,Q5741=0,ISNUMBER(O5741),ISNUMBER(P5741)),IF(Q5740=0,1,0),0)</f>
        <v>1</v>
      </c>
      <c r="S5741" s="56" t="n">
        <f aca="false">R5741*(B5741&gt;=Train_Start)*(B5741&lt;=Train_End)</f>
        <v>0</v>
      </c>
      <c r="T5741" s="84" t="n">
        <f aca="false">IF(AND(ISNUMBER(O5741),ISNUMBER(P5741)),Coef_A+Coef_B1*O5741+Coef_B2*P5741,"")</f>
        <v>28.2449909817772</v>
      </c>
      <c r="U5741" s="84" t="n">
        <f aca="false">IF(AND(R5741=1,ISNUMBER(T5741)),E5741-T5741,"")</f>
        <v>4.95500901822282</v>
      </c>
      <c r="V5741" s="84" t="n">
        <f aca="false">IF(ISNUMBER(T5741),T5741,-99)</f>
        <v>28.2449909817772</v>
      </c>
      <c r="W5741" s="84" t="n">
        <f aca="false">IF(ISNUMBER(U5741),ABS(U5741),"")</f>
        <v>4.95500901822282</v>
      </c>
    </row>
    <row r="5742" customFormat="false" ht="15" hidden="false" customHeight="false" outlineLevel="0" collapsed="false">
      <c r="A5742" s="57" t="n">
        <v>42570</v>
      </c>
      <c r="B5742" s="56" t="n">
        <v>2016</v>
      </c>
      <c r="C5742" s="56" t="n">
        <v>7</v>
      </c>
      <c r="D5742" s="56" t="n">
        <v>80</v>
      </c>
      <c r="E5742" s="56" t="n">
        <v>31.4</v>
      </c>
      <c r="F5742" s="56" t="n">
        <v>0</v>
      </c>
      <c r="G5742" s="56" t="n">
        <v>16.5</v>
      </c>
      <c r="H5742" s="56" t="n">
        <v>0</v>
      </c>
      <c r="I5742" s="56" t="n">
        <v>24.8</v>
      </c>
      <c r="J5742" s="56" t="n">
        <v>0</v>
      </c>
      <c r="K5742" s="56" t="n">
        <v>1016.7</v>
      </c>
      <c r="L5742" s="56" t="n">
        <v>0</v>
      </c>
      <c r="M5742" s="56" t="n">
        <v>58</v>
      </c>
      <c r="N5742" s="56" t="n">
        <v>14.4</v>
      </c>
      <c r="O5742" s="56" t="n">
        <f aca="false">IF(D5742=1,"",E5741)</f>
        <v>33.2</v>
      </c>
      <c r="P5742" s="56" t="n">
        <f aca="false">IF(OR(D5742=1,K5741=""),"",K5741)</f>
        <v>1021.5</v>
      </c>
      <c r="Q5742" s="56" t="n">
        <f aca="false">IF(OR(F5742&lt;&gt;0,AND(I5742&lt;&gt;"",E5742&lt;I5742)),1,0)</f>
        <v>0</v>
      </c>
      <c r="R5742" s="56" t="n">
        <f aca="false">IF(AND(D5742&gt;1,Q5742=0,ISNUMBER(O5742),ISNUMBER(P5742)),IF(Q5741=0,1,0),0)</f>
        <v>1</v>
      </c>
      <c r="S5742" s="56" t="n">
        <f aca="false">R5742*(B5742&gt;=Train_Start)*(B5742&lt;=Train_End)</f>
        <v>0</v>
      </c>
      <c r="T5742" s="84" t="n">
        <f aca="false">IF(AND(ISNUMBER(O5742),ISNUMBER(P5742)),Coef_A+Coef_B1*O5742+Coef_B2*P5742,"")</f>
        <v>31.3333839996321</v>
      </c>
      <c r="U5742" s="84" t="n">
        <f aca="false">IF(AND(R5742=1,ISNUMBER(T5742)),E5742-T5742,"")</f>
        <v>0.0666160003679011</v>
      </c>
      <c r="V5742" s="84" t="n">
        <f aca="false">IF(ISNUMBER(T5742),T5742,-99)</f>
        <v>31.3333839996321</v>
      </c>
      <c r="W5742" s="84" t="n">
        <f aca="false">IF(ISNUMBER(U5742),ABS(U5742),"")</f>
        <v>0.0666160003679011</v>
      </c>
    </row>
    <row r="5743" customFormat="false" ht="15" hidden="false" customHeight="false" outlineLevel="0" collapsed="false">
      <c r="A5743" s="57" t="n">
        <v>42571</v>
      </c>
      <c r="B5743" s="56" t="n">
        <v>2016</v>
      </c>
      <c r="C5743" s="56" t="n">
        <v>7</v>
      </c>
      <c r="D5743" s="56" t="n">
        <v>81</v>
      </c>
      <c r="E5743" s="56" t="n">
        <v>25.5</v>
      </c>
      <c r="F5743" s="56" t="n">
        <v>1</v>
      </c>
      <c r="G5743" s="56" t="n">
        <v>22.3</v>
      </c>
      <c r="H5743" s="56" t="n">
        <v>0</v>
      </c>
      <c r="I5743" s="56" t="n">
        <v>26.8</v>
      </c>
      <c r="J5743" s="56" t="n">
        <v>1</v>
      </c>
      <c r="K5743" s="56" t="n">
        <v>1009.6</v>
      </c>
      <c r="L5743" s="56" t="n">
        <v>0</v>
      </c>
      <c r="M5743" s="56" t="n">
        <v>59</v>
      </c>
      <c r="N5743" s="56" t="n">
        <v>10.6</v>
      </c>
      <c r="O5743" s="56" t="n">
        <f aca="false">IF(D5743=1,"",E5742)</f>
        <v>31.4</v>
      </c>
      <c r="P5743" s="56" t="n">
        <f aca="false">IF(OR(D5743=1,K5742=""),"",K5742)</f>
        <v>1016.7</v>
      </c>
      <c r="Q5743" s="56" t="n">
        <f aca="false">IF(OR(F5743&lt;&gt;0,AND(I5743&lt;&gt;"",E5743&lt;I5743)),1,0)</f>
        <v>1</v>
      </c>
      <c r="R5743" s="56" t="n">
        <f aca="false">IF(AND(D5743&gt;1,Q5743=0,ISNUMBER(O5743),ISNUMBER(P5743)),IF(Q5742=0,1,0),0)</f>
        <v>0</v>
      </c>
      <c r="S5743" s="56" t="n">
        <f aca="false">R5743*(B5743&gt;=Train_Start)*(B5743&lt;=Train_End)</f>
        <v>0</v>
      </c>
      <c r="T5743" s="84" t="n">
        <f aca="false">IF(AND(ISNUMBER(O5743),ISNUMBER(P5743)),Coef_A+Coef_B1*O5743+Coef_B2*P5743,"")</f>
        <v>29.7079979579122</v>
      </c>
      <c r="U5743" s="84" t="str">
        <f aca="false">IF(AND(R5743=1,ISNUMBER(T5743)),E5743-T5743,"")</f>
        <v/>
      </c>
      <c r="V5743" s="84" t="n">
        <f aca="false">IF(ISNUMBER(T5743),T5743,-99)</f>
        <v>29.7079979579122</v>
      </c>
      <c r="W5743" s="84" t="str">
        <f aca="false">IF(ISNUMBER(U5743),ABS(U5743),"")</f>
        <v/>
      </c>
    </row>
    <row r="5744" customFormat="false" ht="15" hidden="false" customHeight="false" outlineLevel="0" collapsed="false">
      <c r="A5744" s="57" t="n">
        <v>42572</v>
      </c>
      <c r="B5744" s="56" t="n">
        <v>2016</v>
      </c>
      <c r="C5744" s="56" t="n">
        <v>7</v>
      </c>
      <c r="D5744" s="56" t="n">
        <v>82</v>
      </c>
      <c r="E5744" s="56" t="n">
        <v>23.9</v>
      </c>
      <c r="F5744" s="56" t="n">
        <v>0</v>
      </c>
      <c r="G5744" s="56" t="n">
        <v>14</v>
      </c>
      <c r="H5744" s="56" t="n">
        <v>0</v>
      </c>
      <c r="I5744" s="56" t="n">
        <v>19.8</v>
      </c>
      <c r="J5744" s="56" t="n">
        <v>0</v>
      </c>
      <c r="K5744" s="56" t="n">
        <v>1016.1</v>
      </c>
      <c r="L5744" s="56" t="n">
        <v>0</v>
      </c>
      <c r="M5744" s="56" t="n">
        <v>66</v>
      </c>
      <c r="N5744" s="56" t="n">
        <v>4.8</v>
      </c>
      <c r="O5744" s="56" t="n">
        <f aca="false">IF(D5744=1,"",E5743)</f>
        <v>25.5</v>
      </c>
      <c r="P5744" s="56" t="n">
        <f aca="false">IF(OR(D5744=1,K5743=""),"",K5743)</f>
        <v>1009.6</v>
      </c>
      <c r="Q5744" s="56" t="n">
        <f aca="false">IF(OR(F5744&lt;&gt;0,AND(I5744&lt;&gt;"",E5744&lt;I5744)),1,0)</f>
        <v>0</v>
      </c>
      <c r="R5744" s="56" t="n">
        <f aca="false">IF(AND(D5744&gt;1,Q5744=0,ISNUMBER(O5744),ISNUMBER(P5744)),IF(Q5743=0,1,0),0)</f>
        <v>0</v>
      </c>
      <c r="S5744" s="56" t="n">
        <f aca="false">R5744*(B5744&gt;=Train_Start)*(B5744&lt;=Train_End)</f>
        <v>0</v>
      </c>
      <c r="T5744" s="84" t="n">
        <f aca="false">IF(AND(ISNUMBER(O5744),ISNUMBER(P5744)),Coef_A+Coef_B1*O5744+Coef_B2*P5744,"")</f>
        <v>24.6511704670592</v>
      </c>
      <c r="U5744" s="84" t="str">
        <f aca="false">IF(AND(R5744=1,ISNUMBER(T5744)),E5744-T5744,"")</f>
        <v/>
      </c>
      <c r="V5744" s="84" t="n">
        <f aca="false">IF(ISNUMBER(T5744),T5744,-99)</f>
        <v>24.6511704670592</v>
      </c>
      <c r="W5744" s="84" t="str">
        <f aca="false">IF(ISNUMBER(U5744),ABS(U5744),"")</f>
        <v/>
      </c>
    </row>
    <row r="5745" customFormat="false" ht="15" hidden="false" customHeight="false" outlineLevel="0" collapsed="false">
      <c r="A5745" s="57" t="n">
        <v>42573</v>
      </c>
      <c r="B5745" s="56" t="n">
        <v>2016</v>
      </c>
      <c r="C5745" s="56" t="n">
        <v>7</v>
      </c>
      <c r="D5745" s="56" t="n">
        <v>83</v>
      </c>
      <c r="E5745" s="56" t="n">
        <v>28.6</v>
      </c>
      <c r="F5745" s="56" t="n">
        <v>0</v>
      </c>
      <c r="G5745" s="56" t="n">
        <v>17.2</v>
      </c>
      <c r="H5745" s="56" t="n">
        <v>0</v>
      </c>
      <c r="I5745" s="56" t="n">
        <v>20.6</v>
      </c>
      <c r="J5745" s="56" t="n">
        <v>0</v>
      </c>
      <c r="K5745" s="56" t="n">
        <v>1018.5</v>
      </c>
      <c r="L5745" s="56" t="n">
        <v>0</v>
      </c>
      <c r="M5745" s="56" t="n">
        <v>72</v>
      </c>
      <c r="N5745" s="56" t="n">
        <v>0.7</v>
      </c>
      <c r="O5745" s="56" t="n">
        <f aca="false">IF(D5745=1,"",E5744)</f>
        <v>23.9</v>
      </c>
      <c r="P5745" s="56" t="n">
        <f aca="false">IF(OR(D5745=1,K5744=""),"",K5744)</f>
        <v>1016.1</v>
      </c>
      <c r="Q5745" s="56" t="n">
        <f aca="false">IF(OR(F5745&lt;&gt;0,AND(I5745&lt;&gt;"",E5745&lt;I5745)),1,0)</f>
        <v>0</v>
      </c>
      <c r="R5745" s="56" t="n">
        <f aca="false">IF(AND(D5745&gt;1,Q5745=0,ISNUMBER(O5745),ISNUMBER(P5745)),IF(Q5744=0,1,0),0)</f>
        <v>1</v>
      </c>
      <c r="S5745" s="56" t="n">
        <f aca="false">R5745*(B5745&gt;=Train_Start)*(B5745&lt;=Train_End)</f>
        <v>0</v>
      </c>
      <c r="T5745" s="84" t="n">
        <f aca="false">IF(AND(ISNUMBER(O5745),ISNUMBER(P5745)),Coef_A+Coef_B1*O5745+Coef_B2*P5745,"")</f>
        <v>23.5441320733118</v>
      </c>
      <c r="U5745" s="84" t="n">
        <f aca="false">IF(AND(R5745=1,ISNUMBER(T5745)),E5745-T5745,"")</f>
        <v>5.05586792668817</v>
      </c>
      <c r="V5745" s="84" t="n">
        <f aca="false">IF(ISNUMBER(T5745),T5745,-99)</f>
        <v>23.5441320733118</v>
      </c>
      <c r="W5745" s="84" t="n">
        <f aca="false">IF(ISNUMBER(U5745),ABS(U5745),"")</f>
        <v>5.05586792668817</v>
      </c>
    </row>
    <row r="5746" customFormat="false" ht="15" hidden="false" customHeight="false" outlineLevel="0" collapsed="false">
      <c r="A5746" s="57" t="n">
        <v>42574</v>
      </c>
      <c r="B5746" s="56" t="n">
        <v>2016</v>
      </c>
      <c r="C5746" s="56" t="n">
        <v>7</v>
      </c>
      <c r="D5746" s="56" t="n">
        <v>84</v>
      </c>
      <c r="E5746" s="56" t="n">
        <v>25.8</v>
      </c>
      <c r="F5746" s="56" t="n">
        <v>0</v>
      </c>
      <c r="G5746" s="56" t="n">
        <v>14.9</v>
      </c>
      <c r="H5746" s="56" t="n">
        <v>0</v>
      </c>
      <c r="I5746" s="56" t="n">
        <v>21.8</v>
      </c>
      <c r="J5746" s="56" t="n">
        <v>0</v>
      </c>
      <c r="K5746" s="56" t="n">
        <v>1019.8</v>
      </c>
      <c r="L5746" s="56" t="n">
        <v>0</v>
      </c>
      <c r="M5746" s="56" t="n">
        <v>65</v>
      </c>
      <c r="N5746" s="56" t="n">
        <v>11.9</v>
      </c>
      <c r="O5746" s="56" t="n">
        <f aca="false">IF(D5746=1,"",E5745)</f>
        <v>28.6</v>
      </c>
      <c r="P5746" s="56" t="n">
        <f aca="false">IF(OR(D5746=1,K5745=""),"",K5745)</f>
        <v>1018.5</v>
      </c>
      <c r="Q5746" s="56" t="n">
        <f aca="false">IF(OR(F5746&lt;&gt;0,AND(I5746&lt;&gt;"",E5746&lt;I5746)),1,0)</f>
        <v>0</v>
      </c>
      <c r="R5746" s="56" t="n">
        <f aca="false">IF(AND(D5746&gt;1,Q5746=0,ISNUMBER(O5746),ISNUMBER(P5746)),IF(Q5745=0,1,0),0)</f>
        <v>1</v>
      </c>
      <c r="S5746" s="56" t="n">
        <f aca="false">R5746*(B5746&gt;=Train_Start)*(B5746&lt;=Train_End)</f>
        <v>0</v>
      </c>
      <c r="T5746" s="84" t="n">
        <f aca="false">IF(AND(ISNUMBER(O5746),ISNUMBER(P5746)),Coef_A+Coef_B1*O5746+Coef_B2*P5746,"")</f>
        <v>27.4703140277339</v>
      </c>
      <c r="U5746" s="84" t="n">
        <f aca="false">IF(AND(R5746=1,ISNUMBER(T5746)),E5746-T5746,"")</f>
        <v>-1.6703140277339</v>
      </c>
      <c r="V5746" s="84" t="n">
        <f aca="false">IF(ISNUMBER(T5746),T5746,-99)</f>
        <v>27.4703140277339</v>
      </c>
      <c r="W5746" s="84" t="n">
        <f aca="false">IF(ISNUMBER(U5746),ABS(U5746),"")</f>
        <v>1.6703140277339</v>
      </c>
    </row>
    <row r="5747" customFormat="false" ht="15" hidden="false" customHeight="false" outlineLevel="0" collapsed="false">
      <c r="A5747" s="57" t="n">
        <v>42575</v>
      </c>
      <c r="B5747" s="56" t="n">
        <v>2016</v>
      </c>
      <c r="C5747" s="56" t="n">
        <v>7</v>
      </c>
      <c r="D5747" s="56" t="n">
        <v>85</v>
      </c>
      <c r="E5747" s="56" t="n">
        <v>24.7</v>
      </c>
      <c r="F5747" s="56" t="n">
        <v>0</v>
      </c>
      <c r="G5747" s="56" t="n">
        <v>14.7</v>
      </c>
      <c r="H5747" s="56" t="n">
        <v>0</v>
      </c>
      <c r="I5747" s="56" t="n">
        <v>20.2</v>
      </c>
      <c r="J5747" s="56" t="n">
        <v>0</v>
      </c>
      <c r="K5747" s="56" t="n">
        <v>1018.9</v>
      </c>
      <c r="L5747" s="56" t="n">
        <v>0</v>
      </c>
      <c r="M5747" s="56" t="n">
        <v>73</v>
      </c>
      <c r="N5747" s="56" t="n">
        <v>4.9</v>
      </c>
      <c r="O5747" s="56" t="n">
        <f aca="false">IF(D5747=1,"",E5746)</f>
        <v>25.8</v>
      </c>
      <c r="P5747" s="56" t="n">
        <f aca="false">IF(OR(D5747=1,K5746=""),"",K5746)</f>
        <v>1019.8</v>
      </c>
      <c r="Q5747" s="56" t="n">
        <f aca="false">IF(OR(F5747&lt;&gt;0,AND(I5747&lt;&gt;"",E5747&lt;I5747)),1,0)</f>
        <v>0</v>
      </c>
      <c r="R5747" s="56" t="n">
        <f aca="false">IF(AND(D5747&gt;1,Q5747=0,ISNUMBER(O5747),ISNUMBER(P5747)),IF(Q5746=0,1,0),0)</f>
        <v>1</v>
      </c>
      <c r="S5747" s="56" t="n">
        <f aca="false">R5747*(B5747&gt;=Train_Start)*(B5747&lt;=Train_End)</f>
        <v>0</v>
      </c>
      <c r="T5747" s="84" t="n">
        <f aca="false">IF(AND(ISNUMBER(O5747),ISNUMBER(P5747)),Coef_A+Coef_B1*O5747+Coef_B2*P5747,"")</f>
        <v>25.2169451502386</v>
      </c>
      <c r="U5747" s="84" t="n">
        <f aca="false">IF(AND(R5747=1,ISNUMBER(T5747)),E5747-T5747,"")</f>
        <v>-0.516945150238644</v>
      </c>
      <c r="V5747" s="84" t="n">
        <f aca="false">IF(ISNUMBER(T5747),T5747,-99)</f>
        <v>25.2169451502386</v>
      </c>
      <c r="W5747" s="84" t="n">
        <f aca="false">IF(ISNUMBER(U5747),ABS(U5747),"")</f>
        <v>0.516945150238644</v>
      </c>
    </row>
    <row r="5748" customFormat="false" ht="15" hidden="false" customHeight="false" outlineLevel="0" collapsed="false">
      <c r="A5748" s="57" t="n">
        <v>42576</v>
      </c>
      <c r="B5748" s="56" t="n">
        <v>2016</v>
      </c>
      <c r="C5748" s="56" t="n">
        <v>7</v>
      </c>
      <c r="D5748" s="56" t="n">
        <v>86</v>
      </c>
      <c r="E5748" s="56" t="n">
        <v>23.1</v>
      </c>
      <c r="F5748" s="56" t="n">
        <v>0</v>
      </c>
      <c r="G5748" s="56" t="n">
        <v>14</v>
      </c>
      <c r="H5748" s="56" t="n">
        <v>0</v>
      </c>
      <c r="I5748" s="56" t="n">
        <v>19.4</v>
      </c>
      <c r="J5748" s="56" t="n">
        <v>0</v>
      </c>
      <c r="K5748" s="56" t="n">
        <v>1019.4</v>
      </c>
      <c r="L5748" s="56" t="n">
        <v>0</v>
      </c>
      <c r="M5748" s="56" t="n">
        <v>64</v>
      </c>
      <c r="N5748" s="56" t="n">
        <v>9.2</v>
      </c>
      <c r="O5748" s="56" t="n">
        <f aca="false">IF(D5748=1,"",E5747)</f>
        <v>24.7</v>
      </c>
      <c r="P5748" s="56" t="n">
        <f aca="false">IF(OR(D5748=1,K5747=""),"",K5747)</f>
        <v>1018.9</v>
      </c>
      <c r="Q5748" s="56" t="n">
        <f aca="false">IF(OR(F5748&lt;&gt;0,AND(I5748&lt;&gt;"",E5748&lt;I5748)),1,0)</f>
        <v>0</v>
      </c>
      <c r="R5748" s="56" t="n">
        <f aca="false">IF(AND(D5748&gt;1,Q5748=0,ISNUMBER(O5748),ISNUMBER(P5748)),IF(Q5747=0,1,0),0)</f>
        <v>1</v>
      </c>
      <c r="S5748" s="56" t="n">
        <f aca="false">R5748*(B5748&gt;=Train_Start)*(B5748&lt;=Train_End)</f>
        <v>0</v>
      </c>
      <c r="T5748" s="84" t="n">
        <f aca="false">IF(AND(ISNUMBER(O5748),ISNUMBER(P5748)),Coef_A+Coef_B1*O5748+Coef_B2*P5748,"")</f>
        <v>24.2874391327211</v>
      </c>
      <c r="U5748" s="84" t="n">
        <f aca="false">IF(AND(R5748=1,ISNUMBER(T5748)),E5748-T5748,"")</f>
        <v>-1.18743913272113</v>
      </c>
      <c r="V5748" s="84" t="n">
        <f aca="false">IF(ISNUMBER(T5748),T5748,-99)</f>
        <v>24.2874391327211</v>
      </c>
      <c r="W5748" s="84" t="n">
        <f aca="false">IF(ISNUMBER(U5748),ABS(U5748),"")</f>
        <v>1.18743913272113</v>
      </c>
    </row>
    <row r="5749" customFormat="false" ht="15" hidden="false" customHeight="false" outlineLevel="0" collapsed="false">
      <c r="A5749" s="57" t="n">
        <v>42577</v>
      </c>
      <c r="B5749" s="56" t="n">
        <v>2016</v>
      </c>
      <c r="C5749" s="56" t="n">
        <v>7</v>
      </c>
      <c r="D5749" s="56" t="n">
        <v>87</v>
      </c>
      <c r="E5749" s="56" t="n">
        <v>25.6</v>
      </c>
      <c r="F5749" s="56" t="n">
        <v>0</v>
      </c>
      <c r="G5749" s="56" t="n">
        <v>13.1</v>
      </c>
      <c r="H5749" s="56" t="n">
        <v>0</v>
      </c>
      <c r="I5749" s="56" t="n">
        <v>18.1</v>
      </c>
      <c r="J5749" s="56" t="n">
        <v>0</v>
      </c>
      <c r="K5749" s="56" t="n">
        <v>1020.8</v>
      </c>
      <c r="L5749" s="56" t="n">
        <v>0</v>
      </c>
      <c r="M5749" s="56" t="n">
        <v>67</v>
      </c>
      <c r="N5749" s="56" t="n">
        <v>6.2</v>
      </c>
      <c r="O5749" s="56" t="n">
        <f aca="false">IF(D5749=1,"",E5748)</f>
        <v>23.1</v>
      </c>
      <c r="P5749" s="56" t="n">
        <f aca="false">IF(OR(D5749=1,K5748=""),"",K5748)</f>
        <v>1019.4</v>
      </c>
      <c r="Q5749" s="56" t="n">
        <f aca="false">IF(OR(F5749&lt;&gt;0,AND(I5749&lt;&gt;"",E5749&lt;I5749)),1,0)</f>
        <v>0</v>
      </c>
      <c r="R5749" s="56" t="n">
        <f aca="false">IF(AND(D5749&gt;1,Q5749=0,ISNUMBER(O5749),ISNUMBER(P5749)),IF(Q5748=0,1,0),0)</f>
        <v>1</v>
      </c>
      <c r="S5749" s="56" t="n">
        <f aca="false">R5749*(B5749&gt;=Train_Start)*(B5749&lt;=Train_End)</f>
        <v>0</v>
      </c>
      <c r="T5749" s="84" t="n">
        <f aca="false">IF(AND(ISNUMBER(O5749),ISNUMBER(P5749)),Coef_A+Coef_B1*O5749+Coef_B2*P5749,"")</f>
        <v>22.9921813711699</v>
      </c>
      <c r="U5749" s="84" t="n">
        <f aca="false">IF(AND(R5749=1,ISNUMBER(T5749)),E5749-T5749,"")</f>
        <v>2.60781862883013</v>
      </c>
      <c r="V5749" s="84" t="n">
        <f aca="false">IF(ISNUMBER(T5749),T5749,-99)</f>
        <v>22.9921813711699</v>
      </c>
      <c r="W5749" s="84" t="n">
        <f aca="false">IF(ISNUMBER(U5749),ABS(U5749),"")</f>
        <v>2.60781862883013</v>
      </c>
    </row>
    <row r="5750" customFormat="false" ht="15" hidden="false" customHeight="false" outlineLevel="0" collapsed="false">
      <c r="A5750" s="57" t="n">
        <v>42578</v>
      </c>
      <c r="B5750" s="56" t="n">
        <v>2016</v>
      </c>
      <c r="C5750" s="56" t="n">
        <v>7</v>
      </c>
      <c r="D5750" s="56" t="n">
        <v>88</v>
      </c>
      <c r="E5750" s="56" t="n">
        <v>23.1</v>
      </c>
      <c r="F5750" s="56" t="n">
        <v>0</v>
      </c>
      <c r="G5750" s="56" t="n">
        <v>16.9</v>
      </c>
      <c r="H5750" s="56" t="n">
        <v>0</v>
      </c>
      <c r="I5750" s="56" t="n">
        <v>21.2</v>
      </c>
      <c r="J5750" s="56" t="n">
        <v>0</v>
      </c>
      <c r="K5750" s="56" t="n">
        <v>1015.5</v>
      </c>
      <c r="L5750" s="56" t="n">
        <v>0</v>
      </c>
      <c r="M5750" s="56" t="n">
        <v>75</v>
      </c>
      <c r="N5750" s="56" t="n">
        <v>2.6</v>
      </c>
      <c r="O5750" s="56" t="n">
        <f aca="false">IF(D5750=1,"",E5749)</f>
        <v>25.6</v>
      </c>
      <c r="P5750" s="56" t="n">
        <f aca="false">IF(OR(D5750=1,K5749=""),"",K5749)</f>
        <v>1020.8</v>
      </c>
      <c r="Q5750" s="56" t="n">
        <f aca="false">IF(OR(F5750&lt;&gt;0,AND(I5750&lt;&gt;"",E5750&lt;I5750)),1,0)</f>
        <v>0</v>
      </c>
      <c r="R5750" s="56" t="n">
        <f aca="false">IF(AND(D5750&gt;1,Q5750=0,ISNUMBER(O5750),ISNUMBER(P5750)),IF(Q5749=0,1,0),0)</f>
        <v>1</v>
      </c>
      <c r="S5750" s="56" t="n">
        <f aca="false">R5750*(B5750&gt;=Train_Start)*(B5750&lt;=Train_End)</f>
        <v>0</v>
      </c>
      <c r="T5750" s="84" t="n">
        <f aca="false">IF(AND(ISNUMBER(O5750),ISNUMBER(P5750)),Coef_A+Coef_B1*O5750+Coef_B2*P5750,"")</f>
        <v>25.0844472062641</v>
      </c>
      <c r="U5750" s="84" t="n">
        <f aca="false">IF(AND(R5750=1,ISNUMBER(T5750)),E5750-T5750,"")</f>
        <v>-1.9844472062641</v>
      </c>
      <c r="V5750" s="84" t="n">
        <f aca="false">IF(ISNUMBER(T5750),T5750,-99)</f>
        <v>25.0844472062641</v>
      </c>
      <c r="W5750" s="84" t="n">
        <f aca="false">IF(ISNUMBER(U5750),ABS(U5750),"")</f>
        <v>1.9844472062641</v>
      </c>
    </row>
    <row r="5751" customFormat="false" ht="15" hidden="false" customHeight="false" outlineLevel="0" collapsed="false">
      <c r="A5751" s="57" t="n">
        <v>42579</v>
      </c>
      <c r="B5751" s="56" t="n">
        <v>2016</v>
      </c>
      <c r="C5751" s="56" t="n">
        <v>7</v>
      </c>
      <c r="D5751" s="56" t="n">
        <v>89</v>
      </c>
      <c r="E5751" s="56" t="n">
        <v>23.5</v>
      </c>
      <c r="F5751" s="56" t="n">
        <v>0</v>
      </c>
      <c r="G5751" s="56" t="n">
        <v>14.7</v>
      </c>
      <c r="H5751" s="56" t="n">
        <v>0</v>
      </c>
      <c r="I5751" s="56" t="n">
        <v>18.9</v>
      </c>
      <c r="J5751" s="56" t="n">
        <v>0</v>
      </c>
      <c r="K5751" s="56" t="n">
        <v>1014</v>
      </c>
      <c r="L5751" s="56" t="n">
        <v>0</v>
      </c>
      <c r="M5751" s="56" t="n">
        <v>71</v>
      </c>
      <c r="N5751" s="56" t="n">
        <v>4.8</v>
      </c>
      <c r="O5751" s="56" t="n">
        <f aca="false">IF(D5751=1,"",E5750)</f>
        <v>23.1</v>
      </c>
      <c r="P5751" s="56" t="n">
        <f aca="false">IF(OR(D5751=1,K5750=""),"",K5750)</f>
        <v>1015.5</v>
      </c>
      <c r="Q5751" s="56" t="n">
        <f aca="false">IF(OR(F5751&lt;&gt;0,AND(I5751&lt;&gt;"",E5751&lt;I5751)),1,0)</f>
        <v>0</v>
      </c>
      <c r="R5751" s="56" t="n">
        <f aca="false">IF(AND(D5751&gt;1,Q5751=0,ISNUMBER(O5751),ISNUMBER(P5751)),IF(Q5750=0,1,0),0)</f>
        <v>1</v>
      </c>
      <c r="S5751" s="56" t="n">
        <f aca="false">R5751*(B5751&gt;=Train_Start)*(B5751&lt;=Train_End)</f>
        <v>0</v>
      </c>
      <c r="T5751" s="84" t="n">
        <f aca="false">IF(AND(ISNUMBER(O5751),ISNUMBER(P5751)),Coef_A+Coef_B1*O5751+Coef_B2*P5751,"")</f>
        <v>22.8698387820973</v>
      </c>
      <c r="U5751" s="84" t="n">
        <f aca="false">IF(AND(R5751=1,ISNUMBER(T5751)),E5751-T5751,"")</f>
        <v>0.630161217902682</v>
      </c>
      <c r="V5751" s="84" t="n">
        <f aca="false">IF(ISNUMBER(T5751),T5751,-99)</f>
        <v>22.8698387820973</v>
      </c>
      <c r="W5751" s="84" t="n">
        <f aca="false">IF(ISNUMBER(U5751),ABS(U5751),"")</f>
        <v>0.630161217902682</v>
      </c>
    </row>
    <row r="5752" customFormat="false" ht="15" hidden="false" customHeight="false" outlineLevel="0" collapsed="false">
      <c r="A5752" s="57" t="n">
        <v>42580</v>
      </c>
      <c r="B5752" s="56" t="n">
        <v>2016</v>
      </c>
      <c r="C5752" s="56" t="n">
        <v>7</v>
      </c>
      <c r="D5752" s="56" t="n">
        <v>90</v>
      </c>
      <c r="E5752" s="56" t="n">
        <v>22.4</v>
      </c>
      <c r="F5752" s="56" t="n">
        <v>0</v>
      </c>
      <c r="G5752" s="56" t="n">
        <v>16.2</v>
      </c>
      <c r="H5752" s="56" t="n">
        <v>0</v>
      </c>
      <c r="I5752" s="56" t="n">
        <v>19.8</v>
      </c>
      <c r="J5752" s="56" t="n">
        <v>0</v>
      </c>
      <c r="K5752" s="56" t="n">
        <v>1011.1</v>
      </c>
      <c r="L5752" s="56" t="n">
        <v>0</v>
      </c>
      <c r="M5752" s="56" t="n">
        <v>77</v>
      </c>
      <c r="N5752" s="56" t="n">
        <v>1.3</v>
      </c>
      <c r="O5752" s="56" t="n">
        <f aca="false">IF(D5752=1,"",E5751)</f>
        <v>23.5</v>
      </c>
      <c r="P5752" s="56" t="n">
        <f aca="false">IF(OR(D5752=1,K5751=""),"",K5751)</f>
        <v>1014</v>
      </c>
      <c r="Q5752" s="56" t="n">
        <f aca="false">IF(OR(F5752&lt;&gt;0,AND(I5752&lt;&gt;"",E5752&lt;I5752)),1,0)</f>
        <v>0</v>
      </c>
      <c r="R5752" s="56" t="n">
        <f aca="false">IF(AND(D5752&gt;1,Q5752=0,ISNUMBER(O5752),ISNUMBER(P5752)),IF(Q5751=0,1,0),0)</f>
        <v>1</v>
      </c>
      <c r="S5752" s="56" t="n">
        <f aca="false">R5752*(B5752&gt;=Train_Start)*(B5752&lt;=Train_End)</f>
        <v>0</v>
      </c>
      <c r="T5752" s="84" t="n">
        <f aca="false">IF(AND(ISNUMBER(O5752),ISNUMBER(P5752)),Coef_A+Coef_B1*O5752+Coef_B2*P5752,"")</f>
        <v>23.1505196173634</v>
      </c>
      <c r="U5752" s="84" t="n">
        <f aca="false">IF(AND(R5752=1,ISNUMBER(T5752)),E5752-T5752,"")</f>
        <v>-0.750519617363395</v>
      </c>
      <c r="V5752" s="84" t="n">
        <f aca="false">IF(ISNUMBER(T5752),T5752,-99)</f>
        <v>23.1505196173634</v>
      </c>
      <c r="W5752" s="84" t="n">
        <f aca="false">IF(ISNUMBER(U5752),ABS(U5752),"")</f>
        <v>0.750519617363395</v>
      </c>
    </row>
    <row r="5753" customFormat="false" ht="15" hidden="false" customHeight="false" outlineLevel="0" collapsed="false">
      <c r="A5753" s="57" t="n">
        <v>42581</v>
      </c>
      <c r="B5753" s="56" t="n">
        <v>2016</v>
      </c>
      <c r="C5753" s="56" t="n">
        <v>7</v>
      </c>
      <c r="D5753" s="56" t="n">
        <v>91</v>
      </c>
      <c r="E5753" s="56" t="n">
        <v>22.4</v>
      </c>
      <c r="F5753" s="56" t="n">
        <v>0</v>
      </c>
      <c r="G5753" s="56" t="n">
        <v>16</v>
      </c>
      <c r="H5753" s="56" t="n">
        <v>0</v>
      </c>
      <c r="I5753" s="56" t="n">
        <v>19.2</v>
      </c>
      <c r="J5753" s="56" t="n">
        <v>0</v>
      </c>
      <c r="K5753" s="56" t="n">
        <v>1013.6</v>
      </c>
      <c r="L5753" s="56" t="n">
        <v>0</v>
      </c>
      <c r="M5753" s="56" t="n">
        <v>66</v>
      </c>
      <c r="N5753" s="56" t="n">
        <v>1.3</v>
      </c>
      <c r="O5753" s="56" t="n">
        <f aca="false">IF(D5753=1,"",E5752)</f>
        <v>22.4</v>
      </c>
      <c r="P5753" s="56" t="n">
        <f aca="false">IF(OR(D5753=1,K5752=""),"",K5752)</f>
        <v>1011.1</v>
      </c>
      <c r="Q5753" s="56" t="n">
        <f aca="false">IF(OR(F5753&lt;&gt;0,AND(I5753&lt;&gt;"",E5753&lt;I5753)),1,0)</f>
        <v>0</v>
      </c>
      <c r="R5753" s="56" t="n">
        <f aca="false">IF(AND(D5753&gt;1,Q5753=0,ISNUMBER(O5753),ISNUMBER(P5753)),IF(Q5752=0,1,0),0)</f>
        <v>1</v>
      </c>
      <c r="S5753" s="56" t="n">
        <f aca="false">R5753*(B5753&gt;=Train_Start)*(B5753&lt;=Train_End)</f>
        <v>0</v>
      </c>
      <c r="T5753" s="84" t="n">
        <f aca="false">IF(AND(ISNUMBER(O5753),ISNUMBER(P5753)),Coef_A+Coef_B1*O5753+Coef_B2*P5753,"")</f>
        <v>22.1582738105779</v>
      </c>
      <c r="U5753" s="84" t="n">
        <f aca="false">IF(AND(R5753=1,ISNUMBER(T5753)),E5753-T5753,"")</f>
        <v>0.241726189422099</v>
      </c>
      <c r="V5753" s="84" t="n">
        <f aca="false">IF(ISNUMBER(T5753),T5753,-99)</f>
        <v>22.1582738105779</v>
      </c>
      <c r="W5753" s="84" t="n">
        <f aca="false">IF(ISNUMBER(U5753),ABS(U5753),"")</f>
        <v>0.241726189422099</v>
      </c>
    </row>
    <row r="5754" customFormat="false" ht="15" hidden="false" customHeight="false" outlineLevel="0" collapsed="false">
      <c r="A5754" s="57" t="n">
        <v>42582</v>
      </c>
      <c r="B5754" s="56" t="n">
        <v>2016</v>
      </c>
      <c r="C5754" s="56" t="n">
        <v>7</v>
      </c>
      <c r="D5754" s="56" t="n">
        <v>92</v>
      </c>
      <c r="E5754" s="56" t="n">
        <v>19.2</v>
      </c>
      <c r="F5754" s="56" t="n">
        <v>0</v>
      </c>
      <c r="G5754" s="56" t="n">
        <v>13.7</v>
      </c>
      <c r="H5754" s="56" t="n">
        <v>0</v>
      </c>
      <c r="I5754" s="56" t="n">
        <v>18</v>
      </c>
      <c r="J5754" s="56" t="n">
        <v>0</v>
      </c>
      <c r="K5754" s="56" t="n">
        <v>1017</v>
      </c>
      <c r="L5754" s="56" t="n">
        <v>0</v>
      </c>
      <c r="M5754" s="56" t="n">
        <v>58</v>
      </c>
      <c r="N5754" s="56" t="n">
        <v>4.6</v>
      </c>
      <c r="O5754" s="56" t="n">
        <f aca="false">IF(D5754=1,"",E5753)</f>
        <v>22.4</v>
      </c>
      <c r="P5754" s="56" t="n">
        <f aca="false">IF(OR(D5754=1,K5753=""),"",K5753)</f>
        <v>1013.6</v>
      </c>
      <c r="Q5754" s="56" t="n">
        <f aca="false">IF(OR(F5754&lt;&gt;0,AND(I5754&lt;&gt;"",E5754&lt;I5754)),1,0)</f>
        <v>0</v>
      </c>
      <c r="R5754" s="56" t="n">
        <f aca="false">IF(AND(D5754&gt;1,Q5754=0,ISNUMBER(O5754),ISNUMBER(P5754)),IF(Q5753=0,1,0),0)</f>
        <v>1</v>
      </c>
      <c r="S5754" s="56" t="n">
        <f aca="false">R5754*(B5754&gt;=Train_Start)*(B5754&lt;=Train_End)</f>
        <v>0</v>
      </c>
      <c r="T5754" s="84" t="n">
        <f aca="false">IF(AND(ISNUMBER(O5754),ISNUMBER(P5754)),Coef_A+Coef_B1*O5754+Coef_B2*P5754,"")</f>
        <v>22.2366985471629</v>
      </c>
      <c r="U5754" s="84" t="n">
        <f aca="false">IF(AND(R5754=1,ISNUMBER(T5754)),E5754-T5754,"")</f>
        <v>-3.03669854716287</v>
      </c>
      <c r="V5754" s="84" t="n">
        <f aca="false">IF(ISNUMBER(T5754),T5754,-99)</f>
        <v>22.2366985471629</v>
      </c>
      <c r="W5754" s="84" t="n">
        <f aca="false">IF(ISNUMBER(U5754),ABS(U5754),"")</f>
        <v>3.03669854716287</v>
      </c>
    </row>
    <row r="5755" customFormat="false" ht="15" hidden="false" customHeight="false" outlineLevel="0" collapsed="false">
      <c r="A5755" s="57" t="n">
        <v>42583</v>
      </c>
      <c r="B5755" s="56" t="n">
        <v>2016</v>
      </c>
      <c r="C5755" s="56" t="n">
        <v>8</v>
      </c>
      <c r="D5755" s="56" t="n">
        <v>93</v>
      </c>
      <c r="E5755" s="56" t="n">
        <v>21.9</v>
      </c>
      <c r="F5755" s="56" t="n">
        <v>0</v>
      </c>
      <c r="G5755" s="56" t="n">
        <v>12.1</v>
      </c>
      <c r="H5755" s="56" t="n">
        <v>0</v>
      </c>
      <c r="I5755" s="56" t="n">
        <v>15.6</v>
      </c>
      <c r="J5755" s="56" t="n">
        <v>0</v>
      </c>
      <c r="K5755" s="56" t="n">
        <v>1018.4</v>
      </c>
      <c r="L5755" s="56" t="n">
        <v>0</v>
      </c>
      <c r="M5755" s="56" t="n">
        <v>76</v>
      </c>
      <c r="N5755" s="56" t="n">
        <v>0</v>
      </c>
      <c r="O5755" s="56" t="n">
        <f aca="false">IF(D5755=1,"",E5754)</f>
        <v>19.2</v>
      </c>
      <c r="P5755" s="56" t="n">
        <f aca="false">IF(OR(D5755=1,K5754=""),"",K5754)</f>
        <v>1017</v>
      </c>
      <c r="Q5755" s="56" t="n">
        <f aca="false">IF(OR(F5755&lt;&gt;0,AND(I5755&lt;&gt;"",E5755&lt;I5755)),1,0)</f>
        <v>0</v>
      </c>
      <c r="R5755" s="56" t="n">
        <f aca="false">IF(AND(D5755&gt;1,Q5755=0,ISNUMBER(O5755),ISNUMBER(P5755)),IF(Q5754=0,1,0),0)</f>
        <v>1</v>
      </c>
      <c r="S5755" s="56" t="n">
        <f aca="false">R5755*(B5755&gt;=Train_Start)*(B5755&lt;=Train_End)</f>
        <v>0</v>
      </c>
      <c r="T5755" s="84" t="n">
        <f aca="false">IF(AND(ISNUMBER(O5755),ISNUMBER(P5755)),Coef_A+Coef_B1*O5755+Coef_B2*P5755,"")</f>
        <v>19.7214707711819</v>
      </c>
      <c r="U5755" s="84" t="n">
        <f aca="false">IF(AND(R5755=1,ISNUMBER(T5755)),E5755-T5755,"")</f>
        <v>2.17852922881806</v>
      </c>
      <c r="V5755" s="84" t="n">
        <f aca="false">IF(ISNUMBER(T5755),T5755,-99)</f>
        <v>19.7214707711819</v>
      </c>
      <c r="W5755" s="84" t="n">
        <f aca="false">IF(ISNUMBER(U5755),ABS(U5755),"")</f>
        <v>2.17852922881806</v>
      </c>
    </row>
    <row r="5756" customFormat="false" ht="15" hidden="false" customHeight="false" outlineLevel="0" collapsed="false">
      <c r="A5756" s="57" t="n">
        <v>42584</v>
      </c>
      <c r="B5756" s="56" t="n">
        <v>2016</v>
      </c>
      <c r="C5756" s="56" t="n">
        <v>8</v>
      </c>
      <c r="D5756" s="56" t="n">
        <v>94</v>
      </c>
      <c r="E5756" s="56" t="n">
        <v>24.7</v>
      </c>
      <c r="F5756" s="56" t="n">
        <v>0</v>
      </c>
      <c r="G5756" s="56" t="n">
        <v>14.1</v>
      </c>
      <c r="H5756" s="56" t="n">
        <v>0</v>
      </c>
      <c r="I5756" s="56" t="n">
        <v>18</v>
      </c>
      <c r="J5756" s="56" t="n">
        <v>0</v>
      </c>
      <c r="K5756" s="56" t="n">
        <v>1010</v>
      </c>
      <c r="L5756" s="56" t="n">
        <v>0</v>
      </c>
      <c r="M5756" s="56" t="n">
        <v>91</v>
      </c>
      <c r="N5756" s="56" t="n">
        <v>0</v>
      </c>
      <c r="O5756" s="56" t="n">
        <f aca="false">IF(D5756=1,"",E5755)</f>
        <v>21.9</v>
      </c>
      <c r="P5756" s="56" t="n">
        <f aca="false">IF(OR(D5756=1,K5755=""),"",K5755)</f>
        <v>1018.4</v>
      </c>
      <c r="Q5756" s="56" t="n">
        <f aca="false">IF(OR(F5756&lt;&gt;0,AND(I5756&lt;&gt;"",E5756&lt;I5756)),1,0)</f>
        <v>0</v>
      </c>
      <c r="R5756" s="56" t="n">
        <f aca="false">IF(AND(D5756&gt;1,Q5756=0,ISNUMBER(O5756),ISNUMBER(P5756)),IF(Q5755=0,1,0),0)</f>
        <v>1</v>
      </c>
      <c r="S5756" s="56" t="n">
        <f aca="false">R5756*(B5756&gt;=Train_Start)*(B5756&lt;=Train_End)</f>
        <v>0</v>
      </c>
      <c r="T5756" s="84" t="n">
        <f aca="false">IF(AND(ISNUMBER(O5756),ISNUMBER(P5756)),Coef_A+Coef_B1*O5756+Coef_B2*P5756,"")</f>
        <v>21.9776044448847</v>
      </c>
      <c r="U5756" s="84" t="n">
        <f aca="false">IF(AND(R5756=1,ISNUMBER(T5756)),E5756-T5756,"")</f>
        <v>2.7223955551153</v>
      </c>
      <c r="V5756" s="84" t="n">
        <f aca="false">IF(ISNUMBER(T5756),T5756,-99)</f>
        <v>21.9776044448847</v>
      </c>
      <c r="W5756" s="84" t="n">
        <f aca="false">IF(ISNUMBER(U5756),ABS(U5756),"")</f>
        <v>2.7223955551153</v>
      </c>
    </row>
    <row r="5757" customFormat="false" ht="15" hidden="false" customHeight="false" outlineLevel="0" collapsed="false">
      <c r="A5757" s="57" t="n">
        <v>42585</v>
      </c>
      <c r="B5757" s="56" t="n">
        <v>2016</v>
      </c>
      <c r="C5757" s="56" t="n">
        <v>8</v>
      </c>
      <c r="D5757" s="56" t="n">
        <v>95</v>
      </c>
      <c r="E5757" s="56" t="n">
        <v>23.5</v>
      </c>
      <c r="F5757" s="56" t="n">
        <v>0</v>
      </c>
      <c r="G5757" s="56" t="n">
        <v>18.3</v>
      </c>
      <c r="H5757" s="56" t="n">
        <v>0</v>
      </c>
      <c r="I5757" s="56" t="n">
        <v>21.5</v>
      </c>
      <c r="J5757" s="56" t="n">
        <v>0</v>
      </c>
      <c r="K5757" s="56" t="n">
        <v>1007.7</v>
      </c>
      <c r="L5757" s="56" t="n">
        <v>0</v>
      </c>
      <c r="M5757" s="56" t="n">
        <v>72</v>
      </c>
      <c r="N5757" s="56" t="n">
        <v>4.7</v>
      </c>
      <c r="O5757" s="56" t="n">
        <f aca="false">IF(D5757=1,"",E5756)</f>
        <v>24.7</v>
      </c>
      <c r="P5757" s="56" t="n">
        <f aca="false">IF(OR(D5757=1,K5756=""),"",K5756)</f>
        <v>1010</v>
      </c>
      <c r="Q5757" s="56" t="n">
        <f aca="false">IF(OR(F5757&lt;&gt;0,AND(I5757&lt;&gt;"",E5757&lt;I5757)),1,0)</f>
        <v>0</v>
      </c>
      <c r="R5757" s="56" t="n">
        <f aca="false">IF(AND(D5757&gt;1,Q5757=0,ISNUMBER(O5757),ISNUMBER(P5757)),IF(Q5756=0,1,0),0)</f>
        <v>1</v>
      </c>
      <c r="S5757" s="56" t="n">
        <f aca="false">R5757*(B5757&gt;=Train_Start)*(B5757&lt;=Train_End)</f>
        <v>0</v>
      </c>
      <c r="T5757" s="84" t="n">
        <f aca="false">IF(AND(ISNUMBER(O5757),ISNUMBER(P5757)),Coef_A+Coef_B1*O5757+Coef_B2*P5757,"")</f>
        <v>24.0082470704786</v>
      </c>
      <c r="U5757" s="84" t="n">
        <f aca="false">IF(AND(R5757=1,ISNUMBER(T5757)),E5757-T5757,"")</f>
        <v>-0.508247070478625</v>
      </c>
      <c r="V5757" s="84" t="n">
        <f aca="false">IF(ISNUMBER(T5757),T5757,-99)</f>
        <v>24.0082470704786</v>
      </c>
      <c r="W5757" s="84" t="n">
        <f aca="false">IF(ISNUMBER(U5757),ABS(U5757),"")</f>
        <v>0.508247070478625</v>
      </c>
    </row>
    <row r="5758" customFormat="false" ht="15" hidden="false" customHeight="false" outlineLevel="0" collapsed="false">
      <c r="A5758" s="57" t="n">
        <v>42586</v>
      </c>
      <c r="B5758" s="56" t="n">
        <v>2016</v>
      </c>
      <c r="C5758" s="56" t="n">
        <v>8</v>
      </c>
      <c r="D5758" s="56" t="n">
        <v>96</v>
      </c>
      <c r="E5758" s="56" t="n">
        <v>24.1</v>
      </c>
      <c r="F5758" s="56" t="n">
        <v>0</v>
      </c>
      <c r="G5758" s="56" t="n">
        <v>15.1</v>
      </c>
      <c r="H5758" s="56" t="n">
        <v>0</v>
      </c>
      <c r="I5758" s="56" t="n">
        <v>19.3</v>
      </c>
      <c r="J5758" s="56" t="n">
        <v>0</v>
      </c>
      <c r="K5758" s="56" t="n">
        <v>1009.8</v>
      </c>
      <c r="L5758" s="56" t="n">
        <v>0</v>
      </c>
      <c r="M5758" s="56" t="n">
        <v>66</v>
      </c>
      <c r="N5758" s="56" t="n">
        <v>2</v>
      </c>
      <c r="O5758" s="56" t="n">
        <f aca="false">IF(D5758=1,"",E5757)</f>
        <v>23.5</v>
      </c>
      <c r="P5758" s="56" t="n">
        <f aca="false">IF(OR(D5758=1,K5757=""),"",K5757)</f>
        <v>1007.7</v>
      </c>
      <c r="Q5758" s="56" t="n">
        <f aca="false">IF(OR(F5758&lt;&gt;0,AND(I5758&lt;&gt;"",E5758&lt;I5758)),1,0)</f>
        <v>0</v>
      </c>
      <c r="R5758" s="56" t="n">
        <f aca="false">IF(AND(D5758&gt;1,Q5758=0,ISNUMBER(O5758),ISNUMBER(P5758)),IF(Q5757=0,1,0),0)</f>
        <v>1</v>
      </c>
      <c r="S5758" s="56" t="n">
        <f aca="false">R5758*(B5758&gt;=Train_Start)*(B5758&lt;=Train_End)</f>
        <v>0</v>
      </c>
      <c r="T5758" s="84" t="n">
        <f aca="false">IF(AND(ISNUMBER(O5758),ISNUMBER(P5758)),Coef_A+Coef_B1*O5758+Coef_B2*P5758,"")</f>
        <v>22.9528892811693</v>
      </c>
      <c r="U5758" s="84" t="n">
        <f aca="false">IF(AND(R5758=1,ISNUMBER(T5758)),E5758-T5758,"")</f>
        <v>1.14711071883074</v>
      </c>
      <c r="V5758" s="84" t="n">
        <f aca="false">IF(ISNUMBER(T5758),T5758,-99)</f>
        <v>22.9528892811693</v>
      </c>
      <c r="W5758" s="84" t="n">
        <f aca="false">IF(ISNUMBER(U5758),ABS(U5758),"")</f>
        <v>1.14711071883074</v>
      </c>
    </row>
    <row r="5759" customFormat="false" ht="15" hidden="false" customHeight="false" outlineLevel="0" collapsed="false">
      <c r="A5759" s="57" t="n">
        <v>42587</v>
      </c>
      <c r="B5759" s="56" t="n">
        <v>2016</v>
      </c>
      <c r="C5759" s="56" t="n">
        <v>8</v>
      </c>
      <c r="D5759" s="56" t="n">
        <v>97</v>
      </c>
      <c r="E5759" s="56" t="n">
        <v>26.4</v>
      </c>
      <c r="F5759" s="56" t="n">
        <v>0</v>
      </c>
      <c r="G5759" s="56" t="n">
        <v>12.8</v>
      </c>
      <c r="H5759" s="56" t="n">
        <v>0</v>
      </c>
      <c r="I5759" s="56" t="n">
        <v>18.4</v>
      </c>
      <c r="J5759" s="56" t="n">
        <v>0</v>
      </c>
      <c r="K5759" s="56" t="n">
        <v>1019.7</v>
      </c>
      <c r="L5759" s="56" t="n">
        <v>0</v>
      </c>
      <c r="M5759" s="56" t="n">
        <v>67</v>
      </c>
      <c r="N5759" s="56" t="n">
        <v>6.5</v>
      </c>
      <c r="O5759" s="56" t="n">
        <f aca="false">IF(D5759=1,"",E5758)</f>
        <v>24.1</v>
      </c>
      <c r="P5759" s="56" t="n">
        <f aca="false">IF(OR(D5759=1,K5758=""),"",K5758)</f>
        <v>1009.8</v>
      </c>
      <c r="Q5759" s="56" t="n">
        <f aca="false">IF(OR(F5759&lt;&gt;0,AND(I5759&lt;&gt;"",E5759&lt;I5759)),1,0)</f>
        <v>0</v>
      </c>
      <c r="R5759" s="56" t="n">
        <f aca="false">IF(AND(D5759&gt;1,Q5759=0,ISNUMBER(O5759),ISNUMBER(P5759)),IF(Q5758=0,1,0),0)</f>
        <v>1</v>
      </c>
      <c r="S5759" s="56" t="n">
        <f aca="false">R5759*(B5759&gt;=Train_Start)*(B5759&lt;=Train_End)</f>
        <v>0</v>
      </c>
      <c r="T5759" s="84" t="n">
        <f aca="false">IF(AND(ISNUMBER(O5759),ISNUMBER(P5759)),Coef_A+Coef_B1*O5759+Coef_B2*P5759,"")</f>
        <v>23.5103695757262</v>
      </c>
      <c r="U5759" s="84" t="n">
        <f aca="false">IF(AND(R5759=1,ISNUMBER(T5759)),E5759-T5759,"")</f>
        <v>2.88963042427377</v>
      </c>
      <c r="V5759" s="84" t="n">
        <f aca="false">IF(ISNUMBER(T5759),T5759,-99)</f>
        <v>23.5103695757262</v>
      </c>
      <c r="W5759" s="84" t="n">
        <f aca="false">IF(ISNUMBER(U5759),ABS(U5759),"")</f>
        <v>2.88963042427377</v>
      </c>
    </row>
    <row r="5760" customFormat="false" ht="15" hidden="false" customHeight="false" outlineLevel="0" collapsed="false">
      <c r="A5760" s="57" t="n">
        <v>42588</v>
      </c>
      <c r="B5760" s="56" t="n">
        <v>2016</v>
      </c>
      <c r="C5760" s="56" t="n">
        <v>8</v>
      </c>
      <c r="D5760" s="56" t="n">
        <v>98</v>
      </c>
      <c r="E5760" s="56" t="n">
        <v>27.3</v>
      </c>
      <c r="F5760" s="56" t="n">
        <v>0</v>
      </c>
      <c r="G5760" s="56" t="n">
        <v>12.7</v>
      </c>
      <c r="H5760" s="56" t="n">
        <v>0</v>
      </c>
      <c r="I5760" s="56" t="n">
        <v>19.6</v>
      </c>
      <c r="J5760" s="56" t="n">
        <v>0</v>
      </c>
      <c r="K5760" s="56" t="n">
        <v>1026.4</v>
      </c>
      <c r="L5760" s="56" t="n">
        <v>0</v>
      </c>
      <c r="M5760" s="56" t="n">
        <v>66</v>
      </c>
      <c r="N5760" s="56" t="n">
        <v>13.4</v>
      </c>
      <c r="O5760" s="56" t="n">
        <f aca="false">IF(D5760=1,"",E5759)</f>
        <v>26.4</v>
      </c>
      <c r="P5760" s="56" t="n">
        <f aca="false">IF(OR(D5760=1,K5759=""),"",K5759)</f>
        <v>1019.7</v>
      </c>
      <c r="Q5760" s="56" t="n">
        <f aca="false">IF(OR(F5760&lt;&gt;0,AND(I5760&lt;&gt;"",E5760&lt;I5760)),1,0)</f>
        <v>0</v>
      </c>
      <c r="R5760" s="56" t="n">
        <f aca="false">IF(AND(D5760&gt;1,Q5760=0,ISNUMBER(O5760),ISNUMBER(P5760)),IF(Q5759=0,1,0),0)</f>
        <v>1</v>
      </c>
      <c r="S5760" s="56" t="n">
        <f aca="false">R5760*(B5760&gt;=Train_Start)*(B5760&lt;=Train_End)</f>
        <v>0</v>
      </c>
      <c r="T5760" s="84" t="n">
        <f aca="false">IF(AND(ISNUMBER(O5760),ISNUMBER(P5760)),Coef_A+Coef_B1*O5760+Coef_B2*P5760,"")</f>
        <v>25.7054116766008</v>
      </c>
      <c r="U5760" s="84" t="n">
        <f aca="false">IF(AND(R5760=1,ISNUMBER(T5760)),E5760-T5760,"")</f>
        <v>1.59458832339916</v>
      </c>
      <c r="V5760" s="84" t="n">
        <f aca="false">IF(ISNUMBER(T5760),T5760,-99)</f>
        <v>25.7054116766008</v>
      </c>
      <c r="W5760" s="84" t="n">
        <f aca="false">IF(ISNUMBER(U5760),ABS(U5760),"")</f>
        <v>1.59458832339916</v>
      </c>
    </row>
    <row r="5761" customFormat="false" ht="15" hidden="false" customHeight="false" outlineLevel="0" collapsed="false">
      <c r="A5761" s="57" t="n">
        <v>42589</v>
      </c>
      <c r="B5761" s="56" t="n">
        <v>2016</v>
      </c>
      <c r="C5761" s="56" t="n">
        <v>8</v>
      </c>
      <c r="D5761" s="56" t="n">
        <v>99</v>
      </c>
      <c r="E5761" s="56" t="n">
        <v>22.3</v>
      </c>
      <c r="F5761" s="56" t="n">
        <v>0</v>
      </c>
      <c r="G5761" s="56" t="n">
        <v>17</v>
      </c>
      <c r="H5761" s="56" t="n">
        <v>0</v>
      </c>
      <c r="I5761" s="56" t="n">
        <v>22.2</v>
      </c>
      <c r="J5761" s="56" t="n">
        <v>0</v>
      </c>
      <c r="K5761" s="56" t="n">
        <v>1023.4</v>
      </c>
      <c r="L5761" s="56" t="n">
        <v>0</v>
      </c>
      <c r="M5761" s="56" t="n">
        <v>68</v>
      </c>
      <c r="N5761" s="56" t="n">
        <v>8.9</v>
      </c>
      <c r="O5761" s="56" t="n">
        <f aca="false">IF(D5761=1,"",E5760)</f>
        <v>27.3</v>
      </c>
      <c r="P5761" s="56" t="n">
        <f aca="false">IF(OR(D5761=1,K5760=""),"",K5760)</f>
        <v>1026.4</v>
      </c>
      <c r="Q5761" s="56" t="n">
        <f aca="false">IF(OR(F5761&lt;&gt;0,AND(I5761&lt;&gt;"",E5761&lt;I5761)),1,0)</f>
        <v>0</v>
      </c>
      <c r="R5761" s="56" t="n">
        <f aca="false">IF(AND(D5761&gt;1,Q5761=0,ISNUMBER(O5761),ISNUMBER(P5761)),IF(Q5760=0,1,0),0)</f>
        <v>1</v>
      </c>
      <c r="S5761" s="56" t="n">
        <f aca="false">R5761*(B5761&gt;=Train_Start)*(B5761&lt;=Train_End)</f>
        <v>0</v>
      </c>
      <c r="T5761" s="84" t="n">
        <f aca="false">IF(AND(ISNUMBER(O5761),ISNUMBER(P5761)),Coef_A+Coef_B1*O5761+Coef_B2*P5761,"")</f>
        <v>26.652995244387</v>
      </c>
      <c r="U5761" s="84" t="n">
        <f aca="false">IF(AND(R5761=1,ISNUMBER(T5761)),E5761-T5761,"")</f>
        <v>-4.35299524438696</v>
      </c>
      <c r="V5761" s="84" t="n">
        <f aca="false">IF(ISNUMBER(T5761),T5761,-99)</f>
        <v>26.652995244387</v>
      </c>
      <c r="W5761" s="84" t="n">
        <f aca="false">IF(ISNUMBER(U5761),ABS(U5761),"")</f>
        <v>4.35299524438696</v>
      </c>
    </row>
    <row r="5762" customFormat="false" ht="15" hidden="false" customHeight="false" outlineLevel="0" collapsed="false">
      <c r="A5762" s="57" t="n">
        <v>42590</v>
      </c>
      <c r="B5762" s="56" t="n">
        <v>2016</v>
      </c>
      <c r="C5762" s="56" t="n">
        <v>8</v>
      </c>
      <c r="D5762" s="56" t="n">
        <v>100</v>
      </c>
      <c r="E5762" s="56" t="n">
        <v>20.8</v>
      </c>
      <c r="F5762" s="56" t="n">
        <v>0</v>
      </c>
      <c r="G5762" s="56" t="n">
        <v>14.1</v>
      </c>
      <c r="H5762" s="56" t="n">
        <v>0</v>
      </c>
      <c r="I5762" s="56" t="n">
        <v>18.2</v>
      </c>
      <c r="J5762" s="56" t="n">
        <v>0</v>
      </c>
      <c r="K5762" s="56" t="n">
        <v>1021.8</v>
      </c>
      <c r="L5762" s="56" t="n">
        <v>0</v>
      </c>
      <c r="M5762" s="56" t="n">
        <v>57</v>
      </c>
      <c r="N5762" s="56" t="n">
        <v>7.2</v>
      </c>
      <c r="O5762" s="56" t="n">
        <f aca="false">IF(D5762=1,"",E5761)</f>
        <v>22.3</v>
      </c>
      <c r="P5762" s="56" t="n">
        <f aca="false">IF(OR(D5762=1,K5761=""),"",K5761)</f>
        <v>1023.4</v>
      </c>
      <c r="Q5762" s="56" t="n">
        <f aca="false">IF(OR(F5762&lt;&gt;0,AND(I5762&lt;&gt;"",E5762&lt;I5762)),1,0)</f>
        <v>0</v>
      </c>
      <c r="R5762" s="56" t="n">
        <f aca="false">IF(AND(D5762&gt;1,Q5762=0,ISNUMBER(O5762),ISNUMBER(P5762)),IF(Q5761=0,1,0),0)</f>
        <v>1</v>
      </c>
      <c r="S5762" s="56" t="n">
        <f aca="false">R5762*(B5762&gt;=Train_Start)*(B5762&lt;=Train_End)</f>
        <v>0</v>
      </c>
      <c r="T5762" s="84" t="n">
        <f aca="false">IF(AND(ISNUMBER(O5762),ISNUMBER(P5762)),Coef_A+Coef_B1*O5762+Coef_B2*P5762,"")</f>
        <v>22.4621895952717</v>
      </c>
      <c r="U5762" s="84" t="n">
        <f aca="false">IF(AND(R5762=1,ISNUMBER(T5762)),E5762-T5762,"")</f>
        <v>-1.66218959527171</v>
      </c>
      <c r="V5762" s="84" t="n">
        <f aca="false">IF(ISNUMBER(T5762),T5762,-99)</f>
        <v>22.4621895952717</v>
      </c>
      <c r="W5762" s="84" t="n">
        <f aca="false">IF(ISNUMBER(U5762),ABS(U5762),"")</f>
        <v>1.66218959527171</v>
      </c>
    </row>
    <row r="5763" customFormat="false" ht="15" hidden="false" customHeight="false" outlineLevel="0" collapsed="false">
      <c r="A5763" s="57" t="n">
        <v>42591</v>
      </c>
      <c r="B5763" s="56" t="n">
        <v>2016</v>
      </c>
      <c r="C5763" s="56" t="n">
        <v>8</v>
      </c>
      <c r="D5763" s="56" t="n">
        <v>101</v>
      </c>
      <c r="E5763" s="56" t="n">
        <v>20.4</v>
      </c>
      <c r="F5763" s="56" t="n">
        <v>0</v>
      </c>
      <c r="G5763" s="56" t="n">
        <v>10.4</v>
      </c>
      <c r="H5763" s="56" t="n">
        <v>0</v>
      </c>
      <c r="I5763" s="56" t="n">
        <v>15.6</v>
      </c>
      <c r="J5763" s="56" t="n">
        <v>0</v>
      </c>
      <c r="K5763" s="56" t="n">
        <v>1025.1</v>
      </c>
      <c r="L5763" s="56" t="n">
        <v>0</v>
      </c>
      <c r="M5763" s="56" t="n">
        <v>58</v>
      </c>
      <c r="N5763" s="56" t="n">
        <v>7.2</v>
      </c>
      <c r="O5763" s="56" t="n">
        <f aca="false">IF(D5763=1,"",E5762)</f>
        <v>20.8</v>
      </c>
      <c r="P5763" s="56" t="n">
        <f aca="false">IF(OR(D5763=1,K5762=""),"",K5762)</f>
        <v>1021.8</v>
      </c>
      <c r="Q5763" s="56" t="n">
        <f aca="false">IF(OR(F5763&lt;&gt;0,AND(I5763&lt;&gt;"",E5763&lt;I5763)),1,0)</f>
        <v>0</v>
      </c>
      <c r="R5763" s="56" t="n">
        <f aca="false">IF(AND(D5763&gt;1,Q5763=0,ISNUMBER(O5763),ISNUMBER(P5763)),IF(Q5762=0,1,0),0)</f>
        <v>1</v>
      </c>
      <c r="S5763" s="56" t="n">
        <f aca="false">R5763*(B5763&gt;=Train_Start)*(B5763&lt;=Train_End)</f>
        <v>0</v>
      </c>
      <c r="T5763" s="84" t="n">
        <f aca="false">IF(AND(ISNUMBER(O5763),ISNUMBER(P5763)),Coef_A+Coef_B1*O5763+Coef_B2*P5763,"")</f>
        <v>21.1829889742933</v>
      </c>
      <c r="U5763" s="84" t="n">
        <f aca="false">IF(AND(R5763=1,ISNUMBER(T5763)),E5763-T5763,"")</f>
        <v>-0.782988974293335</v>
      </c>
      <c r="V5763" s="84" t="n">
        <f aca="false">IF(ISNUMBER(T5763),T5763,-99)</f>
        <v>21.1829889742933</v>
      </c>
      <c r="W5763" s="84" t="n">
        <f aca="false">IF(ISNUMBER(U5763),ABS(U5763),"")</f>
        <v>0.782988974293335</v>
      </c>
    </row>
    <row r="5764" customFormat="false" ht="15" hidden="false" customHeight="false" outlineLevel="0" collapsed="false">
      <c r="A5764" s="57" t="n">
        <v>42592</v>
      </c>
      <c r="B5764" s="56" t="n">
        <v>2016</v>
      </c>
      <c r="C5764" s="56" t="n">
        <v>8</v>
      </c>
      <c r="D5764" s="56" t="n">
        <v>102</v>
      </c>
      <c r="E5764" s="56" t="n">
        <v>24.5</v>
      </c>
      <c r="F5764" s="56" t="n">
        <v>0</v>
      </c>
      <c r="G5764" s="56" t="n">
        <v>10.7</v>
      </c>
      <c r="H5764" s="56" t="n">
        <v>0</v>
      </c>
      <c r="I5764" s="56" t="n">
        <v>15.6</v>
      </c>
      <c r="J5764" s="56" t="n">
        <v>0</v>
      </c>
      <c r="K5764" s="56" t="n">
        <v>1024.9</v>
      </c>
      <c r="L5764" s="56" t="n">
        <v>0</v>
      </c>
      <c r="M5764" s="56" t="n">
        <v>61</v>
      </c>
      <c r="N5764" s="56" t="n">
        <v>3.5</v>
      </c>
      <c r="O5764" s="56" t="n">
        <f aca="false">IF(D5764=1,"",E5763)</f>
        <v>20.4</v>
      </c>
      <c r="P5764" s="56" t="n">
        <f aca="false">IF(OR(D5764=1,K5763=""),"",K5763)</f>
        <v>1025.1</v>
      </c>
      <c r="Q5764" s="56" t="n">
        <f aca="false">IF(OR(F5764&lt;&gt;0,AND(I5764&lt;&gt;"",E5764&lt;I5764)),1,0)</f>
        <v>0</v>
      </c>
      <c r="R5764" s="56" t="n">
        <f aca="false">IF(AND(D5764&gt;1,Q5764=0,ISNUMBER(O5764),ISNUMBER(P5764)),IF(Q5763=0,1,0),0)</f>
        <v>1</v>
      </c>
      <c r="S5764" s="56" t="n">
        <f aca="false">R5764*(B5764&gt;=Train_Start)*(B5764&lt;=Train_End)</f>
        <v>0</v>
      </c>
      <c r="T5764" s="84" t="n">
        <f aca="false">IF(AND(ISNUMBER(O5764),ISNUMBER(P5764)),Coef_A+Coef_B1*O5764+Coef_B2*P5764,"")</f>
        <v>20.9587739493684</v>
      </c>
      <c r="U5764" s="84" t="n">
        <f aca="false">IF(AND(R5764=1,ISNUMBER(T5764)),E5764-T5764,"")</f>
        <v>3.54122605063157</v>
      </c>
      <c r="V5764" s="84" t="n">
        <f aca="false">IF(ISNUMBER(T5764),T5764,-99)</f>
        <v>20.9587739493684</v>
      </c>
      <c r="W5764" s="84" t="n">
        <f aca="false">IF(ISNUMBER(U5764),ABS(U5764),"")</f>
        <v>3.54122605063157</v>
      </c>
    </row>
    <row r="5765" customFormat="false" ht="15" hidden="false" customHeight="false" outlineLevel="0" collapsed="false">
      <c r="A5765" s="57" t="n">
        <v>42593</v>
      </c>
      <c r="B5765" s="56" t="n">
        <v>2016</v>
      </c>
      <c r="C5765" s="56" t="n">
        <v>8</v>
      </c>
      <c r="D5765" s="56" t="n">
        <v>103</v>
      </c>
      <c r="E5765" s="56" t="n">
        <v>27.7</v>
      </c>
      <c r="F5765" s="56" t="n">
        <v>0</v>
      </c>
      <c r="G5765" s="56" t="n">
        <v>14.9</v>
      </c>
      <c r="H5765" s="56" t="n">
        <v>0</v>
      </c>
      <c r="I5765" s="56" t="n">
        <v>19.7</v>
      </c>
      <c r="J5765" s="56" t="n">
        <v>0</v>
      </c>
      <c r="K5765" s="56" t="n">
        <v>1022.2</v>
      </c>
      <c r="L5765" s="56" t="n">
        <v>0</v>
      </c>
      <c r="M5765" s="56" t="n">
        <v>68</v>
      </c>
      <c r="N5765" s="56" t="n">
        <v>4.9</v>
      </c>
      <c r="O5765" s="56" t="n">
        <f aca="false">IF(D5765=1,"",E5764)</f>
        <v>24.5</v>
      </c>
      <c r="P5765" s="56" t="n">
        <f aca="false">IF(OR(D5765=1,K5764=""),"",K5764)</f>
        <v>1024.9</v>
      </c>
      <c r="Q5765" s="56" t="n">
        <f aca="false">IF(OR(F5765&lt;&gt;0,AND(I5765&lt;&gt;"",E5765&lt;I5765)),1,0)</f>
        <v>0</v>
      </c>
      <c r="R5765" s="56" t="n">
        <f aca="false">IF(AND(D5765&gt;1,Q5765=0,ISNUMBER(O5765),ISNUMBER(P5765)),IF(Q5764=0,1,0),0)</f>
        <v>1</v>
      </c>
      <c r="S5765" s="56" t="n">
        <f aca="false">R5765*(B5765&gt;=Train_Start)*(B5765&lt;=Train_End)</f>
        <v>0</v>
      </c>
      <c r="T5765" s="84" t="n">
        <f aca="false">IF(AND(ISNUMBER(O5765),ISNUMBER(P5765)),Coef_A+Coef_B1*O5765+Coef_B2*P5765,"")</f>
        <v>24.3117906619165</v>
      </c>
      <c r="U5765" s="84" t="n">
        <f aca="false">IF(AND(R5765=1,ISNUMBER(T5765)),E5765-T5765,"")</f>
        <v>3.38820933808346</v>
      </c>
      <c r="V5765" s="84" t="n">
        <f aca="false">IF(ISNUMBER(T5765),T5765,-99)</f>
        <v>24.3117906619165</v>
      </c>
      <c r="W5765" s="84" t="n">
        <f aca="false">IF(ISNUMBER(U5765),ABS(U5765),"")</f>
        <v>3.38820933808346</v>
      </c>
    </row>
    <row r="5766" customFormat="false" ht="15" hidden="false" customHeight="false" outlineLevel="0" collapsed="false">
      <c r="A5766" s="57" t="n">
        <v>42594</v>
      </c>
      <c r="B5766" s="56" t="n">
        <v>2016</v>
      </c>
      <c r="C5766" s="56" t="n">
        <v>8</v>
      </c>
      <c r="D5766" s="56" t="n">
        <v>104</v>
      </c>
      <c r="E5766" s="56" t="n">
        <v>25.8</v>
      </c>
      <c r="F5766" s="56" t="n">
        <v>0</v>
      </c>
      <c r="G5766" s="56" t="n">
        <v>13.8</v>
      </c>
      <c r="H5766" s="56" t="n">
        <v>0</v>
      </c>
      <c r="I5766" s="56" t="n">
        <v>20.8</v>
      </c>
      <c r="J5766" s="56" t="n">
        <v>0</v>
      </c>
      <c r="K5766" s="56" t="n">
        <v>1023.4</v>
      </c>
      <c r="L5766" s="56" t="n">
        <v>0</v>
      </c>
      <c r="M5766" s="56" t="n">
        <v>67</v>
      </c>
      <c r="N5766" s="56" t="n">
        <v>12.3</v>
      </c>
      <c r="O5766" s="56" t="n">
        <f aca="false">IF(D5766=1,"",E5765)</f>
        <v>27.7</v>
      </c>
      <c r="P5766" s="56" t="n">
        <f aca="false">IF(OR(D5766=1,K5765=""),"",K5765)</f>
        <v>1022.2</v>
      </c>
      <c r="Q5766" s="56" t="n">
        <f aca="false">IF(OR(F5766&lt;&gt;0,AND(I5766&lt;&gt;"",E5766&lt;I5766)),1,0)</f>
        <v>0</v>
      </c>
      <c r="R5766" s="56" t="n">
        <f aca="false">IF(AND(D5766&gt;1,Q5766=0,ISNUMBER(O5766),ISNUMBER(P5766)),IF(Q5765=0,1,0),0)</f>
        <v>1</v>
      </c>
      <c r="S5766" s="56" t="n">
        <f aca="false">R5766*(B5766&gt;=Train_Start)*(B5766&lt;=Train_End)</f>
        <v>0</v>
      </c>
      <c r="T5766" s="84" t="n">
        <f aca="false">IF(AND(ISNUMBER(O5766),ISNUMBER(P5766)),Coef_A+Coef_B1*O5766+Coef_B2*P5766,"")</f>
        <v>26.8489773641413</v>
      </c>
      <c r="U5766" s="84" t="n">
        <f aca="false">IF(AND(R5766=1,ISNUMBER(T5766)),E5766-T5766,"")</f>
        <v>-1.04897736414127</v>
      </c>
      <c r="V5766" s="84" t="n">
        <f aca="false">IF(ISNUMBER(T5766),T5766,-99)</f>
        <v>26.8489773641413</v>
      </c>
      <c r="W5766" s="84" t="n">
        <f aca="false">IF(ISNUMBER(U5766),ABS(U5766),"")</f>
        <v>1.04897736414127</v>
      </c>
    </row>
    <row r="5767" customFormat="false" ht="15" hidden="false" customHeight="false" outlineLevel="0" collapsed="false">
      <c r="A5767" s="57" t="n">
        <v>42595</v>
      </c>
      <c r="B5767" s="56" t="n">
        <v>2016</v>
      </c>
      <c r="C5767" s="56" t="n">
        <v>8</v>
      </c>
      <c r="D5767" s="56" t="n">
        <v>105</v>
      </c>
      <c r="E5767" s="56" t="n">
        <v>22.9</v>
      </c>
      <c r="F5767" s="56" t="n">
        <v>0</v>
      </c>
      <c r="G5767" s="56" t="n">
        <v>14.5</v>
      </c>
      <c r="H5767" s="56" t="n">
        <v>0</v>
      </c>
      <c r="I5767" s="56" t="n">
        <v>20.2</v>
      </c>
      <c r="J5767" s="56" t="n">
        <v>0</v>
      </c>
      <c r="K5767" s="56" t="n">
        <v>1022.6</v>
      </c>
      <c r="L5767" s="56" t="n">
        <v>0</v>
      </c>
      <c r="M5767" s="56" t="n">
        <v>64</v>
      </c>
      <c r="N5767" s="56" t="n">
        <v>6.4</v>
      </c>
      <c r="O5767" s="56" t="n">
        <f aca="false">IF(D5767=1,"",E5766)</f>
        <v>25.8</v>
      </c>
      <c r="P5767" s="56" t="n">
        <f aca="false">IF(OR(D5767=1,K5766=""),"",K5766)</f>
        <v>1023.4</v>
      </c>
      <c r="Q5767" s="56" t="n">
        <f aca="false">IF(OR(F5767&lt;&gt;0,AND(I5767&lt;&gt;"",E5767&lt;I5767)),1,0)</f>
        <v>0</v>
      </c>
      <c r="R5767" s="56" t="n">
        <f aca="false">IF(AND(D5767&gt;1,Q5767=0,ISNUMBER(O5767),ISNUMBER(P5767)),IF(Q5766=0,1,0),0)</f>
        <v>1</v>
      </c>
      <c r="S5767" s="56" t="n">
        <f aca="false">R5767*(B5767&gt;=Train_Start)*(B5767&lt;=Train_End)</f>
        <v>0</v>
      </c>
      <c r="T5767" s="84" t="n">
        <f aca="false">IF(AND(ISNUMBER(O5767),ISNUMBER(P5767)),Coef_A+Coef_B1*O5767+Coef_B2*P5767,"")</f>
        <v>25.329876770921</v>
      </c>
      <c r="U5767" s="84" t="n">
        <f aca="false">IF(AND(R5767=1,ISNUMBER(T5767)),E5767-T5767,"")</f>
        <v>-2.42987677092101</v>
      </c>
      <c r="V5767" s="84" t="n">
        <f aca="false">IF(ISNUMBER(T5767),T5767,-99)</f>
        <v>25.329876770921</v>
      </c>
      <c r="W5767" s="84" t="n">
        <f aca="false">IF(ISNUMBER(U5767),ABS(U5767),"")</f>
        <v>2.42987677092101</v>
      </c>
    </row>
    <row r="5768" customFormat="false" ht="15" hidden="false" customHeight="false" outlineLevel="0" collapsed="false">
      <c r="A5768" s="57" t="n">
        <v>42596</v>
      </c>
      <c r="B5768" s="56" t="n">
        <v>2016</v>
      </c>
      <c r="C5768" s="56" t="n">
        <v>8</v>
      </c>
      <c r="D5768" s="56" t="n">
        <v>106</v>
      </c>
      <c r="E5768" s="56" t="n">
        <v>24.7</v>
      </c>
      <c r="F5768" s="56" t="n">
        <v>0</v>
      </c>
      <c r="G5768" s="56" t="n">
        <v>16.2</v>
      </c>
      <c r="H5768" s="56" t="n">
        <v>0</v>
      </c>
      <c r="I5768" s="56" t="n">
        <v>19.6</v>
      </c>
      <c r="J5768" s="56" t="n">
        <v>0</v>
      </c>
      <c r="K5768" s="56" t="n">
        <v>1025.3</v>
      </c>
      <c r="L5768" s="56" t="n">
        <v>0</v>
      </c>
      <c r="M5768" s="56" t="n">
        <v>54</v>
      </c>
      <c r="N5768" s="56" t="n">
        <v>4.4</v>
      </c>
      <c r="O5768" s="56" t="n">
        <f aca="false">IF(D5768=1,"",E5767)</f>
        <v>22.9</v>
      </c>
      <c r="P5768" s="56" t="n">
        <f aca="false">IF(OR(D5768=1,K5767=""),"",K5767)</f>
        <v>1022.6</v>
      </c>
      <c r="Q5768" s="56" t="n">
        <f aca="false">IF(OR(F5768&lt;&gt;0,AND(I5768&lt;&gt;"",E5768&lt;I5768)),1,0)</f>
        <v>0</v>
      </c>
      <c r="R5768" s="56" t="n">
        <f aca="false">IF(AND(D5768&gt;1,Q5768=0,ISNUMBER(O5768),ISNUMBER(P5768)),IF(Q5767=0,1,0),0)</f>
        <v>1</v>
      </c>
      <c r="S5768" s="56" t="n">
        <f aca="false">R5768*(B5768&gt;=Train_Start)*(B5768&lt;=Train_End)</f>
        <v>0</v>
      </c>
      <c r="T5768" s="84" t="n">
        <f aca="false">IF(AND(ISNUMBER(O5768),ISNUMBER(P5768)),Coef_A+Coef_B1*O5768+Coef_B2*P5768,"")</f>
        <v>22.9286971953901</v>
      </c>
      <c r="U5768" s="84" t="n">
        <f aca="false">IF(AND(R5768=1,ISNUMBER(T5768)),E5768-T5768,"")</f>
        <v>1.77130280460989</v>
      </c>
      <c r="V5768" s="84" t="n">
        <f aca="false">IF(ISNUMBER(T5768),T5768,-99)</f>
        <v>22.9286971953901</v>
      </c>
      <c r="W5768" s="84" t="n">
        <f aca="false">IF(ISNUMBER(U5768),ABS(U5768),"")</f>
        <v>1.77130280460989</v>
      </c>
    </row>
    <row r="5769" customFormat="false" ht="15" hidden="false" customHeight="false" outlineLevel="0" collapsed="false">
      <c r="A5769" s="57" t="n">
        <v>42597</v>
      </c>
      <c r="B5769" s="56" t="n">
        <v>2016</v>
      </c>
      <c r="C5769" s="56" t="n">
        <v>8</v>
      </c>
      <c r="D5769" s="56" t="n">
        <v>107</v>
      </c>
      <c r="E5769" s="56" t="n">
        <v>25</v>
      </c>
      <c r="F5769" s="56" t="n">
        <v>0</v>
      </c>
      <c r="G5769" s="56" t="n">
        <v>12.4</v>
      </c>
      <c r="H5769" s="56" t="n">
        <v>0</v>
      </c>
      <c r="I5769" s="56" t="n">
        <v>18.6</v>
      </c>
      <c r="J5769" s="56" t="n">
        <v>0</v>
      </c>
      <c r="K5769" s="56" t="n">
        <v>1024.4</v>
      </c>
      <c r="L5769" s="56" t="n">
        <v>0</v>
      </c>
      <c r="M5769" s="56" t="n">
        <v>63</v>
      </c>
      <c r="N5769" s="56" t="n">
        <v>13.2</v>
      </c>
      <c r="O5769" s="56" t="n">
        <f aca="false">IF(D5769=1,"",E5768)</f>
        <v>24.7</v>
      </c>
      <c r="P5769" s="56" t="n">
        <f aca="false">IF(OR(D5769=1,K5768=""),"",K5768)</f>
        <v>1025.3</v>
      </c>
      <c r="Q5769" s="56" t="n">
        <f aca="false">IF(OR(F5769&lt;&gt;0,AND(I5769&lt;&gt;"",E5769&lt;I5769)),1,0)</f>
        <v>0</v>
      </c>
      <c r="R5769" s="56" t="n">
        <f aca="false">IF(AND(D5769&gt;1,Q5769=0,ISNUMBER(O5769),ISNUMBER(P5769)),IF(Q5768=0,1,0),0)</f>
        <v>1</v>
      </c>
      <c r="S5769" s="56" t="n">
        <f aca="false">R5769*(B5769&gt;=Train_Start)*(B5769&lt;=Train_End)</f>
        <v>0</v>
      </c>
      <c r="T5769" s="84" t="n">
        <f aca="false">IF(AND(ISNUMBER(O5769),ISNUMBER(P5769)),Coef_A+Coef_B1*O5769+Coef_B2*P5769,"")</f>
        <v>24.4882064583787</v>
      </c>
      <c r="U5769" s="84" t="n">
        <f aca="false">IF(AND(R5769=1,ISNUMBER(T5769)),E5769-T5769,"")</f>
        <v>0.511793541621341</v>
      </c>
      <c r="V5769" s="84" t="n">
        <f aca="false">IF(ISNUMBER(T5769),T5769,-99)</f>
        <v>24.4882064583787</v>
      </c>
      <c r="W5769" s="84" t="n">
        <f aca="false">IF(ISNUMBER(U5769),ABS(U5769),"")</f>
        <v>0.511793541621341</v>
      </c>
    </row>
    <row r="5770" customFormat="false" ht="15" hidden="false" customHeight="false" outlineLevel="0" collapsed="false">
      <c r="A5770" s="57" t="n">
        <v>42598</v>
      </c>
      <c r="B5770" s="56" t="n">
        <v>2016</v>
      </c>
      <c r="C5770" s="56" t="n">
        <v>8</v>
      </c>
      <c r="D5770" s="56" t="n">
        <v>108</v>
      </c>
      <c r="E5770" s="56" t="n">
        <v>26.7</v>
      </c>
      <c r="F5770" s="56" t="n">
        <v>0</v>
      </c>
      <c r="G5770" s="56" t="n">
        <v>12.2</v>
      </c>
      <c r="H5770" s="56" t="n">
        <v>0</v>
      </c>
      <c r="I5770" s="56" t="n">
        <v>18.6</v>
      </c>
      <c r="J5770" s="56" t="n">
        <v>0</v>
      </c>
      <c r="K5770" s="56" t="n">
        <v>1019.2</v>
      </c>
      <c r="L5770" s="56" t="n">
        <v>0</v>
      </c>
      <c r="M5770" s="56" t="n">
        <v>67</v>
      </c>
      <c r="N5770" s="56" t="n">
        <v>12.4</v>
      </c>
      <c r="O5770" s="56" t="n">
        <f aca="false">IF(D5770=1,"",E5769)</f>
        <v>25</v>
      </c>
      <c r="P5770" s="56" t="n">
        <f aca="false">IF(OR(D5770=1,K5769=""),"",K5769)</f>
        <v>1024.4</v>
      </c>
      <c r="Q5770" s="56" t="n">
        <f aca="false">IF(OR(F5770&lt;&gt;0,AND(I5770&lt;&gt;"",E5770&lt;I5770)),1,0)</f>
        <v>0</v>
      </c>
      <c r="R5770" s="56" t="n">
        <f aca="false">IF(AND(D5770&gt;1,Q5770=0,ISNUMBER(O5770),ISNUMBER(P5770)),IF(Q5769=0,1,0),0)</f>
        <v>1</v>
      </c>
      <c r="S5770" s="56" t="n">
        <f aca="false">R5770*(B5770&gt;=Train_Start)*(B5770&lt;=Train_End)</f>
        <v>0</v>
      </c>
      <c r="T5770" s="84" t="n">
        <f aca="false">IF(AND(ISNUMBER(O5770),ISNUMBER(P5770)),Coef_A+Coef_B1*O5770+Coef_B2*P5770,"")</f>
        <v>24.7057753111209</v>
      </c>
      <c r="U5770" s="84" t="n">
        <f aca="false">IF(AND(R5770=1,ISNUMBER(T5770)),E5770-T5770,"")</f>
        <v>1.99422468887913</v>
      </c>
      <c r="V5770" s="84" t="n">
        <f aca="false">IF(ISNUMBER(T5770),T5770,-99)</f>
        <v>24.7057753111209</v>
      </c>
      <c r="W5770" s="84" t="n">
        <f aca="false">IF(ISNUMBER(U5770),ABS(U5770),"")</f>
        <v>1.99422468887913</v>
      </c>
    </row>
    <row r="5771" customFormat="false" ht="15" hidden="false" customHeight="false" outlineLevel="0" collapsed="false">
      <c r="A5771" s="57" t="n">
        <v>42599</v>
      </c>
      <c r="B5771" s="56" t="n">
        <v>2016</v>
      </c>
      <c r="C5771" s="56" t="n">
        <v>8</v>
      </c>
      <c r="D5771" s="56" t="n">
        <v>109</v>
      </c>
      <c r="E5771" s="56" t="n">
        <v>25.5</v>
      </c>
      <c r="F5771" s="56" t="n">
        <v>0</v>
      </c>
      <c r="G5771" s="56" t="n">
        <v>13.3</v>
      </c>
      <c r="H5771" s="56" t="n">
        <v>0</v>
      </c>
      <c r="I5771" s="56" t="n">
        <v>20</v>
      </c>
      <c r="J5771" s="56" t="n">
        <v>0</v>
      </c>
      <c r="K5771" s="56" t="n">
        <v>1013.3</v>
      </c>
      <c r="L5771" s="56" t="n">
        <v>0</v>
      </c>
      <c r="M5771" s="56" t="n">
        <v>62</v>
      </c>
      <c r="N5771" s="56" t="n">
        <v>12.2</v>
      </c>
      <c r="O5771" s="56" t="n">
        <f aca="false">IF(D5771=1,"",E5770)</f>
        <v>26.7</v>
      </c>
      <c r="P5771" s="56" t="n">
        <f aca="false">IF(OR(D5771=1,K5770=""),"",K5770)</f>
        <v>1019.2</v>
      </c>
      <c r="Q5771" s="56" t="n">
        <f aca="false">IF(OR(F5771&lt;&gt;0,AND(I5771&lt;&gt;"",E5771&lt;I5771)),1,0)</f>
        <v>0</v>
      </c>
      <c r="R5771" s="56" t="n">
        <f aca="false">IF(AND(D5771&gt;1,Q5771=0,ISNUMBER(O5771),ISNUMBER(P5771)),IF(Q5770=0,1,0),0)</f>
        <v>1</v>
      </c>
      <c r="S5771" s="56" t="n">
        <f aca="false">R5771*(B5771&gt;=Train_Start)*(B5771&lt;=Train_End)</f>
        <v>0</v>
      </c>
      <c r="T5771" s="84" t="n">
        <f aca="false">IF(AND(ISNUMBER(O5771),ISNUMBER(P5771)),Coef_A+Coef_B1*O5771+Coef_B2*P5771,"")</f>
        <v>25.9355284871966</v>
      </c>
      <c r="U5771" s="84" t="n">
        <f aca="false">IF(AND(R5771=1,ISNUMBER(T5771)),E5771-T5771,"")</f>
        <v>-0.435528487196642</v>
      </c>
      <c r="V5771" s="84" t="n">
        <f aca="false">IF(ISNUMBER(T5771),T5771,-99)</f>
        <v>25.9355284871966</v>
      </c>
      <c r="W5771" s="84" t="n">
        <f aca="false">IF(ISNUMBER(U5771),ABS(U5771),"")</f>
        <v>0.435528487196642</v>
      </c>
    </row>
    <row r="5772" customFormat="false" ht="15" hidden="false" customHeight="false" outlineLevel="0" collapsed="false">
      <c r="A5772" s="57" t="n">
        <v>42600</v>
      </c>
      <c r="B5772" s="56" t="n">
        <v>2016</v>
      </c>
      <c r="C5772" s="56" t="n">
        <v>8</v>
      </c>
      <c r="D5772" s="56" t="n">
        <v>110</v>
      </c>
      <c r="E5772" s="56" t="n">
        <v>19.2</v>
      </c>
      <c r="F5772" s="56" t="n">
        <v>1</v>
      </c>
      <c r="G5772" s="56" t="n">
        <v>15.7</v>
      </c>
      <c r="H5772" s="56" t="n">
        <v>0</v>
      </c>
      <c r="I5772" s="56" t="n">
        <v>20.6</v>
      </c>
      <c r="J5772" s="56" t="n">
        <v>1</v>
      </c>
      <c r="K5772" s="56" t="n">
        <v>1010.3</v>
      </c>
      <c r="L5772" s="56" t="n">
        <v>0</v>
      </c>
      <c r="M5772" s="56" t="n">
        <v>65</v>
      </c>
      <c r="N5772" s="56" t="n">
        <v>3.8</v>
      </c>
      <c r="O5772" s="56" t="n">
        <f aca="false">IF(D5772=1,"",E5771)</f>
        <v>25.5</v>
      </c>
      <c r="P5772" s="56" t="n">
        <f aca="false">IF(OR(D5772=1,K5771=""),"",K5771)</f>
        <v>1013.3</v>
      </c>
      <c r="Q5772" s="56" t="n">
        <f aca="false">IF(OR(F5772&lt;&gt;0,AND(I5772&lt;&gt;"",E5772&lt;I5772)),1,0)</f>
        <v>1</v>
      </c>
      <c r="R5772" s="56" t="n">
        <f aca="false">IF(AND(D5772&gt;1,Q5772=0,ISNUMBER(O5772),ISNUMBER(P5772)),IF(Q5771=0,1,0),0)</f>
        <v>0</v>
      </c>
      <c r="S5772" s="56" t="n">
        <f aca="false">R5772*(B5772&gt;=Train_Start)*(B5772&lt;=Train_End)</f>
        <v>0</v>
      </c>
      <c r="T5772" s="84" t="n">
        <f aca="false">IF(AND(ISNUMBER(O5772),ISNUMBER(P5772)),Coef_A+Coef_B1*O5772+Coef_B2*P5772,"")</f>
        <v>24.7672390772049</v>
      </c>
      <c r="U5772" s="84" t="str">
        <f aca="false">IF(AND(R5772=1,ISNUMBER(T5772)),E5772-T5772,"")</f>
        <v/>
      </c>
      <c r="V5772" s="84" t="n">
        <f aca="false">IF(ISNUMBER(T5772),T5772,-99)</f>
        <v>24.7672390772049</v>
      </c>
      <c r="W5772" s="84" t="str">
        <f aca="false">IF(ISNUMBER(U5772),ABS(U5772),"")</f>
        <v/>
      </c>
    </row>
    <row r="5773" customFormat="false" ht="15" hidden="false" customHeight="false" outlineLevel="0" collapsed="false">
      <c r="A5773" s="57" t="n">
        <v>42601</v>
      </c>
      <c r="B5773" s="56" t="n">
        <v>2016</v>
      </c>
      <c r="C5773" s="56" t="n">
        <v>8</v>
      </c>
      <c r="D5773" s="56" t="n">
        <v>111</v>
      </c>
      <c r="E5773" s="56" t="n">
        <v>21.9</v>
      </c>
      <c r="F5773" s="56" t="n">
        <v>0</v>
      </c>
      <c r="G5773" s="56" t="n">
        <v>17</v>
      </c>
      <c r="H5773" s="56" t="n">
        <v>0</v>
      </c>
      <c r="I5773" s="56" t="n">
        <v>18.1</v>
      </c>
      <c r="J5773" s="56" t="n">
        <v>0</v>
      </c>
      <c r="K5773" s="56" t="n">
        <v>1006.6</v>
      </c>
      <c r="L5773" s="56" t="n">
        <v>0</v>
      </c>
      <c r="M5773" s="56" t="n">
        <v>85</v>
      </c>
      <c r="N5773" s="56" t="n">
        <v>1</v>
      </c>
      <c r="O5773" s="56" t="n">
        <f aca="false">IF(D5773=1,"",E5772)</f>
        <v>19.2</v>
      </c>
      <c r="P5773" s="56" t="n">
        <f aca="false">IF(OR(D5773=1,K5772=""),"",K5772)</f>
        <v>1010.3</v>
      </c>
      <c r="Q5773" s="56" t="n">
        <f aca="false">IF(OR(F5773&lt;&gt;0,AND(I5773&lt;&gt;"",E5773&lt;I5773)),1,0)</f>
        <v>0</v>
      </c>
      <c r="R5773" s="56" t="n">
        <f aca="false">IF(AND(D5773&gt;1,Q5773=0,ISNUMBER(O5773),ISNUMBER(P5773)),IF(Q5772=0,1,0),0)</f>
        <v>0</v>
      </c>
      <c r="S5773" s="56" t="n">
        <f aca="false">R5773*(B5773&gt;=Train_Start)*(B5773&lt;=Train_End)</f>
        <v>0</v>
      </c>
      <c r="T5773" s="84" t="n">
        <f aca="false">IF(AND(ISNUMBER(O5773),ISNUMBER(P5773)),Coef_A+Coef_B1*O5773+Coef_B2*P5773,"")</f>
        <v>19.5112924771342</v>
      </c>
      <c r="U5773" s="84" t="str">
        <f aca="false">IF(AND(R5773=1,ISNUMBER(T5773)),E5773-T5773,"")</f>
        <v/>
      </c>
      <c r="V5773" s="84" t="n">
        <f aca="false">IF(ISNUMBER(T5773),T5773,-99)</f>
        <v>19.5112924771342</v>
      </c>
      <c r="W5773" s="84" t="str">
        <f aca="false">IF(ISNUMBER(U5773),ABS(U5773),"")</f>
        <v/>
      </c>
    </row>
    <row r="5774" customFormat="false" ht="15" hidden="false" customHeight="false" outlineLevel="0" collapsed="false">
      <c r="A5774" s="57" t="n">
        <v>42602</v>
      </c>
      <c r="B5774" s="56" t="n">
        <v>2016</v>
      </c>
      <c r="C5774" s="56" t="n">
        <v>8</v>
      </c>
      <c r="D5774" s="56" t="n">
        <v>112</v>
      </c>
      <c r="E5774" s="56" t="n">
        <v>23.5</v>
      </c>
      <c r="F5774" s="56" t="n">
        <v>0</v>
      </c>
      <c r="G5774" s="56" t="n">
        <v>14.3</v>
      </c>
      <c r="H5774" s="56" t="n">
        <v>0</v>
      </c>
      <c r="I5774" s="56" t="n">
        <v>18.1</v>
      </c>
      <c r="J5774" s="56" t="n">
        <v>0</v>
      </c>
      <c r="K5774" s="56" t="n">
        <v>1006.6</v>
      </c>
      <c r="L5774" s="56" t="n">
        <v>0</v>
      </c>
      <c r="M5774" s="56" t="n">
        <v>76</v>
      </c>
      <c r="N5774" s="56" t="n">
        <v>1.9</v>
      </c>
      <c r="O5774" s="56" t="n">
        <f aca="false">IF(D5774=1,"",E5773)</f>
        <v>21.9</v>
      </c>
      <c r="P5774" s="56" t="n">
        <f aca="false">IF(OR(D5774=1,K5773=""),"",K5773)</f>
        <v>1006.6</v>
      </c>
      <c r="Q5774" s="56" t="n">
        <f aca="false">IF(OR(F5774&lt;&gt;0,AND(I5774&lt;&gt;"",E5774&lt;I5774)),1,0)</f>
        <v>0</v>
      </c>
      <c r="R5774" s="56" t="n">
        <f aca="false">IF(AND(D5774&gt;1,Q5774=0,ISNUMBER(O5774),ISNUMBER(P5774)),IF(Q5773=0,1,0),0)</f>
        <v>1</v>
      </c>
      <c r="S5774" s="56" t="n">
        <f aca="false">R5774*(B5774&gt;=Train_Start)*(B5774&lt;=Train_End)</f>
        <v>0</v>
      </c>
      <c r="T5774" s="84" t="n">
        <f aca="false">IF(AND(ISNUMBER(O5774),ISNUMBER(P5774)),Coef_A+Coef_B1*O5774+Coef_B2*P5774,"")</f>
        <v>21.6074396882036</v>
      </c>
      <c r="U5774" s="84" t="n">
        <f aca="false">IF(AND(R5774=1,ISNUMBER(T5774)),E5774-T5774,"")</f>
        <v>1.89256031179638</v>
      </c>
      <c r="V5774" s="84" t="n">
        <f aca="false">IF(ISNUMBER(T5774),T5774,-99)</f>
        <v>21.6074396882036</v>
      </c>
      <c r="W5774" s="84" t="n">
        <f aca="false">IF(ISNUMBER(U5774),ABS(U5774),"")</f>
        <v>1.89256031179638</v>
      </c>
    </row>
    <row r="5775" customFormat="false" ht="15" hidden="false" customHeight="false" outlineLevel="0" collapsed="false">
      <c r="A5775" s="57" t="n">
        <v>42603</v>
      </c>
      <c r="B5775" s="56" t="n">
        <v>2016</v>
      </c>
      <c r="C5775" s="56" t="n">
        <v>8</v>
      </c>
      <c r="D5775" s="56" t="n">
        <v>113</v>
      </c>
      <c r="E5775" s="56" t="n">
        <v>26</v>
      </c>
      <c r="F5775" s="56" t="n">
        <v>0</v>
      </c>
      <c r="G5775" s="56" t="n">
        <v>14.7</v>
      </c>
      <c r="H5775" s="56" t="n">
        <v>0</v>
      </c>
      <c r="I5775" s="56" t="n">
        <v>19.1</v>
      </c>
      <c r="J5775" s="56" t="n">
        <v>0</v>
      </c>
      <c r="K5775" s="56" t="n">
        <v>1016.2</v>
      </c>
      <c r="L5775" s="56" t="n">
        <v>0</v>
      </c>
      <c r="M5775" s="56" t="n">
        <v>75</v>
      </c>
      <c r="N5775" s="56" t="n">
        <v>4.8</v>
      </c>
      <c r="O5775" s="56" t="n">
        <f aca="false">IF(D5775=1,"",E5774)</f>
        <v>23.5</v>
      </c>
      <c r="P5775" s="56" t="n">
        <f aca="false">IF(OR(D5775=1,K5774=""),"",K5774)</f>
        <v>1006.6</v>
      </c>
      <c r="Q5775" s="56" t="n">
        <f aca="false">IF(OR(F5775&lt;&gt;0,AND(I5775&lt;&gt;"",E5775&lt;I5775)),1,0)</f>
        <v>0</v>
      </c>
      <c r="R5775" s="56" t="n">
        <f aca="false">IF(AND(D5775&gt;1,Q5775=0,ISNUMBER(O5775),ISNUMBER(P5775)),IF(Q5774=0,1,0),0)</f>
        <v>1</v>
      </c>
      <c r="S5775" s="56" t="n">
        <f aca="false">R5775*(B5775&gt;=Train_Start)*(B5775&lt;=Train_End)</f>
        <v>0</v>
      </c>
      <c r="T5775" s="84" t="n">
        <f aca="false">IF(AND(ISNUMBER(O5775),ISNUMBER(P5775)),Coef_A+Coef_B1*O5775+Coef_B2*P5775,"")</f>
        <v>22.9183823970719</v>
      </c>
      <c r="U5775" s="84" t="n">
        <f aca="false">IF(AND(R5775=1,ISNUMBER(T5775)),E5775-T5775,"")</f>
        <v>3.08161760292813</v>
      </c>
      <c r="V5775" s="84" t="n">
        <f aca="false">IF(ISNUMBER(T5775),T5775,-99)</f>
        <v>22.9183823970719</v>
      </c>
      <c r="W5775" s="84" t="n">
        <f aca="false">IF(ISNUMBER(U5775),ABS(U5775),"")</f>
        <v>3.08161760292813</v>
      </c>
    </row>
    <row r="5776" customFormat="false" ht="15" hidden="false" customHeight="false" outlineLevel="0" collapsed="false">
      <c r="A5776" s="57" t="n">
        <v>42604</v>
      </c>
      <c r="B5776" s="56" t="n">
        <v>2016</v>
      </c>
      <c r="C5776" s="56" t="n">
        <v>8</v>
      </c>
      <c r="D5776" s="56" t="n">
        <v>114</v>
      </c>
      <c r="E5776" s="56" t="n">
        <v>31</v>
      </c>
      <c r="F5776" s="56" t="n">
        <v>0</v>
      </c>
      <c r="G5776" s="56" t="n">
        <v>16</v>
      </c>
      <c r="H5776" s="56" t="n">
        <v>0</v>
      </c>
      <c r="I5776" s="56" t="n">
        <v>21</v>
      </c>
      <c r="J5776" s="56" t="n">
        <v>0</v>
      </c>
      <c r="K5776" s="56" t="n">
        <v>1023.1</v>
      </c>
      <c r="L5776" s="56" t="n">
        <v>0</v>
      </c>
      <c r="M5776" s="56" t="n">
        <v>75</v>
      </c>
      <c r="N5776" s="56" t="n">
        <v>3.5</v>
      </c>
      <c r="O5776" s="56" t="n">
        <f aca="false">IF(D5776=1,"",E5775)</f>
        <v>26</v>
      </c>
      <c r="P5776" s="56" t="n">
        <f aca="false">IF(OR(D5776=1,K5775=""),"",K5775)</f>
        <v>1016.2</v>
      </c>
      <c r="Q5776" s="56" t="n">
        <f aca="false">IF(OR(F5776&lt;&gt;0,AND(I5776&lt;&gt;"",E5776&lt;I5776)),1,0)</f>
        <v>0</v>
      </c>
      <c r="R5776" s="56" t="n">
        <f aca="false">IF(AND(D5776&gt;1,Q5776=0,ISNUMBER(O5776),ISNUMBER(P5776)),IF(Q5775=0,1,0),0)</f>
        <v>1</v>
      </c>
      <c r="S5776" s="56" t="n">
        <f aca="false">R5776*(B5776&gt;=Train_Start)*(B5776&lt;=Train_End)</f>
        <v>0</v>
      </c>
      <c r="T5776" s="84" t="n">
        <f aca="false">IF(AND(ISNUMBER(O5776),ISNUMBER(P5776)),Coef_A+Coef_B1*O5776+Coef_B2*P5776,"")</f>
        <v>25.2678813681648</v>
      </c>
      <c r="U5776" s="84" t="n">
        <f aca="false">IF(AND(R5776=1,ISNUMBER(T5776)),E5776-T5776,"")</f>
        <v>5.73211863183518</v>
      </c>
      <c r="V5776" s="84" t="n">
        <f aca="false">IF(ISNUMBER(T5776),T5776,-99)</f>
        <v>25.2678813681648</v>
      </c>
      <c r="W5776" s="84" t="n">
        <f aca="false">IF(ISNUMBER(U5776),ABS(U5776),"")</f>
        <v>5.73211863183518</v>
      </c>
    </row>
    <row r="5777" customFormat="false" ht="15" hidden="false" customHeight="false" outlineLevel="0" collapsed="false">
      <c r="A5777" s="57" t="n">
        <v>42605</v>
      </c>
      <c r="B5777" s="56" t="n">
        <v>2016</v>
      </c>
      <c r="C5777" s="56" t="n">
        <v>8</v>
      </c>
      <c r="D5777" s="56" t="n">
        <v>115</v>
      </c>
      <c r="E5777" s="56" t="n">
        <v>33.1</v>
      </c>
      <c r="F5777" s="56" t="n">
        <v>0</v>
      </c>
      <c r="G5777" s="56" t="n">
        <v>12.9</v>
      </c>
      <c r="H5777" s="56" t="n">
        <v>0</v>
      </c>
      <c r="I5777" s="56" t="n">
        <v>22</v>
      </c>
      <c r="J5777" s="56" t="n">
        <v>0</v>
      </c>
      <c r="K5777" s="56" t="n">
        <v>1022.2</v>
      </c>
      <c r="L5777" s="56" t="n">
        <v>0</v>
      </c>
      <c r="M5777" s="56" t="n">
        <v>63</v>
      </c>
      <c r="N5777" s="56" t="n">
        <v>12.8</v>
      </c>
      <c r="O5777" s="56" t="n">
        <f aca="false">IF(D5777=1,"",E5776)</f>
        <v>31</v>
      </c>
      <c r="P5777" s="56" t="n">
        <f aca="false">IF(OR(D5777=1,K5776=""),"",K5776)</f>
        <v>1023.1</v>
      </c>
      <c r="Q5777" s="56" t="n">
        <f aca="false">IF(OR(F5777&lt;&gt;0,AND(I5777&lt;&gt;"",E5777&lt;I5777)),1,0)</f>
        <v>0</v>
      </c>
      <c r="R5777" s="56" t="n">
        <f aca="false">IF(AND(D5777&gt;1,Q5777=0,ISNUMBER(O5777),ISNUMBER(P5777)),IF(Q5776=0,1,0),0)</f>
        <v>1</v>
      </c>
      <c r="S5777" s="56" t="n">
        <f aca="false">R5777*(B5777&gt;=Train_Start)*(B5777&lt;=Train_End)</f>
        <v>0</v>
      </c>
      <c r="T5777" s="84" t="n">
        <f aca="false">IF(AND(ISNUMBER(O5777),ISNUMBER(P5777)),Coef_A+Coef_B1*O5777+Coef_B2*P5777,"")</f>
        <v>29.5810296063526</v>
      </c>
      <c r="U5777" s="84" t="n">
        <f aca="false">IF(AND(R5777=1,ISNUMBER(T5777)),E5777-T5777,"")</f>
        <v>3.51897039364737</v>
      </c>
      <c r="V5777" s="84" t="n">
        <f aca="false">IF(ISNUMBER(T5777),T5777,-99)</f>
        <v>29.5810296063526</v>
      </c>
      <c r="W5777" s="84" t="n">
        <f aca="false">IF(ISNUMBER(U5777),ABS(U5777),"")</f>
        <v>3.51897039364737</v>
      </c>
    </row>
    <row r="5778" customFormat="false" ht="15" hidden="false" customHeight="false" outlineLevel="0" collapsed="false">
      <c r="A5778" s="57" t="n">
        <v>42606</v>
      </c>
      <c r="B5778" s="56" t="n">
        <v>2016</v>
      </c>
      <c r="C5778" s="56" t="n">
        <v>8</v>
      </c>
      <c r="D5778" s="56" t="n">
        <v>116</v>
      </c>
      <c r="E5778" s="56" t="n">
        <v>27.6</v>
      </c>
      <c r="F5778" s="56" t="n">
        <v>0</v>
      </c>
      <c r="G5778" s="56" t="n">
        <v>17.9</v>
      </c>
      <c r="H5778" s="56" t="n">
        <v>0</v>
      </c>
      <c r="I5778" s="56" t="n">
        <v>25.5</v>
      </c>
      <c r="J5778" s="56" t="n">
        <v>0</v>
      </c>
      <c r="K5778" s="56" t="n">
        <v>1017.7</v>
      </c>
      <c r="L5778" s="56" t="n">
        <v>0</v>
      </c>
      <c r="M5778" s="56" t="n">
        <v>64</v>
      </c>
      <c r="N5778" s="56" t="n">
        <v>9.2</v>
      </c>
      <c r="O5778" s="56" t="n">
        <f aca="false">IF(D5778=1,"",E5777)</f>
        <v>33.1</v>
      </c>
      <c r="P5778" s="56" t="n">
        <f aca="false">IF(OR(D5778=1,K5777=""),"",K5777)</f>
        <v>1022.2</v>
      </c>
      <c r="Q5778" s="56" t="n">
        <f aca="false">IF(OR(F5778&lt;&gt;0,AND(I5778&lt;&gt;"",E5778&lt;I5778)),1,0)</f>
        <v>0</v>
      </c>
      <c r="R5778" s="56" t="n">
        <f aca="false">IF(AND(D5778&gt;1,Q5778=0,ISNUMBER(O5778),ISNUMBER(P5778)),IF(Q5777=0,1,0),0)</f>
        <v>1</v>
      </c>
      <c r="S5778" s="56" t="n">
        <f aca="false">R5778*(B5778&gt;=Train_Start)*(B5778&lt;=Train_End)</f>
        <v>0</v>
      </c>
      <c r="T5778" s="84" t="n">
        <f aca="false">IF(AND(ISNUMBER(O5778),ISNUMBER(P5778)),Coef_A+Coef_B1*O5778+Coef_B2*P5778,"")</f>
        <v>31.2734090065716</v>
      </c>
      <c r="U5778" s="84" t="n">
        <f aca="false">IF(AND(R5778=1,ISNUMBER(T5778)),E5778-T5778,"")</f>
        <v>-3.67340900657162</v>
      </c>
      <c r="V5778" s="84" t="n">
        <f aca="false">IF(ISNUMBER(T5778),T5778,-99)</f>
        <v>31.2734090065716</v>
      </c>
      <c r="W5778" s="84" t="n">
        <f aca="false">IF(ISNUMBER(U5778),ABS(U5778),"")</f>
        <v>3.67340900657162</v>
      </c>
    </row>
    <row r="5779" customFormat="false" ht="15" hidden="false" customHeight="false" outlineLevel="0" collapsed="false">
      <c r="A5779" s="57" t="n">
        <v>42607</v>
      </c>
      <c r="B5779" s="56" t="n">
        <v>2016</v>
      </c>
      <c r="C5779" s="56" t="n">
        <v>8</v>
      </c>
      <c r="D5779" s="56" t="n">
        <v>117</v>
      </c>
      <c r="E5779" s="56" t="n">
        <v>27</v>
      </c>
      <c r="F5779" s="56" t="n">
        <v>0</v>
      </c>
      <c r="G5779" s="56" t="n">
        <v>18.8</v>
      </c>
      <c r="H5779" s="56" t="n">
        <v>0</v>
      </c>
      <c r="I5779" s="56" t="n">
        <v>23.2</v>
      </c>
      <c r="J5779" s="56" t="n">
        <v>0</v>
      </c>
      <c r="K5779" s="56" t="n">
        <v>1015.1</v>
      </c>
      <c r="L5779" s="56" t="n">
        <v>0</v>
      </c>
      <c r="M5779" s="56" t="n">
        <v>75</v>
      </c>
      <c r="N5779" s="56" t="n">
        <v>5.2</v>
      </c>
      <c r="O5779" s="56" t="n">
        <f aca="false">IF(D5779=1,"",E5778)</f>
        <v>27.6</v>
      </c>
      <c r="P5779" s="56" t="n">
        <f aca="false">IF(OR(D5779=1,K5778=""),"",K5778)</f>
        <v>1017.7</v>
      </c>
      <c r="Q5779" s="56" t="n">
        <f aca="false">IF(OR(F5779&lt;&gt;0,AND(I5779&lt;&gt;"",E5779&lt;I5779)),1,0)</f>
        <v>0</v>
      </c>
      <c r="R5779" s="56" t="n">
        <f aca="false">IF(AND(D5779&gt;1,Q5779=0,ISNUMBER(O5779),ISNUMBER(P5779)),IF(Q5778=0,1,0),0)</f>
        <v>1</v>
      </c>
      <c r="S5779" s="56" t="n">
        <f aca="false">R5779*(B5779&gt;=Train_Start)*(B5779&lt;=Train_End)</f>
        <v>0</v>
      </c>
      <c r="T5779" s="84" t="n">
        <f aca="false">IF(AND(ISNUMBER(O5779),ISNUMBER(P5779)),Coef_A+Coef_B1*O5779+Coef_B2*P5779,"")</f>
        <v>26.6258789189841</v>
      </c>
      <c r="U5779" s="84" t="n">
        <f aca="false">IF(AND(R5779=1,ISNUMBER(T5779)),E5779-T5779,"")</f>
        <v>0.374121081015943</v>
      </c>
      <c r="V5779" s="84" t="n">
        <f aca="false">IF(ISNUMBER(T5779),T5779,-99)</f>
        <v>26.6258789189841</v>
      </c>
      <c r="W5779" s="84" t="n">
        <f aca="false">IF(ISNUMBER(U5779),ABS(U5779),"")</f>
        <v>0.374121081015943</v>
      </c>
    </row>
    <row r="5780" customFormat="false" ht="15" hidden="false" customHeight="false" outlineLevel="0" collapsed="false">
      <c r="A5780" s="57" t="n">
        <v>42608</v>
      </c>
      <c r="B5780" s="56" t="n">
        <v>2016</v>
      </c>
      <c r="C5780" s="56" t="n">
        <v>8</v>
      </c>
      <c r="D5780" s="56" t="n">
        <v>118</v>
      </c>
      <c r="E5780" s="56" t="n">
        <v>26.5</v>
      </c>
      <c r="F5780" s="56" t="n">
        <v>0</v>
      </c>
      <c r="G5780" s="56" t="n">
        <v>17.7</v>
      </c>
      <c r="H5780" s="56" t="n">
        <v>0</v>
      </c>
      <c r="I5780" s="56" t="n">
        <v>22.4</v>
      </c>
      <c r="J5780" s="56" t="n">
        <v>0</v>
      </c>
      <c r="K5780" s="56" t="n">
        <v>1017.7</v>
      </c>
      <c r="L5780" s="56" t="n">
        <v>0</v>
      </c>
      <c r="M5780" s="56" t="n">
        <v>61</v>
      </c>
      <c r="N5780" s="56" t="n">
        <v>12.1</v>
      </c>
      <c r="O5780" s="56" t="n">
        <f aca="false">IF(D5780=1,"",E5779)</f>
        <v>27</v>
      </c>
      <c r="P5780" s="56" t="n">
        <f aca="false">IF(OR(D5780=1,K5779=""),"",K5779)</f>
        <v>1015.1</v>
      </c>
      <c r="Q5780" s="56" t="n">
        <f aca="false">IF(OR(F5780&lt;&gt;0,AND(I5780&lt;&gt;"",E5780&lt;I5780)),1,0)</f>
        <v>0</v>
      </c>
      <c r="R5780" s="56" t="n">
        <f aca="false">IF(AND(D5780&gt;1,Q5780=0,ISNUMBER(O5780),ISNUMBER(P5780)),IF(Q5779=0,1,0),0)</f>
        <v>1</v>
      </c>
      <c r="S5780" s="56" t="n">
        <f aca="false">R5780*(B5780&gt;=Train_Start)*(B5780&lt;=Train_End)</f>
        <v>0</v>
      </c>
      <c r="T5780" s="84" t="n">
        <f aca="false">IF(AND(ISNUMBER(O5780),ISNUMBER(P5780)),Coef_A+Coef_B1*O5780+Coef_B2*P5780,"")</f>
        <v>26.0527136771101</v>
      </c>
      <c r="U5780" s="84" t="n">
        <f aca="false">IF(AND(R5780=1,ISNUMBER(T5780)),E5780-T5780,"")</f>
        <v>0.447286322889916</v>
      </c>
      <c r="V5780" s="84" t="n">
        <f aca="false">IF(ISNUMBER(T5780),T5780,-99)</f>
        <v>26.0527136771101</v>
      </c>
      <c r="W5780" s="84" t="n">
        <f aca="false">IF(ISNUMBER(U5780),ABS(U5780),"")</f>
        <v>0.447286322889916</v>
      </c>
    </row>
    <row r="5781" customFormat="false" ht="15" hidden="false" customHeight="false" outlineLevel="0" collapsed="false">
      <c r="A5781" s="57" t="n">
        <v>42609</v>
      </c>
      <c r="B5781" s="56" t="n">
        <v>2016</v>
      </c>
      <c r="C5781" s="56" t="n">
        <v>8</v>
      </c>
      <c r="D5781" s="56" t="n">
        <v>119</v>
      </c>
      <c r="E5781" s="56" t="n">
        <v>21.5</v>
      </c>
      <c r="F5781" s="56" t="n">
        <v>0</v>
      </c>
      <c r="G5781" s="56" t="n">
        <v>15.9</v>
      </c>
      <c r="H5781" s="56" t="n">
        <v>0</v>
      </c>
      <c r="I5781" s="56" t="n">
        <v>21.2</v>
      </c>
      <c r="J5781" s="56" t="n">
        <v>0</v>
      </c>
      <c r="K5781" s="56" t="n">
        <v>1015.6</v>
      </c>
      <c r="L5781" s="56" t="n">
        <v>0</v>
      </c>
      <c r="M5781" s="56" t="n">
        <v>70</v>
      </c>
      <c r="N5781" s="56" t="n">
        <v>2.2</v>
      </c>
      <c r="O5781" s="56" t="n">
        <f aca="false">IF(D5781=1,"",E5780)</f>
        <v>26.5</v>
      </c>
      <c r="P5781" s="56" t="n">
        <f aca="false">IF(OR(D5781=1,K5780=""),"",K5780)</f>
        <v>1017.7</v>
      </c>
      <c r="Q5781" s="56" t="n">
        <f aca="false">IF(OR(F5781&lt;&gt;0,AND(I5781&lt;&gt;"",E5781&lt;I5781)),1,0)</f>
        <v>0</v>
      </c>
      <c r="R5781" s="56" t="n">
        <f aca="false">IF(AND(D5781&gt;1,Q5781=0,ISNUMBER(O5781),ISNUMBER(P5781)),IF(Q5780=0,1,0),0)</f>
        <v>1</v>
      </c>
      <c r="S5781" s="56" t="n">
        <f aca="false">R5781*(B5781&gt;=Train_Start)*(B5781&lt;=Train_End)</f>
        <v>0</v>
      </c>
      <c r="T5781" s="84" t="n">
        <f aca="false">IF(AND(ISNUMBER(O5781),ISNUMBER(P5781)),Coef_A+Coef_B1*O5781+Coef_B2*P5781,"")</f>
        <v>25.7246058066371</v>
      </c>
      <c r="U5781" s="84" t="n">
        <f aca="false">IF(AND(R5781=1,ISNUMBER(T5781)),E5781-T5781,"")</f>
        <v>-4.22460580663713</v>
      </c>
      <c r="V5781" s="84" t="n">
        <f aca="false">IF(ISNUMBER(T5781),T5781,-99)</f>
        <v>25.7246058066371</v>
      </c>
      <c r="W5781" s="84" t="n">
        <f aca="false">IF(ISNUMBER(U5781),ABS(U5781),"")</f>
        <v>4.22460580663713</v>
      </c>
    </row>
    <row r="5782" customFormat="false" ht="15" hidden="false" customHeight="false" outlineLevel="0" collapsed="false">
      <c r="A5782" s="57" t="n">
        <v>42610</v>
      </c>
      <c r="B5782" s="56" t="n">
        <v>2016</v>
      </c>
      <c r="C5782" s="56" t="n">
        <v>8</v>
      </c>
      <c r="D5782" s="56" t="n">
        <v>120</v>
      </c>
      <c r="E5782" s="56" t="n">
        <v>24.3</v>
      </c>
      <c r="F5782" s="56" t="n">
        <v>0</v>
      </c>
      <c r="G5782" s="56" t="n">
        <v>16.6</v>
      </c>
      <c r="H5782" s="56" t="n">
        <v>0</v>
      </c>
      <c r="I5782" s="56" t="n">
        <v>19</v>
      </c>
      <c r="J5782" s="56" t="n">
        <v>0</v>
      </c>
      <c r="K5782" s="56" t="n">
        <v>1013.2</v>
      </c>
      <c r="L5782" s="56" t="n">
        <v>0</v>
      </c>
      <c r="M5782" s="56" t="n">
        <v>83</v>
      </c>
      <c r="N5782" s="56" t="n">
        <v>2.3</v>
      </c>
      <c r="O5782" s="56" t="n">
        <f aca="false">IF(D5782=1,"",E5781)</f>
        <v>21.5</v>
      </c>
      <c r="P5782" s="56" t="n">
        <f aca="false">IF(OR(D5782=1,K5781=""),"",K5781)</f>
        <v>1015.6</v>
      </c>
      <c r="Q5782" s="56" t="n">
        <f aca="false">IF(OR(F5782&lt;&gt;0,AND(I5782&lt;&gt;"",E5782&lt;I5782)),1,0)</f>
        <v>0</v>
      </c>
      <c r="R5782" s="56" t="n">
        <f aca="false">IF(AND(D5782&gt;1,Q5782=0,ISNUMBER(O5782),ISNUMBER(P5782)),IF(Q5781=0,1,0),0)</f>
        <v>1</v>
      </c>
      <c r="S5782" s="56" t="n">
        <f aca="false">R5782*(B5782&gt;=Train_Start)*(B5782&lt;=Train_End)</f>
        <v>0</v>
      </c>
      <c r="T5782" s="84" t="n">
        <f aca="false">IF(AND(ISNUMBER(O5782),ISNUMBER(P5782)),Coef_A+Coef_B1*O5782+Coef_B2*P5782,"")</f>
        <v>21.5620330626925</v>
      </c>
      <c r="U5782" s="84" t="n">
        <f aca="false">IF(AND(R5782=1,ISNUMBER(T5782)),E5782-T5782,"")</f>
        <v>2.73796693730754</v>
      </c>
      <c r="V5782" s="84" t="n">
        <f aca="false">IF(ISNUMBER(T5782),T5782,-99)</f>
        <v>21.5620330626925</v>
      </c>
      <c r="W5782" s="84" t="n">
        <f aca="false">IF(ISNUMBER(U5782),ABS(U5782),"")</f>
        <v>2.73796693730754</v>
      </c>
    </row>
    <row r="5783" customFormat="false" ht="15" hidden="false" customHeight="false" outlineLevel="0" collapsed="false">
      <c r="A5783" s="57" t="n">
        <v>42611</v>
      </c>
      <c r="B5783" s="56" t="n">
        <v>2016</v>
      </c>
      <c r="C5783" s="56" t="n">
        <v>8</v>
      </c>
      <c r="D5783" s="56" t="n">
        <v>121</v>
      </c>
      <c r="E5783" s="56" t="n">
        <v>27</v>
      </c>
      <c r="F5783" s="56" t="n">
        <v>0</v>
      </c>
      <c r="G5783" s="56" t="n">
        <v>15.4</v>
      </c>
      <c r="H5783" s="56" t="n">
        <v>0</v>
      </c>
      <c r="I5783" s="56" t="n">
        <v>19.8</v>
      </c>
      <c r="J5783" s="56" t="n">
        <v>0</v>
      </c>
      <c r="K5783" s="56" t="n">
        <v>1021.7</v>
      </c>
      <c r="L5783" s="56" t="n">
        <v>0</v>
      </c>
      <c r="M5783" s="56" t="n">
        <v>66</v>
      </c>
      <c r="N5783" s="56" t="n">
        <v>6.3</v>
      </c>
      <c r="O5783" s="56" t="n">
        <f aca="false">IF(D5783=1,"",E5782)</f>
        <v>24.3</v>
      </c>
      <c r="P5783" s="56" t="n">
        <f aca="false">IF(OR(D5783=1,K5782=""),"",K5782)</f>
        <v>1013.2</v>
      </c>
      <c r="Q5783" s="56" t="n">
        <f aca="false">IF(OR(F5783&lt;&gt;0,AND(I5783&lt;&gt;"",E5783&lt;I5783)),1,0)</f>
        <v>0</v>
      </c>
      <c r="R5783" s="56" t="n">
        <f aca="false">IF(AND(D5783&gt;1,Q5783=0,ISNUMBER(O5783),ISNUMBER(P5783)),IF(Q5782=0,1,0),0)</f>
        <v>1</v>
      </c>
      <c r="S5783" s="56" t="n">
        <f aca="false">R5783*(B5783&gt;=Train_Start)*(B5783&lt;=Train_End)</f>
        <v>0</v>
      </c>
      <c r="T5783" s="84" t="n">
        <f aca="false">IF(AND(ISNUMBER(O5783),ISNUMBER(P5783)),Coef_A+Coef_B1*O5783+Coef_B2*P5783,"")</f>
        <v>23.7808950560903</v>
      </c>
      <c r="U5783" s="84" t="n">
        <f aca="false">IF(AND(R5783=1,ISNUMBER(T5783)),E5783-T5783,"")</f>
        <v>3.21910494390967</v>
      </c>
      <c r="V5783" s="84" t="n">
        <f aca="false">IF(ISNUMBER(T5783),T5783,-99)</f>
        <v>23.7808950560903</v>
      </c>
      <c r="W5783" s="84" t="n">
        <f aca="false">IF(ISNUMBER(U5783),ABS(U5783),"")</f>
        <v>3.21910494390967</v>
      </c>
    </row>
    <row r="5784" customFormat="false" ht="15" hidden="false" customHeight="false" outlineLevel="0" collapsed="false">
      <c r="A5784" s="57" t="n">
        <v>42612</v>
      </c>
      <c r="B5784" s="56" t="n">
        <v>2016</v>
      </c>
      <c r="C5784" s="56" t="n">
        <v>8</v>
      </c>
      <c r="D5784" s="56" t="n">
        <v>122</v>
      </c>
      <c r="E5784" s="56" t="n">
        <v>24.8</v>
      </c>
      <c r="F5784" s="56" t="n">
        <v>0</v>
      </c>
      <c r="G5784" s="56" t="n">
        <v>13</v>
      </c>
      <c r="H5784" s="56" t="n">
        <v>0</v>
      </c>
      <c r="I5784" s="56" t="n">
        <v>20</v>
      </c>
      <c r="J5784" s="56" t="n">
        <v>0</v>
      </c>
      <c r="K5784" s="56" t="n">
        <v>1024.1</v>
      </c>
      <c r="L5784" s="56" t="n">
        <v>0</v>
      </c>
      <c r="M5784" s="56" t="n">
        <v>62</v>
      </c>
      <c r="N5784" s="56" t="n">
        <v>12.2</v>
      </c>
      <c r="O5784" s="56" t="n">
        <f aca="false">IF(D5784=1,"",E5783)</f>
        <v>27</v>
      </c>
      <c r="P5784" s="56" t="n">
        <f aca="false">IF(OR(D5784=1,K5783=""),"",K5783)</f>
        <v>1021.7</v>
      </c>
      <c r="Q5784" s="56" t="n">
        <f aca="false">IF(OR(F5784&lt;&gt;0,AND(I5784&lt;&gt;"",E5784&lt;I5784)),1,0)</f>
        <v>0</v>
      </c>
      <c r="R5784" s="56" t="n">
        <f aca="false">IF(AND(D5784&gt;1,Q5784=0,ISNUMBER(O5784),ISNUMBER(P5784)),IF(Q5783=0,1,0),0)</f>
        <v>1</v>
      </c>
      <c r="S5784" s="56" t="n">
        <f aca="false">R5784*(B5784&gt;=Train_Start)*(B5784&lt;=Train_End)</f>
        <v>0</v>
      </c>
      <c r="T5784" s="84" t="n">
        <f aca="false">IF(AND(ISNUMBER(O5784),ISNUMBER(P5784)),Coef_A+Coef_B1*O5784+Coef_B2*P5784,"")</f>
        <v>26.2597549816944</v>
      </c>
      <c r="U5784" s="84" t="n">
        <f aca="false">IF(AND(R5784=1,ISNUMBER(T5784)),E5784-T5784,"")</f>
        <v>-1.45975498169442</v>
      </c>
      <c r="V5784" s="84" t="n">
        <f aca="false">IF(ISNUMBER(T5784),T5784,-99)</f>
        <v>26.2597549816944</v>
      </c>
      <c r="W5784" s="84" t="n">
        <f aca="false">IF(ISNUMBER(U5784),ABS(U5784),"")</f>
        <v>1.45975498169442</v>
      </c>
    </row>
    <row r="5785" customFormat="false" ht="15" hidden="false" customHeight="false" outlineLevel="0" collapsed="false">
      <c r="A5785" s="57" t="n">
        <v>42613</v>
      </c>
      <c r="B5785" s="56" t="n">
        <v>2016</v>
      </c>
      <c r="C5785" s="56" t="n">
        <v>8</v>
      </c>
      <c r="D5785" s="56" t="n">
        <v>123</v>
      </c>
      <c r="E5785" s="56" t="n">
        <v>24.8</v>
      </c>
      <c r="F5785" s="56" t="n">
        <v>0</v>
      </c>
      <c r="G5785" s="56" t="n">
        <v>12.7</v>
      </c>
      <c r="H5785" s="56" t="n">
        <v>0</v>
      </c>
      <c r="I5785" s="56" t="n">
        <v>18.8</v>
      </c>
      <c r="J5785" s="56" t="n">
        <v>0</v>
      </c>
      <c r="K5785" s="56" t="n">
        <v>1020.7</v>
      </c>
      <c r="L5785" s="56" t="n">
        <v>0</v>
      </c>
      <c r="M5785" s="56" t="n">
        <v>72</v>
      </c>
      <c r="N5785" s="56" t="n">
        <v>4.9</v>
      </c>
      <c r="O5785" s="56" t="n">
        <f aca="false">IF(D5785=1,"",E5784)</f>
        <v>24.8</v>
      </c>
      <c r="P5785" s="56" t="n">
        <f aca="false">IF(OR(D5785=1,K5784=""),"",K5784)</f>
        <v>1024.1</v>
      </c>
      <c r="Q5785" s="56" t="n">
        <f aca="false">IF(OR(F5785&lt;&gt;0,AND(I5785&lt;&gt;"",E5785&lt;I5785)),1,0)</f>
        <v>0</v>
      </c>
      <c r="R5785" s="56" t="n">
        <f aca="false">IF(AND(D5785&gt;1,Q5785=0,ISNUMBER(O5785),ISNUMBER(P5785)),IF(Q5784=0,1,0),0)</f>
        <v>1</v>
      </c>
      <c r="S5785" s="56" t="n">
        <f aca="false">R5785*(B5785&gt;=Train_Start)*(B5785&lt;=Train_End)</f>
        <v>0</v>
      </c>
      <c r="T5785" s="84" t="n">
        <f aca="false">IF(AND(ISNUMBER(O5785),ISNUMBER(P5785)),Coef_A+Coef_B1*O5785+Coef_B2*P5785,"")</f>
        <v>24.5324965041221</v>
      </c>
      <c r="U5785" s="84" t="n">
        <f aca="false">IF(AND(R5785=1,ISNUMBER(T5785)),E5785-T5785,"")</f>
        <v>0.267503495877865</v>
      </c>
      <c r="V5785" s="84" t="n">
        <f aca="false">IF(ISNUMBER(T5785),T5785,-99)</f>
        <v>24.5324965041221</v>
      </c>
      <c r="W5785" s="84" t="n">
        <f aca="false">IF(ISNUMBER(U5785),ABS(U5785),"")</f>
        <v>0.267503495877865</v>
      </c>
    </row>
    <row r="5786" customFormat="false" ht="15" hidden="false" customHeight="false" outlineLevel="0" collapsed="false">
      <c r="A5786" s="57" t="n">
        <v>42614</v>
      </c>
      <c r="B5786" s="56" t="n">
        <v>2016</v>
      </c>
      <c r="C5786" s="56" t="n">
        <v>9</v>
      </c>
      <c r="D5786" s="56" t="n">
        <v>124</v>
      </c>
      <c r="E5786" s="56" t="n">
        <v>20.2</v>
      </c>
      <c r="F5786" s="56" t="n">
        <v>0</v>
      </c>
      <c r="G5786" s="56" t="n">
        <v>13.2</v>
      </c>
      <c r="H5786" s="56" t="n">
        <v>0</v>
      </c>
      <c r="I5786" s="56" t="n">
        <v>19</v>
      </c>
      <c r="J5786" s="56" t="n">
        <v>0</v>
      </c>
      <c r="K5786" s="56" t="n">
        <v>1022.8</v>
      </c>
      <c r="L5786" s="56" t="n">
        <v>0</v>
      </c>
      <c r="M5786" s="56" t="n">
        <v>68</v>
      </c>
      <c r="N5786" s="56" t="n">
        <v>9.9</v>
      </c>
      <c r="O5786" s="56" t="n">
        <f aca="false">IF(D5786=1,"",E5785)</f>
        <v>24.8</v>
      </c>
      <c r="P5786" s="56" t="n">
        <f aca="false">IF(OR(D5786=1,K5785=""),"",K5785)</f>
        <v>1020.7</v>
      </c>
      <c r="Q5786" s="56" t="n">
        <f aca="false">IF(OR(F5786&lt;&gt;0,AND(I5786&lt;&gt;"",E5786&lt;I5786)),1,0)</f>
        <v>0</v>
      </c>
      <c r="R5786" s="56" t="n">
        <f aca="false">IF(AND(D5786&gt;1,Q5786=0,ISNUMBER(O5786),ISNUMBER(P5786)),IF(Q5785=0,1,0),0)</f>
        <v>1</v>
      </c>
      <c r="S5786" s="56" t="n">
        <f aca="false">R5786*(B5786&gt;=Train_Start)*(B5786&lt;=Train_End)</f>
        <v>0</v>
      </c>
      <c r="T5786" s="84" t="n">
        <f aca="false">IF(AND(ISNUMBER(O5786),ISNUMBER(P5786)),Coef_A+Coef_B1*O5786+Coef_B2*P5786,"")</f>
        <v>24.4258388623666</v>
      </c>
      <c r="U5786" s="84" t="n">
        <f aca="false">IF(AND(R5786=1,ISNUMBER(T5786)),E5786-T5786,"")</f>
        <v>-4.22583886236658</v>
      </c>
      <c r="V5786" s="84" t="n">
        <f aca="false">IF(ISNUMBER(T5786),T5786,-99)</f>
        <v>24.4258388623666</v>
      </c>
      <c r="W5786" s="84" t="n">
        <f aca="false">IF(ISNUMBER(U5786),ABS(U5786),"")</f>
        <v>4.22583886236658</v>
      </c>
    </row>
    <row r="5787" customFormat="false" ht="15" hidden="false" customHeight="false" outlineLevel="0" collapsed="false">
      <c r="A5787" s="57" t="n">
        <v>42615</v>
      </c>
      <c r="B5787" s="56" t="n">
        <v>2016</v>
      </c>
      <c r="C5787" s="56" t="n">
        <v>9</v>
      </c>
      <c r="D5787" s="56" t="n">
        <v>125</v>
      </c>
      <c r="E5787" s="56" t="n">
        <v>21.5</v>
      </c>
      <c r="F5787" s="56" t="n">
        <v>0</v>
      </c>
      <c r="G5787" s="56" t="n">
        <v>13.9</v>
      </c>
      <c r="H5787" s="56" t="n">
        <v>0</v>
      </c>
      <c r="I5787" s="56" t="n">
        <v>17</v>
      </c>
      <c r="J5787" s="56" t="n">
        <v>0</v>
      </c>
      <c r="K5787" s="56" t="n">
        <v>1019</v>
      </c>
      <c r="L5787" s="56" t="n">
        <v>0</v>
      </c>
      <c r="M5787" s="56" t="n">
        <v>84</v>
      </c>
      <c r="N5787" s="56" t="n">
        <v>0</v>
      </c>
      <c r="O5787" s="56" t="n">
        <f aca="false">IF(D5787=1,"",E5786)</f>
        <v>20.2</v>
      </c>
      <c r="P5787" s="56" t="n">
        <f aca="false">IF(OR(D5787=1,K5786=""),"",K5786)</f>
        <v>1022.8</v>
      </c>
      <c r="Q5787" s="56" t="n">
        <f aca="false">IF(OR(F5787&lt;&gt;0,AND(I5787&lt;&gt;"",E5787&lt;I5787)),1,0)</f>
        <v>0</v>
      </c>
      <c r="R5787" s="56" t="n">
        <f aca="false">IF(AND(D5787&gt;1,Q5787=0,ISNUMBER(O5787),ISNUMBER(P5787)),IF(Q5786=0,1,0),0)</f>
        <v>1</v>
      </c>
      <c r="S5787" s="56" t="n">
        <f aca="false">R5787*(B5787&gt;=Train_Start)*(B5787&lt;=Train_End)</f>
        <v>0</v>
      </c>
      <c r="T5787" s="84" t="n">
        <f aca="false">IF(AND(ISNUMBER(O5787),ISNUMBER(P5787)),Coef_A+Coef_B1*O5787+Coef_B2*P5787,"")</f>
        <v>20.7227553531017</v>
      </c>
      <c r="U5787" s="84" t="n">
        <f aca="false">IF(AND(R5787=1,ISNUMBER(T5787)),E5787-T5787,"")</f>
        <v>0.777244646898271</v>
      </c>
      <c r="V5787" s="84" t="n">
        <f aca="false">IF(ISNUMBER(T5787),T5787,-99)</f>
        <v>20.7227553531017</v>
      </c>
      <c r="W5787" s="84" t="n">
        <f aca="false">IF(ISNUMBER(U5787),ABS(U5787),"")</f>
        <v>0.777244646898271</v>
      </c>
    </row>
    <row r="5788" customFormat="false" ht="15" hidden="false" customHeight="false" outlineLevel="0" collapsed="false">
      <c r="A5788" s="57" t="n">
        <v>42616</v>
      </c>
      <c r="B5788" s="56" t="n">
        <v>2016</v>
      </c>
      <c r="C5788" s="56" t="n">
        <v>9</v>
      </c>
      <c r="D5788" s="56" t="n">
        <v>126</v>
      </c>
      <c r="E5788" s="56" t="n">
        <v>20.9</v>
      </c>
      <c r="F5788" s="56" t="n">
        <v>0</v>
      </c>
      <c r="G5788" s="56" t="n">
        <v>12.1</v>
      </c>
      <c r="H5788" s="56" t="n">
        <v>0</v>
      </c>
      <c r="I5788" s="56" t="n">
        <v>16.8</v>
      </c>
      <c r="J5788" s="56" t="n">
        <v>0</v>
      </c>
      <c r="K5788" s="56" t="n">
        <v>1015.5</v>
      </c>
      <c r="L5788" s="56" t="n">
        <v>0</v>
      </c>
      <c r="M5788" s="56" t="n">
        <v>83</v>
      </c>
      <c r="N5788" s="56" t="n">
        <v>4</v>
      </c>
      <c r="O5788" s="56" t="n">
        <f aca="false">IF(D5788=1,"",E5787)</f>
        <v>21.5</v>
      </c>
      <c r="P5788" s="56" t="n">
        <f aca="false">IF(OR(D5788=1,K5787=""),"",K5787)</f>
        <v>1019</v>
      </c>
      <c r="Q5788" s="56" t="n">
        <f aca="false">IF(OR(F5788&lt;&gt;0,AND(I5788&lt;&gt;"",E5788&lt;I5788)),1,0)</f>
        <v>0</v>
      </c>
      <c r="R5788" s="56" t="n">
        <f aca="false">IF(AND(D5788&gt;1,Q5788=0,ISNUMBER(O5788),ISNUMBER(P5788)),IF(Q5787=0,1,0),0)</f>
        <v>1</v>
      </c>
      <c r="S5788" s="56" t="n">
        <f aca="false">R5788*(B5788&gt;=Train_Start)*(B5788&lt;=Train_End)</f>
        <v>0</v>
      </c>
      <c r="T5788" s="84" t="n">
        <f aca="false">IF(AND(ISNUMBER(O5788),ISNUMBER(P5788)),Coef_A+Coef_B1*O5788+Coef_B2*P5788,"")</f>
        <v>21.668690704448</v>
      </c>
      <c r="U5788" s="84" t="n">
        <f aca="false">IF(AND(R5788=1,ISNUMBER(T5788)),E5788-T5788,"")</f>
        <v>-0.76869070444803</v>
      </c>
      <c r="V5788" s="84" t="n">
        <f aca="false">IF(ISNUMBER(T5788),T5788,-99)</f>
        <v>21.668690704448</v>
      </c>
      <c r="W5788" s="84" t="n">
        <f aca="false">IF(ISNUMBER(U5788),ABS(U5788),"")</f>
        <v>0.76869070444803</v>
      </c>
    </row>
    <row r="5789" customFormat="false" ht="15" hidden="false" customHeight="false" outlineLevel="0" collapsed="false">
      <c r="A5789" s="57" t="n">
        <v>42617</v>
      </c>
      <c r="B5789" s="56" t="n">
        <v>2016</v>
      </c>
      <c r="C5789" s="56" t="n">
        <v>9</v>
      </c>
      <c r="D5789" s="56" t="n">
        <v>127</v>
      </c>
      <c r="E5789" s="56" t="n">
        <v>22.9</v>
      </c>
      <c r="F5789" s="56" t="n">
        <v>0</v>
      </c>
      <c r="G5789" s="56" t="n">
        <v>15.5</v>
      </c>
      <c r="H5789" s="56" t="n">
        <v>0</v>
      </c>
      <c r="I5789" s="56" t="n">
        <v>18.2</v>
      </c>
      <c r="J5789" s="56" t="n">
        <v>0</v>
      </c>
      <c r="K5789" s="56" t="n">
        <v>1012.8</v>
      </c>
      <c r="L5789" s="56" t="n">
        <v>0</v>
      </c>
      <c r="M5789" s="56" t="n">
        <v>76</v>
      </c>
      <c r="N5789" s="56" t="n">
        <v>1.1</v>
      </c>
      <c r="O5789" s="56" t="n">
        <f aca="false">IF(D5789=1,"",E5788)</f>
        <v>20.9</v>
      </c>
      <c r="P5789" s="56" t="n">
        <f aca="false">IF(OR(D5789=1,K5788=""),"",K5788)</f>
        <v>1015.5</v>
      </c>
      <c r="Q5789" s="56" t="n">
        <f aca="false">IF(OR(F5789&lt;&gt;0,AND(I5789&lt;&gt;"",E5789&lt;I5789)),1,0)</f>
        <v>0</v>
      </c>
      <c r="R5789" s="56" t="n">
        <f aca="false">IF(AND(D5789&gt;1,Q5789=0,ISNUMBER(O5789),ISNUMBER(P5789)),IF(Q5788=0,1,0),0)</f>
        <v>1</v>
      </c>
      <c r="S5789" s="56" t="n">
        <f aca="false">R5789*(B5789&gt;=Train_Start)*(B5789&lt;=Train_End)</f>
        <v>0</v>
      </c>
      <c r="T5789" s="84" t="n">
        <f aca="false">IF(AND(ISNUMBER(O5789),ISNUMBER(P5789)),Coef_A+Coef_B1*O5789+Coef_B2*P5789,"")</f>
        <v>21.0672925574035</v>
      </c>
      <c r="U5789" s="84" t="n">
        <f aca="false">IF(AND(R5789=1,ISNUMBER(T5789)),E5789-T5789,"")</f>
        <v>1.83270744259653</v>
      </c>
      <c r="V5789" s="84" t="n">
        <f aca="false">IF(ISNUMBER(T5789),T5789,-99)</f>
        <v>21.0672925574035</v>
      </c>
      <c r="W5789" s="84" t="n">
        <f aca="false">IF(ISNUMBER(U5789),ABS(U5789),"")</f>
        <v>1.83270744259653</v>
      </c>
    </row>
    <row r="5790" customFormat="false" ht="15" hidden="false" customHeight="false" outlineLevel="0" collapsed="false">
      <c r="A5790" s="57" t="n">
        <v>42618</v>
      </c>
      <c r="B5790" s="56" t="n">
        <v>2016</v>
      </c>
      <c r="C5790" s="56" t="n">
        <v>9</v>
      </c>
      <c r="D5790" s="56" t="n">
        <v>128</v>
      </c>
      <c r="E5790" s="56" t="n">
        <v>23.9</v>
      </c>
      <c r="F5790" s="56" t="n">
        <v>0</v>
      </c>
      <c r="G5790" s="56" t="n">
        <v>13.8</v>
      </c>
      <c r="H5790" s="56" t="n">
        <v>0</v>
      </c>
      <c r="I5790" s="56" t="n">
        <v>18.4</v>
      </c>
      <c r="J5790" s="56" t="n">
        <v>0</v>
      </c>
      <c r="K5790" s="56" t="n">
        <v>1019.3</v>
      </c>
      <c r="L5790" s="56" t="n">
        <v>0</v>
      </c>
      <c r="M5790" s="56" t="n">
        <v>90</v>
      </c>
      <c r="N5790" s="56" t="n">
        <v>0</v>
      </c>
      <c r="O5790" s="56" t="n">
        <f aca="false">IF(D5790=1,"",E5789)</f>
        <v>22.9</v>
      </c>
      <c r="P5790" s="56" t="n">
        <f aca="false">IF(OR(D5790=1,K5789=""),"",K5789)</f>
        <v>1012.8</v>
      </c>
      <c r="Q5790" s="56" t="n">
        <f aca="false">IF(OR(F5790&lt;&gt;0,AND(I5790&lt;&gt;"",E5790&lt;I5790)),1,0)</f>
        <v>0</v>
      </c>
      <c r="R5790" s="56" t="n">
        <f aca="false">IF(AND(D5790&gt;1,Q5790=0,ISNUMBER(O5790),ISNUMBER(P5790)),IF(Q5789=0,1,0),0)</f>
        <v>1</v>
      </c>
      <c r="S5790" s="56" t="n">
        <f aca="false">R5790*(B5790&gt;=Train_Start)*(B5790&lt;=Train_End)</f>
        <v>0</v>
      </c>
      <c r="T5790" s="84" t="n">
        <f aca="false">IF(AND(ISNUMBER(O5790),ISNUMBER(P5790)),Coef_A+Coef_B1*O5790+Coef_B2*P5790,"")</f>
        <v>22.621272227977</v>
      </c>
      <c r="U5790" s="84" t="n">
        <f aca="false">IF(AND(R5790=1,ISNUMBER(T5790)),E5790-T5790,"")</f>
        <v>1.27872777202299</v>
      </c>
      <c r="V5790" s="84" t="n">
        <f aca="false">IF(ISNUMBER(T5790),T5790,-99)</f>
        <v>22.621272227977</v>
      </c>
      <c r="W5790" s="84" t="n">
        <f aca="false">IF(ISNUMBER(U5790),ABS(U5790),"")</f>
        <v>1.27872777202299</v>
      </c>
    </row>
    <row r="5791" customFormat="false" ht="15" hidden="false" customHeight="false" outlineLevel="0" collapsed="false">
      <c r="A5791" s="57" t="n">
        <v>42619</v>
      </c>
      <c r="B5791" s="56" t="n">
        <v>2016</v>
      </c>
      <c r="C5791" s="56" t="n">
        <v>9</v>
      </c>
      <c r="D5791" s="56" t="n">
        <v>129</v>
      </c>
      <c r="E5791" s="56" t="n">
        <v>28.4</v>
      </c>
      <c r="F5791" s="56" t="n">
        <v>0</v>
      </c>
      <c r="G5791" s="56" t="n">
        <v>15.6</v>
      </c>
      <c r="H5791" s="56" t="n">
        <v>0</v>
      </c>
      <c r="I5791" s="56" t="n">
        <v>19.8</v>
      </c>
      <c r="J5791" s="56" t="n">
        <v>0</v>
      </c>
      <c r="K5791" s="56" t="n">
        <v>1023.3</v>
      </c>
      <c r="L5791" s="56" t="n">
        <v>0</v>
      </c>
      <c r="M5791" s="56" t="n">
        <v>83</v>
      </c>
      <c r="N5791" s="56" t="n">
        <v>0.2</v>
      </c>
      <c r="O5791" s="56" t="n">
        <f aca="false">IF(D5791=1,"",E5790)</f>
        <v>23.9</v>
      </c>
      <c r="P5791" s="56" t="n">
        <f aca="false">IF(OR(D5791=1,K5790=""),"",K5790)</f>
        <v>1019.3</v>
      </c>
      <c r="Q5791" s="56" t="n">
        <f aca="false">IF(OR(F5791&lt;&gt;0,AND(I5791&lt;&gt;"",E5791&lt;I5791)),1,0)</f>
        <v>0</v>
      </c>
      <c r="R5791" s="56" t="n">
        <f aca="false">IF(AND(D5791&gt;1,Q5791=0,ISNUMBER(O5791),ISNUMBER(P5791)),IF(Q5790=0,1,0),0)</f>
        <v>1</v>
      </c>
      <c r="S5791" s="56" t="n">
        <f aca="false">R5791*(B5791&gt;=Train_Start)*(B5791&lt;=Train_End)</f>
        <v>0</v>
      </c>
      <c r="T5791" s="84" t="n">
        <f aca="false">IF(AND(ISNUMBER(O5791),ISNUMBER(P5791)),Coef_A+Coef_B1*O5791+Coef_B2*P5791,"")</f>
        <v>23.6445157361406</v>
      </c>
      <c r="U5791" s="84" t="n">
        <f aca="false">IF(AND(R5791=1,ISNUMBER(T5791)),E5791-T5791,"")</f>
        <v>4.7554842638594</v>
      </c>
      <c r="V5791" s="84" t="n">
        <f aca="false">IF(ISNUMBER(T5791),T5791,-99)</f>
        <v>23.6445157361406</v>
      </c>
      <c r="W5791" s="84" t="n">
        <f aca="false">IF(ISNUMBER(U5791),ABS(U5791),"")</f>
        <v>4.7554842638594</v>
      </c>
    </row>
    <row r="5792" customFormat="false" ht="15" hidden="false" customHeight="false" outlineLevel="0" collapsed="false">
      <c r="A5792" s="57" t="n">
        <v>42620</v>
      </c>
      <c r="B5792" s="56" t="n">
        <v>2016</v>
      </c>
      <c r="C5792" s="56" t="n">
        <v>9</v>
      </c>
      <c r="D5792" s="56" t="n">
        <v>130</v>
      </c>
      <c r="E5792" s="56" t="n">
        <v>23.9</v>
      </c>
      <c r="F5792" s="56" t="n">
        <v>0</v>
      </c>
      <c r="G5792" s="56" t="n">
        <v>18.2</v>
      </c>
      <c r="H5792" s="56" t="n">
        <v>0</v>
      </c>
      <c r="I5792" s="56" t="n">
        <v>23.3</v>
      </c>
      <c r="J5792" s="56" t="n">
        <v>0</v>
      </c>
      <c r="K5792" s="56" t="n">
        <v>1017.6</v>
      </c>
      <c r="L5792" s="56" t="n">
        <v>0</v>
      </c>
      <c r="M5792" s="56" t="n">
        <v>69</v>
      </c>
      <c r="N5792" s="56" t="n">
        <v>6.1</v>
      </c>
      <c r="O5792" s="56" t="n">
        <f aca="false">IF(D5792=1,"",E5791)</f>
        <v>28.4</v>
      </c>
      <c r="P5792" s="56" t="n">
        <f aca="false">IF(OR(D5792=1,K5791=""),"",K5791)</f>
        <v>1023.3</v>
      </c>
      <c r="Q5792" s="56" t="n">
        <f aca="false">IF(OR(F5792&lt;&gt;0,AND(I5792&lt;&gt;"",E5792&lt;I5792)),1,0)</f>
        <v>0</v>
      </c>
      <c r="R5792" s="56" t="n">
        <f aca="false">IF(AND(D5792&gt;1,Q5792=0,ISNUMBER(O5792),ISNUMBER(P5792)),IF(Q5791=0,1,0),0)</f>
        <v>1</v>
      </c>
      <c r="S5792" s="56" t="n">
        <f aca="false">R5792*(B5792&gt;=Train_Start)*(B5792&lt;=Train_End)</f>
        <v>0</v>
      </c>
      <c r="T5792" s="84" t="n">
        <f aca="false">IF(AND(ISNUMBER(O5792),ISNUMBER(P5792)),Coef_A+Coef_B1*O5792+Coef_B2*P5792,"")</f>
        <v>27.4570216833685</v>
      </c>
      <c r="U5792" s="84" t="n">
        <f aca="false">IF(AND(R5792=1,ISNUMBER(T5792)),E5792-T5792,"")</f>
        <v>-3.55702168336852</v>
      </c>
      <c r="V5792" s="84" t="n">
        <f aca="false">IF(ISNUMBER(T5792),T5792,-99)</f>
        <v>27.4570216833685</v>
      </c>
      <c r="W5792" s="84" t="n">
        <f aca="false">IF(ISNUMBER(U5792),ABS(U5792),"")</f>
        <v>3.55702168336852</v>
      </c>
    </row>
    <row r="5793" customFormat="false" ht="15" hidden="false" customHeight="false" outlineLevel="0" collapsed="false">
      <c r="A5793" s="57" t="n">
        <v>42621</v>
      </c>
      <c r="B5793" s="56" t="n">
        <v>2016</v>
      </c>
      <c r="C5793" s="56" t="n">
        <v>9</v>
      </c>
      <c r="D5793" s="56" t="n">
        <v>131</v>
      </c>
      <c r="E5793" s="56" t="n">
        <v>24.3</v>
      </c>
      <c r="F5793" s="56" t="n">
        <v>0</v>
      </c>
      <c r="G5793" s="56" t="n">
        <v>15</v>
      </c>
      <c r="H5793" s="56" t="n">
        <v>0</v>
      </c>
      <c r="I5793" s="56" t="n">
        <v>19.4</v>
      </c>
      <c r="J5793" s="56" t="n">
        <v>0</v>
      </c>
      <c r="K5793" s="56" t="n">
        <v>1011.6</v>
      </c>
      <c r="L5793" s="56" t="n">
        <v>0</v>
      </c>
      <c r="M5793" s="56" t="n">
        <v>65</v>
      </c>
      <c r="N5793" s="56" t="n">
        <v>8.5</v>
      </c>
      <c r="O5793" s="56" t="n">
        <f aca="false">IF(D5793=1,"",E5792)</f>
        <v>23.9</v>
      </c>
      <c r="P5793" s="56" t="n">
        <f aca="false">IF(OR(D5793=1,K5792=""),"",K5792)</f>
        <v>1017.6</v>
      </c>
      <c r="Q5793" s="56" t="n">
        <f aca="false">IF(OR(F5793&lt;&gt;0,AND(I5793&lt;&gt;"",E5793&lt;I5793)),1,0)</f>
        <v>0</v>
      </c>
      <c r="R5793" s="56" t="n">
        <f aca="false">IF(AND(D5793&gt;1,Q5793=0,ISNUMBER(O5793),ISNUMBER(P5793)),IF(Q5792=0,1,0),0)</f>
        <v>1</v>
      </c>
      <c r="S5793" s="56" t="n">
        <f aca="false">R5793*(B5793&gt;=Train_Start)*(B5793&lt;=Train_End)</f>
        <v>0</v>
      </c>
      <c r="T5793" s="84" t="n">
        <f aca="false">IF(AND(ISNUMBER(O5793),ISNUMBER(P5793)),Coef_A+Coef_B1*O5793+Coef_B2*P5793,"")</f>
        <v>23.5911869152628</v>
      </c>
      <c r="U5793" s="84" t="n">
        <f aca="false">IF(AND(R5793=1,ISNUMBER(T5793)),E5793-T5793,"")</f>
        <v>0.70881308473718</v>
      </c>
      <c r="V5793" s="84" t="n">
        <f aca="false">IF(ISNUMBER(T5793),T5793,-99)</f>
        <v>23.5911869152628</v>
      </c>
      <c r="W5793" s="84" t="n">
        <f aca="false">IF(ISNUMBER(U5793),ABS(U5793),"")</f>
        <v>0.70881308473718</v>
      </c>
    </row>
    <row r="5794" customFormat="false" ht="15" hidden="false" customHeight="false" outlineLevel="0" collapsed="false">
      <c r="A5794" s="57" t="n">
        <v>42622</v>
      </c>
      <c r="B5794" s="56" t="n">
        <v>2016</v>
      </c>
      <c r="C5794" s="56" t="n">
        <v>9</v>
      </c>
      <c r="D5794" s="56" t="n">
        <v>132</v>
      </c>
      <c r="E5794" s="56" t="n">
        <v>19.3</v>
      </c>
      <c r="F5794" s="56" t="n">
        <v>1</v>
      </c>
      <c r="G5794" s="56" t="n">
        <v>15.2</v>
      </c>
      <c r="H5794" s="56" t="n">
        <v>0</v>
      </c>
      <c r="I5794" s="56" t="n">
        <v>19.8</v>
      </c>
      <c r="J5794" s="56" t="n">
        <v>1</v>
      </c>
      <c r="K5794" s="56" t="n">
        <v>1014.8</v>
      </c>
      <c r="L5794" s="56" t="n">
        <v>0</v>
      </c>
      <c r="M5794" s="56" t="n">
        <v>75</v>
      </c>
      <c r="N5794" s="56" t="n">
        <v>3.5</v>
      </c>
      <c r="O5794" s="56" t="n">
        <f aca="false">IF(D5794=1,"",E5793)</f>
        <v>24.3</v>
      </c>
      <c r="P5794" s="56" t="n">
        <f aca="false">IF(OR(D5794=1,K5793=""),"",K5793)</f>
        <v>1011.6</v>
      </c>
      <c r="Q5794" s="56" t="n">
        <f aca="false">IF(OR(F5794&lt;&gt;0,AND(I5794&lt;&gt;"",E5794&lt;I5794)),1,0)</f>
        <v>1</v>
      </c>
      <c r="R5794" s="56" t="n">
        <f aca="false">IF(AND(D5794&gt;1,Q5794=0,ISNUMBER(O5794),ISNUMBER(P5794)),IF(Q5793=0,1,0),0)</f>
        <v>0</v>
      </c>
      <c r="S5794" s="56" t="n">
        <f aca="false">R5794*(B5794&gt;=Train_Start)*(B5794&lt;=Train_End)</f>
        <v>0</v>
      </c>
      <c r="T5794" s="84" t="n">
        <f aca="false">IF(AND(ISNUMBER(O5794),ISNUMBER(P5794)),Coef_A+Coef_B1*O5794+Coef_B2*P5794,"")</f>
        <v>23.7307032246759</v>
      </c>
      <c r="U5794" s="84" t="str">
        <f aca="false">IF(AND(R5794=1,ISNUMBER(T5794)),E5794-T5794,"")</f>
        <v/>
      </c>
      <c r="V5794" s="84" t="n">
        <f aca="false">IF(ISNUMBER(T5794),T5794,-99)</f>
        <v>23.7307032246759</v>
      </c>
      <c r="W5794" s="84" t="str">
        <f aca="false">IF(ISNUMBER(U5794),ABS(U5794),"")</f>
        <v/>
      </c>
    </row>
    <row r="5795" customFormat="false" ht="15" hidden="false" customHeight="false" outlineLevel="0" collapsed="false">
      <c r="A5795" s="57" t="n">
        <v>42623</v>
      </c>
      <c r="B5795" s="56" t="n">
        <v>2016</v>
      </c>
      <c r="C5795" s="56" t="n">
        <v>9</v>
      </c>
      <c r="D5795" s="56" t="n">
        <v>133</v>
      </c>
      <c r="E5795" s="56" t="n">
        <v>22</v>
      </c>
      <c r="F5795" s="56" t="n">
        <v>0</v>
      </c>
      <c r="G5795" s="56" t="n">
        <v>17.9</v>
      </c>
      <c r="H5795" s="56" t="n">
        <v>0</v>
      </c>
      <c r="I5795" s="56" t="n">
        <v>18.6</v>
      </c>
      <c r="J5795" s="56" t="n">
        <v>0</v>
      </c>
      <c r="K5795" s="56" t="n">
        <v>1012.8</v>
      </c>
      <c r="L5795" s="56" t="n">
        <v>0</v>
      </c>
      <c r="M5795" s="56" t="n">
        <v>88</v>
      </c>
      <c r="N5795" s="56" t="n">
        <v>0</v>
      </c>
      <c r="O5795" s="56" t="n">
        <f aca="false">IF(D5795=1,"",E5794)</f>
        <v>19.3</v>
      </c>
      <c r="P5795" s="56" t="n">
        <f aca="false">IF(OR(D5795=1,K5794=""),"",K5794)</f>
        <v>1014.8</v>
      </c>
      <c r="Q5795" s="56" t="n">
        <f aca="false">IF(OR(F5795&lt;&gt;0,AND(I5795&lt;&gt;"",E5795&lt;I5795)),1,0)</f>
        <v>0</v>
      </c>
      <c r="R5795" s="56" t="n">
        <f aca="false">IF(AND(D5795&gt;1,Q5795=0,ISNUMBER(O5795),ISNUMBER(P5795)),IF(Q5794=0,1,0),0)</f>
        <v>0</v>
      </c>
      <c r="S5795" s="56" t="n">
        <f aca="false">R5795*(B5795&gt;=Train_Start)*(B5795&lt;=Train_End)</f>
        <v>0</v>
      </c>
      <c r="T5795" s="84" t="n">
        <f aca="false">IF(AND(ISNUMBER(O5795),ISNUMBER(P5795)),Coef_A+Coef_B1*O5795+Coef_B2*P5795,"")</f>
        <v>19.7343909222914</v>
      </c>
      <c r="U5795" s="84" t="str">
        <f aca="false">IF(AND(R5795=1,ISNUMBER(T5795)),E5795-T5795,"")</f>
        <v/>
      </c>
      <c r="V5795" s="84" t="n">
        <f aca="false">IF(ISNUMBER(T5795),T5795,-99)</f>
        <v>19.7343909222914</v>
      </c>
      <c r="W5795" s="84" t="str">
        <f aca="false">IF(ISNUMBER(U5795),ABS(U5795),"")</f>
        <v/>
      </c>
    </row>
    <row r="5796" customFormat="false" ht="15" hidden="false" customHeight="false" outlineLevel="0" collapsed="false">
      <c r="A5796" s="57" t="n">
        <v>42624</v>
      </c>
      <c r="B5796" s="56" t="n">
        <v>2016</v>
      </c>
      <c r="C5796" s="56" t="n">
        <v>9</v>
      </c>
      <c r="D5796" s="56" t="n">
        <v>134</v>
      </c>
      <c r="E5796" s="56" t="n">
        <v>25.8</v>
      </c>
      <c r="F5796" s="56" t="n">
        <v>0</v>
      </c>
      <c r="G5796" s="56" t="n">
        <v>8.7</v>
      </c>
      <c r="H5796" s="56" t="n">
        <v>0</v>
      </c>
      <c r="I5796" s="56" t="n">
        <v>15.4</v>
      </c>
      <c r="J5796" s="56" t="n">
        <v>0</v>
      </c>
      <c r="K5796" s="56" t="n">
        <v>1016.8</v>
      </c>
      <c r="L5796" s="56" t="n">
        <v>0</v>
      </c>
      <c r="M5796" s="56" t="n">
        <v>71</v>
      </c>
      <c r="N5796" s="56" t="n">
        <v>11.9</v>
      </c>
      <c r="O5796" s="56" t="n">
        <f aca="false">IF(D5796=1,"",E5795)</f>
        <v>22</v>
      </c>
      <c r="P5796" s="56" t="n">
        <f aca="false">IF(OR(D5796=1,K5795=""),"",K5795)</f>
        <v>1012.8</v>
      </c>
      <c r="Q5796" s="56" t="n">
        <f aca="false">IF(OR(F5796&lt;&gt;0,AND(I5796&lt;&gt;"",E5796&lt;I5796)),1,0)</f>
        <v>0</v>
      </c>
      <c r="R5796" s="56" t="n">
        <f aca="false">IF(AND(D5796&gt;1,Q5796=0,ISNUMBER(O5796),ISNUMBER(P5796)),IF(Q5795=0,1,0),0)</f>
        <v>1</v>
      </c>
      <c r="S5796" s="56" t="n">
        <f aca="false">R5796*(B5796&gt;=Train_Start)*(B5796&lt;=Train_End)</f>
        <v>0</v>
      </c>
      <c r="T5796" s="84" t="n">
        <f aca="false">IF(AND(ISNUMBER(O5796),ISNUMBER(P5796)),Coef_A+Coef_B1*O5796+Coef_B2*P5796,"")</f>
        <v>21.8838669542386</v>
      </c>
      <c r="U5796" s="84" t="n">
        <f aca="false">IF(AND(R5796=1,ISNUMBER(T5796)),E5796-T5796,"")</f>
        <v>3.91613304576138</v>
      </c>
      <c r="V5796" s="84" t="n">
        <f aca="false">IF(ISNUMBER(T5796),T5796,-99)</f>
        <v>21.8838669542386</v>
      </c>
      <c r="W5796" s="84" t="n">
        <f aca="false">IF(ISNUMBER(U5796),ABS(U5796),"")</f>
        <v>3.91613304576138</v>
      </c>
    </row>
    <row r="5797" customFormat="false" ht="15" hidden="false" customHeight="false" outlineLevel="0" collapsed="false">
      <c r="A5797" s="57" t="n">
        <v>42625</v>
      </c>
      <c r="B5797" s="56" t="n">
        <v>2016</v>
      </c>
      <c r="C5797" s="56" t="n">
        <v>9</v>
      </c>
      <c r="D5797" s="56" t="n">
        <v>135</v>
      </c>
      <c r="E5797" s="56" t="n">
        <v>32.8</v>
      </c>
      <c r="F5797" s="56" t="n">
        <v>0</v>
      </c>
      <c r="G5797" s="56" t="n">
        <v>10.6</v>
      </c>
      <c r="H5797" s="56" t="n">
        <v>0</v>
      </c>
      <c r="I5797" s="56" t="n">
        <v>18.2</v>
      </c>
      <c r="J5797" s="56" t="n">
        <v>0</v>
      </c>
      <c r="K5797" s="56" t="n">
        <v>1013.1</v>
      </c>
      <c r="L5797" s="56" t="n">
        <v>0</v>
      </c>
      <c r="M5797" s="56" t="n">
        <v>76</v>
      </c>
      <c r="N5797" s="56" t="n">
        <v>3</v>
      </c>
      <c r="O5797" s="56" t="n">
        <f aca="false">IF(D5797=1,"",E5796)</f>
        <v>25.8</v>
      </c>
      <c r="P5797" s="56" t="n">
        <f aca="false">IF(OR(D5797=1,K5796=""),"",K5796)</f>
        <v>1016.8</v>
      </c>
      <c r="Q5797" s="56" t="n">
        <f aca="false">IF(OR(F5797&lt;&gt;0,AND(I5797&lt;&gt;"",E5797&lt;I5797)),1,0)</f>
        <v>0</v>
      </c>
      <c r="R5797" s="56" t="n">
        <f aca="false">IF(AND(D5797&gt;1,Q5797=0,ISNUMBER(O5797),ISNUMBER(P5797)),IF(Q5796=0,1,0),0)</f>
        <v>1</v>
      </c>
      <c r="S5797" s="56" t="n">
        <f aca="false">R5797*(B5797&gt;=Train_Start)*(B5797&lt;=Train_End)</f>
        <v>0</v>
      </c>
      <c r="T5797" s="84" t="n">
        <f aca="false">IF(AND(ISNUMBER(O5797),ISNUMBER(P5797)),Coef_A+Coef_B1*O5797+Coef_B2*P5797,"")</f>
        <v>25.1228354663367</v>
      </c>
      <c r="U5797" s="84" t="n">
        <f aca="false">IF(AND(R5797=1,ISNUMBER(T5797)),E5797-T5797,"")</f>
        <v>7.67716453366332</v>
      </c>
      <c r="V5797" s="84" t="n">
        <f aca="false">IF(ISNUMBER(T5797),T5797,-99)</f>
        <v>25.1228354663367</v>
      </c>
      <c r="W5797" s="84" t="n">
        <f aca="false">IF(ISNUMBER(U5797),ABS(U5797),"")</f>
        <v>7.67716453366332</v>
      </c>
    </row>
    <row r="5798" customFormat="false" ht="15" hidden="false" customHeight="false" outlineLevel="0" collapsed="false">
      <c r="A5798" s="57" t="n">
        <v>42626</v>
      </c>
      <c r="B5798" s="56" t="n">
        <v>2016</v>
      </c>
      <c r="C5798" s="56" t="n">
        <v>9</v>
      </c>
      <c r="D5798" s="56" t="n">
        <v>136</v>
      </c>
      <c r="E5798" s="56" t="n">
        <v>27.8</v>
      </c>
      <c r="F5798" s="56" t="n">
        <v>0</v>
      </c>
      <c r="G5798" s="56" t="n">
        <v>16</v>
      </c>
      <c r="H5798" s="56" t="n">
        <v>0</v>
      </c>
      <c r="I5798" s="56" t="n">
        <v>24.4</v>
      </c>
      <c r="J5798" s="56" t="n">
        <v>0</v>
      </c>
      <c r="K5798" s="56" t="n">
        <v>1009.3</v>
      </c>
      <c r="L5798" s="56" t="n">
        <v>0</v>
      </c>
      <c r="M5798" s="56" t="n">
        <v>63</v>
      </c>
      <c r="N5798" s="56" t="n">
        <v>10</v>
      </c>
      <c r="O5798" s="56" t="n">
        <f aca="false">IF(D5798=1,"",E5797)</f>
        <v>32.8</v>
      </c>
      <c r="P5798" s="56" t="n">
        <f aca="false">IF(OR(D5798=1,K5797=""),"",K5797)</f>
        <v>1013.1</v>
      </c>
      <c r="Q5798" s="56" t="n">
        <f aca="false">IF(OR(F5798&lt;&gt;0,AND(I5798&lt;&gt;"",E5798&lt;I5798)),1,0)</f>
        <v>0</v>
      </c>
      <c r="R5798" s="56" t="n">
        <f aca="false">IF(AND(D5798&gt;1,Q5798=0,ISNUMBER(O5798),ISNUMBER(P5798)),IF(Q5797=0,1,0),0)</f>
        <v>1</v>
      </c>
      <c r="S5798" s="56" t="n">
        <f aca="false">R5798*(B5798&gt;=Train_Start)*(B5798&lt;=Train_End)</f>
        <v>0</v>
      </c>
      <c r="T5798" s="84" t="n">
        <f aca="false">IF(AND(ISNUMBER(O5798),ISNUMBER(P5798)),Coef_A+Coef_B1*O5798+Coef_B2*P5798,"")</f>
        <v>30.7421412074895</v>
      </c>
      <c r="U5798" s="84" t="n">
        <f aca="false">IF(AND(R5798=1,ISNUMBER(T5798)),E5798-T5798,"")</f>
        <v>-2.94214120748952</v>
      </c>
      <c r="V5798" s="84" t="n">
        <f aca="false">IF(ISNUMBER(T5798),T5798,-99)</f>
        <v>30.7421412074895</v>
      </c>
      <c r="W5798" s="84" t="n">
        <f aca="false">IF(ISNUMBER(U5798),ABS(U5798),"")</f>
        <v>2.94214120748952</v>
      </c>
    </row>
    <row r="5799" customFormat="false" ht="15" hidden="false" customHeight="false" outlineLevel="0" collapsed="false">
      <c r="A5799" s="57" t="n">
        <v>42627</v>
      </c>
      <c r="B5799" s="56" t="n">
        <v>2016</v>
      </c>
      <c r="C5799" s="56" t="n">
        <v>9</v>
      </c>
      <c r="D5799" s="56" t="n">
        <v>137</v>
      </c>
      <c r="E5799" s="56" t="n">
        <v>29.4</v>
      </c>
      <c r="F5799" s="56" t="n">
        <v>0</v>
      </c>
      <c r="G5799" s="56" t="n">
        <v>19.4</v>
      </c>
      <c r="H5799" s="56" t="n">
        <v>0</v>
      </c>
      <c r="I5799" s="56" t="n">
        <v>23.6</v>
      </c>
      <c r="J5799" s="56" t="n">
        <v>0</v>
      </c>
      <c r="K5799" s="56" t="n">
        <v>1010.3</v>
      </c>
      <c r="L5799" s="56" t="n">
        <v>0</v>
      </c>
      <c r="M5799" s="56" t="n">
        <v>65</v>
      </c>
      <c r="N5799" s="56" t="n">
        <v>11</v>
      </c>
      <c r="O5799" s="56" t="n">
        <f aca="false">IF(D5799=1,"",E5798)</f>
        <v>27.8</v>
      </c>
      <c r="P5799" s="56" t="n">
        <f aca="false">IF(OR(D5799=1,K5798=""),"",K5798)</f>
        <v>1009.3</v>
      </c>
      <c r="Q5799" s="56" t="n">
        <f aca="false">IF(OR(F5799&lt;&gt;0,AND(I5799&lt;&gt;"",E5799&lt;I5799)),1,0)</f>
        <v>0</v>
      </c>
      <c r="R5799" s="56" t="n">
        <f aca="false">IF(AND(D5799&gt;1,Q5799=0,ISNUMBER(O5799),ISNUMBER(P5799)),IF(Q5798=0,1,0),0)</f>
        <v>1</v>
      </c>
      <c r="S5799" s="56" t="n">
        <f aca="false">R5799*(B5799&gt;=Train_Start)*(B5799&lt;=Train_End)</f>
        <v>0</v>
      </c>
      <c r="T5799" s="84" t="n">
        <f aca="false">IF(AND(ISNUMBER(O5799),ISNUMBER(P5799)),Coef_A+Coef_B1*O5799+Coef_B2*P5799,"")</f>
        <v>26.5262396426671</v>
      </c>
      <c r="U5799" s="84" t="n">
        <f aca="false">IF(AND(R5799=1,ISNUMBER(T5799)),E5799-T5799,"")</f>
        <v>2.87376035733293</v>
      </c>
      <c r="V5799" s="84" t="n">
        <f aca="false">IF(ISNUMBER(T5799),T5799,-99)</f>
        <v>26.5262396426671</v>
      </c>
      <c r="W5799" s="84" t="n">
        <f aca="false">IF(ISNUMBER(U5799),ABS(U5799),"")</f>
        <v>2.87376035733293</v>
      </c>
    </row>
    <row r="5800" customFormat="false" ht="15" hidden="false" customHeight="false" outlineLevel="0" collapsed="false">
      <c r="A5800" s="57" t="n">
        <v>42628</v>
      </c>
      <c r="B5800" s="56" t="n">
        <v>2016</v>
      </c>
      <c r="C5800" s="56" t="n">
        <v>9</v>
      </c>
      <c r="D5800" s="56" t="n">
        <v>138</v>
      </c>
      <c r="E5800" s="56" t="n">
        <v>17.8</v>
      </c>
      <c r="F5800" s="56" t="n">
        <v>1</v>
      </c>
      <c r="G5800" s="56" t="n">
        <v>15.7</v>
      </c>
      <c r="H5800" s="56" t="n">
        <v>0</v>
      </c>
      <c r="I5800" s="56" t="n">
        <v>22.6</v>
      </c>
      <c r="J5800" s="56" t="n">
        <v>1</v>
      </c>
      <c r="K5800" s="56" t="n">
        <v>1009.8</v>
      </c>
      <c r="L5800" s="56" t="n">
        <v>0</v>
      </c>
      <c r="M5800" s="56" t="n">
        <v>74</v>
      </c>
      <c r="N5800" s="56" t="n">
        <v>7.2</v>
      </c>
      <c r="O5800" s="56" t="n">
        <f aca="false">IF(D5800=1,"",E5799)</f>
        <v>29.4</v>
      </c>
      <c r="P5800" s="56" t="n">
        <f aca="false">IF(OR(D5800=1,K5799=""),"",K5799)</f>
        <v>1010.3</v>
      </c>
      <c r="Q5800" s="56" t="n">
        <f aca="false">IF(OR(F5800&lt;&gt;0,AND(I5800&lt;&gt;"",E5800&lt;I5800)),1,0)</f>
        <v>1</v>
      </c>
      <c r="R5800" s="56" t="n">
        <f aca="false">IF(AND(D5800&gt;1,Q5800=0,ISNUMBER(O5800),ISNUMBER(P5800)),IF(Q5799=0,1,0),0)</f>
        <v>0</v>
      </c>
      <c r="S5800" s="56" t="n">
        <f aca="false">R5800*(B5800&gt;=Train_Start)*(B5800&lt;=Train_End)</f>
        <v>0</v>
      </c>
      <c r="T5800" s="84" t="n">
        <f aca="false">IF(AND(ISNUMBER(O5800),ISNUMBER(P5800)),Coef_A+Coef_B1*O5800+Coef_B2*P5800,"")</f>
        <v>27.8685522461693</v>
      </c>
      <c r="U5800" s="84" t="str">
        <f aca="false">IF(AND(R5800=1,ISNUMBER(T5800)),E5800-T5800,"")</f>
        <v/>
      </c>
      <c r="V5800" s="84" t="n">
        <f aca="false">IF(ISNUMBER(T5800),T5800,-99)</f>
        <v>27.8685522461693</v>
      </c>
      <c r="W5800" s="84" t="str">
        <f aca="false">IF(ISNUMBER(U5800),ABS(U5800),"")</f>
        <v/>
      </c>
    </row>
    <row r="5801" customFormat="false" ht="15" hidden="false" customHeight="false" outlineLevel="0" collapsed="false">
      <c r="A5801" s="57" t="n">
        <v>42629</v>
      </c>
      <c r="B5801" s="56" t="n">
        <v>2016</v>
      </c>
      <c r="C5801" s="56" t="n">
        <v>9</v>
      </c>
      <c r="D5801" s="56" t="n">
        <v>139</v>
      </c>
      <c r="E5801" s="56" t="n">
        <v>16.3</v>
      </c>
      <c r="F5801" s="56" t="n">
        <v>1</v>
      </c>
      <c r="G5801" s="56" t="n">
        <v>15.9</v>
      </c>
      <c r="H5801" s="56" t="n">
        <v>0</v>
      </c>
      <c r="I5801" s="56" t="n">
        <v>16.8</v>
      </c>
      <c r="J5801" s="56" t="n">
        <v>1</v>
      </c>
      <c r="K5801" s="56" t="n">
        <v>1012.7</v>
      </c>
      <c r="L5801" s="56" t="n">
        <v>0</v>
      </c>
      <c r="M5801" s="56" t="n">
        <v>83</v>
      </c>
      <c r="N5801" s="56" t="n">
        <v>0.3</v>
      </c>
      <c r="O5801" s="56" t="n">
        <f aca="false">IF(D5801=1,"",E5800)</f>
        <v>17.8</v>
      </c>
      <c r="P5801" s="56" t="n">
        <f aca="false">IF(OR(D5801=1,K5800=""),"",K5800)</f>
        <v>1009.8</v>
      </c>
      <c r="Q5801" s="56" t="n">
        <f aca="false">IF(OR(F5801&lt;&gt;0,AND(I5801&lt;&gt;"",E5801&lt;I5801)),1,0)</f>
        <v>1</v>
      </c>
      <c r="R5801" s="56" t="n">
        <f aca="false">IF(AND(D5801&gt;1,Q5801=0,ISNUMBER(O5801),ISNUMBER(P5801)),IF(Q5800=0,1,0),0)</f>
        <v>0</v>
      </c>
      <c r="S5801" s="56" t="n">
        <f aca="false">R5801*(B5801&gt;=Train_Start)*(B5801&lt;=Train_End)</f>
        <v>0</v>
      </c>
      <c r="T5801" s="84" t="n">
        <f aca="false">IF(AND(ISNUMBER(O5801),ISNUMBER(P5801)),Coef_A+Coef_B1*O5801+Coef_B2*P5801,"")</f>
        <v>18.3485326595575</v>
      </c>
      <c r="U5801" s="84" t="str">
        <f aca="false">IF(AND(R5801=1,ISNUMBER(T5801)),E5801-T5801,"")</f>
        <v/>
      </c>
      <c r="V5801" s="84" t="n">
        <f aca="false">IF(ISNUMBER(T5801),T5801,-99)</f>
        <v>18.3485326595575</v>
      </c>
      <c r="W5801" s="84" t="str">
        <f aca="false">IF(ISNUMBER(U5801),ABS(U5801),"")</f>
        <v/>
      </c>
    </row>
    <row r="5802" customFormat="false" ht="15" hidden="false" customHeight="false" outlineLevel="0" collapsed="false">
      <c r="A5802" s="57" t="n">
        <v>42630</v>
      </c>
      <c r="B5802" s="56" t="n">
        <v>2016</v>
      </c>
      <c r="C5802" s="56" t="n">
        <v>9</v>
      </c>
      <c r="D5802" s="56" t="n">
        <v>140</v>
      </c>
      <c r="E5802" s="56" t="n">
        <v>20.6</v>
      </c>
      <c r="F5802" s="56" t="n">
        <v>0</v>
      </c>
      <c r="G5802" s="56" t="n">
        <v>12.8</v>
      </c>
      <c r="H5802" s="56" t="n">
        <v>0</v>
      </c>
      <c r="I5802" s="56" t="n">
        <v>14.6</v>
      </c>
      <c r="J5802" s="56" t="n">
        <v>0</v>
      </c>
      <c r="K5802" s="56" t="n">
        <v>1020.3</v>
      </c>
      <c r="L5802" s="56" t="n">
        <v>0</v>
      </c>
      <c r="M5802" s="56" t="n">
        <v>82</v>
      </c>
      <c r="N5802" s="56" t="n">
        <v>0</v>
      </c>
      <c r="O5802" s="56" t="n">
        <f aca="false">IF(D5802=1,"",E5801)</f>
        <v>16.3</v>
      </c>
      <c r="P5802" s="56" t="n">
        <f aca="false">IF(OR(D5802=1,K5801=""),"",K5801)</f>
        <v>1012.7</v>
      </c>
      <c r="Q5802" s="56" t="n">
        <f aca="false">IF(OR(F5802&lt;&gt;0,AND(I5802&lt;&gt;"",E5802&lt;I5802)),1,0)</f>
        <v>0</v>
      </c>
      <c r="R5802" s="56" t="n">
        <f aca="false">IF(AND(D5802&gt;1,Q5802=0,ISNUMBER(O5802),ISNUMBER(P5802)),IF(Q5801=0,1,0),0)</f>
        <v>0</v>
      </c>
      <c r="S5802" s="56" t="n">
        <f aca="false">R5802*(B5802&gt;=Train_Start)*(B5802&lt;=Train_End)</f>
        <v>0</v>
      </c>
      <c r="T5802" s="84" t="n">
        <f aca="false">IF(AND(ISNUMBER(O5802),ISNUMBER(P5802)),Coef_A+Coef_B1*O5802+Coef_B2*P5802,"")</f>
        <v>17.2104965644321</v>
      </c>
      <c r="U5802" s="84" t="str">
        <f aca="false">IF(AND(R5802=1,ISNUMBER(T5802)),E5802-T5802,"")</f>
        <v/>
      </c>
      <c r="V5802" s="84" t="n">
        <f aca="false">IF(ISNUMBER(T5802),T5802,-99)</f>
        <v>17.2104965644321</v>
      </c>
      <c r="W5802" s="84" t="str">
        <f aca="false">IF(ISNUMBER(U5802),ABS(U5802),"")</f>
        <v/>
      </c>
    </row>
    <row r="5803" customFormat="false" ht="15" hidden="false" customHeight="false" outlineLevel="0" collapsed="false">
      <c r="A5803" s="57" t="n">
        <v>42631</v>
      </c>
      <c r="B5803" s="56" t="n">
        <v>2016</v>
      </c>
      <c r="C5803" s="56" t="n">
        <v>9</v>
      </c>
      <c r="D5803" s="56" t="n">
        <v>141</v>
      </c>
      <c r="E5803" s="56" t="n">
        <v>19.6</v>
      </c>
      <c r="F5803" s="56" t="n">
        <v>0</v>
      </c>
      <c r="G5803" s="56" t="n">
        <v>13.4</v>
      </c>
      <c r="H5803" s="56" t="n">
        <v>0</v>
      </c>
      <c r="I5803" s="56" t="n">
        <v>17</v>
      </c>
      <c r="J5803" s="56" t="n">
        <v>0</v>
      </c>
      <c r="K5803" s="56" t="n">
        <v>1021.4</v>
      </c>
      <c r="L5803" s="56" t="n">
        <v>0</v>
      </c>
      <c r="M5803" s="56" t="n">
        <v>78</v>
      </c>
      <c r="N5803" s="56" t="n">
        <v>0.8</v>
      </c>
      <c r="O5803" s="56" t="n">
        <f aca="false">IF(D5803=1,"",E5802)</f>
        <v>20.6</v>
      </c>
      <c r="P5803" s="56" t="n">
        <f aca="false">IF(OR(D5803=1,K5802=""),"",K5802)</f>
        <v>1020.3</v>
      </c>
      <c r="Q5803" s="56" t="n">
        <f aca="false">IF(OR(F5803&lt;&gt;0,AND(I5803&lt;&gt;"",E5803&lt;I5803)),1,0)</f>
        <v>0</v>
      </c>
      <c r="R5803" s="56" t="n">
        <f aca="false">IF(AND(D5803&gt;1,Q5803=0,ISNUMBER(O5803),ISNUMBER(P5803)),IF(Q5802=0,1,0),0)</f>
        <v>1</v>
      </c>
      <c r="S5803" s="56" t="n">
        <f aca="false">R5803*(B5803&gt;=Train_Start)*(B5803&lt;=Train_End)</f>
        <v>0</v>
      </c>
      <c r="T5803" s="84" t="n">
        <f aca="false">IF(AND(ISNUMBER(O5803),ISNUMBER(P5803)),Coef_A+Coef_B1*O5803+Coef_B2*P5803,"")</f>
        <v>20.9720662937338</v>
      </c>
      <c r="U5803" s="84" t="n">
        <f aca="false">IF(AND(R5803=1,ISNUMBER(T5803)),E5803-T5803,"")</f>
        <v>-1.37206629373382</v>
      </c>
      <c r="V5803" s="84" t="n">
        <f aca="false">IF(ISNUMBER(T5803),T5803,-99)</f>
        <v>20.9720662937338</v>
      </c>
      <c r="W5803" s="84" t="n">
        <f aca="false">IF(ISNUMBER(U5803),ABS(U5803),"")</f>
        <v>1.37206629373382</v>
      </c>
    </row>
    <row r="5804" customFormat="false" ht="15" hidden="false" customHeight="false" outlineLevel="0" collapsed="false">
      <c r="A5804" s="57" t="n">
        <v>42632</v>
      </c>
      <c r="B5804" s="56" t="n">
        <v>2016</v>
      </c>
      <c r="C5804" s="56" t="n">
        <v>9</v>
      </c>
      <c r="D5804" s="56" t="n">
        <v>142</v>
      </c>
      <c r="E5804" s="56" t="n">
        <v>19</v>
      </c>
      <c r="F5804" s="56" t="n">
        <v>0</v>
      </c>
      <c r="G5804" s="56" t="n">
        <v>13</v>
      </c>
      <c r="H5804" s="56" t="n">
        <v>0</v>
      </c>
      <c r="I5804" s="56" t="n">
        <v>16.3</v>
      </c>
      <c r="J5804" s="56" t="n">
        <v>0</v>
      </c>
      <c r="K5804" s="56" t="n">
        <v>1021.7</v>
      </c>
      <c r="L5804" s="56" t="n">
        <v>0</v>
      </c>
      <c r="M5804" s="56" t="n">
        <v>85</v>
      </c>
      <c r="N5804" s="56" t="n">
        <v>0.6</v>
      </c>
      <c r="O5804" s="56" t="n">
        <f aca="false">IF(D5804=1,"",E5803)</f>
        <v>19.6</v>
      </c>
      <c r="P5804" s="56" t="n">
        <f aca="false">IF(OR(D5804=1,K5803=""),"",K5803)</f>
        <v>1021.4</v>
      </c>
      <c r="Q5804" s="56" t="n">
        <f aca="false">IF(OR(F5804&lt;&gt;0,AND(I5804&lt;&gt;"",E5804&lt;I5804)),1,0)</f>
        <v>0</v>
      </c>
      <c r="R5804" s="56" t="n">
        <f aca="false">IF(AND(D5804&gt;1,Q5804=0,ISNUMBER(O5804),ISNUMBER(P5804)),IF(Q5803=0,1,0),0)</f>
        <v>1</v>
      </c>
      <c r="S5804" s="56" t="n">
        <f aca="false">R5804*(B5804&gt;=Train_Start)*(B5804&lt;=Train_End)</f>
        <v>0</v>
      </c>
      <c r="T5804" s="84" t="n">
        <f aca="false">IF(AND(ISNUMBER(O5804),ISNUMBER(P5804)),Coef_A+Coef_B1*O5804+Coef_B2*P5804,"")</f>
        <v>20.1872339847886</v>
      </c>
      <c r="U5804" s="84" t="n">
        <f aca="false">IF(AND(R5804=1,ISNUMBER(T5804)),E5804-T5804,"")</f>
        <v>-1.18723398478856</v>
      </c>
      <c r="V5804" s="84" t="n">
        <f aca="false">IF(ISNUMBER(T5804),T5804,-99)</f>
        <v>20.1872339847886</v>
      </c>
      <c r="W5804" s="84" t="n">
        <f aca="false">IF(ISNUMBER(U5804),ABS(U5804),"")</f>
        <v>1.18723398478856</v>
      </c>
    </row>
    <row r="5805" customFormat="false" ht="15" hidden="false" customHeight="false" outlineLevel="0" collapsed="false">
      <c r="A5805" s="57" t="n">
        <v>42633</v>
      </c>
      <c r="B5805" s="56" t="n">
        <v>2016</v>
      </c>
      <c r="C5805" s="56" t="n">
        <v>9</v>
      </c>
      <c r="D5805" s="56" t="n">
        <v>143</v>
      </c>
      <c r="E5805" s="56" t="n">
        <v>22.1</v>
      </c>
      <c r="F5805" s="56" t="n">
        <v>0</v>
      </c>
      <c r="G5805" s="56" t="n">
        <v>14.3</v>
      </c>
      <c r="H5805" s="56" t="n">
        <v>0</v>
      </c>
      <c r="I5805" s="56" t="n">
        <v>16.6</v>
      </c>
      <c r="J5805" s="56" t="n">
        <v>0</v>
      </c>
      <c r="K5805" s="56" t="n">
        <v>1020.2</v>
      </c>
      <c r="L5805" s="56" t="n">
        <v>0</v>
      </c>
      <c r="M5805" s="56" t="n">
        <v>82</v>
      </c>
      <c r="N5805" s="56" t="n">
        <v>0</v>
      </c>
      <c r="O5805" s="56" t="n">
        <f aca="false">IF(D5805=1,"",E5804)</f>
        <v>19</v>
      </c>
      <c r="P5805" s="56" t="n">
        <f aca="false">IF(OR(D5805=1,K5804=""),"",K5804)</f>
        <v>1021.7</v>
      </c>
      <c r="Q5805" s="56" t="n">
        <f aca="false">IF(OR(F5805&lt;&gt;0,AND(I5805&lt;&gt;"",E5805&lt;I5805)),1,0)</f>
        <v>0</v>
      </c>
      <c r="R5805" s="56" t="n">
        <f aca="false">IF(AND(D5805&gt;1,Q5805=0,ISNUMBER(O5805),ISNUMBER(P5805)),IF(Q5804=0,1,0),0)</f>
        <v>1</v>
      </c>
      <c r="S5805" s="56" t="n">
        <f aca="false">R5805*(B5805&gt;=Train_Start)*(B5805&lt;=Train_End)</f>
        <v>0</v>
      </c>
      <c r="T5805" s="84" t="n">
        <f aca="false">IF(AND(ISNUMBER(O5805),ISNUMBER(P5805)),Coef_A+Coef_B1*O5805+Coef_B2*P5805,"")</f>
        <v>19.7050414373532</v>
      </c>
      <c r="U5805" s="84" t="n">
        <f aca="false">IF(AND(R5805=1,ISNUMBER(T5805)),E5805-T5805,"")</f>
        <v>2.39495856264684</v>
      </c>
      <c r="V5805" s="84" t="n">
        <f aca="false">IF(ISNUMBER(T5805),T5805,-99)</f>
        <v>19.7050414373532</v>
      </c>
      <c r="W5805" s="84" t="n">
        <f aca="false">IF(ISNUMBER(U5805),ABS(U5805),"")</f>
        <v>2.39495856264684</v>
      </c>
    </row>
    <row r="5806" customFormat="false" ht="15" hidden="false" customHeight="false" outlineLevel="0" collapsed="false">
      <c r="A5806" s="57" t="n">
        <v>42634</v>
      </c>
      <c r="B5806" s="56" t="n">
        <v>2016</v>
      </c>
      <c r="C5806" s="56" t="n">
        <v>9</v>
      </c>
      <c r="D5806" s="56" t="n">
        <v>144</v>
      </c>
      <c r="E5806" s="56" t="n">
        <v>20.8</v>
      </c>
      <c r="F5806" s="56" t="n">
        <v>0</v>
      </c>
      <c r="G5806" s="56" t="n">
        <v>14.9</v>
      </c>
      <c r="H5806" s="56" t="n">
        <v>0</v>
      </c>
      <c r="I5806" s="56" t="n">
        <v>18.5</v>
      </c>
      <c r="J5806" s="56" t="n">
        <v>0</v>
      </c>
      <c r="K5806" s="56" t="n">
        <v>1018.1</v>
      </c>
      <c r="L5806" s="56" t="n">
        <v>0</v>
      </c>
      <c r="M5806" s="56" t="n">
        <v>74</v>
      </c>
      <c r="N5806" s="56" t="n">
        <v>4.8</v>
      </c>
      <c r="O5806" s="56" t="n">
        <f aca="false">IF(D5806=1,"",E5805)</f>
        <v>22.1</v>
      </c>
      <c r="P5806" s="56" t="n">
        <f aca="false">IF(OR(D5806=1,K5805=""),"",K5805)</f>
        <v>1020.2</v>
      </c>
      <c r="Q5806" s="56" t="n">
        <f aca="false">IF(OR(F5806&lt;&gt;0,AND(I5806&lt;&gt;"",E5806&lt;I5806)),1,0)</f>
        <v>0</v>
      </c>
      <c r="R5806" s="56" t="n">
        <f aca="false">IF(AND(D5806&gt;1,Q5806=0,ISNUMBER(O5806),ISNUMBER(P5806)),IF(Q5805=0,1,0),0)</f>
        <v>1</v>
      </c>
      <c r="S5806" s="56" t="n">
        <f aca="false">R5806*(B5806&gt;=Train_Start)*(B5806&lt;=Train_End)</f>
        <v>0</v>
      </c>
      <c r="T5806" s="84" t="n">
        <f aca="false">IF(AND(ISNUMBER(O5806),ISNUMBER(P5806)),Coef_A+Coef_B1*O5806+Coef_B2*P5806,"")</f>
        <v>22.1979380938344</v>
      </c>
      <c r="U5806" s="84" t="n">
        <f aca="false">IF(AND(R5806=1,ISNUMBER(T5806)),E5806-T5806,"")</f>
        <v>-1.39793809383441</v>
      </c>
      <c r="V5806" s="84" t="n">
        <f aca="false">IF(ISNUMBER(T5806),T5806,-99)</f>
        <v>22.1979380938344</v>
      </c>
      <c r="W5806" s="84" t="n">
        <f aca="false">IF(ISNUMBER(U5806),ABS(U5806),"")</f>
        <v>1.39793809383441</v>
      </c>
    </row>
    <row r="5807" customFormat="false" ht="15" hidden="false" customHeight="false" outlineLevel="0" collapsed="false">
      <c r="A5807" s="57" t="n">
        <v>42635</v>
      </c>
      <c r="B5807" s="56" t="n">
        <v>2016</v>
      </c>
      <c r="C5807" s="56" t="n">
        <v>9</v>
      </c>
      <c r="D5807" s="56" t="n">
        <v>145</v>
      </c>
      <c r="E5807" s="56" t="n">
        <v>20.7</v>
      </c>
      <c r="F5807" s="56" t="n">
        <v>0</v>
      </c>
      <c r="G5807" s="56" t="n">
        <v>14.3</v>
      </c>
      <c r="H5807" s="56" t="n">
        <v>0</v>
      </c>
      <c r="I5807" s="56" t="n">
        <v>17.6</v>
      </c>
      <c r="J5807" s="56" t="n">
        <v>0</v>
      </c>
      <c r="K5807" s="56" t="n">
        <v>1019.2</v>
      </c>
      <c r="L5807" s="56" t="n">
        <v>0</v>
      </c>
      <c r="M5807" s="56" t="n">
        <v>77</v>
      </c>
      <c r="N5807" s="56" t="n">
        <v>2.5</v>
      </c>
      <c r="O5807" s="56" t="n">
        <f aca="false">IF(D5807=1,"",E5806)</f>
        <v>20.8</v>
      </c>
      <c r="P5807" s="56" t="n">
        <f aca="false">IF(OR(D5807=1,K5806=""),"",K5806)</f>
        <v>1018.1</v>
      </c>
      <c r="Q5807" s="56" t="n">
        <f aca="false">IF(OR(F5807&lt;&gt;0,AND(I5807&lt;&gt;"",E5807&lt;I5807)),1,0)</f>
        <v>0</v>
      </c>
      <c r="R5807" s="56" t="n">
        <f aca="false">IF(AND(D5807&gt;1,Q5807=0,ISNUMBER(O5807),ISNUMBER(P5807)),IF(Q5806=0,1,0),0)</f>
        <v>1</v>
      </c>
      <c r="S5807" s="56" t="n">
        <f aca="false">R5807*(B5807&gt;=Train_Start)*(B5807&lt;=Train_End)</f>
        <v>0</v>
      </c>
      <c r="T5807" s="84" t="n">
        <f aca="false">IF(AND(ISNUMBER(O5807),ISNUMBER(P5807)),Coef_A+Coef_B1*O5807+Coef_B2*P5807,"")</f>
        <v>21.0669203641476</v>
      </c>
      <c r="U5807" s="84" t="n">
        <f aca="false">IF(AND(R5807=1,ISNUMBER(T5807)),E5807-T5807,"")</f>
        <v>-0.366920364147578</v>
      </c>
      <c r="V5807" s="84" t="n">
        <f aca="false">IF(ISNUMBER(T5807),T5807,-99)</f>
        <v>21.0669203641476</v>
      </c>
      <c r="W5807" s="84" t="n">
        <f aca="false">IF(ISNUMBER(U5807),ABS(U5807),"")</f>
        <v>0.366920364147578</v>
      </c>
    </row>
    <row r="5808" customFormat="false" ht="15" hidden="false" customHeight="false" outlineLevel="0" collapsed="false">
      <c r="A5808" s="57" t="n">
        <v>42636</v>
      </c>
      <c r="B5808" s="56" t="n">
        <v>2016</v>
      </c>
      <c r="C5808" s="56" t="n">
        <v>9</v>
      </c>
      <c r="D5808" s="56" t="n">
        <v>146</v>
      </c>
      <c r="E5808" s="56" t="n">
        <v>23.2</v>
      </c>
      <c r="F5808" s="56" t="n">
        <v>0</v>
      </c>
      <c r="G5808" s="56" t="n">
        <v>8.9</v>
      </c>
      <c r="H5808" s="56" t="n">
        <v>0</v>
      </c>
      <c r="I5808" s="56" t="n">
        <v>14.8</v>
      </c>
      <c r="J5808" s="56" t="n">
        <v>0</v>
      </c>
      <c r="K5808" s="56" t="n">
        <v>1024.1</v>
      </c>
      <c r="L5808" s="56" t="n">
        <v>0</v>
      </c>
      <c r="M5808" s="56" t="n">
        <v>64</v>
      </c>
      <c r="N5808" s="56" t="n">
        <v>9.7</v>
      </c>
      <c r="O5808" s="56" t="n">
        <f aca="false">IF(D5808=1,"",E5807)</f>
        <v>20.7</v>
      </c>
      <c r="P5808" s="56" t="n">
        <f aca="false">IF(OR(D5808=1,K5807=""),"",K5807)</f>
        <v>1019.2</v>
      </c>
      <c r="Q5808" s="56" t="n">
        <f aca="false">IF(OR(F5808&lt;&gt;0,AND(I5808&lt;&gt;"",E5808&lt;I5808)),1,0)</f>
        <v>0</v>
      </c>
      <c r="R5808" s="56" t="n">
        <f aca="false">IF(AND(D5808&gt;1,Q5808=0,ISNUMBER(O5808),ISNUMBER(P5808)),IF(Q5807=0,1,0),0)</f>
        <v>1</v>
      </c>
      <c r="S5808" s="56" t="n">
        <f aca="false">R5808*(B5808&gt;=Train_Start)*(B5808&lt;=Train_End)</f>
        <v>0</v>
      </c>
      <c r="T5808" s="84" t="n">
        <f aca="false">IF(AND(ISNUMBER(O5808),ISNUMBER(P5808)),Coef_A+Coef_B1*O5808+Coef_B2*P5808,"")</f>
        <v>21.0194933289407</v>
      </c>
      <c r="U5808" s="84" t="n">
        <f aca="false">IF(AND(R5808=1,ISNUMBER(T5808)),E5808-T5808,"")</f>
        <v>2.1805066710593</v>
      </c>
      <c r="V5808" s="84" t="n">
        <f aca="false">IF(ISNUMBER(T5808),T5808,-99)</f>
        <v>21.0194933289407</v>
      </c>
      <c r="W5808" s="84" t="n">
        <f aca="false">IF(ISNUMBER(U5808),ABS(U5808),"")</f>
        <v>2.1805066710593</v>
      </c>
    </row>
    <row r="5809" customFormat="false" ht="15" hidden="false" customHeight="false" outlineLevel="0" collapsed="false">
      <c r="A5809" s="57" t="n">
        <v>42637</v>
      </c>
      <c r="B5809" s="56" t="n">
        <v>2016</v>
      </c>
      <c r="C5809" s="56" t="n">
        <v>9</v>
      </c>
      <c r="D5809" s="56" t="n">
        <v>147</v>
      </c>
      <c r="E5809" s="56" t="n">
        <v>21</v>
      </c>
      <c r="F5809" s="56" t="n">
        <v>0</v>
      </c>
      <c r="G5809" s="56" t="n">
        <v>9.8</v>
      </c>
      <c r="H5809" s="56" t="n">
        <v>0</v>
      </c>
      <c r="I5809" s="56" t="n">
        <v>16.5</v>
      </c>
      <c r="J5809" s="56" t="n">
        <v>0</v>
      </c>
      <c r="K5809" s="56" t="n">
        <v>1017</v>
      </c>
      <c r="L5809" s="56" t="n">
        <v>0</v>
      </c>
      <c r="M5809" s="56" t="n">
        <v>68</v>
      </c>
      <c r="N5809" s="56" t="n">
        <v>4.9</v>
      </c>
      <c r="O5809" s="56" t="n">
        <f aca="false">IF(D5809=1,"",E5808)</f>
        <v>23.2</v>
      </c>
      <c r="P5809" s="56" t="n">
        <f aca="false">IF(OR(D5809=1,K5808=""),"",K5808)</f>
        <v>1024.1</v>
      </c>
      <c r="Q5809" s="56" t="n">
        <f aca="false">IF(OR(F5809&lt;&gt;0,AND(I5809&lt;&gt;"",E5809&lt;I5809)),1,0)</f>
        <v>0</v>
      </c>
      <c r="R5809" s="56" t="n">
        <f aca="false">IF(AND(D5809&gt;1,Q5809=0,ISNUMBER(O5809),ISNUMBER(P5809)),IF(Q5808=0,1,0),0)</f>
        <v>1</v>
      </c>
      <c r="S5809" s="56" t="n">
        <f aca="false">R5809*(B5809&gt;=Train_Start)*(B5809&lt;=Train_End)</f>
        <v>0</v>
      </c>
      <c r="T5809" s="84" t="n">
        <f aca="false">IF(AND(ISNUMBER(O5809),ISNUMBER(P5809)),Coef_A+Coef_B1*O5809+Coef_B2*P5809,"")</f>
        <v>23.2215537952539</v>
      </c>
      <c r="U5809" s="84" t="n">
        <f aca="false">IF(AND(R5809=1,ISNUMBER(T5809)),E5809-T5809,"")</f>
        <v>-2.22155379525388</v>
      </c>
      <c r="V5809" s="84" t="n">
        <f aca="false">IF(ISNUMBER(T5809),T5809,-99)</f>
        <v>23.2215537952539</v>
      </c>
      <c r="W5809" s="84" t="n">
        <f aca="false">IF(ISNUMBER(U5809),ABS(U5809),"")</f>
        <v>2.22155379525388</v>
      </c>
    </row>
    <row r="5810" customFormat="false" ht="15" hidden="false" customHeight="false" outlineLevel="0" collapsed="false">
      <c r="A5810" s="57" t="n">
        <v>42638</v>
      </c>
      <c r="B5810" s="56" t="n">
        <v>2016</v>
      </c>
      <c r="C5810" s="56" t="n">
        <v>9</v>
      </c>
      <c r="D5810" s="56" t="n">
        <v>148</v>
      </c>
      <c r="E5810" s="56" t="n">
        <v>18.7</v>
      </c>
      <c r="F5810" s="56" t="n">
        <v>0</v>
      </c>
      <c r="G5810" s="56" t="n">
        <v>15.1</v>
      </c>
      <c r="H5810" s="56" t="n">
        <v>0</v>
      </c>
      <c r="I5810" s="56" t="n">
        <v>18</v>
      </c>
      <c r="J5810" s="56" t="n">
        <v>0</v>
      </c>
      <c r="K5810" s="56" t="n">
        <v>1014.7</v>
      </c>
      <c r="L5810" s="56" t="n">
        <v>0</v>
      </c>
      <c r="M5810" s="56" t="n">
        <v>68</v>
      </c>
      <c r="N5810" s="56" t="n">
        <v>6.4</v>
      </c>
      <c r="O5810" s="56" t="n">
        <f aca="false">IF(D5810=1,"",E5809)</f>
        <v>21</v>
      </c>
      <c r="P5810" s="56" t="n">
        <f aca="false">IF(OR(D5810=1,K5809=""),"",K5809)</f>
        <v>1017</v>
      </c>
      <c r="Q5810" s="56" t="n">
        <f aca="false">IF(OR(F5810&lt;&gt;0,AND(I5810&lt;&gt;"",E5810&lt;I5810)),1,0)</f>
        <v>0</v>
      </c>
      <c r="R5810" s="56" t="n">
        <f aca="false">IF(AND(D5810&gt;1,Q5810=0,ISNUMBER(O5810),ISNUMBER(P5810)),IF(Q5809=0,1,0),0)</f>
        <v>1</v>
      </c>
      <c r="S5810" s="56" t="n">
        <f aca="false">R5810*(B5810&gt;=Train_Start)*(B5810&lt;=Train_End)</f>
        <v>0</v>
      </c>
      <c r="T5810" s="84" t="n">
        <f aca="false">IF(AND(ISNUMBER(O5810),ISNUMBER(P5810)),Coef_A+Coef_B1*O5810+Coef_B2*P5810,"")</f>
        <v>21.1962813186587</v>
      </c>
      <c r="U5810" s="84" t="n">
        <f aca="false">IF(AND(R5810=1,ISNUMBER(T5810)),E5810-T5810,"")</f>
        <v>-2.49628131865872</v>
      </c>
      <c r="V5810" s="84" t="n">
        <f aca="false">IF(ISNUMBER(T5810),T5810,-99)</f>
        <v>21.1962813186587</v>
      </c>
      <c r="W5810" s="84" t="n">
        <f aca="false">IF(ISNUMBER(U5810),ABS(U5810),"")</f>
        <v>2.49628131865872</v>
      </c>
    </row>
    <row r="5811" customFormat="false" ht="15" hidden="false" customHeight="false" outlineLevel="0" collapsed="false">
      <c r="A5811" s="57" t="n">
        <v>42639</v>
      </c>
      <c r="B5811" s="56" t="n">
        <v>2016</v>
      </c>
      <c r="C5811" s="56" t="n">
        <v>9</v>
      </c>
      <c r="D5811" s="56" t="n">
        <v>149</v>
      </c>
      <c r="E5811" s="56" t="n">
        <v>19.6</v>
      </c>
      <c r="F5811" s="56" t="n">
        <v>0</v>
      </c>
      <c r="G5811" s="56" t="n">
        <v>9.6</v>
      </c>
      <c r="H5811" s="56" t="n">
        <v>0</v>
      </c>
      <c r="I5811" s="56" t="n">
        <v>14.2</v>
      </c>
      <c r="J5811" s="56" t="n">
        <v>0</v>
      </c>
      <c r="K5811" s="56" t="n">
        <v>1022</v>
      </c>
      <c r="L5811" s="56" t="n">
        <v>0</v>
      </c>
      <c r="M5811" s="56" t="n">
        <v>79</v>
      </c>
      <c r="N5811" s="56" t="n">
        <v>0.8</v>
      </c>
      <c r="O5811" s="56" t="n">
        <f aca="false">IF(D5811=1,"",E5810)</f>
        <v>18.7</v>
      </c>
      <c r="P5811" s="56" t="n">
        <f aca="false">IF(OR(D5811=1,K5810=""),"",K5810)</f>
        <v>1014.7</v>
      </c>
      <c r="Q5811" s="56" t="n">
        <f aca="false">IF(OR(F5811&lt;&gt;0,AND(I5811&lt;&gt;"",E5811&lt;I5811)),1,0)</f>
        <v>0</v>
      </c>
      <c r="R5811" s="56" t="n">
        <f aca="false">IF(AND(D5811&gt;1,Q5811=0,ISNUMBER(O5811),ISNUMBER(P5811)),IF(Q5810=0,1,0),0)</f>
        <v>1</v>
      </c>
      <c r="S5811" s="56" t="n">
        <f aca="false">R5811*(B5811&gt;=Train_Start)*(B5811&lt;=Train_End)</f>
        <v>0</v>
      </c>
      <c r="T5811" s="84" t="n">
        <f aca="false">IF(AND(ISNUMBER(O5811),ISNUMBER(P5811)),Coef_A+Coef_B1*O5811+Coef_B2*P5811,"")</f>
        <v>19.2396504170024</v>
      </c>
      <c r="U5811" s="84" t="n">
        <f aca="false">IF(AND(R5811=1,ISNUMBER(T5811)),E5811-T5811,"")</f>
        <v>0.360349582997571</v>
      </c>
      <c r="V5811" s="84" t="n">
        <f aca="false">IF(ISNUMBER(T5811),T5811,-99)</f>
        <v>19.2396504170024</v>
      </c>
      <c r="W5811" s="84" t="n">
        <f aca="false">IF(ISNUMBER(U5811),ABS(U5811),"")</f>
        <v>0.360349582997571</v>
      </c>
    </row>
    <row r="5812" customFormat="false" ht="15" hidden="false" customHeight="false" outlineLevel="0" collapsed="false">
      <c r="A5812" s="57" t="n">
        <v>42640</v>
      </c>
      <c r="B5812" s="56" t="n">
        <v>2016</v>
      </c>
      <c r="C5812" s="56" t="n">
        <v>9</v>
      </c>
      <c r="D5812" s="56" t="n">
        <v>150</v>
      </c>
      <c r="E5812" s="56" t="n">
        <v>23.2</v>
      </c>
      <c r="F5812" s="56" t="n">
        <v>0</v>
      </c>
      <c r="G5812" s="56" t="n">
        <v>9.1</v>
      </c>
      <c r="H5812" s="56" t="n">
        <v>0</v>
      </c>
      <c r="I5812" s="56" t="n">
        <v>14.4</v>
      </c>
      <c r="J5812" s="56" t="n">
        <v>0</v>
      </c>
      <c r="K5812" s="56" t="n">
        <v>1022.5</v>
      </c>
      <c r="L5812" s="56" t="n">
        <v>0</v>
      </c>
      <c r="M5812" s="56" t="n">
        <v>85</v>
      </c>
      <c r="N5812" s="56" t="n">
        <v>0.2</v>
      </c>
      <c r="O5812" s="56" t="n">
        <f aca="false">IF(D5812=1,"",E5811)</f>
        <v>19.6</v>
      </c>
      <c r="P5812" s="56" t="n">
        <f aca="false">IF(OR(D5812=1,K5811=""),"",K5811)</f>
        <v>1022</v>
      </c>
      <c r="Q5812" s="56" t="n">
        <f aca="false">IF(OR(F5812&lt;&gt;0,AND(I5812&lt;&gt;"",E5812&lt;I5812)),1,0)</f>
        <v>0</v>
      </c>
      <c r="R5812" s="56" t="n">
        <f aca="false">IF(AND(D5812&gt;1,Q5812=0,ISNUMBER(O5812),ISNUMBER(P5812)),IF(Q5811=0,1,0),0)</f>
        <v>1</v>
      </c>
      <c r="S5812" s="56" t="n">
        <f aca="false">R5812*(B5812&gt;=Train_Start)*(B5812&lt;=Train_End)</f>
        <v>0</v>
      </c>
      <c r="T5812" s="84" t="n">
        <f aca="false">IF(AND(ISNUMBER(O5812),ISNUMBER(P5812)),Coef_A+Coef_B1*O5812+Coef_B2*P5812,"")</f>
        <v>20.2060559215689</v>
      </c>
      <c r="U5812" s="84" t="n">
        <f aca="false">IF(AND(R5812=1,ISNUMBER(T5812)),E5812-T5812,"")</f>
        <v>2.99394407843105</v>
      </c>
      <c r="V5812" s="84" t="n">
        <f aca="false">IF(ISNUMBER(T5812),T5812,-99)</f>
        <v>20.2060559215689</v>
      </c>
      <c r="W5812" s="84" t="n">
        <f aca="false">IF(ISNUMBER(U5812),ABS(U5812),"")</f>
        <v>2.99394407843105</v>
      </c>
    </row>
    <row r="5813" customFormat="false" ht="15" hidden="false" customHeight="false" outlineLevel="0" collapsed="false">
      <c r="A5813" s="57" t="n">
        <v>42641</v>
      </c>
      <c r="B5813" s="56" t="n">
        <v>2016</v>
      </c>
      <c r="C5813" s="56" t="n">
        <v>9</v>
      </c>
      <c r="D5813" s="56" t="n">
        <v>151</v>
      </c>
      <c r="E5813" s="56" t="n">
        <v>20.3</v>
      </c>
      <c r="F5813" s="56" t="n">
        <v>0</v>
      </c>
      <c r="G5813" s="56" t="n">
        <v>12.1</v>
      </c>
      <c r="H5813" s="56" t="n">
        <v>0</v>
      </c>
      <c r="I5813" s="56" t="n">
        <v>17.6</v>
      </c>
      <c r="J5813" s="56" t="n">
        <v>0</v>
      </c>
      <c r="K5813" s="56" t="n">
        <v>1023.7</v>
      </c>
      <c r="L5813" s="56" t="n">
        <v>0</v>
      </c>
      <c r="M5813" s="56" t="n">
        <v>82</v>
      </c>
      <c r="N5813" s="56" t="n">
        <v>4.1</v>
      </c>
      <c r="O5813" s="56" t="n">
        <f aca="false">IF(D5813=1,"",E5812)</f>
        <v>23.2</v>
      </c>
      <c r="P5813" s="56" t="n">
        <f aca="false">IF(OR(D5813=1,K5812=""),"",K5812)</f>
        <v>1022.5</v>
      </c>
      <c r="Q5813" s="56" t="n">
        <f aca="false">IF(OR(F5813&lt;&gt;0,AND(I5813&lt;&gt;"",E5813&lt;I5813)),1,0)</f>
        <v>0</v>
      </c>
      <c r="R5813" s="56" t="n">
        <f aca="false">IF(AND(D5813&gt;1,Q5813=0,ISNUMBER(O5813),ISNUMBER(P5813)),IF(Q5812=0,1,0),0)</f>
        <v>1</v>
      </c>
      <c r="S5813" s="56" t="n">
        <f aca="false">R5813*(B5813&gt;=Train_Start)*(B5813&lt;=Train_End)</f>
        <v>0</v>
      </c>
      <c r="T5813" s="84" t="n">
        <f aca="false">IF(AND(ISNUMBER(O5813),ISNUMBER(P5813)),Coef_A+Coef_B1*O5813+Coef_B2*P5813,"")</f>
        <v>23.1713619638395</v>
      </c>
      <c r="U5813" s="84" t="n">
        <f aca="false">IF(AND(R5813=1,ISNUMBER(T5813)),E5813-T5813,"")</f>
        <v>-2.87136196383951</v>
      </c>
      <c r="V5813" s="84" t="n">
        <f aca="false">IF(ISNUMBER(T5813),T5813,-99)</f>
        <v>23.1713619638395</v>
      </c>
      <c r="W5813" s="84" t="n">
        <f aca="false">IF(ISNUMBER(U5813),ABS(U5813),"")</f>
        <v>2.87136196383951</v>
      </c>
    </row>
    <row r="5814" customFormat="false" ht="15" hidden="false" customHeight="false" outlineLevel="0" collapsed="false">
      <c r="A5814" s="57" t="n">
        <v>42642</v>
      </c>
      <c r="B5814" s="56" t="n">
        <v>2016</v>
      </c>
      <c r="C5814" s="56" t="n">
        <v>9</v>
      </c>
      <c r="D5814" s="56" t="n">
        <v>152</v>
      </c>
      <c r="E5814" s="56" t="n">
        <v>19.7</v>
      </c>
      <c r="F5814" s="56" t="n">
        <v>0</v>
      </c>
      <c r="G5814" s="56" t="n">
        <v>15.1</v>
      </c>
      <c r="H5814" s="56" t="n">
        <v>0</v>
      </c>
      <c r="I5814" s="56" t="n">
        <v>17.7</v>
      </c>
      <c r="J5814" s="56" t="n">
        <v>0</v>
      </c>
      <c r="K5814" s="56" t="n">
        <v>1015.1</v>
      </c>
      <c r="L5814" s="56" t="n">
        <v>0</v>
      </c>
      <c r="M5814" s="56" t="n">
        <v>75</v>
      </c>
      <c r="N5814" s="56" t="n">
        <v>3.8</v>
      </c>
      <c r="O5814" s="56" t="n">
        <f aca="false">IF(D5814=1,"",E5813)</f>
        <v>20.3</v>
      </c>
      <c r="P5814" s="56" t="n">
        <f aca="false">IF(OR(D5814=1,K5813=""),"",K5813)</f>
        <v>1023.7</v>
      </c>
      <c r="Q5814" s="56" t="n">
        <f aca="false">IF(OR(F5814&lt;&gt;0,AND(I5814&lt;&gt;"",E5814&lt;I5814)),1,0)</f>
        <v>0</v>
      </c>
      <c r="R5814" s="56" t="n">
        <f aca="false">IF(AND(D5814&gt;1,Q5814=0,ISNUMBER(O5814),ISNUMBER(P5814)),IF(Q5813=0,1,0),0)</f>
        <v>1</v>
      </c>
      <c r="S5814" s="56" t="n">
        <f aca="false">R5814*(B5814&gt;=Train_Start)*(B5814&lt;=Train_End)</f>
        <v>0</v>
      </c>
      <c r="T5814" s="84" t="n">
        <f aca="false">IF(AND(ISNUMBER(O5814),ISNUMBER(P5814)),Coef_A+Coef_B1*O5814+Coef_B2*P5814,"")</f>
        <v>20.8329221775766</v>
      </c>
      <c r="U5814" s="84" t="n">
        <f aca="false">IF(AND(R5814=1,ISNUMBER(T5814)),E5814-T5814,"")</f>
        <v>-1.13292217757659</v>
      </c>
      <c r="V5814" s="84" t="n">
        <f aca="false">IF(ISNUMBER(T5814),T5814,-99)</f>
        <v>20.8329221775766</v>
      </c>
      <c r="W5814" s="84" t="n">
        <f aca="false">IF(ISNUMBER(U5814),ABS(U5814),"")</f>
        <v>1.13292217757659</v>
      </c>
    </row>
    <row r="5815" customFormat="false" ht="15" hidden="false" customHeight="false" outlineLevel="0" collapsed="false">
      <c r="A5815" s="57" t="n">
        <v>42643</v>
      </c>
      <c r="B5815" s="56" t="n">
        <v>2016</v>
      </c>
      <c r="C5815" s="56" t="n">
        <v>9</v>
      </c>
      <c r="D5815" s="56" t="n">
        <v>153</v>
      </c>
      <c r="E5815" s="56" t="n">
        <v>16.1</v>
      </c>
      <c r="F5815" s="56" t="n">
        <v>0</v>
      </c>
      <c r="G5815" s="56" t="n">
        <v>11.2</v>
      </c>
      <c r="H5815" s="56" t="n">
        <v>0</v>
      </c>
      <c r="I5815" s="56" t="n">
        <v>15.4</v>
      </c>
      <c r="J5815" s="56" t="n">
        <v>0</v>
      </c>
      <c r="K5815" s="56" t="n">
        <v>1012.3</v>
      </c>
      <c r="L5815" s="56" t="n">
        <v>0</v>
      </c>
      <c r="M5815" s="56" t="n">
        <v>73</v>
      </c>
      <c r="N5815" s="56" t="n">
        <v>6.8</v>
      </c>
      <c r="O5815" s="56" t="n">
        <f aca="false">IF(D5815=1,"",E5814)</f>
        <v>19.7</v>
      </c>
      <c r="P5815" s="56" t="n">
        <f aca="false">IF(OR(D5815=1,K5814=""),"",K5814)</f>
        <v>1015.1</v>
      </c>
      <c r="Q5815" s="56" t="n">
        <f aca="false">IF(OR(F5815&lt;&gt;0,AND(I5815&lt;&gt;"",E5815&lt;I5815)),1,0)</f>
        <v>0</v>
      </c>
      <c r="R5815" s="56" t="n">
        <f aca="false">IF(AND(D5815&gt;1,Q5815=0,ISNUMBER(O5815),ISNUMBER(P5815)),IF(Q5814=0,1,0),0)</f>
        <v>1</v>
      </c>
      <c r="S5815" s="56" t="n">
        <f aca="false">R5815*(B5815&gt;=Train_Start)*(B5815&lt;=Train_End)</f>
        <v>0</v>
      </c>
      <c r="T5815" s="84" t="n">
        <f aca="false">IF(AND(ISNUMBER(O5815),ISNUMBER(P5815)),Coef_A+Coef_B1*O5815+Coef_B2*P5815,"")</f>
        <v>20.0715375678987</v>
      </c>
      <c r="U5815" s="84" t="n">
        <f aca="false">IF(AND(R5815=1,ISNUMBER(T5815)),E5815-T5815,"")</f>
        <v>-3.97153756789868</v>
      </c>
      <c r="V5815" s="84" t="n">
        <f aca="false">IF(ISNUMBER(T5815),T5815,-99)</f>
        <v>20.0715375678987</v>
      </c>
      <c r="W5815" s="84" t="n">
        <f aca="false">IF(ISNUMBER(U5815),ABS(U5815),"")</f>
        <v>3.97153756789868</v>
      </c>
    </row>
    <row r="5816" customFormat="false" ht="15" hidden="false" customHeight="false" outlineLevel="0" collapsed="false">
      <c r="A5816" s="57" t="n">
        <v>42856</v>
      </c>
      <c r="B5816" s="56" t="n">
        <v>2017</v>
      </c>
      <c r="C5816" s="56" t="n">
        <v>5</v>
      </c>
      <c r="D5816" s="56" t="n">
        <v>1</v>
      </c>
      <c r="E5816" s="56" t="n">
        <v>18.4</v>
      </c>
      <c r="F5816" s="56" t="n">
        <v>0</v>
      </c>
      <c r="G5816" s="56" t="n">
        <v>8</v>
      </c>
      <c r="H5816" s="56" t="n">
        <v>0</v>
      </c>
      <c r="I5816" s="56" t="n">
        <v>11.2</v>
      </c>
      <c r="J5816" s="56" t="n">
        <v>0</v>
      </c>
      <c r="K5816" s="56" t="n">
        <v>1004.8</v>
      </c>
      <c r="L5816" s="56" t="n">
        <v>0</v>
      </c>
      <c r="M5816" s="56" t="n">
        <v>81</v>
      </c>
      <c r="N5816" s="56" t="n">
        <v>3.2</v>
      </c>
      <c r="O5816" s="56" t="str">
        <f aca="false">IF(D5816=1,"",E5815)</f>
        <v/>
      </c>
      <c r="P5816" s="56" t="str">
        <f aca="false">IF(OR(D5816=1,K5815=""),"",K5815)</f>
        <v/>
      </c>
      <c r="Q5816" s="56" t="n">
        <f aca="false">IF(OR(F5816&lt;&gt;0,AND(I5816&lt;&gt;"",E5816&lt;I5816)),1,0)</f>
        <v>0</v>
      </c>
      <c r="R5816" s="56" t="n">
        <f aca="false">IF(AND(D5816&gt;1,Q5816=0,ISNUMBER(O5816),ISNUMBER(P5816)),IF(Q5815=0,1,0),0)</f>
        <v>0</v>
      </c>
      <c r="S5816" s="56" t="n">
        <f aca="false">R5816*(B5816&gt;=Train_Start)*(B5816&lt;=Train_End)</f>
        <v>0</v>
      </c>
      <c r="T5816" s="84" t="str">
        <f aca="false">IF(AND(ISNUMBER(O5816),ISNUMBER(P5816)),Coef_A+Coef_B1*O5816+Coef_B2*P5816,"")</f>
        <v/>
      </c>
      <c r="U5816" s="84" t="str">
        <f aca="false">IF(AND(R5816=1,ISNUMBER(T5816)),E5816-T5816,"")</f>
        <v/>
      </c>
      <c r="V5816" s="84" t="n">
        <f aca="false">IF(ISNUMBER(T5816),T5816,-99)</f>
        <v>-99</v>
      </c>
      <c r="W5816" s="84" t="str">
        <f aca="false">IF(ISNUMBER(U5816),ABS(U5816),"")</f>
        <v/>
      </c>
    </row>
    <row r="5817" customFormat="false" ht="15" hidden="false" customHeight="false" outlineLevel="0" collapsed="false">
      <c r="A5817" s="57" t="n">
        <v>42857</v>
      </c>
      <c r="B5817" s="56" t="n">
        <v>2017</v>
      </c>
      <c r="C5817" s="56" t="n">
        <v>5</v>
      </c>
      <c r="D5817" s="56" t="n">
        <v>2</v>
      </c>
      <c r="E5817" s="56" t="n">
        <v>12.3</v>
      </c>
      <c r="F5817" s="56" t="n">
        <v>1</v>
      </c>
      <c r="G5817" s="56" t="n">
        <v>6.9</v>
      </c>
      <c r="H5817" s="56" t="n">
        <v>0</v>
      </c>
      <c r="I5817" s="56" t="n">
        <v>12.7</v>
      </c>
      <c r="J5817" s="56" t="n">
        <v>1</v>
      </c>
      <c r="K5817" s="56" t="n">
        <v>1019.1</v>
      </c>
      <c r="L5817" s="56" t="n">
        <v>0</v>
      </c>
      <c r="M5817" s="56" t="n">
        <v>72</v>
      </c>
      <c r="N5817" s="56" t="n">
        <v>5.3</v>
      </c>
      <c r="O5817" s="56" t="n">
        <f aca="false">IF(D5817=1,"",E5816)</f>
        <v>18.4</v>
      </c>
      <c r="P5817" s="56" t="n">
        <f aca="false">IF(OR(D5817=1,K5816=""),"",K5816)</f>
        <v>1004.8</v>
      </c>
      <c r="Q5817" s="56" t="n">
        <f aca="false">IF(OR(F5817&lt;&gt;0,AND(I5817&lt;&gt;"",E5817&lt;I5817)),1,0)</f>
        <v>1</v>
      </c>
      <c r="R5817" s="56" t="n">
        <f aca="false">IF(AND(D5817&gt;1,Q5817=0,ISNUMBER(O5817),ISNUMBER(P5817)),IF(Q5816=0,1,0),0)</f>
        <v>0</v>
      </c>
      <c r="S5817" s="56" t="n">
        <f aca="false">R5817*(B5817&gt;=Train_Start)*(B5817&lt;=Train_End)</f>
        <v>0</v>
      </c>
      <c r="T5817" s="84" t="n">
        <f aca="false">IF(AND(ISNUMBER(O5817),ISNUMBER(P5817)),Coef_A+Coef_B1*O5817+Coef_B2*P5817,"")</f>
        <v>18.6832867022131</v>
      </c>
      <c r="U5817" s="84" t="str">
        <f aca="false">IF(AND(R5817=1,ISNUMBER(T5817)),E5817-T5817,"")</f>
        <v/>
      </c>
      <c r="V5817" s="84" t="n">
        <f aca="false">IF(ISNUMBER(T5817),T5817,-99)</f>
        <v>18.6832867022131</v>
      </c>
      <c r="W5817" s="84" t="str">
        <f aca="false">IF(ISNUMBER(U5817),ABS(U5817),"")</f>
        <v/>
      </c>
    </row>
    <row r="5818" customFormat="false" ht="15" hidden="false" customHeight="false" outlineLevel="0" collapsed="false">
      <c r="A5818" s="57" t="n">
        <v>42858</v>
      </c>
      <c r="B5818" s="56" t="n">
        <v>2017</v>
      </c>
      <c r="C5818" s="56" t="n">
        <v>5</v>
      </c>
      <c r="D5818" s="56" t="n">
        <v>3</v>
      </c>
      <c r="E5818" s="56" t="n">
        <v>14.9</v>
      </c>
      <c r="F5818" s="56" t="n">
        <v>0</v>
      </c>
      <c r="G5818" s="56" t="n">
        <v>7.5</v>
      </c>
      <c r="H5818" s="56" t="n">
        <v>0</v>
      </c>
      <c r="I5818" s="56" t="n">
        <v>9.9</v>
      </c>
      <c r="J5818" s="56" t="n">
        <v>0</v>
      </c>
      <c r="K5818" s="56" t="n">
        <v>1022.3</v>
      </c>
      <c r="L5818" s="56" t="n">
        <v>0</v>
      </c>
      <c r="M5818" s="56" t="n">
        <v>80</v>
      </c>
      <c r="N5818" s="56" t="n">
        <v>0.1</v>
      </c>
      <c r="O5818" s="56" t="n">
        <f aca="false">IF(D5818=1,"",E5817)</f>
        <v>12.3</v>
      </c>
      <c r="P5818" s="56" t="n">
        <f aca="false">IF(OR(D5818=1,K5817=""),"",K5817)</f>
        <v>1019.1</v>
      </c>
      <c r="Q5818" s="56" t="n">
        <f aca="false">IF(OR(F5818&lt;&gt;0,AND(I5818&lt;&gt;"",E5818&lt;I5818)),1,0)</f>
        <v>0</v>
      </c>
      <c r="R5818" s="56" t="n">
        <f aca="false">IF(AND(D5818&gt;1,Q5818=0,ISNUMBER(O5818),ISNUMBER(P5818)),IF(Q5817=0,1,0),0)</f>
        <v>0</v>
      </c>
      <c r="S5818" s="56" t="n">
        <f aca="false">R5818*(B5818&gt;=Train_Start)*(B5818&lt;=Train_End)</f>
        <v>0</v>
      </c>
      <c r="T5818" s="84" t="n">
        <f aca="false">IF(AND(ISNUMBER(O5818),ISNUMBER(P5818)),Coef_A+Coef_B1*O5818+Coef_B2*P5818,"")</f>
        <v>14.133907117919</v>
      </c>
      <c r="U5818" s="84" t="str">
        <f aca="false">IF(AND(R5818=1,ISNUMBER(T5818)),E5818-T5818,"")</f>
        <v/>
      </c>
      <c r="V5818" s="84" t="n">
        <f aca="false">IF(ISNUMBER(T5818),T5818,-99)</f>
        <v>14.133907117919</v>
      </c>
      <c r="W5818" s="84" t="str">
        <f aca="false">IF(ISNUMBER(U5818),ABS(U5818),"")</f>
        <v/>
      </c>
    </row>
    <row r="5819" customFormat="false" ht="15" hidden="false" customHeight="false" outlineLevel="0" collapsed="false">
      <c r="A5819" s="57" t="n">
        <v>42859</v>
      </c>
      <c r="B5819" s="56" t="n">
        <v>2017</v>
      </c>
      <c r="C5819" s="56" t="n">
        <v>5</v>
      </c>
      <c r="D5819" s="56" t="n">
        <v>4</v>
      </c>
      <c r="E5819" s="56" t="n">
        <v>16.9</v>
      </c>
      <c r="F5819" s="56" t="n">
        <v>0</v>
      </c>
      <c r="G5819" s="56" t="n">
        <v>9.2</v>
      </c>
      <c r="H5819" s="56" t="n">
        <v>0</v>
      </c>
      <c r="I5819" s="56" t="n">
        <v>12.1</v>
      </c>
      <c r="J5819" s="56" t="n">
        <v>0</v>
      </c>
      <c r="K5819" s="56" t="n">
        <v>1022.5</v>
      </c>
      <c r="L5819" s="56" t="n">
        <v>0</v>
      </c>
      <c r="M5819" s="56" t="n">
        <v>75</v>
      </c>
      <c r="N5819" s="56" t="n">
        <v>0.3</v>
      </c>
      <c r="O5819" s="56" t="n">
        <f aca="false">IF(D5819=1,"",E5818)</f>
        <v>14.9</v>
      </c>
      <c r="P5819" s="56" t="n">
        <f aca="false">IF(OR(D5819=1,K5818=""),"",K5818)</f>
        <v>1022.3</v>
      </c>
      <c r="Q5819" s="56" t="n">
        <f aca="false">IF(OR(F5819&lt;&gt;0,AND(I5819&lt;&gt;"",E5819&lt;I5819)),1,0)</f>
        <v>0</v>
      </c>
      <c r="R5819" s="56" t="n">
        <f aca="false">IF(AND(D5819&gt;1,Q5819=0,ISNUMBER(O5819),ISNUMBER(P5819)),IF(Q5818=0,1,0),0)</f>
        <v>1</v>
      </c>
      <c r="S5819" s="56" t="n">
        <f aca="false">R5819*(B5819&gt;=Train_Start)*(B5819&lt;=Train_End)</f>
        <v>0</v>
      </c>
      <c r="T5819" s="84" t="n">
        <f aca="false">IF(AND(ISNUMBER(O5819),ISNUMBER(P5819)),Coef_A+Coef_B1*O5819+Coef_B2*P5819,"")</f>
        <v>16.3645726826587</v>
      </c>
      <c r="U5819" s="84" t="n">
        <f aca="false">IF(AND(R5819=1,ISNUMBER(T5819)),E5819-T5819,"")</f>
        <v>0.535427317341345</v>
      </c>
      <c r="V5819" s="84" t="n">
        <f aca="false">IF(ISNUMBER(T5819),T5819,-99)</f>
        <v>16.3645726826587</v>
      </c>
      <c r="W5819" s="84" t="n">
        <f aca="false">IF(ISNUMBER(U5819),ABS(U5819),"")</f>
        <v>0.535427317341345</v>
      </c>
    </row>
    <row r="5820" customFormat="false" ht="15" hidden="false" customHeight="false" outlineLevel="0" collapsed="false">
      <c r="A5820" s="57" t="n">
        <v>42860</v>
      </c>
      <c r="B5820" s="56" t="n">
        <v>2017</v>
      </c>
      <c r="C5820" s="56" t="n">
        <v>5</v>
      </c>
      <c r="D5820" s="56" t="n">
        <v>5</v>
      </c>
      <c r="E5820" s="56" t="n">
        <v>15.5</v>
      </c>
      <c r="F5820" s="56" t="n">
        <v>0</v>
      </c>
      <c r="G5820" s="56" t="n">
        <v>8</v>
      </c>
      <c r="H5820" s="56" t="n">
        <v>0</v>
      </c>
      <c r="I5820" s="56" t="n">
        <v>12.4</v>
      </c>
      <c r="J5820" s="56" t="n">
        <v>0</v>
      </c>
      <c r="K5820" s="56" t="n">
        <v>1020.7</v>
      </c>
      <c r="L5820" s="56" t="n">
        <v>0</v>
      </c>
      <c r="M5820" s="56" t="n">
        <v>63</v>
      </c>
      <c r="N5820" s="56" t="n">
        <v>8.6</v>
      </c>
      <c r="O5820" s="56" t="n">
        <f aca="false">IF(D5820=1,"",E5819)</f>
        <v>16.9</v>
      </c>
      <c r="P5820" s="56" t="n">
        <f aca="false">IF(OR(D5820=1,K5819=""),"",K5819)</f>
        <v>1022.5</v>
      </c>
      <c r="Q5820" s="56" t="n">
        <f aca="false">IF(OR(F5820&lt;&gt;0,AND(I5820&lt;&gt;"",E5820&lt;I5820)),1,0)</f>
        <v>0</v>
      </c>
      <c r="R5820" s="56" t="n">
        <f aca="false">IF(AND(D5820&gt;1,Q5820=0,ISNUMBER(O5820),ISNUMBER(P5820)),IF(Q5819=0,1,0),0)</f>
        <v>1</v>
      </c>
      <c r="S5820" s="56" t="n">
        <f aca="false">R5820*(B5820&gt;=Train_Start)*(B5820&lt;=Train_End)</f>
        <v>0</v>
      </c>
      <c r="T5820" s="84" t="n">
        <f aca="false">IF(AND(ISNUMBER(O5820),ISNUMBER(P5820)),Coef_A+Coef_B1*O5820+Coef_B2*P5820,"")</f>
        <v>18.0095250476708</v>
      </c>
      <c r="U5820" s="84" t="n">
        <f aca="false">IF(AND(R5820=1,ISNUMBER(T5820)),E5820-T5820,"")</f>
        <v>-2.50952504767077</v>
      </c>
      <c r="V5820" s="84" t="n">
        <f aca="false">IF(ISNUMBER(T5820),T5820,-99)</f>
        <v>18.0095250476708</v>
      </c>
      <c r="W5820" s="84" t="n">
        <f aca="false">IF(ISNUMBER(U5820),ABS(U5820),"")</f>
        <v>2.50952504767077</v>
      </c>
    </row>
    <row r="5821" customFormat="false" ht="15" hidden="false" customHeight="false" outlineLevel="0" collapsed="false">
      <c r="A5821" s="57" t="n">
        <v>42861</v>
      </c>
      <c r="B5821" s="56" t="n">
        <v>2017</v>
      </c>
      <c r="C5821" s="56" t="n">
        <v>5</v>
      </c>
      <c r="D5821" s="56" t="n">
        <v>6</v>
      </c>
      <c r="E5821" s="56" t="n">
        <v>18.7</v>
      </c>
      <c r="F5821" s="56" t="n">
        <v>0</v>
      </c>
      <c r="G5821" s="56" t="n">
        <v>9.4</v>
      </c>
      <c r="H5821" s="56" t="n">
        <v>0</v>
      </c>
      <c r="I5821" s="56" t="n">
        <v>12.4</v>
      </c>
      <c r="J5821" s="56" t="n">
        <v>0</v>
      </c>
      <c r="K5821" s="56" t="n">
        <v>1013.6</v>
      </c>
      <c r="L5821" s="56" t="n">
        <v>0</v>
      </c>
      <c r="M5821" s="56" t="n">
        <v>71</v>
      </c>
      <c r="N5821" s="56" t="n">
        <v>1.4</v>
      </c>
      <c r="O5821" s="56" t="n">
        <f aca="false">IF(D5821=1,"",E5820)</f>
        <v>15.5</v>
      </c>
      <c r="P5821" s="56" t="n">
        <f aca="false">IF(OR(D5821=1,K5820=""),"",K5820)</f>
        <v>1020.7</v>
      </c>
      <c r="Q5821" s="56" t="n">
        <f aca="false">IF(OR(F5821&lt;&gt;0,AND(I5821&lt;&gt;"",E5821&lt;I5821)),1,0)</f>
        <v>0</v>
      </c>
      <c r="R5821" s="56" t="n">
        <f aca="false">IF(AND(D5821&gt;1,Q5821=0,ISNUMBER(O5821),ISNUMBER(P5821)),IF(Q5820=0,1,0),0)</f>
        <v>1</v>
      </c>
      <c r="S5821" s="56" t="n">
        <f aca="false">R5821*(B5821&gt;=Train_Start)*(B5821&lt;=Train_End)</f>
        <v>0</v>
      </c>
      <c r="T5821" s="84" t="n">
        <f aca="false">IF(AND(ISNUMBER(O5821),ISNUMBER(P5821)),Coef_A+Coef_B1*O5821+Coef_B2*P5821,"")</f>
        <v>16.8059843670699</v>
      </c>
      <c r="U5821" s="84" t="n">
        <f aca="false">IF(AND(R5821=1,ISNUMBER(T5821)),E5821-T5821,"")</f>
        <v>1.89401563293013</v>
      </c>
      <c r="V5821" s="84" t="n">
        <f aca="false">IF(ISNUMBER(T5821),T5821,-99)</f>
        <v>16.8059843670699</v>
      </c>
      <c r="W5821" s="84" t="n">
        <f aca="false">IF(ISNUMBER(U5821),ABS(U5821),"")</f>
        <v>1.89401563293013</v>
      </c>
    </row>
    <row r="5822" customFormat="false" ht="15" hidden="false" customHeight="false" outlineLevel="0" collapsed="false">
      <c r="A5822" s="57" t="n">
        <v>42862</v>
      </c>
      <c r="B5822" s="56" t="n">
        <v>2017</v>
      </c>
      <c r="C5822" s="56" t="n">
        <v>5</v>
      </c>
      <c r="D5822" s="56" t="n">
        <v>7</v>
      </c>
      <c r="E5822" s="56" t="n">
        <v>12.1</v>
      </c>
      <c r="F5822" s="56" t="n">
        <v>1</v>
      </c>
      <c r="G5822" s="56" t="n">
        <v>8.4</v>
      </c>
      <c r="H5822" s="56" t="n">
        <v>0</v>
      </c>
      <c r="I5822" s="56" t="n">
        <v>13.6</v>
      </c>
      <c r="J5822" s="56" t="n">
        <v>1</v>
      </c>
      <c r="K5822" s="56" t="n">
        <v>1020.9</v>
      </c>
      <c r="L5822" s="56" t="n">
        <v>0</v>
      </c>
      <c r="M5822" s="56" t="n">
        <v>67</v>
      </c>
      <c r="N5822" s="56" t="n">
        <v>6.7</v>
      </c>
      <c r="O5822" s="56" t="n">
        <f aca="false">IF(D5822=1,"",E5821)</f>
        <v>18.7</v>
      </c>
      <c r="P5822" s="56" t="n">
        <f aca="false">IF(OR(D5822=1,K5821=""),"",K5821)</f>
        <v>1013.6</v>
      </c>
      <c r="Q5822" s="56" t="n">
        <f aca="false">IF(OR(F5822&lt;&gt;0,AND(I5822&lt;&gt;"",E5822&lt;I5822)),1,0)</f>
        <v>1</v>
      </c>
      <c r="R5822" s="56" t="n">
        <f aca="false">IF(AND(D5822&gt;1,Q5822=0,ISNUMBER(O5822),ISNUMBER(P5822)),IF(Q5821=0,1,0),0)</f>
        <v>0</v>
      </c>
      <c r="S5822" s="56" t="n">
        <f aca="false">R5822*(B5822&gt;=Train_Start)*(B5822&lt;=Train_End)</f>
        <v>0</v>
      </c>
      <c r="T5822" s="84" t="n">
        <f aca="false">IF(AND(ISNUMBER(O5822),ISNUMBER(P5822)),Coef_A+Coef_B1*O5822+Coef_B2*P5822,"")</f>
        <v>19.205143532905</v>
      </c>
      <c r="U5822" s="84" t="str">
        <f aca="false">IF(AND(R5822=1,ISNUMBER(T5822)),E5822-T5822,"")</f>
        <v/>
      </c>
      <c r="V5822" s="84" t="n">
        <f aca="false">IF(ISNUMBER(T5822),T5822,-99)</f>
        <v>19.205143532905</v>
      </c>
      <c r="W5822" s="84" t="str">
        <f aca="false">IF(ISNUMBER(U5822),ABS(U5822),"")</f>
        <v/>
      </c>
    </row>
    <row r="5823" customFormat="false" ht="15" hidden="false" customHeight="false" outlineLevel="0" collapsed="false">
      <c r="A5823" s="57" t="n">
        <v>42863</v>
      </c>
      <c r="B5823" s="56" t="n">
        <v>2017</v>
      </c>
      <c r="C5823" s="56" t="n">
        <v>5</v>
      </c>
      <c r="D5823" s="56" t="n">
        <v>8</v>
      </c>
      <c r="E5823" s="56" t="n">
        <v>14.9</v>
      </c>
      <c r="F5823" s="56" t="n">
        <v>0</v>
      </c>
      <c r="G5823" s="56" t="n">
        <v>7.5</v>
      </c>
      <c r="H5823" s="56" t="n">
        <v>0</v>
      </c>
      <c r="I5823" s="56" t="n">
        <v>9.8</v>
      </c>
      <c r="J5823" s="56" t="n">
        <v>0</v>
      </c>
      <c r="K5823" s="56" t="n">
        <v>1026.8</v>
      </c>
      <c r="L5823" s="56" t="n">
        <v>0</v>
      </c>
      <c r="M5823" s="56" t="n">
        <v>68</v>
      </c>
      <c r="N5823" s="56" t="n">
        <v>0</v>
      </c>
      <c r="O5823" s="56" t="n">
        <f aca="false">IF(D5823=1,"",E5822)</f>
        <v>12.1</v>
      </c>
      <c r="P5823" s="56" t="n">
        <f aca="false">IF(OR(D5823=1,K5822=""),"",K5822)</f>
        <v>1020.9</v>
      </c>
      <c r="Q5823" s="56" t="n">
        <f aca="false">IF(OR(F5823&lt;&gt;0,AND(I5823&lt;&gt;"",E5823&lt;I5823)),1,0)</f>
        <v>0</v>
      </c>
      <c r="R5823" s="56" t="n">
        <f aca="false">IF(AND(D5823&gt;1,Q5823=0,ISNUMBER(O5823),ISNUMBER(P5823)),IF(Q5822=0,1,0),0)</f>
        <v>0</v>
      </c>
      <c r="S5823" s="56" t="n">
        <f aca="false">R5823*(B5823&gt;=Train_Start)*(B5823&lt;=Train_End)</f>
        <v>0</v>
      </c>
      <c r="T5823" s="84" t="n">
        <f aca="false">IF(AND(ISNUMBER(O5823),ISNUMBER(P5823)),Coef_A+Coef_B1*O5823+Coef_B2*P5823,"")</f>
        <v>14.0265050896516</v>
      </c>
      <c r="U5823" s="84" t="str">
        <f aca="false">IF(AND(R5823=1,ISNUMBER(T5823)),E5823-T5823,"")</f>
        <v/>
      </c>
      <c r="V5823" s="84" t="n">
        <f aca="false">IF(ISNUMBER(T5823),T5823,-99)</f>
        <v>14.0265050896516</v>
      </c>
      <c r="W5823" s="84" t="str">
        <f aca="false">IF(ISNUMBER(U5823),ABS(U5823),"")</f>
        <v/>
      </c>
    </row>
    <row r="5824" customFormat="false" ht="15" hidden="false" customHeight="false" outlineLevel="0" collapsed="false">
      <c r="A5824" s="57" t="n">
        <v>42864</v>
      </c>
      <c r="B5824" s="56" t="n">
        <v>2017</v>
      </c>
      <c r="C5824" s="56" t="n">
        <v>5</v>
      </c>
      <c r="D5824" s="56" t="n">
        <v>9</v>
      </c>
      <c r="E5824" s="56" t="n">
        <v>19.2</v>
      </c>
      <c r="F5824" s="56" t="n">
        <v>0</v>
      </c>
      <c r="G5824" s="56" t="n">
        <v>6.5</v>
      </c>
      <c r="H5824" s="56" t="n">
        <v>0</v>
      </c>
      <c r="I5824" s="56" t="n">
        <v>10.7</v>
      </c>
      <c r="J5824" s="56" t="n">
        <v>0</v>
      </c>
      <c r="K5824" s="56" t="n">
        <v>1022.3</v>
      </c>
      <c r="L5824" s="56" t="n">
        <v>0</v>
      </c>
      <c r="M5824" s="56" t="n">
        <v>61</v>
      </c>
      <c r="N5824" s="56" t="n">
        <v>5.6</v>
      </c>
      <c r="O5824" s="56" t="n">
        <f aca="false">IF(D5824=1,"",E5823)</f>
        <v>14.9</v>
      </c>
      <c r="P5824" s="56" t="n">
        <f aca="false">IF(OR(D5824=1,K5823=""),"",K5823)</f>
        <v>1026.8</v>
      </c>
      <c r="Q5824" s="56" t="n">
        <f aca="false">IF(OR(F5824&lt;&gt;0,AND(I5824&lt;&gt;"",E5824&lt;I5824)),1,0)</f>
        <v>0</v>
      </c>
      <c r="R5824" s="56" t="n">
        <f aca="false">IF(AND(D5824&gt;1,Q5824=0,ISNUMBER(O5824),ISNUMBER(P5824)),IF(Q5823=0,1,0),0)</f>
        <v>1</v>
      </c>
      <c r="S5824" s="56" t="n">
        <f aca="false">R5824*(B5824&gt;=Train_Start)*(B5824&lt;=Train_End)</f>
        <v>0</v>
      </c>
      <c r="T5824" s="84" t="n">
        <f aca="false">IF(AND(ISNUMBER(O5824),ISNUMBER(P5824)),Coef_A+Coef_B1*O5824+Coef_B2*P5824,"")</f>
        <v>16.5057372085116</v>
      </c>
      <c r="U5824" s="84" t="n">
        <f aca="false">IF(AND(R5824=1,ISNUMBER(T5824)),E5824-T5824,"")</f>
        <v>2.6942627914884</v>
      </c>
      <c r="V5824" s="84" t="n">
        <f aca="false">IF(ISNUMBER(T5824),T5824,-99)</f>
        <v>16.5057372085116</v>
      </c>
      <c r="W5824" s="84" t="n">
        <f aca="false">IF(ISNUMBER(U5824),ABS(U5824),"")</f>
        <v>2.6942627914884</v>
      </c>
    </row>
    <row r="5825" customFormat="false" ht="15" hidden="false" customHeight="false" outlineLevel="0" collapsed="false">
      <c r="A5825" s="57" t="n">
        <v>42865</v>
      </c>
      <c r="B5825" s="56" t="n">
        <v>2017</v>
      </c>
      <c r="C5825" s="56" t="n">
        <v>5</v>
      </c>
      <c r="D5825" s="56" t="n">
        <v>10</v>
      </c>
      <c r="E5825" s="56" t="n">
        <v>22.5</v>
      </c>
      <c r="F5825" s="56" t="n">
        <v>0</v>
      </c>
      <c r="G5825" s="56" t="n">
        <v>5</v>
      </c>
      <c r="H5825" s="56" t="n">
        <v>0</v>
      </c>
      <c r="I5825" s="56" t="n">
        <v>12.1</v>
      </c>
      <c r="J5825" s="56" t="n">
        <v>0</v>
      </c>
      <c r="K5825" s="56" t="n">
        <v>1008.2</v>
      </c>
      <c r="L5825" s="56" t="n">
        <v>0</v>
      </c>
      <c r="M5825" s="56" t="n">
        <v>63</v>
      </c>
      <c r="N5825" s="56" t="n">
        <v>13.1</v>
      </c>
      <c r="O5825" s="56" t="n">
        <f aca="false">IF(D5825=1,"",E5824)</f>
        <v>19.2</v>
      </c>
      <c r="P5825" s="56" t="n">
        <f aca="false">IF(OR(D5825=1,K5824=""),"",K5824)</f>
        <v>1022.3</v>
      </c>
      <c r="Q5825" s="56" t="n">
        <f aca="false">IF(OR(F5825&lt;&gt;0,AND(I5825&lt;&gt;"",E5825&lt;I5825)),1,0)</f>
        <v>0</v>
      </c>
      <c r="R5825" s="56" t="n">
        <f aca="false">IF(AND(D5825&gt;1,Q5825=0,ISNUMBER(O5825),ISNUMBER(P5825)),IF(Q5824=0,1,0),0)</f>
        <v>1</v>
      </c>
      <c r="S5825" s="56" t="n">
        <f aca="false">R5825*(B5825&gt;=Train_Start)*(B5825&lt;=Train_End)</f>
        <v>0</v>
      </c>
      <c r="T5825" s="84" t="n">
        <f aca="false">IF(AND(ISNUMBER(O5825),ISNUMBER(P5825)),Coef_A+Coef_B1*O5825+Coef_B2*P5825,"")</f>
        <v>19.8877312127421</v>
      </c>
      <c r="U5825" s="84" t="n">
        <f aca="false">IF(AND(R5825=1,ISNUMBER(T5825)),E5825-T5825,"")</f>
        <v>2.61226878725792</v>
      </c>
      <c r="V5825" s="84" t="n">
        <f aca="false">IF(ISNUMBER(T5825),T5825,-99)</f>
        <v>19.8877312127421</v>
      </c>
      <c r="W5825" s="84" t="n">
        <f aca="false">IF(ISNUMBER(U5825),ABS(U5825),"")</f>
        <v>2.61226878725792</v>
      </c>
    </row>
    <row r="5826" customFormat="false" ht="15" hidden="false" customHeight="false" outlineLevel="0" collapsed="false">
      <c r="A5826" s="57" t="n">
        <v>42866</v>
      </c>
      <c r="B5826" s="56" t="n">
        <v>2017</v>
      </c>
      <c r="C5826" s="56" t="n">
        <v>5</v>
      </c>
      <c r="D5826" s="56" t="n">
        <v>11</v>
      </c>
      <c r="E5826" s="56" t="n">
        <v>20</v>
      </c>
      <c r="F5826" s="56" t="n">
        <v>0</v>
      </c>
      <c r="G5826" s="56" t="n">
        <v>7.2</v>
      </c>
      <c r="H5826" s="56" t="n">
        <v>0</v>
      </c>
      <c r="I5826" s="56" t="n">
        <v>14.8</v>
      </c>
      <c r="J5826" s="56" t="n">
        <v>0</v>
      </c>
      <c r="K5826" s="56" t="n">
        <v>996.5</v>
      </c>
      <c r="L5826" s="56" t="n">
        <v>0</v>
      </c>
      <c r="M5826" s="56" t="n">
        <v>69</v>
      </c>
      <c r="N5826" s="56" t="n">
        <v>2.4</v>
      </c>
      <c r="O5826" s="56" t="n">
        <f aca="false">IF(D5826=1,"",E5825)</f>
        <v>22.5</v>
      </c>
      <c r="P5826" s="56" t="n">
        <f aca="false">IF(OR(D5826=1,K5825=""),"",K5825)</f>
        <v>1008.2</v>
      </c>
      <c r="Q5826" s="56" t="n">
        <f aca="false">IF(OR(F5826&lt;&gt;0,AND(I5826&lt;&gt;"",E5826&lt;I5826)),1,0)</f>
        <v>0</v>
      </c>
      <c r="R5826" s="56" t="n">
        <f aca="false">IF(AND(D5826&gt;1,Q5826=0,ISNUMBER(O5826),ISNUMBER(P5826)),IF(Q5825=0,1,0),0)</f>
        <v>1</v>
      </c>
      <c r="S5826" s="56" t="n">
        <f aca="false">R5826*(B5826&gt;=Train_Start)*(B5826&lt;=Train_End)</f>
        <v>0</v>
      </c>
      <c r="T5826" s="84" t="n">
        <f aca="false">IF(AND(ISNUMBER(O5826),ISNUMBER(P5826)),Coef_A+Coef_B1*O5826+Coef_B2*P5826,"")</f>
        <v>22.1492350354436</v>
      </c>
      <c r="U5826" s="84" t="n">
        <f aca="false">IF(AND(R5826=1,ISNUMBER(T5826)),E5826-T5826,"")</f>
        <v>-2.1492350354436</v>
      </c>
      <c r="V5826" s="84" t="n">
        <f aca="false">IF(ISNUMBER(T5826),T5826,-99)</f>
        <v>22.1492350354436</v>
      </c>
      <c r="W5826" s="84" t="n">
        <f aca="false">IF(ISNUMBER(U5826),ABS(U5826),"")</f>
        <v>2.1492350354436</v>
      </c>
    </row>
    <row r="5827" customFormat="false" ht="15" hidden="false" customHeight="false" outlineLevel="0" collapsed="false">
      <c r="A5827" s="57" t="n">
        <v>42867</v>
      </c>
      <c r="B5827" s="56" t="n">
        <v>2017</v>
      </c>
      <c r="C5827" s="56" t="n">
        <v>5</v>
      </c>
      <c r="D5827" s="56" t="n">
        <v>12</v>
      </c>
      <c r="E5827" s="56" t="n">
        <v>19.6</v>
      </c>
      <c r="F5827" s="56" t="n">
        <v>0</v>
      </c>
      <c r="G5827" s="56" t="n">
        <v>12.4</v>
      </c>
      <c r="H5827" s="56" t="n">
        <v>0</v>
      </c>
      <c r="I5827" s="56" t="n">
        <v>16.2</v>
      </c>
      <c r="J5827" s="56" t="n">
        <v>0</v>
      </c>
      <c r="K5827" s="56" t="n">
        <v>997.1</v>
      </c>
      <c r="L5827" s="56" t="n">
        <v>0</v>
      </c>
      <c r="M5827" s="56" t="n">
        <v>80</v>
      </c>
      <c r="N5827" s="56" t="n">
        <v>4</v>
      </c>
      <c r="O5827" s="56" t="n">
        <f aca="false">IF(D5827=1,"",E5826)</f>
        <v>20</v>
      </c>
      <c r="P5827" s="56" t="n">
        <f aca="false">IF(OR(D5827=1,K5826=""),"",K5826)</f>
        <v>996.5</v>
      </c>
      <c r="Q5827" s="56" t="n">
        <f aca="false">IF(OR(F5827&lt;&gt;0,AND(I5827&lt;&gt;"",E5827&lt;I5827)),1,0)</f>
        <v>0</v>
      </c>
      <c r="R5827" s="56" t="n">
        <f aca="false">IF(AND(D5827&gt;1,Q5827=0,ISNUMBER(O5827),ISNUMBER(P5827)),IF(Q5826=0,1,0),0)</f>
        <v>1</v>
      </c>
      <c r="S5827" s="56" t="n">
        <f aca="false">R5827*(B5827&gt;=Train_Start)*(B5827&lt;=Train_End)</f>
        <v>0</v>
      </c>
      <c r="T5827" s="84" t="n">
        <f aca="false">IF(AND(ISNUMBER(O5827),ISNUMBER(P5827)),Coef_A+Coef_B1*O5827+Coef_B2*P5827,"")</f>
        <v>19.7338592856193</v>
      </c>
      <c r="U5827" s="84" t="n">
        <f aca="false">IF(AND(R5827=1,ISNUMBER(T5827)),E5827-T5827,"")</f>
        <v>-0.133859285619277</v>
      </c>
      <c r="V5827" s="84" t="n">
        <f aca="false">IF(ISNUMBER(T5827),T5827,-99)</f>
        <v>19.7338592856193</v>
      </c>
      <c r="W5827" s="84" t="n">
        <f aca="false">IF(ISNUMBER(U5827),ABS(U5827),"")</f>
        <v>0.133859285619277</v>
      </c>
    </row>
    <row r="5828" customFormat="false" ht="15" hidden="false" customHeight="false" outlineLevel="0" collapsed="false">
      <c r="A5828" s="57" t="n">
        <v>42868</v>
      </c>
      <c r="B5828" s="56" t="n">
        <v>2017</v>
      </c>
      <c r="C5828" s="56" t="n">
        <v>5</v>
      </c>
      <c r="D5828" s="56" t="n">
        <v>13</v>
      </c>
      <c r="E5828" s="56" t="n">
        <v>20.9</v>
      </c>
      <c r="F5828" s="56" t="n">
        <v>0</v>
      </c>
      <c r="G5828" s="56" t="n">
        <v>11.6</v>
      </c>
      <c r="H5828" s="56" t="n">
        <v>0</v>
      </c>
      <c r="I5828" s="56" t="n">
        <v>15.6</v>
      </c>
      <c r="J5828" s="56" t="n">
        <v>0</v>
      </c>
      <c r="K5828" s="56" t="n">
        <v>1007.8</v>
      </c>
      <c r="L5828" s="56" t="n">
        <v>0</v>
      </c>
      <c r="M5828" s="56" t="n">
        <v>68</v>
      </c>
      <c r="N5828" s="56" t="n">
        <v>4.8</v>
      </c>
      <c r="O5828" s="56" t="n">
        <f aca="false">IF(D5828=1,"",E5827)</f>
        <v>19.6</v>
      </c>
      <c r="P5828" s="56" t="n">
        <f aca="false">IF(OR(D5828=1,K5827=""),"",K5827)</f>
        <v>997.1</v>
      </c>
      <c r="Q5828" s="56" t="n">
        <f aca="false">IF(OR(F5828&lt;&gt;0,AND(I5828&lt;&gt;"",E5828&lt;I5828)),1,0)</f>
        <v>0</v>
      </c>
      <c r="R5828" s="56" t="n">
        <f aca="false">IF(AND(D5828&gt;1,Q5828=0,ISNUMBER(O5828),ISNUMBER(P5828)),IF(Q5827=0,1,0),0)</f>
        <v>1</v>
      </c>
      <c r="S5828" s="56" t="n">
        <f aca="false">R5828*(B5828&gt;=Train_Start)*(B5828&lt;=Train_End)</f>
        <v>0</v>
      </c>
      <c r="T5828" s="84" t="n">
        <f aca="false">IF(AND(ISNUMBER(O5828),ISNUMBER(P5828)),Coef_A+Coef_B1*O5828+Coef_B2*P5828,"")</f>
        <v>19.4249455451826</v>
      </c>
      <c r="U5828" s="84" t="n">
        <f aca="false">IF(AND(R5828=1,ISNUMBER(T5828)),E5828-T5828,"")</f>
        <v>1.47505445481739</v>
      </c>
      <c r="V5828" s="84" t="n">
        <f aca="false">IF(ISNUMBER(T5828),T5828,-99)</f>
        <v>19.4249455451826</v>
      </c>
      <c r="W5828" s="84" t="n">
        <f aca="false">IF(ISNUMBER(U5828),ABS(U5828),"")</f>
        <v>1.47505445481739</v>
      </c>
    </row>
    <row r="5829" customFormat="false" ht="15" hidden="false" customHeight="false" outlineLevel="0" collapsed="false">
      <c r="A5829" s="57" t="n">
        <v>42869</v>
      </c>
      <c r="B5829" s="56" t="n">
        <v>2017</v>
      </c>
      <c r="C5829" s="56" t="n">
        <v>5</v>
      </c>
      <c r="D5829" s="56" t="n">
        <v>14</v>
      </c>
      <c r="E5829" s="56" t="n">
        <v>20.9</v>
      </c>
      <c r="F5829" s="56" t="n">
        <v>0</v>
      </c>
      <c r="G5829" s="56" t="n">
        <v>11.8</v>
      </c>
      <c r="H5829" s="56" t="n">
        <v>0</v>
      </c>
      <c r="I5829" s="56" t="n">
        <v>16.4</v>
      </c>
      <c r="J5829" s="56" t="n">
        <v>0</v>
      </c>
      <c r="K5829" s="56" t="n">
        <v>1018.4</v>
      </c>
      <c r="L5829" s="56" t="n">
        <v>0</v>
      </c>
      <c r="M5829" s="56" t="n">
        <v>67</v>
      </c>
      <c r="N5829" s="56" t="n">
        <v>8.1</v>
      </c>
      <c r="O5829" s="56" t="n">
        <f aca="false">IF(D5829=1,"",E5828)</f>
        <v>20.9</v>
      </c>
      <c r="P5829" s="56" t="n">
        <f aca="false">IF(OR(D5829=1,K5828=""),"",K5828)</f>
        <v>1007.8</v>
      </c>
      <c r="Q5829" s="56" t="n">
        <f aca="false">IF(OR(F5829&lt;&gt;0,AND(I5829&lt;&gt;"",E5829&lt;I5829)),1,0)</f>
        <v>0</v>
      </c>
      <c r="R5829" s="56" t="n">
        <f aca="false">IF(AND(D5829&gt;1,Q5829=0,ISNUMBER(O5829),ISNUMBER(P5829)),IF(Q5828=0,1,0),0)</f>
        <v>1</v>
      </c>
      <c r="S5829" s="56" t="n">
        <f aca="false">R5829*(B5829&gt;=Train_Start)*(B5829&lt;=Train_End)</f>
        <v>0</v>
      </c>
      <c r="T5829" s="84" t="n">
        <f aca="false">IF(AND(ISNUMBER(O5829),ISNUMBER(P5829)),Coef_A+Coef_B1*O5829+Coef_B2*P5829,"")</f>
        <v>20.8257443687218</v>
      </c>
      <c r="U5829" s="84" t="n">
        <f aca="false">IF(AND(R5829=1,ISNUMBER(T5829)),E5829-T5829,"")</f>
        <v>0.0742556312782483</v>
      </c>
      <c r="V5829" s="84" t="n">
        <f aca="false">IF(ISNUMBER(T5829),T5829,-99)</f>
        <v>20.8257443687218</v>
      </c>
      <c r="W5829" s="84" t="n">
        <f aca="false">IF(ISNUMBER(U5829),ABS(U5829),"")</f>
        <v>0.0742556312782483</v>
      </c>
    </row>
    <row r="5830" customFormat="false" ht="15" hidden="false" customHeight="false" outlineLevel="0" collapsed="false">
      <c r="A5830" s="57" t="n">
        <v>42870</v>
      </c>
      <c r="B5830" s="56" t="n">
        <v>2017</v>
      </c>
      <c r="C5830" s="56" t="n">
        <v>5</v>
      </c>
      <c r="D5830" s="56" t="n">
        <v>15</v>
      </c>
      <c r="E5830" s="56" t="n">
        <v>25</v>
      </c>
      <c r="F5830" s="56" t="n">
        <v>0</v>
      </c>
      <c r="G5830" s="56" t="n">
        <v>9.6</v>
      </c>
      <c r="H5830" s="56" t="n">
        <v>0</v>
      </c>
      <c r="I5830" s="56" t="n">
        <v>15.2</v>
      </c>
      <c r="J5830" s="56" t="n">
        <v>0</v>
      </c>
      <c r="K5830" s="56" t="n">
        <v>1024.4</v>
      </c>
      <c r="L5830" s="56" t="n">
        <v>0</v>
      </c>
      <c r="M5830" s="56" t="n">
        <v>82</v>
      </c>
      <c r="N5830" s="56" t="n">
        <v>0</v>
      </c>
      <c r="O5830" s="56" t="n">
        <f aca="false">IF(D5830=1,"",E5829)</f>
        <v>20.9</v>
      </c>
      <c r="P5830" s="56" t="n">
        <f aca="false">IF(OR(D5830=1,K5829=""),"",K5829)</f>
        <v>1018.4</v>
      </c>
      <c r="Q5830" s="56" t="n">
        <f aca="false">IF(OR(F5830&lt;&gt;0,AND(I5830&lt;&gt;"",E5830&lt;I5830)),1,0)</f>
        <v>0</v>
      </c>
      <c r="R5830" s="56" t="n">
        <f aca="false">IF(AND(D5830&gt;1,Q5830=0,ISNUMBER(O5830),ISNUMBER(P5830)),IF(Q5829=0,1,0),0)</f>
        <v>1</v>
      </c>
      <c r="S5830" s="56" t="n">
        <f aca="false">R5830*(B5830&gt;=Train_Start)*(B5830&lt;=Train_End)</f>
        <v>0</v>
      </c>
      <c r="T5830" s="84" t="n">
        <f aca="false">IF(AND(ISNUMBER(O5830),ISNUMBER(P5830)),Coef_A+Coef_B1*O5830+Coef_B2*P5830,"")</f>
        <v>21.158265251842</v>
      </c>
      <c r="U5830" s="84" t="n">
        <f aca="false">IF(AND(R5830=1,ISNUMBER(T5830)),E5830-T5830,"")</f>
        <v>3.84173474815796</v>
      </c>
      <c r="V5830" s="84" t="n">
        <f aca="false">IF(ISNUMBER(T5830),T5830,-99)</f>
        <v>21.158265251842</v>
      </c>
      <c r="W5830" s="84" t="n">
        <f aca="false">IF(ISNUMBER(U5830),ABS(U5830),"")</f>
        <v>3.84173474815796</v>
      </c>
    </row>
    <row r="5831" customFormat="false" ht="15" hidden="false" customHeight="false" outlineLevel="0" collapsed="false">
      <c r="A5831" s="57" t="n">
        <v>42871</v>
      </c>
      <c r="B5831" s="56" t="n">
        <v>2017</v>
      </c>
      <c r="C5831" s="56" t="n">
        <v>5</v>
      </c>
      <c r="D5831" s="56" t="n">
        <v>16</v>
      </c>
      <c r="E5831" s="56" t="n">
        <v>17.7</v>
      </c>
      <c r="F5831" s="56" t="n">
        <v>1</v>
      </c>
      <c r="G5831" s="56" t="n">
        <v>13.5</v>
      </c>
      <c r="H5831" s="56" t="n">
        <v>0</v>
      </c>
      <c r="I5831" s="56" t="n">
        <v>19.2</v>
      </c>
      <c r="J5831" s="56" t="n">
        <v>1</v>
      </c>
      <c r="K5831" s="56" t="n">
        <v>1023.5</v>
      </c>
      <c r="L5831" s="56" t="n">
        <v>0</v>
      </c>
      <c r="M5831" s="56" t="n">
        <v>75</v>
      </c>
      <c r="N5831" s="56" t="n">
        <v>4.4</v>
      </c>
      <c r="O5831" s="56" t="n">
        <f aca="false">IF(D5831=1,"",E5830)</f>
        <v>25</v>
      </c>
      <c r="P5831" s="56" t="n">
        <f aca="false">IF(OR(D5831=1,K5830=""),"",K5830)</f>
        <v>1024.4</v>
      </c>
      <c r="Q5831" s="56" t="n">
        <f aca="false">IF(OR(F5831&lt;&gt;0,AND(I5831&lt;&gt;"",E5831&lt;I5831)),1,0)</f>
        <v>1</v>
      </c>
      <c r="R5831" s="56" t="n">
        <f aca="false">IF(AND(D5831&gt;1,Q5831=0,ISNUMBER(O5831),ISNUMBER(P5831)),IF(Q5830=0,1,0),0)</f>
        <v>0</v>
      </c>
      <c r="S5831" s="56" t="n">
        <f aca="false">R5831*(B5831&gt;=Train_Start)*(B5831&lt;=Train_End)</f>
        <v>0</v>
      </c>
      <c r="T5831" s="84" t="n">
        <f aca="false">IF(AND(ISNUMBER(O5831),ISNUMBER(P5831)),Coef_A+Coef_B1*O5831+Coef_B2*P5831,"")</f>
        <v>24.7057753111209</v>
      </c>
      <c r="U5831" s="84" t="str">
        <f aca="false">IF(AND(R5831=1,ISNUMBER(T5831)),E5831-T5831,"")</f>
        <v/>
      </c>
      <c r="V5831" s="84" t="n">
        <f aca="false">IF(ISNUMBER(T5831),T5831,-99)</f>
        <v>24.7057753111209</v>
      </c>
      <c r="W5831" s="84" t="str">
        <f aca="false">IF(ISNUMBER(U5831),ABS(U5831),"")</f>
        <v/>
      </c>
    </row>
    <row r="5832" customFormat="false" ht="15" hidden="false" customHeight="false" outlineLevel="0" collapsed="false">
      <c r="A5832" s="57" t="n">
        <v>42872</v>
      </c>
      <c r="B5832" s="56" t="n">
        <v>2017</v>
      </c>
      <c r="C5832" s="56" t="n">
        <v>5</v>
      </c>
      <c r="D5832" s="56" t="n">
        <v>17</v>
      </c>
      <c r="E5832" s="56" t="n">
        <v>16.5</v>
      </c>
      <c r="F5832" s="56" t="n">
        <v>0</v>
      </c>
      <c r="G5832" s="56" t="n">
        <v>15</v>
      </c>
      <c r="H5832" s="56" t="n">
        <v>0</v>
      </c>
      <c r="I5832" s="56" t="n">
        <v>16.4</v>
      </c>
      <c r="J5832" s="56" t="n">
        <v>0</v>
      </c>
      <c r="K5832" s="56" t="n">
        <v>1016.7</v>
      </c>
      <c r="L5832" s="56" t="n">
        <v>0</v>
      </c>
      <c r="M5832" s="56" t="n">
        <v>95</v>
      </c>
      <c r="N5832" s="56" t="n">
        <v>0</v>
      </c>
      <c r="O5832" s="56" t="n">
        <f aca="false">IF(D5832=1,"",E5831)</f>
        <v>17.7</v>
      </c>
      <c r="P5832" s="56" t="n">
        <f aca="false">IF(OR(D5832=1,K5831=""),"",K5831)</f>
        <v>1023.5</v>
      </c>
      <c r="Q5832" s="56" t="n">
        <f aca="false">IF(OR(F5832&lt;&gt;0,AND(I5832&lt;&gt;"",E5832&lt;I5832)),1,0)</f>
        <v>0</v>
      </c>
      <c r="R5832" s="56" t="n">
        <f aca="false">IF(AND(D5832&gt;1,Q5832=0,ISNUMBER(O5832),ISNUMBER(P5832)),IF(Q5831=0,1,0),0)</f>
        <v>0</v>
      </c>
      <c r="S5832" s="56" t="n">
        <f aca="false">R5832*(B5832&gt;=Train_Start)*(B5832&lt;=Train_End)</f>
        <v>0</v>
      </c>
      <c r="T5832" s="84" t="n">
        <f aca="false">IF(AND(ISNUMBER(O5832),ISNUMBER(P5832)),Coef_A+Coef_B1*O5832+Coef_B2*P5832,"")</f>
        <v>18.6963662967389</v>
      </c>
      <c r="U5832" s="84" t="str">
        <f aca="false">IF(AND(R5832=1,ISNUMBER(T5832)),E5832-T5832,"")</f>
        <v/>
      </c>
      <c r="V5832" s="84" t="n">
        <f aca="false">IF(ISNUMBER(T5832),T5832,-99)</f>
        <v>18.6963662967389</v>
      </c>
      <c r="W5832" s="84" t="str">
        <f aca="false">IF(ISNUMBER(U5832),ABS(U5832),"")</f>
        <v/>
      </c>
    </row>
    <row r="5833" customFormat="false" ht="15" hidden="false" customHeight="false" outlineLevel="0" collapsed="false">
      <c r="A5833" s="57" t="n">
        <v>42873</v>
      </c>
      <c r="B5833" s="56" t="n">
        <v>2017</v>
      </c>
      <c r="C5833" s="56" t="n">
        <v>5</v>
      </c>
      <c r="D5833" s="56" t="n">
        <v>18</v>
      </c>
      <c r="E5833" s="56" t="n">
        <v>16.2</v>
      </c>
      <c r="F5833" s="56" t="n">
        <v>0</v>
      </c>
      <c r="G5833" s="56" t="n">
        <v>9.6</v>
      </c>
      <c r="H5833" s="56" t="n">
        <v>0</v>
      </c>
      <c r="I5833" s="56" t="n">
        <v>13.1</v>
      </c>
      <c r="J5833" s="56" t="n">
        <v>0</v>
      </c>
      <c r="K5833" s="56" t="n">
        <v>1012.6</v>
      </c>
      <c r="L5833" s="56" t="n">
        <v>0</v>
      </c>
      <c r="M5833" s="56" t="n">
        <v>80</v>
      </c>
      <c r="N5833" s="56" t="n">
        <v>3.9</v>
      </c>
      <c r="O5833" s="56" t="n">
        <f aca="false">IF(D5833=1,"",E5832)</f>
        <v>16.5</v>
      </c>
      <c r="P5833" s="56" t="n">
        <f aca="false">IF(OR(D5833=1,K5832=""),"",K5832)</f>
        <v>1016.7</v>
      </c>
      <c r="Q5833" s="56" t="n">
        <f aca="false">IF(OR(F5833&lt;&gt;0,AND(I5833&lt;&gt;"",E5833&lt;I5833)),1,0)</f>
        <v>0</v>
      </c>
      <c r="R5833" s="56" t="n">
        <f aca="false">IF(AND(D5833&gt;1,Q5833=0,ISNUMBER(O5833),ISNUMBER(P5833)),IF(Q5832=0,1,0),0)</f>
        <v>1</v>
      </c>
      <c r="S5833" s="56" t="n">
        <f aca="false">R5833*(B5833&gt;=Train_Start)*(B5833&lt;=Train_End)</f>
        <v>0</v>
      </c>
      <c r="T5833" s="84" t="n">
        <f aca="false">IF(AND(ISNUMBER(O5833),ISNUMBER(P5833)),Coef_A+Coef_B1*O5833+Coef_B2*P5833,"")</f>
        <v>17.4998439815766</v>
      </c>
      <c r="U5833" s="84" t="n">
        <f aca="false">IF(AND(R5833=1,ISNUMBER(T5833)),E5833-T5833,"")</f>
        <v>-1.29984398157657</v>
      </c>
      <c r="V5833" s="84" t="n">
        <f aca="false">IF(ISNUMBER(T5833),T5833,-99)</f>
        <v>17.4998439815766</v>
      </c>
      <c r="W5833" s="84" t="n">
        <f aca="false">IF(ISNUMBER(U5833),ABS(U5833),"")</f>
        <v>1.29984398157657</v>
      </c>
    </row>
    <row r="5834" customFormat="false" ht="15" hidden="false" customHeight="false" outlineLevel="0" collapsed="false">
      <c r="A5834" s="57" t="n">
        <v>42874</v>
      </c>
      <c r="B5834" s="56" t="n">
        <v>2017</v>
      </c>
      <c r="C5834" s="56" t="n">
        <v>5</v>
      </c>
      <c r="D5834" s="56" t="n">
        <v>19</v>
      </c>
      <c r="E5834" s="56" t="n">
        <v>16.7</v>
      </c>
      <c r="F5834" s="56" t="n">
        <v>0</v>
      </c>
      <c r="G5834" s="56" t="n">
        <v>9.7</v>
      </c>
      <c r="H5834" s="56" t="n">
        <v>0</v>
      </c>
      <c r="I5834" s="56" t="n">
        <v>12.9</v>
      </c>
      <c r="J5834" s="56" t="n">
        <v>0</v>
      </c>
      <c r="K5834" s="56" t="n">
        <v>1012.1</v>
      </c>
      <c r="L5834" s="56" t="n">
        <v>0</v>
      </c>
      <c r="M5834" s="56" t="n">
        <v>80</v>
      </c>
      <c r="N5834" s="56" t="n">
        <v>2.2</v>
      </c>
      <c r="O5834" s="56" t="n">
        <f aca="false">IF(D5834=1,"",E5833)</f>
        <v>16.2</v>
      </c>
      <c r="P5834" s="56" t="n">
        <f aca="false">IF(OR(D5834=1,K5833=""),"",K5833)</f>
        <v>1012.6</v>
      </c>
      <c r="Q5834" s="56" t="n">
        <f aca="false">IF(OR(F5834&lt;&gt;0,AND(I5834&lt;&gt;"",E5834&lt;I5834)),1,0)</f>
        <v>0</v>
      </c>
      <c r="R5834" s="56" t="n">
        <f aca="false">IF(AND(D5834&gt;1,Q5834=0,ISNUMBER(O5834),ISNUMBER(P5834)),IF(Q5833=0,1,0),0)</f>
        <v>1</v>
      </c>
      <c r="S5834" s="56" t="n">
        <f aca="false">R5834*(B5834&gt;=Train_Start)*(B5834&lt;=Train_End)</f>
        <v>0</v>
      </c>
      <c r="T5834" s="84" t="n">
        <f aca="false">IF(AND(ISNUMBER(O5834),ISNUMBER(P5834)),Coef_A+Coef_B1*O5834+Coef_B2*P5834,"")</f>
        <v>17.1254256556644</v>
      </c>
      <c r="U5834" s="84" t="n">
        <f aca="false">IF(AND(R5834=1,ISNUMBER(T5834)),E5834-T5834,"")</f>
        <v>-0.425425655664409</v>
      </c>
      <c r="V5834" s="84" t="n">
        <f aca="false">IF(ISNUMBER(T5834),T5834,-99)</f>
        <v>17.1254256556644</v>
      </c>
      <c r="W5834" s="84" t="n">
        <f aca="false">IF(ISNUMBER(U5834),ABS(U5834),"")</f>
        <v>0.425425655664409</v>
      </c>
    </row>
    <row r="5835" customFormat="false" ht="15" hidden="false" customHeight="false" outlineLevel="0" collapsed="false">
      <c r="A5835" s="57" t="n">
        <v>42875</v>
      </c>
      <c r="B5835" s="56" t="n">
        <v>2017</v>
      </c>
      <c r="C5835" s="56" t="n">
        <v>5</v>
      </c>
      <c r="D5835" s="56" t="n">
        <v>20</v>
      </c>
      <c r="E5835" s="56" t="n">
        <v>20.7</v>
      </c>
      <c r="F5835" s="56" t="n">
        <v>0</v>
      </c>
      <c r="G5835" s="56" t="n">
        <v>6.7</v>
      </c>
      <c r="H5835" s="56" t="n">
        <v>0</v>
      </c>
      <c r="I5835" s="56" t="n">
        <v>11.7</v>
      </c>
      <c r="J5835" s="56" t="n">
        <v>0</v>
      </c>
      <c r="K5835" s="56" t="n">
        <v>1018</v>
      </c>
      <c r="L5835" s="56" t="n">
        <v>0</v>
      </c>
      <c r="M5835" s="56" t="n">
        <v>75</v>
      </c>
      <c r="N5835" s="56" t="n">
        <v>6.6</v>
      </c>
      <c r="O5835" s="56" t="n">
        <f aca="false">IF(D5835=1,"",E5834)</f>
        <v>16.7</v>
      </c>
      <c r="P5835" s="56" t="n">
        <f aca="false">IF(OR(D5835=1,K5834=""),"",K5834)</f>
        <v>1012.1</v>
      </c>
      <c r="Q5835" s="56" t="n">
        <f aca="false">IF(OR(F5835&lt;&gt;0,AND(I5835&lt;&gt;"",E5835&lt;I5835)),1,0)</f>
        <v>0</v>
      </c>
      <c r="R5835" s="56" t="n">
        <f aca="false">IF(AND(D5835&gt;1,Q5835=0,ISNUMBER(O5835),ISNUMBER(P5835)),IF(Q5834=0,1,0),0)</f>
        <v>1</v>
      </c>
      <c r="S5835" s="56" t="n">
        <f aca="false">R5835*(B5835&gt;=Train_Start)*(B5835&lt;=Train_End)</f>
        <v>0</v>
      </c>
      <c r="T5835" s="84" t="n">
        <f aca="false">IF(AND(ISNUMBER(O5835),ISNUMBER(P5835)),Coef_A+Coef_B1*O5835+Coef_B2*P5835,"")</f>
        <v>17.5194103048687</v>
      </c>
      <c r="U5835" s="84" t="n">
        <f aca="false">IF(AND(R5835=1,ISNUMBER(T5835)),E5835-T5835,"")</f>
        <v>3.18058969513126</v>
      </c>
      <c r="V5835" s="84" t="n">
        <f aca="false">IF(ISNUMBER(T5835),T5835,-99)</f>
        <v>17.5194103048687</v>
      </c>
      <c r="W5835" s="84" t="n">
        <f aca="false">IF(ISNUMBER(U5835),ABS(U5835),"")</f>
        <v>3.18058969513126</v>
      </c>
    </row>
    <row r="5836" customFormat="false" ht="15" hidden="false" customHeight="false" outlineLevel="0" collapsed="false">
      <c r="A5836" s="57" t="n">
        <v>42876</v>
      </c>
      <c r="B5836" s="56" t="n">
        <v>2017</v>
      </c>
      <c r="C5836" s="56" t="n">
        <v>5</v>
      </c>
      <c r="D5836" s="56" t="n">
        <v>21</v>
      </c>
      <c r="E5836" s="56" t="n">
        <v>24.9</v>
      </c>
      <c r="F5836" s="56" t="n">
        <v>0</v>
      </c>
      <c r="G5836" s="56" t="n">
        <v>8.6</v>
      </c>
      <c r="H5836" s="56" t="n">
        <v>0</v>
      </c>
      <c r="I5836" s="56" t="n">
        <v>14.7</v>
      </c>
      <c r="J5836" s="56" t="n">
        <v>0</v>
      </c>
      <c r="K5836" s="56" t="n">
        <v>1023.2</v>
      </c>
      <c r="L5836" s="56" t="n">
        <v>0</v>
      </c>
      <c r="M5836" s="56" t="n">
        <v>67</v>
      </c>
      <c r="N5836" s="56" t="n">
        <v>12.7</v>
      </c>
      <c r="O5836" s="56" t="n">
        <f aca="false">IF(D5836=1,"",E5835)</f>
        <v>20.7</v>
      </c>
      <c r="P5836" s="56" t="n">
        <f aca="false">IF(OR(D5836=1,K5835=""),"",K5835)</f>
        <v>1018</v>
      </c>
      <c r="Q5836" s="56" t="n">
        <f aca="false">IF(OR(F5836&lt;&gt;0,AND(I5836&lt;&gt;"",E5836&lt;I5836)),1,0)</f>
        <v>0</v>
      </c>
      <c r="R5836" s="56" t="n">
        <f aca="false">IF(AND(D5836&gt;1,Q5836=0,ISNUMBER(O5836),ISNUMBER(P5836)),IF(Q5835=0,1,0),0)</f>
        <v>1</v>
      </c>
      <c r="S5836" s="56" t="n">
        <f aca="false">R5836*(B5836&gt;=Train_Start)*(B5836&lt;=Train_End)</f>
        <v>0</v>
      </c>
      <c r="T5836" s="84" t="n">
        <f aca="false">IF(AND(ISNUMBER(O5836),ISNUMBER(P5836)),Coef_A+Coef_B1*O5836+Coef_B2*P5836,"")</f>
        <v>20.9818494553799</v>
      </c>
      <c r="U5836" s="84" t="n">
        <f aca="false">IF(AND(R5836=1,ISNUMBER(T5836)),E5836-T5836,"")</f>
        <v>3.91815054462009</v>
      </c>
      <c r="V5836" s="84" t="n">
        <f aca="false">IF(ISNUMBER(T5836),T5836,-99)</f>
        <v>20.9818494553799</v>
      </c>
      <c r="W5836" s="84" t="n">
        <f aca="false">IF(ISNUMBER(U5836),ABS(U5836),"")</f>
        <v>3.91815054462009</v>
      </c>
    </row>
    <row r="5837" customFormat="false" ht="15" hidden="false" customHeight="false" outlineLevel="0" collapsed="false">
      <c r="A5837" s="57" t="n">
        <v>42877</v>
      </c>
      <c r="B5837" s="56" t="n">
        <v>2017</v>
      </c>
      <c r="C5837" s="56" t="n">
        <v>5</v>
      </c>
      <c r="D5837" s="56" t="n">
        <v>22</v>
      </c>
      <c r="E5837" s="56" t="n">
        <v>21.3</v>
      </c>
      <c r="F5837" s="56" t="n">
        <v>0</v>
      </c>
      <c r="G5837" s="56" t="n">
        <v>11.1</v>
      </c>
      <c r="H5837" s="56" t="n">
        <v>0</v>
      </c>
      <c r="I5837" s="56" t="n">
        <v>18</v>
      </c>
      <c r="J5837" s="56" t="n">
        <v>0</v>
      </c>
      <c r="K5837" s="56" t="n">
        <v>1016.4</v>
      </c>
      <c r="L5837" s="56" t="n">
        <v>0</v>
      </c>
      <c r="M5837" s="56" t="n">
        <v>59</v>
      </c>
      <c r="N5837" s="56" t="n">
        <v>9.7</v>
      </c>
      <c r="O5837" s="56" t="n">
        <f aca="false">IF(D5837=1,"",E5836)</f>
        <v>24.9</v>
      </c>
      <c r="P5837" s="56" t="n">
        <f aca="false">IF(OR(D5837=1,K5836=""),"",K5836)</f>
        <v>1023.2</v>
      </c>
      <c r="Q5837" s="56" t="n">
        <f aca="false">IF(OR(F5837&lt;&gt;0,AND(I5837&lt;&gt;"",E5837&lt;I5837)),1,0)</f>
        <v>0</v>
      </c>
      <c r="R5837" s="56" t="n">
        <f aca="false">IF(AND(D5837&gt;1,Q5837=0,ISNUMBER(O5837),ISNUMBER(P5837)),IF(Q5836=0,1,0),0)</f>
        <v>1</v>
      </c>
      <c r="S5837" s="56" t="n">
        <f aca="false">R5837*(B5837&gt;=Train_Start)*(B5837&lt;=Train_End)</f>
        <v>0</v>
      </c>
      <c r="T5837" s="84" t="n">
        <f aca="false">IF(AND(ISNUMBER(O5837),ISNUMBER(P5837)),Coef_A+Coef_B1*O5837+Coef_B2*P5837,"")</f>
        <v>24.5861975182558</v>
      </c>
      <c r="U5837" s="84" t="n">
        <f aca="false">IF(AND(R5837=1,ISNUMBER(T5837)),E5837-T5837,"")</f>
        <v>-3.28619751825582</v>
      </c>
      <c r="V5837" s="84" t="n">
        <f aca="false">IF(ISNUMBER(T5837),T5837,-99)</f>
        <v>24.5861975182558</v>
      </c>
      <c r="W5837" s="84" t="n">
        <f aca="false">IF(ISNUMBER(U5837),ABS(U5837),"")</f>
        <v>3.28619751825582</v>
      </c>
    </row>
    <row r="5838" customFormat="false" ht="15" hidden="false" customHeight="false" outlineLevel="0" collapsed="false">
      <c r="A5838" s="57" t="n">
        <v>42878</v>
      </c>
      <c r="B5838" s="56" t="n">
        <v>2017</v>
      </c>
      <c r="C5838" s="56" t="n">
        <v>5</v>
      </c>
      <c r="D5838" s="56" t="n">
        <v>23</v>
      </c>
      <c r="E5838" s="56" t="n">
        <v>26.3</v>
      </c>
      <c r="F5838" s="56" t="n">
        <v>0</v>
      </c>
      <c r="G5838" s="56" t="n">
        <v>10.7</v>
      </c>
      <c r="H5838" s="56" t="n">
        <v>0</v>
      </c>
      <c r="I5838" s="56" t="n">
        <v>16</v>
      </c>
      <c r="J5838" s="56" t="n">
        <v>0</v>
      </c>
      <c r="K5838" s="56" t="n">
        <v>1021.1</v>
      </c>
      <c r="L5838" s="56" t="n">
        <v>0</v>
      </c>
      <c r="M5838" s="56" t="n">
        <v>75</v>
      </c>
      <c r="N5838" s="56" t="n">
        <v>4.1</v>
      </c>
      <c r="O5838" s="56" t="n">
        <f aca="false">IF(D5838=1,"",E5837)</f>
        <v>21.3</v>
      </c>
      <c r="P5838" s="56" t="n">
        <f aca="false">IF(OR(D5838=1,K5837=""),"",K5837)</f>
        <v>1016.4</v>
      </c>
      <c r="Q5838" s="56" t="n">
        <f aca="false">IF(OR(F5838&lt;&gt;0,AND(I5838&lt;&gt;"",E5838&lt;I5838)),1,0)</f>
        <v>0</v>
      </c>
      <c r="R5838" s="56" t="n">
        <f aca="false">IF(AND(D5838&gt;1,Q5838=0,ISNUMBER(O5838),ISNUMBER(P5838)),IF(Q5837=0,1,0),0)</f>
        <v>1</v>
      </c>
      <c r="S5838" s="56" t="n">
        <f aca="false">R5838*(B5838&gt;=Train_Start)*(B5838&lt;=Train_End)</f>
        <v>0</v>
      </c>
      <c r="T5838" s="84" t="n">
        <f aca="false">IF(AND(ISNUMBER(O5838),ISNUMBER(P5838)),Coef_A+Coef_B1*O5838+Coef_B2*P5838,"")</f>
        <v>21.4232611397911</v>
      </c>
      <c r="U5838" s="84" t="n">
        <f aca="false">IF(AND(R5838=1,ISNUMBER(T5838)),E5838-T5838,"")</f>
        <v>4.87673886020888</v>
      </c>
      <c r="V5838" s="84" t="n">
        <f aca="false">IF(ISNUMBER(T5838),T5838,-99)</f>
        <v>21.4232611397911</v>
      </c>
      <c r="W5838" s="84" t="n">
        <f aca="false">IF(ISNUMBER(U5838),ABS(U5838),"")</f>
        <v>4.87673886020888</v>
      </c>
    </row>
    <row r="5839" customFormat="false" ht="15" hidden="false" customHeight="false" outlineLevel="0" collapsed="false">
      <c r="A5839" s="57" t="n">
        <v>42879</v>
      </c>
      <c r="B5839" s="56" t="n">
        <v>2017</v>
      </c>
      <c r="C5839" s="56" t="n">
        <v>5</v>
      </c>
      <c r="D5839" s="56" t="n">
        <v>24</v>
      </c>
      <c r="E5839" s="56" t="n">
        <v>27</v>
      </c>
      <c r="F5839" s="56" t="n">
        <v>0</v>
      </c>
      <c r="G5839" s="56" t="n">
        <v>12.6</v>
      </c>
      <c r="H5839" s="56" t="n">
        <v>0</v>
      </c>
      <c r="I5839" s="56" t="n">
        <v>19.4</v>
      </c>
      <c r="J5839" s="56" t="n">
        <v>0</v>
      </c>
      <c r="K5839" s="56" t="n">
        <v>1025.3</v>
      </c>
      <c r="L5839" s="56" t="n">
        <v>0</v>
      </c>
      <c r="M5839" s="56" t="n">
        <v>66</v>
      </c>
      <c r="N5839" s="56" t="n">
        <v>11.1</v>
      </c>
      <c r="O5839" s="56" t="n">
        <f aca="false">IF(D5839=1,"",E5838)</f>
        <v>26.3</v>
      </c>
      <c r="P5839" s="56" t="n">
        <f aca="false">IF(OR(D5839=1,K5838=""),"",K5838)</f>
        <v>1021.1</v>
      </c>
      <c r="Q5839" s="56" t="n">
        <f aca="false">IF(OR(F5839&lt;&gt;0,AND(I5839&lt;&gt;"",E5839&lt;I5839)),1,0)</f>
        <v>0</v>
      </c>
      <c r="R5839" s="56" t="n">
        <f aca="false">IF(AND(D5839&gt;1,Q5839=0,ISNUMBER(O5839),ISNUMBER(P5839)),IF(Q5838=0,1,0),0)</f>
        <v>1</v>
      </c>
      <c r="S5839" s="56" t="n">
        <f aca="false">R5839*(B5839&gt;=Train_Start)*(B5839&lt;=Train_End)</f>
        <v>0</v>
      </c>
      <c r="T5839" s="84" t="n">
        <f aca="false">IF(AND(ISNUMBER(O5839),ISNUMBER(P5839)),Coef_A+Coef_B1*O5839+Coef_B2*P5839,"")</f>
        <v>25.6673956097842</v>
      </c>
      <c r="U5839" s="84" t="n">
        <f aca="false">IF(AND(R5839=1,ISNUMBER(T5839)),E5839-T5839,"")</f>
        <v>1.33260439021584</v>
      </c>
      <c r="V5839" s="84" t="n">
        <f aca="false">IF(ISNUMBER(T5839),T5839,-99)</f>
        <v>25.6673956097842</v>
      </c>
      <c r="W5839" s="84" t="n">
        <f aca="false">IF(ISNUMBER(U5839),ABS(U5839),"")</f>
        <v>1.33260439021584</v>
      </c>
    </row>
    <row r="5840" customFormat="false" ht="15" hidden="false" customHeight="false" outlineLevel="0" collapsed="false">
      <c r="A5840" s="57" t="n">
        <v>42880</v>
      </c>
      <c r="B5840" s="56" t="n">
        <v>2017</v>
      </c>
      <c r="C5840" s="56" t="n">
        <v>5</v>
      </c>
      <c r="D5840" s="56" t="n">
        <v>25</v>
      </c>
      <c r="E5840" s="56" t="n">
        <v>27.8</v>
      </c>
      <c r="F5840" s="56" t="n">
        <v>0</v>
      </c>
      <c r="G5840" s="56" t="n">
        <v>14</v>
      </c>
      <c r="H5840" s="56" t="n">
        <v>0</v>
      </c>
      <c r="I5840" s="56" t="n">
        <v>20.5</v>
      </c>
      <c r="J5840" s="56" t="n">
        <v>0</v>
      </c>
      <c r="K5840" s="56" t="n">
        <v>1023.5</v>
      </c>
      <c r="L5840" s="56" t="n">
        <v>0</v>
      </c>
      <c r="M5840" s="56" t="n">
        <v>63</v>
      </c>
      <c r="N5840" s="56" t="n">
        <v>12.8</v>
      </c>
      <c r="O5840" s="56" t="n">
        <f aca="false">IF(D5840=1,"",E5839)</f>
        <v>27</v>
      </c>
      <c r="P5840" s="56" t="n">
        <f aca="false">IF(OR(D5840=1,K5839=""),"",K5839)</f>
        <v>1025.3</v>
      </c>
      <c r="Q5840" s="56" t="n">
        <f aca="false">IF(OR(F5840&lt;&gt;0,AND(I5840&lt;&gt;"",E5840&lt;I5840)),1,0)</f>
        <v>0</v>
      </c>
      <c r="R5840" s="56" t="n">
        <f aca="false">IF(AND(D5840&gt;1,Q5840=0,ISNUMBER(O5840),ISNUMBER(P5840)),IF(Q5839=0,1,0),0)</f>
        <v>1</v>
      </c>
      <c r="S5840" s="56" t="n">
        <f aca="false">R5840*(B5840&gt;=Train_Start)*(B5840&lt;=Train_End)</f>
        <v>0</v>
      </c>
      <c r="T5840" s="84" t="n">
        <f aca="false">IF(AND(ISNUMBER(O5840),ISNUMBER(P5840)),Coef_A+Coef_B1*O5840+Coef_B2*P5840,"")</f>
        <v>26.3726866023768</v>
      </c>
      <c r="U5840" s="84" t="n">
        <f aca="false">IF(AND(R5840=1,ISNUMBER(T5840)),E5840-T5840,"")</f>
        <v>1.42731339762323</v>
      </c>
      <c r="V5840" s="84" t="n">
        <f aca="false">IF(ISNUMBER(T5840),T5840,-99)</f>
        <v>26.3726866023768</v>
      </c>
      <c r="W5840" s="84" t="n">
        <f aca="false">IF(ISNUMBER(U5840),ABS(U5840),"")</f>
        <v>1.42731339762323</v>
      </c>
    </row>
    <row r="5841" customFormat="false" ht="15" hidden="false" customHeight="false" outlineLevel="0" collapsed="false">
      <c r="A5841" s="57" t="n">
        <v>42881</v>
      </c>
      <c r="B5841" s="56" t="n">
        <v>2017</v>
      </c>
      <c r="C5841" s="56" t="n">
        <v>5</v>
      </c>
      <c r="D5841" s="56" t="n">
        <v>26</v>
      </c>
      <c r="E5841" s="56" t="n">
        <v>24</v>
      </c>
      <c r="F5841" s="56" t="n">
        <v>0</v>
      </c>
      <c r="G5841" s="56" t="n">
        <v>13.6</v>
      </c>
      <c r="H5841" s="56" t="n">
        <v>0</v>
      </c>
      <c r="I5841" s="56" t="n">
        <v>20.7</v>
      </c>
      <c r="J5841" s="56" t="n">
        <v>0</v>
      </c>
      <c r="K5841" s="56" t="n">
        <v>1017.6</v>
      </c>
      <c r="L5841" s="56" t="n">
        <v>0</v>
      </c>
      <c r="M5841" s="56" t="n">
        <v>57</v>
      </c>
      <c r="N5841" s="56" t="n">
        <v>14.3</v>
      </c>
      <c r="O5841" s="56" t="n">
        <f aca="false">IF(D5841=1,"",E5840)</f>
        <v>27.8</v>
      </c>
      <c r="P5841" s="56" t="n">
        <f aca="false">IF(OR(D5841=1,K5840=""),"",K5840)</f>
        <v>1023.5</v>
      </c>
      <c r="Q5841" s="56" t="n">
        <f aca="false">IF(OR(F5841&lt;&gt;0,AND(I5841&lt;&gt;"",E5841&lt;I5841)),1,0)</f>
        <v>0</v>
      </c>
      <c r="R5841" s="56" t="n">
        <f aca="false">IF(AND(D5841&gt;1,Q5841=0,ISNUMBER(O5841),ISNUMBER(P5841)),IF(Q5840=0,1,0),0)</f>
        <v>1</v>
      </c>
      <c r="S5841" s="56" t="n">
        <f aca="false">R5841*(B5841&gt;=Train_Start)*(B5841&lt;=Train_End)</f>
        <v>0</v>
      </c>
      <c r="T5841" s="84" t="n">
        <f aca="false">IF(AND(ISNUMBER(O5841),ISNUMBER(P5841)),Coef_A+Coef_B1*O5841+Coef_B2*P5841,"")</f>
        <v>26.9716921464697</v>
      </c>
      <c r="U5841" s="84" t="n">
        <f aca="false">IF(AND(R5841=1,ISNUMBER(T5841)),E5841-T5841,"")</f>
        <v>-2.97169214646972</v>
      </c>
      <c r="V5841" s="84" t="n">
        <f aca="false">IF(ISNUMBER(T5841),T5841,-99)</f>
        <v>26.9716921464697</v>
      </c>
      <c r="W5841" s="84" t="n">
        <f aca="false">IF(ISNUMBER(U5841),ABS(U5841),"")</f>
        <v>2.97169214646972</v>
      </c>
    </row>
    <row r="5842" customFormat="false" ht="15" hidden="false" customHeight="false" outlineLevel="0" collapsed="false">
      <c r="A5842" s="57" t="n">
        <v>42882</v>
      </c>
      <c r="B5842" s="56" t="n">
        <v>2017</v>
      </c>
      <c r="C5842" s="56" t="n">
        <v>5</v>
      </c>
      <c r="D5842" s="56" t="n">
        <v>27</v>
      </c>
      <c r="E5842" s="56" t="n">
        <v>23.9</v>
      </c>
      <c r="F5842" s="56" t="n">
        <v>0</v>
      </c>
      <c r="G5842" s="56" t="n">
        <v>15.6</v>
      </c>
      <c r="H5842" s="56" t="n">
        <v>0</v>
      </c>
      <c r="I5842" s="56" t="n">
        <v>19.8</v>
      </c>
      <c r="J5842" s="56" t="n">
        <v>0</v>
      </c>
      <c r="K5842" s="56" t="n">
        <v>1014</v>
      </c>
      <c r="L5842" s="56" t="n">
        <v>0</v>
      </c>
      <c r="M5842" s="56" t="n">
        <v>70</v>
      </c>
      <c r="N5842" s="56" t="n">
        <v>7.5</v>
      </c>
      <c r="O5842" s="56" t="n">
        <f aca="false">IF(D5842=1,"",E5841)</f>
        <v>24</v>
      </c>
      <c r="P5842" s="56" t="n">
        <f aca="false">IF(OR(D5842=1,K5841=""),"",K5841)</f>
        <v>1017.6</v>
      </c>
      <c r="Q5842" s="56" t="n">
        <f aca="false">IF(OR(F5842&lt;&gt;0,AND(I5842&lt;&gt;"",E5842&lt;I5842)),1,0)</f>
        <v>0</v>
      </c>
      <c r="R5842" s="56" t="n">
        <f aca="false">IF(AND(D5842&gt;1,Q5842=0,ISNUMBER(O5842),ISNUMBER(P5842)),IF(Q5841=0,1,0),0)</f>
        <v>1</v>
      </c>
      <c r="S5842" s="56" t="n">
        <f aca="false">R5842*(B5842&gt;=Train_Start)*(B5842&lt;=Train_End)</f>
        <v>0</v>
      </c>
      <c r="T5842" s="84" t="n">
        <f aca="false">IF(AND(ISNUMBER(O5842),ISNUMBER(P5842)),Coef_A+Coef_B1*O5842+Coef_B2*P5842,"")</f>
        <v>23.6731208345671</v>
      </c>
      <c r="U5842" s="84" t="n">
        <f aca="false">IF(AND(R5842=1,ISNUMBER(T5842)),E5842-T5842,"")</f>
        <v>0.226879165432912</v>
      </c>
      <c r="V5842" s="84" t="n">
        <f aca="false">IF(ISNUMBER(T5842),T5842,-99)</f>
        <v>23.6731208345671</v>
      </c>
      <c r="W5842" s="84" t="n">
        <f aca="false">IF(ISNUMBER(U5842),ABS(U5842),"")</f>
        <v>0.226879165432912</v>
      </c>
    </row>
    <row r="5843" customFormat="false" ht="15" hidden="false" customHeight="false" outlineLevel="0" collapsed="false">
      <c r="A5843" s="57" t="n">
        <v>42883</v>
      </c>
      <c r="B5843" s="56" t="n">
        <v>2017</v>
      </c>
      <c r="C5843" s="56" t="n">
        <v>5</v>
      </c>
      <c r="D5843" s="56" t="n">
        <v>28</v>
      </c>
      <c r="E5843" s="56" t="n">
        <v>20.7</v>
      </c>
      <c r="F5843" s="56" t="n">
        <v>0</v>
      </c>
      <c r="G5843" s="56" t="n">
        <v>11.5</v>
      </c>
      <c r="H5843" s="56" t="n">
        <v>0</v>
      </c>
      <c r="I5843" s="56" t="n">
        <v>17.7</v>
      </c>
      <c r="J5843" s="56" t="n">
        <v>0</v>
      </c>
      <c r="K5843" s="56" t="n">
        <v>1017.6</v>
      </c>
      <c r="L5843" s="56" t="n">
        <v>0</v>
      </c>
      <c r="M5843" s="56" t="n">
        <v>76</v>
      </c>
      <c r="N5843" s="56" t="n">
        <v>6.1</v>
      </c>
      <c r="O5843" s="56" t="n">
        <f aca="false">IF(D5843=1,"",E5842)</f>
        <v>23.9</v>
      </c>
      <c r="P5843" s="56" t="n">
        <f aca="false">IF(OR(D5843=1,K5842=""),"",K5842)</f>
        <v>1014</v>
      </c>
      <c r="Q5843" s="56" t="n">
        <f aca="false">IF(OR(F5843&lt;&gt;0,AND(I5843&lt;&gt;"",E5843&lt;I5843)),1,0)</f>
        <v>0</v>
      </c>
      <c r="R5843" s="56" t="n">
        <f aca="false">IF(AND(D5843&gt;1,Q5843=0,ISNUMBER(O5843),ISNUMBER(P5843)),IF(Q5842=0,1,0),0)</f>
        <v>1</v>
      </c>
      <c r="S5843" s="56" t="n">
        <f aca="false">R5843*(B5843&gt;=Train_Start)*(B5843&lt;=Train_End)</f>
        <v>0</v>
      </c>
      <c r="T5843" s="84" t="n">
        <f aca="false">IF(AND(ISNUMBER(O5843),ISNUMBER(P5843)),Coef_A+Coef_B1*O5843+Coef_B2*P5843,"")</f>
        <v>23.4782552945805</v>
      </c>
      <c r="U5843" s="84" t="n">
        <f aca="false">IF(AND(R5843=1,ISNUMBER(T5843)),E5843-T5843,"")</f>
        <v>-2.77825529458046</v>
      </c>
      <c r="V5843" s="84" t="n">
        <f aca="false">IF(ISNUMBER(T5843),T5843,-99)</f>
        <v>23.4782552945805</v>
      </c>
      <c r="W5843" s="84" t="n">
        <f aca="false">IF(ISNUMBER(U5843),ABS(U5843),"")</f>
        <v>2.77825529458046</v>
      </c>
    </row>
    <row r="5844" customFormat="false" ht="15" hidden="false" customHeight="false" outlineLevel="0" collapsed="false">
      <c r="A5844" s="57" t="n">
        <v>42884</v>
      </c>
      <c r="B5844" s="56" t="n">
        <v>2017</v>
      </c>
      <c r="C5844" s="56" t="n">
        <v>5</v>
      </c>
      <c r="D5844" s="56" t="n">
        <v>29</v>
      </c>
      <c r="E5844" s="56" t="n">
        <v>20.8</v>
      </c>
      <c r="F5844" s="56" t="n">
        <v>0</v>
      </c>
      <c r="G5844" s="56" t="n">
        <v>13.8</v>
      </c>
      <c r="H5844" s="56" t="n">
        <v>0</v>
      </c>
      <c r="I5844" s="56" t="n">
        <v>17.2</v>
      </c>
      <c r="J5844" s="56" t="n">
        <v>0</v>
      </c>
      <c r="K5844" s="56" t="n">
        <v>1012.4</v>
      </c>
      <c r="L5844" s="56" t="n">
        <v>0</v>
      </c>
      <c r="M5844" s="56" t="n">
        <v>87</v>
      </c>
      <c r="N5844" s="56" t="n">
        <v>0</v>
      </c>
      <c r="O5844" s="56" t="n">
        <f aca="false">IF(D5844=1,"",E5843)</f>
        <v>20.7</v>
      </c>
      <c r="P5844" s="56" t="n">
        <f aca="false">IF(OR(D5844=1,K5843=""),"",K5843)</f>
        <v>1017.6</v>
      </c>
      <c r="Q5844" s="56" t="n">
        <f aca="false">IF(OR(F5844&lt;&gt;0,AND(I5844&lt;&gt;"",E5844&lt;I5844)),1,0)</f>
        <v>0</v>
      </c>
      <c r="R5844" s="56" t="n">
        <f aca="false">IF(AND(D5844&gt;1,Q5844=0,ISNUMBER(O5844),ISNUMBER(P5844)),IF(Q5843=0,1,0),0)</f>
        <v>1</v>
      </c>
      <c r="S5844" s="56" t="n">
        <f aca="false">R5844*(B5844&gt;=Train_Start)*(B5844&lt;=Train_End)</f>
        <v>0</v>
      </c>
      <c r="T5844" s="84" t="n">
        <f aca="false">IF(AND(ISNUMBER(O5844),ISNUMBER(P5844)),Coef_A+Coef_B1*O5844+Coef_B2*P5844,"")</f>
        <v>20.9693014975263</v>
      </c>
      <c r="U5844" s="84" t="n">
        <f aca="false">IF(AND(R5844=1,ISNUMBER(T5844)),E5844-T5844,"")</f>
        <v>-0.169301497526316</v>
      </c>
      <c r="V5844" s="84" t="n">
        <f aca="false">IF(ISNUMBER(T5844),T5844,-99)</f>
        <v>20.9693014975263</v>
      </c>
      <c r="W5844" s="84" t="n">
        <f aca="false">IF(ISNUMBER(U5844),ABS(U5844),"")</f>
        <v>0.169301497526316</v>
      </c>
    </row>
    <row r="5845" customFormat="false" ht="15" hidden="false" customHeight="false" outlineLevel="0" collapsed="false">
      <c r="A5845" s="57" t="n">
        <v>42885</v>
      </c>
      <c r="B5845" s="56" t="n">
        <v>2017</v>
      </c>
      <c r="C5845" s="56" t="n">
        <v>5</v>
      </c>
      <c r="D5845" s="56" t="n">
        <v>30</v>
      </c>
      <c r="E5845" s="56" t="n">
        <v>23</v>
      </c>
      <c r="F5845" s="56" t="n">
        <v>0</v>
      </c>
      <c r="G5845" s="56" t="n">
        <v>14.2</v>
      </c>
      <c r="H5845" s="56" t="n">
        <v>0</v>
      </c>
      <c r="I5845" s="56" t="n">
        <v>17.5</v>
      </c>
      <c r="J5845" s="56" t="n">
        <v>0</v>
      </c>
      <c r="K5845" s="56" t="n">
        <v>1015.6</v>
      </c>
      <c r="L5845" s="56" t="n">
        <v>0</v>
      </c>
      <c r="M5845" s="56" t="n">
        <v>74</v>
      </c>
      <c r="N5845" s="56" t="n">
        <v>3</v>
      </c>
      <c r="O5845" s="56" t="n">
        <f aca="false">IF(D5845=1,"",E5844)</f>
        <v>20.8</v>
      </c>
      <c r="P5845" s="56" t="n">
        <f aca="false">IF(OR(D5845=1,K5844=""),"",K5844)</f>
        <v>1012.4</v>
      </c>
      <c r="Q5845" s="56" t="n">
        <f aca="false">IF(OR(F5845&lt;&gt;0,AND(I5845&lt;&gt;"",E5845&lt;I5845)),1,0)</f>
        <v>0</v>
      </c>
      <c r="R5845" s="56" t="n">
        <f aca="false">IF(AND(D5845&gt;1,Q5845=0,ISNUMBER(O5845),ISNUMBER(P5845)),IF(Q5844=0,1,0),0)</f>
        <v>1</v>
      </c>
      <c r="S5845" s="56" t="n">
        <f aca="false">R5845*(B5845&gt;=Train_Start)*(B5845&lt;=Train_End)</f>
        <v>0</v>
      </c>
      <c r="T5845" s="84" t="n">
        <f aca="false">IF(AND(ISNUMBER(O5845),ISNUMBER(P5845)),Coef_A+Coef_B1*O5845+Coef_B2*P5845,"")</f>
        <v>20.8881119647338</v>
      </c>
      <c r="U5845" s="84" t="n">
        <f aca="false">IF(AND(R5845=1,ISNUMBER(T5845)),E5845-T5845,"")</f>
        <v>2.11188803526617</v>
      </c>
      <c r="V5845" s="84" t="n">
        <f aca="false">IF(ISNUMBER(T5845),T5845,-99)</f>
        <v>20.8881119647338</v>
      </c>
      <c r="W5845" s="84" t="n">
        <f aca="false">IF(ISNUMBER(U5845),ABS(U5845),"")</f>
        <v>2.11188803526617</v>
      </c>
    </row>
    <row r="5846" customFormat="false" ht="15" hidden="false" customHeight="false" outlineLevel="0" collapsed="false">
      <c r="A5846" s="57" t="n">
        <v>42886</v>
      </c>
      <c r="B5846" s="56" t="n">
        <v>2017</v>
      </c>
      <c r="C5846" s="56" t="n">
        <v>5</v>
      </c>
      <c r="D5846" s="56" t="n">
        <v>31</v>
      </c>
      <c r="E5846" s="56" t="n">
        <v>25.5</v>
      </c>
      <c r="F5846" s="56" t="n">
        <v>0</v>
      </c>
      <c r="G5846" s="56" t="n">
        <v>12.7</v>
      </c>
      <c r="H5846" s="56" t="n">
        <v>0</v>
      </c>
      <c r="I5846" s="56" t="n">
        <v>17.9</v>
      </c>
      <c r="J5846" s="56" t="n">
        <v>0</v>
      </c>
      <c r="K5846" s="56" t="n">
        <v>1022.2</v>
      </c>
      <c r="L5846" s="56" t="n">
        <v>0</v>
      </c>
      <c r="M5846" s="56" t="n">
        <v>73</v>
      </c>
      <c r="N5846" s="56" t="n">
        <v>2.8</v>
      </c>
      <c r="O5846" s="56" t="n">
        <f aca="false">IF(D5846=1,"",E5845)</f>
        <v>23</v>
      </c>
      <c r="P5846" s="56" t="n">
        <f aca="false">IF(OR(D5846=1,K5845=""),"",K5845)</f>
        <v>1015.6</v>
      </c>
      <c r="Q5846" s="56" t="n">
        <f aca="false">IF(OR(F5846&lt;&gt;0,AND(I5846&lt;&gt;"",E5846&lt;I5846)),1,0)</f>
        <v>0</v>
      </c>
      <c r="R5846" s="56" t="n">
        <f aca="false">IF(AND(D5846&gt;1,Q5846=0,ISNUMBER(O5846),ISNUMBER(P5846)),IF(Q5845=0,1,0),0)</f>
        <v>1</v>
      </c>
      <c r="S5846" s="56" t="n">
        <f aca="false">R5846*(B5846&gt;=Train_Start)*(B5846&lt;=Train_End)</f>
        <v>0</v>
      </c>
      <c r="T5846" s="84" t="n">
        <f aca="false">IF(AND(ISNUMBER(O5846),ISNUMBER(P5846)),Coef_A+Coef_B1*O5846+Coef_B2*P5846,"")</f>
        <v>22.7910418522565</v>
      </c>
      <c r="U5846" s="84" t="n">
        <f aca="false">IF(AND(R5846=1,ISNUMBER(T5846)),E5846-T5846,"")</f>
        <v>2.70895814774355</v>
      </c>
      <c r="V5846" s="84" t="n">
        <f aca="false">IF(ISNUMBER(T5846),T5846,-99)</f>
        <v>22.7910418522565</v>
      </c>
      <c r="W5846" s="84" t="n">
        <f aca="false">IF(ISNUMBER(U5846),ABS(U5846),"")</f>
        <v>2.70895814774355</v>
      </c>
    </row>
    <row r="5847" customFormat="false" ht="15" hidden="false" customHeight="false" outlineLevel="0" collapsed="false">
      <c r="A5847" s="57" t="n">
        <v>42887</v>
      </c>
      <c r="B5847" s="56" t="n">
        <v>2017</v>
      </c>
      <c r="C5847" s="56" t="n">
        <v>6</v>
      </c>
      <c r="D5847" s="56" t="n">
        <v>32</v>
      </c>
      <c r="E5847" s="56" t="n">
        <v>24.8</v>
      </c>
      <c r="F5847" s="56" t="n">
        <v>0</v>
      </c>
      <c r="G5847" s="56" t="n">
        <v>12.3</v>
      </c>
      <c r="H5847" s="56" t="n">
        <v>0</v>
      </c>
      <c r="I5847" s="56" t="n">
        <v>18.9</v>
      </c>
      <c r="J5847" s="56" t="n">
        <v>0</v>
      </c>
      <c r="K5847" s="56" t="n">
        <v>1020.7</v>
      </c>
      <c r="L5847" s="56" t="n">
        <v>0</v>
      </c>
      <c r="M5847" s="56" t="n">
        <v>66</v>
      </c>
      <c r="N5847" s="56" t="n">
        <v>11.1</v>
      </c>
      <c r="O5847" s="56" t="n">
        <f aca="false">IF(D5847=1,"",E5846)</f>
        <v>25.5</v>
      </c>
      <c r="P5847" s="56" t="n">
        <f aca="false">IF(OR(D5847=1,K5846=""),"",K5846)</f>
        <v>1022.2</v>
      </c>
      <c r="Q5847" s="56" t="n">
        <f aca="false">IF(OR(F5847&lt;&gt;0,AND(I5847&lt;&gt;"",E5847&lt;I5847)),1,0)</f>
        <v>0</v>
      </c>
      <c r="R5847" s="56" t="n">
        <f aca="false">IF(AND(D5847&gt;1,Q5847=0,ISNUMBER(O5847),ISNUMBER(P5847)),IF(Q5846=0,1,0),0)</f>
        <v>1</v>
      </c>
      <c r="S5847" s="56" t="n">
        <f aca="false">R5847*(B5847&gt;=Train_Start)*(B5847&lt;=Train_End)</f>
        <v>0</v>
      </c>
      <c r="T5847" s="84" t="n">
        <f aca="false">IF(AND(ISNUMBER(O5847),ISNUMBER(P5847)),Coef_A+Coef_B1*O5847+Coef_B2*P5847,"")</f>
        <v>25.0464311394474</v>
      </c>
      <c r="U5847" s="84" t="n">
        <f aca="false">IF(AND(R5847=1,ISNUMBER(T5847)),E5847-T5847,"")</f>
        <v>-0.246431139447424</v>
      </c>
      <c r="V5847" s="84" t="n">
        <f aca="false">IF(ISNUMBER(T5847),T5847,-99)</f>
        <v>25.0464311394474</v>
      </c>
      <c r="W5847" s="84" t="n">
        <f aca="false">IF(ISNUMBER(U5847),ABS(U5847),"")</f>
        <v>0.246431139447424</v>
      </c>
    </row>
    <row r="5848" customFormat="false" ht="15" hidden="false" customHeight="false" outlineLevel="0" collapsed="false">
      <c r="A5848" s="57" t="n">
        <v>42888</v>
      </c>
      <c r="B5848" s="56" t="n">
        <v>2017</v>
      </c>
      <c r="C5848" s="56" t="n">
        <v>6</v>
      </c>
      <c r="D5848" s="56" t="n">
        <v>33</v>
      </c>
      <c r="E5848" s="56" t="n">
        <v>21.5</v>
      </c>
      <c r="F5848" s="56" t="n">
        <v>0</v>
      </c>
      <c r="G5848" s="56" t="n">
        <v>13.9</v>
      </c>
      <c r="H5848" s="56" t="n">
        <v>0</v>
      </c>
      <c r="I5848" s="56" t="n">
        <v>19.4</v>
      </c>
      <c r="J5848" s="56" t="n">
        <v>0</v>
      </c>
      <c r="K5848" s="56" t="n">
        <v>1015.9</v>
      </c>
      <c r="L5848" s="56" t="n">
        <v>0</v>
      </c>
      <c r="M5848" s="56" t="n">
        <v>69</v>
      </c>
      <c r="N5848" s="56" t="n">
        <v>4.2</v>
      </c>
      <c r="O5848" s="56" t="n">
        <f aca="false">IF(D5848=1,"",E5847)</f>
        <v>24.8</v>
      </c>
      <c r="P5848" s="56" t="n">
        <f aca="false">IF(OR(D5848=1,K5847=""),"",K5847)</f>
        <v>1020.7</v>
      </c>
      <c r="Q5848" s="56" t="n">
        <f aca="false">IF(OR(F5848&lt;&gt;0,AND(I5848&lt;&gt;"",E5848&lt;I5848)),1,0)</f>
        <v>0</v>
      </c>
      <c r="R5848" s="56" t="n">
        <f aca="false">IF(AND(D5848&gt;1,Q5848=0,ISNUMBER(O5848),ISNUMBER(P5848)),IF(Q5847=0,1,0),0)</f>
        <v>1</v>
      </c>
      <c r="S5848" s="56" t="n">
        <f aca="false">R5848*(B5848&gt;=Train_Start)*(B5848&lt;=Train_End)</f>
        <v>0</v>
      </c>
      <c r="T5848" s="84" t="n">
        <f aca="false">IF(AND(ISNUMBER(O5848),ISNUMBER(P5848)),Coef_A+Coef_B1*O5848+Coef_B2*P5848,"")</f>
        <v>24.4258388623666</v>
      </c>
      <c r="U5848" s="84" t="n">
        <f aca="false">IF(AND(R5848=1,ISNUMBER(T5848)),E5848-T5848,"")</f>
        <v>-2.92583886236658</v>
      </c>
      <c r="V5848" s="84" t="n">
        <f aca="false">IF(ISNUMBER(T5848),T5848,-99)</f>
        <v>24.4258388623666</v>
      </c>
      <c r="W5848" s="84" t="n">
        <f aca="false">IF(ISNUMBER(U5848),ABS(U5848),"")</f>
        <v>2.92583886236658</v>
      </c>
    </row>
    <row r="5849" customFormat="false" ht="15" hidden="false" customHeight="false" outlineLevel="0" collapsed="false">
      <c r="A5849" s="57" t="n">
        <v>42889</v>
      </c>
      <c r="B5849" s="56" t="n">
        <v>2017</v>
      </c>
      <c r="C5849" s="56" t="n">
        <v>6</v>
      </c>
      <c r="D5849" s="56" t="n">
        <v>34</v>
      </c>
      <c r="E5849" s="56" t="n">
        <v>20.3</v>
      </c>
      <c r="F5849" s="56" t="n">
        <v>0</v>
      </c>
      <c r="G5849" s="56" t="n">
        <v>14.9</v>
      </c>
      <c r="H5849" s="56" t="n">
        <v>0</v>
      </c>
      <c r="I5849" s="56" t="n">
        <v>18.2</v>
      </c>
      <c r="J5849" s="56" t="n">
        <v>0</v>
      </c>
      <c r="K5849" s="56" t="n">
        <v>1014.6</v>
      </c>
      <c r="L5849" s="56" t="n">
        <v>0</v>
      </c>
      <c r="M5849" s="56" t="n">
        <v>63</v>
      </c>
      <c r="N5849" s="56" t="n">
        <v>10.1</v>
      </c>
      <c r="O5849" s="56" t="n">
        <f aca="false">IF(D5849=1,"",E5848)</f>
        <v>21.5</v>
      </c>
      <c r="P5849" s="56" t="n">
        <f aca="false">IF(OR(D5849=1,K5848=""),"",K5848)</f>
        <v>1015.9</v>
      </c>
      <c r="Q5849" s="56" t="n">
        <f aca="false">IF(OR(F5849&lt;&gt;0,AND(I5849&lt;&gt;"",E5849&lt;I5849)),1,0)</f>
        <v>0</v>
      </c>
      <c r="R5849" s="56" t="n">
        <f aca="false">IF(AND(D5849&gt;1,Q5849=0,ISNUMBER(O5849),ISNUMBER(P5849)),IF(Q5848=0,1,0),0)</f>
        <v>1</v>
      </c>
      <c r="S5849" s="56" t="n">
        <f aca="false">R5849*(B5849&gt;=Train_Start)*(B5849&lt;=Train_End)</f>
        <v>0</v>
      </c>
      <c r="T5849" s="84" t="n">
        <f aca="false">IF(AND(ISNUMBER(O5849),ISNUMBER(P5849)),Coef_A+Coef_B1*O5849+Coef_B2*P5849,"")</f>
        <v>21.5714440310827</v>
      </c>
      <c r="U5849" s="84" t="n">
        <f aca="false">IF(AND(R5849=1,ISNUMBER(T5849)),E5849-T5849,"")</f>
        <v>-1.27144403108266</v>
      </c>
      <c r="V5849" s="84" t="n">
        <f aca="false">IF(ISNUMBER(T5849),T5849,-99)</f>
        <v>21.5714440310827</v>
      </c>
      <c r="W5849" s="84" t="n">
        <f aca="false">IF(ISNUMBER(U5849),ABS(U5849),"")</f>
        <v>1.27144403108266</v>
      </c>
    </row>
    <row r="5850" customFormat="false" ht="15" hidden="false" customHeight="false" outlineLevel="0" collapsed="false">
      <c r="A5850" s="57" t="n">
        <v>42890</v>
      </c>
      <c r="B5850" s="56" t="n">
        <v>2017</v>
      </c>
      <c r="C5850" s="56" t="n">
        <v>6</v>
      </c>
      <c r="D5850" s="56" t="n">
        <v>35</v>
      </c>
      <c r="E5850" s="56" t="n">
        <v>18.7</v>
      </c>
      <c r="F5850" s="56" t="n">
        <v>0</v>
      </c>
      <c r="G5850" s="56" t="n">
        <v>9.4</v>
      </c>
      <c r="H5850" s="56" t="n">
        <v>0</v>
      </c>
      <c r="I5850" s="56" t="n">
        <v>14.8</v>
      </c>
      <c r="J5850" s="56" t="n">
        <v>0</v>
      </c>
      <c r="K5850" s="56" t="n">
        <v>1016.1</v>
      </c>
      <c r="L5850" s="56" t="n">
        <v>0</v>
      </c>
      <c r="M5850" s="56" t="n">
        <v>67</v>
      </c>
      <c r="N5850" s="56" t="n">
        <v>6.6</v>
      </c>
      <c r="O5850" s="56" t="n">
        <f aca="false">IF(D5850=1,"",E5849)</f>
        <v>20.3</v>
      </c>
      <c r="P5850" s="56" t="n">
        <f aca="false">IF(OR(D5850=1,K5849=""),"",K5849)</f>
        <v>1014.6</v>
      </c>
      <c r="Q5850" s="56" t="n">
        <f aca="false">IF(OR(F5850&lt;&gt;0,AND(I5850&lt;&gt;"",E5850&lt;I5850)),1,0)</f>
        <v>0</v>
      </c>
      <c r="R5850" s="56" t="n">
        <f aca="false">IF(AND(D5850&gt;1,Q5850=0,ISNUMBER(O5850),ISNUMBER(P5850)),IF(Q5849=0,1,0),0)</f>
        <v>1</v>
      </c>
      <c r="S5850" s="56" t="n">
        <f aca="false">R5850*(B5850&gt;=Train_Start)*(B5850&lt;=Train_End)</f>
        <v>0</v>
      </c>
      <c r="T5850" s="84" t="n">
        <f aca="false">IF(AND(ISNUMBER(O5850),ISNUMBER(P5850)),Coef_A+Coef_B1*O5850+Coef_B2*P5850,"")</f>
        <v>20.5474561364073</v>
      </c>
      <c r="U5850" s="84" t="n">
        <f aca="false">IF(AND(R5850=1,ISNUMBER(T5850)),E5850-T5850,"")</f>
        <v>-1.84745613640728</v>
      </c>
      <c r="V5850" s="84" t="n">
        <f aca="false">IF(ISNUMBER(T5850),T5850,-99)</f>
        <v>20.5474561364073</v>
      </c>
      <c r="W5850" s="84" t="n">
        <f aca="false">IF(ISNUMBER(U5850),ABS(U5850),"")</f>
        <v>1.84745613640728</v>
      </c>
    </row>
    <row r="5851" customFormat="false" ht="15" hidden="false" customHeight="false" outlineLevel="0" collapsed="false">
      <c r="A5851" s="57" t="n">
        <v>42891</v>
      </c>
      <c r="B5851" s="56" t="n">
        <v>2017</v>
      </c>
      <c r="C5851" s="56" t="n">
        <v>6</v>
      </c>
      <c r="D5851" s="56" t="n">
        <v>36</v>
      </c>
      <c r="E5851" s="56" t="n">
        <v>17.7</v>
      </c>
      <c r="F5851" s="56" t="n">
        <v>0</v>
      </c>
      <c r="G5851" s="56" t="n">
        <v>11.4</v>
      </c>
      <c r="H5851" s="56" t="n">
        <v>0</v>
      </c>
      <c r="I5851" s="56" t="n">
        <v>15.1</v>
      </c>
      <c r="J5851" s="56" t="n">
        <v>0</v>
      </c>
      <c r="K5851" s="56" t="n">
        <v>1007</v>
      </c>
      <c r="L5851" s="56" t="n">
        <v>0</v>
      </c>
      <c r="M5851" s="56" t="n">
        <v>77</v>
      </c>
      <c r="N5851" s="56" t="n">
        <v>2.6</v>
      </c>
      <c r="O5851" s="56" t="n">
        <f aca="false">IF(D5851=1,"",E5850)</f>
        <v>18.7</v>
      </c>
      <c r="P5851" s="56" t="n">
        <f aca="false">IF(OR(D5851=1,K5850=""),"",K5850)</f>
        <v>1016.1</v>
      </c>
      <c r="Q5851" s="56" t="n">
        <f aca="false">IF(OR(F5851&lt;&gt;0,AND(I5851&lt;&gt;"",E5851&lt;I5851)),1,0)</f>
        <v>0</v>
      </c>
      <c r="R5851" s="56" t="n">
        <f aca="false">IF(AND(D5851&gt;1,Q5851=0,ISNUMBER(O5851),ISNUMBER(P5851)),IF(Q5850=0,1,0),0)</f>
        <v>1</v>
      </c>
      <c r="S5851" s="56" t="n">
        <f aca="false">R5851*(B5851&gt;=Train_Start)*(B5851&lt;=Train_End)</f>
        <v>0</v>
      </c>
      <c r="T5851" s="84" t="n">
        <f aca="false">IF(AND(ISNUMBER(O5851),ISNUMBER(P5851)),Coef_A+Coef_B1*O5851+Coef_B2*P5851,"")</f>
        <v>19.28356826949</v>
      </c>
      <c r="U5851" s="84" t="n">
        <f aca="false">IF(AND(R5851=1,ISNUMBER(T5851)),E5851-T5851,"")</f>
        <v>-1.58356826949002</v>
      </c>
      <c r="V5851" s="84" t="n">
        <f aca="false">IF(ISNUMBER(T5851),T5851,-99)</f>
        <v>19.28356826949</v>
      </c>
      <c r="W5851" s="84" t="n">
        <f aca="false">IF(ISNUMBER(U5851),ABS(U5851),"")</f>
        <v>1.58356826949002</v>
      </c>
    </row>
    <row r="5852" customFormat="false" ht="15" hidden="false" customHeight="false" outlineLevel="0" collapsed="false">
      <c r="A5852" s="57" t="n">
        <v>42892</v>
      </c>
      <c r="B5852" s="56" t="n">
        <v>2017</v>
      </c>
      <c r="C5852" s="56" t="n">
        <v>6</v>
      </c>
      <c r="D5852" s="56" t="n">
        <v>37</v>
      </c>
      <c r="E5852" s="56" t="n">
        <v>20.9</v>
      </c>
      <c r="F5852" s="56" t="n">
        <v>0</v>
      </c>
      <c r="G5852" s="56" t="n">
        <v>9.9</v>
      </c>
      <c r="H5852" s="56" t="n">
        <v>0</v>
      </c>
      <c r="I5852" s="56" t="n">
        <v>13.8</v>
      </c>
      <c r="J5852" s="56" t="n">
        <v>0</v>
      </c>
      <c r="K5852" s="56" t="n">
        <v>995.8</v>
      </c>
      <c r="L5852" s="56" t="n">
        <v>0</v>
      </c>
      <c r="M5852" s="56" t="n">
        <v>79</v>
      </c>
      <c r="N5852" s="56" t="n">
        <v>3</v>
      </c>
      <c r="O5852" s="56" t="n">
        <f aca="false">IF(D5852=1,"",E5851)</f>
        <v>17.7</v>
      </c>
      <c r="P5852" s="56" t="n">
        <f aca="false">IF(OR(D5852=1,K5851=""),"",K5851)</f>
        <v>1007</v>
      </c>
      <c r="Q5852" s="56" t="n">
        <f aca="false">IF(OR(F5852&lt;&gt;0,AND(I5852&lt;&gt;"",E5852&lt;I5852)),1,0)</f>
        <v>0</v>
      </c>
      <c r="R5852" s="56" t="n">
        <f aca="false">IF(AND(D5852&gt;1,Q5852=0,ISNUMBER(O5852),ISNUMBER(P5852)),IF(Q5851=0,1,0),0)</f>
        <v>1</v>
      </c>
      <c r="S5852" s="56" t="n">
        <f aca="false">R5852*(B5852&gt;=Train_Start)*(B5852&lt;=Train_End)</f>
        <v>0</v>
      </c>
      <c r="T5852" s="84" t="n">
        <f aca="false">IF(AND(ISNUMBER(O5852),ISNUMBER(P5852)),Coef_A+Coef_B1*O5852+Coef_B2*P5852,"")</f>
        <v>18.1787630352781</v>
      </c>
      <c r="U5852" s="84" t="n">
        <f aca="false">IF(AND(R5852=1,ISNUMBER(T5852)),E5852-T5852,"")</f>
        <v>2.72123696472194</v>
      </c>
      <c r="V5852" s="84" t="n">
        <f aca="false">IF(ISNUMBER(T5852),T5852,-99)</f>
        <v>18.1787630352781</v>
      </c>
      <c r="W5852" s="84" t="n">
        <f aca="false">IF(ISNUMBER(U5852),ABS(U5852),"")</f>
        <v>2.72123696472194</v>
      </c>
    </row>
    <row r="5853" customFormat="false" ht="15" hidden="false" customHeight="false" outlineLevel="0" collapsed="false">
      <c r="A5853" s="57" t="n">
        <v>42893</v>
      </c>
      <c r="B5853" s="56" t="n">
        <v>2017</v>
      </c>
      <c r="C5853" s="56" t="n">
        <v>6</v>
      </c>
      <c r="D5853" s="56" t="n">
        <v>38</v>
      </c>
      <c r="E5853" s="56" t="n">
        <v>18</v>
      </c>
      <c r="F5853" s="56" t="n">
        <v>0</v>
      </c>
      <c r="G5853" s="56" t="n">
        <v>10.3</v>
      </c>
      <c r="H5853" s="56" t="n">
        <v>0</v>
      </c>
      <c r="I5853" s="56" t="n">
        <v>15.6</v>
      </c>
      <c r="J5853" s="56" t="n">
        <v>0</v>
      </c>
      <c r="K5853" s="56" t="n">
        <v>1011.1</v>
      </c>
      <c r="L5853" s="56" t="n">
        <v>0</v>
      </c>
      <c r="M5853" s="56" t="n">
        <v>65</v>
      </c>
      <c r="N5853" s="56" t="n">
        <v>7.9</v>
      </c>
      <c r="O5853" s="56" t="n">
        <f aca="false">IF(D5853=1,"",E5852)</f>
        <v>20.9</v>
      </c>
      <c r="P5853" s="56" t="n">
        <f aca="false">IF(OR(D5853=1,K5852=""),"",K5852)</f>
        <v>995.8</v>
      </c>
      <c r="Q5853" s="56" t="n">
        <f aca="false">IF(OR(F5853&lt;&gt;0,AND(I5853&lt;&gt;"",E5853&lt;I5853)),1,0)</f>
        <v>0</v>
      </c>
      <c r="R5853" s="56" t="n">
        <f aca="false">IF(AND(D5853&gt;1,Q5853=0,ISNUMBER(O5853),ISNUMBER(P5853)),IF(Q5852=0,1,0),0)</f>
        <v>1</v>
      </c>
      <c r="S5853" s="56" t="n">
        <f aca="false">R5853*(B5853&gt;=Train_Start)*(B5853&lt;=Train_End)</f>
        <v>0</v>
      </c>
      <c r="T5853" s="84" t="n">
        <f aca="false">IF(AND(ISNUMBER(O5853),ISNUMBER(P5853)),Coef_A+Coef_B1*O5853+Coef_B2*P5853,"")</f>
        <v>20.4493056331139</v>
      </c>
      <c r="U5853" s="84" t="n">
        <f aca="false">IF(AND(R5853=1,ISNUMBER(T5853)),E5853-T5853,"")</f>
        <v>-2.44930563311388</v>
      </c>
      <c r="V5853" s="84" t="n">
        <f aca="false">IF(ISNUMBER(T5853),T5853,-99)</f>
        <v>20.4493056331139</v>
      </c>
      <c r="W5853" s="84" t="n">
        <f aca="false">IF(ISNUMBER(U5853),ABS(U5853),"")</f>
        <v>2.44930563311388</v>
      </c>
    </row>
    <row r="5854" customFormat="false" ht="15" hidden="false" customHeight="false" outlineLevel="0" collapsed="false">
      <c r="A5854" s="57" t="n">
        <v>42894</v>
      </c>
      <c r="B5854" s="56" t="n">
        <v>2017</v>
      </c>
      <c r="C5854" s="56" t="n">
        <v>6</v>
      </c>
      <c r="D5854" s="56" t="n">
        <v>39</v>
      </c>
      <c r="E5854" s="56" t="n">
        <v>21.2</v>
      </c>
      <c r="F5854" s="56" t="n">
        <v>0</v>
      </c>
      <c r="G5854" s="56" t="n">
        <v>13.1</v>
      </c>
      <c r="H5854" s="56" t="n">
        <v>0</v>
      </c>
      <c r="I5854" s="56" t="n">
        <v>15.6</v>
      </c>
      <c r="J5854" s="56" t="n">
        <v>0</v>
      </c>
      <c r="K5854" s="56" t="n">
        <v>1010</v>
      </c>
      <c r="L5854" s="56" t="n">
        <v>0</v>
      </c>
      <c r="M5854" s="56" t="n">
        <v>80</v>
      </c>
      <c r="N5854" s="56" t="n">
        <v>0</v>
      </c>
      <c r="O5854" s="56" t="n">
        <f aca="false">IF(D5854=1,"",E5853)</f>
        <v>18</v>
      </c>
      <c r="P5854" s="56" t="n">
        <f aca="false">IF(OR(D5854=1,K5853=""),"",K5853)</f>
        <v>1011.1</v>
      </c>
      <c r="Q5854" s="56" t="n">
        <f aca="false">IF(OR(F5854&lt;&gt;0,AND(I5854&lt;&gt;"",E5854&lt;I5854)),1,0)</f>
        <v>0</v>
      </c>
      <c r="R5854" s="56" t="n">
        <f aca="false">IF(AND(D5854&gt;1,Q5854=0,ISNUMBER(O5854),ISNUMBER(P5854)),IF(Q5853=0,1,0),0)</f>
        <v>1</v>
      </c>
      <c r="S5854" s="56" t="n">
        <f aca="false">R5854*(B5854&gt;=Train_Start)*(B5854&lt;=Train_End)</f>
        <v>0</v>
      </c>
      <c r="T5854" s="84" t="n">
        <f aca="false">IF(AND(ISNUMBER(O5854),ISNUMBER(P5854)),Coef_A+Coef_B1*O5854+Coef_B2*P5854,"")</f>
        <v>18.5531813611902</v>
      </c>
      <c r="U5854" s="84" t="n">
        <f aca="false">IF(AND(R5854=1,ISNUMBER(T5854)),E5854-T5854,"")</f>
        <v>2.64681863880979</v>
      </c>
      <c r="V5854" s="84" t="n">
        <f aca="false">IF(ISNUMBER(T5854),T5854,-99)</f>
        <v>18.5531813611902</v>
      </c>
      <c r="W5854" s="84" t="n">
        <f aca="false">IF(ISNUMBER(U5854),ABS(U5854),"")</f>
        <v>2.64681863880979</v>
      </c>
    </row>
    <row r="5855" customFormat="false" ht="15" hidden="false" customHeight="false" outlineLevel="0" collapsed="false">
      <c r="A5855" s="57" t="n">
        <v>42895</v>
      </c>
      <c r="B5855" s="56" t="n">
        <v>2017</v>
      </c>
      <c r="C5855" s="56" t="n">
        <v>6</v>
      </c>
      <c r="D5855" s="56" t="n">
        <v>40</v>
      </c>
      <c r="E5855" s="56" t="n">
        <v>23.8</v>
      </c>
      <c r="F5855" s="56" t="n">
        <v>0</v>
      </c>
      <c r="G5855" s="56" t="n">
        <v>12</v>
      </c>
      <c r="H5855" s="56" t="n">
        <v>0</v>
      </c>
      <c r="I5855" s="56" t="n">
        <v>16.6</v>
      </c>
      <c r="J5855" s="56" t="n">
        <v>0</v>
      </c>
      <c r="K5855" s="56" t="n">
        <v>1011.3</v>
      </c>
      <c r="L5855" s="56" t="n">
        <v>0</v>
      </c>
      <c r="M5855" s="56" t="n">
        <v>72</v>
      </c>
      <c r="N5855" s="56" t="n">
        <v>6.6</v>
      </c>
      <c r="O5855" s="56" t="n">
        <f aca="false">IF(D5855=1,"",E5854)</f>
        <v>21.2</v>
      </c>
      <c r="P5855" s="56" t="n">
        <f aca="false">IF(OR(D5855=1,K5854=""),"",K5854)</f>
        <v>1010</v>
      </c>
      <c r="Q5855" s="56" t="n">
        <f aca="false">IF(OR(F5855&lt;&gt;0,AND(I5855&lt;&gt;"",E5855&lt;I5855)),1,0)</f>
        <v>0</v>
      </c>
      <c r="R5855" s="56" t="n">
        <f aca="false">IF(AND(D5855&gt;1,Q5855=0,ISNUMBER(O5855),ISNUMBER(P5855)),IF(Q5854=0,1,0),0)</f>
        <v>1</v>
      </c>
      <c r="S5855" s="56" t="n">
        <f aca="false">R5855*(B5855&gt;=Train_Start)*(B5855&lt;=Train_End)</f>
        <v>0</v>
      </c>
      <c r="T5855" s="84" t="n">
        <f aca="false">IF(AND(ISNUMBER(O5855),ISNUMBER(P5855)),Coef_A+Coef_B1*O5855+Coef_B2*P5855,"")</f>
        <v>21.1405598948293</v>
      </c>
      <c r="U5855" s="84" t="n">
        <f aca="false">IF(AND(R5855=1,ISNUMBER(T5855)),E5855-T5855,"")</f>
        <v>2.65944010517068</v>
      </c>
      <c r="V5855" s="84" t="n">
        <f aca="false">IF(ISNUMBER(T5855),T5855,-99)</f>
        <v>21.1405598948293</v>
      </c>
      <c r="W5855" s="84" t="n">
        <f aca="false">IF(ISNUMBER(U5855),ABS(U5855),"")</f>
        <v>2.65944010517068</v>
      </c>
    </row>
    <row r="5856" customFormat="false" ht="15" hidden="false" customHeight="false" outlineLevel="0" collapsed="false">
      <c r="A5856" s="57" t="n">
        <v>42896</v>
      </c>
      <c r="B5856" s="56" t="n">
        <v>2017</v>
      </c>
      <c r="C5856" s="56" t="n">
        <v>6</v>
      </c>
      <c r="D5856" s="56" t="n">
        <v>41</v>
      </c>
      <c r="E5856" s="56" t="n">
        <v>23.9</v>
      </c>
      <c r="F5856" s="56" t="n">
        <v>0</v>
      </c>
      <c r="G5856" s="56" t="n">
        <v>13.7</v>
      </c>
      <c r="H5856" s="56" t="n">
        <v>0</v>
      </c>
      <c r="I5856" s="56" t="n">
        <v>18.8</v>
      </c>
      <c r="J5856" s="56" t="n">
        <v>0</v>
      </c>
      <c r="K5856" s="56" t="n">
        <v>1016.4</v>
      </c>
      <c r="L5856" s="56" t="n">
        <v>0</v>
      </c>
      <c r="M5856" s="56" t="n">
        <v>69</v>
      </c>
      <c r="N5856" s="56" t="n">
        <v>10.1</v>
      </c>
      <c r="O5856" s="56" t="n">
        <f aca="false">IF(D5856=1,"",E5855)</f>
        <v>23.8</v>
      </c>
      <c r="P5856" s="56" t="n">
        <f aca="false">IF(OR(D5856=1,K5855=""),"",K5855)</f>
        <v>1011.3</v>
      </c>
      <c r="Q5856" s="56" t="n">
        <f aca="false">IF(OR(F5856&lt;&gt;0,AND(I5856&lt;&gt;"",E5856&lt;I5856)),1,0)</f>
        <v>0</v>
      </c>
      <c r="R5856" s="56" t="n">
        <f aca="false">IF(AND(D5856&gt;1,Q5856=0,ISNUMBER(O5856),ISNUMBER(P5856)),IF(Q5855=0,1,0),0)</f>
        <v>1</v>
      </c>
      <c r="S5856" s="56" t="n">
        <f aca="false">R5856*(B5856&gt;=Train_Start)*(B5856&lt;=Train_End)</f>
        <v>0</v>
      </c>
      <c r="T5856" s="84" t="n">
        <f aca="false">IF(AND(ISNUMBER(O5856),ISNUMBER(P5856)),Coef_A+Coef_B1*O5856+Coef_B2*P5856,"")</f>
        <v>23.3116226597644</v>
      </c>
      <c r="U5856" s="84" t="n">
        <f aca="false">IF(AND(R5856=1,ISNUMBER(T5856)),E5856-T5856,"")</f>
        <v>0.588377340235581</v>
      </c>
      <c r="V5856" s="84" t="n">
        <f aca="false">IF(ISNUMBER(T5856),T5856,-99)</f>
        <v>23.3116226597644</v>
      </c>
      <c r="W5856" s="84" t="n">
        <f aca="false">IF(ISNUMBER(U5856),ABS(U5856),"")</f>
        <v>0.588377340235581</v>
      </c>
    </row>
    <row r="5857" customFormat="false" ht="15" hidden="false" customHeight="false" outlineLevel="0" collapsed="false">
      <c r="A5857" s="57" t="n">
        <v>42897</v>
      </c>
      <c r="B5857" s="56" t="n">
        <v>2017</v>
      </c>
      <c r="C5857" s="56" t="n">
        <v>6</v>
      </c>
      <c r="D5857" s="56" t="n">
        <v>42</v>
      </c>
      <c r="E5857" s="56" t="n">
        <v>20.9</v>
      </c>
      <c r="F5857" s="56" t="n">
        <v>0</v>
      </c>
      <c r="G5857" s="56" t="n">
        <v>16.4</v>
      </c>
      <c r="H5857" s="56" t="n">
        <v>0</v>
      </c>
      <c r="I5857" s="56" t="n">
        <v>20.1</v>
      </c>
      <c r="J5857" s="56" t="n">
        <v>0</v>
      </c>
      <c r="K5857" s="56" t="n">
        <v>1014.1</v>
      </c>
      <c r="L5857" s="56" t="n">
        <v>0</v>
      </c>
      <c r="M5857" s="56" t="n">
        <v>67</v>
      </c>
      <c r="N5857" s="56" t="n">
        <v>8.4</v>
      </c>
      <c r="O5857" s="56" t="n">
        <f aca="false">IF(D5857=1,"",E5856)</f>
        <v>23.9</v>
      </c>
      <c r="P5857" s="56" t="n">
        <f aca="false">IF(OR(D5857=1,K5856=""),"",K5856)</f>
        <v>1016.4</v>
      </c>
      <c r="Q5857" s="56" t="n">
        <f aca="false">IF(OR(F5857&lt;&gt;0,AND(I5857&lt;&gt;"",E5857&lt;I5857)),1,0)</f>
        <v>0</v>
      </c>
      <c r="R5857" s="56" t="n">
        <f aca="false">IF(AND(D5857&gt;1,Q5857=0,ISNUMBER(O5857),ISNUMBER(P5857)),IF(Q5856=0,1,0),0)</f>
        <v>1</v>
      </c>
      <c r="S5857" s="56" t="n">
        <f aca="false">R5857*(B5857&gt;=Train_Start)*(B5857&lt;=Train_End)</f>
        <v>0</v>
      </c>
      <c r="T5857" s="84" t="n">
        <f aca="false">IF(AND(ISNUMBER(O5857),ISNUMBER(P5857)),Coef_A+Coef_B1*O5857+Coef_B2*P5857,"")</f>
        <v>23.553543041702</v>
      </c>
      <c r="U5857" s="84" t="n">
        <f aca="false">IF(AND(R5857=1,ISNUMBER(T5857)),E5857-T5857,"")</f>
        <v>-2.65354304170203</v>
      </c>
      <c r="V5857" s="84" t="n">
        <f aca="false">IF(ISNUMBER(T5857),T5857,-99)</f>
        <v>23.553543041702</v>
      </c>
      <c r="W5857" s="84" t="n">
        <f aca="false">IF(ISNUMBER(U5857),ABS(U5857),"")</f>
        <v>2.65354304170203</v>
      </c>
    </row>
    <row r="5858" customFormat="false" ht="15" hidden="false" customHeight="false" outlineLevel="0" collapsed="false">
      <c r="A5858" s="57" t="n">
        <v>42898</v>
      </c>
      <c r="B5858" s="56" t="n">
        <v>2017</v>
      </c>
      <c r="C5858" s="56" t="n">
        <v>6</v>
      </c>
      <c r="D5858" s="56" t="n">
        <v>43</v>
      </c>
      <c r="E5858" s="56" t="n">
        <v>24.8</v>
      </c>
      <c r="F5858" s="56" t="n">
        <v>0</v>
      </c>
      <c r="G5858" s="56" t="n">
        <v>12.3</v>
      </c>
      <c r="H5858" s="56" t="n">
        <v>0</v>
      </c>
      <c r="I5858" s="56" t="n">
        <v>16.6</v>
      </c>
      <c r="J5858" s="56" t="n">
        <v>0</v>
      </c>
      <c r="K5858" s="56" t="n">
        <v>1017.5</v>
      </c>
      <c r="L5858" s="56" t="n">
        <v>0</v>
      </c>
      <c r="M5858" s="56" t="n">
        <v>66</v>
      </c>
      <c r="N5858" s="56" t="n">
        <v>3.2</v>
      </c>
      <c r="O5858" s="56" t="n">
        <f aca="false">IF(D5858=1,"",E5857)</f>
        <v>20.9</v>
      </c>
      <c r="P5858" s="56" t="n">
        <f aca="false">IF(OR(D5858=1,K5857=""),"",K5857)</f>
        <v>1014.1</v>
      </c>
      <c r="Q5858" s="56" t="n">
        <f aca="false">IF(OR(F5858&lt;&gt;0,AND(I5858&lt;&gt;"",E5858&lt;I5858)),1,0)</f>
        <v>0</v>
      </c>
      <c r="R5858" s="56" t="n">
        <f aca="false">IF(AND(D5858&gt;1,Q5858=0,ISNUMBER(O5858),ISNUMBER(P5858)),IF(Q5857=0,1,0),0)</f>
        <v>1</v>
      </c>
      <c r="S5858" s="56" t="n">
        <f aca="false">R5858*(B5858&gt;=Train_Start)*(B5858&lt;=Train_End)</f>
        <v>0</v>
      </c>
      <c r="T5858" s="84" t="n">
        <f aca="false">IF(AND(ISNUMBER(O5858),ISNUMBER(P5858)),Coef_A+Coef_B1*O5858+Coef_B2*P5858,"")</f>
        <v>21.0233747049159</v>
      </c>
      <c r="U5858" s="84" t="n">
        <f aca="false">IF(AND(R5858=1,ISNUMBER(T5858)),E5858-T5858,"")</f>
        <v>3.77662529508412</v>
      </c>
      <c r="V5858" s="84" t="n">
        <f aca="false">IF(ISNUMBER(T5858),T5858,-99)</f>
        <v>21.0233747049159</v>
      </c>
      <c r="W5858" s="84" t="n">
        <f aca="false">IF(ISNUMBER(U5858),ABS(U5858),"")</f>
        <v>3.77662529508412</v>
      </c>
    </row>
    <row r="5859" customFormat="false" ht="15" hidden="false" customHeight="false" outlineLevel="0" collapsed="false">
      <c r="A5859" s="57" t="n">
        <v>42899</v>
      </c>
      <c r="B5859" s="56" t="n">
        <v>2017</v>
      </c>
      <c r="C5859" s="56" t="n">
        <v>6</v>
      </c>
      <c r="D5859" s="56" t="n">
        <v>44</v>
      </c>
      <c r="E5859" s="56" t="n">
        <v>27.1</v>
      </c>
      <c r="F5859" s="56" t="n">
        <v>0</v>
      </c>
      <c r="G5859" s="56" t="n">
        <v>10.2</v>
      </c>
      <c r="H5859" s="56" t="n">
        <v>0</v>
      </c>
      <c r="I5859" s="56" t="n">
        <v>17.5</v>
      </c>
      <c r="J5859" s="56" t="n">
        <v>0</v>
      </c>
      <c r="K5859" s="56" t="n">
        <v>1019.6</v>
      </c>
      <c r="L5859" s="56" t="n">
        <v>0</v>
      </c>
      <c r="M5859" s="56" t="n">
        <v>64</v>
      </c>
      <c r="N5859" s="56" t="n">
        <v>9.9</v>
      </c>
      <c r="O5859" s="56" t="n">
        <f aca="false">IF(D5859=1,"",E5858)</f>
        <v>24.8</v>
      </c>
      <c r="P5859" s="56" t="n">
        <f aca="false">IF(OR(D5859=1,K5858=""),"",K5858)</f>
        <v>1017.5</v>
      </c>
      <c r="Q5859" s="56" t="n">
        <f aca="false">IF(OR(F5859&lt;&gt;0,AND(I5859&lt;&gt;"",E5859&lt;I5859)),1,0)</f>
        <v>0</v>
      </c>
      <c r="R5859" s="56" t="n">
        <f aca="false">IF(AND(D5859&gt;1,Q5859=0,ISNUMBER(O5859),ISNUMBER(P5859)),IF(Q5858=0,1,0),0)</f>
        <v>1</v>
      </c>
      <c r="S5859" s="56" t="n">
        <f aca="false">R5859*(B5859&gt;=Train_Start)*(B5859&lt;=Train_End)</f>
        <v>0</v>
      </c>
      <c r="T5859" s="84" t="n">
        <f aca="false">IF(AND(ISNUMBER(O5859),ISNUMBER(P5859)),Coef_A+Coef_B1*O5859+Coef_B2*P5859,"")</f>
        <v>24.3254551995378</v>
      </c>
      <c r="U5859" s="84" t="n">
        <f aca="false">IF(AND(R5859=1,ISNUMBER(T5859)),E5859-T5859,"")</f>
        <v>2.77454480046219</v>
      </c>
      <c r="V5859" s="84" t="n">
        <f aca="false">IF(ISNUMBER(T5859),T5859,-99)</f>
        <v>24.3254551995378</v>
      </c>
      <c r="W5859" s="84" t="n">
        <f aca="false">IF(ISNUMBER(U5859),ABS(U5859),"")</f>
        <v>2.77454480046219</v>
      </c>
    </row>
    <row r="5860" customFormat="false" ht="15" hidden="false" customHeight="false" outlineLevel="0" collapsed="false">
      <c r="A5860" s="57" t="n">
        <v>42900</v>
      </c>
      <c r="B5860" s="56" t="n">
        <v>2017</v>
      </c>
      <c r="C5860" s="56" t="n">
        <v>6</v>
      </c>
      <c r="D5860" s="56" t="n">
        <v>45</v>
      </c>
      <c r="E5860" s="56" t="n">
        <v>25.1</v>
      </c>
      <c r="F5860" s="56" t="n">
        <v>0</v>
      </c>
      <c r="G5860" s="56" t="n">
        <v>13.6</v>
      </c>
      <c r="H5860" s="56" t="n">
        <v>0</v>
      </c>
      <c r="I5860" s="56" t="n">
        <v>20.4</v>
      </c>
      <c r="J5860" s="56" t="n">
        <v>0</v>
      </c>
      <c r="K5860" s="56" t="n">
        <v>1016.7</v>
      </c>
      <c r="L5860" s="56" t="n">
        <v>0</v>
      </c>
      <c r="M5860" s="56" t="n">
        <v>58</v>
      </c>
      <c r="N5860" s="56" t="n">
        <v>13.2</v>
      </c>
      <c r="O5860" s="56" t="n">
        <f aca="false">IF(D5860=1,"",E5859)</f>
        <v>27.1</v>
      </c>
      <c r="P5860" s="56" t="n">
        <f aca="false">IF(OR(D5860=1,K5859=""),"",K5859)</f>
        <v>1019.6</v>
      </c>
      <c r="Q5860" s="56" t="n">
        <f aca="false">IF(OR(F5860&lt;&gt;0,AND(I5860&lt;&gt;"",E5860&lt;I5860)),1,0)</f>
        <v>0</v>
      </c>
      <c r="R5860" s="56" t="n">
        <f aca="false">IF(AND(D5860&gt;1,Q5860=0,ISNUMBER(O5860),ISNUMBER(P5860)),IF(Q5859=0,1,0),0)</f>
        <v>1</v>
      </c>
      <c r="S5860" s="56" t="n">
        <f aca="false">R5860*(B5860&gt;=Train_Start)*(B5860&lt;=Train_End)</f>
        <v>0</v>
      </c>
      <c r="T5860" s="84" t="n">
        <f aca="false">IF(AND(ISNUMBER(O5860),ISNUMBER(P5860)),Coef_A+Coef_B1*O5860+Coef_B2*P5860,"")</f>
        <v>26.2758121222673</v>
      </c>
      <c r="U5860" s="84" t="n">
        <f aca="false">IF(AND(R5860=1,ISNUMBER(T5860)),E5860-T5860,"")</f>
        <v>-1.1758121222673</v>
      </c>
      <c r="V5860" s="84" t="n">
        <f aca="false">IF(ISNUMBER(T5860),T5860,-99)</f>
        <v>26.2758121222673</v>
      </c>
      <c r="W5860" s="84" t="n">
        <f aca="false">IF(ISNUMBER(U5860),ABS(U5860),"")</f>
        <v>1.1758121222673</v>
      </c>
    </row>
    <row r="5861" customFormat="false" ht="15" hidden="false" customHeight="false" outlineLevel="0" collapsed="false">
      <c r="A5861" s="57" t="n">
        <v>42901</v>
      </c>
      <c r="B5861" s="56" t="n">
        <v>2017</v>
      </c>
      <c r="C5861" s="56" t="n">
        <v>6</v>
      </c>
      <c r="D5861" s="56" t="n">
        <v>46</v>
      </c>
      <c r="E5861" s="56" t="n">
        <v>24.3</v>
      </c>
      <c r="F5861" s="56" t="n">
        <v>0</v>
      </c>
      <c r="G5861" s="56" t="n">
        <v>14.9</v>
      </c>
      <c r="H5861" s="56" t="n">
        <v>0</v>
      </c>
      <c r="I5861" s="56" t="n">
        <v>20</v>
      </c>
      <c r="J5861" s="56" t="n">
        <v>0</v>
      </c>
      <c r="K5861" s="56" t="n">
        <v>1014.9</v>
      </c>
      <c r="L5861" s="56" t="n">
        <v>0</v>
      </c>
      <c r="M5861" s="56" t="n">
        <v>59</v>
      </c>
      <c r="N5861" s="56" t="n">
        <v>12.4</v>
      </c>
      <c r="O5861" s="56" t="n">
        <f aca="false">IF(D5861=1,"",E5860)</f>
        <v>25.1</v>
      </c>
      <c r="P5861" s="56" t="n">
        <f aca="false">IF(OR(D5861=1,K5860=""),"",K5860)</f>
        <v>1016.7</v>
      </c>
      <c r="Q5861" s="56" t="n">
        <f aca="false">IF(OR(F5861&lt;&gt;0,AND(I5861&lt;&gt;"",E5861&lt;I5861)),1,0)</f>
        <v>0</v>
      </c>
      <c r="R5861" s="56" t="n">
        <f aca="false">IF(AND(D5861&gt;1,Q5861=0,ISNUMBER(O5861),ISNUMBER(P5861)),IF(Q5860=0,1,0),0)</f>
        <v>1</v>
      </c>
      <c r="S5861" s="56" t="n">
        <f aca="false">R5861*(B5861&gt;=Train_Start)*(B5861&lt;=Train_End)</f>
        <v>0</v>
      </c>
      <c r="T5861" s="84" t="n">
        <f aca="false">IF(AND(ISNUMBER(O5861),ISNUMBER(P5861)),Coef_A+Coef_B1*O5861+Coef_B2*P5861,"")</f>
        <v>24.5461610417434</v>
      </c>
      <c r="U5861" s="84" t="n">
        <f aca="false">IF(AND(R5861=1,ISNUMBER(T5861)),E5861-T5861,"")</f>
        <v>-0.24616104174342</v>
      </c>
      <c r="V5861" s="84" t="n">
        <f aca="false">IF(ISNUMBER(T5861),T5861,-99)</f>
        <v>24.5461610417434</v>
      </c>
      <c r="W5861" s="84" t="n">
        <f aca="false">IF(ISNUMBER(U5861),ABS(U5861),"")</f>
        <v>0.24616104174342</v>
      </c>
    </row>
    <row r="5862" customFormat="false" ht="15" hidden="false" customHeight="false" outlineLevel="0" collapsed="false">
      <c r="A5862" s="57" t="n">
        <v>42902</v>
      </c>
      <c r="B5862" s="56" t="n">
        <v>2017</v>
      </c>
      <c r="C5862" s="56" t="n">
        <v>6</v>
      </c>
      <c r="D5862" s="56" t="n">
        <v>47</v>
      </c>
      <c r="E5862" s="56" t="n">
        <v>30.1</v>
      </c>
      <c r="F5862" s="56" t="n">
        <v>0</v>
      </c>
      <c r="G5862" s="56" t="n">
        <v>11.4</v>
      </c>
      <c r="H5862" s="56" t="n">
        <v>0</v>
      </c>
      <c r="I5862" s="56" t="n">
        <v>17.9</v>
      </c>
      <c r="J5862" s="56" t="n">
        <v>0</v>
      </c>
      <c r="K5862" s="56" t="n">
        <v>1023.9</v>
      </c>
      <c r="L5862" s="56" t="n">
        <v>0</v>
      </c>
      <c r="M5862" s="56" t="n">
        <v>66</v>
      </c>
      <c r="N5862" s="56" t="n">
        <v>9.9</v>
      </c>
      <c r="O5862" s="56" t="n">
        <f aca="false">IF(D5862=1,"",E5861)</f>
        <v>24.3</v>
      </c>
      <c r="P5862" s="56" t="n">
        <f aca="false">IF(OR(D5862=1,K5861=""),"",K5861)</f>
        <v>1014.9</v>
      </c>
      <c r="Q5862" s="56" t="n">
        <f aca="false">IF(OR(F5862&lt;&gt;0,AND(I5862&lt;&gt;"",E5862&lt;I5862)),1,0)</f>
        <v>0</v>
      </c>
      <c r="R5862" s="56" t="n">
        <f aca="false">IF(AND(D5862&gt;1,Q5862=0,ISNUMBER(O5862),ISNUMBER(P5862)),IF(Q5861=0,1,0),0)</f>
        <v>1</v>
      </c>
      <c r="S5862" s="56" t="n">
        <f aca="false">R5862*(B5862&gt;=Train_Start)*(B5862&lt;=Train_End)</f>
        <v>0</v>
      </c>
      <c r="T5862" s="84" t="n">
        <f aca="false">IF(AND(ISNUMBER(O5862),ISNUMBER(P5862)),Coef_A+Coef_B1*O5862+Coef_B2*P5862,"")</f>
        <v>23.8342238769681</v>
      </c>
      <c r="U5862" s="84" t="n">
        <f aca="false">IF(AND(R5862=1,ISNUMBER(T5862)),E5862-T5862,"")</f>
        <v>6.26577612303189</v>
      </c>
      <c r="V5862" s="84" t="n">
        <f aca="false">IF(ISNUMBER(T5862),T5862,-99)</f>
        <v>23.8342238769681</v>
      </c>
      <c r="W5862" s="84" t="n">
        <f aca="false">IF(ISNUMBER(U5862),ABS(U5862),"")</f>
        <v>6.26577612303189</v>
      </c>
    </row>
    <row r="5863" customFormat="false" ht="15" hidden="false" customHeight="false" outlineLevel="0" collapsed="false">
      <c r="A5863" s="57" t="n">
        <v>42903</v>
      </c>
      <c r="B5863" s="56" t="n">
        <v>2017</v>
      </c>
      <c r="C5863" s="56" t="n">
        <v>6</v>
      </c>
      <c r="D5863" s="56" t="n">
        <v>48</v>
      </c>
      <c r="E5863" s="56" t="n">
        <v>31.7</v>
      </c>
      <c r="F5863" s="56" t="n">
        <v>0</v>
      </c>
      <c r="G5863" s="56" t="n">
        <v>14.6</v>
      </c>
      <c r="H5863" s="56" t="n">
        <v>0</v>
      </c>
      <c r="I5863" s="56" t="n">
        <v>22.4</v>
      </c>
      <c r="J5863" s="56" t="n">
        <v>0</v>
      </c>
      <c r="K5863" s="56" t="n">
        <v>1026.4</v>
      </c>
      <c r="L5863" s="56" t="n">
        <v>0</v>
      </c>
      <c r="M5863" s="56" t="n">
        <v>64</v>
      </c>
      <c r="N5863" s="56" t="n">
        <v>12.4</v>
      </c>
      <c r="O5863" s="56" t="n">
        <f aca="false">IF(D5863=1,"",E5862)</f>
        <v>30.1</v>
      </c>
      <c r="P5863" s="56" t="n">
        <f aca="false">IF(OR(D5863=1,K5862=""),"",K5862)</f>
        <v>1023.9</v>
      </c>
      <c r="Q5863" s="56" t="n">
        <f aca="false">IF(OR(F5863&lt;&gt;0,AND(I5863&lt;&gt;"",E5863&lt;I5863)),1,0)</f>
        <v>0</v>
      </c>
      <c r="R5863" s="56" t="n">
        <f aca="false">IF(AND(D5863&gt;1,Q5863=0,ISNUMBER(O5863),ISNUMBER(P5863)),IF(Q5862=0,1,0),0)</f>
        <v>1</v>
      </c>
      <c r="S5863" s="56" t="n">
        <f aca="false">R5863*(B5863&gt;=Train_Start)*(B5863&lt;=Train_End)</f>
        <v>0</v>
      </c>
      <c r="T5863" s="84" t="n">
        <f aca="false">IF(AND(ISNUMBER(O5863),ISNUMBER(P5863)),Coef_A+Coef_B1*O5863+Coef_B2*P5863,"")</f>
        <v>28.8687202483214</v>
      </c>
      <c r="U5863" s="84" t="n">
        <f aca="false">IF(AND(R5863=1,ISNUMBER(T5863)),E5863-T5863,"")</f>
        <v>2.83127975167857</v>
      </c>
      <c r="V5863" s="84" t="n">
        <f aca="false">IF(ISNUMBER(T5863),T5863,-99)</f>
        <v>28.8687202483214</v>
      </c>
      <c r="W5863" s="84" t="n">
        <f aca="false">IF(ISNUMBER(U5863),ABS(U5863),"")</f>
        <v>2.83127975167857</v>
      </c>
    </row>
    <row r="5864" customFormat="false" ht="15" hidden="false" customHeight="false" outlineLevel="0" collapsed="false">
      <c r="A5864" s="57" t="n">
        <v>42904</v>
      </c>
      <c r="B5864" s="56" t="n">
        <v>2017</v>
      </c>
      <c r="C5864" s="56" t="n">
        <v>6</v>
      </c>
      <c r="D5864" s="56" t="n">
        <v>49</v>
      </c>
      <c r="E5864" s="56" t="n">
        <v>32</v>
      </c>
      <c r="F5864" s="56" t="n">
        <v>0</v>
      </c>
      <c r="G5864" s="56" t="n">
        <v>17.3</v>
      </c>
      <c r="H5864" s="56" t="n">
        <v>0</v>
      </c>
      <c r="I5864" s="56" t="n">
        <v>24.5</v>
      </c>
      <c r="J5864" s="56" t="n">
        <v>0</v>
      </c>
      <c r="K5864" s="56" t="n">
        <v>1023.3</v>
      </c>
      <c r="L5864" s="56" t="n">
        <v>0</v>
      </c>
      <c r="M5864" s="56" t="n">
        <v>59</v>
      </c>
      <c r="N5864" s="56" t="n">
        <v>10</v>
      </c>
      <c r="O5864" s="56" t="n">
        <f aca="false">IF(D5864=1,"",E5863)</f>
        <v>31.7</v>
      </c>
      <c r="P5864" s="56" t="n">
        <f aca="false">IF(OR(D5864=1,K5863=""),"",K5863)</f>
        <v>1026.4</v>
      </c>
      <c r="Q5864" s="56" t="n">
        <f aca="false">IF(OR(F5864&lt;&gt;0,AND(I5864&lt;&gt;"",E5864&lt;I5864)),1,0)</f>
        <v>0</v>
      </c>
      <c r="R5864" s="56" t="n">
        <f aca="false">IF(AND(D5864&gt;1,Q5864=0,ISNUMBER(O5864),ISNUMBER(P5864)),IF(Q5863=0,1,0),0)</f>
        <v>1</v>
      </c>
      <c r="S5864" s="56" t="n">
        <f aca="false">R5864*(B5864&gt;=Train_Start)*(B5864&lt;=Train_End)</f>
        <v>0</v>
      </c>
      <c r="T5864" s="84" t="n">
        <f aca="false">IF(AND(ISNUMBER(O5864),ISNUMBER(P5864)),Coef_A+Coef_B1*O5864+Coef_B2*P5864,"")</f>
        <v>30.2580876937747</v>
      </c>
      <c r="U5864" s="84" t="n">
        <f aca="false">IF(AND(R5864=1,ISNUMBER(T5864)),E5864-T5864,"")</f>
        <v>1.74191230622534</v>
      </c>
      <c r="V5864" s="84" t="n">
        <f aca="false">IF(ISNUMBER(T5864),T5864,-99)</f>
        <v>30.2580876937747</v>
      </c>
      <c r="W5864" s="84" t="n">
        <f aca="false">IF(ISNUMBER(U5864),ABS(U5864),"")</f>
        <v>1.74191230622534</v>
      </c>
    </row>
    <row r="5865" customFormat="false" ht="15" hidden="false" customHeight="false" outlineLevel="0" collapsed="false">
      <c r="A5865" s="57" t="n">
        <v>42905</v>
      </c>
      <c r="B5865" s="56" t="n">
        <v>2017</v>
      </c>
      <c r="C5865" s="56" t="n">
        <v>6</v>
      </c>
      <c r="D5865" s="56" t="n">
        <v>50</v>
      </c>
      <c r="E5865" s="56" t="n">
        <v>31.4</v>
      </c>
      <c r="F5865" s="56" t="n">
        <v>0</v>
      </c>
      <c r="G5865" s="56" t="n">
        <v>19</v>
      </c>
      <c r="H5865" s="56" t="n">
        <v>0</v>
      </c>
      <c r="I5865" s="56" t="n">
        <v>25.5</v>
      </c>
      <c r="J5865" s="56" t="n">
        <v>0</v>
      </c>
      <c r="K5865" s="56" t="n">
        <v>1018.9</v>
      </c>
      <c r="L5865" s="56" t="n">
        <v>0</v>
      </c>
      <c r="M5865" s="56" t="n">
        <v>56</v>
      </c>
      <c r="N5865" s="56" t="n">
        <v>10</v>
      </c>
      <c r="O5865" s="56" t="n">
        <f aca="false">IF(D5865=1,"",E5864)</f>
        <v>32</v>
      </c>
      <c r="P5865" s="56" t="n">
        <f aca="false">IF(OR(D5865=1,K5864=""),"",K5864)</f>
        <v>1023.3</v>
      </c>
      <c r="Q5865" s="56" t="n">
        <f aca="false">IF(OR(F5865&lt;&gt;0,AND(I5865&lt;&gt;"",E5865&lt;I5865)),1,0)</f>
        <v>0</v>
      </c>
      <c r="R5865" s="56" t="n">
        <f aca="false">IF(AND(D5865&gt;1,Q5865=0,ISNUMBER(O5865),ISNUMBER(P5865)),IF(Q5864=0,1,0),0)</f>
        <v>1</v>
      </c>
      <c r="S5865" s="56" t="n">
        <f aca="false">R5865*(B5865&gt;=Train_Start)*(B5865&lt;=Train_End)</f>
        <v>0</v>
      </c>
      <c r="T5865" s="84" t="n">
        <f aca="false">IF(AND(ISNUMBER(O5865),ISNUMBER(P5865)),Coef_A+Coef_B1*O5865+Coef_B2*P5865,"")</f>
        <v>30.4066427783221</v>
      </c>
      <c r="U5865" s="84" t="n">
        <f aca="false">IF(AND(R5865=1,ISNUMBER(T5865)),E5865-T5865,"")</f>
        <v>0.993357221677911</v>
      </c>
      <c r="V5865" s="84" t="n">
        <f aca="false">IF(ISNUMBER(T5865),T5865,-99)</f>
        <v>30.4066427783221</v>
      </c>
      <c r="W5865" s="84" t="n">
        <f aca="false">IF(ISNUMBER(U5865),ABS(U5865),"")</f>
        <v>0.993357221677911</v>
      </c>
    </row>
    <row r="5866" customFormat="false" ht="15" hidden="false" customHeight="false" outlineLevel="0" collapsed="false">
      <c r="A5866" s="57" t="n">
        <v>42906</v>
      </c>
      <c r="B5866" s="56" t="n">
        <v>2017</v>
      </c>
      <c r="C5866" s="56" t="n">
        <v>6</v>
      </c>
      <c r="D5866" s="56" t="n">
        <v>51</v>
      </c>
      <c r="E5866" s="56" t="n">
        <v>34.5</v>
      </c>
      <c r="F5866" s="56" t="n">
        <v>0</v>
      </c>
      <c r="G5866" s="56" t="n">
        <v>19.3</v>
      </c>
      <c r="H5866" s="56" t="n">
        <v>0</v>
      </c>
      <c r="I5866" s="56" t="n">
        <v>25.4</v>
      </c>
      <c r="J5866" s="56" t="n">
        <v>0</v>
      </c>
      <c r="K5866" s="56" t="n">
        <v>1017.6</v>
      </c>
      <c r="L5866" s="56" t="n">
        <v>0</v>
      </c>
      <c r="M5866" s="56" t="n">
        <v>57</v>
      </c>
      <c r="N5866" s="56" t="n">
        <v>11.1</v>
      </c>
      <c r="O5866" s="56" t="n">
        <f aca="false">IF(D5866=1,"",E5865)</f>
        <v>31.4</v>
      </c>
      <c r="P5866" s="56" t="n">
        <f aca="false">IF(OR(D5866=1,K5865=""),"",K5865)</f>
        <v>1018.9</v>
      </c>
      <c r="Q5866" s="56" t="n">
        <f aca="false">IF(OR(F5866&lt;&gt;0,AND(I5866&lt;&gt;"",E5866&lt;I5866)),1,0)</f>
        <v>0</v>
      </c>
      <c r="R5866" s="56" t="n">
        <f aca="false">IF(AND(D5866&gt;1,Q5866=0,ISNUMBER(O5866),ISNUMBER(P5866)),IF(Q5865=0,1,0),0)</f>
        <v>1</v>
      </c>
      <c r="S5866" s="56" t="n">
        <f aca="false">R5866*(B5866&gt;=Train_Start)*(B5866&lt;=Train_End)</f>
        <v>0</v>
      </c>
      <c r="T5866" s="84" t="n">
        <f aca="false">IF(AND(ISNUMBER(O5866),ISNUMBER(P5866)),Coef_A+Coef_B1*O5866+Coef_B2*P5866,"")</f>
        <v>29.7770117261069</v>
      </c>
      <c r="U5866" s="84" t="n">
        <f aca="false">IF(AND(R5866=1,ISNUMBER(T5866)),E5866-T5866,"")</f>
        <v>4.72298827389306</v>
      </c>
      <c r="V5866" s="84" t="n">
        <f aca="false">IF(ISNUMBER(T5866),T5866,-99)</f>
        <v>29.7770117261069</v>
      </c>
      <c r="W5866" s="84" t="n">
        <f aca="false">IF(ISNUMBER(U5866),ABS(U5866),"")</f>
        <v>4.72298827389306</v>
      </c>
    </row>
    <row r="5867" customFormat="false" ht="15" hidden="false" customHeight="false" outlineLevel="0" collapsed="false">
      <c r="A5867" s="57" t="n">
        <v>42907</v>
      </c>
      <c r="B5867" s="56" t="n">
        <v>2017</v>
      </c>
      <c r="C5867" s="56" t="n">
        <v>6</v>
      </c>
      <c r="D5867" s="56" t="n">
        <v>52</v>
      </c>
      <c r="E5867" s="56" t="n">
        <v>24.1</v>
      </c>
      <c r="F5867" s="56" t="n">
        <v>1</v>
      </c>
      <c r="G5867" s="56" t="n">
        <v>16.5</v>
      </c>
      <c r="H5867" s="56" t="n">
        <v>0</v>
      </c>
      <c r="I5867" s="56" t="n">
        <v>25.5</v>
      </c>
      <c r="J5867" s="56" t="n">
        <v>1</v>
      </c>
      <c r="K5867" s="56" t="n">
        <v>1014.3</v>
      </c>
      <c r="L5867" s="56" t="n">
        <v>0</v>
      </c>
      <c r="M5867" s="56" t="n">
        <v>63</v>
      </c>
      <c r="N5867" s="56" t="n">
        <v>12.5</v>
      </c>
      <c r="O5867" s="56" t="n">
        <f aca="false">IF(D5867=1,"",E5866)</f>
        <v>34.5</v>
      </c>
      <c r="P5867" s="56" t="n">
        <f aca="false">IF(OR(D5867=1,K5866=""),"",K5866)</f>
        <v>1017.6</v>
      </c>
      <c r="Q5867" s="56" t="n">
        <f aca="false">IF(OR(F5867&lt;&gt;0,AND(I5867&lt;&gt;"",E5867&lt;I5867)),1,0)</f>
        <v>1</v>
      </c>
      <c r="R5867" s="56" t="n">
        <f aca="false">IF(AND(D5867&gt;1,Q5867=0,ISNUMBER(O5867),ISNUMBER(P5867)),IF(Q5866=0,1,0),0)</f>
        <v>0</v>
      </c>
      <c r="S5867" s="56" t="n">
        <f aca="false">R5867*(B5867&gt;=Train_Start)*(B5867&lt;=Train_End)</f>
        <v>0</v>
      </c>
      <c r="T5867" s="84" t="n">
        <f aca="false">IF(AND(ISNUMBER(O5867),ISNUMBER(P5867)),Coef_A+Coef_B1*O5867+Coef_B2*P5867,"")</f>
        <v>32.276182361515</v>
      </c>
      <c r="U5867" s="84" t="str">
        <f aca="false">IF(AND(R5867=1,ISNUMBER(T5867)),E5867-T5867,"")</f>
        <v/>
      </c>
      <c r="V5867" s="84" t="n">
        <f aca="false">IF(ISNUMBER(T5867),T5867,-99)</f>
        <v>32.276182361515</v>
      </c>
      <c r="W5867" s="84" t="str">
        <f aca="false">IF(ISNUMBER(U5867),ABS(U5867),"")</f>
        <v/>
      </c>
    </row>
    <row r="5868" customFormat="false" ht="15" hidden="false" customHeight="false" outlineLevel="0" collapsed="false">
      <c r="A5868" s="57" t="n">
        <v>42908</v>
      </c>
      <c r="B5868" s="56" t="n">
        <v>2017</v>
      </c>
      <c r="C5868" s="56" t="n">
        <v>6</v>
      </c>
      <c r="D5868" s="56" t="n">
        <v>53</v>
      </c>
      <c r="E5868" s="56" t="n">
        <v>24.9</v>
      </c>
      <c r="F5868" s="56" t="n">
        <v>0</v>
      </c>
      <c r="G5868" s="56" t="n">
        <v>18.2</v>
      </c>
      <c r="H5868" s="56" t="n">
        <v>0</v>
      </c>
      <c r="I5868" s="56" t="n">
        <v>21.1</v>
      </c>
      <c r="J5868" s="56" t="n">
        <v>0</v>
      </c>
      <c r="K5868" s="56" t="n">
        <v>1012.1</v>
      </c>
      <c r="L5868" s="56" t="n">
        <v>0</v>
      </c>
      <c r="M5868" s="56" t="n">
        <v>70</v>
      </c>
      <c r="N5868" s="56" t="n">
        <v>1.6</v>
      </c>
      <c r="O5868" s="56" t="n">
        <f aca="false">IF(D5868=1,"",E5867)</f>
        <v>24.1</v>
      </c>
      <c r="P5868" s="56" t="n">
        <f aca="false">IF(OR(D5868=1,K5867=""),"",K5867)</f>
        <v>1014.3</v>
      </c>
      <c r="Q5868" s="56" t="n">
        <f aca="false">IF(OR(F5868&lt;&gt;0,AND(I5868&lt;&gt;"",E5868&lt;I5868)),1,0)</f>
        <v>0</v>
      </c>
      <c r="R5868" s="56" t="n">
        <f aca="false">IF(AND(D5868&gt;1,Q5868=0,ISNUMBER(O5868),ISNUMBER(P5868)),IF(Q5867=0,1,0),0)</f>
        <v>0</v>
      </c>
      <c r="S5868" s="56" t="n">
        <f aca="false">R5868*(B5868&gt;=Train_Start)*(B5868&lt;=Train_End)</f>
        <v>0</v>
      </c>
      <c r="T5868" s="84" t="n">
        <f aca="false">IF(AND(ISNUMBER(O5868),ISNUMBER(P5868)),Coef_A+Coef_B1*O5868+Coef_B2*P5868,"")</f>
        <v>23.6515341015792</v>
      </c>
      <c r="U5868" s="84" t="str">
        <f aca="false">IF(AND(R5868=1,ISNUMBER(T5868)),E5868-T5868,"")</f>
        <v/>
      </c>
      <c r="V5868" s="84" t="n">
        <f aca="false">IF(ISNUMBER(T5868),T5868,-99)</f>
        <v>23.6515341015792</v>
      </c>
      <c r="W5868" s="84" t="str">
        <f aca="false">IF(ISNUMBER(U5868),ABS(U5868),"")</f>
        <v/>
      </c>
    </row>
    <row r="5869" customFormat="false" ht="15" hidden="false" customHeight="false" outlineLevel="0" collapsed="false">
      <c r="A5869" s="57" t="n">
        <v>42909</v>
      </c>
      <c r="B5869" s="56" t="n">
        <v>2017</v>
      </c>
      <c r="C5869" s="56" t="n">
        <v>6</v>
      </c>
      <c r="D5869" s="56" t="n">
        <v>54</v>
      </c>
      <c r="E5869" s="56" t="n">
        <v>24.1</v>
      </c>
      <c r="F5869" s="56" t="n">
        <v>0</v>
      </c>
      <c r="G5869" s="56" t="n">
        <v>13.1</v>
      </c>
      <c r="H5869" s="56" t="n">
        <v>0</v>
      </c>
      <c r="I5869" s="56" t="n">
        <v>19</v>
      </c>
      <c r="J5869" s="56" t="n">
        <v>0</v>
      </c>
      <c r="K5869" s="56" t="n">
        <v>1016</v>
      </c>
      <c r="L5869" s="56" t="n">
        <v>0</v>
      </c>
      <c r="M5869" s="56" t="n">
        <v>65</v>
      </c>
      <c r="N5869" s="56" t="n">
        <v>7.1</v>
      </c>
      <c r="O5869" s="56" t="n">
        <f aca="false">IF(D5869=1,"",E5868)</f>
        <v>24.9</v>
      </c>
      <c r="P5869" s="56" t="n">
        <f aca="false">IF(OR(D5869=1,K5868=""),"",K5868)</f>
        <v>1012.1</v>
      </c>
      <c r="Q5869" s="56" t="n">
        <f aca="false">IF(OR(F5869&lt;&gt;0,AND(I5869&lt;&gt;"",E5869&lt;I5869)),1,0)</f>
        <v>0</v>
      </c>
      <c r="R5869" s="56" t="n">
        <f aca="false">IF(AND(D5869&gt;1,Q5869=0,ISNUMBER(O5869),ISNUMBER(P5869)),IF(Q5868=0,1,0),0)</f>
        <v>1</v>
      </c>
      <c r="S5869" s="56" t="n">
        <f aca="false">R5869*(B5869&gt;=Train_Start)*(B5869&lt;=Train_End)</f>
        <v>0</v>
      </c>
      <c r="T5869" s="84" t="n">
        <f aca="false">IF(AND(ISNUMBER(O5869),ISNUMBER(P5869)),Coef_A+Coef_B1*O5869+Coef_B2*P5869,"")</f>
        <v>24.2379916878185</v>
      </c>
      <c r="U5869" s="84" t="n">
        <f aca="false">IF(AND(R5869=1,ISNUMBER(T5869)),E5869-T5869,"")</f>
        <v>-0.137991687818534</v>
      </c>
      <c r="V5869" s="84" t="n">
        <f aca="false">IF(ISNUMBER(T5869),T5869,-99)</f>
        <v>24.2379916878185</v>
      </c>
      <c r="W5869" s="84" t="n">
        <f aca="false">IF(ISNUMBER(U5869),ABS(U5869),"")</f>
        <v>0.137991687818534</v>
      </c>
    </row>
    <row r="5870" customFormat="false" ht="15" hidden="false" customHeight="false" outlineLevel="0" collapsed="false">
      <c r="A5870" s="57" t="n">
        <v>42910</v>
      </c>
      <c r="B5870" s="56" t="n">
        <v>2017</v>
      </c>
      <c r="C5870" s="56" t="n">
        <v>6</v>
      </c>
      <c r="D5870" s="56" t="n">
        <v>55</v>
      </c>
      <c r="E5870" s="56" t="n">
        <v>24.2</v>
      </c>
      <c r="F5870" s="56" t="n">
        <v>0</v>
      </c>
      <c r="G5870" s="56" t="n">
        <v>17.1</v>
      </c>
      <c r="H5870" s="56" t="n">
        <v>0</v>
      </c>
      <c r="I5870" s="56" t="n">
        <v>20.6</v>
      </c>
      <c r="J5870" s="56" t="n">
        <v>0</v>
      </c>
      <c r="K5870" s="56" t="n">
        <v>1013.6</v>
      </c>
      <c r="L5870" s="56" t="n">
        <v>0</v>
      </c>
      <c r="M5870" s="56" t="n">
        <v>74</v>
      </c>
      <c r="N5870" s="56" t="n">
        <v>0.6</v>
      </c>
      <c r="O5870" s="56" t="n">
        <f aca="false">IF(D5870=1,"",E5869)</f>
        <v>24.1</v>
      </c>
      <c r="P5870" s="56" t="n">
        <f aca="false">IF(OR(D5870=1,K5869=""),"",K5869)</f>
        <v>1016</v>
      </c>
      <c r="Q5870" s="56" t="n">
        <f aca="false">IF(OR(F5870&lt;&gt;0,AND(I5870&lt;&gt;"",E5870&lt;I5870)),1,0)</f>
        <v>0</v>
      </c>
      <c r="R5870" s="56" t="n">
        <f aca="false">IF(AND(D5870&gt;1,Q5870=0,ISNUMBER(O5870),ISNUMBER(P5870)),IF(Q5869=0,1,0),0)</f>
        <v>1</v>
      </c>
      <c r="S5870" s="56" t="n">
        <f aca="false">R5870*(B5870&gt;=Train_Start)*(B5870&lt;=Train_End)</f>
        <v>0</v>
      </c>
      <c r="T5870" s="84" t="n">
        <f aca="false">IF(AND(ISNUMBER(O5870),ISNUMBER(P5870)),Coef_A+Coef_B1*O5870+Coef_B2*P5870,"")</f>
        <v>23.704862922457</v>
      </c>
      <c r="U5870" s="84" t="n">
        <f aca="false">IF(AND(R5870=1,ISNUMBER(T5870)),E5870-T5870,"")</f>
        <v>0.495137077543028</v>
      </c>
      <c r="V5870" s="84" t="n">
        <f aca="false">IF(ISNUMBER(T5870),T5870,-99)</f>
        <v>23.704862922457</v>
      </c>
      <c r="W5870" s="84" t="n">
        <f aca="false">IF(ISNUMBER(U5870),ABS(U5870),"")</f>
        <v>0.495137077543028</v>
      </c>
    </row>
    <row r="5871" customFormat="false" ht="15" hidden="false" customHeight="false" outlineLevel="0" collapsed="false">
      <c r="A5871" s="57" t="n">
        <v>42911</v>
      </c>
      <c r="B5871" s="56" t="n">
        <v>2017</v>
      </c>
      <c r="C5871" s="56" t="n">
        <v>6</v>
      </c>
      <c r="D5871" s="56" t="n">
        <v>56</v>
      </c>
      <c r="E5871" s="56" t="n">
        <v>24.5</v>
      </c>
      <c r="F5871" s="56" t="n">
        <v>0</v>
      </c>
      <c r="G5871" s="56" t="n">
        <v>14.8</v>
      </c>
      <c r="H5871" s="56" t="n">
        <v>0</v>
      </c>
      <c r="I5871" s="56" t="n">
        <v>19.5</v>
      </c>
      <c r="J5871" s="56" t="n">
        <v>0</v>
      </c>
      <c r="K5871" s="56" t="n">
        <v>1012.5</v>
      </c>
      <c r="L5871" s="56" t="n">
        <v>0</v>
      </c>
      <c r="M5871" s="56" t="n">
        <v>68</v>
      </c>
      <c r="N5871" s="56" t="n">
        <v>2.1</v>
      </c>
      <c r="O5871" s="56" t="n">
        <f aca="false">IF(D5871=1,"",E5870)</f>
        <v>24.2</v>
      </c>
      <c r="P5871" s="56" t="n">
        <f aca="false">IF(OR(D5871=1,K5870=""),"",K5870)</f>
        <v>1013.6</v>
      </c>
      <c r="Q5871" s="56" t="n">
        <f aca="false">IF(OR(F5871&lt;&gt;0,AND(I5871&lt;&gt;"",E5871&lt;I5871)),1,0)</f>
        <v>0</v>
      </c>
      <c r="R5871" s="56" t="n">
        <f aca="false">IF(AND(D5871&gt;1,Q5871=0,ISNUMBER(O5871),ISNUMBER(P5871)),IF(Q5870=0,1,0),0)</f>
        <v>1</v>
      </c>
      <c r="S5871" s="56" t="n">
        <f aca="false">R5871*(B5871&gt;=Train_Start)*(B5871&lt;=Train_End)</f>
        <v>0</v>
      </c>
      <c r="T5871" s="84" t="n">
        <f aca="false">IF(AND(ISNUMBER(O5871),ISNUMBER(P5871)),Coef_A+Coef_B1*O5871+Coef_B2*P5871,"")</f>
        <v>23.7115090946397</v>
      </c>
      <c r="U5871" s="84" t="n">
        <f aca="false">IF(AND(R5871=1,ISNUMBER(T5871)),E5871-T5871,"")</f>
        <v>0.788490905360341</v>
      </c>
      <c r="V5871" s="84" t="n">
        <f aca="false">IF(ISNUMBER(T5871),T5871,-99)</f>
        <v>23.7115090946397</v>
      </c>
      <c r="W5871" s="84" t="n">
        <f aca="false">IF(ISNUMBER(U5871),ABS(U5871),"")</f>
        <v>0.788490905360341</v>
      </c>
    </row>
    <row r="5872" customFormat="false" ht="15" hidden="false" customHeight="false" outlineLevel="0" collapsed="false">
      <c r="A5872" s="57" t="n">
        <v>42912</v>
      </c>
      <c r="B5872" s="56" t="n">
        <v>2017</v>
      </c>
      <c r="C5872" s="56" t="n">
        <v>6</v>
      </c>
      <c r="D5872" s="56" t="n">
        <v>57</v>
      </c>
      <c r="E5872" s="56" t="n">
        <v>21.2</v>
      </c>
      <c r="F5872" s="56" t="n">
        <v>0</v>
      </c>
      <c r="G5872" s="56" t="n">
        <v>12.7</v>
      </c>
      <c r="H5872" s="56" t="n">
        <v>0</v>
      </c>
      <c r="I5872" s="56" t="n">
        <v>18.6</v>
      </c>
      <c r="J5872" s="56" t="n">
        <v>0</v>
      </c>
      <c r="K5872" s="56" t="n">
        <v>1013.8</v>
      </c>
      <c r="L5872" s="56" t="n">
        <v>0</v>
      </c>
      <c r="M5872" s="56" t="n">
        <v>50</v>
      </c>
      <c r="N5872" s="56" t="n">
        <v>10.1</v>
      </c>
      <c r="O5872" s="56" t="n">
        <f aca="false">IF(D5872=1,"",E5871)</f>
        <v>24.5</v>
      </c>
      <c r="P5872" s="56" t="n">
        <f aca="false">IF(OR(D5872=1,K5871=""),"",K5871)</f>
        <v>1012.5</v>
      </c>
      <c r="Q5872" s="56" t="n">
        <f aca="false">IF(OR(F5872&lt;&gt;0,AND(I5872&lt;&gt;"",E5872&lt;I5872)),1,0)</f>
        <v>0</v>
      </c>
      <c r="R5872" s="56" t="n">
        <f aca="false">IF(AND(D5872&gt;1,Q5872=0,ISNUMBER(O5872),ISNUMBER(P5872)),IF(Q5871=0,1,0),0)</f>
        <v>1</v>
      </c>
      <c r="S5872" s="56" t="n">
        <f aca="false">R5872*(B5872&gt;=Train_Start)*(B5872&lt;=Train_End)</f>
        <v>0</v>
      </c>
      <c r="T5872" s="84" t="n">
        <f aca="false">IF(AND(ISNUMBER(O5872),ISNUMBER(P5872)),Coef_A+Coef_B1*O5872+Coef_B2*P5872,"")</f>
        <v>23.9228039684551</v>
      </c>
      <c r="U5872" s="84" t="n">
        <f aca="false">IF(AND(R5872=1,ISNUMBER(T5872)),E5872-T5872,"")</f>
        <v>-2.72280396845507</v>
      </c>
      <c r="V5872" s="84" t="n">
        <f aca="false">IF(ISNUMBER(T5872),T5872,-99)</f>
        <v>23.9228039684551</v>
      </c>
      <c r="W5872" s="84" t="n">
        <f aca="false">IF(ISNUMBER(U5872),ABS(U5872),"")</f>
        <v>2.72280396845507</v>
      </c>
    </row>
    <row r="5873" customFormat="false" ht="15" hidden="false" customHeight="false" outlineLevel="0" collapsed="false">
      <c r="A5873" s="57" t="n">
        <v>42913</v>
      </c>
      <c r="B5873" s="56" t="n">
        <v>2017</v>
      </c>
      <c r="C5873" s="56" t="n">
        <v>6</v>
      </c>
      <c r="D5873" s="56" t="n">
        <v>58</v>
      </c>
      <c r="E5873" s="56" t="n">
        <v>17.3</v>
      </c>
      <c r="F5873" s="56" t="n">
        <v>1</v>
      </c>
      <c r="G5873" s="56" t="n">
        <v>14.6</v>
      </c>
      <c r="H5873" s="56" t="n">
        <v>0</v>
      </c>
      <c r="I5873" s="56" t="n">
        <v>17.9</v>
      </c>
      <c r="J5873" s="56" t="n">
        <v>1</v>
      </c>
      <c r="K5873" s="56" t="n">
        <v>1006.7</v>
      </c>
      <c r="L5873" s="56" t="n">
        <v>0</v>
      </c>
      <c r="M5873" s="56" t="n">
        <v>76</v>
      </c>
      <c r="N5873" s="56" t="n">
        <v>0.1</v>
      </c>
      <c r="O5873" s="56" t="n">
        <f aca="false">IF(D5873=1,"",E5872)</f>
        <v>21.2</v>
      </c>
      <c r="P5873" s="56" t="n">
        <f aca="false">IF(OR(D5873=1,K5872=""),"",K5872)</f>
        <v>1013.8</v>
      </c>
      <c r="Q5873" s="56" t="n">
        <f aca="false">IF(OR(F5873&lt;&gt;0,AND(I5873&lt;&gt;"",E5873&lt;I5873)),1,0)</f>
        <v>1</v>
      </c>
      <c r="R5873" s="56" t="n">
        <f aca="false">IF(AND(D5873&gt;1,Q5873=0,ISNUMBER(O5873),ISNUMBER(P5873)),IF(Q5872=0,1,0),0)</f>
        <v>0</v>
      </c>
      <c r="S5873" s="56" t="n">
        <f aca="false">R5873*(B5873&gt;=Train_Start)*(B5873&lt;=Train_End)</f>
        <v>0</v>
      </c>
      <c r="T5873" s="84" t="n">
        <f aca="false">IF(AND(ISNUMBER(O5873),ISNUMBER(P5873)),Coef_A+Coef_B1*O5873+Coef_B2*P5873,"")</f>
        <v>21.2597654944385</v>
      </c>
      <c r="U5873" s="84" t="str">
        <f aca="false">IF(AND(R5873=1,ISNUMBER(T5873)),E5873-T5873,"")</f>
        <v/>
      </c>
      <c r="V5873" s="84" t="n">
        <f aca="false">IF(ISNUMBER(T5873),T5873,-99)</f>
        <v>21.2597654944385</v>
      </c>
      <c r="W5873" s="84" t="str">
        <f aca="false">IF(ISNUMBER(U5873),ABS(U5873),"")</f>
        <v/>
      </c>
    </row>
    <row r="5874" customFormat="false" ht="15" hidden="false" customHeight="false" outlineLevel="0" collapsed="false">
      <c r="A5874" s="57" t="n">
        <v>42914</v>
      </c>
      <c r="B5874" s="56" t="n">
        <v>2017</v>
      </c>
      <c r="C5874" s="56" t="n">
        <v>6</v>
      </c>
      <c r="D5874" s="56" t="n">
        <v>59</v>
      </c>
      <c r="E5874" s="56" t="n">
        <v>18.7</v>
      </c>
      <c r="F5874" s="56" t="n">
        <v>0</v>
      </c>
      <c r="G5874" s="56" t="n">
        <v>14.6</v>
      </c>
      <c r="H5874" s="56" t="n">
        <v>0</v>
      </c>
      <c r="I5874" s="56" t="n">
        <v>15.9</v>
      </c>
      <c r="J5874" s="56" t="n">
        <v>0</v>
      </c>
      <c r="K5874" s="56" t="n">
        <v>997.9</v>
      </c>
      <c r="L5874" s="56" t="n">
        <v>0</v>
      </c>
      <c r="M5874" s="56" t="n">
        <v>85</v>
      </c>
      <c r="N5874" s="56" t="n">
        <v>0</v>
      </c>
      <c r="O5874" s="56" t="n">
        <f aca="false">IF(D5874=1,"",E5873)</f>
        <v>17.3</v>
      </c>
      <c r="P5874" s="56" t="n">
        <f aca="false">IF(OR(D5874=1,K5873=""),"",K5873)</f>
        <v>1006.7</v>
      </c>
      <c r="Q5874" s="56" t="n">
        <f aca="false">IF(OR(F5874&lt;&gt;0,AND(I5874&lt;&gt;"",E5874&lt;I5874)),1,0)</f>
        <v>0</v>
      </c>
      <c r="R5874" s="56" t="n">
        <f aca="false">IF(AND(D5874&gt;1,Q5874=0,ISNUMBER(O5874),ISNUMBER(P5874)),IF(Q5873=0,1,0),0)</f>
        <v>0</v>
      </c>
      <c r="S5874" s="56" t="n">
        <f aca="false">R5874*(B5874&gt;=Train_Start)*(B5874&lt;=Train_End)</f>
        <v>0</v>
      </c>
      <c r="T5874" s="84" t="n">
        <f aca="false">IF(AND(ISNUMBER(O5874),ISNUMBER(P5874)),Coef_A+Coef_B1*O5874+Coef_B2*P5874,"")</f>
        <v>17.8416163896708</v>
      </c>
      <c r="U5874" s="84" t="str">
        <f aca="false">IF(AND(R5874=1,ISNUMBER(T5874)),E5874-T5874,"")</f>
        <v/>
      </c>
      <c r="V5874" s="84" t="n">
        <f aca="false">IF(ISNUMBER(T5874),T5874,-99)</f>
        <v>17.8416163896708</v>
      </c>
      <c r="W5874" s="84" t="str">
        <f aca="false">IF(ISNUMBER(U5874),ABS(U5874),"")</f>
        <v/>
      </c>
    </row>
    <row r="5875" customFormat="false" ht="15" hidden="false" customHeight="false" outlineLevel="0" collapsed="false">
      <c r="A5875" s="57" t="n">
        <v>42915</v>
      </c>
      <c r="B5875" s="56" t="n">
        <v>2017</v>
      </c>
      <c r="C5875" s="56" t="n">
        <v>6</v>
      </c>
      <c r="D5875" s="56" t="n">
        <v>60</v>
      </c>
      <c r="E5875" s="56" t="n">
        <v>22</v>
      </c>
      <c r="F5875" s="56" t="n">
        <v>0</v>
      </c>
      <c r="G5875" s="56" t="n">
        <v>12.1</v>
      </c>
      <c r="H5875" s="56" t="n">
        <v>0</v>
      </c>
      <c r="I5875" s="56" t="n">
        <v>15.4</v>
      </c>
      <c r="J5875" s="56" t="n">
        <v>0</v>
      </c>
      <c r="K5875" s="56" t="n">
        <v>996.5</v>
      </c>
      <c r="L5875" s="56" t="n">
        <v>0</v>
      </c>
      <c r="M5875" s="56" t="n">
        <v>73</v>
      </c>
      <c r="N5875" s="56" t="n">
        <v>0.5</v>
      </c>
      <c r="O5875" s="56" t="n">
        <f aca="false">IF(D5875=1,"",E5874)</f>
        <v>18.7</v>
      </c>
      <c r="P5875" s="56" t="n">
        <f aca="false">IF(OR(D5875=1,K5874=""),"",K5874)</f>
        <v>997.9</v>
      </c>
      <c r="Q5875" s="56" t="n">
        <f aca="false">IF(OR(F5875&lt;&gt;0,AND(I5875&lt;&gt;"",E5875&lt;I5875)),1,0)</f>
        <v>0</v>
      </c>
      <c r="R5875" s="56" t="n">
        <f aca="false">IF(AND(D5875&gt;1,Q5875=0,ISNUMBER(O5875),ISNUMBER(P5875)),IF(Q5874=0,1,0),0)</f>
        <v>1</v>
      </c>
      <c r="S5875" s="56" t="n">
        <f aca="false">R5875*(B5875&gt;=Train_Start)*(B5875&lt;=Train_End)</f>
        <v>0</v>
      </c>
      <c r="T5875" s="84" t="n">
        <f aca="false">IF(AND(ISNUMBER(O5875),ISNUMBER(P5875)),Coef_A+Coef_B1*O5875+Coef_B2*P5875,"")</f>
        <v>18.7126361871514</v>
      </c>
      <c r="U5875" s="84" t="n">
        <f aca="false">IF(AND(R5875=1,ISNUMBER(T5875)),E5875-T5875,"")</f>
        <v>3.28736381284859</v>
      </c>
      <c r="V5875" s="84" t="n">
        <f aca="false">IF(ISNUMBER(T5875),T5875,-99)</f>
        <v>18.7126361871514</v>
      </c>
      <c r="W5875" s="84" t="n">
        <f aca="false">IF(ISNUMBER(U5875),ABS(U5875),"")</f>
        <v>3.28736381284859</v>
      </c>
    </row>
    <row r="5876" customFormat="false" ht="15" hidden="false" customHeight="false" outlineLevel="0" collapsed="false">
      <c r="A5876" s="57" t="n">
        <v>42916</v>
      </c>
      <c r="B5876" s="56" t="n">
        <v>2017</v>
      </c>
      <c r="C5876" s="56" t="n">
        <v>6</v>
      </c>
      <c r="D5876" s="56" t="n">
        <v>61</v>
      </c>
      <c r="E5876" s="56" t="n">
        <v>23.3</v>
      </c>
      <c r="F5876" s="56" t="n">
        <v>0</v>
      </c>
      <c r="G5876" s="56" t="n">
        <v>14</v>
      </c>
      <c r="H5876" s="56" t="n">
        <v>0</v>
      </c>
      <c r="I5876" s="56" t="n">
        <v>18</v>
      </c>
      <c r="J5876" s="56" t="n">
        <v>0</v>
      </c>
      <c r="K5876" s="56" t="n">
        <v>1004.5</v>
      </c>
      <c r="L5876" s="56" t="n">
        <v>0</v>
      </c>
      <c r="M5876" s="56" t="n">
        <v>70</v>
      </c>
      <c r="N5876" s="56" t="n">
        <v>7</v>
      </c>
      <c r="O5876" s="56" t="n">
        <f aca="false">IF(D5876=1,"",E5875)</f>
        <v>22</v>
      </c>
      <c r="P5876" s="56" t="n">
        <f aca="false">IF(OR(D5876=1,K5875=""),"",K5875)</f>
        <v>996.5</v>
      </c>
      <c r="Q5876" s="56" t="n">
        <f aca="false">IF(OR(F5876&lt;&gt;0,AND(I5876&lt;&gt;"",E5876&lt;I5876)),1,0)</f>
        <v>0</v>
      </c>
      <c r="R5876" s="56" t="n">
        <f aca="false">IF(AND(D5876&gt;1,Q5876=0,ISNUMBER(O5876),ISNUMBER(P5876)),IF(Q5875=0,1,0),0)</f>
        <v>1</v>
      </c>
      <c r="S5876" s="56" t="n">
        <f aca="false">R5876*(B5876&gt;=Train_Start)*(B5876&lt;=Train_End)</f>
        <v>0</v>
      </c>
      <c r="T5876" s="84" t="n">
        <f aca="false">IF(AND(ISNUMBER(O5876),ISNUMBER(P5876)),Coef_A+Coef_B1*O5876+Coef_B2*P5876,"")</f>
        <v>21.3725376717046</v>
      </c>
      <c r="U5876" s="84" t="n">
        <f aca="false">IF(AND(R5876=1,ISNUMBER(T5876)),E5876-T5876,"")</f>
        <v>1.92746232829541</v>
      </c>
      <c r="V5876" s="84" t="n">
        <f aca="false">IF(ISNUMBER(T5876),T5876,-99)</f>
        <v>21.3725376717046</v>
      </c>
      <c r="W5876" s="84" t="n">
        <f aca="false">IF(ISNUMBER(U5876),ABS(U5876),"")</f>
        <v>1.92746232829541</v>
      </c>
    </row>
    <row r="5877" customFormat="false" ht="15" hidden="false" customHeight="false" outlineLevel="0" collapsed="false">
      <c r="A5877" s="57" t="n">
        <v>42917</v>
      </c>
      <c r="B5877" s="56" t="n">
        <v>2017</v>
      </c>
      <c r="C5877" s="56" t="n">
        <v>7</v>
      </c>
      <c r="D5877" s="56" t="n">
        <v>62</v>
      </c>
      <c r="E5877" s="56" t="n">
        <v>23.6</v>
      </c>
      <c r="F5877" s="56" t="n">
        <v>0</v>
      </c>
      <c r="G5877" s="56" t="n">
        <v>14.5</v>
      </c>
      <c r="H5877" s="56" t="n">
        <v>0</v>
      </c>
      <c r="I5877" s="56" t="n">
        <v>18.9</v>
      </c>
      <c r="J5877" s="56" t="n">
        <v>0</v>
      </c>
      <c r="K5877" s="56" t="n">
        <v>1015.7</v>
      </c>
      <c r="L5877" s="56" t="n">
        <v>0</v>
      </c>
      <c r="M5877" s="56" t="n">
        <v>67</v>
      </c>
      <c r="N5877" s="56" t="n">
        <v>3.6</v>
      </c>
      <c r="O5877" s="56" t="n">
        <f aca="false">IF(D5877=1,"",E5876)</f>
        <v>23.3</v>
      </c>
      <c r="P5877" s="56" t="n">
        <f aca="false">IF(OR(D5877=1,K5876=""),"",K5876)</f>
        <v>1004.5</v>
      </c>
      <c r="Q5877" s="56" t="n">
        <f aca="false">IF(OR(F5877&lt;&gt;0,AND(I5877&lt;&gt;"",E5877&lt;I5877)),1,0)</f>
        <v>0</v>
      </c>
      <c r="R5877" s="56" t="n">
        <f aca="false">IF(AND(D5877&gt;1,Q5877=0,ISNUMBER(O5877),ISNUMBER(P5877)),IF(Q5876=0,1,0),0)</f>
        <v>1</v>
      </c>
      <c r="S5877" s="56" t="n">
        <f aca="false">R5877*(B5877&gt;=Train_Start)*(B5877&lt;=Train_End)</f>
        <v>0</v>
      </c>
      <c r="T5877" s="84" t="n">
        <f aca="false">IF(AND(ISNUMBER(O5877),ISNUMBER(P5877)),Coef_A+Coef_B1*O5877+Coef_B2*P5877,"")</f>
        <v>22.688637779732</v>
      </c>
      <c r="U5877" s="84" t="n">
        <f aca="false">IF(AND(R5877=1,ISNUMBER(T5877)),E5877-T5877,"")</f>
        <v>0.911362220268035</v>
      </c>
      <c r="V5877" s="84" t="n">
        <f aca="false">IF(ISNUMBER(T5877),T5877,-99)</f>
        <v>22.688637779732</v>
      </c>
      <c r="W5877" s="84" t="n">
        <f aca="false">IF(ISNUMBER(U5877),ABS(U5877),"")</f>
        <v>0.911362220268035</v>
      </c>
    </row>
    <row r="5878" customFormat="false" ht="15" hidden="false" customHeight="false" outlineLevel="0" collapsed="false">
      <c r="A5878" s="57" t="n">
        <v>42918</v>
      </c>
      <c r="B5878" s="56" t="n">
        <v>2017</v>
      </c>
      <c r="C5878" s="56" t="n">
        <v>7</v>
      </c>
      <c r="D5878" s="56" t="n">
        <v>63</v>
      </c>
      <c r="E5878" s="56" t="n">
        <v>25.1</v>
      </c>
      <c r="F5878" s="56" t="n">
        <v>0</v>
      </c>
      <c r="G5878" s="56" t="n">
        <v>14.4</v>
      </c>
      <c r="H5878" s="56" t="n">
        <v>0</v>
      </c>
      <c r="I5878" s="56" t="n">
        <v>19</v>
      </c>
      <c r="J5878" s="56" t="n">
        <v>0</v>
      </c>
      <c r="K5878" s="56" t="n">
        <v>1020.7</v>
      </c>
      <c r="L5878" s="56" t="n">
        <v>0</v>
      </c>
      <c r="M5878" s="56" t="n">
        <v>57</v>
      </c>
      <c r="N5878" s="56" t="n">
        <v>12.6</v>
      </c>
      <c r="O5878" s="56" t="n">
        <f aca="false">IF(D5878=1,"",E5877)</f>
        <v>23.6</v>
      </c>
      <c r="P5878" s="56" t="n">
        <f aca="false">IF(OR(D5878=1,K5877=""),"",K5877)</f>
        <v>1015.7</v>
      </c>
      <c r="Q5878" s="56" t="n">
        <f aca="false">IF(OR(F5878&lt;&gt;0,AND(I5878&lt;&gt;"",E5878&lt;I5878)),1,0)</f>
        <v>0</v>
      </c>
      <c r="R5878" s="56" t="n">
        <f aca="false">IF(AND(D5878&gt;1,Q5878=0,ISNUMBER(O5878),ISNUMBER(P5878)),IF(Q5877=0,1,0),0)</f>
        <v>1</v>
      </c>
      <c r="S5878" s="56" t="n">
        <f aca="false">R5878*(B5878&gt;=Train_Start)*(B5878&lt;=Train_End)</f>
        <v>0</v>
      </c>
      <c r="T5878" s="84" t="n">
        <f aca="false">IF(AND(ISNUMBER(O5878),ISNUMBER(P5878)),Coef_A+Coef_B1*O5878+Coef_B2*P5878,"")</f>
        <v>23.2857823575454</v>
      </c>
      <c r="U5878" s="84" t="n">
        <f aca="false">IF(AND(R5878=1,ISNUMBER(T5878)),E5878-T5878,"")</f>
        <v>1.81421764245455</v>
      </c>
      <c r="V5878" s="84" t="n">
        <f aca="false">IF(ISNUMBER(T5878),T5878,-99)</f>
        <v>23.2857823575454</v>
      </c>
      <c r="W5878" s="84" t="n">
        <f aca="false">IF(ISNUMBER(U5878),ABS(U5878),"")</f>
        <v>1.81421764245455</v>
      </c>
    </row>
    <row r="5879" customFormat="false" ht="15" hidden="false" customHeight="false" outlineLevel="0" collapsed="false">
      <c r="A5879" s="57" t="n">
        <v>42919</v>
      </c>
      <c r="B5879" s="56" t="n">
        <v>2017</v>
      </c>
      <c r="C5879" s="56" t="n">
        <v>7</v>
      </c>
      <c r="D5879" s="56" t="n">
        <v>64</v>
      </c>
      <c r="E5879" s="56" t="n">
        <v>24.6</v>
      </c>
      <c r="F5879" s="56" t="n">
        <v>0</v>
      </c>
      <c r="G5879" s="56" t="n">
        <v>14.7</v>
      </c>
      <c r="H5879" s="56" t="n">
        <v>0</v>
      </c>
      <c r="I5879" s="56" t="n">
        <v>19.9</v>
      </c>
      <c r="J5879" s="56" t="n">
        <v>0</v>
      </c>
      <c r="K5879" s="56" t="n">
        <v>1020.5</v>
      </c>
      <c r="L5879" s="56" t="n">
        <v>0</v>
      </c>
      <c r="M5879" s="56" t="n">
        <v>64</v>
      </c>
      <c r="N5879" s="56" t="n">
        <v>4.8</v>
      </c>
      <c r="O5879" s="56" t="n">
        <f aca="false">IF(D5879=1,"",E5878)</f>
        <v>25.1</v>
      </c>
      <c r="P5879" s="56" t="n">
        <f aca="false">IF(OR(D5879=1,K5878=""),"",K5878)</f>
        <v>1020.7</v>
      </c>
      <c r="Q5879" s="56" t="n">
        <f aca="false">IF(OR(F5879&lt;&gt;0,AND(I5879&lt;&gt;"",E5879&lt;I5879)),1,0)</f>
        <v>0</v>
      </c>
      <c r="R5879" s="56" t="n">
        <f aca="false">IF(AND(D5879&gt;1,Q5879=0,ISNUMBER(O5879),ISNUMBER(P5879)),IF(Q5878=0,1,0),0)</f>
        <v>1</v>
      </c>
      <c r="S5879" s="56" t="n">
        <f aca="false">R5879*(B5879&gt;=Train_Start)*(B5879&lt;=Train_End)</f>
        <v>0</v>
      </c>
      <c r="T5879" s="84" t="n">
        <f aca="false">IF(AND(ISNUMBER(O5879),ISNUMBER(P5879)),Coef_A+Coef_B1*O5879+Coef_B2*P5879,"")</f>
        <v>24.6716406202794</v>
      </c>
      <c r="U5879" s="84" t="n">
        <f aca="false">IF(AND(R5879=1,ISNUMBER(T5879)),E5879-T5879,"")</f>
        <v>-0.0716406202793785</v>
      </c>
      <c r="V5879" s="84" t="n">
        <f aca="false">IF(ISNUMBER(T5879),T5879,-99)</f>
        <v>24.6716406202794</v>
      </c>
      <c r="W5879" s="84" t="n">
        <f aca="false">IF(ISNUMBER(U5879),ABS(U5879),"")</f>
        <v>0.0716406202793785</v>
      </c>
    </row>
    <row r="5880" customFormat="false" ht="15" hidden="false" customHeight="false" outlineLevel="0" collapsed="false">
      <c r="A5880" s="57" t="n">
        <v>42920</v>
      </c>
      <c r="B5880" s="56" t="n">
        <v>2017</v>
      </c>
      <c r="C5880" s="56" t="n">
        <v>7</v>
      </c>
      <c r="D5880" s="56" t="n">
        <v>65</v>
      </c>
      <c r="E5880" s="56" t="n">
        <v>29.5</v>
      </c>
      <c r="F5880" s="56" t="n">
        <v>0</v>
      </c>
      <c r="G5880" s="56" t="n">
        <v>13.4</v>
      </c>
      <c r="H5880" s="56" t="n">
        <v>0</v>
      </c>
      <c r="I5880" s="56" t="n">
        <v>19</v>
      </c>
      <c r="J5880" s="56" t="n">
        <v>0</v>
      </c>
      <c r="K5880" s="56" t="n">
        <v>1019.9</v>
      </c>
      <c r="L5880" s="56" t="n">
        <v>0</v>
      </c>
      <c r="M5880" s="56" t="n">
        <v>65</v>
      </c>
      <c r="N5880" s="56" t="n">
        <v>9.1</v>
      </c>
      <c r="O5880" s="56" t="n">
        <f aca="false">IF(D5880=1,"",E5879)</f>
        <v>24.6</v>
      </c>
      <c r="P5880" s="56" t="n">
        <f aca="false">IF(OR(D5880=1,K5879=""),"",K5879)</f>
        <v>1020.5</v>
      </c>
      <c r="Q5880" s="56" t="n">
        <f aca="false">IF(OR(F5880&lt;&gt;0,AND(I5880&lt;&gt;"",E5880&lt;I5880)),1,0)</f>
        <v>0</v>
      </c>
      <c r="R5880" s="56" t="n">
        <f aca="false">IF(AND(D5880&gt;1,Q5880=0,ISNUMBER(O5880),ISNUMBER(P5880)),IF(Q5879=0,1,0),0)</f>
        <v>1</v>
      </c>
      <c r="S5880" s="56" t="n">
        <f aca="false">R5880*(B5880&gt;=Train_Start)*(B5880&lt;=Train_End)</f>
        <v>0</v>
      </c>
      <c r="T5880" s="84" t="n">
        <f aca="false">IF(AND(ISNUMBER(O5880),ISNUMBER(P5880)),Coef_A+Coef_B1*O5880+Coef_B2*P5880,"")</f>
        <v>24.2556970448313</v>
      </c>
      <c r="U5880" s="84" t="n">
        <f aca="false">IF(AND(R5880=1,ISNUMBER(T5880)),E5880-T5880,"")</f>
        <v>5.24430295516875</v>
      </c>
      <c r="V5880" s="84" t="n">
        <f aca="false">IF(ISNUMBER(T5880),T5880,-99)</f>
        <v>24.2556970448313</v>
      </c>
      <c r="W5880" s="84" t="n">
        <f aca="false">IF(ISNUMBER(U5880),ABS(U5880),"")</f>
        <v>5.24430295516875</v>
      </c>
    </row>
    <row r="5881" customFormat="false" ht="15" hidden="false" customHeight="false" outlineLevel="0" collapsed="false">
      <c r="A5881" s="57" t="n">
        <v>42921</v>
      </c>
      <c r="B5881" s="56" t="n">
        <v>2017</v>
      </c>
      <c r="C5881" s="56" t="n">
        <v>7</v>
      </c>
      <c r="D5881" s="56" t="n">
        <v>66</v>
      </c>
      <c r="E5881" s="56" t="n">
        <v>32.2</v>
      </c>
      <c r="F5881" s="56" t="n">
        <v>0</v>
      </c>
      <c r="G5881" s="56" t="n">
        <v>14.5</v>
      </c>
      <c r="H5881" s="56" t="n">
        <v>0</v>
      </c>
      <c r="I5881" s="56" t="n">
        <v>22</v>
      </c>
      <c r="J5881" s="56" t="n">
        <v>0</v>
      </c>
      <c r="K5881" s="56" t="n">
        <v>1018.2</v>
      </c>
      <c r="L5881" s="56" t="n">
        <v>0</v>
      </c>
      <c r="M5881" s="56" t="n">
        <v>56</v>
      </c>
      <c r="N5881" s="56" t="n">
        <v>13.9</v>
      </c>
      <c r="O5881" s="56" t="n">
        <f aca="false">IF(D5881=1,"",E5880)</f>
        <v>29.5</v>
      </c>
      <c r="P5881" s="56" t="n">
        <f aca="false">IF(OR(D5881=1,K5880=""),"",K5880)</f>
        <v>1019.9</v>
      </c>
      <c r="Q5881" s="56" t="n">
        <f aca="false">IF(OR(F5881&lt;&gt;0,AND(I5881&lt;&gt;"",E5881&lt;I5881)),1,0)</f>
        <v>0</v>
      </c>
      <c r="R5881" s="56" t="n">
        <f aca="false">IF(AND(D5881&gt;1,Q5881=0,ISNUMBER(O5881),ISNUMBER(P5881)),IF(Q5880=0,1,0),0)</f>
        <v>1</v>
      </c>
      <c r="S5881" s="56" t="n">
        <f aca="false">R5881*(B5881&gt;=Train_Start)*(B5881&lt;=Train_End)</f>
        <v>0</v>
      </c>
      <c r="T5881" s="84" t="n">
        <f aca="false">IF(AND(ISNUMBER(O5881),ISNUMBER(P5881)),Coef_A+Coef_B1*O5881+Coef_B2*P5881,"")</f>
        <v>28.2516371539599</v>
      </c>
      <c r="U5881" s="84" t="n">
        <f aca="false">IF(AND(R5881=1,ISNUMBER(T5881)),E5881-T5881,"")</f>
        <v>3.94836284604013</v>
      </c>
      <c r="V5881" s="84" t="n">
        <f aca="false">IF(ISNUMBER(T5881),T5881,-99)</f>
        <v>28.2516371539599</v>
      </c>
      <c r="W5881" s="84" t="n">
        <f aca="false">IF(ISNUMBER(U5881),ABS(U5881),"")</f>
        <v>3.94836284604013</v>
      </c>
    </row>
    <row r="5882" customFormat="false" ht="15" hidden="false" customHeight="false" outlineLevel="0" collapsed="false">
      <c r="A5882" s="57" t="n">
        <v>42922</v>
      </c>
      <c r="B5882" s="56" t="n">
        <v>2017</v>
      </c>
      <c r="C5882" s="56" t="n">
        <v>7</v>
      </c>
      <c r="D5882" s="56" t="n">
        <v>67</v>
      </c>
      <c r="E5882" s="56" t="n">
        <v>30.1</v>
      </c>
      <c r="F5882" s="56" t="n">
        <v>0</v>
      </c>
      <c r="G5882" s="56" t="n">
        <v>18.5</v>
      </c>
      <c r="H5882" s="56" t="n">
        <v>0</v>
      </c>
      <c r="I5882" s="56" t="n">
        <v>25.4</v>
      </c>
      <c r="J5882" s="56" t="n">
        <v>0</v>
      </c>
      <c r="K5882" s="56" t="n">
        <v>1014.1</v>
      </c>
      <c r="L5882" s="56" t="n">
        <v>0</v>
      </c>
      <c r="M5882" s="56" t="n">
        <v>53</v>
      </c>
      <c r="N5882" s="56" t="n">
        <v>10.3</v>
      </c>
      <c r="O5882" s="56" t="n">
        <f aca="false">IF(D5882=1,"",E5881)</f>
        <v>32.2</v>
      </c>
      <c r="P5882" s="56" t="n">
        <f aca="false">IF(OR(D5882=1,K5881=""),"",K5881)</f>
        <v>1018.2</v>
      </c>
      <c r="Q5882" s="56" t="n">
        <f aca="false">IF(OR(F5882&lt;&gt;0,AND(I5882&lt;&gt;"",E5882&lt;I5882)),1,0)</f>
        <v>0</v>
      </c>
      <c r="R5882" s="56" t="n">
        <f aca="false">IF(AND(D5882&gt;1,Q5882=0,ISNUMBER(O5882),ISNUMBER(P5882)),IF(Q5881=0,1,0),0)</f>
        <v>1</v>
      </c>
      <c r="S5882" s="56" t="n">
        <f aca="false">R5882*(B5882&gt;=Train_Start)*(B5882&lt;=Train_End)</f>
        <v>0</v>
      </c>
      <c r="T5882" s="84" t="n">
        <f aca="false">IF(AND(ISNUMBER(O5882),ISNUMBER(P5882)),Coef_A+Coef_B1*O5882+Coef_B2*P5882,"")</f>
        <v>30.4105241542973</v>
      </c>
      <c r="U5882" s="84" t="n">
        <f aca="false">IF(AND(R5882=1,ISNUMBER(T5882)),E5882-T5882,"")</f>
        <v>-0.310524154297276</v>
      </c>
      <c r="V5882" s="84" t="n">
        <f aca="false">IF(ISNUMBER(T5882),T5882,-99)</f>
        <v>30.4105241542973</v>
      </c>
      <c r="W5882" s="84" t="n">
        <f aca="false">IF(ISNUMBER(U5882),ABS(U5882),"")</f>
        <v>0.310524154297276</v>
      </c>
    </row>
    <row r="5883" customFormat="false" ht="15" hidden="false" customHeight="false" outlineLevel="0" collapsed="false">
      <c r="A5883" s="57" t="n">
        <v>42923</v>
      </c>
      <c r="B5883" s="56" t="n">
        <v>2017</v>
      </c>
      <c r="C5883" s="56" t="n">
        <v>7</v>
      </c>
      <c r="D5883" s="56" t="n">
        <v>68</v>
      </c>
      <c r="E5883" s="56" t="n">
        <v>26.7</v>
      </c>
      <c r="F5883" s="56" t="n">
        <v>0</v>
      </c>
      <c r="G5883" s="56" t="n">
        <v>17</v>
      </c>
      <c r="H5883" s="56" t="n">
        <v>0</v>
      </c>
      <c r="I5883" s="56" t="n">
        <v>23.6</v>
      </c>
      <c r="J5883" s="56" t="n">
        <v>0</v>
      </c>
      <c r="K5883" s="56" t="n">
        <v>1015.9</v>
      </c>
      <c r="L5883" s="56" t="n">
        <v>0</v>
      </c>
      <c r="M5883" s="56" t="n">
        <v>56</v>
      </c>
      <c r="N5883" s="56" t="n">
        <v>12</v>
      </c>
      <c r="O5883" s="56" t="n">
        <f aca="false">IF(D5883=1,"",E5882)</f>
        <v>30.1</v>
      </c>
      <c r="P5883" s="56" t="n">
        <f aca="false">IF(OR(D5883=1,K5882=""),"",K5882)</f>
        <v>1014.1</v>
      </c>
      <c r="Q5883" s="56" t="n">
        <f aca="false">IF(OR(F5883&lt;&gt;0,AND(I5883&lt;&gt;"",E5883&lt;I5883)),1,0)</f>
        <v>0</v>
      </c>
      <c r="R5883" s="56" t="n">
        <f aca="false">IF(AND(D5883&gt;1,Q5883=0,ISNUMBER(O5883),ISNUMBER(P5883)),IF(Q5882=0,1,0),0)</f>
        <v>1</v>
      </c>
      <c r="S5883" s="56" t="n">
        <f aca="false">R5883*(B5883&gt;=Train_Start)*(B5883&lt;=Train_End)</f>
        <v>0</v>
      </c>
      <c r="T5883" s="84" t="n">
        <f aca="false">IF(AND(ISNUMBER(O5883),ISNUMBER(P5883)),Coef_A+Coef_B1*O5883+Coef_B2*P5883,"")</f>
        <v>28.5612952809083</v>
      </c>
      <c r="U5883" s="84" t="n">
        <f aca="false">IF(AND(R5883=1,ISNUMBER(T5883)),E5883-T5883,"")</f>
        <v>-1.86129528090834</v>
      </c>
      <c r="V5883" s="84" t="n">
        <f aca="false">IF(ISNUMBER(T5883),T5883,-99)</f>
        <v>28.5612952809083</v>
      </c>
      <c r="W5883" s="84" t="n">
        <f aca="false">IF(ISNUMBER(U5883),ABS(U5883),"")</f>
        <v>1.86129528090834</v>
      </c>
    </row>
    <row r="5884" customFormat="false" ht="15" hidden="false" customHeight="false" outlineLevel="0" collapsed="false">
      <c r="A5884" s="57" t="n">
        <v>42924</v>
      </c>
      <c r="B5884" s="56" t="n">
        <v>2017</v>
      </c>
      <c r="C5884" s="56" t="n">
        <v>7</v>
      </c>
      <c r="D5884" s="56" t="n">
        <v>69</v>
      </c>
      <c r="E5884" s="56" t="n">
        <v>28.4</v>
      </c>
      <c r="F5884" s="56" t="n">
        <v>0</v>
      </c>
      <c r="G5884" s="56" t="n">
        <v>17.7</v>
      </c>
      <c r="H5884" s="56" t="n">
        <v>0</v>
      </c>
      <c r="I5884" s="56" t="n">
        <v>22.2</v>
      </c>
      <c r="J5884" s="56" t="n">
        <v>0</v>
      </c>
      <c r="K5884" s="56" t="n">
        <v>1018.1</v>
      </c>
      <c r="L5884" s="56" t="n">
        <v>0</v>
      </c>
      <c r="M5884" s="56" t="n">
        <v>57</v>
      </c>
      <c r="N5884" s="56" t="n">
        <v>7.6</v>
      </c>
      <c r="O5884" s="56" t="n">
        <f aca="false">IF(D5884=1,"",E5883)</f>
        <v>26.7</v>
      </c>
      <c r="P5884" s="56" t="n">
        <f aca="false">IF(OR(D5884=1,K5883=""),"",K5883)</f>
        <v>1015.9</v>
      </c>
      <c r="Q5884" s="56" t="n">
        <f aca="false">IF(OR(F5884&lt;&gt;0,AND(I5884&lt;&gt;"",E5884&lt;I5884)),1,0)</f>
        <v>0</v>
      </c>
      <c r="R5884" s="56" t="n">
        <f aca="false">IF(AND(D5884&gt;1,Q5884=0,ISNUMBER(O5884),ISNUMBER(P5884)),IF(Q5883=0,1,0),0)</f>
        <v>1</v>
      </c>
      <c r="S5884" s="56" t="n">
        <f aca="false">R5884*(B5884&gt;=Train_Start)*(B5884&lt;=Train_End)</f>
        <v>0</v>
      </c>
      <c r="T5884" s="84" t="n">
        <f aca="false">IF(AND(ISNUMBER(O5884),ISNUMBER(P5884)),Coef_A+Coef_B1*O5884+Coef_B2*P5884,"")</f>
        <v>25.8320078349045</v>
      </c>
      <c r="U5884" s="84" t="n">
        <f aca="false">IF(AND(R5884=1,ISNUMBER(T5884)),E5884-T5884,"")</f>
        <v>2.56799216509552</v>
      </c>
      <c r="V5884" s="84" t="n">
        <f aca="false">IF(ISNUMBER(T5884),T5884,-99)</f>
        <v>25.8320078349045</v>
      </c>
      <c r="W5884" s="84" t="n">
        <f aca="false">IF(ISNUMBER(U5884),ABS(U5884),"")</f>
        <v>2.56799216509552</v>
      </c>
    </row>
    <row r="5885" customFormat="false" ht="15" hidden="false" customHeight="false" outlineLevel="0" collapsed="false">
      <c r="A5885" s="57" t="n">
        <v>42925</v>
      </c>
      <c r="B5885" s="56" t="n">
        <v>2017</v>
      </c>
      <c r="C5885" s="56" t="n">
        <v>7</v>
      </c>
      <c r="D5885" s="56" t="n">
        <v>70</v>
      </c>
      <c r="E5885" s="56" t="n">
        <v>26.4</v>
      </c>
      <c r="F5885" s="56" t="n">
        <v>0</v>
      </c>
      <c r="G5885" s="56" t="n">
        <v>17.7</v>
      </c>
      <c r="H5885" s="56" t="n">
        <v>0</v>
      </c>
      <c r="I5885" s="56" t="n">
        <v>23.1</v>
      </c>
      <c r="J5885" s="56" t="n">
        <v>0</v>
      </c>
      <c r="K5885" s="56" t="n">
        <v>1012.7</v>
      </c>
      <c r="L5885" s="56" t="n">
        <v>0</v>
      </c>
      <c r="M5885" s="56" t="n">
        <v>60</v>
      </c>
      <c r="N5885" s="56" t="n">
        <v>7</v>
      </c>
      <c r="O5885" s="56" t="n">
        <f aca="false">IF(D5885=1,"",E5884)</f>
        <v>28.4</v>
      </c>
      <c r="P5885" s="56" t="n">
        <f aca="false">IF(OR(D5885=1,K5884=""),"",K5884)</f>
        <v>1018.1</v>
      </c>
      <c r="Q5885" s="56" t="n">
        <f aca="false">IF(OR(F5885&lt;&gt;0,AND(I5885&lt;&gt;"",E5885&lt;I5885)),1,0)</f>
        <v>0</v>
      </c>
      <c r="R5885" s="56" t="n">
        <f aca="false">IF(AND(D5885&gt;1,Q5885=0,ISNUMBER(O5885),ISNUMBER(P5885)),IF(Q5884=0,1,0),0)</f>
        <v>1</v>
      </c>
      <c r="S5885" s="56" t="n">
        <f aca="false">R5885*(B5885&gt;=Train_Start)*(B5885&lt;=Train_End)</f>
        <v>0</v>
      </c>
      <c r="T5885" s="84" t="n">
        <f aca="false">IF(AND(ISNUMBER(O5885),ISNUMBER(P5885)),Coef_A+Coef_B1*O5885+Coef_B2*P5885,"")</f>
        <v>27.2938982312718</v>
      </c>
      <c r="U5885" s="84" t="n">
        <f aca="false">IF(AND(R5885=1,ISNUMBER(T5885)),E5885-T5885,"")</f>
        <v>-0.893898231271777</v>
      </c>
      <c r="V5885" s="84" t="n">
        <f aca="false">IF(ISNUMBER(T5885),T5885,-99)</f>
        <v>27.2938982312718</v>
      </c>
      <c r="W5885" s="84" t="n">
        <f aca="false">IF(ISNUMBER(U5885),ABS(U5885),"")</f>
        <v>0.893898231271777</v>
      </c>
    </row>
    <row r="5886" customFormat="false" ht="15" hidden="false" customHeight="false" outlineLevel="0" collapsed="false">
      <c r="A5886" s="57" t="n">
        <v>42926</v>
      </c>
      <c r="B5886" s="56" t="n">
        <v>2017</v>
      </c>
      <c r="C5886" s="56" t="n">
        <v>7</v>
      </c>
      <c r="D5886" s="56" t="n">
        <v>71</v>
      </c>
      <c r="E5886" s="56" t="n">
        <v>19.6</v>
      </c>
      <c r="F5886" s="56" t="n">
        <v>1</v>
      </c>
      <c r="G5886" s="56" t="n">
        <v>15.9</v>
      </c>
      <c r="H5886" s="56" t="n">
        <v>0</v>
      </c>
      <c r="I5886" s="56" t="n">
        <v>21.1</v>
      </c>
      <c r="J5886" s="56" t="n">
        <v>1</v>
      </c>
      <c r="K5886" s="56" t="n">
        <v>1008.5</v>
      </c>
      <c r="L5886" s="56" t="n">
        <v>0</v>
      </c>
      <c r="M5886" s="56" t="n">
        <v>61</v>
      </c>
      <c r="N5886" s="56" t="n">
        <v>10.4</v>
      </c>
      <c r="O5886" s="56" t="n">
        <f aca="false">IF(D5886=1,"",E5885)</f>
        <v>26.4</v>
      </c>
      <c r="P5886" s="56" t="n">
        <f aca="false">IF(OR(D5886=1,K5885=""),"",K5885)</f>
        <v>1012.7</v>
      </c>
      <c r="Q5886" s="56" t="n">
        <f aca="false">IF(OR(F5886&lt;&gt;0,AND(I5886&lt;&gt;"",E5886&lt;I5886)),1,0)</f>
        <v>1</v>
      </c>
      <c r="R5886" s="56" t="n">
        <f aca="false">IF(AND(D5886&gt;1,Q5886=0,ISNUMBER(O5886),ISNUMBER(P5886)),IF(Q5885=0,1,0),0)</f>
        <v>0</v>
      </c>
      <c r="S5886" s="56" t="n">
        <f aca="false">R5886*(B5886&gt;=Train_Start)*(B5886&lt;=Train_End)</f>
        <v>0</v>
      </c>
      <c r="T5886" s="84" t="n">
        <f aca="false">IF(AND(ISNUMBER(O5886),ISNUMBER(P5886)),Coef_A+Coef_B1*O5886+Coef_B2*P5886,"")</f>
        <v>25.4858224141629</v>
      </c>
      <c r="U5886" s="84" t="str">
        <f aca="false">IF(AND(R5886=1,ISNUMBER(T5886)),E5886-T5886,"")</f>
        <v/>
      </c>
      <c r="V5886" s="84" t="n">
        <f aca="false">IF(ISNUMBER(T5886),T5886,-99)</f>
        <v>25.4858224141629</v>
      </c>
      <c r="W5886" s="84" t="str">
        <f aca="false">IF(ISNUMBER(U5886),ABS(U5886),"")</f>
        <v/>
      </c>
    </row>
    <row r="5887" customFormat="false" ht="15" hidden="false" customHeight="false" outlineLevel="0" collapsed="false">
      <c r="A5887" s="57" t="n">
        <v>42927</v>
      </c>
      <c r="B5887" s="56" t="n">
        <v>2017</v>
      </c>
      <c r="C5887" s="56" t="n">
        <v>7</v>
      </c>
      <c r="D5887" s="56" t="n">
        <v>72</v>
      </c>
      <c r="E5887" s="56" t="n">
        <v>22.4</v>
      </c>
      <c r="F5887" s="56" t="n">
        <v>0</v>
      </c>
      <c r="G5887" s="56" t="n">
        <v>14.7</v>
      </c>
      <c r="H5887" s="56" t="n">
        <v>0</v>
      </c>
      <c r="I5887" s="56" t="n">
        <v>17.1</v>
      </c>
      <c r="J5887" s="56" t="n">
        <v>0</v>
      </c>
      <c r="K5887" s="56" t="n">
        <v>1009.2</v>
      </c>
      <c r="L5887" s="56" t="n">
        <v>0</v>
      </c>
      <c r="M5887" s="56" t="n">
        <v>82</v>
      </c>
      <c r="N5887" s="56" t="n">
        <v>0</v>
      </c>
      <c r="O5887" s="56" t="n">
        <f aca="false">IF(D5887=1,"",E5886)</f>
        <v>19.6</v>
      </c>
      <c r="P5887" s="56" t="n">
        <f aca="false">IF(OR(D5887=1,K5886=""),"",K5886)</f>
        <v>1008.5</v>
      </c>
      <c r="Q5887" s="56" t="n">
        <f aca="false">IF(OR(F5887&lt;&gt;0,AND(I5887&lt;&gt;"",E5887&lt;I5887)),1,0)</f>
        <v>0</v>
      </c>
      <c r="R5887" s="56" t="n">
        <f aca="false">IF(AND(D5887&gt;1,Q5887=0,ISNUMBER(O5887),ISNUMBER(P5887)),IF(Q5886=0,1,0),0)</f>
        <v>0</v>
      </c>
      <c r="S5887" s="56" t="n">
        <f aca="false">R5887*(B5887&gt;=Train_Start)*(B5887&lt;=Train_End)</f>
        <v>0</v>
      </c>
      <c r="T5887" s="84" t="n">
        <f aca="false">IF(AND(ISNUMBER(O5887),ISNUMBER(P5887)),Coef_A+Coef_B1*O5887+Coef_B2*P5887,"")</f>
        <v>19.7825623440101</v>
      </c>
      <c r="U5887" s="84" t="str">
        <f aca="false">IF(AND(R5887=1,ISNUMBER(T5887)),E5887-T5887,"")</f>
        <v/>
      </c>
      <c r="V5887" s="84" t="n">
        <f aca="false">IF(ISNUMBER(T5887),T5887,-99)</f>
        <v>19.7825623440101</v>
      </c>
      <c r="W5887" s="84" t="str">
        <f aca="false">IF(ISNUMBER(U5887),ABS(U5887),"")</f>
        <v/>
      </c>
    </row>
    <row r="5888" customFormat="false" ht="15" hidden="false" customHeight="false" outlineLevel="0" collapsed="false">
      <c r="A5888" s="57" t="n">
        <v>42928</v>
      </c>
      <c r="B5888" s="56" t="n">
        <v>2017</v>
      </c>
      <c r="C5888" s="56" t="n">
        <v>7</v>
      </c>
      <c r="D5888" s="56" t="n">
        <v>73</v>
      </c>
      <c r="E5888" s="56" t="n">
        <v>23.2</v>
      </c>
      <c r="F5888" s="56" t="n">
        <v>0</v>
      </c>
      <c r="G5888" s="56" t="n">
        <v>14.2</v>
      </c>
      <c r="H5888" s="56" t="n">
        <v>0</v>
      </c>
      <c r="I5888" s="56" t="n">
        <v>18.3</v>
      </c>
      <c r="J5888" s="56" t="n">
        <v>0</v>
      </c>
      <c r="K5888" s="56" t="n">
        <v>1015</v>
      </c>
      <c r="L5888" s="56" t="n">
        <v>0</v>
      </c>
      <c r="M5888" s="56" t="n">
        <v>70</v>
      </c>
      <c r="N5888" s="56" t="n">
        <v>5.3</v>
      </c>
      <c r="O5888" s="56" t="n">
        <f aca="false">IF(D5888=1,"",E5887)</f>
        <v>22.4</v>
      </c>
      <c r="P5888" s="56" t="n">
        <f aca="false">IF(OR(D5888=1,K5887=""),"",K5887)</f>
        <v>1009.2</v>
      </c>
      <c r="Q5888" s="56" t="n">
        <f aca="false">IF(OR(F5888&lt;&gt;0,AND(I5888&lt;&gt;"",E5888&lt;I5888)),1,0)</f>
        <v>0</v>
      </c>
      <c r="R5888" s="56" t="n">
        <f aca="false">IF(AND(D5888&gt;1,Q5888=0,ISNUMBER(O5888),ISNUMBER(P5888)),IF(Q5887=0,1,0),0)</f>
        <v>1</v>
      </c>
      <c r="S5888" s="56" t="n">
        <f aca="false">R5888*(B5888&gt;=Train_Start)*(B5888&lt;=Train_End)</f>
        <v>0</v>
      </c>
      <c r="T5888" s="84" t="n">
        <f aca="false">IF(AND(ISNUMBER(O5888),ISNUMBER(P5888)),Coef_A+Coef_B1*O5888+Coef_B2*P5888,"")</f>
        <v>22.0986710107733</v>
      </c>
      <c r="U5888" s="84" t="n">
        <f aca="false">IF(AND(R5888=1,ISNUMBER(T5888)),E5888-T5888,"")</f>
        <v>1.10132898922668</v>
      </c>
      <c r="V5888" s="84" t="n">
        <f aca="false">IF(ISNUMBER(T5888),T5888,-99)</f>
        <v>22.0986710107733</v>
      </c>
      <c r="W5888" s="84" t="n">
        <f aca="false">IF(ISNUMBER(U5888),ABS(U5888),"")</f>
        <v>1.10132898922668</v>
      </c>
    </row>
    <row r="5889" customFormat="false" ht="15" hidden="false" customHeight="false" outlineLevel="0" collapsed="false">
      <c r="A5889" s="57" t="n">
        <v>42929</v>
      </c>
      <c r="B5889" s="56" t="n">
        <v>2017</v>
      </c>
      <c r="C5889" s="56" t="n">
        <v>7</v>
      </c>
      <c r="D5889" s="56" t="n">
        <v>74</v>
      </c>
      <c r="E5889" s="56" t="n">
        <v>21.8</v>
      </c>
      <c r="F5889" s="56" t="n">
        <v>0</v>
      </c>
      <c r="G5889" s="56" t="n">
        <v>13.4</v>
      </c>
      <c r="H5889" s="56" t="n">
        <v>0</v>
      </c>
      <c r="I5889" s="56" t="n">
        <v>18.3</v>
      </c>
      <c r="J5889" s="56" t="n">
        <v>0</v>
      </c>
      <c r="K5889" s="56" t="n">
        <v>1021.6</v>
      </c>
      <c r="L5889" s="56" t="n">
        <v>0</v>
      </c>
      <c r="M5889" s="56" t="n">
        <v>58</v>
      </c>
      <c r="N5889" s="56" t="n">
        <v>6.8</v>
      </c>
      <c r="O5889" s="56" t="n">
        <f aca="false">IF(D5889=1,"",E5888)</f>
        <v>23.2</v>
      </c>
      <c r="P5889" s="56" t="n">
        <f aca="false">IF(OR(D5889=1,K5888=""),"",K5888)</f>
        <v>1015</v>
      </c>
      <c r="Q5889" s="56" t="n">
        <f aca="false">IF(OR(F5889&lt;&gt;0,AND(I5889&lt;&gt;"",E5889&lt;I5889)),1,0)</f>
        <v>0</v>
      </c>
      <c r="R5889" s="56" t="n">
        <f aca="false">IF(AND(D5889&gt;1,Q5889=0,ISNUMBER(O5889),ISNUMBER(P5889)),IF(Q5888=0,1,0),0)</f>
        <v>1</v>
      </c>
      <c r="S5889" s="56" t="n">
        <f aca="false">R5889*(B5889&gt;=Train_Start)*(B5889&lt;=Train_End)</f>
        <v>0</v>
      </c>
      <c r="T5889" s="84" t="n">
        <f aca="false">IF(AND(ISNUMBER(O5889),ISNUMBER(P5889)),Coef_A+Coef_B1*O5889+Coef_B2*P5889,"")</f>
        <v>22.9360877540846</v>
      </c>
      <c r="U5889" s="84" t="n">
        <f aca="false">IF(AND(R5889=1,ISNUMBER(T5889)),E5889-T5889,"")</f>
        <v>-1.13608775408458</v>
      </c>
      <c r="V5889" s="84" t="n">
        <f aca="false">IF(ISNUMBER(T5889),T5889,-99)</f>
        <v>22.9360877540846</v>
      </c>
      <c r="W5889" s="84" t="n">
        <f aca="false">IF(ISNUMBER(U5889),ABS(U5889),"")</f>
        <v>1.13608775408458</v>
      </c>
    </row>
    <row r="5890" customFormat="false" ht="15" hidden="false" customHeight="false" outlineLevel="0" collapsed="false">
      <c r="A5890" s="57" t="n">
        <v>42930</v>
      </c>
      <c r="B5890" s="56" t="n">
        <v>2017</v>
      </c>
      <c r="C5890" s="56" t="n">
        <v>7</v>
      </c>
      <c r="D5890" s="56" t="n">
        <v>75</v>
      </c>
      <c r="E5890" s="56" t="n">
        <v>22.5</v>
      </c>
      <c r="F5890" s="56" t="n">
        <v>0</v>
      </c>
      <c r="G5890" s="56" t="n">
        <v>14.4</v>
      </c>
      <c r="H5890" s="56" t="n">
        <v>0</v>
      </c>
      <c r="I5890" s="56" t="n">
        <v>18.1</v>
      </c>
      <c r="J5890" s="56" t="n">
        <v>0</v>
      </c>
      <c r="K5890" s="56" t="n">
        <v>1019.9</v>
      </c>
      <c r="L5890" s="56" t="n">
        <v>0</v>
      </c>
      <c r="M5890" s="56" t="n">
        <v>62</v>
      </c>
      <c r="N5890" s="56" t="n">
        <v>4.3</v>
      </c>
      <c r="O5890" s="56" t="n">
        <f aca="false">IF(D5890=1,"",E5889)</f>
        <v>21.8</v>
      </c>
      <c r="P5890" s="56" t="n">
        <f aca="false">IF(OR(D5890=1,K5889=""),"",K5889)</f>
        <v>1021.6</v>
      </c>
      <c r="Q5890" s="56" t="n">
        <f aca="false">IF(OR(F5890&lt;&gt;0,AND(I5890&lt;&gt;"",E5890&lt;I5890)),1,0)</f>
        <v>0</v>
      </c>
      <c r="R5890" s="56" t="n">
        <f aca="false">IF(AND(D5890&gt;1,Q5890=0,ISNUMBER(O5890),ISNUMBER(P5890)),IF(Q5889=0,1,0),0)</f>
        <v>1</v>
      </c>
      <c r="S5890" s="56" t="n">
        <f aca="false">R5890*(B5890&gt;=Train_Start)*(B5890&lt;=Train_End)</f>
        <v>0</v>
      </c>
      <c r="T5890" s="84" t="n">
        <f aca="false">IF(AND(ISNUMBER(O5890),ISNUMBER(P5890)),Coef_A+Coef_B1*O5890+Coef_B2*P5890,"")</f>
        <v>21.9960541884092</v>
      </c>
      <c r="U5890" s="84" t="n">
        <f aca="false">IF(AND(R5890=1,ISNUMBER(T5890)),E5890-T5890,"")</f>
        <v>0.5039458115908</v>
      </c>
      <c r="V5890" s="84" t="n">
        <f aca="false">IF(ISNUMBER(T5890),T5890,-99)</f>
        <v>21.9960541884092</v>
      </c>
      <c r="W5890" s="84" t="n">
        <f aca="false">IF(ISNUMBER(U5890),ABS(U5890),"")</f>
        <v>0.5039458115908</v>
      </c>
    </row>
    <row r="5891" customFormat="false" ht="15" hidden="false" customHeight="false" outlineLevel="0" collapsed="false">
      <c r="A5891" s="57" t="n">
        <v>42931</v>
      </c>
      <c r="B5891" s="56" t="n">
        <v>2017</v>
      </c>
      <c r="C5891" s="56" t="n">
        <v>7</v>
      </c>
      <c r="D5891" s="56" t="n">
        <v>76</v>
      </c>
      <c r="E5891" s="56" t="n">
        <v>25.4</v>
      </c>
      <c r="F5891" s="56" t="n">
        <v>0</v>
      </c>
      <c r="G5891" s="56" t="n">
        <v>15.1</v>
      </c>
      <c r="H5891" s="56" t="n">
        <v>0</v>
      </c>
      <c r="I5891" s="56" t="n">
        <v>18.8</v>
      </c>
      <c r="J5891" s="56" t="n">
        <v>0</v>
      </c>
      <c r="K5891" s="56" t="n">
        <v>1021.9</v>
      </c>
      <c r="L5891" s="56" t="n">
        <v>0</v>
      </c>
      <c r="M5891" s="56" t="n">
        <v>77</v>
      </c>
      <c r="N5891" s="56" t="n">
        <v>0</v>
      </c>
      <c r="O5891" s="56" t="n">
        <f aca="false">IF(D5891=1,"",E5890)</f>
        <v>22.5</v>
      </c>
      <c r="P5891" s="56" t="n">
        <f aca="false">IF(OR(D5891=1,K5890=""),"",K5890)</f>
        <v>1019.9</v>
      </c>
      <c r="Q5891" s="56" t="n">
        <f aca="false">IF(OR(F5891&lt;&gt;0,AND(I5891&lt;&gt;"",E5891&lt;I5891)),1,0)</f>
        <v>0</v>
      </c>
      <c r="R5891" s="56" t="n">
        <f aca="false">IF(AND(D5891&gt;1,Q5891=0,ISNUMBER(O5891),ISNUMBER(P5891)),IF(Q5890=0,1,0),0)</f>
        <v>1</v>
      </c>
      <c r="S5891" s="56" t="n">
        <f aca="false">R5891*(B5891&gt;=Train_Start)*(B5891&lt;=Train_End)</f>
        <v>0</v>
      </c>
      <c r="T5891" s="84" t="n">
        <f aca="false">IF(AND(ISNUMBER(O5891),ISNUMBER(P5891)),Coef_A+Coef_B1*O5891+Coef_B2*P5891,"")</f>
        <v>22.5162628026613</v>
      </c>
      <c r="U5891" s="84" t="n">
        <f aca="false">IF(AND(R5891=1,ISNUMBER(T5891)),E5891-T5891,"")</f>
        <v>2.88373719733873</v>
      </c>
      <c r="V5891" s="84" t="n">
        <f aca="false">IF(ISNUMBER(T5891),T5891,-99)</f>
        <v>22.5162628026613</v>
      </c>
      <c r="W5891" s="84" t="n">
        <f aca="false">IF(ISNUMBER(U5891),ABS(U5891),"")</f>
        <v>2.88373719733873</v>
      </c>
    </row>
    <row r="5892" customFormat="false" ht="15" hidden="false" customHeight="false" outlineLevel="0" collapsed="false">
      <c r="A5892" s="57" t="n">
        <v>42932</v>
      </c>
      <c r="B5892" s="56" t="n">
        <v>2017</v>
      </c>
      <c r="C5892" s="56" t="n">
        <v>7</v>
      </c>
      <c r="D5892" s="56" t="n">
        <v>77</v>
      </c>
      <c r="E5892" s="56" t="n">
        <v>26.9</v>
      </c>
      <c r="F5892" s="56" t="n">
        <v>0</v>
      </c>
      <c r="G5892" s="56" t="n">
        <v>16.3</v>
      </c>
      <c r="H5892" s="56" t="n">
        <v>0</v>
      </c>
      <c r="I5892" s="56" t="n">
        <v>20.9</v>
      </c>
      <c r="J5892" s="56" t="n">
        <v>0</v>
      </c>
      <c r="K5892" s="56" t="n">
        <v>1022.6</v>
      </c>
      <c r="L5892" s="56" t="n">
        <v>0</v>
      </c>
      <c r="M5892" s="56" t="n">
        <v>75</v>
      </c>
      <c r="N5892" s="56" t="n">
        <v>1.4</v>
      </c>
      <c r="O5892" s="56" t="n">
        <f aca="false">IF(D5892=1,"",E5891)</f>
        <v>25.4</v>
      </c>
      <c r="P5892" s="56" t="n">
        <f aca="false">IF(OR(D5892=1,K5891=""),"",K5891)</f>
        <v>1021.9</v>
      </c>
      <c r="Q5892" s="56" t="n">
        <f aca="false">IF(OR(F5892&lt;&gt;0,AND(I5892&lt;&gt;"",E5892&lt;I5892)),1,0)</f>
        <v>0</v>
      </c>
      <c r="R5892" s="56" t="n">
        <f aca="false">IF(AND(D5892&gt;1,Q5892=0,ISNUMBER(O5892),ISNUMBER(P5892)),IF(Q5891=0,1,0),0)</f>
        <v>1</v>
      </c>
      <c r="S5892" s="56" t="n">
        <f aca="false">R5892*(B5892&gt;=Train_Start)*(B5892&lt;=Train_End)</f>
        <v>0</v>
      </c>
      <c r="T5892" s="84" t="n">
        <f aca="false">IF(AND(ISNUMBER(O5892),ISNUMBER(P5892)),Coef_A+Coef_B1*O5892+Coef_B2*P5892,"")</f>
        <v>24.955086251753</v>
      </c>
      <c r="U5892" s="84" t="n">
        <f aca="false">IF(AND(R5892=1,ISNUMBER(T5892)),E5892-T5892,"")</f>
        <v>1.94491374824704</v>
      </c>
      <c r="V5892" s="84" t="n">
        <f aca="false">IF(ISNUMBER(T5892),T5892,-99)</f>
        <v>24.955086251753</v>
      </c>
      <c r="W5892" s="84" t="n">
        <f aca="false">IF(ISNUMBER(U5892),ABS(U5892),"")</f>
        <v>1.94491374824704</v>
      </c>
    </row>
    <row r="5893" customFormat="false" ht="15" hidden="false" customHeight="false" outlineLevel="0" collapsed="false">
      <c r="A5893" s="57" t="n">
        <v>42933</v>
      </c>
      <c r="B5893" s="56" t="n">
        <v>2017</v>
      </c>
      <c r="C5893" s="56" t="n">
        <v>7</v>
      </c>
      <c r="D5893" s="56" t="n">
        <v>78</v>
      </c>
      <c r="E5893" s="56" t="n">
        <v>26.9</v>
      </c>
      <c r="F5893" s="56" t="n">
        <v>0</v>
      </c>
      <c r="G5893" s="56" t="n">
        <v>15.2</v>
      </c>
      <c r="H5893" s="56" t="n">
        <v>0</v>
      </c>
      <c r="I5893" s="56" t="n">
        <v>21.1</v>
      </c>
      <c r="J5893" s="56" t="n">
        <v>0</v>
      </c>
      <c r="K5893" s="56" t="n">
        <v>1023</v>
      </c>
      <c r="L5893" s="56" t="n">
        <v>0</v>
      </c>
      <c r="M5893" s="56" t="n">
        <v>50</v>
      </c>
      <c r="N5893" s="56" t="n">
        <v>11.2</v>
      </c>
      <c r="O5893" s="56" t="n">
        <f aca="false">IF(D5893=1,"",E5892)</f>
        <v>26.9</v>
      </c>
      <c r="P5893" s="56" t="n">
        <f aca="false">IF(OR(D5893=1,K5892=""),"",K5892)</f>
        <v>1022.6</v>
      </c>
      <c r="Q5893" s="56" t="n">
        <f aca="false">IF(OR(F5893&lt;&gt;0,AND(I5893&lt;&gt;"",E5893&lt;I5893)),1,0)</f>
        <v>0</v>
      </c>
      <c r="R5893" s="56" t="n">
        <f aca="false">IF(AND(D5893&gt;1,Q5893=0,ISNUMBER(O5893),ISNUMBER(P5893)),IF(Q5892=0,1,0),0)</f>
        <v>1</v>
      </c>
      <c r="S5893" s="56" t="n">
        <f aca="false">R5893*(B5893&gt;=Train_Start)*(B5893&lt;=Train_End)</f>
        <v>0</v>
      </c>
      <c r="T5893" s="84" t="n">
        <f aca="false">IF(AND(ISNUMBER(O5893),ISNUMBER(P5893)),Coef_A+Coef_B1*O5893+Coef_B2*P5893,"")</f>
        <v>26.2060539675607</v>
      </c>
      <c r="U5893" s="84" t="n">
        <f aca="false">IF(AND(R5893=1,ISNUMBER(T5893)),E5893-T5893,"")</f>
        <v>0.693946032439257</v>
      </c>
      <c r="V5893" s="84" t="n">
        <f aca="false">IF(ISNUMBER(T5893),T5893,-99)</f>
        <v>26.2060539675607</v>
      </c>
      <c r="W5893" s="84" t="n">
        <f aca="false">IF(ISNUMBER(U5893),ABS(U5893),"")</f>
        <v>0.693946032439257</v>
      </c>
    </row>
    <row r="5894" customFormat="false" ht="15" hidden="false" customHeight="false" outlineLevel="0" collapsed="false">
      <c r="A5894" s="57" t="n">
        <v>42934</v>
      </c>
      <c r="B5894" s="56" t="n">
        <v>2017</v>
      </c>
      <c r="C5894" s="56" t="n">
        <v>7</v>
      </c>
      <c r="D5894" s="56" t="n">
        <v>79</v>
      </c>
      <c r="E5894" s="56" t="n">
        <v>22.7</v>
      </c>
      <c r="F5894" s="56" t="n">
        <v>0</v>
      </c>
      <c r="G5894" s="56" t="n">
        <v>16.9</v>
      </c>
      <c r="H5894" s="56" t="n">
        <v>0</v>
      </c>
      <c r="I5894" s="56" t="n">
        <v>21.9</v>
      </c>
      <c r="J5894" s="56" t="n">
        <v>0</v>
      </c>
      <c r="K5894" s="56" t="n">
        <v>1016.2</v>
      </c>
      <c r="L5894" s="56" t="n">
        <v>0</v>
      </c>
      <c r="M5894" s="56" t="n">
        <v>61</v>
      </c>
      <c r="N5894" s="56" t="n">
        <v>7.3</v>
      </c>
      <c r="O5894" s="56" t="n">
        <f aca="false">IF(D5894=1,"",E5893)</f>
        <v>26.9</v>
      </c>
      <c r="P5894" s="56" t="n">
        <f aca="false">IF(OR(D5894=1,K5893=""),"",K5893)</f>
        <v>1023</v>
      </c>
      <c r="Q5894" s="56" t="n">
        <f aca="false">IF(OR(F5894&lt;&gt;0,AND(I5894&lt;&gt;"",E5894&lt;I5894)),1,0)</f>
        <v>0</v>
      </c>
      <c r="R5894" s="56" t="n">
        <f aca="false">IF(AND(D5894&gt;1,Q5894=0,ISNUMBER(O5894),ISNUMBER(P5894)),IF(Q5893=0,1,0),0)</f>
        <v>1</v>
      </c>
      <c r="S5894" s="56" t="n">
        <f aca="false">R5894*(B5894&gt;=Train_Start)*(B5894&lt;=Train_End)</f>
        <v>0</v>
      </c>
      <c r="T5894" s="84" t="n">
        <f aca="false">IF(AND(ISNUMBER(O5894),ISNUMBER(P5894)),Coef_A+Coef_B1*O5894+Coef_B2*P5894,"")</f>
        <v>26.2186019254143</v>
      </c>
      <c r="U5894" s="84" t="n">
        <f aca="false">IF(AND(R5894=1,ISNUMBER(T5894)),E5894-T5894,"")</f>
        <v>-3.51860192541433</v>
      </c>
      <c r="V5894" s="84" t="n">
        <f aca="false">IF(ISNUMBER(T5894),T5894,-99)</f>
        <v>26.2186019254143</v>
      </c>
      <c r="W5894" s="84" t="n">
        <f aca="false">IF(ISNUMBER(U5894),ABS(U5894),"")</f>
        <v>3.51860192541433</v>
      </c>
    </row>
    <row r="5895" customFormat="false" ht="15" hidden="false" customHeight="false" outlineLevel="0" collapsed="false">
      <c r="A5895" s="57" t="n">
        <v>42935</v>
      </c>
      <c r="B5895" s="56" t="n">
        <v>2017</v>
      </c>
      <c r="C5895" s="56" t="n">
        <v>7</v>
      </c>
      <c r="D5895" s="56" t="n">
        <v>80</v>
      </c>
      <c r="E5895" s="56" t="n">
        <v>21.6</v>
      </c>
      <c r="F5895" s="56" t="n">
        <v>0</v>
      </c>
      <c r="G5895" s="56" t="n">
        <v>18.1</v>
      </c>
      <c r="H5895" s="56" t="n">
        <v>0</v>
      </c>
      <c r="I5895" s="56" t="n">
        <v>20.4</v>
      </c>
      <c r="J5895" s="56" t="n">
        <v>0</v>
      </c>
      <c r="K5895" s="56" t="n">
        <v>1006.1</v>
      </c>
      <c r="L5895" s="56" t="n">
        <v>0</v>
      </c>
      <c r="M5895" s="56" t="n">
        <v>82</v>
      </c>
      <c r="N5895" s="56" t="n">
        <v>1.6</v>
      </c>
      <c r="O5895" s="56" t="n">
        <f aca="false">IF(D5895=1,"",E5894)</f>
        <v>22.7</v>
      </c>
      <c r="P5895" s="56" t="n">
        <f aca="false">IF(OR(D5895=1,K5894=""),"",K5894)</f>
        <v>1016.2</v>
      </c>
      <c r="Q5895" s="56" t="n">
        <f aca="false">IF(OR(F5895&lt;&gt;0,AND(I5895&lt;&gt;"",E5895&lt;I5895)),1,0)</f>
        <v>0</v>
      </c>
      <c r="R5895" s="56" t="n">
        <f aca="false">IF(AND(D5895&gt;1,Q5895=0,ISNUMBER(O5895),ISNUMBER(P5895)),IF(Q5894=0,1,0),0)</f>
        <v>1</v>
      </c>
      <c r="S5895" s="56" t="n">
        <f aca="false">R5895*(B5895&gt;=Train_Start)*(B5895&lt;=Train_End)</f>
        <v>0</v>
      </c>
      <c r="T5895" s="84" t="n">
        <f aca="false">IF(AND(ISNUMBER(O5895),ISNUMBER(P5895)),Coef_A+Coef_B1*O5895+Coef_B2*P5895,"")</f>
        <v>22.564062031124</v>
      </c>
      <c r="U5895" s="84" t="n">
        <f aca="false">IF(AND(R5895=1,ISNUMBER(T5895)),E5895-T5895,"")</f>
        <v>-0.964062031124044</v>
      </c>
      <c r="V5895" s="84" t="n">
        <f aca="false">IF(ISNUMBER(T5895),T5895,-99)</f>
        <v>22.564062031124</v>
      </c>
      <c r="W5895" s="84" t="n">
        <f aca="false">IF(ISNUMBER(U5895),ABS(U5895),"")</f>
        <v>0.964062031124044</v>
      </c>
    </row>
    <row r="5896" customFormat="false" ht="15" hidden="false" customHeight="false" outlineLevel="0" collapsed="false">
      <c r="A5896" s="57" t="n">
        <v>42936</v>
      </c>
      <c r="B5896" s="56" t="n">
        <v>2017</v>
      </c>
      <c r="C5896" s="56" t="n">
        <v>7</v>
      </c>
      <c r="D5896" s="56" t="n">
        <v>81</v>
      </c>
      <c r="E5896" s="56" t="n">
        <v>22.8</v>
      </c>
      <c r="F5896" s="56" t="n">
        <v>0</v>
      </c>
      <c r="G5896" s="56" t="n">
        <v>17.4</v>
      </c>
      <c r="H5896" s="56" t="n">
        <v>0</v>
      </c>
      <c r="I5896" s="56" t="n">
        <v>19.5</v>
      </c>
      <c r="J5896" s="56" t="n">
        <v>0</v>
      </c>
      <c r="K5896" s="56" t="n">
        <v>1007.9</v>
      </c>
      <c r="L5896" s="56" t="n">
        <v>0</v>
      </c>
      <c r="M5896" s="56" t="n">
        <v>71</v>
      </c>
      <c r="N5896" s="56" t="n">
        <v>3</v>
      </c>
      <c r="O5896" s="56" t="n">
        <f aca="false">IF(D5896=1,"",E5895)</f>
        <v>21.6</v>
      </c>
      <c r="P5896" s="56" t="n">
        <f aca="false">IF(OR(D5896=1,K5895=""),"",K5895)</f>
        <v>1006.1</v>
      </c>
      <c r="Q5896" s="56" t="n">
        <f aca="false">IF(OR(F5896&lt;&gt;0,AND(I5896&lt;&gt;"",E5896&lt;I5896)),1,0)</f>
        <v>0</v>
      </c>
      <c r="R5896" s="56" t="n">
        <f aca="false">IF(AND(D5896&gt;1,Q5896=0,ISNUMBER(O5896),ISNUMBER(P5896)),IF(Q5895=0,1,0),0)</f>
        <v>1</v>
      </c>
      <c r="S5896" s="56" t="n">
        <f aca="false">R5896*(B5896&gt;=Train_Start)*(B5896&lt;=Train_End)</f>
        <v>0</v>
      </c>
      <c r="T5896" s="84" t="n">
        <f aca="false">IF(AND(ISNUMBER(O5896),ISNUMBER(P5896)),Coef_A+Coef_B1*O5896+Coef_B2*P5896,"")</f>
        <v>21.3459529829738</v>
      </c>
      <c r="U5896" s="84" t="n">
        <f aca="false">IF(AND(R5896=1,ISNUMBER(T5896)),E5896-T5896,"")</f>
        <v>1.45404701702617</v>
      </c>
      <c r="V5896" s="84" t="n">
        <f aca="false">IF(ISNUMBER(T5896),T5896,-99)</f>
        <v>21.3459529829738</v>
      </c>
      <c r="W5896" s="84" t="n">
        <f aca="false">IF(ISNUMBER(U5896),ABS(U5896),"")</f>
        <v>1.45404701702617</v>
      </c>
    </row>
    <row r="5897" customFormat="false" ht="15" hidden="false" customHeight="false" outlineLevel="0" collapsed="false">
      <c r="A5897" s="57" t="n">
        <v>42937</v>
      </c>
      <c r="B5897" s="56" t="n">
        <v>2017</v>
      </c>
      <c r="C5897" s="56" t="n">
        <v>7</v>
      </c>
      <c r="D5897" s="56" t="n">
        <v>82</v>
      </c>
      <c r="E5897" s="56" t="n">
        <v>19.2</v>
      </c>
      <c r="F5897" s="56" t="n">
        <v>0</v>
      </c>
      <c r="G5897" s="56" t="n">
        <v>12.3</v>
      </c>
      <c r="H5897" s="56" t="n">
        <v>0</v>
      </c>
      <c r="I5897" s="56" t="n">
        <v>17.6</v>
      </c>
      <c r="J5897" s="56" t="n">
        <v>0</v>
      </c>
      <c r="K5897" s="56" t="n">
        <v>1008.4</v>
      </c>
      <c r="L5897" s="56" t="n">
        <v>0</v>
      </c>
      <c r="M5897" s="56" t="n">
        <v>68</v>
      </c>
      <c r="N5897" s="56" t="n">
        <v>6.5</v>
      </c>
      <c r="O5897" s="56" t="n">
        <f aca="false">IF(D5897=1,"",E5896)</f>
        <v>22.8</v>
      </c>
      <c r="P5897" s="56" t="n">
        <f aca="false">IF(OR(D5897=1,K5896=""),"",K5896)</f>
        <v>1007.9</v>
      </c>
      <c r="Q5897" s="56" t="n">
        <f aca="false">IF(OR(F5897&lt;&gt;0,AND(I5897&lt;&gt;"",E5897&lt;I5897)),1,0)</f>
        <v>0</v>
      </c>
      <c r="R5897" s="56" t="n">
        <f aca="false">IF(AND(D5897&gt;1,Q5897=0,ISNUMBER(O5897),ISNUMBER(P5897)),IF(Q5896=0,1,0),0)</f>
        <v>1</v>
      </c>
      <c r="S5897" s="56" t="n">
        <f aca="false">R5897*(B5897&gt;=Train_Start)*(B5897&lt;=Train_End)</f>
        <v>0</v>
      </c>
      <c r="T5897" s="84" t="n">
        <f aca="false">IF(AND(ISNUMBER(O5897),ISNUMBER(P5897)),Coef_A+Coef_B1*O5897+Coef_B2*P5897,"")</f>
        <v>22.3856258249662</v>
      </c>
      <c r="U5897" s="84" t="n">
        <f aca="false">IF(AND(R5897=1,ISNUMBER(T5897)),E5897-T5897,"")</f>
        <v>-3.1856258249662</v>
      </c>
      <c r="V5897" s="84" t="n">
        <f aca="false">IF(ISNUMBER(T5897),T5897,-99)</f>
        <v>22.3856258249662</v>
      </c>
      <c r="W5897" s="84" t="n">
        <f aca="false">IF(ISNUMBER(U5897),ABS(U5897),"")</f>
        <v>3.1856258249662</v>
      </c>
    </row>
    <row r="5898" customFormat="false" ht="15" hidden="false" customHeight="false" outlineLevel="0" collapsed="false">
      <c r="A5898" s="57" t="n">
        <v>42938</v>
      </c>
      <c r="B5898" s="56" t="n">
        <v>2017</v>
      </c>
      <c r="C5898" s="56" t="n">
        <v>7</v>
      </c>
      <c r="D5898" s="56" t="n">
        <v>83</v>
      </c>
      <c r="E5898" s="56" t="n">
        <v>20.6</v>
      </c>
      <c r="F5898" s="56" t="n">
        <v>0</v>
      </c>
      <c r="G5898" s="56" t="n">
        <v>13.4</v>
      </c>
      <c r="H5898" s="56" t="n">
        <v>0</v>
      </c>
      <c r="I5898" s="56" t="n">
        <v>16.3</v>
      </c>
      <c r="J5898" s="56" t="n">
        <v>0</v>
      </c>
      <c r="K5898" s="56" t="n">
        <v>1008</v>
      </c>
      <c r="L5898" s="56" t="n">
        <v>0</v>
      </c>
      <c r="M5898" s="56" t="n">
        <v>88</v>
      </c>
      <c r="N5898" s="56" t="n">
        <v>3.1</v>
      </c>
      <c r="O5898" s="56" t="n">
        <f aca="false">IF(D5898=1,"",E5897)</f>
        <v>19.2</v>
      </c>
      <c r="P5898" s="56" t="n">
        <f aca="false">IF(OR(D5898=1,K5897=""),"",K5897)</f>
        <v>1008.4</v>
      </c>
      <c r="Q5898" s="56" t="n">
        <f aca="false">IF(OR(F5898&lt;&gt;0,AND(I5898&lt;&gt;"",E5898&lt;I5898)),1,0)</f>
        <v>0</v>
      </c>
      <c r="R5898" s="56" t="n">
        <f aca="false">IF(AND(D5898&gt;1,Q5898=0,ISNUMBER(O5898),ISNUMBER(P5898)),IF(Q5897=0,1,0),0)</f>
        <v>1</v>
      </c>
      <c r="S5898" s="56" t="n">
        <f aca="false">R5898*(B5898&gt;=Train_Start)*(B5898&lt;=Train_End)</f>
        <v>0</v>
      </c>
      <c r="T5898" s="84" t="n">
        <f aca="false">IF(AND(ISNUMBER(O5898),ISNUMBER(P5898)),Coef_A+Coef_B1*O5898+Coef_B2*P5898,"")</f>
        <v>19.4516896773296</v>
      </c>
      <c r="U5898" s="84" t="n">
        <f aca="false">IF(AND(R5898=1,ISNUMBER(T5898)),E5898-T5898,"")</f>
        <v>1.14831032267038</v>
      </c>
      <c r="V5898" s="84" t="n">
        <f aca="false">IF(ISNUMBER(T5898),T5898,-99)</f>
        <v>19.4516896773296</v>
      </c>
      <c r="W5898" s="84" t="n">
        <f aca="false">IF(ISNUMBER(U5898),ABS(U5898),"")</f>
        <v>1.14831032267038</v>
      </c>
    </row>
    <row r="5899" customFormat="false" ht="15" hidden="false" customHeight="false" outlineLevel="0" collapsed="false">
      <c r="A5899" s="57" t="n">
        <v>42939</v>
      </c>
      <c r="B5899" s="56" t="n">
        <v>2017</v>
      </c>
      <c r="C5899" s="56" t="n">
        <v>7</v>
      </c>
      <c r="D5899" s="56" t="n">
        <v>84</v>
      </c>
      <c r="E5899" s="56" t="n">
        <v>19.4</v>
      </c>
      <c r="F5899" s="56" t="n">
        <v>0</v>
      </c>
      <c r="G5899" s="56" t="n">
        <v>11.2</v>
      </c>
      <c r="H5899" s="56" t="n">
        <v>0</v>
      </c>
      <c r="I5899" s="56" t="n">
        <v>15.9</v>
      </c>
      <c r="J5899" s="56" t="n">
        <v>0</v>
      </c>
      <c r="K5899" s="56" t="n">
        <v>1011.4</v>
      </c>
      <c r="L5899" s="56" t="n">
        <v>0</v>
      </c>
      <c r="M5899" s="56" t="n">
        <v>81</v>
      </c>
      <c r="N5899" s="56" t="n">
        <v>3.8</v>
      </c>
      <c r="O5899" s="56" t="n">
        <f aca="false">IF(D5899=1,"",E5898)</f>
        <v>20.6</v>
      </c>
      <c r="P5899" s="56" t="n">
        <f aca="false">IF(OR(D5899=1,K5898=""),"",K5898)</f>
        <v>1008</v>
      </c>
      <c r="Q5899" s="56" t="n">
        <f aca="false">IF(OR(F5899&lt;&gt;0,AND(I5899&lt;&gt;"",E5899&lt;I5899)),1,0)</f>
        <v>0</v>
      </c>
      <c r="R5899" s="56" t="n">
        <f aca="false">IF(AND(D5899&gt;1,Q5899=0,ISNUMBER(O5899),ISNUMBER(P5899)),IF(Q5898=0,1,0),0)</f>
        <v>1</v>
      </c>
      <c r="S5899" s="56" t="n">
        <f aca="false">R5899*(B5899&gt;=Train_Start)*(B5899&lt;=Train_End)</f>
        <v>0</v>
      </c>
      <c r="T5899" s="84" t="n">
        <f aca="false">IF(AND(ISNUMBER(O5899),ISNUMBER(P5899)),Coef_A+Coef_B1*O5899+Coef_B2*P5899,"")</f>
        <v>20.5862165897358</v>
      </c>
      <c r="U5899" s="84" t="n">
        <f aca="false">IF(AND(R5899=1,ISNUMBER(T5899)),E5899-T5899,"")</f>
        <v>-1.18621658973576</v>
      </c>
      <c r="V5899" s="84" t="n">
        <f aca="false">IF(ISNUMBER(T5899),T5899,-99)</f>
        <v>20.5862165897358</v>
      </c>
      <c r="W5899" s="84" t="n">
        <f aca="false">IF(ISNUMBER(U5899),ABS(U5899),"")</f>
        <v>1.18621658973576</v>
      </c>
    </row>
    <row r="5900" customFormat="false" ht="15" hidden="false" customHeight="false" outlineLevel="0" collapsed="false">
      <c r="A5900" s="57" t="n">
        <v>42940</v>
      </c>
      <c r="B5900" s="56" t="n">
        <v>2017</v>
      </c>
      <c r="C5900" s="56" t="n">
        <v>7</v>
      </c>
      <c r="D5900" s="56" t="n">
        <v>85</v>
      </c>
      <c r="E5900" s="56" t="n">
        <v>22.9</v>
      </c>
      <c r="F5900" s="56" t="n">
        <v>0</v>
      </c>
      <c r="G5900" s="56" t="n">
        <v>14.1</v>
      </c>
      <c r="H5900" s="56" t="n">
        <v>0</v>
      </c>
      <c r="I5900" s="56" t="n">
        <v>16.8</v>
      </c>
      <c r="J5900" s="56" t="n">
        <v>0</v>
      </c>
      <c r="K5900" s="56" t="n">
        <v>1014.1</v>
      </c>
      <c r="L5900" s="56" t="n">
        <v>0</v>
      </c>
      <c r="M5900" s="56" t="n">
        <v>80</v>
      </c>
      <c r="N5900" s="56" t="n">
        <v>0.2</v>
      </c>
      <c r="O5900" s="56" t="n">
        <f aca="false">IF(D5900=1,"",E5899)</f>
        <v>19.4</v>
      </c>
      <c r="P5900" s="56" t="n">
        <f aca="false">IF(OR(D5900=1,K5899=""),"",K5899)</f>
        <v>1011.4</v>
      </c>
      <c r="Q5900" s="56" t="n">
        <f aca="false">IF(OR(F5900&lt;&gt;0,AND(I5900&lt;&gt;"",E5900&lt;I5900)),1,0)</f>
        <v>0</v>
      </c>
      <c r="R5900" s="56" t="n">
        <f aca="false">IF(AND(D5900&gt;1,Q5900=0,ISNUMBER(O5900),ISNUMBER(P5900)),IF(Q5899=0,1,0),0)</f>
        <v>1</v>
      </c>
      <c r="S5900" s="56" t="n">
        <f aca="false">R5900*(B5900&gt;=Train_Start)*(B5900&lt;=Train_End)</f>
        <v>0</v>
      </c>
      <c r="T5900" s="84" t="n">
        <f aca="false">IF(AND(ISNUMBER(O5900),ISNUMBER(P5900)),Coef_A+Coef_B1*O5900+Coef_B2*P5900,"")</f>
        <v>19.7096671998401</v>
      </c>
      <c r="U5900" s="84" t="n">
        <f aca="false">IF(AND(R5900=1,ISNUMBER(T5900)),E5900-T5900,"")</f>
        <v>3.19033280015988</v>
      </c>
      <c r="V5900" s="84" t="n">
        <f aca="false">IF(ISNUMBER(T5900),T5900,-99)</f>
        <v>19.7096671998401</v>
      </c>
      <c r="W5900" s="84" t="n">
        <f aca="false">IF(ISNUMBER(U5900),ABS(U5900),"")</f>
        <v>3.19033280015988</v>
      </c>
    </row>
    <row r="5901" customFormat="false" ht="15" hidden="false" customHeight="false" outlineLevel="0" collapsed="false">
      <c r="A5901" s="57" t="n">
        <v>42941</v>
      </c>
      <c r="B5901" s="56" t="n">
        <v>2017</v>
      </c>
      <c r="C5901" s="56" t="n">
        <v>7</v>
      </c>
      <c r="D5901" s="56" t="n">
        <v>86</v>
      </c>
      <c r="E5901" s="56" t="n">
        <v>22.1</v>
      </c>
      <c r="F5901" s="56" t="n">
        <v>0</v>
      </c>
      <c r="G5901" s="56" t="n">
        <v>13</v>
      </c>
      <c r="H5901" s="56" t="n">
        <v>0</v>
      </c>
      <c r="I5901" s="56" t="n">
        <v>17.9</v>
      </c>
      <c r="J5901" s="56" t="n">
        <v>0</v>
      </c>
      <c r="K5901" s="56" t="n">
        <v>1015.7</v>
      </c>
      <c r="L5901" s="56" t="n">
        <v>0</v>
      </c>
      <c r="M5901" s="56" t="n">
        <v>71</v>
      </c>
      <c r="N5901" s="56" t="n">
        <v>8.8</v>
      </c>
      <c r="O5901" s="56" t="n">
        <f aca="false">IF(D5901=1,"",E5900)</f>
        <v>22.9</v>
      </c>
      <c r="P5901" s="56" t="n">
        <f aca="false">IF(OR(D5901=1,K5900=""),"",K5900)</f>
        <v>1014.1</v>
      </c>
      <c r="Q5901" s="56" t="n">
        <f aca="false">IF(OR(F5901&lt;&gt;0,AND(I5901&lt;&gt;"",E5901&lt;I5901)),1,0)</f>
        <v>0</v>
      </c>
      <c r="R5901" s="56" t="n">
        <f aca="false">IF(AND(D5901&gt;1,Q5901=0,ISNUMBER(O5901),ISNUMBER(P5901)),IF(Q5900=0,1,0),0)</f>
        <v>1</v>
      </c>
      <c r="S5901" s="56" t="n">
        <f aca="false">R5901*(B5901&gt;=Train_Start)*(B5901&lt;=Train_End)</f>
        <v>0</v>
      </c>
      <c r="T5901" s="84" t="n">
        <f aca="false">IF(AND(ISNUMBER(O5901),ISNUMBER(P5901)),Coef_A+Coef_B1*O5901+Coef_B2*P5901,"")</f>
        <v>22.6620530910012</v>
      </c>
      <c r="U5901" s="84" t="n">
        <f aca="false">IF(AND(R5901=1,ISNUMBER(T5901)),E5901-T5901,"")</f>
        <v>-0.562053091001197</v>
      </c>
      <c r="V5901" s="84" t="n">
        <f aca="false">IF(ISNUMBER(T5901),T5901,-99)</f>
        <v>22.6620530910012</v>
      </c>
      <c r="W5901" s="84" t="n">
        <f aca="false">IF(ISNUMBER(U5901),ABS(U5901),"")</f>
        <v>0.562053091001197</v>
      </c>
    </row>
    <row r="5902" customFormat="false" ht="15" hidden="false" customHeight="false" outlineLevel="0" collapsed="false">
      <c r="A5902" s="57" t="n">
        <v>42942</v>
      </c>
      <c r="B5902" s="56" t="n">
        <v>2017</v>
      </c>
      <c r="C5902" s="56" t="n">
        <v>7</v>
      </c>
      <c r="D5902" s="56" t="n">
        <v>87</v>
      </c>
      <c r="E5902" s="56" t="n">
        <v>22.2</v>
      </c>
      <c r="F5902" s="56" t="n">
        <v>0</v>
      </c>
      <c r="G5902" s="56" t="n">
        <v>14.5</v>
      </c>
      <c r="H5902" s="56" t="n">
        <v>0</v>
      </c>
      <c r="I5902" s="56" t="n">
        <v>18.3</v>
      </c>
      <c r="J5902" s="56" t="n">
        <v>0</v>
      </c>
      <c r="K5902" s="56" t="n">
        <v>1007.8</v>
      </c>
      <c r="L5902" s="56" t="n">
        <v>0</v>
      </c>
      <c r="M5902" s="56" t="n">
        <v>85</v>
      </c>
      <c r="N5902" s="56" t="n">
        <v>0.6</v>
      </c>
      <c r="O5902" s="56" t="n">
        <f aca="false">IF(D5902=1,"",E5901)</f>
        <v>22.1</v>
      </c>
      <c r="P5902" s="56" t="n">
        <f aca="false">IF(OR(D5902=1,K5901=""),"",K5901)</f>
        <v>1015.7</v>
      </c>
      <c r="Q5902" s="56" t="n">
        <f aca="false">IF(OR(F5902&lt;&gt;0,AND(I5902&lt;&gt;"",E5902&lt;I5902)),1,0)</f>
        <v>0</v>
      </c>
      <c r="R5902" s="56" t="n">
        <f aca="false">IF(AND(D5902&gt;1,Q5902=0,ISNUMBER(O5902),ISNUMBER(P5902)),IF(Q5901=0,1,0),0)</f>
        <v>1</v>
      </c>
      <c r="S5902" s="56" t="n">
        <f aca="false">R5902*(B5902&gt;=Train_Start)*(B5902&lt;=Train_End)</f>
        <v>0</v>
      </c>
      <c r="T5902" s="84" t="n">
        <f aca="false">IF(AND(ISNUMBER(O5902),ISNUMBER(P5902)),Coef_A+Coef_B1*O5902+Coef_B2*P5902,"")</f>
        <v>22.0567735679815</v>
      </c>
      <c r="U5902" s="84" t="n">
        <f aca="false">IF(AND(R5902=1,ISNUMBER(T5902)),E5902-T5902,"")</f>
        <v>0.14322643201854</v>
      </c>
      <c r="V5902" s="84" t="n">
        <f aca="false">IF(ISNUMBER(T5902),T5902,-99)</f>
        <v>22.0567735679815</v>
      </c>
      <c r="W5902" s="84" t="n">
        <f aca="false">IF(ISNUMBER(U5902),ABS(U5902),"")</f>
        <v>0.14322643201854</v>
      </c>
    </row>
    <row r="5903" customFormat="false" ht="15" hidden="false" customHeight="false" outlineLevel="0" collapsed="false">
      <c r="A5903" s="57" t="n">
        <v>42943</v>
      </c>
      <c r="B5903" s="56" t="n">
        <v>2017</v>
      </c>
      <c r="C5903" s="56" t="n">
        <v>7</v>
      </c>
      <c r="D5903" s="56" t="n">
        <v>88</v>
      </c>
      <c r="E5903" s="56" t="n">
        <v>22.2</v>
      </c>
      <c r="F5903" s="56" t="n">
        <v>0</v>
      </c>
      <c r="G5903" s="56" t="n">
        <v>14</v>
      </c>
      <c r="H5903" s="56" t="n">
        <v>0</v>
      </c>
      <c r="I5903" s="56" t="n">
        <v>18.1</v>
      </c>
      <c r="J5903" s="56" t="n">
        <v>0</v>
      </c>
      <c r="K5903" s="56" t="n">
        <v>1006.7</v>
      </c>
      <c r="L5903" s="56" t="n">
        <v>0</v>
      </c>
      <c r="M5903" s="56" t="n">
        <v>77</v>
      </c>
      <c r="N5903" s="56" t="n">
        <v>3.2</v>
      </c>
      <c r="O5903" s="56" t="n">
        <f aca="false">IF(D5903=1,"",E5902)</f>
        <v>22.2</v>
      </c>
      <c r="P5903" s="56" t="n">
        <f aca="false">IF(OR(D5903=1,K5902=""),"",K5902)</f>
        <v>1007.8</v>
      </c>
      <c r="Q5903" s="56" t="n">
        <f aca="false">IF(OR(F5903&lt;&gt;0,AND(I5903&lt;&gt;"",E5903&lt;I5903)),1,0)</f>
        <v>0</v>
      </c>
      <c r="R5903" s="56" t="n">
        <f aca="false">IF(AND(D5903&gt;1,Q5903=0,ISNUMBER(O5903),ISNUMBER(P5903)),IF(Q5902=0,1,0),0)</f>
        <v>1</v>
      </c>
      <c r="S5903" s="56" t="n">
        <f aca="false">R5903*(B5903&gt;=Train_Start)*(B5903&lt;=Train_End)</f>
        <v>0</v>
      </c>
      <c r="T5903" s="84" t="n">
        <f aca="false">IF(AND(ISNUMBER(O5903),ISNUMBER(P5903)),Coef_A+Coef_B1*O5903+Coef_B2*P5903,"")</f>
        <v>21.8908853196772</v>
      </c>
      <c r="U5903" s="84" t="n">
        <f aca="false">IF(AND(R5903=1,ISNUMBER(T5903)),E5903-T5903,"")</f>
        <v>0.309114680322793</v>
      </c>
      <c r="V5903" s="84" t="n">
        <f aca="false">IF(ISNUMBER(T5903),T5903,-99)</f>
        <v>21.8908853196772</v>
      </c>
      <c r="W5903" s="84" t="n">
        <f aca="false">IF(ISNUMBER(U5903),ABS(U5903),"")</f>
        <v>0.309114680322793</v>
      </c>
    </row>
    <row r="5904" customFormat="false" ht="15" hidden="false" customHeight="false" outlineLevel="0" collapsed="false">
      <c r="A5904" s="57" t="n">
        <v>42944</v>
      </c>
      <c r="B5904" s="56" t="n">
        <v>2017</v>
      </c>
      <c r="C5904" s="56" t="n">
        <v>7</v>
      </c>
      <c r="D5904" s="56" t="n">
        <v>89</v>
      </c>
      <c r="E5904" s="56" t="n">
        <v>20.4</v>
      </c>
      <c r="F5904" s="56" t="n">
        <v>0</v>
      </c>
      <c r="G5904" s="56" t="n">
        <v>13.7</v>
      </c>
      <c r="H5904" s="56" t="n">
        <v>0</v>
      </c>
      <c r="I5904" s="56" t="n">
        <v>17.9</v>
      </c>
      <c r="J5904" s="56" t="n">
        <v>0</v>
      </c>
      <c r="K5904" s="56" t="n">
        <v>1008.3</v>
      </c>
      <c r="L5904" s="56" t="n">
        <v>0</v>
      </c>
      <c r="M5904" s="56" t="n">
        <v>79</v>
      </c>
      <c r="N5904" s="56" t="n">
        <v>1.2</v>
      </c>
      <c r="O5904" s="56" t="n">
        <f aca="false">IF(D5904=1,"",E5903)</f>
        <v>22.2</v>
      </c>
      <c r="P5904" s="56" t="n">
        <f aca="false">IF(OR(D5904=1,K5903=""),"",K5903)</f>
        <v>1006.7</v>
      </c>
      <c r="Q5904" s="56" t="n">
        <f aca="false">IF(OR(F5904&lt;&gt;0,AND(I5904&lt;&gt;"",E5904&lt;I5904)),1,0)</f>
        <v>0</v>
      </c>
      <c r="R5904" s="56" t="n">
        <f aca="false">IF(AND(D5904&gt;1,Q5904=0,ISNUMBER(O5904),ISNUMBER(P5904)),IF(Q5903=0,1,0),0)</f>
        <v>1</v>
      </c>
      <c r="S5904" s="56" t="n">
        <f aca="false">R5904*(B5904&gt;=Train_Start)*(B5904&lt;=Train_End)</f>
        <v>0</v>
      </c>
      <c r="T5904" s="84" t="n">
        <f aca="false">IF(AND(ISNUMBER(O5904),ISNUMBER(P5904)),Coef_A+Coef_B1*O5904+Coef_B2*P5904,"")</f>
        <v>21.8563784355798</v>
      </c>
      <c r="U5904" s="84" t="n">
        <f aca="false">IF(AND(R5904=1,ISNUMBER(T5904)),E5904-T5904,"")</f>
        <v>-1.45637843557982</v>
      </c>
      <c r="V5904" s="84" t="n">
        <f aca="false">IF(ISNUMBER(T5904),T5904,-99)</f>
        <v>21.8563784355798</v>
      </c>
      <c r="W5904" s="84" t="n">
        <f aca="false">IF(ISNUMBER(U5904),ABS(U5904),"")</f>
        <v>1.45637843557982</v>
      </c>
    </row>
    <row r="5905" customFormat="false" ht="15" hidden="false" customHeight="false" outlineLevel="0" collapsed="false">
      <c r="A5905" s="57" t="n">
        <v>42945</v>
      </c>
      <c r="B5905" s="56" t="n">
        <v>2017</v>
      </c>
      <c r="C5905" s="56" t="n">
        <v>7</v>
      </c>
      <c r="D5905" s="56" t="n">
        <v>90</v>
      </c>
      <c r="E5905" s="56" t="n">
        <v>21.5</v>
      </c>
      <c r="F5905" s="56" t="n">
        <v>0</v>
      </c>
      <c r="G5905" s="56" t="n">
        <v>14.8</v>
      </c>
      <c r="H5905" s="56" t="n">
        <v>0</v>
      </c>
      <c r="I5905" s="56" t="n">
        <v>17.6</v>
      </c>
      <c r="J5905" s="56" t="n">
        <v>0</v>
      </c>
      <c r="K5905" s="56" t="n">
        <v>1007.6</v>
      </c>
      <c r="L5905" s="56" t="n">
        <v>0</v>
      </c>
      <c r="M5905" s="56" t="n">
        <v>84</v>
      </c>
      <c r="N5905" s="56" t="n">
        <v>4</v>
      </c>
      <c r="O5905" s="56" t="n">
        <f aca="false">IF(D5905=1,"",E5904)</f>
        <v>20.4</v>
      </c>
      <c r="P5905" s="56" t="n">
        <f aca="false">IF(OR(D5905=1,K5904=""),"",K5904)</f>
        <v>1008.3</v>
      </c>
      <c r="Q5905" s="56" t="n">
        <f aca="false">IF(OR(F5905&lt;&gt;0,AND(I5905&lt;&gt;"",E5905&lt;I5905)),1,0)</f>
        <v>0</v>
      </c>
      <c r="R5905" s="56" t="n">
        <f aca="false">IF(AND(D5905&gt;1,Q5905=0,ISNUMBER(O5905),ISNUMBER(P5905)),IF(Q5904=0,1,0),0)</f>
        <v>1</v>
      </c>
      <c r="S5905" s="56" t="n">
        <f aca="false">R5905*(B5905&gt;=Train_Start)*(B5905&lt;=Train_End)</f>
        <v>0</v>
      </c>
      <c r="T5905" s="84" t="n">
        <f aca="false">IF(AND(ISNUMBER(O5905),ISNUMBER(P5905)),Coef_A+Coef_B1*O5905+Coef_B2*P5905,"")</f>
        <v>20.4317597195174</v>
      </c>
      <c r="U5905" s="84" t="n">
        <f aca="false">IF(AND(R5905=1,ISNUMBER(T5905)),E5905-T5905,"")</f>
        <v>1.06824028048258</v>
      </c>
      <c r="V5905" s="84" t="n">
        <f aca="false">IF(ISNUMBER(T5905),T5905,-99)</f>
        <v>20.4317597195174</v>
      </c>
      <c r="W5905" s="84" t="n">
        <f aca="false">IF(ISNUMBER(U5905),ABS(U5905),"")</f>
        <v>1.06824028048258</v>
      </c>
    </row>
    <row r="5906" customFormat="false" ht="15" hidden="false" customHeight="false" outlineLevel="0" collapsed="false">
      <c r="A5906" s="57" t="n">
        <v>42946</v>
      </c>
      <c r="B5906" s="56" t="n">
        <v>2017</v>
      </c>
      <c r="C5906" s="56" t="n">
        <v>7</v>
      </c>
      <c r="D5906" s="56" t="n">
        <v>91</v>
      </c>
      <c r="E5906" s="56" t="n">
        <v>22.7</v>
      </c>
      <c r="F5906" s="56" t="n">
        <v>0</v>
      </c>
      <c r="G5906" s="56" t="n">
        <v>14.6</v>
      </c>
      <c r="H5906" s="56" t="n">
        <v>0</v>
      </c>
      <c r="I5906" s="56" t="n">
        <v>18.1</v>
      </c>
      <c r="J5906" s="56" t="n">
        <v>0</v>
      </c>
      <c r="K5906" s="56" t="n">
        <v>1005.9</v>
      </c>
      <c r="L5906" s="56" t="n">
        <v>0</v>
      </c>
      <c r="M5906" s="56" t="n">
        <v>76</v>
      </c>
      <c r="N5906" s="56" t="n">
        <v>5.3</v>
      </c>
      <c r="O5906" s="56" t="n">
        <f aca="false">IF(D5906=1,"",E5905)</f>
        <v>21.5</v>
      </c>
      <c r="P5906" s="56" t="n">
        <f aca="false">IF(OR(D5906=1,K5905=""),"",K5905)</f>
        <v>1007.6</v>
      </c>
      <c r="Q5906" s="56" t="n">
        <f aca="false">IF(OR(F5906&lt;&gt;0,AND(I5906&lt;&gt;"",E5906&lt;I5906)),1,0)</f>
        <v>0</v>
      </c>
      <c r="R5906" s="56" t="n">
        <f aca="false">IF(AND(D5906&gt;1,Q5906=0,ISNUMBER(O5906),ISNUMBER(P5906)),IF(Q5905=0,1,0),0)</f>
        <v>1</v>
      </c>
      <c r="S5906" s="56" t="n">
        <f aca="false">R5906*(B5906&gt;=Train_Start)*(B5906&lt;=Train_End)</f>
        <v>0</v>
      </c>
      <c r="T5906" s="84" t="n">
        <f aca="false">IF(AND(ISNUMBER(O5906),ISNUMBER(P5906)),Coef_A+Coef_B1*O5906+Coef_B2*P5906,"")</f>
        <v>21.3110739056206</v>
      </c>
      <c r="U5906" s="84" t="n">
        <f aca="false">IF(AND(R5906=1,ISNUMBER(T5906)),E5906-T5906,"")</f>
        <v>1.38892609437945</v>
      </c>
      <c r="V5906" s="84" t="n">
        <f aca="false">IF(ISNUMBER(T5906),T5906,-99)</f>
        <v>21.3110739056206</v>
      </c>
      <c r="W5906" s="84" t="n">
        <f aca="false">IF(ISNUMBER(U5906),ABS(U5906),"")</f>
        <v>1.38892609437945</v>
      </c>
    </row>
    <row r="5907" customFormat="false" ht="15" hidden="false" customHeight="false" outlineLevel="0" collapsed="false">
      <c r="A5907" s="57" t="n">
        <v>42947</v>
      </c>
      <c r="B5907" s="56" t="n">
        <v>2017</v>
      </c>
      <c r="C5907" s="56" t="n">
        <v>7</v>
      </c>
      <c r="D5907" s="56" t="n">
        <v>92</v>
      </c>
      <c r="E5907" s="56" t="n">
        <v>22.4</v>
      </c>
      <c r="F5907" s="56" t="n">
        <v>0</v>
      </c>
      <c r="G5907" s="56" t="n">
        <v>13.1</v>
      </c>
      <c r="H5907" s="56" t="n">
        <v>0</v>
      </c>
      <c r="I5907" s="56" t="n">
        <v>17.9</v>
      </c>
      <c r="J5907" s="56" t="n">
        <v>0</v>
      </c>
      <c r="K5907" s="56" t="n">
        <v>1011.4</v>
      </c>
      <c r="L5907" s="56" t="n">
        <v>0</v>
      </c>
      <c r="M5907" s="56" t="n">
        <v>69</v>
      </c>
      <c r="N5907" s="56" t="n">
        <v>9.1</v>
      </c>
      <c r="O5907" s="56" t="n">
        <f aca="false">IF(D5907=1,"",E5906)</f>
        <v>22.7</v>
      </c>
      <c r="P5907" s="56" t="n">
        <f aca="false">IF(OR(D5907=1,K5906=""),"",K5906)</f>
        <v>1005.9</v>
      </c>
      <c r="Q5907" s="56" t="n">
        <f aca="false">IF(OR(F5907&lt;&gt;0,AND(I5907&lt;&gt;"",E5907&lt;I5907)),1,0)</f>
        <v>0</v>
      </c>
      <c r="R5907" s="56" t="n">
        <f aca="false">IF(AND(D5907&gt;1,Q5907=0,ISNUMBER(O5907),ISNUMBER(P5907)),IF(Q5906=0,1,0),0)</f>
        <v>1</v>
      </c>
      <c r="S5907" s="56" t="n">
        <f aca="false">R5907*(B5907&gt;=Train_Start)*(B5907&lt;=Train_End)</f>
        <v>0</v>
      </c>
      <c r="T5907" s="84" t="n">
        <f aca="false">IF(AND(ISNUMBER(O5907),ISNUMBER(P5907)),Coef_A+Coef_B1*O5907+Coef_B2*P5907,"")</f>
        <v>22.240952116394</v>
      </c>
      <c r="U5907" s="84" t="n">
        <f aca="false">IF(AND(R5907=1,ISNUMBER(T5907)),E5907-T5907,"")</f>
        <v>0.159047883606046</v>
      </c>
      <c r="V5907" s="84" t="n">
        <f aca="false">IF(ISNUMBER(T5907),T5907,-99)</f>
        <v>22.240952116394</v>
      </c>
      <c r="W5907" s="84" t="n">
        <f aca="false">IF(ISNUMBER(U5907),ABS(U5907),"")</f>
        <v>0.159047883606046</v>
      </c>
    </row>
    <row r="5908" customFormat="false" ht="15" hidden="false" customHeight="false" outlineLevel="0" collapsed="false">
      <c r="A5908" s="57" t="n">
        <v>42948</v>
      </c>
      <c r="B5908" s="56" t="n">
        <v>2017</v>
      </c>
      <c r="C5908" s="56" t="n">
        <v>8</v>
      </c>
      <c r="D5908" s="56" t="n">
        <v>93</v>
      </c>
      <c r="E5908" s="56" t="n">
        <v>19.3</v>
      </c>
      <c r="F5908" s="56" t="n">
        <v>0</v>
      </c>
      <c r="G5908" s="56" t="n">
        <v>12.5</v>
      </c>
      <c r="H5908" s="56" t="n">
        <v>0</v>
      </c>
      <c r="I5908" s="56" t="n">
        <v>17.4</v>
      </c>
      <c r="J5908" s="56" t="n">
        <v>0</v>
      </c>
      <c r="K5908" s="56" t="n">
        <v>1014.6</v>
      </c>
      <c r="L5908" s="56" t="n">
        <v>0</v>
      </c>
      <c r="M5908" s="56" t="n">
        <v>73</v>
      </c>
      <c r="N5908" s="56" t="n">
        <v>6.3</v>
      </c>
      <c r="O5908" s="56" t="n">
        <f aca="false">IF(D5908=1,"",E5907)</f>
        <v>22.4</v>
      </c>
      <c r="P5908" s="56" t="n">
        <f aca="false">IF(OR(D5908=1,K5907=""),"",K5907)</f>
        <v>1011.4</v>
      </c>
      <c r="Q5908" s="56" t="n">
        <f aca="false">IF(OR(F5908&lt;&gt;0,AND(I5908&lt;&gt;"",E5908&lt;I5908)),1,0)</f>
        <v>0</v>
      </c>
      <c r="R5908" s="56" t="n">
        <f aca="false">IF(AND(D5908&gt;1,Q5908=0,ISNUMBER(O5908),ISNUMBER(P5908)),IF(Q5907=0,1,0),0)</f>
        <v>1</v>
      </c>
      <c r="S5908" s="56" t="n">
        <f aca="false">R5908*(B5908&gt;=Train_Start)*(B5908&lt;=Train_End)</f>
        <v>0</v>
      </c>
      <c r="T5908" s="84" t="n">
        <f aca="false">IF(AND(ISNUMBER(O5908),ISNUMBER(P5908)),Coef_A+Coef_B1*O5908+Coef_B2*P5908,"")</f>
        <v>22.1676847789681</v>
      </c>
      <c r="U5908" s="84" t="n">
        <f aca="false">IF(AND(R5908=1,ISNUMBER(T5908)),E5908-T5908,"")</f>
        <v>-2.86768477896809</v>
      </c>
      <c r="V5908" s="84" t="n">
        <f aca="false">IF(ISNUMBER(T5908),T5908,-99)</f>
        <v>22.1676847789681</v>
      </c>
      <c r="W5908" s="84" t="n">
        <f aca="false">IF(ISNUMBER(U5908),ABS(U5908),"")</f>
        <v>2.86768477896809</v>
      </c>
    </row>
    <row r="5909" customFormat="false" ht="15" hidden="false" customHeight="false" outlineLevel="0" collapsed="false">
      <c r="A5909" s="57" t="n">
        <v>42949</v>
      </c>
      <c r="B5909" s="56" t="n">
        <v>2017</v>
      </c>
      <c r="C5909" s="56" t="n">
        <v>8</v>
      </c>
      <c r="D5909" s="56" t="n">
        <v>94</v>
      </c>
      <c r="E5909" s="56" t="n">
        <v>21.8</v>
      </c>
      <c r="F5909" s="56" t="n">
        <v>0</v>
      </c>
      <c r="G5909" s="56" t="n">
        <v>14.5</v>
      </c>
      <c r="H5909" s="56" t="n">
        <v>0</v>
      </c>
      <c r="I5909" s="56" t="n">
        <v>16.9</v>
      </c>
      <c r="J5909" s="56" t="n">
        <v>0</v>
      </c>
      <c r="K5909" s="56" t="n">
        <v>1011.9</v>
      </c>
      <c r="L5909" s="56" t="n">
        <v>0</v>
      </c>
      <c r="M5909" s="56" t="n">
        <v>87</v>
      </c>
      <c r="N5909" s="56" t="n">
        <v>0</v>
      </c>
      <c r="O5909" s="56" t="n">
        <f aca="false">IF(D5909=1,"",E5908)</f>
        <v>19.3</v>
      </c>
      <c r="P5909" s="56" t="n">
        <f aca="false">IF(OR(D5909=1,K5908=""),"",K5908)</f>
        <v>1014.6</v>
      </c>
      <c r="Q5909" s="56" t="n">
        <f aca="false">IF(OR(F5909&lt;&gt;0,AND(I5909&lt;&gt;"",E5909&lt;I5909)),1,0)</f>
        <v>0</v>
      </c>
      <c r="R5909" s="56" t="n">
        <f aca="false">IF(AND(D5909&gt;1,Q5909=0,ISNUMBER(O5909),ISNUMBER(P5909)),IF(Q5908=0,1,0),0)</f>
        <v>1</v>
      </c>
      <c r="S5909" s="56" t="n">
        <f aca="false">R5909*(B5909&gt;=Train_Start)*(B5909&lt;=Train_End)</f>
        <v>0</v>
      </c>
      <c r="T5909" s="84" t="n">
        <f aca="false">IF(AND(ISNUMBER(O5909),ISNUMBER(P5909)),Coef_A+Coef_B1*O5909+Coef_B2*P5909,"")</f>
        <v>19.7281169433646</v>
      </c>
      <c r="U5909" s="84" t="n">
        <f aca="false">IF(AND(R5909=1,ISNUMBER(T5909)),E5909-T5909,"")</f>
        <v>2.07188305663538</v>
      </c>
      <c r="V5909" s="84" t="n">
        <f aca="false">IF(ISNUMBER(T5909),T5909,-99)</f>
        <v>19.7281169433646</v>
      </c>
      <c r="W5909" s="84" t="n">
        <f aca="false">IF(ISNUMBER(U5909),ABS(U5909),"")</f>
        <v>2.07188305663538</v>
      </c>
    </row>
    <row r="5910" customFormat="false" ht="15" hidden="false" customHeight="false" outlineLevel="0" collapsed="false">
      <c r="A5910" s="57" t="n">
        <v>42950</v>
      </c>
      <c r="B5910" s="56" t="n">
        <v>2017</v>
      </c>
      <c r="C5910" s="56" t="n">
        <v>8</v>
      </c>
      <c r="D5910" s="56" t="n">
        <v>95</v>
      </c>
      <c r="E5910" s="56" t="n">
        <v>22.9</v>
      </c>
      <c r="F5910" s="56" t="n">
        <v>0</v>
      </c>
      <c r="G5910" s="56" t="n">
        <v>15.5</v>
      </c>
      <c r="H5910" s="56" t="n">
        <v>0</v>
      </c>
      <c r="I5910" s="56" t="n">
        <v>18.6</v>
      </c>
      <c r="J5910" s="56" t="n">
        <v>0</v>
      </c>
      <c r="K5910" s="56" t="n">
        <v>1007.1</v>
      </c>
      <c r="L5910" s="56" t="n">
        <v>0</v>
      </c>
      <c r="M5910" s="56" t="n">
        <v>76</v>
      </c>
      <c r="N5910" s="56" t="n">
        <v>3.3</v>
      </c>
      <c r="O5910" s="56" t="n">
        <f aca="false">IF(D5910=1,"",E5909)</f>
        <v>21.8</v>
      </c>
      <c r="P5910" s="56" t="n">
        <f aca="false">IF(OR(D5910=1,K5909=""),"",K5909)</f>
        <v>1011.9</v>
      </c>
      <c r="Q5910" s="56" t="n">
        <f aca="false">IF(OR(F5910&lt;&gt;0,AND(I5910&lt;&gt;"",E5910&lt;I5910)),1,0)</f>
        <v>0</v>
      </c>
      <c r="R5910" s="56" t="n">
        <f aca="false">IF(AND(D5910&gt;1,Q5910=0,ISNUMBER(O5910),ISNUMBER(P5910)),IF(Q5909=0,1,0),0)</f>
        <v>1</v>
      </c>
      <c r="S5910" s="56" t="n">
        <f aca="false">R5910*(B5910&gt;=Train_Start)*(B5910&lt;=Train_End)</f>
        <v>0</v>
      </c>
      <c r="T5910" s="84" t="n">
        <f aca="false">IF(AND(ISNUMBER(O5910),ISNUMBER(P5910)),Coef_A+Coef_B1*O5910+Coef_B2*P5910,"")</f>
        <v>21.6917662104595</v>
      </c>
      <c r="U5910" s="84" t="n">
        <f aca="false">IF(AND(R5910=1,ISNUMBER(T5910)),E5910-T5910,"")</f>
        <v>1.2082337895405</v>
      </c>
      <c r="V5910" s="84" t="n">
        <f aca="false">IF(ISNUMBER(T5910),T5910,-99)</f>
        <v>21.6917662104595</v>
      </c>
      <c r="W5910" s="84" t="n">
        <f aca="false">IF(ISNUMBER(U5910),ABS(U5910),"")</f>
        <v>1.2082337895405</v>
      </c>
    </row>
    <row r="5911" customFormat="false" ht="15" hidden="false" customHeight="false" outlineLevel="0" collapsed="false">
      <c r="A5911" s="57" t="n">
        <v>42951</v>
      </c>
      <c r="B5911" s="56" t="n">
        <v>2017</v>
      </c>
      <c r="C5911" s="56" t="n">
        <v>8</v>
      </c>
      <c r="D5911" s="56" t="n">
        <v>96</v>
      </c>
      <c r="E5911" s="56" t="n">
        <v>20.8</v>
      </c>
      <c r="F5911" s="56" t="n">
        <v>0</v>
      </c>
      <c r="G5911" s="56" t="n">
        <v>14.8</v>
      </c>
      <c r="H5911" s="56" t="n">
        <v>0</v>
      </c>
      <c r="I5911" s="56" t="n">
        <v>18.9</v>
      </c>
      <c r="J5911" s="56" t="n">
        <v>0</v>
      </c>
      <c r="K5911" s="56" t="n">
        <v>1011.3</v>
      </c>
      <c r="L5911" s="56" t="n">
        <v>0</v>
      </c>
      <c r="M5911" s="56" t="n">
        <v>67</v>
      </c>
      <c r="N5911" s="56" t="n">
        <v>6.7</v>
      </c>
      <c r="O5911" s="56" t="n">
        <f aca="false">IF(D5911=1,"",E5910)</f>
        <v>22.9</v>
      </c>
      <c r="P5911" s="56" t="n">
        <f aca="false">IF(OR(D5911=1,K5910=""),"",K5910)</f>
        <v>1007.1</v>
      </c>
      <c r="Q5911" s="56" t="n">
        <f aca="false">IF(OR(F5911&lt;&gt;0,AND(I5911&lt;&gt;"",E5911&lt;I5911)),1,0)</f>
        <v>0</v>
      </c>
      <c r="R5911" s="56" t="n">
        <f aca="false">IF(AND(D5911&gt;1,Q5911=0,ISNUMBER(O5911),ISNUMBER(P5911)),IF(Q5910=0,1,0),0)</f>
        <v>1</v>
      </c>
      <c r="S5911" s="56" t="n">
        <f aca="false">R5911*(B5911&gt;=Train_Start)*(B5911&lt;=Train_End)</f>
        <v>0</v>
      </c>
      <c r="T5911" s="84" t="n">
        <f aca="false">IF(AND(ISNUMBER(O5911),ISNUMBER(P5911)),Coef_A+Coef_B1*O5911+Coef_B2*P5911,"")</f>
        <v>22.4424638285633</v>
      </c>
      <c r="U5911" s="84" t="n">
        <f aca="false">IF(AND(R5911=1,ISNUMBER(T5911)),E5911-T5911,"")</f>
        <v>-1.64246382856327</v>
      </c>
      <c r="V5911" s="84" t="n">
        <f aca="false">IF(ISNUMBER(T5911),T5911,-99)</f>
        <v>22.4424638285633</v>
      </c>
      <c r="W5911" s="84" t="n">
        <f aca="false">IF(ISNUMBER(U5911),ABS(U5911),"")</f>
        <v>1.64246382856327</v>
      </c>
    </row>
    <row r="5912" customFormat="false" ht="15" hidden="false" customHeight="false" outlineLevel="0" collapsed="false">
      <c r="A5912" s="57" t="n">
        <v>42952</v>
      </c>
      <c r="B5912" s="56" t="n">
        <v>2017</v>
      </c>
      <c r="C5912" s="56" t="n">
        <v>8</v>
      </c>
      <c r="D5912" s="56" t="n">
        <v>97</v>
      </c>
      <c r="E5912" s="56" t="n">
        <v>22.8</v>
      </c>
      <c r="F5912" s="56" t="n">
        <v>0</v>
      </c>
      <c r="G5912" s="56" t="n">
        <v>14.6</v>
      </c>
      <c r="H5912" s="56" t="n">
        <v>0</v>
      </c>
      <c r="I5912" s="56" t="n">
        <v>17.7</v>
      </c>
      <c r="J5912" s="56" t="n">
        <v>0</v>
      </c>
      <c r="K5912" s="56" t="n">
        <v>1016.9</v>
      </c>
      <c r="L5912" s="56" t="n">
        <v>0</v>
      </c>
      <c r="M5912" s="56" t="n">
        <v>66</v>
      </c>
      <c r="N5912" s="56" t="n">
        <v>8.7</v>
      </c>
      <c r="O5912" s="56" t="n">
        <f aca="false">IF(D5912=1,"",E5911)</f>
        <v>20.8</v>
      </c>
      <c r="P5912" s="56" t="n">
        <f aca="false">IF(OR(D5912=1,K5911=""),"",K5911)</f>
        <v>1011.3</v>
      </c>
      <c r="Q5912" s="56" t="n">
        <f aca="false">IF(OR(F5912&lt;&gt;0,AND(I5912&lt;&gt;"",E5912&lt;I5912)),1,0)</f>
        <v>0</v>
      </c>
      <c r="R5912" s="56" t="n">
        <f aca="false">IF(AND(D5912&gt;1,Q5912=0,ISNUMBER(O5912),ISNUMBER(P5912)),IF(Q5911=0,1,0),0)</f>
        <v>1</v>
      </c>
      <c r="S5912" s="56" t="n">
        <f aca="false">R5912*(B5912&gt;=Train_Start)*(B5912&lt;=Train_End)</f>
        <v>0</v>
      </c>
      <c r="T5912" s="84" t="n">
        <f aca="false">IF(AND(ISNUMBER(O5912),ISNUMBER(P5912)),Coef_A+Coef_B1*O5912+Coef_B2*P5912,"")</f>
        <v>20.8536050806364</v>
      </c>
      <c r="U5912" s="84" t="n">
        <f aca="false">IF(AND(R5912=1,ISNUMBER(T5912)),E5912-T5912,"")</f>
        <v>1.94639491936356</v>
      </c>
      <c r="V5912" s="84" t="n">
        <f aca="false">IF(ISNUMBER(T5912),T5912,-99)</f>
        <v>20.8536050806364</v>
      </c>
      <c r="W5912" s="84" t="n">
        <f aca="false">IF(ISNUMBER(U5912),ABS(U5912),"")</f>
        <v>1.94639491936356</v>
      </c>
    </row>
    <row r="5913" customFormat="false" ht="15" hidden="false" customHeight="false" outlineLevel="0" collapsed="false">
      <c r="A5913" s="57" t="n">
        <v>42953</v>
      </c>
      <c r="B5913" s="56" t="n">
        <v>2017</v>
      </c>
      <c r="C5913" s="56" t="n">
        <v>8</v>
      </c>
      <c r="D5913" s="56" t="n">
        <v>98</v>
      </c>
      <c r="E5913" s="56" t="n">
        <v>21.1</v>
      </c>
      <c r="F5913" s="56" t="n">
        <v>0</v>
      </c>
      <c r="G5913" s="56" t="n">
        <v>10.6</v>
      </c>
      <c r="H5913" s="56" t="n">
        <v>0</v>
      </c>
      <c r="I5913" s="56" t="n">
        <v>16.7</v>
      </c>
      <c r="J5913" s="56" t="n">
        <v>0</v>
      </c>
      <c r="K5913" s="56" t="n">
        <v>1021.9</v>
      </c>
      <c r="L5913" s="56" t="n">
        <v>0</v>
      </c>
      <c r="M5913" s="56" t="n">
        <v>69</v>
      </c>
      <c r="N5913" s="56" t="n">
        <v>8.6</v>
      </c>
      <c r="O5913" s="56" t="n">
        <f aca="false">IF(D5913=1,"",E5912)</f>
        <v>22.8</v>
      </c>
      <c r="P5913" s="56" t="n">
        <f aca="false">IF(OR(D5913=1,K5912=""),"",K5912)</f>
        <v>1016.9</v>
      </c>
      <c r="Q5913" s="56" t="n">
        <f aca="false">IF(OR(F5913&lt;&gt;0,AND(I5913&lt;&gt;"",E5913&lt;I5913)),1,0)</f>
        <v>0</v>
      </c>
      <c r="R5913" s="56" t="n">
        <f aca="false">IF(AND(D5913&gt;1,Q5913=0,ISNUMBER(O5913),ISNUMBER(P5913)),IF(Q5912=0,1,0),0)</f>
        <v>1</v>
      </c>
      <c r="S5913" s="56" t="n">
        <f aca="false">R5913*(B5913&gt;=Train_Start)*(B5913&lt;=Train_End)</f>
        <v>0</v>
      </c>
      <c r="T5913" s="84" t="n">
        <f aca="false">IF(AND(ISNUMBER(O5913),ISNUMBER(P5913)),Coef_A+Coef_B1*O5913+Coef_B2*P5913,"")</f>
        <v>22.6679548766721</v>
      </c>
      <c r="U5913" s="84" t="n">
        <f aca="false">IF(AND(R5913=1,ISNUMBER(T5913)),E5913-T5913,"")</f>
        <v>-1.5679548766721</v>
      </c>
      <c r="V5913" s="84" t="n">
        <f aca="false">IF(ISNUMBER(T5913),T5913,-99)</f>
        <v>22.6679548766721</v>
      </c>
      <c r="W5913" s="84" t="n">
        <f aca="false">IF(ISNUMBER(U5913),ABS(U5913),"")</f>
        <v>1.5679548766721</v>
      </c>
    </row>
    <row r="5914" customFormat="false" ht="15" hidden="false" customHeight="false" outlineLevel="0" collapsed="false">
      <c r="A5914" s="57" t="n">
        <v>42954</v>
      </c>
      <c r="B5914" s="56" t="n">
        <v>2017</v>
      </c>
      <c r="C5914" s="56" t="n">
        <v>8</v>
      </c>
      <c r="D5914" s="56" t="n">
        <v>99</v>
      </c>
      <c r="E5914" s="56" t="n">
        <v>17</v>
      </c>
      <c r="F5914" s="56" t="n">
        <v>1</v>
      </c>
      <c r="G5914" s="56" t="n">
        <v>13.1</v>
      </c>
      <c r="H5914" s="56" t="n">
        <v>0</v>
      </c>
      <c r="I5914" s="56" t="n">
        <v>17.1</v>
      </c>
      <c r="J5914" s="56" t="n">
        <v>1</v>
      </c>
      <c r="K5914" s="56" t="n">
        <v>1017.3</v>
      </c>
      <c r="L5914" s="56" t="n">
        <v>0</v>
      </c>
      <c r="M5914" s="56" t="n">
        <v>82</v>
      </c>
      <c r="N5914" s="56" t="n">
        <v>0.7</v>
      </c>
      <c r="O5914" s="56" t="n">
        <f aca="false">IF(D5914=1,"",E5913)</f>
        <v>21.1</v>
      </c>
      <c r="P5914" s="56" t="n">
        <f aca="false">IF(OR(D5914=1,K5913=""),"",K5913)</f>
        <v>1021.9</v>
      </c>
      <c r="Q5914" s="56" t="n">
        <f aca="false">IF(OR(F5914&lt;&gt;0,AND(I5914&lt;&gt;"",E5914&lt;I5914)),1,0)</f>
        <v>1</v>
      </c>
      <c r="R5914" s="56" t="n">
        <f aca="false">IF(AND(D5914&gt;1,Q5914=0,ISNUMBER(O5914),ISNUMBER(P5914)),IF(Q5913=0,1,0),0)</f>
        <v>0</v>
      </c>
      <c r="S5914" s="56" t="n">
        <f aca="false">R5914*(B5914&gt;=Train_Start)*(B5914&lt;=Train_End)</f>
        <v>0</v>
      </c>
      <c r="T5914" s="84" t="n">
        <f aca="false">IF(AND(ISNUMBER(O5914),ISNUMBER(P5914)),Coef_A+Coef_B1*O5914+Coef_B2*P5914,"")</f>
        <v>21.4319277216695</v>
      </c>
      <c r="U5914" s="84" t="str">
        <f aca="false">IF(AND(R5914=1,ISNUMBER(T5914)),E5914-T5914,"")</f>
        <v/>
      </c>
      <c r="V5914" s="84" t="n">
        <f aca="false">IF(ISNUMBER(T5914),T5914,-99)</f>
        <v>21.4319277216695</v>
      </c>
      <c r="W5914" s="84" t="str">
        <f aca="false">IF(ISNUMBER(U5914),ABS(U5914),"")</f>
        <v/>
      </c>
    </row>
    <row r="5915" customFormat="false" ht="15" hidden="false" customHeight="false" outlineLevel="0" collapsed="false">
      <c r="A5915" s="57" t="n">
        <v>42955</v>
      </c>
      <c r="B5915" s="56" t="n">
        <v>2017</v>
      </c>
      <c r="C5915" s="56" t="n">
        <v>8</v>
      </c>
      <c r="D5915" s="56" t="n">
        <v>100</v>
      </c>
      <c r="E5915" s="56" t="n">
        <v>16.1</v>
      </c>
      <c r="F5915" s="56" t="n">
        <v>0</v>
      </c>
      <c r="G5915" s="56" t="n">
        <v>15</v>
      </c>
      <c r="H5915" s="56" t="n">
        <v>0</v>
      </c>
      <c r="I5915" s="56" t="n">
        <v>16</v>
      </c>
      <c r="J5915" s="56" t="n">
        <v>0</v>
      </c>
      <c r="K5915" s="56" t="n">
        <v>1011.5</v>
      </c>
      <c r="L5915" s="56" t="n">
        <v>0</v>
      </c>
      <c r="M5915" s="56" t="n">
        <v>83</v>
      </c>
      <c r="N5915" s="56" t="n">
        <v>0.3</v>
      </c>
      <c r="O5915" s="56" t="n">
        <f aca="false">IF(D5915=1,"",E5914)</f>
        <v>17</v>
      </c>
      <c r="P5915" s="56" t="n">
        <f aca="false">IF(OR(D5915=1,K5914=""),"",K5914)</f>
        <v>1017.3</v>
      </c>
      <c r="Q5915" s="56" t="n">
        <f aca="false">IF(OR(F5915&lt;&gt;0,AND(I5915&lt;&gt;"",E5915&lt;I5915)),1,0)</f>
        <v>0</v>
      </c>
      <c r="R5915" s="56" t="n">
        <f aca="false">IF(AND(D5915&gt;1,Q5915=0,ISNUMBER(O5915),ISNUMBER(P5915)),IF(Q5914=0,1,0),0)</f>
        <v>0</v>
      </c>
      <c r="S5915" s="56" t="n">
        <f aca="false">R5915*(B5915&gt;=Train_Start)*(B5915&lt;=Train_End)</f>
        <v>0</v>
      </c>
      <c r="T5915" s="84" t="n">
        <f aca="false">IF(AND(ISNUMBER(O5915),ISNUMBER(P5915)),Coef_A+Coef_B1*O5915+Coef_B2*P5915,"")</f>
        <v>17.9283355148783</v>
      </c>
      <c r="U5915" s="84" t="str">
        <f aca="false">IF(AND(R5915=1,ISNUMBER(T5915)),E5915-T5915,"")</f>
        <v/>
      </c>
      <c r="V5915" s="84" t="n">
        <f aca="false">IF(ISNUMBER(T5915),T5915,-99)</f>
        <v>17.9283355148783</v>
      </c>
      <c r="W5915" s="84" t="str">
        <f aca="false">IF(ISNUMBER(U5915),ABS(U5915),"")</f>
        <v/>
      </c>
    </row>
    <row r="5916" customFormat="false" ht="15" hidden="false" customHeight="false" outlineLevel="0" collapsed="false">
      <c r="A5916" s="57" t="n">
        <v>42956</v>
      </c>
      <c r="B5916" s="56" t="n">
        <v>2017</v>
      </c>
      <c r="C5916" s="56" t="n">
        <v>8</v>
      </c>
      <c r="D5916" s="56" t="n">
        <v>101</v>
      </c>
      <c r="E5916" s="56" t="n">
        <v>21</v>
      </c>
      <c r="F5916" s="56" t="n">
        <v>0</v>
      </c>
      <c r="G5916" s="56" t="n">
        <v>13</v>
      </c>
      <c r="H5916" s="56" t="n">
        <v>0</v>
      </c>
      <c r="I5916" s="56" t="n">
        <v>14.6</v>
      </c>
      <c r="J5916" s="56" t="n">
        <v>0</v>
      </c>
      <c r="K5916" s="56" t="n">
        <v>1015.9</v>
      </c>
      <c r="L5916" s="56" t="n">
        <v>0</v>
      </c>
      <c r="M5916" s="56" t="n">
        <v>92</v>
      </c>
      <c r="N5916" s="56" t="n">
        <v>0</v>
      </c>
      <c r="O5916" s="56" t="n">
        <f aca="false">IF(D5916=1,"",E5915)</f>
        <v>16.1</v>
      </c>
      <c r="P5916" s="56" t="n">
        <f aca="false">IF(OR(D5916=1,K5915=""),"",K5915)</f>
        <v>1011.5</v>
      </c>
      <c r="Q5916" s="56" t="n">
        <f aca="false">IF(OR(F5916&lt;&gt;0,AND(I5916&lt;&gt;"",E5916&lt;I5916)),1,0)</f>
        <v>0</v>
      </c>
      <c r="R5916" s="56" t="n">
        <f aca="false">IF(AND(D5916&gt;1,Q5916=0,ISNUMBER(O5916),ISNUMBER(P5916)),IF(Q5915=0,1,0),0)</f>
        <v>1</v>
      </c>
      <c r="S5916" s="56" t="n">
        <f aca="false">R5916*(B5916&gt;=Train_Start)*(B5916&lt;=Train_End)</f>
        <v>0</v>
      </c>
      <c r="T5916" s="84" t="n">
        <f aca="false">IF(AND(ISNUMBER(O5916),ISNUMBER(P5916)),Coef_A+Coef_B1*O5916+Coef_B2*P5916,"")</f>
        <v>17.0089848522628</v>
      </c>
      <c r="U5916" s="84" t="n">
        <f aca="false">IF(AND(R5916=1,ISNUMBER(T5916)),E5916-T5916,"")</f>
        <v>3.99101514773724</v>
      </c>
      <c r="V5916" s="84" t="n">
        <f aca="false">IF(ISNUMBER(T5916),T5916,-99)</f>
        <v>17.0089848522628</v>
      </c>
      <c r="W5916" s="84" t="n">
        <f aca="false">IF(ISNUMBER(U5916),ABS(U5916),"")</f>
        <v>3.99101514773724</v>
      </c>
    </row>
    <row r="5917" customFormat="false" ht="15" hidden="false" customHeight="false" outlineLevel="0" collapsed="false">
      <c r="A5917" s="57" t="n">
        <v>42957</v>
      </c>
      <c r="B5917" s="56" t="n">
        <v>2017</v>
      </c>
      <c r="C5917" s="56" t="n">
        <v>8</v>
      </c>
      <c r="D5917" s="56" t="n">
        <v>102</v>
      </c>
      <c r="E5917" s="56" t="n">
        <v>22.6</v>
      </c>
      <c r="F5917" s="56" t="n">
        <v>0</v>
      </c>
      <c r="G5917" s="56" t="n">
        <v>12.2</v>
      </c>
      <c r="H5917" s="56" t="n">
        <v>0</v>
      </c>
      <c r="I5917" s="56" t="n">
        <v>16.6</v>
      </c>
      <c r="J5917" s="56" t="n">
        <v>0</v>
      </c>
      <c r="K5917" s="56" t="n">
        <v>1023.2</v>
      </c>
      <c r="L5917" s="56" t="n">
        <v>0</v>
      </c>
      <c r="M5917" s="56" t="n">
        <v>67</v>
      </c>
      <c r="N5917" s="56" t="n">
        <v>7.7</v>
      </c>
      <c r="O5917" s="56" t="n">
        <f aca="false">IF(D5917=1,"",E5916)</f>
        <v>21</v>
      </c>
      <c r="P5917" s="56" t="n">
        <f aca="false">IF(OR(D5917=1,K5916=""),"",K5916)</f>
        <v>1015.9</v>
      </c>
      <c r="Q5917" s="56" t="n">
        <f aca="false">IF(OR(F5917&lt;&gt;0,AND(I5917&lt;&gt;"",E5917&lt;I5917)),1,0)</f>
        <v>0</v>
      </c>
      <c r="R5917" s="56" t="n">
        <f aca="false">IF(AND(D5917&gt;1,Q5917=0,ISNUMBER(O5917),ISNUMBER(P5917)),IF(Q5916=0,1,0),0)</f>
        <v>1</v>
      </c>
      <c r="S5917" s="56" t="n">
        <f aca="false">R5917*(B5917&gt;=Train_Start)*(B5917&lt;=Train_End)</f>
        <v>0</v>
      </c>
      <c r="T5917" s="84" t="n">
        <f aca="false">IF(AND(ISNUMBER(O5917),ISNUMBER(P5917)),Coef_A+Coef_B1*O5917+Coef_B2*P5917,"")</f>
        <v>21.1617744345613</v>
      </c>
      <c r="U5917" s="84" t="n">
        <f aca="false">IF(AND(R5917=1,ISNUMBER(T5917)),E5917-T5917,"")</f>
        <v>1.43822556543867</v>
      </c>
      <c r="V5917" s="84" t="n">
        <f aca="false">IF(ISNUMBER(T5917),T5917,-99)</f>
        <v>21.1617744345613</v>
      </c>
      <c r="W5917" s="84" t="n">
        <f aca="false">IF(ISNUMBER(U5917),ABS(U5917),"")</f>
        <v>1.43822556543867</v>
      </c>
    </row>
    <row r="5918" customFormat="false" ht="15" hidden="false" customHeight="false" outlineLevel="0" collapsed="false">
      <c r="A5918" s="57" t="n">
        <v>42958</v>
      </c>
      <c r="B5918" s="56" t="n">
        <v>2017</v>
      </c>
      <c r="C5918" s="56" t="n">
        <v>8</v>
      </c>
      <c r="D5918" s="56" t="n">
        <v>103</v>
      </c>
      <c r="E5918" s="56" t="n">
        <v>22.5</v>
      </c>
      <c r="F5918" s="56" t="n">
        <v>0</v>
      </c>
      <c r="G5918" s="56" t="n">
        <v>9.9</v>
      </c>
      <c r="H5918" s="56" t="n">
        <v>0</v>
      </c>
      <c r="I5918" s="56" t="n">
        <v>16.2</v>
      </c>
      <c r="J5918" s="56" t="n">
        <v>0</v>
      </c>
      <c r="K5918" s="56" t="n">
        <v>1019</v>
      </c>
      <c r="L5918" s="56" t="n">
        <v>0</v>
      </c>
      <c r="M5918" s="56" t="n">
        <v>74</v>
      </c>
      <c r="N5918" s="56" t="n">
        <v>8.5</v>
      </c>
      <c r="O5918" s="56" t="n">
        <f aca="false">IF(D5918=1,"",E5917)</f>
        <v>22.6</v>
      </c>
      <c r="P5918" s="56" t="n">
        <f aca="false">IF(OR(D5918=1,K5917=""),"",K5917)</f>
        <v>1023.2</v>
      </c>
      <c r="Q5918" s="56" t="n">
        <f aca="false">IF(OR(F5918&lt;&gt;0,AND(I5918&lt;&gt;"",E5918&lt;I5918)),1,0)</f>
        <v>0</v>
      </c>
      <c r="R5918" s="56" t="n">
        <f aca="false">IF(AND(D5918&gt;1,Q5918=0,ISNUMBER(O5918),ISNUMBER(P5918)),IF(Q5917=0,1,0),0)</f>
        <v>1</v>
      </c>
      <c r="S5918" s="56" t="n">
        <f aca="false">R5918*(B5918&gt;=Train_Start)*(B5918&lt;=Train_End)</f>
        <v>0</v>
      </c>
      <c r="T5918" s="84" t="n">
        <f aca="false">IF(AND(ISNUMBER(O5918),ISNUMBER(P5918)),Coef_A+Coef_B1*O5918+Coef_B2*P5918,"")</f>
        <v>22.7017173742577</v>
      </c>
      <c r="U5918" s="84" t="n">
        <f aca="false">IF(AND(R5918=1,ISNUMBER(T5918)),E5918-T5918,"")</f>
        <v>-0.201717374257708</v>
      </c>
      <c r="V5918" s="84" t="n">
        <f aca="false">IF(ISNUMBER(T5918),T5918,-99)</f>
        <v>22.7017173742577</v>
      </c>
      <c r="W5918" s="84" t="n">
        <f aca="false">IF(ISNUMBER(U5918),ABS(U5918),"")</f>
        <v>0.201717374257708</v>
      </c>
    </row>
    <row r="5919" customFormat="false" ht="15" hidden="false" customHeight="false" outlineLevel="0" collapsed="false">
      <c r="A5919" s="57" t="n">
        <v>42959</v>
      </c>
      <c r="B5919" s="56" t="n">
        <v>2017</v>
      </c>
      <c r="C5919" s="56" t="n">
        <v>8</v>
      </c>
      <c r="D5919" s="56" t="n">
        <v>104</v>
      </c>
      <c r="E5919" s="56" t="n">
        <v>22.7</v>
      </c>
      <c r="F5919" s="56" t="n">
        <v>0</v>
      </c>
      <c r="G5919" s="56" t="n">
        <v>16.6</v>
      </c>
      <c r="H5919" s="56" t="n">
        <v>0</v>
      </c>
      <c r="I5919" s="56" t="n">
        <v>19.6</v>
      </c>
      <c r="J5919" s="56" t="n">
        <v>0</v>
      </c>
      <c r="K5919" s="56" t="n">
        <v>1015.9</v>
      </c>
      <c r="L5919" s="56" t="n">
        <v>0</v>
      </c>
      <c r="M5919" s="56" t="n">
        <v>69</v>
      </c>
      <c r="N5919" s="56" t="n">
        <v>4.3</v>
      </c>
      <c r="O5919" s="56" t="n">
        <f aca="false">IF(D5919=1,"",E5918)</f>
        <v>22.5</v>
      </c>
      <c r="P5919" s="56" t="n">
        <f aca="false">IF(OR(D5919=1,K5918=""),"",K5918)</f>
        <v>1019</v>
      </c>
      <c r="Q5919" s="56" t="n">
        <f aca="false">IF(OR(F5919&lt;&gt;0,AND(I5919&lt;&gt;"",E5919&lt;I5919)),1,0)</f>
        <v>0</v>
      </c>
      <c r="R5919" s="56" t="n">
        <f aca="false">IF(AND(D5919&gt;1,Q5919=0,ISNUMBER(O5919),ISNUMBER(P5919)),IF(Q5918=0,1,0),0)</f>
        <v>1</v>
      </c>
      <c r="S5919" s="56" t="n">
        <f aca="false">R5919*(B5919&gt;=Train_Start)*(B5919&lt;=Train_End)</f>
        <v>0</v>
      </c>
      <c r="T5919" s="84" t="n">
        <f aca="false">IF(AND(ISNUMBER(O5919),ISNUMBER(P5919)),Coef_A+Coef_B1*O5919+Coef_B2*P5919,"")</f>
        <v>22.4880298974907</v>
      </c>
      <c r="U5919" s="84" t="n">
        <f aca="false">IF(AND(R5919=1,ISNUMBER(T5919)),E5919-T5919,"")</f>
        <v>0.211970102509312</v>
      </c>
      <c r="V5919" s="84" t="n">
        <f aca="false">IF(ISNUMBER(T5919),T5919,-99)</f>
        <v>22.4880298974907</v>
      </c>
      <c r="W5919" s="84" t="n">
        <f aca="false">IF(ISNUMBER(U5919),ABS(U5919),"")</f>
        <v>0.211970102509312</v>
      </c>
    </row>
    <row r="5920" customFormat="false" ht="15" hidden="false" customHeight="false" outlineLevel="0" collapsed="false">
      <c r="A5920" s="57" t="n">
        <v>42960</v>
      </c>
      <c r="B5920" s="56" t="n">
        <v>2017</v>
      </c>
      <c r="C5920" s="56" t="n">
        <v>8</v>
      </c>
      <c r="D5920" s="56" t="n">
        <v>105</v>
      </c>
      <c r="E5920" s="56" t="n">
        <v>23.5</v>
      </c>
      <c r="F5920" s="56" t="n">
        <v>0</v>
      </c>
      <c r="G5920" s="56" t="n">
        <v>12.3</v>
      </c>
      <c r="H5920" s="56" t="n">
        <v>0</v>
      </c>
      <c r="I5920" s="56" t="n">
        <v>17.5</v>
      </c>
      <c r="J5920" s="56" t="n">
        <v>0</v>
      </c>
      <c r="K5920" s="56" t="n">
        <v>1021</v>
      </c>
      <c r="L5920" s="56" t="n">
        <v>0</v>
      </c>
      <c r="M5920" s="56" t="n">
        <v>56</v>
      </c>
      <c r="N5920" s="56" t="n">
        <v>12.4</v>
      </c>
      <c r="O5920" s="56" t="n">
        <f aca="false">IF(D5920=1,"",E5919)</f>
        <v>22.7</v>
      </c>
      <c r="P5920" s="56" t="n">
        <f aca="false">IF(OR(D5920=1,K5919=""),"",K5919)</f>
        <v>1015.9</v>
      </c>
      <c r="Q5920" s="56" t="n">
        <f aca="false">IF(OR(F5920&lt;&gt;0,AND(I5920&lt;&gt;"",E5920&lt;I5920)),1,0)</f>
        <v>0</v>
      </c>
      <c r="R5920" s="56" t="n">
        <f aca="false">IF(AND(D5920&gt;1,Q5920=0,ISNUMBER(O5920),ISNUMBER(P5920)),IF(Q5919=0,1,0),0)</f>
        <v>1</v>
      </c>
      <c r="S5920" s="56" t="n">
        <f aca="false">R5920*(B5920&gt;=Train_Start)*(B5920&lt;=Train_End)</f>
        <v>0</v>
      </c>
      <c r="T5920" s="84" t="n">
        <f aca="false">IF(AND(ISNUMBER(O5920),ISNUMBER(P5920)),Coef_A+Coef_B1*O5920+Coef_B2*P5920,"")</f>
        <v>22.5546510627338</v>
      </c>
      <c r="U5920" s="84" t="n">
        <f aca="false">IF(AND(R5920=1,ISNUMBER(T5920)),E5920-T5920,"")</f>
        <v>0.945348937266154</v>
      </c>
      <c r="V5920" s="84" t="n">
        <f aca="false">IF(ISNUMBER(T5920),T5920,-99)</f>
        <v>22.5546510627338</v>
      </c>
      <c r="W5920" s="84" t="n">
        <f aca="false">IF(ISNUMBER(U5920),ABS(U5920),"")</f>
        <v>0.945348937266154</v>
      </c>
    </row>
    <row r="5921" customFormat="false" ht="15" hidden="false" customHeight="false" outlineLevel="0" collapsed="false">
      <c r="A5921" s="57" t="n">
        <v>42961</v>
      </c>
      <c r="B5921" s="56" t="n">
        <v>2017</v>
      </c>
      <c r="C5921" s="56" t="n">
        <v>8</v>
      </c>
      <c r="D5921" s="56" t="n">
        <v>106</v>
      </c>
      <c r="E5921" s="56" t="n">
        <v>24.2</v>
      </c>
      <c r="F5921" s="56" t="n">
        <v>0</v>
      </c>
      <c r="G5921" s="56" t="n">
        <v>10.7</v>
      </c>
      <c r="H5921" s="56" t="n">
        <v>0</v>
      </c>
      <c r="I5921" s="56" t="n">
        <v>17.1</v>
      </c>
      <c r="J5921" s="56" t="n">
        <v>0</v>
      </c>
      <c r="K5921" s="56" t="n">
        <v>1017.2</v>
      </c>
      <c r="L5921" s="56" t="n">
        <v>0</v>
      </c>
      <c r="M5921" s="56" t="n">
        <v>66</v>
      </c>
      <c r="N5921" s="56" t="n">
        <v>6.6</v>
      </c>
      <c r="O5921" s="56" t="n">
        <f aca="false">IF(D5921=1,"",E5920)</f>
        <v>23.5</v>
      </c>
      <c r="P5921" s="56" t="n">
        <f aca="false">IF(OR(D5921=1,K5920=""),"",K5920)</f>
        <v>1021</v>
      </c>
      <c r="Q5921" s="56" t="n">
        <f aca="false">IF(OR(F5921&lt;&gt;0,AND(I5921&lt;&gt;"",E5921&lt;I5921)),1,0)</f>
        <v>0</v>
      </c>
      <c r="R5921" s="56" t="n">
        <f aca="false">IF(AND(D5921&gt;1,Q5921=0,ISNUMBER(O5921),ISNUMBER(P5921)),IF(Q5920=0,1,0),0)</f>
        <v>1</v>
      </c>
      <c r="S5921" s="56" t="n">
        <f aca="false">R5921*(B5921&gt;=Train_Start)*(B5921&lt;=Train_End)</f>
        <v>0</v>
      </c>
      <c r="T5921" s="84" t="n">
        <f aca="false">IF(AND(ISNUMBER(O5921),ISNUMBER(P5921)),Coef_A+Coef_B1*O5921+Coef_B2*P5921,"")</f>
        <v>23.3701088798013</v>
      </c>
      <c r="U5921" s="84" t="n">
        <f aca="false">IF(AND(R5921=1,ISNUMBER(T5921)),E5921-T5921,"")</f>
        <v>0.829891120198681</v>
      </c>
      <c r="V5921" s="84" t="n">
        <f aca="false">IF(ISNUMBER(T5921),T5921,-99)</f>
        <v>23.3701088798013</v>
      </c>
      <c r="W5921" s="84" t="n">
        <f aca="false">IF(ISNUMBER(U5921),ABS(U5921),"")</f>
        <v>0.829891120198681</v>
      </c>
    </row>
    <row r="5922" customFormat="false" ht="15" hidden="false" customHeight="false" outlineLevel="0" collapsed="false">
      <c r="A5922" s="57" t="n">
        <v>42962</v>
      </c>
      <c r="B5922" s="56" t="n">
        <v>2017</v>
      </c>
      <c r="C5922" s="56" t="n">
        <v>8</v>
      </c>
      <c r="D5922" s="56" t="n">
        <v>107</v>
      </c>
      <c r="E5922" s="56" t="n">
        <v>23.6</v>
      </c>
      <c r="F5922" s="56" t="n">
        <v>0</v>
      </c>
      <c r="G5922" s="56" t="n">
        <v>15.2</v>
      </c>
      <c r="H5922" s="56" t="n">
        <v>0</v>
      </c>
      <c r="I5922" s="56" t="n">
        <v>19.7</v>
      </c>
      <c r="J5922" s="56" t="n">
        <v>0</v>
      </c>
      <c r="K5922" s="56" t="n">
        <v>1015.4</v>
      </c>
      <c r="L5922" s="56" t="n">
        <v>0</v>
      </c>
      <c r="M5922" s="56" t="n">
        <v>65</v>
      </c>
      <c r="N5922" s="56" t="n">
        <v>7.8</v>
      </c>
      <c r="O5922" s="56" t="n">
        <f aca="false">IF(D5922=1,"",E5921)</f>
        <v>24.2</v>
      </c>
      <c r="P5922" s="56" t="n">
        <f aca="false">IF(OR(D5922=1,K5921=""),"",K5921)</f>
        <v>1017.2</v>
      </c>
      <c r="Q5922" s="56" t="n">
        <f aca="false">IF(OR(F5922&lt;&gt;0,AND(I5922&lt;&gt;"",E5922&lt;I5922)),1,0)</f>
        <v>0</v>
      </c>
      <c r="R5922" s="56" t="n">
        <f aca="false">IF(AND(D5922&gt;1,Q5922=0,ISNUMBER(O5922),ISNUMBER(P5922)),IF(Q5921=0,1,0),0)</f>
        <v>1</v>
      </c>
      <c r="S5922" s="56" t="n">
        <f aca="false">R5922*(B5922&gt;=Train_Start)*(B5922&lt;=Train_End)</f>
        <v>0</v>
      </c>
      <c r="T5922" s="84" t="n">
        <f aca="false">IF(AND(ISNUMBER(O5922),ISNUMBER(P5922)),Coef_A+Coef_B1*O5922+Coef_B2*P5922,"")</f>
        <v>23.824440715322</v>
      </c>
      <c r="U5922" s="84" t="n">
        <f aca="false">IF(AND(R5922=1,ISNUMBER(T5922)),E5922-T5922,"")</f>
        <v>-0.224440715322022</v>
      </c>
      <c r="V5922" s="84" t="n">
        <f aca="false">IF(ISNUMBER(T5922),T5922,-99)</f>
        <v>23.824440715322</v>
      </c>
      <c r="W5922" s="84" t="n">
        <f aca="false">IF(ISNUMBER(U5922),ABS(U5922),"")</f>
        <v>0.224440715322022</v>
      </c>
    </row>
    <row r="5923" customFormat="false" ht="15" hidden="false" customHeight="false" outlineLevel="0" collapsed="false">
      <c r="A5923" s="57" t="n">
        <v>42963</v>
      </c>
      <c r="B5923" s="56" t="n">
        <v>2017</v>
      </c>
      <c r="C5923" s="56" t="n">
        <v>8</v>
      </c>
      <c r="D5923" s="56" t="n">
        <v>108</v>
      </c>
      <c r="E5923" s="56" t="n">
        <v>24.8</v>
      </c>
      <c r="F5923" s="56" t="n">
        <v>0</v>
      </c>
      <c r="G5923" s="56" t="n">
        <v>11.5</v>
      </c>
      <c r="H5923" s="56" t="n">
        <v>0</v>
      </c>
      <c r="I5923" s="56" t="n">
        <v>17.6</v>
      </c>
      <c r="J5923" s="56" t="n">
        <v>0</v>
      </c>
      <c r="K5923" s="56" t="n">
        <v>1018.8</v>
      </c>
      <c r="L5923" s="56" t="n">
        <v>0</v>
      </c>
      <c r="M5923" s="56" t="n">
        <v>68</v>
      </c>
      <c r="N5923" s="56" t="n">
        <v>4.7</v>
      </c>
      <c r="O5923" s="56" t="n">
        <f aca="false">IF(D5923=1,"",E5922)</f>
        <v>23.6</v>
      </c>
      <c r="P5923" s="56" t="n">
        <f aca="false">IF(OR(D5923=1,K5922=""),"",K5922)</f>
        <v>1015.4</v>
      </c>
      <c r="Q5923" s="56" t="n">
        <f aca="false">IF(OR(F5923&lt;&gt;0,AND(I5923&lt;&gt;"",E5923&lt;I5923)),1,0)</f>
        <v>0</v>
      </c>
      <c r="R5923" s="56" t="n">
        <f aca="false">IF(AND(D5923&gt;1,Q5923=0,ISNUMBER(O5923),ISNUMBER(P5923)),IF(Q5922=0,1,0),0)</f>
        <v>1</v>
      </c>
      <c r="S5923" s="56" t="n">
        <f aca="false">R5923*(B5923&gt;=Train_Start)*(B5923&lt;=Train_End)</f>
        <v>0</v>
      </c>
      <c r="T5923" s="84" t="n">
        <f aca="false">IF(AND(ISNUMBER(O5923),ISNUMBER(P5923)),Coef_A+Coef_B1*O5923+Coef_B2*P5923,"")</f>
        <v>23.2763713891552</v>
      </c>
      <c r="U5923" s="84" t="n">
        <f aca="false">IF(AND(R5923=1,ISNUMBER(T5923)),E5923-T5923,"")</f>
        <v>1.52362861084475</v>
      </c>
      <c r="V5923" s="84" t="n">
        <f aca="false">IF(ISNUMBER(T5923),T5923,-99)</f>
        <v>23.2763713891552</v>
      </c>
      <c r="W5923" s="84" t="n">
        <f aca="false">IF(ISNUMBER(U5923),ABS(U5923),"")</f>
        <v>1.52362861084475</v>
      </c>
    </row>
    <row r="5924" customFormat="false" ht="15" hidden="false" customHeight="false" outlineLevel="0" collapsed="false">
      <c r="A5924" s="57" t="n">
        <v>42964</v>
      </c>
      <c r="B5924" s="56" t="n">
        <v>2017</v>
      </c>
      <c r="C5924" s="56" t="n">
        <v>8</v>
      </c>
      <c r="D5924" s="56" t="n">
        <v>109</v>
      </c>
      <c r="E5924" s="56" t="n">
        <v>20.3</v>
      </c>
      <c r="F5924" s="56" t="n">
        <v>0</v>
      </c>
      <c r="G5924" s="56" t="n">
        <v>15.4</v>
      </c>
      <c r="H5924" s="56" t="n">
        <v>0</v>
      </c>
      <c r="I5924" s="56" t="n">
        <v>20.1</v>
      </c>
      <c r="J5924" s="56" t="n">
        <v>0</v>
      </c>
      <c r="K5924" s="56" t="n">
        <v>1011.3</v>
      </c>
      <c r="L5924" s="56" t="n">
        <v>0</v>
      </c>
      <c r="M5924" s="56" t="n">
        <v>78</v>
      </c>
      <c r="N5924" s="56" t="n">
        <v>4.8</v>
      </c>
      <c r="O5924" s="56" t="n">
        <f aca="false">IF(D5924=1,"",E5923)</f>
        <v>24.8</v>
      </c>
      <c r="P5924" s="56" t="n">
        <f aca="false">IF(OR(D5924=1,K5923=""),"",K5923)</f>
        <v>1018.8</v>
      </c>
      <c r="Q5924" s="56" t="n">
        <f aca="false">IF(OR(F5924&lt;&gt;0,AND(I5924&lt;&gt;"",E5924&lt;I5924)),1,0)</f>
        <v>0</v>
      </c>
      <c r="R5924" s="56" t="n">
        <f aca="false">IF(AND(D5924&gt;1,Q5924=0,ISNUMBER(O5924),ISNUMBER(P5924)),IF(Q5923=0,1,0),0)</f>
        <v>1</v>
      </c>
      <c r="S5924" s="56" t="n">
        <f aca="false">R5924*(B5924&gt;=Train_Start)*(B5924&lt;=Train_End)</f>
        <v>0</v>
      </c>
      <c r="T5924" s="84" t="n">
        <f aca="false">IF(AND(ISNUMBER(O5924),ISNUMBER(P5924)),Coef_A+Coef_B1*O5924+Coef_B2*P5924,"")</f>
        <v>24.366236062562</v>
      </c>
      <c r="U5924" s="84" t="n">
        <f aca="false">IF(AND(R5924=1,ISNUMBER(T5924)),E5924-T5924,"")</f>
        <v>-4.066236062562</v>
      </c>
      <c r="V5924" s="84" t="n">
        <f aca="false">IF(ISNUMBER(T5924),T5924,-99)</f>
        <v>24.366236062562</v>
      </c>
      <c r="W5924" s="84" t="n">
        <f aca="false">IF(ISNUMBER(U5924),ABS(U5924),"")</f>
        <v>4.066236062562</v>
      </c>
    </row>
    <row r="5925" customFormat="false" ht="15" hidden="false" customHeight="false" outlineLevel="0" collapsed="false">
      <c r="A5925" s="57" t="n">
        <v>42965</v>
      </c>
      <c r="B5925" s="56" t="n">
        <v>2017</v>
      </c>
      <c r="C5925" s="56" t="n">
        <v>8</v>
      </c>
      <c r="D5925" s="56" t="n">
        <v>110</v>
      </c>
      <c r="E5925" s="56" t="n">
        <v>20.8</v>
      </c>
      <c r="F5925" s="56" t="n">
        <v>0</v>
      </c>
      <c r="G5925" s="56" t="n">
        <v>15</v>
      </c>
      <c r="H5925" s="56" t="n">
        <v>0</v>
      </c>
      <c r="I5925" s="56" t="n">
        <v>17.6</v>
      </c>
      <c r="J5925" s="56" t="n">
        <v>0</v>
      </c>
      <c r="K5925" s="56" t="n">
        <v>1011.1</v>
      </c>
      <c r="L5925" s="56" t="n">
        <v>0</v>
      </c>
      <c r="M5925" s="56" t="n">
        <v>77</v>
      </c>
      <c r="N5925" s="56" t="n">
        <v>7.2</v>
      </c>
      <c r="O5925" s="56" t="n">
        <f aca="false">IF(D5925=1,"",E5924)</f>
        <v>20.3</v>
      </c>
      <c r="P5925" s="56" t="n">
        <f aca="false">IF(OR(D5925=1,K5924=""),"",K5924)</f>
        <v>1011.3</v>
      </c>
      <c r="Q5925" s="56" t="n">
        <f aca="false">IF(OR(F5925&lt;&gt;0,AND(I5925&lt;&gt;"",E5925&lt;I5925)),1,0)</f>
        <v>0</v>
      </c>
      <c r="R5925" s="56" t="n">
        <f aca="false">IF(AND(D5925&gt;1,Q5925=0,ISNUMBER(O5925),ISNUMBER(P5925)),IF(Q5924=0,1,0),0)</f>
        <v>1</v>
      </c>
      <c r="S5925" s="56" t="n">
        <f aca="false">R5925*(B5925&gt;=Train_Start)*(B5925&lt;=Train_End)</f>
        <v>0</v>
      </c>
      <c r="T5925" s="84" t="n">
        <f aca="false">IF(AND(ISNUMBER(O5925),ISNUMBER(P5925)),Coef_A+Coef_B1*O5925+Coef_B2*P5925,"")</f>
        <v>20.4439354841151</v>
      </c>
      <c r="U5925" s="84" t="n">
        <f aca="false">IF(AND(R5925=1,ISNUMBER(T5925)),E5925-T5925,"")</f>
        <v>0.356064515884885</v>
      </c>
      <c r="V5925" s="84" t="n">
        <f aca="false">IF(ISNUMBER(T5925),T5925,-99)</f>
        <v>20.4439354841151</v>
      </c>
      <c r="W5925" s="84" t="n">
        <f aca="false">IF(ISNUMBER(U5925),ABS(U5925),"")</f>
        <v>0.356064515884885</v>
      </c>
    </row>
    <row r="5926" customFormat="false" ht="15" hidden="false" customHeight="false" outlineLevel="0" collapsed="false">
      <c r="A5926" s="57" t="n">
        <v>42966</v>
      </c>
      <c r="B5926" s="56" t="n">
        <v>2017</v>
      </c>
      <c r="C5926" s="56" t="n">
        <v>8</v>
      </c>
      <c r="D5926" s="56" t="n">
        <v>111</v>
      </c>
      <c r="E5926" s="56" t="n">
        <v>21.5</v>
      </c>
      <c r="F5926" s="56" t="n">
        <v>0</v>
      </c>
      <c r="G5926" s="56" t="n">
        <v>12.7</v>
      </c>
      <c r="H5926" s="56" t="n">
        <v>0</v>
      </c>
      <c r="I5926" s="56" t="n">
        <v>16.8</v>
      </c>
      <c r="J5926" s="56" t="n">
        <v>0</v>
      </c>
      <c r="K5926" s="56" t="n">
        <v>1017.2</v>
      </c>
      <c r="L5926" s="56" t="n">
        <v>0</v>
      </c>
      <c r="M5926" s="56" t="n">
        <v>68</v>
      </c>
      <c r="N5926" s="56" t="n">
        <v>9</v>
      </c>
      <c r="O5926" s="56" t="n">
        <f aca="false">IF(D5926=1,"",E5925)</f>
        <v>20.8</v>
      </c>
      <c r="P5926" s="56" t="n">
        <f aca="false">IF(OR(D5926=1,K5925=""),"",K5925)</f>
        <v>1011.1</v>
      </c>
      <c r="Q5926" s="56" t="n">
        <f aca="false">IF(OR(F5926&lt;&gt;0,AND(I5926&lt;&gt;"",E5926&lt;I5926)),1,0)</f>
        <v>0</v>
      </c>
      <c r="R5926" s="56" t="n">
        <f aca="false">IF(AND(D5926&gt;1,Q5926=0,ISNUMBER(O5926),ISNUMBER(P5926)),IF(Q5925=0,1,0),0)</f>
        <v>1</v>
      </c>
      <c r="S5926" s="56" t="n">
        <f aca="false">R5926*(B5926&gt;=Train_Start)*(B5926&lt;=Train_End)</f>
        <v>0</v>
      </c>
      <c r="T5926" s="84" t="n">
        <f aca="false">IF(AND(ISNUMBER(O5926),ISNUMBER(P5926)),Coef_A+Coef_B1*O5926+Coef_B2*P5926,"")</f>
        <v>20.8473311017097</v>
      </c>
      <c r="U5926" s="84" t="n">
        <f aca="false">IF(AND(R5926=1,ISNUMBER(T5926)),E5926-T5926,"")</f>
        <v>0.652668898290351</v>
      </c>
      <c r="V5926" s="84" t="n">
        <f aca="false">IF(ISNUMBER(T5926),T5926,-99)</f>
        <v>20.8473311017097</v>
      </c>
      <c r="W5926" s="84" t="n">
        <f aca="false">IF(ISNUMBER(U5926),ABS(U5926),"")</f>
        <v>0.652668898290351</v>
      </c>
    </row>
    <row r="5927" customFormat="false" ht="15" hidden="false" customHeight="false" outlineLevel="0" collapsed="false">
      <c r="A5927" s="57" t="n">
        <v>42967</v>
      </c>
      <c r="B5927" s="56" t="n">
        <v>2017</v>
      </c>
      <c r="C5927" s="56" t="n">
        <v>8</v>
      </c>
      <c r="D5927" s="56" t="n">
        <v>112</v>
      </c>
      <c r="E5927" s="56" t="n">
        <v>19.7</v>
      </c>
      <c r="F5927" s="56" t="n">
        <v>0</v>
      </c>
      <c r="G5927" s="56" t="n">
        <v>9.7</v>
      </c>
      <c r="H5927" s="56" t="n">
        <v>0</v>
      </c>
      <c r="I5927" s="56" t="n">
        <v>15.6</v>
      </c>
      <c r="J5927" s="56" t="n">
        <v>0</v>
      </c>
      <c r="K5927" s="56" t="n">
        <v>1023.2</v>
      </c>
      <c r="L5927" s="56" t="n">
        <v>0</v>
      </c>
      <c r="M5927" s="56" t="n">
        <v>75</v>
      </c>
      <c r="N5927" s="56" t="n">
        <v>6.3</v>
      </c>
      <c r="O5927" s="56" t="n">
        <f aca="false">IF(D5927=1,"",E5926)</f>
        <v>21.5</v>
      </c>
      <c r="P5927" s="56" t="n">
        <f aca="false">IF(OR(D5927=1,K5926=""),"",K5926)</f>
        <v>1017.2</v>
      </c>
      <c r="Q5927" s="56" t="n">
        <f aca="false">IF(OR(F5927&lt;&gt;0,AND(I5927&lt;&gt;"",E5927&lt;I5927)),1,0)</f>
        <v>0</v>
      </c>
      <c r="R5927" s="56" t="n">
        <f aca="false">IF(AND(D5927&gt;1,Q5927=0,ISNUMBER(O5927),ISNUMBER(P5927)),IF(Q5926=0,1,0),0)</f>
        <v>1</v>
      </c>
      <c r="S5927" s="56" t="n">
        <f aca="false">R5927*(B5927&gt;=Train_Start)*(B5927&lt;=Train_End)</f>
        <v>0</v>
      </c>
      <c r="T5927" s="84" t="n">
        <f aca="false">IF(AND(ISNUMBER(O5927),ISNUMBER(P5927)),Coef_A+Coef_B1*O5927+Coef_B2*P5927,"")</f>
        <v>21.6122248941069</v>
      </c>
      <c r="U5927" s="84" t="n">
        <f aca="false">IF(AND(R5927=1,ISNUMBER(T5927)),E5927-T5927,"")</f>
        <v>-1.91222489410685</v>
      </c>
      <c r="V5927" s="84" t="n">
        <f aca="false">IF(ISNUMBER(T5927),T5927,-99)</f>
        <v>21.6122248941069</v>
      </c>
      <c r="W5927" s="84" t="n">
        <f aca="false">IF(ISNUMBER(U5927),ABS(U5927),"")</f>
        <v>1.91222489410685</v>
      </c>
    </row>
    <row r="5928" customFormat="false" ht="15" hidden="false" customHeight="false" outlineLevel="0" collapsed="false">
      <c r="A5928" s="57" t="n">
        <v>42968</v>
      </c>
      <c r="B5928" s="56" t="n">
        <v>2017</v>
      </c>
      <c r="C5928" s="56" t="n">
        <v>8</v>
      </c>
      <c r="D5928" s="56" t="n">
        <v>113</v>
      </c>
      <c r="E5928" s="56" t="n">
        <v>23.1</v>
      </c>
      <c r="F5928" s="56" t="n">
        <v>0</v>
      </c>
      <c r="G5928" s="56" t="n">
        <v>13.6</v>
      </c>
      <c r="H5928" s="56" t="n">
        <v>0</v>
      </c>
      <c r="I5928" s="56" t="n">
        <v>16.6</v>
      </c>
      <c r="J5928" s="56" t="n">
        <v>0</v>
      </c>
      <c r="K5928" s="56" t="n">
        <v>1021.3</v>
      </c>
      <c r="L5928" s="56" t="n">
        <v>0</v>
      </c>
      <c r="M5928" s="56" t="n">
        <v>92</v>
      </c>
      <c r="N5928" s="56" t="n">
        <v>0</v>
      </c>
      <c r="O5928" s="56" t="n">
        <f aca="false">IF(D5928=1,"",E5927)</f>
        <v>19.7</v>
      </c>
      <c r="P5928" s="56" t="n">
        <f aca="false">IF(OR(D5928=1,K5927=""),"",K5927)</f>
        <v>1023.2</v>
      </c>
      <c r="Q5928" s="56" t="n">
        <f aca="false">IF(OR(F5928&lt;&gt;0,AND(I5928&lt;&gt;"",E5928&lt;I5928)),1,0)</f>
        <v>0</v>
      </c>
      <c r="R5928" s="56" t="n">
        <f aca="false">IF(AND(D5928&gt;1,Q5928=0,ISNUMBER(O5928),ISNUMBER(P5928)),IF(Q5927=0,1,0),0)</f>
        <v>1</v>
      </c>
      <c r="S5928" s="56" t="n">
        <f aca="false">R5928*(B5928&gt;=Train_Start)*(B5928&lt;=Train_End)</f>
        <v>0</v>
      </c>
      <c r="T5928" s="84" t="n">
        <f aca="false">IF(AND(ISNUMBER(O5928),ISNUMBER(P5928)),Coef_A+Coef_B1*O5928+Coef_B2*P5928,"")</f>
        <v>20.325633714434</v>
      </c>
      <c r="U5928" s="84" t="n">
        <f aca="false">IF(AND(R5928=1,ISNUMBER(T5928)),E5928-T5928,"")</f>
        <v>2.774366285566</v>
      </c>
      <c r="V5928" s="84" t="n">
        <f aca="false">IF(ISNUMBER(T5928),T5928,-99)</f>
        <v>20.325633714434</v>
      </c>
      <c r="W5928" s="84" t="n">
        <f aca="false">IF(ISNUMBER(U5928),ABS(U5928),"")</f>
        <v>2.774366285566</v>
      </c>
    </row>
    <row r="5929" customFormat="false" ht="15" hidden="false" customHeight="false" outlineLevel="0" collapsed="false">
      <c r="A5929" s="57" t="n">
        <v>42969</v>
      </c>
      <c r="B5929" s="56" t="n">
        <v>2017</v>
      </c>
      <c r="C5929" s="56" t="n">
        <v>8</v>
      </c>
      <c r="D5929" s="56" t="n">
        <v>114</v>
      </c>
      <c r="E5929" s="56" t="n">
        <v>22.4</v>
      </c>
      <c r="F5929" s="56" t="n">
        <v>0</v>
      </c>
      <c r="G5929" s="56" t="n">
        <v>15.8</v>
      </c>
      <c r="H5929" s="56" t="n">
        <v>0</v>
      </c>
      <c r="I5929" s="56" t="n">
        <v>19.4</v>
      </c>
      <c r="J5929" s="56" t="n">
        <v>0</v>
      </c>
      <c r="K5929" s="56" t="n">
        <v>1018.6</v>
      </c>
      <c r="L5929" s="56" t="n">
        <v>0</v>
      </c>
      <c r="M5929" s="56" t="n">
        <v>85</v>
      </c>
      <c r="N5929" s="56" t="n">
        <v>0.5</v>
      </c>
      <c r="O5929" s="56" t="n">
        <f aca="false">IF(D5929=1,"",E5928)</f>
        <v>23.1</v>
      </c>
      <c r="P5929" s="56" t="n">
        <f aca="false">IF(OR(D5929=1,K5928=""),"",K5928)</f>
        <v>1021.3</v>
      </c>
      <c r="Q5929" s="56" t="n">
        <f aca="false">IF(OR(F5929&lt;&gt;0,AND(I5929&lt;&gt;"",E5929&lt;I5929)),1,0)</f>
        <v>0</v>
      </c>
      <c r="R5929" s="56" t="n">
        <f aca="false">IF(AND(D5929&gt;1,Q5929=0,ISNUMBER(O5929),ISNUMBER(P5929)),IF(Q5928=0,1,0),0)</f>
        <v>1</v>
      </c>
      <c r="S5929" s="56" t="n">
        <f aca="false">R5929*(B5929&gt;=Train_Start)*(B5929&lt;=Train_End)</f>
        <v>0</v>
      </c>
      <c r="T5929" s="84" t="n">
        <f aca="false">IF(AND(ISNUMBER(O5929),ISNUMBER(P5929)),Coef_A+Coef_B1*O5929+Coef_B2*P5929,"")</f>
        <v>23.0517841709745</v>
      </c>
      <c r="U5929" s="84" t="n">
        <f aca="false">IF(AND(R5929=1,ISNUMBER(T5929)),E5929-T5929,"")</f>
        <v>-0.651784170974459</v>
      </c>
      <c r="V5929" s="84" t="n">
        <f aca="false">IF(ISNUMBER(T5929),T5929,-99)</f>
        <v>23.0517841709745</v>
      </c>
      <c r="W5929" s="84" t="n">
        <f aca="false">IF(ISNUMBER(U5929),ABS(U5929),"")</f>
        <v>0.651784170974459</v>
      </c>
    </row>
    <row r="5930" customFormat="false" ht="15" hidden="false" customHeight="false" outlineLevel="0" collapsed="false">
      <c r="A5930" s="57" t="n">
        <v>42970</v>
      </c>
      <c r="B5930" s="56" t="n">
        <v>2017</v>
      </c>
      <c r="C5930" s="56" t="n">
        <v>8</v>
      </c>
      <c r="D5930" s="56" t="n">
        <v>115</v>
      </c>
      <c r="E5930" s="56" t="n">
        <v>21.5</v>
      </c>
      <c r="F5930" s="56" t="n">
        <v>0</v>
      </c>
      <c r="G5930" s="56" t="n">
        <v>15.9</v>
      </c>
      <c r="H5930" s="56" t="n">
        <v>0</v>
      </c>
      <c r="I5930" s="56" t="n">
        <v>19.1</v>
      </c>
      <c r="J5930" s="56" t="n">
        <v>0</v>
      </c>
      <c r="K5930" s="56" t="n">
        <v>1013.6</v>
      </c>
      <c r="L5930" s="56" t="n">
        <v>0</v>
      </c>
      <c r="M5930" s="56" t="n">
        <v>79</v>
      </c>
      <c r="N5930" s="56" t="n">
        <v>1.4</v>
      </c>
      <c r="O5930" s="56" t="n">
        <f aca="false">IF(D5930=1,"",E5929)</f>
        <v>22.4</v>
      </c>
      <c r="P5930" s="56" t="n">
        <f aca="false">IF(OR(D5930=1,K5929=""),"",K5929)</f>
        <v>1018.6</v>
      </c>
      <c r="Q5930" s="56" t="n">
        <f aca="false">IF(OR(F5930&lt;&gt;0,AND(I5930&lt;&gt;"",E5930&lt;I5930)),1,0)</f>
        <v>0</v>
      </c>
      <c r="R5930" s="56" t="n">
        <f aca="false">IF(AND(D5930&gt;1,Q5930=0,ISNUMBER(O5930),ISNUMBER(P5930)),IF(Q5929=0,1,0),0)</f>
        <v>1</v>
      </c>
      <c r="S5930" s="56" t="n">
        <f aca="false">R5930*(B5930&gt;=Train_Start)*(B5930&lt;=Train_End)</f>
        <v>0</v>
      </c>
      <c r="T5930" s="84" t="n">
        <f aca="false">IF(AND(ISNUMBER(O5930),ISNUMBER(P5930)),Coef_A+Coef_B1*O5930+Coef_B2*P5930,"")</f>
        <v>22.3935480203328</v>
      </c>
      <c r="U5930" s="84" t="n">
        <f aca="false">IF(AND(R5930=1,ISNUMBER(T5930)),E5930-T5930,"")</f>
        <v>-0.893548020332823</v>
      </c>
      <c r="V5930" s="84" t="n">
        <f aca="false">IF(ISNUMBER(T5930),T5930,-99)</f>
        <v>22.3935480203328</v>
      </c>
      <c r="W5930" s="84" t="n">
        <f aca="false">IF(ISNUMBER(U5930),ABS(U5930),"")</f>
        <v>0.893548020332823</v>
      </c>
    </row>
    <row r="5931" customFormat="false" ht="15" hidden="false" customHeight="false" outlineLevel="0" collapsed="false">
      <c r="A5931" s="57" t="n">
        <v>42971</v>
      </c>
      <c r="B5931" s="56" t="n">
        <v>2017</v>
      </c>
      <c r="C5931" s="56" t="n">
        <v>8</v>
      </c>
      <c r="D5931" s="56" t="n">
        <v>116</v>
      </c>
      <c r="E5931" s="56" t="n">
        <v>24</v>
      </c>
      <c r="F5931" s="56" t="n">
        <v>0</v>
      </c>
      <c r="G5931" s="56" t="n">
        <v>12.9</v>
      </c>
      <c r="H5931" s="56" t="n">
        <v>0</v>
      </c>
      <c r="I5931" s="56" t="n">
        <v>17.2</v>
      </c>
      <c r="J5931" s="56" t="n">
        <v>0</v>
      </c>
      <c r="K5931" s="56" t="n">
        <v>1017</v>
      </c>
      <c r="L5931" s="56" t="n">
        <v>0</v>
      </c>
      <c r="M5931" s="56" t="n">
        <v>74</v>
      </c>
      <c r="N5931" s="56" t="n">
        <v>5.9</v>
      </c>
      <c r="O5931" s="56" t="n">
        <f aca="false">IF(D5931=1,"",E5930)</f>
        <v>21.5</v>
      </c>
      <c r="P5931" s="56" t="n">
        <f aca="false">IF(OR(D5931=1,K5930=""),"",K5930)</f>
        <v>1013.6</v>
      </c>
      <c r="Q5931" s="56" t="n">
        <f aca="false">IF(OR(F5931&lt;&gt;0,AND(I5931&lt;&gt;"",E5931&lt;I5931)),1,0)</f>
        <v>0</v>
      </c>
      <c r="R5931" s="56" t="n">
        <f aca="false">IF(AND(D5931&gt;1,Q5931=0,ISNUMBER(O5931),ISNUMBER(P5931)),IF(Q5930=0,1,0),0)</f>
        <v>1</v>
      </c>
      <c r="S5931" s="56" t="n">
        <f aca="false">R5931*(B5931&gt;=Train_Start)*(B5931&lt;=Train_End)</f>
        <v>0</v>
      </c>
      <c r="T5931" s="84" t="n">
        <f aca="false">IF(AND(ISNUMBER(O5931),ISNUMBER(P5931)),Coef_A+Coef_B1*O5931+Coef_B2*P5931,"")</f>
        <v>21.4992932734245</v>
      </c>
      <c r="U5931" s="84" t="n">
        <f aca="false">IF(AND(R5931=1,ISNUMBER(T5931)),E5931-T5931,"")</f>
        <v>2.50070672657552</v>
      </c>
      <c r="V5931" s="84" t="n">
        <f aca="false">IF(ISNUMBER(T5931),T5931,-99)</f>
        <v>21.4992932734245</v>
      </c>
      <c r="W5931" s="84" t="n">
        <f aca="false">IF(ISNUMBER(U5931),ABS(U5931),"")</f>
        <v>2.50070672657552</v>
      </c>
    </row>
    <row r="5932" customFormat="false" ht="15" hidden="false" customHeight="false" outlineLevel="0" collapsed="false">
      <c r="A5932" s="57" t="n">
        <v>42972</v>
      </c>
      <c r="B5932" s="56" t="n">
        <v>2017</v>
      </c>
      <c r="C5932" s="56" t="n">
        <v>8</v>
      </c>
      <c r="D5932" s="56" t="n">
        <v>117</v>
      </c>
      <c r="E5932" s="56" t="n">
        <v>24.7</v>
      </c>
      <c r="F5932" s="56" t="n">
        <v>0</v>
      </c>
      <c r="G5932" s="56" t="n">
        <v>12.5</v>
      </c>
      <c r="H5932" s="56" t="n">
        <v>0</v>
      </c>
      <c r="I5932" s="56" t="n">
        <v>18.2</v>
      </c>
      <c r="J5932" s="56" t="n">
        <v>0</v>
      </c>
      <c r="K5932" s="56" t="n">
        <v>1017.2</v>
      </c>
      <c r="L5932" s="56" t="n">
        <v>0</v>
      </c>
      <c r="M5932" s="56" t="n">
        <v>69</v>
      </c>
      <c r="N5932" s="56" t="n">
        <v>11.6</v>
      </c>
      <c r="O5932" s="56" t="n">
        <f aca="false">IF(D5932=1,"",E5931)</f>
        <v>24</v>
      </c>
      <c r="P5932" s="56" t="n">
        <f aca="false">IF(OR(D5932=1,K5931=""),"",K5931)</f>
        <v>1017</v>
      </c>
      <c r="Q5932" s="56" t="n">
        <f aca="false">IF(OR(F5932&lt;&gt;0,AND(I5932&lt;&gt;"",E5932&lt;I5932)),1,0)</f>
        <v>0</v>
      </c>
      <c r="R5932" s="56" t="n">
        <f aca="false">IF(AND(D5932&gt;1,Q5932=0,ISNUMBER(O5932),ISNUMBER(P5932)),IF(Q5931=0,1,0),0)</f>
        <v>1</v>
      </c>
      <c r="S5932" s="56" t="n">
        <f aca="false">R5932*(B5932&gt;=Train_Start)*(B5932&lt;=Train_End)</f>
        <v>0</v>
      </c>
      <c r="T5932" s="84" t="n">
        <f aca="false">IF(AND(ISNUMBER(O5932),ISNUMBER(P5932)),Coef_A+Coef_B1*O5932+Coef_B2*P5932,"")</f>
        <v>23.6542988977867</v>
      </c>
      <c r="U5932" s="84" t="n">
        <f aca="false">IF(AND(R5932=1,ISNUMBER(T5932)),E5932-T5932,"")</f>
        <v>1.04570110221331</v>
      </c>
      <c r="V5932" s="84" t="n">
        <f aca="false">IF(ISNUMBER(T5932),T5932,-99)</f>
        <v>23.6542988977867</v>
      </c>
      <c r="W5932" s="84" t="n">
        <f aca="false">IF(ISNUMBER(U5932),ABS(U5932),"")</f>
        <v>1.04570110221331</v>
      </c>
    </row>
    <row r="5933" customFormat="false" ht="15" hidden="false" customHeight="false" outlineLevel="0" collapsed="false">
      <c r="A5933" s="57" t="n">
        <v>42973</v>
      </c>
      <c r="B5933" s="56" t="n">
        <v>2017</v>
      </c>
      <c r="C5933" s="56" t="n">
        <v>8</v>
      </c>
      <c r="D5933" s="56" t="n">
        <v>118</v>
      </c>
      <c r="E5933" s="56" t="n">
        <v>26.3</v>
      </c>
      <c r="F5933" s="56" t="n">
        <v>0</v>
      </c>
      <c r="G5933" s="56" t="n">
        <v>13.9</v>
      </c>
      <c r="H5933" s="56" t="n">
        <v>0</v>
      </c>
      <c r="I5933" s="56" t="n">
        <v>19.3</v>
      </c>
      <c r="J5933" s="56" t="n">
        <v>0</v>
      </c>
      <c r="K5933" s="56" t="n">
        <v>1016.2</v>
      </c>
      <c r="L5933" s="56" t="n">
        <v>0</v>
      </c>
      <c r="M5933" s="56" t="n">
        <v>67</v>
      </c>
      <c r="N5933" s="56" t="n">
        <v>7.6</v>
      </c>
      <c r="O5933" s="56" t="n">
        <f aca="false">IF(D5933=1,"",E5932)</f>
        <v>24.7</v>
      </c>
      <c r="P5933" s="56" t="n">
        <f aca="false">IF(OR(D5933=1,K5932=""),"",K5932)</f>
        <v>1017.2</v>
      </c>
      <c r="Q5933" s="56" t="n">
        <f aca="false">IF(OR(F5933&lt;&gt;0,AND(I5933&lt;&gt;"",E5933&lt;I5933)),1,0)</f>
        <v>0</v>
      </c>
      <c r="R5933" s="56" t="n">
        <f aca="false">IF(AND(D5933&gt;1,Q5933=0,ISNUMBER(O5933),ISNUMBER(P5933)),IF(Q5932=0,1,0),0)</f>
        <v>1</v>
      </c>
      <c r="S5933" s="56" t="n">
        <f aca="false">R5933*(B5933&gt;=Train_Start)*(B5933&lt;=Train_End)</f>
        <v>0</v>
      </c>
      <c r="T5933" s="84" t="n">
        <f aca="false">IF(AND(ISNUMBER(O5933),ISNUMBER(P5933)),Coef_A+Coef_B1*O5933+Coef_B2*P5933,"")</f>
        <v>24.2341103118434</v>
      </c>
      <c r="U5933" s="84" t="n">
        <f aca="false">IF(AND(R5933=1,ISNUMBER(T5933)),E5933-T5933,"")</f>
        <v>2.06588968815665</v>
      </c>
      <c r="V5933" s="84" t="n">
        <f aca="false">IF(ISNUMBER(T5933),T5933,-99)</f>
        <v>24.2341103118434</v>
      </c>
      <c r="W5933" s="84" t="n">
        <f aca="false">IF(ISNUMBER(U5933),ABS(U5933),"")</f>
        <v>2.06588968815665</v>
      </c>
    </row>
    <row r="5934" customFormat="false" ht="15" hidden="false" customHeight="false" outlineLevel="0" collapsed="false">
      <c r="A5934" s="57" t="n">
        <v>42974</v>
      </c>
      <c r="B5934" s="56" t="n">
        <v>2017</v>
      </c>
      <c r="C5934" s="56" t="n">
        <v>8</v>
      </c>
      <c r="D5934" s="56" t="n">
        <v>119</v>
      </c>
      <c r="E5934" s="56" t="n">
        <v>27.7</v>
      </c>
      <c r="F5934" s="56" t="n">
        <v>0</v>
      </c>
      <c r="G5934" s="56" t="n">
        <v>15.9</v>
      </c>
      <c r="H5934" s="56" t="n">
        <v>0</v>
      </c>
      <c r="I5934" s="56" t="n">
        <v>21.1</v>
      </c>
      <c r="J5934" s="56" t="n">
        <v>0</v>
      </c>
      <c r="K5934" s="56" t="n">
        <v>1018.3</v>
      </c>
      <c r="L5934" s="56" t="n">
        <v>0</v>
      </c>
      <c r="M5934" s="56" t="n">
        <v>59</v>
      </c>
      <c r="N5934" s="56" t="n">
        <v>9.3</v>
      </c>
      <c r="O5934" s="56" t="n">
        <f aca="false">IF(D5934=1,"",E5933)</f>
        <v>26.3</v>
      </c>
      <c r="P5934" s="56" t="n">
        <f aca="false">IF(OR(D5934=1,K5933=""),"",K5933)</f>
        <v>1016.2</v>
      </c>
      <c r="Q5934" s="56" t="n">
        <f aca="false">IF(OR(F5934&lt;&gt;0,AND(I5934&lt;&gt;"",E5934&lt;I5934)),1,0)</f>
        <v>0</v>
      </c>
      <c r="R5934" s="56" t="n">
        <f aca="false">IF(AND(D5934&gt;1,Q5934=0,ISNUMBER(O5934),ISNUMBER(P5934)),IF(Q5933=0,1,0),0)</f>
        <v>1</v>
      </c>
      <c r="S5934" s="56" t="n">
        <f aca="false">R5934*(B5934&gt;=Train_Start)*(B5934&lt;=Train_End)</f>
        <v>0</v>
      </c>
      <c r="T5934" s="84" t="n">
        <f aca="false">IF(AND(ISNUMBER(O5934),ISNUMBER(P5934)),Coef_A+Coef_B1*O5934+Coef_B2*P5934,"")</f>
        <v>25.5136831260776</v>
      </c>
      <c r="U5934" s="84" t="n">
        <f aca="false">IF(AND(R5934=1,ISNUMBER(T5934)),E5934-T5934,"")</f>
        <v>2.18631687392238</v>
      </c>
      <c r="V5934" s="84" t="n">
        <f aca="false">IF(ISNUMBER(T5934),T5934,-99)</f>
        <v>25.5136831260776</v>
      </c>
      <c r="W5934" s="84" t="n">
        <f aca="false">IF(ISNUMBER(U5934),ABS(U5934),"")</f>
        <v>2.18631687392238</v>
      </c>
    </row>
    <row r="5935" customFormat="false" ht="15" hidden="false" customHeight="false" outlineLevel="0" collapsed="false">
      <c r="A5935" s="57" t="n">
        <v>42975</v>
      </c>
      <c r="B5935" s="56" t="n">
        <v>2017</v>
      </c>
      <c r="C5935" s="56" t="n">
        <v>8</v>
      </c>
      <c r="D5935" s="56" t="n">
        <v>120</v>
      </c>
      <c r="E5935" s="56" t="n">
        <v>26.1</v>
      </c>
      <c r="F5935" s="56" t="n">
        <v>0</v>
      </c>
      <c r="G5935" s="56" t="n">
        <v>14.6</v>
      </c>
      <c r="H5935" s="56" t="n">
        <v>0</v>
      </c>
      <c r="I5935" s="56" t="n">
        <v>21.1</v>
      </c>
      <c r="J5935" s="56" t="n">
        <v>0</v>
      </c>
      <c r="K5935" s="56" t="n">
        <v>1017.4</v>
      </c>
      <c r="L5935" s="56" t="n">
        <v>0</v>
      </c>
      <c r="M5935" s="56" t="n">
        <v>68</v>
      </c>
      <c r="N5935" s="56" t="n">
        <v>12</v>
      </c>
      <c r="O5935" s="56" t="n">
        <f aca="false">IF(D5935=1,"",E5934)</f>
        <v>27.7</v>
      </c>
      <c r="P5935" s="56" t="n">
        <f aca="false">IF(OR(D5935=1,K5934=""),"",K5934)</f>
        <v>1018.3</v>
      </c>
      <c r="Q5935" s="56" t="n">
        <f aca="false">IF(OR(F5935&lt;&gt;0,AND(I5935&lt;&gt;"",E5935&lt;I5935)),1,0)</f>
        <v>0</v>
      </c>
      <c r="R5935" s="56" t="n">
        <f aca="false">IF(AND(D5935&gt;1,Q5935=0,ISNUMBER(O5935),ISNUMBER(P5935)),IF(Q5934=0,1,0),0)</f>
        <v>1</v>
      </c>
      <c r="S5935" s="56" t="n">
        <f aca="false">R5935*(B5935&gt;=Train_Start)*(B5935&lt;=Train_End)</f>
        <v>0</v>
      </c>
      <c r="T5935" s="84" t="n">
        <f aca="false">IF(AND(ISNUMBER(O5935),ISNUMBER(P5935)),Coef_A+Coef_B1*O5935+Coef_B2*P5935,"")</f>
        <v>26.7266347750687</v>
      </c>
      <c r="U5935" s="84" t="n">
        <f aca="false">IF(AND(R5935=1,ISNUMBER(T5935)),E5935-T5935,"")</f>
        <v>-0.626634775068709</v>
      </c>
      <c r="V5935" s="84" t="n">
        <f aca="false">IF(ISNUMBER(T5935),T5935,-99)</f>
        <v>26.7266347750687</v>
      </c>
      <c r="W5935" s="84" t="n">
        <f aca="false">IF(ISNUMBER(U5935),ABS(U5935),"")</f>
        <v>0.626634775068709</v>
      </c>
    </row>
    <row r="5936" customFormat="false" ht="15" hidden="false" customHeight="false" outlineLevel="0" collapsed="false">
      <c r="A5936" s="57" t="n">
        <v>42976</v>
      </c>
      <c r="B5936" s="56" t="n">
        <v>2017</v>
      </c>
      <c r="C5936" s="56" t="n">
        <v>8</v>
      </c>
      <c r="D5936" s="56" t="n">
        <v>121</v>
      </c>
      <c r="E5936" s="56" t="n">
        <v>15.1</v>
      </c>
      <c r="F5936" s="56" t="n">
        <v>1</v>
      </c>
      <c r="G5936" s="56" t="n">
        <v>16.4</v>
      </c>
      <c r="H5936" s="56" t="n">
        <v>1</v>
      </c>
      <c r="I5936" s="56" t="n">
        <v>21.2</v>
      </c>
      <c r="J5936" s="56" t="n">
        <v>1</v>
      </c>
      <c r="K5936" s="56" t="n">
        <v>1013.4</v>
      </c>
      <c r="L5936" s="56" t="n">
        <v>0</v>
      </c>
      <c r="M5936" s="56" t="n">
        <v>73</v>
      </c>
      <c r="N5936" s="56" t="n">
        <v>3.6</v>
      </c>
      <c r="O5936" s="56" t="n">
        <f aca="false">IF(D5936=1,"",E5935)</f>
        <v>26.1</v>
      </c>
      <c r="P5936" s="56" t="n">
        <f aca="false">IF(OR(D5936=1,K5935=""),"",K5935)</f>
        <v>1017.4</v>
      </c>
      <c r="Q5936" s="56" t="n">
        <f aca="false">IF(OR(F5936&lt;&gt;0,AND(I5936&lt;&gt;"",E5936&lt;I5936)),1,0)</f>
        <v>1</v>
      </c>
      <c r="R5936" s="56" t="n">
        <f aca="false">IF(AND(D5936&gt;1,Q5936=0,ISNUMBER(O5936),ISNUMBER(P5936)),IF(Q5935=0,1,0),0)</f>
        <v>0</v>
      </c>
      <c r="S5936" s="56" t="n">
        <f aca="false">R5936*(B5936&gt;=Train_Start)*(B5936&lt;=Train_End)</f>
        <v>0</v>
      </c>
      <c r="T5936" s="84" t="n">
        <f aca="false">IF(AND(ISNUMBER(O5936),ISNUMBER(P5936)),Coef_A+Coef_B1*O5936+Coef_B2*P5936,"")</f>
        <v>25.3874591610299</v>
      </c>
      <c r="U5936" s="84" t="str">
        <f aca="false">IF(AND(R5936=1,ISNUMBER(T5936)),E5936-T5936,"")</f>
        <v/>
      </c>
      <c r="V5936" s="84" t="n">
        <f aca="false">IF(ISNUMBER(T5936),T5936,-99)</f>
        <v>25.3874591610299</v>
      </c>
      <c r="W5936" s="84" t="str">
        <f aca="false">IF(ISNUMBER(U5936),ABS(U5936),"")</f>
        <v/>
      </c>
    </row>
    <row r="5937" customFormat="false" ht="15" hidden="false" customHeight="false" outlineLevel="0" collapsed="false">
      <c r="A5937" s="57" t="n">
        <v>42977</v>
      </c>
      <c r="B5937" s="56" t="n">
        <v>2017</v>
      </c>
      <c r="C5937" s="56" t="n">
        <v>8</v>
      </c>
      <c r="D5937" s="56" t="n">
        <v>122</v>
      </c>
      <c r="E5937" s="56" t="n">
        <v>20.3</v>
      </c>
      <c r="F5937" s="56" t="n">
        <v>0</v>
      </c>
      <c r="G5937" s="56" t="n">
        <v>13.8</v>
      </c>
      <c r="H5937" s="56" t="n">
        <v>0</v>
      </c>
      <c r="I5937" s="56" t="n">
        <v>14.4</v>
      </c>
      <c r="J5937" s="56" t="n">
        <v>0</v>
      </c>
      <c r="K5937" s="56" t="n">
        <v>1013.4</v>
      </c>
      <c r="L5937" s="56" t="n">
        <v>0</v>
      </c>
      <c r="M5937" s="56" t="n">
        <v>80</v>
      </c>
      <c r="N5937" s="56" t="n">
        <v>0.2</v>
      </c>
      <c r="O5937" s="56" t="n">
        <f aca="false">IF(D5937=1,"",E5936)</f>
        <v>15.1</v>
      </c>
      <c r="P5937" s="56" t="n">
        <f aca="false">IF(OR(D5937=1,K5936=""),"",K5936)</f>
        <v>1013.4</v>
      </c>
      <c r="Q5937" s="56" t="n">
        <f aca="false">IF(OR(F5937&lt;&gt;0,AND(I5937&lt;&gt;"",E5937&lt;I5937)),1,0)</f>
        <v>0</v>
      </c>
      <c r="R5937" s="56" t="n">
        <f aca="false">IF(AND(D5937&gt;1,Q5937=0,ISNUMBER(O5937),ISNUMBER(P5937)),IF(Q5936=0,1,0),0)</f>
        <v>0</v>
      </c>
      <c r="S5937" s="56" t="n">
        <f aca="false">R5937*(B5937&gt;=Train_Start)*(B5937&lt;=Train_End)</f>
        <v>0</v>
      </c>
      <c r="T5937" s="84" t="n">
        <f aca="false">IF(AND(ISNUMBER(O5937),ISNUMBER(P5937)),Coef_A+Coef_B1*O5937+Coef_B2*P5937,"")</f>
        <v>16.2492484590247</v>
      </c>
      <c r="U5937" s="84" t="str">
        <f aca="false">IF(AND(R5937=1,ISNUMBER(T5937)),E5937-T5937,"")</f>
        <v/>
      </c>
      <c r="V5937" s="84" t="n">
        <f aca="false">IF(ISNUMBER(T5937),T5937,-99)</f>
        <v>16.2492484590247</v>
      </c>
      <c r="W5937" s="84" t="str">
        <f aca="false">IF(ISNUMBER(U5937),ABS(U5937),"")</f>
        <v/>
      </c>
    </row>
    <row r="5938" customFormat="false" ht="15" hidden="false" customHeight="false" outlineLevel="0" collapsed="false">
      <c r="A5938" s="57" t="n">
        <v>42978</v>
      </c>
      <c r="B5938" s="56" t="n">
        <v>2017</v>
      </c>
      <c r="C5938" s="56" t="n">
        <v>8</v>
      </c>
      <c r="D5938" s="56" t="n">
        <v>123</v>
      </c>
      <c r="E5938" s="56" t="n">
        <v>21.9</v>
      </c>
      <c r="F5938" s="56" t="n">
        <v>0</v>
      </c>
      <c r="G5938" s="56" t="n">
        <v>8.8</v>
      </c>
      <c r="H5938" s="56" t="n">
        <v>0</v>
      </c>
      <c r="I5938" s="56" t="n">
        <v>14.6</v>
      </c>
      <c r="J5938" s="56" t="n">
        <v>0</v>
      </c>
      <c r="K5938" s="56" t="n">
        <v>1017.2</v>
      </c>
      <c r="L5938" s="56" t="n">
        <v>0</v>
      </c>
      <c r="M5938" s="56" t="n">
        <v>76</v>
      </c>
      <c r="N5938" s="56" t="n">
        <v>8.9</v>
      </c>
      <c r="O5938" s="56" t="n">
        <f aca="false">IF(D5938=1,"",E5937)</f>
        <v>20.3</v>
      </c>
      <c r="P5938" s="56" t="n">
        <f aca="false">IF(OR(D5938=1,K5937=""),"",K5937)</f>
        <v>1013.4</v>
      </c>
      <c r="Q5938" s="56" t="n">
        <f aca="false">IF(OR(F5938&lt;&gt;0,AND(I5938&lt;&gt;"",E5938&lt;I5938)),1,0)</f>
        <v>0</v>
      </c>
      <c r="R5938" s="56" t="n">
        <f aca="false">IF(AND(D5938&gt;1,Q5938=0,ISNUMBER(O5938),ISNUMBER(P5938)),IF(Q5937=0,1,0),0)</f>
        <v>1</v>
      </c>
      <c r="S5938" s="56" t="n">
        <f aca="false">R5938*(B5938&gt;=Train_Start)*(B5938&lt;=Train_End)</f>
        <v>0</v>
      </c>
      <c r="T5938" s="84" t="n">
        <f aca="false">IF(AND(ISNUMBER(O5938),ISNUMBER(P5938)),Coef_A+Coef_B1*O5938+Coef_B2*P5938,"")</f>
        <v>20.5098122628465</v>
      </c>
      <c r="U5938" s="84" t="n">
        <f aca="false">IF(AND(R5938=1,ISNUMBER(T5938)),E5938-T5938,"")</f>
        <v>1.3901877371535</v>
      </c>
      <c r="V5938" s="84" t="n">
        <f aca="false">IF(ISNUMBER(T5938),T5938,-99)</f>
        <v>20.5098122628465</v>
      </c>
      <c r="W5938" s="84" t="n">
        <f aca="false">IF(ISNUMBER(U5938),ABS(U5938),"")</f>
        <v>1.3901877371535</v>
      </c>
    </row>
    <row r="5939" customFormat="false" ht="15" hidden="false" customHeight="false" outlineLevel="0" collapsed="false">
      <c r="A5939" s="57" t="n">
        <v>42979</v>
      </c>
      <c r="B5939" s="56" t="n">
        <v>2017</v>
      </c>
      <c r="C5939" s="56" t="n">
        <v>9</v>
      </c>
      <c r="D5939" s="56" t="n">
        <v>124</v>
      </c>
      <c r="E5939" s="56" t="n">
        <v>22</v>
      </c>
      <c r="F5939" s="56" t="n">
        <v>0</v>
      </c>
      <c r="G5939" s="56" t="n">
        <v>9.7</v>
      </c>
      <c r="H5939" s="56" t="n">
        <v>0</v>
      </c>
      <c r="I5939" s="56" t="n">
        <v>15.8</v>
      </c>
      <c r="J5939" s="56" t="n">
        <v>0</v>
      </c>
      <c r="K5939" s="56" t="n">
        <v>1021.5</v>
      </c>
      <c r="L5939" s="56" t="n">
        <v>0</v>
      </c>
      <c r="M5939" s="56" t="n">
        <v>66</v>
      </c>
      <c r="N5939" s="56" t="n">
        <v>9.2</v>
      </c>
      <c r="O5939" s="56" t="n">
        <f aca="false">IF(D5939=1,"",E5938)</f>
        <v>21.9</v>
      </c>
      <c r="P5939" s="56" t="n">
        <f aca="false">IF(OR(D5939=1,K5938=""),"",K5938)</f>
        <v>1017.2</v>
      </c>
      <c r="Q5939" s="56" t="n">
        <f aca="false">IF(OR(F5939&lt;&gt;0,AND(I5939&lt;&gt;"",E5939&lt;I5939)),1,0)</f>
        <v>0</v>
      </c>
      <c r="R5939" s="56" t="n">
        <f aca="false">IF(AND(D5939&gt;1,Q5939=0,ISNUMBER(O5939),ISNUMBER(P5939)),IF(Q5938=0,1,0),0)</f>
        <v>1</v>
      </c>
      <c r="S5939" s="56" t="n">
        <f aca="false">R5939*(B5939&gt;=Train_Start)*(B5939&lt;=Train_End)</f>
        <v>0</v>
      </c>
      <c r="T5939" s="84" t="n">
        <f aca="false">IF(AND(ISNUMBER(O5939),ISNUMBER(P5939)),Coef_A+Coef_B1*O5939+Coef_B2*P5939,"")</f>
        <v>21.9399605713239</v>
      </c>
      <c r="U5939" s="84" t="n">
        <f aca="false">IF(AND(R5939=1,ISNUMBER(T5939)),E5939-T5939,"")</f>
        <v>0.0600394286760881</v>
      </c>
      <c r="V5939" s="84" t="n">
        <f aca="false">IF(ISNUMBER(T5939),T5939,-99)</f>
        <v>21.9399605713239</v>
      </c>
      <c r="W5939" s="84" t="n">
        <f aca="false">IF(ISNUMBER(U5939),ABS(U5939),"")</f>
        <v>0.0600394286760881</v>
      </c>
    </row>
    <row r="5940" customFormat="false" ht="15" hidden="false" customHeight="false" outlineLevel="0" collapsed="false">
      <c r="A5940" s="57" t="n">
        <v>42980</v>
      </c>
      <c r="B5940" s="56" t="n">
        <v>2017</v>
      </c>
      <c r="C5940" s="56" t="n">
        <v>9</v>
      </c>
      <c r="D5940" s="56" t="n">
        <v>125</v>
      </c>
      <c r="E5940" s="56" t="n">
        <v>18.1</v>
      </c>
      <c r="F5940" s="56" t="n">
        <v>0</v>
      </c>
      <c r="G5940" s="56" t="n">
        <v>10</v>
      </c>
      <c r="H5940" s="56" t="n">
        <v>0</v>
      </c>
      <c r="I5940" s="56" t="n">
        <v>16</v>
      </c>
      <c r="J5940" s="56" t="n">
        <v>0</v>
      </c>
      <c r="K5940" s="56" t="n">
        <v>1021.8</v>
      </c>
      <c r="L5940" s="56" t="n">
        <v>0</v>
      </c>
      <c r="M5940" s="56" t="n">
        <v>67</v>
      </c>
      <c r="N5940" s="56" t="n">
        <v>9.8</v>
      </c>
      <c r="O5940" s="56" t="n">
        <f aca="false">IF(D5940=1,"",E5939)</f>
        <v>22</v>
      </c>
      <c r="P5940" s="56" t="n">
        <f aca="false">IF(OR(D5940=1,K5939=""),"",K5939)</f>
        <v>1021.5</v>
      </c>
      <c r="Q5940" s="56" t="n">
        <f aca="false">IF(OR(F5940&lt;&gt;0,AND(I5940&lt;&gt;"",E5940&lt;I5940)),1,0)</f>
        <v>0</v>
      </c>
      <c r="R5940" s="56" t="n">
        <f aca="false">IF(AND(D5940&gt;1,Q5940=0,ISNUMBER(O5940),ISNUMBER(P5940)),IF(Q5939=0,1,0),0)</f>
        <v>1</v>
      </c>
      <c r="S5940" s="56" t="n">
        <f aca="false">R5940*(B5940&gt;=Train_Start)*(B5940&lt;=Train_End)</f>
        <v>0</v>
      </c>
      <c r="T5940" s="84" t="n">
        <f aca="false">IF(AND(ISNUMBER(O5940),ISNUMBER(P5940)),Coef_A+Coef_B1*O5940+Coef_B2*P5940,"")</f>
        <v>22.1567850375543</v>
      </c>
      <c r="U5940" s="84" t="n">
        <f aca="false">IF(AND(R5940=1,ISNUMBER(T5940)),E5940-T5940,"")</f>
        <v>-4.05678503755433</v>
      </c>
      <c r="V5940" s="84" t="n">
        <f aca="false">IF(ISNUMBER(T5940),T5940,-99)</f>
        <v>22.1567850375543</v>
      </c>
      <c r="W5940" s="84" t="n">
        <f aca="false">IF(ISNUMBER(U5940),ABS(U5940),"")</f>
        <v>4.05678503755433</v>
      </c>
    </row>
    <row r="5941" customFormat="false" ht="15" hidden="false" customHeight="false" outlineLevel="0" collapsed="false">
      <c r="A5941" s="57" t="n">
        <v>42981</v>
      </c>
      <c r="B5941" s="56" t="n">
        <v>2017</v>
      </c>
      <c r="C5941" s="56" t="n">
        <v>9</v>
      </c>
      <c r="D5941" s="56" t="n">
        <v>126</v>
      </c>
      <c r="E5941" s="56" t="n">
        <v>22.6</v>
      </c>
      <c r="F5941" s="56" t="n">
        <v>0</v>
      </c>
      <c r="G5941" s="56" t="n">
        <v>10.9</v>
      </c>
      <c r="H5941" s="56" t="n">
        <v>0</v>
      </c>
      <c r="I5941" s="56" t="n">
        <v>14.5</v>
      </c>
      <c r="J5941" s="56" t="n">
        <v>0</v>
      </c>
      <c r="K5941" s="56" t="n">
        <v>1013.3</v>
      </c>
      <c r="L5941" s="56" t="n">
        <v>0</v>
      </c>
      <c r="M5941" s="56" t="n">
        <v>86</v>
      </c>
      <c r="N5941" s="56" t="n">
        <v>0.1</v>
      </c>
      <c r="O5941" s="56" t="n">
        <f aca="false">IF(D5941=1,"",E5940)</f>
        <v>18.1</v>
      </c>
      <c r="P5941" s="56" t="n">
        <f aca="false">IF(OR(D5941=1,K5940=""),"",K5940)</f>
        <v>1021.8</v>
      </c>
      <c r="Q5941" s="56" t="n">
        <f aca="false">IF(OR(F5941&lt;&gt;0,AND(I5941&lt;&gt;"",E5941&lt;I5941)),1,0)</f>
        <v>0</v>
      </c>
      <c r="R5941" s="56" t="n">
        <f aca="false">IF(AND(D5941&gt;1,Q5941=0,ISNUMBER(O5941),ISNUMBER(P5941)),IF(Q5940=0,1,0),0)</f>
        <v>1</v>
      </c>
      <c r="S5941" s="56" t="n">
        <f aca="false">R5941*(B5941&gt;=Train_Start)*(B5941&lt;=Train_End)</f>
        <v>0</v>
      </c>
      <c r="T5941" s="84" t="n">
        <f aca="false">IF(AND(ISNUMBER(O5941),ISNUMBER(P5941)),Coef_A+Coef_B1*O5941+Coef_B2*P5941,"")</f>
        <v>18.9707731530782</v>
      </c>
      <c r="U5941" s="84" t="n">
        <f aca="false">IF(AND(R5941=1,ISNUMBER(T5941)),E5941-T5941,"")</f>
        <v>3.62922684692184</v>
      </c>
      <c r="V5941" s="84" t="n">
        <f aca="false">IF(ISNUMBER(T5941),T5941,-99)</f>
        <v>18.9707731530782</v>
      </c>
      <c r="W5941" s="84" t="n">
        <f aca="false">IF(ISNUMBER(U5941),ABS(U5941),"")</f>
        <v>3.62922684692184</v>
      </c>
    </row>
    <row r="5942" customFormat="false" ht="15" hidden="false" customHeight="false" outlineLevel="0" collapsed="false">
      <c r="A5942" s="57" t="n">
        <v>42982</v>
      </c>
      <c r="B5942" s="56" t="n">
        <v>2017</v>
      </c>
      <c r="C5942" s="56" t="n">
        <v>9</v>
      </c>
      <c r="D5942" s="56" t="n">
        <v>127</v>
      </c>
      <c r="E5942" s="56" t="n">
        <v>21.3</v>
      </c>
      <c r="F5942" s="56" t="n">
        <v>0</v>
      </c>
      <c r="G5942" s="56" t="n">
        <v>13.2</v>
      </c>
      <c r="H5942" s="56" t="n">
        <v>0</v>
      </c>
      <c r="I5942" s="56" t="n">
        <v>17.9</v>
      </c>
      <c r="J5942" s="56" t="n">
        <v>0</v>
      </c>
      <c r="K5942" s="56" t="n">
        <v>1011.8</v>
      </c>
      <c r="L5942" s="56" t="n">
        <v>0</v>
      </c>
      <c r="M5942" s="56" t="n">
        <v>90</v>
      </c>
      <c r="N5942" s="56" t="n">
        <v>0.9</v>
      </c>
      <c r="O5942" s="56" t="n">
        <f aca="false">IF(D5942=1,"",E5941)</f>
        <v>22.6</v>
      </c>
      <c r="P5942" s="56" t="n">
        <f aca="false">IF(OR(D5942=1,K5941=""),"",K5941)</f>
        <v>1013.3</v>
      </c>
      <c r="Q5942" s="56" t="n">
        <f aca="false">IF(OR(F5942&lt;&gt;0,AND(I5942&lt;&gt;"",E5942&lt;I5942)),1,0)</f>
        <v>0</v>
      </c>
      <c r="R5942" s="56" t="n">
        <f aca="false">IF(AND(D5942&gt;1,Q5942=0,ISNUMBER(O5942),ISNUMBER(P5942)),IF(Q5941=0,1,0),0)</f>
        <v>1</v>
      </c>
      <c r="S5942" s="56" t="n">
        <f aca="false">R5942*(B5942&gt;=Train_Start)*(B5942&lt;=Train_End)</f>
        <v>0</v>
      </c>
      <c r="T5942" s="84" t="n">
        <f aca="false">IF(AND(ISNUMBER(O5942),ISNUMBER(P5942)),Coef_A+Coef_B1*O5942+Coef_B2*P5942,"")</f>
        <v>22.3911554173812</v>
      </c>
      <c r="U5942" s="84" t="n">
        <f aca="false">IF(AND(R5942=1,ISNUMBER(T5942)),E5942-T5942,"")</f>
        <v>-1.09115541738121</v>
      </c>
      <c r="V5942" s="84" t="n">
        <f aca="false">IF(ISNUMBER(T5942),T5942,-99)</f>
        <v>22.3911554173812</v>
      </c>
      <c r="W5942" s="84" t="n">
        <f aca="false">IF(ISNUMBER(U5942),ABS(U5942),"")</f>
        <v>1.09115541738121</v>
      </c>
    </row>
    <row r="5943" customFormat="false" ht="15" hidden="false" customHeight="false" outlineLevel="0" collapsed="false">
      <c r="A5943" s="57" t="n">
        <v>42983</v>
      </c>
      <c r="B5943" s="56" t="n">
        <v>2017</v>
      </c>
      <c r="C5943" s="56" t="n">
        <v>9</v>
      </c>
      <c r="D5943" s="56" t="n">
        <v>128</v>
      </c>
      <c r="E5943" s="56" t="n">
        <v>19.4</v>
      </c>
      <c r="F5943" s="56" t="n">
        <v>0</v>
      </c>
      <c r="G5943" s="56" t="n">
        <v>16</v>
      </c>
      <c r="H5943" s="56" t="n">
        <v>0</v>
      </c>
      <c r="I5943" s="56" t="n">
        <v>18.6</v>
      </c>
      <c r="J5943" s="56" t="n">
        <v>0</v>
      </c>
      <c r="K5943" s="56" t="n">
        <v>1013.8</v>
      </c>
      <c r="L5943" s="56" t="n">
        <v>0</v>
      </c>
      <c r="M5943" s="56" t="n">
        <v>87</v>
      </c>
      <c r="N5943" s="56" t="n">
        <v>1.1</v>
      </c>
      <c r="O5943" s="56" t="n">
        <f aca="false">IF(D5943=1,"",E5942)</f>
        <v>21.3</v>
      </c>
      <c r="P5943" s="56" t="n">
        <f aca="false">IF(OR(D5943=1,K5942=""),"",K5942)</f>
        <v>1011.8</v>
      </c>
      <c r="Q5943" s="56" t="n">
        <f aca="false">IF(OR(F5943&lt;&gt;0,AND(I5943&lt;&gt;"",E5943&lt;I5943)),1,0)</f>
        <v>0</v>
      </c>
      <c r="R5943" s="56" t="n">
        <f aca="false">IF(AND(D5943&gt;1,Q5943=0,ISNUMBER(O5943),ISNUMBER(P5943)),IF(Q5942=0,1,0),0)</f>
        <v>1</v>
      </c>
      <c r="S5943" s="56" t="n">
        <f aca="false">R5943*(B5943&gt;=Train_Start)*(B5943&lt;=Train_End)</f>
        <v>0</v>
      </c>
      <c r="T5943" s="84" t="n">
        <f aca="false">IF(AND(ISNUMBER(O5943),ISNUMBER(P5943)),Coef_A+Coef_B1*O5943+Coef_B2*P5943,"")</f>
        <v>21.2789596244748</v>
      </c>
      <c r="U5943" s="84" t="n">
        <f aca="false">IF(AND(R5943=1,ISNUMBER(T5943)),E5943-T5943,"")</f>
        <v>-1.87895962447477</v>
      </c>
      <c r="V5943" s="84" t="n">
        <f aca="false">IF(ISNUMBER(T5943),T5943,-99)</f>
        <v>21.2789596244748</v>
      </c>
      <c r="W5943" s="84" t="n">
        <f aca="false">IF(ISNUMBER(U5943),ABS(U5943),"")</f>
        <v>1.87895962447477</v>
      </c>
    </row>
    <row r="5944" customFormat="false" ht="15" hidden="false" customHeight="false" outlineLevel="0" collapsed="false">
      <c r="A5944" s="57" t="n">
        <v>42984</v>
      </c>
      <c r="B5944" s="56" t="n">
        <v>2017</v>
      </c>
      <c r="C5944" s="56" t="n">
        <v>9</v>
      </c>
      <c r="D5944" s="56" t="n">
        <v>129</v>
      </c>
      <c r="E5944" s="56" t="n">
        <v>19.9</v>
      </c>
      <c r="F5944" s="56" t="n">
        <v>0</v>
      </c>
      <c r="G5944" s="56" t="n">
        <v>11.3</v>
      </c>
      <c r="H5944" s="56" t="n">
        <v>0</v>
      </c>
      <c r="I5944" s="56" t="n">
        <v>15.3</v>
      </c>
      <c r="J5944" s="56" t="n">
        <v>0</v>
      </c>
      <c r="K5944" s="56" t="n">
        <v>1018.9</v>
      </c>
      <c r="L5944" s="56" t="n">
        <v>0</v>
      </c>
      <c r="M5944" s="56" t="n">
        <v>69</v>
      </c>
      <c r="N5944" s="56" t="n">
        <v>5</v>
      </c>
      <c r="O5944" s="56" t="n">
        <f aca="false">IF(D5944=1,"",E5943)</f>
        <v>19.4</v>
      </c>
      <c r="P5944" s="56" t="n">
        <f aca="false">IF(OR(D5944=1,K5943=""),"",K5943)</f>
        <v>1013.8</v>
      </c>
      <c r="Q5944" s="56" t="n">
        <f aca="false">IF(OR(F5944&lt;&gt;0,AND(I5944&lt;&gt;"",E5944&lt;I5944)),1,0)</f>
        <v>0</v>
      </c>
      <c r="R5944" s="56" t="n">
        <f aca="false">IF(AND(D5944&gt;1,Q5944=0,ISNUMBER(O5944),ISNUMBER(P5944)),IF(Q5943=0,1,0),0)</f>
        <v>1</v>
      </c>
      <c r="S5944" s="56" t="n">
        <f aca="false">R5944*(B5944&gt;=Train_Start)*(B5944&lt;=Train_End)</f>
        <v>0</v>
      </c>
      <c r="T5944" s="84" t="n">
        <f aca="false">IF(AND(ISNUMBER(O5944),ISNUMBER(P5944)),Coef_A+Coef_B1*O5944+Coef_B2*P5944,"")</f>
        <v>19.7849549469617</v>
      </c>
      <c r="U5944" s="84" t="n">
        <f aca="false">IF(AND(R5944=1,ISNUMBER(T5944)),E5944-T5944,"")</f>
        <v>0.115045053038301</v>
      </c>
      <c r="V5944" s="84" t="n">
        <f aca="false">IF(ISNUMBER(T5944),T5944,-99)</f>
        <v>19.7849549469617</v>
      </c>
      <c r="W5944" s="84" t="n">
        <f aca="false">IF(ISNUMBER(U5944),ABS(U5944),"")</f>
        <v>0.115045053038301</v>
      </c>
    </row>
    <row r="5945" customFormat="false" ht="15" hidden="false" customHeight="false" outlineLevel="0" collapsed="false">
      <c r="A5945" s="57" t="n">
        <v>42985</v>
      </c>
      <c r="B5945" s="56" t="n">
        <v>2017</v>
      </c>
      <c r="C5945" s="56" t="n">
        <v>9</v>
      </c>
      <c r="D5945" s="56" t="n">
        <v>130</v>
      </c>
      <c r="E5945" s="56" t="n">
        <v>19.6</v>
      </c>
      <c r="F5945" s="56" t="n">
        <v>0</v>
      </c>
      <c r="G5945" s="56" t="n">
        <v>11.2</v>
      </c>
      <c r="H5945" s="56" t="n">
        <v>0</v>
      </c>
      <c r="I5945" s="56" t="n">
        <v>15.6</v>
      </c>
      <c r="J5945" s="56" t="n">
        <v>0</v>
      </c>
      <c r="K5945" s="56" t="n">
        <v>1014</v>
      </c>
      <c r="L5945" s="56" t="n">
        <v>0</v>
      </c>
      <c r="M5945" s="56" t="n">
        <v>75</v>
      </c>
      <c r="N5945" s="56" t="n">
        <v>2.7</v>
      </c>
      <c r="O5945" s="56" t="n">
        <f aca="false">IF(D5945=1,"",E5944)</f>
        <v>19.9</v>
      </c>
      <c r="P5945" s="56" t="n">
        <f aca="false">IF(OR(D5945=1,K5944=""),"",K5944)</f>
        <v>1018.9</v>
      </c>
      <c r="Q5945" s="56" t="n">
        <f aca="false">IF(OR(F5945&lt;&gt;0,AND(I5945&lt;&gt;"",E5945&lt;I5945)),1,0)</f>
        <v>0</v>
      </c>
      <c r="R5945" s="56" t="n">
        <f aca="false">IF(AND(D5945&gt;1,Q5945=0,ISNUMBER(O5945),ISNUMBER(P5945)),IF(Q5944=0,1,0),0)</f>
        <v>1</v>
      </c>
      <c r="S5945" s="56" t="n">
        <f aca="false">R5945*(B5945&gt;=Train_Start)*(B5945&lt;=Train_End)</f>
        <v>0</v>
      </c>
      <c r="T5945" s="84" t="n">
        <f aca="false">IF(AND(ISNUMBER(O5945),ISNUMBER(P5945)),Coef_A+Coef_B1*O5945+Coef_B2*P5945,"")</f>
        <v>20.3546110061164</v>
      </c>
      <c r="U5945" s="84" t="n">
        <f aca="false">IF(AND(R5945=1,ISNUMBER(T5945)),E5945-T5945,"")</f>
        <v>-0.754611006116374</v>
      </c>
      <c r="V5945" s="84" t="n">
        <f aca="false">IF(ISNUMBER(T5945),T5945,-99)</f>
        <v>20.3546110061164</v>
      </c>
      <c r="W5945" s="84" t="n">
        <f aca="false">IF(ISNUMBER(U5945),ABS(U5945),"")</f>
        <v>0.754611006116374</v>
      </c>
    </row>
    <row r="5946" customFormat="false" ht="15" hidden="false" customHeight="false" outlineLevel="0" collapsed="false">
      <c r="A5946" s="57" t="n">
        <v>42986</v>
      </c>
      <c r="B5946" s="56" t="n">
        <v>2017</v>
      </c>
      <c r="C5946" s="56" t="n">
        <v>9</v>
      </c>
      <c r="D5946" s="56" t="n">
        <v>131</v>
      </c>
      <c r="E5946" s="56" t="n">
        <v>18.6</v>
      </c>
      <c r="F5946" s="56" t="n">
        <v>0</v>
      </c>
      <c r="G5946" s="56" t="n">
        <v>14.5</v>
      </c>
      <c r="H5946" s="56" t="n">
        <v>0</v>
      </c>
      <c r="I5946" s="56" t="n">
        <v>17.1</v>
      </c>
      <c r="J5946" s="56" t="n">
        <v>0</v>
      </c>
      <c r="K5946" s="56" t="n">
        <v>1001.1</v>
      </c>
      <c r="L5946" s="56" t="n">
        <v>0</v>
      </c>
      <c r="M5946" s="56" t="n">
        <v>84</v>
      </c>
      <c r="N5946" s="56" t="n">
        <v>2.3</v>
      </c>
      <c r="O5946" s="56" t="n">
        <f aca="false">IF(D5946=1,"",E5945)</f>
        <v>19.6</v>
      </c>
      <c r="P5946" s="56" t="n">
        <f aca="false">IF(OR(D5946=1,K5945=""),"",K5945)</f>
        <v>1014</v>
      </c>
      <c r="Q5946" s="56" t="n">
        <f aca="false">IF(OR(F5946&lt;&gt;0,AND(I5946&lt;&gt;"",E5946&lt;I5946)),1,0)</f>
        <v>0</v>
      </c>
      <c r="R5946" s="56" t="n">
        <f aca="false">IF(AND(D5946&gt;1,Q5946=0,ISNUMBER(O5946),ISNUMBER(P5946)),IF(Q5945=0,1,0),0)</f>
        <v>1</v>
      </c>
      <c r="S5946" s="56" t="n">
        <f aca="false">R5946*(B5946&gt;=Train_Start)*(B5946&lt;=Train_End)</f>
        <v>0</v>
      </c>
      <c r="T5946" s="84" t="n">
        <f aca="false">IF(AND(ISNUMBER(O5946),ISNUMBER(P5946)),Coef_A+Coef_B1*O5946+Coef_B2*P5946,"")</f>
        <v>19.955096764497</v>
      </c>
      <c r="U5946" s="84" t="n">
        <f aca="false">IF(AND(R5946=1,ISNUMBER(T5946)),E5946-T5946,"")</f>
        <v>-1.35509676449703</v>
      </c>
      <c r="V5946" s="84" t="n">
        <f aca="false">IF(ISNUMBER(T5946),T5946,-99)</f>
        <v>19.955096764497</v>
      </c>
      <c r="W5946" s="84" t="n">
        <f aca="false">IF(ISNUMBER(U5946),ABS(U5946),"")</f>
        <v>1.35509676449703</v>
      </c>
    </row>
    <row r="5947" customFormat="false" ht="15" hidden="false" customHeight="false" outlineLevel="0" collapsed="false">
      <c r="A5947" s="57" t="n">
        <v>42987</v>
      </c>
      <c r="B5947" s="56" t="n">
        <v>2017</v>
      </c>
      <c r="C5947" s="56" t="n">
        <v>9</v>
      </c>
      <c r="D5947" s="56" t="n">
        <v>132</v>
      </c>
      <c r="E5947" s="56" t="n">
        <v>17.4</v>
      </c>
      <c r="F5947" s="56" t="n">
        <v>0</v>
      </c>
      <c r="G5947" s="56" t="n">
        <v>10</v>
      </c>
      <c r="H5947" s="56" t="n">
        <v>0</v>
      </c>
      <c r="I5947" s="56" t="n">
        <v>14.3</v>
      </c>
      <c r="J5947" s="56" t="n">
        <v>0</v>
      </c>
      <c r="K5947" s="56" t="n">
        <v>997.9</v>
      </c>
      <c r="L5947" s="56" t="n">
        <v>0</v>
      </c>
      <c r="M5947" s="56" t="n">
        <v>83</v>
      </c>
      <c r="N5947" s="56" t="n">
        <v>6.9</v>
      </c>
      <c r="O5947" s="56" t="n">
        <f aca="false">IF(D5947=1,"",E5946)</f>
        <v>18.6</v>
      </c>
      <c r="P5947" s="56" t="n">
        <f aca="false">IF(OR(D5947=1,K5946=""),"",K5946)</f>
        <v>1001.1</v>
      </c>
      <c r="Q5947" s="56" t="n">
        <f aca="false">IF(OR(F5947&lt;&gt;0,AND(I5947&lt;&gt;"",E5947&lt;I5947)),1,0)</f>
        <v>0</v>
      </c>
      <c r="R5947" s="56" t="n">
        <f aca="false">IF(AND(D5947&gt;1,Q5947=0,ISNUMBER(O5947),ISNUMBER(P5947)),IF(Q5946=0,1,0),0)</f>
        <v>1</v>
      </c>
      <c r="S5947" s="56" t="n">
        <f aca="false">R5947*(B5947&gt;=Train_Start)*(B5947&lt;=Train_End)</f>
        <v>0</v>
      </c>
      <c r="T5947" s="84" t="n">
        <f aca="false">IF(AND(ISNUMBER(O5947),ISNUMBER(P5947)),Coef_A+Coef_B1*O5947+Coef_B2*P5947,"")</f>
        <v>18.7310859306759</v>
      </c>
      <c r="U5947" s="84" t="n">
        <f aca="false">IF(AND(R5947=1,ISNUMBER(T5947)),E5947-T5947,"")</f>
        <v>-1.33108593067591</v>
      </c>
      <c r="V5947" s="84" t="n">
        <f aca="false">IF(ISNUMBER(T5947),T5947,-99)</f>
        <v>18.7310859306759</v>
      </c>
      <c r="W5947" s="84" t="n">
        <f aca="false">IF(ISNUMBER(U5947),ABS(U5947),"")</f>
        <v>1.33108593067591</v>
      </c>
    </row>
    <row r="5948" customFormat="false" ht="15" hidden="false" customHeight="false" outlineLevel="0" collapsed="false">
      <c r="A5948" s="57" t="n">
        <v>42988</v>
      </c>
      <c r="B5948" s="56" t="n">
        <v>2017</v>
      </c>
      <c r="C5948" s="56" t="n">
        <v>9</v>
      </c>
      <c r="D5948" s="56" t="n">
        <v>133</v>
      </c>
      <c r="E5948" s="56" t="n">
        <v>19.8</v>
      </c>
      <c r="F5948" s="56" t="n">
        <v>0</v>
      </c>
      <c r="G5948" s="56" t="n">
        <v>8.6</v>
      </c>
      <c r="H5948" s="56" t="n">
        <v>0</v>
      </c>
      <c r="I5948" s="56" t="n">
        <v>13</v>
      </c>
      <c r="J5948" s="56" t="n">
        <v>0</v>
      </c>
      <c r="K5948" s="56" t="n">
        <v>998.5</v>
      </c>
      <c r="L5948" s="56" t="n">
        <v>0</v>
      </c>
      <c r="M5948" s="56" t="n">
        <v>85</v>
      </c>
      <c r="N5948" s="56" t="n">
        <v>2.6</v>
      </c>
      <c r="O5948" s="56" t="n">
        <f aca="false">IF(D5948=1,"",E5947)</f>
        <v>17.4</v>
      </c>
      <c r="P5948" s="56" t="n">
        <f aca="false">IF(OR(D5948=1,K5947=""),"",K5947)</f>
        <v>997.9</v>
      </c>
      <c r="Q5948" s="56" t="n">
        <f aca="false">IF(OR(F5948&lt;&gt;0,AND(I5948&lt;&gt;"",E5948&lt;I5948)),1,0)</f>
        <v>0</v>
      </c>
      <c r="R5948" s="56" t="n">
        <f aca="false">IF(AND(D5948&gt;1,Q5948=0,ISNUMBER(O5948),ISNUMBER(P5948)),IF(Q5947=0,1,0),0)</f>
        <v>1</v>
      </c>
      <c r="S5948" s="56" t="n">
        <f aca="false">R5948*(B5948&gt;=Train_Start)*(B5948&lt;=Train_End)</f>
        <v>0</v>
      </c>
      <c r="T5948" s="84" t="n">
        <f aca="false">IF(AND(ISNUMBER(O5948),ISNUMBER(P5948)),Coef_A+Coef_B1*O5948+Coef_B2*P5948,"")</f>
        <v>17.647495236196</v>
      </c>
      <c r="U5948" s="84" t="n">
        <f aca="false">IF(AND(R5948=1,ISNUMBER(T5948)),E5948-T5948,"")</f>
        <v>2.15250476380405</v>
      </c>
      <c r="V5948" s="84" t="n">
        <f aca="false">IF(ISNUMBER(T5948),T5948,-99)</f>
        <v>17.647495236196</v>
      </c>
      <c r="W5948" s="84" t="n">
        <f aca="false">IF(ISNUMBER(U5948),ABS(U5948),"")</f>
        <v>2.15250476380405</v>
      </c>
    </row>
    <row r="5949" customFormat="false" ht="15" hidden="false" customHeight="false" outlineLevel="0" collapsed="false">
      <c r="A5949" s="57" t="n">
        <v>42989</v>
      </c>
      <c r="B5949" s="56" t="n">
        <v>2017</v>
      </c>
      <c r="C5949" s="56" t="n">
        <v>9</v>
      </c>
      <c r="D5949" s="56" t="n">
        <v>134</v>
      </c>
      <c r="E5949" s="56" t="n">
        <v>19.6</v>
      </c>
      <c r="F5949" s="56" t="n">
        <v>0</v>
      </c>
      <c r="G5949" s="56" t="n">
        <v>11.1</v>
      </c>
      <c r="H5949" s="56" t="n">
        <v>0</v>
      </c>
      <c r="I5949" s="56" t="n">
        <v>15.4</v>
      </c>
      <c r="J5949" s="56" t="n">
        <v>0</v>
      </c>
      <c r="K5949" s="56" t="n">
        <v>994.3</v>
      </c>
      <c r="L5949" s="56" t="n">
        <v>0</v>
      </c>
      <c r="M5949" s="56" t="n">
        <v>77</v>
      </c>
      <c r="N5949" s="56" t="n">
        <v>5</v>
      </c>
      <c r="O5949" s="56" t="n">
        <f aca="false">IF(D5949=1,"",E5948)</f>
        <v>19.8</v>
      </c>
      <c r="P5949" s="56" t="n">
        <f aca="false">IF(OR(D5949=1,K5948=""),"",K5948)</f>
        <v>998.5</v>
      </c>
      <c r="Q5949" s="56" t="n">
        <f aca="false">IF(OR(F5949&lt;&gt;0,AND(I5949&lt;&gt;"",E5949&lt;I5949)),1,0)</f>
        <v>0</v>
      </c>
      <c r="R5949" s="56" t="n">
        <f aca="false">IF(AND(D5949&gt;1,Q5949=0,ISNUMBER(O5949),ISNUMBER(P5949)),IF(Q5948=0,1,0),0)</f>
        <v>1</v>
      </c>
      <c r="S5949" s="56" t="n">
        <f aca="false">R5949*(B5949&gt;=Train_Start)*(B5949&lt;=Train_End)</f>
        <v>0</v>
      </c>
      <c r="T5949" s="84" t="n">
        <f aca="false">IF(AND(ISNUMBER(O5949),ISNUMBER(P5949)),Coef_A+Coef_B1*O5949+Coef_B2*P5949,"")</f>
        <v>19.6327312362787</v>
      </c>
      <c r="U5949" s="84" t="n">
        <f aca="false">IF(AND(R5949=1,ISNUMBER(T5949)),E5949-T5949,"")</f>
        <v>-0.0327312362787282</v>
      </c>
      <c r="V5949" s="84" t="n">
        <f aca="false">IF(ISNUMBER(T5949),T5949,-99)</f>
        <v>19.6327312362787</v>
      </c>
      <c r="W5949" s="84" t="n">
        <f aca="false">IF(ISNUMBER(U5949),ABS(U5949),"")</f>
        <v>0.0327312362787282</v>
      </c>
    </row>
    <row r="5950" customFormat="false" ht="15" hidden="false" customHeight="false" outlineLevel="0" collapsed="false">
      <c r="A5950" s="57" t="n">
        <v>42990</v>
      </c>
      <c r="B5950" s="56" t="n">
        <v>2017</v>
      </c>
      <c r="C5950" s="56" t="n">
        <v>9</v>
      </c>
      <c r="D5950" s="56" t="n">
        <v>135</v>
      </c>
      <c r="E5950" s="56" t="n">
        <v>19</v>
      </c>
      <c r="F5950" s="56" t="n">
        <v>0</v>
      </c>
      <c r="G5950" s="56" t="n">
        <v>10.3</v>
      </c>
      <c r="H5950" s="56" t="n">
        <v>0</v>
      </c>
      <c r="I5950" s="56" t="n">
        <v>14.9</v>
      </c>
      <c r="J5950" s="56" t="n">
        <v>0</v>
      </c>
      <c r="K5950" s="56" t="n">
        <v>1004</v>
      </c>
      <c r="L5950" s="56" t="n">
        <v>0</v>
      </c>
      <c r="M5950" s="56" t="n">
        <v>77</v>
      </c>
      <c r="N5950" s="56" t="n">
        <v>7.6</v>
      </c>
      <c r="O5950" s="56" t="n">
        <f aca="false">IF(D5950=1,"",E5949)</f>
        <v>19.6</v>
      </c>
      <c r="P5950" s="56" t="n">
        <f aca="false">IF(OR(D5950=1,K5949=""),"",K5949)</f>
        <v>994.3</v>
      </c>
      <c r="Q5950" s="56" t="n">
        <f aca="false">IF(OR(F5950&lt;&gt;0,AND(I5950&lt;&gt;"",E5950&lt;I5950)),1,0)</f>
        <v>0</v>
      </c>
      <c r="R5950" s="56" t="n">
        <f aca="false">IF(AND(D5950&gt;1,Q5950=0,ISNUMBER(O5950),ISNUMBER(P5950)),IF(Q5949=0,1,0),0)</f>
        <v>1</v>
      </c>
      <c r="S5950" s="56" t="n">
        <f aca="false">R5950*(B5950&gt;=Train_Start)*(B5950&lt;=Train_End)</f>
        <v>0</v>
      </c>
      <c r="T5950" s="84" t="n">
        <f aca="false">IF(AND(ISNUMBER(O5950),ISNUMBER(P5950)),Coef_A+Coef_B1*O5950+Coef_B2*P5950,"")</f>
        <v>19.3371098402074</v>
      </c>
      <c r="U5950" s="84" t="n">
        <f aca="false">IF(AND(R5950=1,ISNUMBER(T5950)),E5950-T5950,"")</f>
        <v>-0.33710984020744</v>
      </c>
      <c r="V5950" s="84" t="n">
        <f aca="false">IF(ISNUMBER(T5950),T5950,-99)</f>
        <v>19.3371098402074</v>
      </c>
      <c r="W5950" s="84" t="n">
        <f aca="false">IF(ISNUMBER(U5950),ABS(U5950),"")</f>
        <v>0.33710984020744</v>
      </c>
    </row>
    <row r="5951" customFormat="false" ht="15" hidden="false" customHeight="false" outlineLevel="0" collapsed="false">
      <c r="A5951" s="57" t="n">
        <v>42991</v>
      </c>
      <c r="B5951" s="56" t="n">
        <v>2017</v>
      </c>
      <c r="C5951" s="56" t="n">
        <v>9</v>
      </c>
      <c r="D5951" s="56" t="n">
        <v>136</v>
      </c>
      <c r="E5951" s="56" t="n">
        <v>18.1</v>
      </c>
      <c r="F5951" s="56" t="n">
        <v>0</v>
      </c>
      <c r="G5951" s="56" t="n">
        <v>12.1</v>
      </c>
      <c r="H5951" s="56" t="n">
        <v>0</v>
      </c>
      <c r="I5951" s="56" t="n">
        <v>15.6</v>
      </c>
      <c r="J5951" s="56" t="n">
        <v>0</v>
      </c>
      <c r="K5951" s="56" t="n">
        <v>999</v>
      </c>
      <c r="L5951" s="56" t="n">
        <v>0</v>
      </c>
      <c r="M5951" s="56" t="n">
        <v>67</v>
      </c>
      <c r="N5951" s="56" t="n">
        <v>8.1</v>
      </c>
      <c r="O5951" s="56" t="n">
        <f aca="false">IF(D5951=1,"",E5950)</f>
        <v>19</v>
      </c>
      <c r="P5951" s="56" t="n">
        <f aca="false">IF(OR(D5951=1,K5950=""),"",K5950)</f>
        <v>1004</v>
      </c>
      <c r="Q5951" s="56" t="n">
        <f aca="false">IF(OR(F5951&lt;&gt;0,AND(I5951&lt;&gt;"",E5951&lt;I5951)),1,0)</f>
        <v>0</v>
      </c>
      <c r="R5951" s="56" t="n">
        <f aca="false">IF(AND(D5951&gt;1,Q5951=0,ISNUMBER(O5951),ISNUMBER(P5951)),IF(Q5950=0,1,0),0)</f>
        <v>1</v>
      </c>
      <c r="S5951" s="56" t="n">
        <f aca="false">R5951*(B5951&gt;=Train_Start)*(B5951&lt;=Train_End)</f>
        <v>0</v>
      </c>
      <c r="T5951" s="84" t="n">
        <f aca="false">IF(AND(ISNUMBER(O5951),ISNUMBER(P5951)),Coef_A+Coef_B1*O5951+Coef_B2*P5951,"")</f>
        <v>19.1497943023315</v>
      </c>
      <c r="U5951" s="84" t="n">
        <f aca="false">IF(AND(R5951=1,ISNUMBER(T5951)),E5951-T5951,"")</f>
        <v>-1.04979430233154</v>
      </c>
      <c r="V5951" s="84" t="n">
        <f aca="false">IF(ISNUMBER(T5951),T5951,-99)</f>
        <v>19.1497943023315</v>
      </c>
      <c r="W5951" s="84" t="n">
        <f aca="false">IF(ISNUMBER(U5951),ABS(U5951),"")</f>
        <v>1.04979430233154</v>
      </c>
    </row>
    <row r="5952" customFormat="false" ht="15" hidden="false" customHeight="false" outlineLevel="0" collapsed="false">
      <c r="A5952" s="57" t="n">
        <v>42992</v>
      </c>
      <c r="B5952" s="56" t="n">
        <v>2017</v>
      </c>
      <c r="C5952" s="56" t="n">
        <v>9</v>
      </c>
      <c r="D5952" s="56" t="n">
        <v>137</v>
      </c>
      <c r="E5952" s="56" t="n">
        <v>16.8</v>
      </c>
      <c r="F5952" s="56" t="n">
        <v>0</v>
      </c>
      <c r="G5952" s="56" t="n">
        <v>7.9</v>
      </c>
      <c r="H5952" s="56" t="n">
        <v>0</v>
      </c>
      <c r="I5952" s="56" t="n">
        <v>13</v>
      </c>
      <c r="J5952" s="56" t="n">
        <v>0</v>
      </c>
      <c r="K5952" s="56" t="n">
        <v>1008.1</v>
      </c>
      <c r="L5952" s="56" t="n">
        <v>0</v>
      </c>
      <c r="M5952" s="56" t="n">
        <v>75</v>
      </c>
      <c r="N5952" s="56" t="n">
        <v>5.6</v>
      </c>
      <c r="O5952" s="56" t="n">
        <f aca="false">IF(D5952=1,"",E5951)</f>
        <v>18.1</v>
      </c>
      <c r="P5952" s="56" t="n">
        <f aca="false">IF(OR(D5952=1,K5951=""),"",K5951)</f>
        <v>999</v>
      </c>
      <c r="Q5952" s="56" t="n">
        <f aca="false">IF(OR(F5952&lt;&gt;0,AND(I5952&lt;&gt;"",E5952&lt;I5952)),1,0)</f>
        <v>0</v>
      </c>
      <c r="R5952" s="56" t="n">
        <f aca="false">IF(AND(D5952&gt;1,Q5952=0,ISNUMBER(O5952),ISNUMBER(P5952)),IF(Q5951=0,1,0),0)</f>
        <v>1</v>
      </c>
      <c r="S5952" s="56" t="n">
        <f aca="false">R5952*(B5952&gt;=Train_Start)*(B5952&lt;=Train_End)</f>
        <v>0</v>
      </c>
      <c r="T5952" s="84" t="n">
        <f aca="false">IF(AND(ISNUMBER(O5952),ISNUMBER(P5952)),Coef_A+Coef_B1*O5952+Coef_B2*P5952,"")</f>
        <v>18.2555395554232</v>
      </c>
      <c r="U5952" s="84" t="n">
        <f aca="false">IF(AND(R5952=1,ISNUMBER(T5952)),E5952-T5952,"")</f>
        <v>-1.4555395554232</v>
      </c>
      <c r="V5952" s="84" t="n">
        <f aca="false">IF(ISNUMBER(T5952),T5952,-99)</f>
        <v>18.2555395554232</v>
      </c>
      <c r="W5952" s="84" t="n">
        <f aca="false">IF(ISNUMBER(U5952),ABS(U5952),"")</f>
        <v>1.4555395554232</v>
      </c>
    </row>
    <row r="5953" customFormat="false" ht="15" hidden="false" customHeight="false" outlineLevel="0" collapsed="false">
      <c r="A5953" s="57" t="n">
        <v>42993</v>
      </c>
      <c r="B5953" s="56" t="n">
        <v>2017</v>
      </c>
      <c r="C5953" s="56" t="n">
        <v>9</v>
      </c>
      <c r="D5953" s="56" t="n">
        <v>138</v>
      </c>
      <c r="E5953" s="56" t="n">
        <v>15.9</v>
      </c>
      <c r="F5953" s="56" t="n">
        <v>0</v>
      </c>
      <c r="G5953" s="56" t="n">
        <v>7.1</v>
      </c>
      <c r="H5953" s="56" t="n">
        <v>0</v>
      </c>
      <c r="I5953" s="56" t="n">
        <v>11.9</v>
      </c>
      <c r="J5953" s="56" t="n">
        <v>0</v>
      </c>
      <c r="K5953" s="56" t="n">
        <v>1013.1</v>
      </c>
      <c r="L5953" s="56" t="n">
        <v>0</v>
      </c>
      <c r="M5953" s="56" t="n">
        <v>80</v>
      </c>
      <c r="N5953" s="56" t="n">
        <v>5.2</v>
      </c>
      <c r="O5953" s="56" t="n">
        <f aca="false">IF(D5953=1,"",E5952)</f>
        <v>16.8</v>
      </c>
      <c r="P5953" s="56" t="n">
        <f aca="false">IF(OR(D5953=1,K5952=""),"",K5952)</f>
        <v>1008.1</v>
      </c>
      <c r="Q5953" s="56" t="n">
        <f aca="false">IF(OR(F5953&lt;&gt;0,AND(I5953&lt;&gt;"",E5953&lt;I5953)),1,0)</f>
        <v>0</v>
      </c>
      <c r="R5953" s="56" t="n">
        <f aca="false">IF(AND(D5953&gt;1,Q5953=0,ISNUMBER(O5953),ISNUMBER(P5953)),IF(Q5952=0,1,0),0)</f>
        <v>1</v>
      </c>
      <c r="S5953" s="56" t="n">
        <f aca="false">R5953*(B5953&gt;=Train_Start)*(B5953&lt;=Train_End)</f>
        <v>0</v>
      </c>
      <c r="T5953" s="84" t="n">
        <f aca="false">IF(AND(ISNUMBER(O5953),ISNUMBER(P5953)),Coef_A+Coef_B1*O5953+Coef_B2*P5953,"")</f>
        <v>17.4758646456371</v>
      </c>
      <c r="U5953" s="84" t="n">
        <f aca="false">IF(AND(R5953=1,ISNUMBER(T5953)),E5953-T5953,"")</f>
        <v>-1.57586464563705</v>
      </c>
      <c r="V5953" s="84" t="n">
        <f aca="false">IF(ISNUMBER(T5953),T5953,-99)</f>
        <v>17.4758646456371</v>
      </c>
      <c r="W5953" s="84" t="n">
        <f aca="false">IF(ISNUMBER(U5953),ABS(U5953),"")</f>
        <v>1.57586464563705</v>
      </c>
    </row>
    <row r="5954" customFormat="false" ht="15" hidden="false" customHeight="false" outlineLevel="0" collapsed="false">
      <c r="A5954" s="57" t="n">
        <v>42994</v>
      </c>
      <c r="B5954" s="56" t="n">
        <v>2017</v>
      </c>
      <c r="C5954" s="56" t="n">
        <v>9</v>
      </c>
      <c r="D5954" s="56" t="n">
        <v>139</v>
      </c>
      <c r="E5954" s="56" t="n">
        <v>17.3</v>
      </c>
      <c r="F5954" s="56" t="n">
        <v>0</v>
      </c>
      <c r="G5954" s="56" t="n">
        <v>8.2</v>
      </c>
      <c r="H5954" s="56" t="n">
        <v>0</v>
      </c>
      <c r="I5954" s="56" t="n">
        <v>12.1</v>
      </c>
      <c r="J5954" s="56" t="n">
        <v>0</v>
      </c>
      <c r="K5954" s="56" t="n">
        <v>1011.8</v>
      </c>
      <c r="L5954" s="56" t="n">
        <v>0</v>
      </c>
      <c r="M5954" s="56" t="n">
        <v>84</v>
      </c>
      <c r="N5954" s="56" t="n">
        <v>2.8</v>
      </c>
      <c r="O5954" s="56" t="n">
        <f aca="false">IF(D5954=1,"",E5953)</f>
        <v>15.9</v>
      </c>
      <c r="P5954" s="56" t="n">
        <f aca="false">IF(OR(D5954=1,K5953=""),"",K5953)</f>
        <v>1013.1</v>
      </c>
      <c r="Q5954" s="56" t="n">
        <f aca="false">IF(OR(F5954&lt;&gt;0,AND(I5954&lt;&gt;"",E5954&lt;I5954)),1,0)</f>
        <v>0</v>
      </c>
      <c r="R5954" s="56" t="n">
        <f aca="false">IF(AND(D5954&gt;1,Q5954=0,ISNUMBER(O5954),ISNUMBER(P5954)),IF(Q5953=0,1,0),0)</f>
        <v>1</v>
      </c>
      <c r="S5954" s="56" t="n">
        <f aca="false">R5954*(B5954&gt;=Train_Start)*(B5954&lt;=Train_End)</f>
        <v>0</v>
      </c>
      <c r="T5954" s="84" t="n">
        <f aca="false">IF(AND(ISNUMBER(O5954),ISNUMBER(P5954)),Coef_A+Coef_B1*O5954+Coef_B2*P5954,"")</f>
        <v>16.8953088450686</v>
      </c>
      <c r="U5954" s="84" t="n">
        <f aca="false">IF(AND(R5954=1,ISNUMBER(T5954)),E5954-T5954,"")</f>
        <v>0.404691154931395</v>
      </c>
      <c r="V5954" s="84" t="n">
        <f aca="false">IF(ISNUMBER(T5954),T5954,-99)</f>
        <v>16.8953088450686</v>
      </c>
      <c r="W5954" s="84" t="n">
        <f aca="false">IF(ISNUMBER(U5954),ABS(U5954),"")</f>
        <v>0.404691154931395</v>
      </c>
    </row>
    <row r="5955" customFormat="false" ht="15" hidden="false" customHeight="false" outlineLevel="0" collapsed="false">
      <c r="A5955" s="57" t="n">
        <v>42995</v>
      </c>
      <c r="B5955" s="56" t="n">
        <v>2017</v>
      </c>
      <c r="C5955" s="56" t="n">
        <v>9</v>
      </c>
      <c r="D5955" s="56" t="n">
        <v>140</v>
      </c>
      <c r="E5955" s="56" t="n">
        <v>17.4</v>
      </c>
      <c r="F5955" s="56" t="n">
        <v>0</v>
      </c>
      <c r="G5955" s="56" t="n">
        <v>8.4</v>
      </c>
      <c r="H5955" s="56" t="n">
        <v>0</v>
      </c>
      <c r="I5955" s="56" t="n">
        <v>12.8</v>
      </c>
      <c r="J5955" s="56" t="n">
        <v>0</v>
      </c>
      <c r="K5955" s="56" t="n">
        <v>1013.8</v>
      </c>
      <c r="L5955" s="56" t="n">
        <v>0</v>
      </c>
      <c r="M5955" s="56" t="n">
        <v>83</v>
      </c>
      <c r="N5955" s="56" t="n">
        <v>3.3</v>
      </c>
      <c r="O5955" s="56" t="n">
        <f aca="false">IF(D5955=1,"",E5954)</f>
        <v>17.3</v>
      </c>
      <c r="P5955" s="56" t="n">
        <f aca="false">IF(OR(D5955=1,K5954=""),"",K5954)</f>
        <v>1011.8</v>
      </c>
      <c r="Q5955" s="56" t="n">
        <f aca="false">IF(OR(F5955&lt;&gt;0,AND(I5955&lt;&gt;"",E5955&lt;I5955)),1,0)</f>
        <v>0</v>
      </c>
      <c r="R5955" s="56" t="n">
        <f aca="false">IF(AND(D5955&gt;1,Q5955=0,ISNUMBER(O5955),ISNUMBER(P5955)),IF(Q5954=0,1,0),0)</f>
        <v>1</v>
      </c>
      <c r="S5955" s="56" t="n">
        <f aca="false">R5955*(B5955&gt;=Train_Start)*(B5955&lt;=Train_End)</f>
        <v>0</v>
      </c>
      <c r="T5955" s="84" t="n">
        <f aca="false">IF(AND(ISNUMBER(O5955),ISNUMBER(P5955)),Coef_A+Coef_B1*O5955+Coef_B2*P5955,"")</f>
        <v>18.0016028523041</v>
      </c>
      <c r="U5955" s="84" t="n">
        <f aca="false">IF(AND(R5955=1,ISNUMBER(T5955)),E5955-T5955,"")</f>
        <v>-0.60160285230414</v>
      </c>
      <c r="V5955" s="84" t="n">
        <f aca="false">IF(ISNUMBER(T5955),T5955,-99)</f>
        <v>18.0016028523041</v>
      </c>
      <c r="W5955" s="84" t="n">
        <f aca="false">IF(ISNUMBER(U5955),ABS(U5955),"")</f>
        <v>0.60160285230414</v>
      </c>
    </row>
    <row r="5956" customFormat="false" ht="15" hidden="false" customHeight="false" outlineLevel="0" collapsed="false">
      <c r="A5956" s="57" t="n">
        <v>42996</v>
      </c>
      <c r="B5956" s="56" t="n">
        <v>2017</v>
      </c>
      <c r="C5956" s="56" t="n">
        <v>9</v>
      </c>
      <c r="D5956" s="56" t="n">
        <v>141</v>
      </c>
      <c r="E5956" s="56" t="n">
        <v>16.3</v>
      </c>
      <c r="F5956" s="56" t="n">
        <v>0</v>
      </c>
      <c r="G5956" s="56" t="n">
        <v>9.1</v>
      </c>
      <c r="H5956" s="56" t="n">
        <v>0</v>
      </c>
      <c r="I5956" s="56" t="n">
        <v>13.2</v>
      </c>
      <c r="J5956" s="56" t="n">
        <v>0</v>
      </c>
      <c r="K5956" s="56" t="n">
        <v>1017.6</v>
      </c>
      <c r="L5956" s="56" t="n">
        <v>0</v>
      </c>
      <c r="M5956" s="56" t="n">
        <v>80</v>
      </c>
      <c r="N5956" s="56" t="n">
        <v>3.3</v>
      </c>
      <c r="O5956" s="56" t="n">
        <f aca="false">IF(D5956=1,"",E5955)</f>
        <v>17.4</v>
      </c>
      <c r="P5956" s="56" t="n">
        <f aca="false">IF(OR(D5956=1,K5955=""),"",K5955)</f>
        <v>1013.8</v>
      </c>
      <c r="Q5956" s="56" t="n">
        <f aca="false">IF(OR(F5956&lt;&gt;0,AND(I5956&lt;&gt;"",E5956&lt;I5956)),1,0)</f>
        <v>0</v>
      </c>
      <c r="R5956" s="56" t="n">
        <f aca="false">IF(AND(D5956&gt;1,Q5956=0,ISNUMBER(O5956),ISNUMBER(P5956)),IF(Q5955=0,1,0),0)</f>
        <v>1</v>
      </c>
      <c r="S5956" s="56" t="n">
        <f aca="false">R5956*(B5956&gt;=Train_Start)*(B5956&lt;=Train_End)</f>
        <v>0</v>
      </c>
      <c r="T5956" s="84" t="n">
        <f aca="false">IF(AND(ISNUMBER(O5956),ISNUMBER(P5956)),Coef_A+Coef_B1*O5956+Coef_B2*P5956,"")</f>
        <v>18.1462765608764</v>
      </c>
      <c r="U5956" s="84" t="n">
        <f aca="false">IF(AND(R5956=1,ISNUMBER(T5956)),E5956-T5956,"")</f>
        <v>-1.84627656087638</v>
      </c>
      <c r="V5956" s="84" t="n">
        <f aca="false">IF(ISNUMBER(T5956),T5956,-99)</f>
        <v>18.1462765608764</v>
      </c>
      <c r="W5956" s="84" t="n">
        <f aca="false">IF(ISNUMBER(U5956),ABS(U5956),"")</f>
        <v>1.84627656087638</v>
      </c>
    </row>
    <row r="5957" customFormat="false" ht="15" hidden="false" customHeight="false" outlineLevel="0" collapsed="false">
      <c r="A5957" s="57" t="n">
        <v>42997</v>
      </c>
      <c r="B5957" s="56" t="n">
        <v>2017</v>
      </c>
      <c r="C5957" s="56" t="n">
        <v>9</v>
      </c>
      <c r="D5957" s="56" t="n">
        <v>142</v>
      </c>
      <c r="E5957" s="56" t="n">
        <v>18.3</v>
      </c>
      <c r="F5957" s="56" t="n">
        <v>0</v>
      </c>
      <c r="G5957" s="56" t="n">
        <v>8.3</v>
      </c>
      <c r="H5957" s="56" t="n">
        <v>0</v>
      </c>
      <c r="I5957" s="56" t="n">
        <v>12.3</v>
      </c>
      <c r="J5957" s="56" t="n">
        <v>0</v>
      </c>
      <c r="K5957" s="56" t="n">
        <v>1021.4</v>
      </c>
      <c r="L5957" s="56" t="n">
        <v>0</v>
      </c>
      <c r="M5957" s="56" t="n">
        <v>79</v>
      </c>
      <c r="N5957" s="56" t="n">
        <v>6.5</v>
      </c>
      <c r="O5957" s="56" t="n">
        <f aca="false">IF(D5957=1,"",E5956)</f>
        <v>16.3</v>
      </c>
      <c r="P5957" s="56" t="n">
        <f aca="false">IF(OR(D5957=1,K5956=""),"",K5956)</f>
        <v>1017.6</v>
      </c>
      <c r="Q5957" s="56" t="n">
        <f aca="false">IF(OR(F5957&lt;&gt;0,AND(I5957&lt;&gt;"",E5957&lt;I5957)),1,0)</f>
        <v>0</v>
      </c>
      <c r="R5957" s="56" t="n">
        <f aca="false">IF(AND(D5957&gt;1,Q5957=0,ISNUMBER(O5957),ISNUMBER(P5957)),IF(Q5956=0,1,0),0)</f>
        <v>1</v>
      </c>
      <c r="S5957" s="56" t="n">
        <f aca="false">R5957*(B5957&gt;=Train_Start)*(B5957&lt;=Train_End)</f>
        <v>0</v>
      </c>
      <c r="T5957" s="84" t="n">
        <f aca="false">IF(AND(ISNUMBER(O5957),ISNUMBER(P5957)),Coef_A+Coef_B1*O5957+Coef_B2*P5957,"")</f>
        <v>17.3642090481386</v>
      </c>
      <c r="U5957" s="84" t="n">
        <f aca="false">IF(AND(R5957=1,ISNUMBER(T5957)),E5957-T5957,"")</f>
        <v>0.935790951861375</v>
      </c>
      <c r="V5957" s="84" t="n">
        <f aca="false">IF(ISNUMBER(T5957),T5957,-99)</f>
        <v>17.3642090481386</v>
      </c>
      <c r="W5957" s="84" t="n">
        <f aca="false">IF(ISNUMBER(U5957),ABS(U5957),"")</f>
        <v>0.935790951861375</v>
      </c>
    </row>
    <row r="5958" customFormat="false" ht="15" hidden="false" customHeight="false" outlineLevel="0" collapsed="false">
      <c r="A5958" s="57" t="n">
        <v>42998</v>
      </c>
      <c r="B5958" s="56" t="n">
        <v>2017</v>
      </c>
      <c r="C5958" s="56" t="n">
        <v>9</v>
      </c>
      <c r="D5958" s="56" t="n">
        <v>143</v>
      </c>
      <c r="E5958" s="56" t="n">
        <v>18</v>
      </c>
      <c r="F5958" s="56" t="n">
        <v>0</v>
      </c>
      <c r="G5958" s="56" t="n">
        <v>9.2</v>
      </c>
      <c r="H5958" s="56" t="n">
        <v>0</v>
      </c>
      <c r="I5958" s="56" t="n">
        <v>13.8</v>
      </c>
      <c r="J5958" s="56" t="n">
        <v>0</v>
      </c>
      <c r="K5958" s="56" t="n">
        <v>1018.8</v>
      </c>
      <c r="L5958" s="56" t="n">
        <v>0</v>
      </c>
      <c r="M5958" s="56" t="n">
        <v>83</v>
      </c>
      <c r="N5958" s="56" t="n">
        <v>1</v>
      </c>
      <c r="O5958" s="56" t="n">
        <f aca="false">IF(D5958=1,"",E5957)</f>
        <v>18.3</v>
      </c>
      <c r="P5958" s="56" t="n">
        <f aca="false">IF(OR(D5958=1,K5957=""),"",K5957)</f>
        <v>1021.4</v>
      </c>
      <c r="Q5958" s="56" t="n">
        <f aca="false">IF(OR(F5958&lt;&gt;0,AND(I5958&lt;&gt;"",E5958&lt;I5958)),1,0)</f>
        <v>0</v>
      </c>
      <c r="R5958" s="56" t="n">
        <f aca="false">IF(AND(D5958&gt;1,Q5958=0,ISNUMBER(O5958),ISNUMBER(P5958)),IF(Q5957=0,1,0),0)</f>
        <v>1</v>
      </c>
      <c r="S5958" s="56" t="n">
        <f aca="false">R5958*(B5958&gt;=Train_Start)*(B5958&lt;=Train_End)</f>
        <v>0</v>
      </c>
      <c r="T5958" s="84" t="n">
        <f aca="false">IF(AND(ISNUMBER(O5958),ISNUMBER(P5958)),Coef_A+Coef_B1*O5958+Coef_B2*P5958,"")</f>
        <v>19.1220930338331</v>
      </c>
      <c r="U5958" s="84" t="n">
        <f aca="false">IF(AND(R5958=1,ISNUMBER(T5958)),E5958-T5958,"")</f>
        <v>-1.1220930338331</v>
      </c>
      <c r="V5958" s="84" t="n">
        <f aca="false">IF(ISNUMBER(T5958),T5958,-99)</f>
        <v>19.1220930338331</v>
      </c>
      <c r="W5958" s="84" t="n">
        <f aca="false">IF(ISNUMBER(U5958),ABS(U5958),"")</f>
        <v>1.1220930338331</v>
      </c>
    </row>
    <row r="5959" customFormat="false" ht="15" hidden="false" customHeight="false" outlineLevel="0" collapsed="false">
      <c r="A5959" s="57" t="n">
        <v>42999</v>
      </c>
      <c r="B5959" s="56" t="n">
        <v>2017</v>
      </c>
      <c r="C5959" s="56" t="n">
        <v>9</v>
      </c>
      <c r="D5959" s="56" t="n">
        <v>144</v>
      </c>
      <c r="E5959" s="56" t="n">
        <v>19</v>
      </c>
      <c r="F5959" s="56" t="n">
        <v>0</v>
      </c>
      <c r="G5959" s="56" t="n">
        <v>14</v>
      </c>
      <c r="H5959" s="56" t="n">
        <v>0</v>
      </c>
      <c r="I5959" s="56" t="n">
        <v>16</v>
      </c>
      <c r="J5959" s="56" t="n">
        <v>0</v>
      </c>
      <c r="K5959" s="56" t="n">
        <v>1015.7</v>
      </c>
      <c r="L5959" s="56" t="n">
        <v>0</v>
      </c>
      <c r="M5959" s="56" t="n">
        <v>83</v>
      </c>
      <c r="N5959" s="56" t="n">
        <v>1.2</v>
      </c>
      <c r="O5959" s="56" t="n">
        <f aca="false">IF(D5959=1,"",E5958)</f>
        <v>18</v>
      </c>
      <c r="P5959" s="56" t="n">
        <f aca="false">IF(OR(D5959=1,K5958=""),"",K5958)</f>
        <v>1018.8</v>
      </c>
      <c r="Q5959" s="56" t="n">
        <f aca="false">IF(OR(F5959&lt;&gt;0,AND(I5959&lt;&gt;"",E5959&lt;I5959)),1,0)</f>
        <v>0</v>
      </c>
      <c r="R5959" s="56" t="n">
        <f aca="false">IF(AND(D5959&gt;1,Q5959=0,ISNUMBER(O5959),ISNUMBER(P5959)),IF(Q5958=0,1,0),0)</f>
        <v>1</v>
      </c>
      <c r="S5959" s="56" t="n">
        <f aca="false">R5959*(B5959&gt;=Train_Start)*(B5959&lt;=Train_End)</f>
        <v>0</v>
      </c>
      <c r="T5959" s="84" t="n">
        <f aca="false">IF(AND(ISNUMBER(O5959),ISNUMBER(P5959)),Coef_A+Coef_B1*O5959+Coef_B2*P5959,"")</f>
        <v>18.7947295498719</v>
      </c>
      <c r="U5959" s="84" t="n">
        <f aca="false">IF(AND(R5959=1,ISNUMBER(T5959)),E5959-T5959,"")</f>
        <v>0.205270450128072</v>
      </c>
      <c r="V5959" s="84" t="n">
        <f aca="false">IF(ISNUMBER(T5959),T5959,-99)</f>
        <v>18.7947295498719</v>
      </c>
      <c r="W5959" s="84" t="n">
        <f aca="false">IF(ISNUMBER(U5959),ABS(U5959),"")</f>
        <v>0.205270450128072</v>
      </c>
    </row>
    <row r="5960" customFormat="false" ht="15" hidden="false" customHeight="false" outlineLevel="0" collapsed="false">
      <c r="A5960" s="57" t="n">
        <v>43000</v>
      </c>
      <c r="B5960" s="56" t="n">
        <v>2017</v>
      </c>
      <c r="C5960" s="56" t="n">
        <v>9</v>
      </c>
      <c r="D5960" s="56" t="n">
        <v>145</v>
      </c>
      <c r="E5960" s="56" t="n">
        <v>19.5</v>
      </c>
      <c r="F5960" s="56" t="n">
        <v>0</v>
      </c>
      <c r="G5960" s="56" t="n">
        <v>6.2</v>
      </c>
      <c r="H5960" s="56" t="n">
        <v>0</v>
      </c>
      <c r="I5960" s="56" t="n">
        <v>12.6</v>
      </c>
      <c r="J5960" s="56" t="n">
        <v>0</v>
      </c>
      <c r="K5960" s="56" t="n">
        <v>1021.4</v>
      </c>
      <c r="L5960" s="56" t="n">
        <v>0</v>
      </c>
      <c r="M5960" s="56" t="n">
        <v>78</v>
      </c>
      <c r="N5960" s="56" t="n">
        <v>8.7</v>
      </c>
      <c r="O5960" s="56" t="n">
        <f aca="false">IF(D5960=1,"",E5959)</f>
        <v>19</v>
      </c>
      <c r="P5960" s="56" t="n">
        <f aca="false">IF(OR(D5960=1,K5959=""),"",K5959)</f>
        <v>1015.7</v>
      </c>
      <c r="Q5960" s="56" t="n">
        <f aca="false">IF(OR(F5960&lt;&gt;0,AND(I5960&lt;&gt;"",E5960&lt;I5960)),1,0)</f>
        <v>0</v>
      </c>
      <c r="R5960" s="56" t="n">
        <f aca="false">IF(AND(D5960&gt;1,Q5960=0,ISNUMBER(O5960),ISNUMBER(P5960)),IF(Q5959=0,1,0),0)</f>
        <v>1</v>
      </c>
      <c r="S5960" s="56" t="n">
        <f aca="false">R5960*(B5960&gt;=Train_Start)*(B5960&lt;=Train_End)</f>
        <v>0</v>
      </c>
      <c r="T5960" s="84" t="n">
        <f aca="false">IF(AND(ISNUMBER(O5960),ISNUMBER(P5960)),Coef_A+Coef_B1*O5960+Coef_B2*P5960,"")</f>
        <v>19.5168220695492</v>
      </c>
      <c r="U5960" s="84" t="n">
        <f aca="false">IF(AND(R5960=1,ISNUMBER(T5960)),E5960-T5960,"")</f>
        <v>-0.0168220695492209</v>
      </c>
      <c r="V5960" s="84" t="n">
        <f aca="false">IF(ISNUMBER(T5960),T5960,-99)</f>
        <v>19.5168220695492</v>
      </c>
      <c r="W5960" s="84" t="n">
        <f aca="false">IF(ISNUMBER(U5960),ABS(U5960),"")</f>
        <v>0.0168220695492209</v>
      </c>
    </row>
    <row r="5961" customFormat="false" ht="15" hidden="false" customHeight="false" outlineLevel="0" collapsed="false">
      <c r="A5961" s="57" t="n">
        <v>43001</v>
      </c>
      <c r="B5961" s="56" t="n">
        <v>2017</v>
      </c>
      <c r="C5961" s="56" t="n">
        <v>9</v>
      </c>
      <c r="D5961" s="56" t="n">
        <v>146</v>
      </c>
      <c r="E5961" s="56" t="n">
        <v>22.8</v>
      </c>
      <c r="F5961" s="56" t="n">
        <v>0</v>
      </c>
      <c r="G5961" s="56" t="n">
        <v>11.2</v>
      </c>
      <c r="H5961" s="56" t="n">
        <v>0</v>
      </c>
      <c r="I5961" s="56" t="n">
        <v>15.3</v>
      </c>
      <c r="J5961" s="56" t="n">
        <v>0</v>
      </c>
      <c r="K5961" s="56" t="n">
        <v>1021.6</v>
      </c>
      <c r="L5961" s="56" t="n">
        <v>0</v>
      </c>
      <c r="M5961" s="56" t="n">
        <v>71</v>
      </c>
      <c r="N5961" s="56" t="n">
        <v>1.2</v>
      </c>
      <c r="O5961" s="56" t="n">
        <f aca="false">IF(D5961=1,"",E5960)</f>
        <v>19.5</v>
      </c>
      <c r="P5961" s="56" t="n">
        <f aca="false">IF(OR(D5961=1,K5960=""),"",K5960)</f>
        <v>1021.4</v>
      </c>
      <c r="Q5961" s="56" t="n">
        <f aca="false">IF(OR(F5961&lt;&gt;0,AND(I5961&lt;&gt;"",E5961&lt;I5961)),1,0)</f>
        <v>0</v>
      </c>
      <c r="R5961" s="56" t="n">
        <f aca="false">IF(AND(D5961&gt;1,Q5961=0,ISNUMBER(O5961),ISNUMBER(P5961)),IF(Q5960=0,1,0),0)</f>
        <v>1</v>
      </c>
      <c r="S5961" s="56" t="n">
        <f aca="false">R5961*(B5961&gt;=Train_Start)*(B5961&lt;=Train_End)</f>
        <v>0</v>
      </c>
      <c r="T5961" s="84" t="n">
        <f aca="false">IF(AND(ISNUMBER(O5961),ISNUMBER(P5961)),Coef_A+Coef_B1*O5961+Coef_B2*P5961,"")</f>
        <v>20.1053000654843</v>
      </c>
      <c r="U5961" s="84" t="n">
        <f aca="false">IF(AND(R5961=1,ISNUMBER(T5961)),E5961-T5961,"")</f>
        <v>2.69469993451571</v>
      </c>
      <c r="V5961" s="84" t="n">
        <f aca="false">IF(ISNUMBER(T5961),T5961,-99)</f>
        <v>20.1053000654843</v>
      </c>
      <c r="W5961" s="84" t="n">
        <f aca="false">IF(ISNUMBER(U5961),ABS(U5961),"")</f>
        <v>2.69469993451571</v>
      </c>
    </row>
    <row r="5962" customFormat="false" ht="15" hidden="false" customHeight="false" outlineLevel="0" collapsed="false">
      <c r="A5962" s="57" t="n">
        <v>43002</v>
      </c>
      <c r="B5962" s="56" t="n">
        <v>2017</v>
      </c>
      <c r="C5962" s="56" t="n">
        <v>9</v>
      </c>
      <c r="D5962" s="56" t="n">
        <v>147</v>
      </c>
      <c r="E5962" s="56" t="n">
        <v>18.2</v>
      </c>
      <c r="F5962" s="56" t="n">
        <v>0</v>
      </c>
      <c r="G5962" s="56" t="n">
        <v>10.8</v>
      </c>
      <c r="H5962" s="56" t="n">
        <v>0</v>
      </c>
      <c r="I5962" s="56" t="n">
        <v>16.8</v>
      </c>
      <c r="J5962" s="56" t="n">
        <v>0</v>
      </c>
      <c r="K5962" s="56" t="n">
        <v>1019.3</v>
      </c>
      <c r="L5962" s="56" t="n">
        <v>0</v>
      </c>
      <c r="M5962" s="56" t="n">
        <v>73</v>
      </c>
      <c r="N5962" s="56" t="n">
        <v>7.7</v>
      </c>
      <c r="O5962" s="56" t="n">
        <f aca="false">IF(D5962=1,"",E5961)</f>
        <v>22.8</v>
      </c>
      <c r="P5962" s="56" t="n">
        <f aca="false">IF(OR(D5962=1,K5961=""),"",K5961)</f>
        <v>1021.6</v>
      </c>
      <c r="Q5962" s="56" t="n">
        <f aca="false">IF(OR(F5962&lt;&gt;0,AND(I5962&lt;&gt;"",E5962&lt;I5962)),1,0)</f>
        <v>0</v>
      </c>
      <c r="R5962" s="56" t="n">
        <f aca="false">IF(AND(D5962&gt;1,Q5962=0,ISNUMBER(O5962),ISNUMBER(P5962)),IF(Q5961=0,1,0),0)</f>
        <v>1</v>
      </c>
      <c r="S5962" s="56" t="n">
        <f aca="false">R5962*(B5962&gt;=Train_Start)*(B5962&lt;=Train_End)</f>
        <v>0</v>
      </c>
      <c r="T5962" s="84" t="n">
        <f aca="false">IF(AND(ISNUMBER(O5962),ISNUMBER(P5962)),Coef_A+Coef_B1*O5962+Coef_B2*P5962,"")</f>
        <v>22.8153933814519</v>
      </c>
      <c r="U5962" s="84" t="n">
        <f aca="false">IF(AND(R5962=1,ISNUMBER(T5962)),E5962-T5962,"")</f>
        <v>-4.61539338145186</v>
      </c>
      <c r="V5962" s="84" t="n">
        <f aca="false">IF(ISNUMBER(T5962),T5962,-99)</f>
        <v>22.8153933814519</v>
      </c>
      <c r="W5962" s="84" t="n">
        <f aca="false">IF(ISNUMBER(U5962),ABS(U5962),"")</f>
        <v>4.61539338145186</v>
      </c>
    </row>
    <row r="5963" customFormat="false" ht="15" hidden="false" customHeight="false" outlineLevel="0" collapsed="false">
      <c r="A5963" s="57" t="n">
        <v>43003</v>
      </c>
      <c r="B5963" s="56" t="n">
        <v>2017</v>
      </c>
      <c r="C5963" s="56" t="n">
        <v>9</v>
      </c>
      <c r="D5963" s="56" t="n">
        <v>148</v>
      </c>
      <c r="E5963" s="56" t="n">
        <v>21.1</v>
      </c>
      <c r="F5963" s="56" t="n">
        <v>0</v>
      </c>
      <c r="G5963" s="56" t="n">
        <v>14.9</v>
      </c>
      <c r="H5963" s="56" t="n">
        <v>0</v>
      </c>
      <c r="I5963" s="56" t="n">
        <v>16.6</v>
      </c>
      <c r="J5963" s="56" t="n">
        <v>0</v>
      </c>
      <c r="K5963" s="56" t="n">
        <v>1019.6</v>
      </c>
      <c r="L5963" s="56" t="n">
        <v>0</v>
      </c>
      <c r="M5963" s="56" t="n">
        <v>87</v>
      </c>
      <c r="N5963" s="56" t="n">
        <v>0</v>
      </c>
      <c r="O5963" s="56" t="n">
        <f aca="false">IF(D5963=1,"",E5962)</f>
        <v>18.2</v>
      </c>
      <c r="P5963" s="56" t="n">
        <f aca="false">IF(OR(D5963=1,K5962=""),"",K5962)</f>
        <v>1019.3</v>
      </c>
      <c r="Q5963" s="56" t="n">
        <f aca="false">IF(OR(F5963&lt;&gt;0,AND(I5963&lt;&gt;"",E5963&lt;I5963)),1,0)</f>
        <v>0</v>
      </c>
      <c r="R5963" s="56" t="n">
        <f aca="false">IF(AND(D5963&gt;1,Q5963=0,ISNUMBER(O5963),ISNUMBER(P5963)),IF(Q5962=0,1,0),0)</f>
        <v>1</v>
      </c>
      <c r="S5963" s="56" t="n">
        <f aca="false">R5963*(B5963&gt;=Train_Start)*(B5963&lt;=Train_End)</f>
        <v>0</v>
      </c>
      <c r="T5963" s="84" t="n">
        <f aca="false">IF(AND(ISNUMBER(O5963),ISNUMBER(P5963)),Coef_A+Coef_B1*O5963+Coef_B2*P5963,"")</f>
        <v>18.9742823357974</v>
      </c>
      <c r="U5963" s="84" t="n">
        <f aca="false">IF(AND(R5963=1,ISNUMBER(T5963)),E5963-T5963,"")</f>
        <v>2.12571766420255</v>
      </c>
      <c r="V5963" s="84" t="n">
        <f aca="false">IF(ISNUMBER(T5963),T5963,-99)</f>
        <v>18.9742823357974</v>
      </c>
      <c r="W5963" s="84" t="n">
        <f aca="false">IF(ISNUMBER(U5963),ABS(U5963),"")</f>
        <v>2.12571766420255</v>
      </c>
    </row>
    <row r="5964" customFormat="false" ht="15" hidden="false" customHeight="false" outlineLevel="0" collapsed="false">
      <c r="A5964" s="57" t="n">
        <v>43004</v>
      </c>
      <c r="B5964" s="56" t="n">
        <v>2017</v>
      </c>
      <c r="C5964" s="56" t="n">
        <v>9</v>
      </c>
      <c r="D5964" s="56" t="n">
        <v>149</v>
      </c>
      <c r="E5964" s="56" t="n">
        <v>20.9</v>
      </c>
      <c r="F5964" s="56" t="n">
        <v>0</v>
      </c>
      <c r="G5964" s="56" t="n">
        <v>13.9</v>
      </c>
      <c r="H5964" s="56" t="n">
        <v>0</v>
      </c>
      <c r="I5964" s="56" t="n">
        <v>17.5</v>
      </c>
      <c r="J5964" s="56" t="n">
        <v>0</v>
      </c>
      <c r="K5964" s="56" t="n">
        <v>1022.1</v>
      </c>
      <c r="L5964" s="56" t="n">
        <v>0</v>
      </c>
      <c r="M5964" s="56" t="n">
        <v>80</v>
      </c>
      <c r="N5964" s="56" t="n">
        <v>3.7</v>
      </c>
      <c r="O5964" s="56" t="n">
        <f aca="false">IF(D5964=1,"",E5963)</f>
        <v>21.1</v>
      </c>
      <c r="P5964" s="56" t="n">
        <f aca="false">IF(OR(D5964=1,K5963=""),"",K5963)</f>
        <v>1019.6</v>
      </c>
      <c r="Q5964" s="56" t="n">
        <f aca="false">IF(OR(F5964&lt;&gt;0,AND(I5964&lt;&gt;"",E5964&lt;I5964)),1,0)</f>
        <v>0</v>
      </c>
      <c r="R5964" s="56" t="n">
        <f aca="false">IF(AND(D5964&gt;1,Q5964=0,ISNUMBER(O5964),ISNUMBER(P5964)),IF(Q5963=0,1,0),0)</f>
        <v>1</v>
      </c>
      <c r="S5964" s="56" t="n">
        <f aca="false">R5964*(B5964&gt;=Train_Start)*(B5964&lt;=Train_End)</f>
        <v>0</v>
      </c>
      <c r="T5964" s="84" t="n">
        <f aca="false">IF(AND(ISNUMBER(O5964),ISNUMBER(P5964)),Coef_A+Coef_B1*O5964+Coef_B2*P5964,"")</f>
        <v>21.3597769640114</v>
      </c>
      <c r="U5964" s="84" t="n">
        <f aca="false">IF(AND(R5964=1,ISNUMBER(T5964)),E5964-T5964,"")</f>
        <v>-0.459776964011358</v>
      </c>
      <c r="V5964" s="84" t="n">
        <f aca="false">IF(ISNUMBER(T5964),T5964,-99)</f>
        <v>21.3597769640114</v>
      </c>
      <c r="W5964" s="84" t="n">
        <f aca="false">IF(ISNUMBER(U5964),ABS(U5964),"")</f>
        <v>0.459776964011358</v>
      </c>
    </row>
    <row r="5965" customFormat="false" ht="15" hidden="false" customHeight="false" outlineLevel="0" collapsed="false">
      <c r="A5965" s="57" t="n">
        <v>43005</v>
      </c>
      <c r="B5965" s="56" t="n">
        <v>2017</v>
      </c>
      <c r="C5965" s="56" t="n">
        <v>9</v>
      </c>
      <c r="D5965" s="56" t="n">
        <v>150</v>
      </c>
      <c r="E5965" s="56" t="n">
        <v>20.5</v>
      </c>
      <c r="F5965" s="56" t="n">
        <v>0</v>
      </c>
      <c r="G5965" s="56" t="n">
        <v>12</v>
      </c>
      <c r="H5965" s="56" t="n">
        <v>0</v>
      </c>
      <c r="I5965" s="56" t="n">
        <v>16.4</v>
      </c>
      <c r="J5965" s="56" t="n">
        <v>0</v>
      </c>
      <c r="K5965" s="56" t="n">
        <v>1019.4</v>
      </c>
      <c r="L5965" s="56" t="n">
        <v>0</v>
      </c>
      <c r="M5965" s="56" t="n">
        <v>87</v>
      </c>
      <c r="N5965" s="56" t="n">
        <v>1.1</v>
      </c>
      <c r="O5965" s="56" t="n">
        <f aca="false">IF(D5965=1,"",E5964)</f>
        <v>20.9</v>
      </c>
      <c r="P5965" s="56" t="n">
        <f aca="false">IF(OR(D5965=1,K5964=""),"",K5964)</f>
        <v>1022.1</v>
      </c>
      <c r="Q5965" s="56" t="n">
        <f aca="false">IF(OR(F5965&lt;&gt;0,AND(I5965&lt;&gt;"",E5965&lt;I5965)),1,0)</f>
        <v>0</v>
      </c>
      <c r="R5965" s="56" t="n">
        <f aca="false">IF(AND(D5965&gt;1,Q5965=0,ISNUMBER(O5965),ISNUMBER(P5965)),IF(Q5964=0,1,0),0)</f>
        <v>1</v>
      </c>
      <c r="S5965" s="56" t="n">
        <f aca="false">R5965*(B5965&gt;=Train_Start)*(B5965&lt;=Train_End)</f>
        <v>0</v>
      </c>
      <c r="T5965" s="84" t="n">
        <f aca="false">IF(AND(ISNUMBER(O5965),ISNUMBER(P5965)),Coef_A+Coef_B1*O5965+Coef_B2*P5965,"")</f>
        <v>21.2743338619878</v>
      </c>
      <c r="U5965" s="84" t="n">
        <f aca="false">IF(AND(R5965=1,ISNUMBER(T5965)),E5965-T5965,"")</f>
        <v>-0.774333861987799</v>
      </c>
      <c r="V5965" s="84" t="n">
        <f aca="false">IF(ISNUMBER(T5965),T5965,-99)</f>
        <v>21.2743338619878</v>
      </c>
      <c r="W5965" s="84" t="n">
        <f aca="false">IF(ISNUMBER(U5965),ABS(U5965),"")</f>
        <v>0.774333861987799</v>
      </c>
    </row>
    <row r="5966" customFormat="false" ht="15" hidden="false" customHeight="false" outlineLevel="0" collapsed="false">
      <c r="A5966" s="57" t="n">
        <v>43006</v>
      </c>
      <c r="B5966" s="56" t="n">
        <v>2017</v>
      </c>
      <c r="C5966" s="56" t="n">
        <v>9</v>
      </c>
      <c r="D5966" s="56" t="n">
        <v>151</v>
      </c>
      <c r="E5966" s="56" t="n">
        <v>18.9</v>
      </c>
      <c r="F5966" s="56" t="n">
        <v>0</v>
      </c>
      <c r="G5966" s="56" t="n">
        <v>15</v>
      </c>
      <c r="H5966" s="56" t="n">
        <v>0</v>
      </c>
      <c r="I5966" s="56" t="n">
        <v>17.8</v>
      </c>
      <c r="J5966" s="56" t="n">
        <v>0</v>
      </c>
      <c r="K5966" s="56" t="n">
        <v>1018.1</v>
      </c>
      <c r="L5966" s="56" t="n">
        <v>0</v>
      </c>
      <c r="M5966" s="56" t="n">
        <v>83</v>
      </c>
      <c r="N5966" s="56" t="n">
        <v>4.5</v>
      </c>
      <c r="O5966" s="56" t="n">
        <f aca="false">IF(D5966=1,"",E5965)</f>
        <v>20.5</v>
      </c>
      <c r="P5966" s="56" t="n">
        <f aca="false">IF(OR(D5966=1,K5965=""),"",K5965)</f>
        <v>1019.4</v>
      </c>
      <c r="Q5966" s="56" t="n">
        <f aca="false">IF(OR(F5966&lt;&gt;0,AND(I5966&lt;&gt;"",E5966&lt;I5966)),1,0)</f>
        <v>0</v>
      </c>
      <c r="R5966" s="56" t="n">
        <f aca="false">IF(AND(D5966&gt;1,Q5966=0,ISNUMBER(O5966),ISNUMBER(P5966)),IF(Q5965=0,1,0),0)</f>
        <v>1</v>
      </c>
      <c r="S5966" s="56" t="n">
        <f aca="false">R5966*(B5966&gt;=Train_Start)*(B5966&lt;=Train_End)</f>
        <v>0</v>
      </c>
      <c r="T5966" s="84" t="n">
        <f aca="false">IF(AND(ISNUMBER(O5966),ISNUMBER(P5966)),Coef_A+Coef_B1*O5966+Coef_B2*P5966,"")</f>
        <v>20.861899469259</v>
      </c>
      <c r="U5966" s="84" t="n">
        <f aca="false">IF(AND(R5966=1,ISNUMBER(T5966)),E5966-T5966,"")</f>
        <v>-1.96189946925896</v>
      </c>
      <c r="V5966" s="84" t="n">
        <f aca="false">IF(ISNUMBER(T5966),T5966,-99)</f>
        <v>20.861899469259</v>
      </c>
      <c r="W5966" s="84" t="n">
        <f aca="false">IF(ISNUMBER(U5966),ABS(U5966),"")</f>
        <v>1.96189946925896</v>
      </c>
    </row>
    <row r="5967" customFormat="false" ht="15" hidden="false" customHeight="false" outlineLevel="0" collapsed="false">
      <c r="A5967" s="57" t="n">
        <v>43007</v>
      </c>
      <c r="B5967" s="56" t="n">
        <v>2017</v>
      </c>
      <c r="C5967" s="56" t="n">
        <v>9</v>
      </c>
      <c r="D5967" s="56" t="n">
        <v>152</v>
      </c>
      <c r="E5967" s="56" t="n">
        <v>17.6</v>
      </c>
      <c r="F5967" s="56" t="n">
        <v>0</v>
      </c>
      <c r="G5967" s="56" t="n">
        <v>13.8</v>
      </c>
      <c r="H5967" s="56" t="n">
        <v>0</v>
      </c>
      <c r="I5967" s="56" t="n">
        <v>16.4</v>
      </c>
      <c r="J5967" s="56" t="n">
        <v>0</v>
      </c>
      <c r="K5967" s="56" t="n">
        <v>1016</v>
      </c>
      <c r="L5967" s="56" t="n">
        <v>0</v>
      </c>
      <c r="M5967" s="56" t="n">
        <v>85</v>
      </c>
      <c r="N5967" s="56" t="n">
        <v>0.6</v>
      </c>
      <c r="O5967" s="56" t="n">
        <f aca="false">IF(D5967=1,"",E5966)</f>
        <v>18.9</v>
      </c>
      <c r="P5967" s="56" t="n">
        <f aca="false">IF(OR(D5967=1,K5966=""),"",K5966)</f>
        <v>1018.1</v>
      </c>
      <c r="Q5967" s="56" t="n">
        <f aca="false">IF(OR(F5967&lt;&gt;0,AND(I5967&lt;&gt;"",E5967&lt;I5967)),1,0)</f>
        <v>0</v>
      </c>
      <c r="R5967" s="56" t="n">
        <f aca="false">IF(AND(D5967&gt;1,Q5967=0,ISNUMBER(O5967),ISNUMBER(P5967)),IF(Q5966=0,1,0),0)</f>
        <v>1</v>
      </c>
      <c r="S5967" s="56" t="n">
        <f aca="false">R5967*(B5967&gt;=Train_Start)*(B5967&lt;=Train_End)</f>
        <v>0</v>
      </c>
      <c r="T5967" s="84" t="n">
        <f aca="false">IF(AND(ISNUMBER(O5967),ISNUMBER(P5967)),Coef_A+Coef_B1*O5967+Coef_B2*P5967,"")</f>
        <v>19.5101758973665</v>
      </c>
      <c r="U5967" s="84" t="n">
        <f aca="false">IF(AND(R5967=1,ISNUMBER(T5967)),E5967-T5967,"")</f>
        <v>-1.91017589736653</v>
      </c>
      <c r="V5967" s="84" t="n">
        <f aca="false">IF(ISNUMBER(T5967),T5967,-99)</f>
        <v>19.5101758973665</v>
      </c>
      <c r="W5967" s="84" t="n">
        <f aca="false">IF(ISNUMBER(U5967),ABS(U5967),"")</f>
        <v>1.91017589736653</v>
      </c>
    </row>
    <row r="5968" customFormat="false" ht="15" hidden="false" customHeight="false" outlineLevel="0" collapsed="false">
      <c r="A5968" s="57" t="n">
        <v>43008</v>
      </c>
      <c r="B5968" s="56" t="n">
        <v>2017</v>
      </c>
      <c r="C5968" s="56" t="n">
        <v>9</v>
      </c>
      <c r="D5968" s="56" t="n">
        <v>153</v>
      </c>
      <c r="E5968" s="56" t="n">
        <v>18.4</v>
      </c>
      <c r="F5968" s="56" t="n">
        <v>0</v>
      </c>
      <c r="G5968" s="56" t="n">
        <v>10.9</v>
      </c>
      <c r="H5968" s="56" t="n">
        <v>0</v>
      </c>
      <c r="I5968" s="56" t="n">
        <v>14.2</v>
      </c>
      <c r="J5968" s="56" t="n">
        <v>0</v>
      </c>
      <c r="K5968" s="56" t="n">
        <v>1016.4</v>
      </c>
      <c r="L5968" s="56" t="n">
        <v>0</v>
      </c>
      <c r="M5968" s="56" t="n">
        <v>80</v>
      </c>
      <c r="N5968" s="56" t="n">
        <v>2.4</v>
      </c>
      <c r="O5968" s="56" t="n">
        <f aca="false">IF(D5968=1,"",E5967)</f>
        <v>17.6</v>
      </c>
      <c r="P5968" s="56" t="n">
        <f aca="false">IF(OR(D5968=1,K5967=""),"",K5967)</f>
        <v>1016</v>
      </c>
      <c r="Q5968" s="56" t="n">
        <f aca="false">IF(OR(F5968&lt;&gt;0,AND(I5968&lt;&gt;"",E5968&lt;I5968)),1,0)</f>
        <v>0</v>
      </c>
      <c r="R5968" s="56" t="n">
        <f aca="false">IF(AND(D5968&gt;1,Q5968=0,ISNUMBER(O5968),ISNUMBER(P5968)),IF(Q5967=0,1,0),0)</f>
        <v>1</v>
      </c>
      <c r="S5968" s="56" t="n">
        <f aca="false">R5968*(B5968&gt;=Train_Start)*(B5968&lt;=Train_End)</f>
        <v>0</v>
      </c>
      <c r="T5968" s="84" t="n">
        <f aca="false">IF(AND(ISNUMBER(O5968),ISNUMBER(P5968)),Coef_A+Coef_B1*O5968+Coef_B2*P5968,"")</f>
        <v>18.3791581676797</v>
      </c>
      <c r="U5968" s="84" t="n">
        <f aca="false">IF(AND(R5968=1,ISNUMBER(T5968)),E5968-T5968,"")</f>
        <v>0.0208418323203006</v>
      </c>
      <c r="V5968" s="84" t="n">
        <f aca="false">IF(ISNUMBER(T5968),T5968,-99)</f>
        <v>18.3791581676797</v>
      </c>
      <c r="W5968" s="84" t="n">
        <f aca="false">IF(ISNUMBER(U5968),ABS(U5968),"")</f>
        <v>0.0208418323203006</v>
      </c>
    </row>
    <row r="5969" customFormat="false" ht="15" hidden="false" customHeight="false" outlineLevel="0" collapsed="false">
      <c r="A5969" s="57" t="n">
        <v>43221</v>
      </c>
      <c r="B5969" s="56" t="n">
        <v>2018</v>
      </c>
      <c r="C5969" s="56" t="n">
        <v>5</v>
      </c>
      <c r="D5969" s="56" t="n">
        <v>1</v>
      </c>
      <c r="E5969" s="56" t="n">
        <v>15</v>
      </c>
      <c r="F5969" s="56" t="n">
        <v>0</v>
      </c>
      <c r="G5969" s="56" t="n">
        <v>2.3</v>
      </c>
      <c r="H5969" s="56" t="n">
        <v>0</v>
      </c>
      <c r="I5969" s="56" t="n">
        <v>8.6</v>
      </c>
      <c r="J5969" s="56" t="n">
        <v>0</v>
      </c>
      <c r="K5969" s="56" t="n">
        <v>1009.6</v>
      </c>
      <c r="L5969" s="56" t="n">
        <v>0</v>
      </c>
      <c r="M5969" s="56" t="n">
        <v>67</v>
      </c>
      <c r="N5969" s="56" t="n">
        <v>7.9</v>
      </c>
      <c r="O5969" s="56" t="str">
        <f aca="false">IF(D5969=1,"",E5968)</f>
        <v/>
      </c>
      <c r="P5969" s="56" t="str">
        <f aca="false">IF(OR(D5969=1,K5968=""),"",K5968)</f>
        <v/>
      </c>
      <c r="Q5969" s="56" t="n">
        <f aca="false">IF(OR(F5969&lt;&gt;0,AND(I5969&lt;&gt;"",E5969&lt;I5969)),1,0)</f>
        <v>0</v>
      </c>
      <c r="R5969" s="56" t="n">
        <f aca="false">IF(AND(D5969&gt;1,Q5969=0,ISNUMBER(O5969),ISNUMBER(P5969)),IF(Q5968=0,1,0),0)</f>
        <v>0</v>
      </c>
      <c r="S5969" s="56" t="n">
        <f aca="false">R5969*(B5969&gt;=Train_Start)*(B5969&lt;=Train_End)</f>
        <v>0</v>
      </c>
      <c r="T5969" s="84" t="str">
        <f aca="false">IF(AND(ISNUMBER(O5969),ISNUMBER(P5969)),Coef_A+Coef_B1*O5969+Coef_B2*P5969,"")</f>
        <v/>
      </c>
      <c r="U5969" s="84" t="str">
        <f aca="false">IF(AND(R5969=1,ISNUMBER(T5969)),E5969-T5969,"")</f>
        <v/>
      </c>
      <c r="V5969" s="84" t="n">
        <f aca="false">IF(ISNUMBER(T5969),T5969,-99)</f>
        <v>-99</v>
      </c>
      <c r="W5969" s="84" t="str">
        <f aca="false">IF(ISNUMBER(U5969),ABS(U5969),"")</f>
        <v/>
      </c>
    </row>
    <row r="5970" customFormat="false" ht="15" hidden="false" customHeight="false" outlineLevel="0" collapsed="false">
      <c r="A5970" s="57" t="n">
        <v>43222</v>
      </c>
      <c r="B5970" s="56" t="n">
        <v>2018</v>
      </c>
      <c r="C5970" s="56" t="n">
        <v>5</v>
      </c>
      <c r="D5970" s="56" t="n">
        <v>2</v>
      </c>
      <c r="E5970" s="56" t="n">
        <v>18.1</v>
      </c>
      <c r="F5970" s="56" t="n">
        <v>0</v>
      </c>
      <c r="G5970" s="56" t="n">
        <v>8.9</v>
      </c>
      <c r="H5970" s="56" t="n">
        <v>0</v>
      </c>
      <c r="I5970" s="56" t="n">
        <v>11.9</v>
      </c>
      <c r="J5970" s="56" t="n">
        <v>0</v>
      </c>
      <c r="K5970" s="56" t="n">
        <v>1006.6</v>
      </c>
      <c r="L5970" s="56" t="n">
        <v>0</v>
      </c>
      <c r="M5970" s="56" t="n">
        <v>77</v>
      </c>
      <c r="N5970" s="56" t="n">
        <v>4</v>
      </c>
      <c r="O5970" s="56" t="n">
        <f aca="false">IF(D5970=1,"",E5969)</f>
        <v>15</v>
      </c>
      <c r="P5970" s="56" t="n">
        <f aca="false">IF(OR(D5970=1,K5969=""),"",K5969)</f>
        <v>1009.6</v>
      </c>
      <c r="Q5970" s="56" t="n">
        <f aca="false">IF(OR(F5970&lt;&gt;0,AND(I5970&lt;&gt;"",E5970&lt;I5970)),1,0)</f>
        <v>0</v>
      </c>
      <c r="R5970" s="56" t="n">
        <f aca="false">IF(AND(D5970&gt;1,Q5970=0,ISNUMBER(O5970),ISNUMBER(P5970)),IF(Q5969=0,1,0),0)</f>
        <v>1</v>
      </c>
      <c r="S5970" s="56" t="n">
        <f aca="false">R5970*(B5970&gt;=Train_Start)*(B5970&lt;=Train_End)</f>
        <v>0</v>
      </c>
      <c r="T5970" s="84" t="n">
        <f aca="false">IF(AND(ISNUMBER(O5970),ISNUMBER(P5970)),Coef_A+Coef_B1*O5970+Coef_B2*P5970,"")</f>
        <v>16.0481089401113</v>
      </c>
      <c r="U5970" s="84" t="n">
        <f aca="false">IF(AND(R5970=1,ISNUMBER(T5970)),E5970-T5970,"")</f>
        <v>2.05189105988875</v>
      </c>
      <c r="V5970" s="84" t="n">
        <f aca="false">IF(ISNUMBER(T5970),T5970,-99)</f>
        <v>16.0481089401113</v>
      </c>
      <c r="W5970" s="84" t="n">
        <f aca="false">IF(ISNUMBER(U5970),ABS(U5970),"")</f>
        <v>2.05189105988875</v>
      </c>
    </row>
    <row r="5971" customFormat="false" ht="15" hidden="false" customHeight="false" outlineLevel="0" collapsed="false">
      <c r="A5971" s="57" t="n">
        <v>43223</v>
      </c>
      <c r="B5971" s="56" t="n">
        <v>2018</v>
      </c>
      <c r="C5971" s="56" t="n">
        <v>5</v>
      </c>
      <c r="D5971" s="56" t="n">
        <v>3</v>
      </c>
      <c r="E5971" s="56" t="n">
        <v>20</v>
      </c>
      <c r="F5971" s="56" t="n">
        <v>0</v>
      </c>
      <c r="G5971" s="56" t="n">
        <v>3.6</v>
      </c>
      <c r="H5971" s="56" t="n">
        <v>0</v>
      </c>
      <c r="I5971" s="56" t="n">
        <v>10.8</v>
      </c>
      <c r="J5971" s="56" t="n">
        <v>0</v>
      </c>
      <c r="K5971" s="56" t="n">
        <v>1018.9</v>
      </c>
      <c r="L5971" s="56" t="n">
        <v>0</v>
      </c>
      <c r="M5971" s="56" t="n">
        <v>66</v>
      </c>
      <c r="N5971" s="56" t="n">
        <v>10.5</v>
      </c>
      <c r="O5971" s="56" t="n">
        <f aca="false">IF(D5971=1,"",E5970)</f>
        <v>18.1</v>
      </c>
      <c r="P5971" s="56" t="n">
        <f aca="false">IF(OR(D5971=1,K5970=""),"",K5970)</f>
        <v>1006.6</v>
      </c>
      <c r="Q5971" s="56" t="n">
        <f aca="false">IF(OR(F5971&lt;&gt;0,AND(I5971&lt;&gt;"",E5971&lt;I5971)),1,0)</f>
        <v>0</v>
      </c>
      <c r="R5971" s="56" t="n">
        <f aca="false">IF(AND(D5971&gt;1,Q5971=0,ISNUMBER(O5971),ISNUMBER(P5971)),IF(Q5970=0,1,0),0)</f>
        <v>1</v>
      </c>
      <c r="S5971" s="56" t="n">
        <f aca="false">R5971*(B5971&gt;=Train_Start)*(B5971&lt;=Train_End)</f>
        <v>0</v>
      </c>
      <c r="T5971" s="84" t="n">
        <f aca="false">IF(AND(ISNUMBER(O5971),ISNUMBER(P5971)),Coef_A+Coef_B1*O5971+Coef_B2*P5971,"")</f>
        <v>18.4939507546415</v>
      </c>
      <c r="U5971" s="84" t="n">
        <f aca="false">IF(AND(R5971=1,ISNUMBER(T5971)),E5971-T5971,"")</f>
        <v>1.50604924535848</v>
      </c>
      <c r="V5971" s="84" t="n">
        <f aca="false">IF(ISNUMBER(T5971),T5971,-99)</f>
        <v>18.4939507546415</v>
      </c>
      <c r="W5971" s="84" t="n">
        <f aca="false">IF(ISNUMBER(U5971),ABS(U5971),"")</f>
        <v>1.50604924535848</v>
      </c>
    </row>
    <row r="5972" customFormat="false" ht="15" hidden="false" customHeight="false" outlineLevel="0" collapsed="false">
      <c r="A5972" s="57" t="n">
        <v>43224</v>
      </c>
      <c r="B5972" s="56" t="n">
        <v>2018</v>
      </c>
      <c r="C5972" s="56" t="n">
        <v>5</v>
      </c>
      <c r="D5972" s="56" t="n">
        <v>4</v>
      </c>
      <c r="E5972" s="56" t="n">
        <v>22.8</v>
      </c>
      <c r="F5972" s="56" t="n">
        <v>0</v>
      </c>
      <c r="G5972" s="56" t="n">
        <v>8.1</v>
      </c>
      <c r="H5972" s="56" t="n">
        <v>0</v>
      </c>
      <c r="I5972" s="56" t="n">
        <v>14.1</v>
      </c>
      <c r="J5972" s="56" t="n">
        <v>0</v>
      </c>
      <c r="K5972" s="56" t="n">
        <v>1023.4</v>
      </c>
      <c r="L5972" s="56" t="n">
        <v>0</v>
      </c>
      <c r="M5972" s="56" t="n">
        <v>63</v>
      </c>
      <c r="N5972" s="56" t="n">
        <v>8.4</v>
      </c>
      <c r="O5972" s="56" t="n">
        <f aca="false">IF(D5972=1,"",E5971)</f>
        <v>20</v>
      </c>
      <c r="P5972" s="56" t="n">
        <f aca="false">IF(OR(D5972=1,K5971=""),"",K5971)</f>
        <v>1018.9</v>
      </c>
      <c r="Q5972" s="56" t="n">
        <f aca="false">IF(OR(F5972&lt;&gt;0,AND(I5972&lt;&gt;"",E5972&lt;I5972)),1,0)</f>
        <v>0</v>
      </c>
      <c r="R5972" s="56" t="n">
        <f aca="false">IF(AND(D5972&gt;1,Q5972=0,ISNUMBER(O5972),ISNUMBER(P5972)),IF(Q5971=0,1,0),0)</f>
        <v>1</v>
      </c>
      <c r="S5972" s="56" t="n">
        <f aca="false">R5972*(B5972&gt;=Train_Start)*(B5972&lt;=Train_End)</f>
        <v>0</v>
      </c>
      <c r="T5972" s="84" t="n">
        <f aca="false">IF(AND(ISNUMBER(O5972),ISNUMBER(P5972)),Coef_A+Coef_B1*O5972+Coef_B2*P5972,"")</f>
        <v>20.4365449254206</v>
      </c>
      <c r="U5972" s="84" t="n">
        <f aca="false">IF(AND(R5972=1,ISNUMBER(T5972)),E5972-T5972,"")</f>
        <v>2.36345507457936</v>
      </c>
      <c r="V5972" s="84" t="n">
        <f aca="false">IF(ISNUMBER(T5972),T5972,-99)</f>
        <v>20.4365449254206</v>
      </c>
      <c r="W5972" s="84" t="n">
        <f aca="false">IF(ISNUMBER(U5972),ABS(U5972),"")</f>
        <v>2.36345507457936</v>
      </c>
    </row>
    <row r="5973" customFormat="false" ht="15" hidden="false" customHeight="false" outlineLevel="0" collapsed="false">
      <c r="A5973" s="57" t="n">
        <v>43225</v>
      </c>
      <c r="B5973" s="56" t="n">
        <v>2018</v>
      </c>
      <c r="C5973" s="56" t="n">
        <v>5</v>
      </c>
      <c r="D5973" s="56" t="n">
        <v>5</v>
      </c>
      <c r="E5973" s="56" t="n">
        <v>26.3</v>
      </c>
      <c r="F5973" s="56" t="n">
        <v>0</v>
      </c>
      <c r="G5973" s="56" t="n">
        <v>8.2</v>
      </c>
      <c r="H5973" s="56" t="n">
        <v>0</v>
      </c>
      <c r="I5973" s="56" t="n">
        <v>15.5</v>
      </c>
      <c r="J5973" s="56" t="n">
        <v>0</v>
      </c>
      <c r="K5973" s="56" t="n">
        <v>1025.2</v>
      </c>
      <c r="L5973" s="56" t="n">
        <v>0</v>
      </c>
      <c r="M5973" s="56" t="n">
        <v>54</v>
      </c>
      <c r="N5973" s="56" t="n">
        <v>13.6</v>
      </c>
      <c r="O5973" s="56" t="n">
        <f aca="false">IF(D5973=1,"",E5972)</f>
        <v>22.8</v>
      </c>
      <c r="P5973" s="56" t="n">
        <f aca="false">IF(OR(D5973=1,K5972=""),"",K5972)</f>
        <v>1023.4</v>
      </c>
      <c r="Q5973" s="56" t="n">
        <f aca="false">IF(OR(F5973&lt;&gt;0,AND(I5973&lt;&gt;"",E5973&lt;I5973)),1,0)</f>
        <v>0</v>
      </c>
      <c r="R5973" s="56" t="n">
        <f aca="false">IF(AND(D5973&gt;1,Q5973=0,ISNUMBER(O5973),ISNUMBER(P5973)),IF(Q5972=0,1,0),0)</f>
        <v>1</v>
      </c>
      <c r="S5973" s="56" t="n">
        <f aca="false">R5973*(B5973&gt;=Train_Start)*(B5973&lt;=Train_End)</f>
        <v>0</v>
      </c>
      <c r="T5973" s="84" t="n">
        <f aca="false">IF(AND(ISNUMBER(O5973),ISNUMBER(P5973)),Coef_A+Coef_B1*O5973+Coef_B2*P5973,"")</f>
        <v>22.871859191793</v>
      </c>
      <c r="U5973" s="84" t="n">
        <f aca="false">IF(AND(R5973=1,ISNUMBER(T5973)),E5973-T5973,"")</f>
        <v>3.42814080820696</v>
      </c>
      <c r="V5973" s="84" t="n">
        <f aca="false">IF(ISNUMBER(T5973),T5973,-99)</f>
        <v>22.871859191793</v>
      </c>
      <c r="W5973" s="84" t="n">
        <f aca="false">IF(ISNUMBER(U5973),ABS(U5973),"")</f>
        <v>3.42814080820696</v>
      </c>
    </row>
    <row r="5974" customFormat="false" ht="15" hidden="false" customHeight="false" outlineLevel="0" collapsed="false">
      <c r="A5974" s="57" t="n">
        <v>43226</v>
      </c>
      <c r="B5974" s="56" t="n">
        <v>2018</v>
      </c>
      <c r="C5974" s="56" t="n">
        <v>5</v>
      </c>
      <c r="D5974" s="56" t="n">
        <v>6</v>
      </c>
      <c r="E5974" s="56" t="n">
        <v>28.1</v>
      </c>
      <c r="F5974" s="56" t="n">
        <v>0</v>
      </c>
      <c r="G5974" s="56" t="n">
        <v>9.1</v>
      </c>
      <c r="H5974" s="56" t="n">
        <v>0</v>
      </c>
      <c r="I5974" s="56" t="n">
        <v>17.7</v>
      </c>
      <c r="J5974" s="56" t="n">
        <v>0</v>
      </c>
      <c r="K5974" s="56" t="n">
        <v>1022.2</v>
      </c>
      <c r="L5974" s="56" t="n">
        <v>0</v>
      </c>
      <c r="M5974" s="56" t="n">
        <v>52</v>
      </c>
      <c r="N5974" s="56" t="n">
        <v>13.4</v>
      </c>
      <c r="O5974" s="56" t="n">
        <f aca="false">IF(D5974=1,"",E5973)</f>
        <v>26.3</v>
      </c>
      <c r="P5974" s="56" t="n">
        <f aca="false">IF(OR(D5974=1,K5973=""),"",K5973)</f>
        <v>1025.2</v>
      </c>
      <c r="Q5974" s="56" t="n">
        <f aca="false">IF(OR(F5974&lt;&gt;0,AND(I5974&lt;&gt;"",E5974&lt;I5974)),1,0)</f>
        <v>0</v>
      </c>
      <c r="R5974" s="56" t="n">
        <f aca="false">IF(AND(D5974&gt;1,Q5974=0,ISNUMBER(O5974),ISNUMBER(P5974)),IF(Q5973=0,1,0),0)</f>
        <v>1</v>
      </c>
      <c r="S5974" s="56" t="n">
        <f aca="false">R5974*(B5974&gt;=Train_Start)*(B5974&lt;=Train_End)</f>
        <v>0</v>
      </c>
      <c r="T5974" s="84" t="n">
        <f aca="false">IF(AND(ISNUMBER(O5974),ISNUMBER(P5974)),Coef_A+Coef_B1*O5974+Coef_B2*P5974,"")</f>
        <v>25.7960121777835</v>
      </c>
      <c r="U5974" s="84" t="n">
        <f aca="false">IF(AND(R5974=1,ISNUMBER(T5974)),E5974-T5974,"")</f>
        <v>2.30398782221648</v>
      </c>
      <c r="V5974" s="84" t="n">
        <f aca="false">IF(ISNUMBER(T5974),T5974,-99)</f>
        <v>25.7960121777835</v>
      </c>
      <c r="W5974" s="84" t="n">
        <f aca="false">IF(ISNUMBER(U5974),ABS(U5974),"")</f>
        <v>2.30398782221648</v>
      </c>
    </row>
    <row r="5975" customFormat="false" ht="15" hidden="false" customHeight="false" outlineLevel="0" collapsed="false">
      <c r="A5975" s="57" t="n">
        <v>43227</v>
      </c>
      <c r="B5975" s="56" t="n">
        <v>2018</v>
      </c>
      <c r="C5975" s="56" t="n">
        <v>5</v>
      </c>
      <c r="D5975" s="56" t="n">
        <v>7</v>
      </c>
      <c r="E5975" s="56" t="n">
        <v>26.5</v>
      </c>
      <c r="F5975" s="56" t="n">
        <v>0</v>
      </c>
      <c r="G5975" s="56" t="n">
        <v>11</v>
      </c>
      <c r="H5975" s="56" t="n">
        <v>0</v>
      </c>
      <c r="I5975" s="56" t="n">
        <v>19.6</v>
      </c>
      <c r="J5975" s="56" t="n">
        <v>0</v>
      </c>
      <c r="K5975" s="56" t="n">
        <v>1017.2</v>
      </c>
      <c r="L5975" s="56" t="n">
        <v>0</v>
      </c>
      <c r="M5975" s="56" t="n">
        <v>49</v>
      </c>
      <c r="N5975" s="56" t="n">
        <v>13.4</v>
      </c>
      <c r="O5975" s="56" t="n">
        <f aca="false">IF(D5975=1,"",E5974)</f>
        <v>28.1</v>
      </c>
      <c r="P5975" s="56" t="n">
        <f aca="false">IF(OR(D5975=1,K5974=""),"",K5974)</f>
        <v>1022.2</v>
      </c>
      <c r="Q5975" s="56" t="n">
        <f aca="false">IF(OR(F5975&lt;&gt;0,AND(I5975&lt;&gt;"",E5975&lt;I5975)),1,0)</f>
        <v>0</v>
      </c>
      <c r="R5975" s="56" t="n">
        <f aca="false">IF(AND(D5975&gt;1,Q5975=0,ISNUMBER(O5975),ISNUMBER(P5975)),IF(Q5974=0,1,0),0)</f>
        <v>1</v>
      </c>
      <c r="S5975" s="56" t="n">
        <f aca="false">R5975*(B5975&gt;=Train_Start)*(B5975&lt;=Train_End)</f>
        <v>0</v>
      </c>
      <c r="T5975" s="84" t="n">
        <f aca="false">IF(AND(ISNUMBER(O5975),ISNUMBER(P5975)),Coef_A+Coef_B1*O5975+Coef_B2*P5975,"")</f>
        <v>27.1767130413583</v>
      </c>
      <c r="U5975" s="84" t="n">
        <f aca="false">IF(AND(R5975=1,ISNUMBER(T5975)),E5975-T5975,"")</f>
        <v>-0.676713041358333</v>
      </c>
      <c r="V5975" s="84" t="n">
        <f aca="false">IF(ISNUMBER(T5975),T5975,-99)</f>
        <v>27.1767130413583</v>
      </c>
      <c r="W5975" s="84" t="n">
        <f aca="false">IF(ISNUMBER(U5975),ABS(U5975),"")</f>
        <v>0.676713041358333</v>
      </c>
    </row>
    <row r="5976" customFormat="false" ht="15" hidden="false" customHeight="false" outlineLevel="0" collapsed="false">
      <c r="A5976" s="57" t="n">
        <v>43228</v>
      </c>
      <c r="B5976" s="56" t="n">
        <v>2018</v>
      </c>
      <c r="C5976" s="56" t="n">
        <v>5</v>
      </c>
      <c r="D5976" s="56" t="n">
        <v>8</v>
      </c>
      <c r="E5976" s="56" t="n">
        <v>20.8</v>
      </c>
      <c r="F5976" s="56" t="n">
        <v>0</v>
      </c>
      <c r="G5976" s="56" t="n">
        <v>11.8</v>
      </c>
      <c r="H5976" s="56" t="n">
        <v>0</v>
      </c>
      <c r="I5976" s="56" t="n">
        <v>19.1</v>
      </c>
      <c r="J5976" s="56" t="n">
        <v>0</v>
      </c>
      <c r="K5976" s="56" t="n">
        <v>1010.1</v>
      </c>
      <c r="L5976" s="56" t="n">
        <v>0</v>
      </c>
      <c r="M5976" s="56" t="n">
        <v>63</v>
      </c>
      <c r="N5976" s="56" t="n">
        <v>11.4</v>
      </c>
      <c r="O5976" s="56" t="n">
        <f aca="false">IF(D5976=1,"",E5975)</f>
        <v>26.5</v>
      </c>
      <c r="P5976" s="56" t="n">
        <f aca="false">IF(OR(D5976=1,K5975=""),"",K5975)</f>
        <v>1017.2</v>
      </c>
      <c r="Q5976" s="56" t="n">
        <f aca="false">IF(OR(F5976&lt;&gt;0,AND(I5976&lt;&gt;"",E5976&lt;I5976)),1,0)</f>
        <v>0</v>
      </c>
      <c r="R5976" s="56" t="n">
        <f aca="false">IF(AND(D5976&gt;1,Q5976=0,ISNUMBER(O5976),ISNUMBER(P5976)),IF(Q5975=0,1,0),0)</f>
        <v>1</v>
      </c>
      <c r="S5976" s="56" t="n">
        <f aca="false">R5976*(B5976&gt;=Train_Start)*(B5976&lt;=Train_End)</f>
        <v>0</v>
      </c>
      <c r="T5976" s="84" t="n">
        <f aca="false">IF(AND(ISNUMBER(O5976),ISNUMBER(P5976)),Coef_A+Coef_B1*O5976+Coef_B2*P5976,"")</f>
        <v>25.7089208593201</v>
      </c>
      <c r="U5976" s="84" t="n">
        <f aca="false">IF(AND(R5976=1,ISNUMBER(T5976)),E5976-T5976,"")</f>
        <v>-4.90892085932014</v>
      </c>
      <c r="V5976" s="84" t="n">
        <f aca="false">IF(ISNUMBER(T5976),T5976,-99)</f>
        <v>25.7089208593201</v>
      </c>
      <c r="W5976" s="84" t="n">
        <f aca="false">IF(ISNUMBER(U5976),ABS(U5976),"")</f>
        <v>4.90892085932014</v>
      </c>
    </row>
    <row r="5977" customFormat="false" ht="15" hidden="false" customHeight="false" outlineLevel="0" collapsed="false">
      <c r="A5977" s="57" t="n">
        <v>43229</v>
      </c>
      <c r="B5977" s="56" t="n">
        <v>2018</v>
      </c>
      <c r="C5977" s="56" t="n">
        <v>5</v>
      </c>
      <c r="D5977" s="56" t="n">
        <v>9</v>
      </c>
      <c r="E5977" s="56" t="n">
        <v>18</v>
      </c>
      <c r="F5977" s="56" t="n">
        <v>0</v>
      </c>
      <c r="G5977" s="56" t="n">
        <v>8.7</v>
      </c>
      <c r="H5977" s="56" t="n">
        <v>0</v>
      </c>
      <c r="I5977" s="56" t="n">
        <v>14.8</v>
      </c>
      <c r="J5977" s="56" t="n">
        <v>0</v>
      </c>
      <c r="K5977" s="56" t="n">
        <v>1009.1</v>
      </c>
      <c r="L5977" s="56" t="n">
        <v>0</v>
      </c>
      <c r="M5977" s="56" t="n">
        <v>66</v>
      </c>
      <c r="N5977" s="56" t="n">
        <v>10.1</v>
      </c>
      <c r="O5977" s="56" t="n">
        <f aca="false">IF(D5977=1,"",E5976)</f>
        <v>20.8</v>
      </c>
      <c r="P5977" s="56" t="n">
        <f aca="false">IF(OR(D5977=1,K5976=""),"",K5976)</f>
        <v>1010.1</v>
      </c>
      <c r="Q5977" s="56" t="n">
        <f aca="false">IF(OR(F5977&lt;&gt;0,AND(I5977&lt;&gt;"",E5977&lt;I5977)),1,0)</f>
        <v>0</v>
      </c>
      <c r="R5977" s="56" t="n">
        <f aca="false">IF(AND(D5977&gt;1,Q5977=0,ISNUMBER(O5977),ISNUMBER(P5977)),IF(Q5976=0,1,0),0)</f>
        <v>1</v>
      </c>
      <c r="S5977" s="56" t="n">
        <f aca="false">R5977*(B5977&gt;=Train_Start)*(B5977&lt;=Train_End)</f>
        <v>0</v>
      </c>
      <c r="T5977" s="84" t="n">
        <f aca="false">IF(AND(ISNUMBER(O5977),ISNUMBER(P5977)),Coef_A+Coef_B1*O5977+Coef_B2*P5977,"")</f>
        <v>20.8159612070757</v>
      </c>
      <c r="U5977" s="84" t="n">
        <f aca="false">IF(AND(R5977=1,ISNUMBER(T5977)),E5977-T5977,"")</f>
        <v>-2.81596120707566</v>
      </c>
      <c r="V5977" s="84" t="n">
        <f aca="false">IF(ISNUMBER(T5977),T5977,-99)</f>
        <v>20.8159612070757</v>
      </c>
      <c r="W5977" s="84" t="n">
        <f aca="false">IF(ISNUMBER(U5977),ABS(U5977),"")</f>
        <v>2.81596120707566</v>
      </c>
    </row>
    <row r="5978" customFormat="false" ht="15" hidden="false" customHeight="false" outlineLevel="0" collapsed="false">
      <c r="A5978" s="57" t="n">
        <v>43230</v>
      </c>
      <c r="B5978" s="56" t="n">
        <v>2018</v>
      </c>
      <c r="C5978" s="56" t="n">
        <v>5</v>
      </c>
      <c r="D5978" s="56" t="n">
        <v>10</v>
      </c>
      <c r="E5978" s="56" t="n">
        <v>18</v>
      </c>
      <c r="F5978" s="56" t="n">
        <v>0</v>
      </c>
      <c r="G5978" s="56" t="n">
        <v>9.9</v>
      </c>
      <c r="H5978" s="56" t="n">
        <v>0</v>
      </c>
      <c r="I5978" s="56" t="n">
        <v>13.9</v>
      </c>
      <c r="J5978" s="56" t="n">
        <v>0</v>
      </c>
      <c r="K5978" s="56" t="n">
        <v>1014.9</v>
      </c>
      <c r="L5978" s="56" t="n">
        <v>0</v>
      </c>
      <c r="M5978" s="56" t="n">
        <v>59</v>
      </c>
      <c r="N5978" s="56" t="n">
        <v>9.4</v>
      </c>
      <c r="O5978" s="56" t="n">
        <f aca="false">IF(D5978=1,"",E5977)</f>
        <v>18</v>
      </c>
      <c r="P5978" s="56" t="n">
        <f aca="false">IF(OR(D5978=1,K5977=""),"",K5977)</f>
        <v>1009.1</v>
      </c>
      <c r="Q5978" s="56" t="n">
        <f aca="false">IF(OR(F5978&lt;&gt;0,AND(I5978&lt;&gt;"",E5978&lt;I5978)),1,0)</f>
        <v>0</v>
      </c>
      <c r="R5978" s="56" t="n">
        <f aca="false">IF(AND(D5978&gt;1,Q5978=0,ISNUMBER(O5978),ISNUMBER(P5978)),IF(Q5977=0,1,0),0)</f>
        <v>1</v>
      </c>
      <c r="S5978" s="56" t="n">
        <f aca="false">R5978*(B5978&gt;=Train_Start)*(B5978&lt;=Train_End)</f>
        <v>0</v>
      </c>
      <c r="T5978" s="84" t="n">
        <f aca="false">IF(AND(ISNUMBER(O5978),ISNUMBER(P5978)),Coef_A+Coef_B1*O5978+Coef_B2*P5978,"")</f>
        <v>18.4904415719222</v>
      </c>
      <c r="U5978" s="84" t="n">
        <f aca="false">IF(AND(R5978=1,ISNUMBER(T5978)),E5978-T5978,"")</f>
        <v>-0.490441571922233</v>
      </c>
      <c r="V5978" s="84" t="n">
        <f aca="false">IF(ISNUMBER(T5978),T5978,-99)</f>
        <v>18.4904415719222</v>
      </c>
      <c r="W5978" s="84" t="n">
        <f aca="false">IF(ISNUMBER(U5978),ABS(U5978),"")</f>
        <v>0.490441571922233</v>
      </c>
    </row>
    <row r="5979" customFormat="false" ht="15" hidden="false" customHeight="false" outlineLevel="0" collapsed="false">
      <c r="A5979" s="57" t="n">
        <v>43231</v>
      </c>
      <c r="B5979" s="56" t="n">
        <v>2018</v>
      </c>
      <c r="C5979" s="56" t="n">
        <v>5</v>
      </c>
      <c r="D5979" s="56" t="n">
        <v>11</v>
      </c>
      <c r="E5979" s="56" t="n">
        <v>15</v>
      </c>
      <c r="F5979" s="56" t="n">
        <v>0</v>
      </c>
      <c r="G5979" s="56" t="n">
        <v>6.3</v>
      </c>
      <c r="H5979" s="56" t="n">
        <v>0</v>
      </c>
      <c r="I5979" s="56" t="n">
        <v>12.2</v>
      </c>
      <c r="J5979" s="56" t="n">
        <v>0</v>
      </c>
      <c r="K5979" s="56" t="n">
        <v>1015.5</v>
      </c>
      <c r="L5979" s="56" t="n">
        <v>0</v>
      </c>
      <c r="M5979" s="56" t="n">
        <v>63</v>
      </c>
      <c r="N5979" s="56" t="n">
        <v>5.8</v>
      </c>
      <c r="O5979" s="56" t="n">
        <f aca="false">IF(D5979=1,"",E5978)</f>
        <v>18</v>
      </c>
      <c r="P5979" s="56" t="n">
        <f aca="false">IF(OR(D5979=1,K5978=""),"",K5978)</f>
        <v>1014.9</v>
      </c>
      <c r="Q5979" s="56" t="n">
        <f aca="false">IF(OR(F5979&lt;&gt;0,AND(I5979&lt;&gt;"",E5979&lt;I5979)),1,0)</f>
        <v>0</v>
      </c>
      <c r="R5979" s="56" t="n">
        <f aca="false">IF(AND(D5979&gt;1,Q5979=0,ISNUMBER(O5979),ISNUMBER(P5979)),IF(Q5978=0,1,0),0)</f>
        <v>1</v>
      </c>
      <c r="S5979" s="56" t="n">
        <f aca="false">R5979*(B5979&gt;=Train_Start)*(B5979&lt;=Train_End)</f>
        <v>0</v>
      </c>
      <c r="T5979" s="84" t="n">
        <f aca="false">IF(AND(ISNUMBER(O5979),ISNUMBER(P5979)),Coef_A+Coef_B1*O5979+Coef_B2*P5979,"")</f>
        <v>18.6723869607994</v>
      </c>
      <c r="U5979" s="84" t="n">
        <f aca="false">IF(AND(R5979=1,ISNUMBER(T5979)),E5979-T5979,"")</f>
        <v>-3.67238696079937</v>
      </c>
      <c r="V5979" s="84" t="n">
        <f aca="false">IF(ISNUMBER(T5979),T5979,-99)</f>
        <v>18.6723869607994</v>
      </c>
      <c r="W5979" s="84" t="n">
        <f aca="false">IF(ISNUMBER(U5979),ABS(U5979),"")</f>
        <v>3.67238696079937</v>
      </c>
    </row>
    <row r="5980" customFormat="false" ht="15" hidden="false" customHeight="false" outlineLevel="0" collapsed="false">
      <c r="A5980" s="57" t="n">
        <v>43232</v>
      </c>
      <c r="B5980" s="56" t="n">
        <v>2018</v>
      </c>
      <c r="C5980" s="56" t="n">
        <v>5</v>
      </c>
      <c r="D5980" s="56" t="n">
        <v>12</v>
      </c>
      <c r="E5980" s="56" t="n">
        <v>18.6</v>
      </c>
      <c r="F5980" s="56" t="n">
        <v>0</v>
      </c>
      <c r="G5980" s="56" t="n">
        <v>10.3</v>
      </c>
      <c r="H5980" s="56" t="n">
        <v>0</v>
      </c>
      <c r="I5980" s="56" t="n">
        <v>12.7</v>
      </c>
      <c r="J5980" s="56" t="n">
        <v>0</v>
      </c>
      <c r="K5980" s="56" t="n">
        <v>1012.7</v>
      </c>
      <c r="L5980" s="56" t="n">
        <v>0</v>
      </c>
      <c r="M5980" s="56" t="n">
        <v>85</v>
      </c>
      <c r="N5980" s="56" t="n">
        <v>0.5</v>
      </c>
      <c r="O5980" s="56" t="n">
        <f aca="false">IF(D5980=1,"",E5979)</f>
        <v>15</v>
      </c>
      <c r="P5980" s="56" t="n">
        <f aca="false">IF(OR(D5980=1,K5979=""),"",K5979)</f>
        <v>1015.5</v>
      </c>
      <c r="Q5980" s="56" t="n">
        <f aca="false">IF(OR(F5980&lt;&gt;0,AND(I5980&lt;&gt;"",E5980&lt;I5980)),1,0)</f>
        <v>0</v>
      </c>
      <c r="R5980" s="56" t="n">
        <f aca="false">IF(AND(D5980&gt;1,Q5980=0,ISNUMBER(O5980),ISNUMBER(P5980)),IF(Q5979=0,1,0),0)</f>
        <v>1</v>
      </c>
      <c r="S5980" s="56" t="n">
        <f aca="false">R5980*(B5980&gt;=Train_Start)*(B5980&lt;=Train_End)</f>
        <v>0</v>
      </c>
      <c r="T5980" s="84" t="n">
        <f aca="false">IF(AND(ISNUMBER(O5980),ISNUMBER(P5980)),Coef_A+Coef_B1*O5980+Coef_B2*P5980,"")</f>
        <v>16.2331913184518</v>
      </c>
      <c r="U5980" s="84" t="n">
        <f aca="false">IF(AND(R5980=1,ISNUMBER(T5980)),E5980-T5980,"")</f>
        <v>2.36680868154821</v>
      </c>
      <c r="V5980" s="84" t="n">
        <f aca="false">IF(ISNUMBER(T5980),T5980,-99)</f>
        <v>16.2331913184518</v>
      </c>
      <c r="W5980" s="84" t="n">
        <f aca="false">IF(ISNUMBER(U5980),ABS(U5980),"")</f>
        <v>2.36680868154821</v>
      </c>
    </row>
    <row r="5981" customFormat="false" ht="15" hidden="false" customHeight="false" outlineLevel="0" collapsed="false">
      <c r="A5981" s="57" t="n">
        <v>43233</v>
      </c>
      <c r="B5981" s="56" t="n">
        <v>2018</v>
      </c>
      <c r="C5981" s="56" t="n">
        <v>5</v>
      </c>
      <c r="D5981" s="56" t="n">
        <v>13</v>
      </c>
      <c r="E5981" s="56" t="n">
        <v>21</v>
      </c>
      <c r="F5981" s="56" t="n">
        <v>0</v>
      </c>
      <c r="G5981" s="56" t="n">
        <v>8.4</v>
      </c>
      <c r="H5981" s="56" t="n">
        <v>0</v>
      </c>
      <c r="I5981" s="56" t="n">
        <v>13.5</v>
      </c>
      <c r="J5981" s="56" t="n">
        <v>0</v>
      </c>
      <c r="K5981" s="56" t="n">
        <v>1015.1</v>
      </c>
      <c r="L5981" s="56" t="n">
        <v>0</v>
      </c>
      <c r="M5981" s="56" t="n">
        <v>68</v>
      </c>
      <c r="N5981" s="56" t="n">
        <v>5.7</v>
      </c>
      <c r="O5981" s="56" t="n">
        <f aca="false">IF(D5981=1,"",E5980)</f>
        <v>18.6</v>
      </c>
      <c r="P5981" s="56" t="n">
        <f aca="false">IF(OR(D5981=1,K5980=""),"",K5980)</f>
        <v>1012.7</v>
      </c>
      <c r="Q5981" s="56" t="n">
        <f aca="false">IF(OR(F5981&lt;&gt;0,AND(I5981&lt;&gt;"",E5981&lt;I5981)),1,0)</f>
        <v>0</v>
      </c>
      <c r="R5981" s="56" t="n">
        <f aca="false">IF(AND(D5981&gt;1,Q5981=0,ISNUMBER(O5981),ISNUMBER(P5981)),IF(Q5980=0,1,0),0)</f>
        <v>1</v>
      </c>
      <c r="S5981" s="56" t="n">
        <f aca="false">R5981*(B5981&gt;=Train_Start)*(B5981&lt;=Train_End)</f>
        <v>0</v>
      </c>
      <c r="T5981" s="84" t="n">
        <f aca="false">IF(AND(ISNUMBER(O5981),ISNUMBER(P5981)),Coef_A+Coef_B1*O5981+Coef_B2*P5981,"")</f>
        <v>19.0949767084302</v>
      </c>
      <c r="U5981" s="84" t="n">
        <f aca="false">IF(AND(R5981=1,ISNUMBER(T5981)),E5981-T5981,"")</f>
        <v>1.90502329156981</v>
      </c>
      <c r="V5981" s="84" t="n">
        <f aca="false">IF(ISNUMBER(T5981),T5981,-99)</f>
        <v>19.0949767084302</v>
      </c>
      <c r="W5981" s="84" t="n">
        <f aca="false">IF(ISNUMBER(U5981),ABS(U5981),"")</f>
        <v>1.90502329156981</v>
      </c>
    </row>
    <row r="5982" customFormat="false" ht="15" hidden="false" customHeight="false" outlineLevel="0" collapsed="false">
      <c r="A5982" s="57" t="n">
        <v>43234</v>
      </c>
      <c r="B5982" s="56" t="n">
        <v>2018</v>
      </c>
      <c r="C5982" s="56" t="n">
        <v>5</v>
      </c>
      <c r="D5982" s="56" t="n">
        <v>14</v>
      </c>
      <c r="E5982" s="56" t="n">
        <v>23.2</v>
      </c>
      <c r="F5982" s="56" t="n">
        <v>0</v>
      </c>
      <c r="G5982" s="56" t="n">
        <v>8.5</v>
      </c>
      <c r="H5982" s="56" t="n">
        <v>0</v>
      </c>
      <c r="I5982" s="56" t="n">
        <v>14.8</v>
      </c>
      <c r="J5982" s="56" t="n">
        <v>0</v>
      </c>
      <c r="K5982" s="56" t="n">
        <v>1020.1</v>
      </c>
      <c r="L5982" s="56" t="n">
        <v>0</v>
      </c>
      <c r="M5982" s="56" t="n">
        <v>51</v>
      </c>
      <c r="N5982" s="56" t="n">
        <v>11.1</v>
      </c>
      <c r="O5982" s="56" t="n">
        <f aca="false">IF(D5982=1,"",E5981)</f>
        <v>21</v>
      </c>
      <c r="P5982" s="56" t="n">
        <f aca="false">IF(OR(D5982=1,K5981=""),"",K5981)</f>
        <v>1015.1</v>
      </c>
      <c r="Q5982" s="56" t="n">
        <f aca="false">IF(OR(F5982&lt;&gt;0,AND(I5982&lt;&gt;"",E5982&lt;I5982)),1,0)</f>
        <v>0</v>
      </c>
      <c r="R5982" s="56" t="n">
        <f aca="false">IF(AND(D5982&gt;1,Q5982=0,ISNUMBER(O5982),ISNUMBER(P5982)),IF(Q5981=0,1,0),0)</f>
        <v>1</v>
      </c>
      <c r="S5982" s="56" t="n">
        <f aca="false">R5982*(B5982&gt;=Train_Start)*(B5982&lt;=Train_End)</f>
        <v>0</v>
      </c>
      <c r="T5982" s="84" t="n">
        <f aca="false">IF(AND(ISNUMBER(O5982),ISNUMBER(P5982)),Coef_A+Coef_B1*O5982+Coef_B2*P5982,"")</f>
        <v>21.1366785188541</v>
      </c>
      <c r="U5982" s="84" t="n">
        <f aca="false">IF(AND(R5982=1,ISNUMBER(T5982)),E5982-T5982,"")</f>
        <v>2.06332148114586</v>
      </c>
      <c r="V5982" s="84" t="n">
        <f aca="false">IF(ISNUMBER(T5982),T5982,-99)</f>
        <v>21.1366785188541</v>
      </c>
      <c r="W5982" s="84" t="n">
        <f aca="false">IF(ISNUMBER(U5982),ABS(U5982),"")</f>
        <v>2.06332148114586</v>
      </c>
    </row>
    <row r="5983" customFormat="false" ht="15" hidden="false" customHeight="false" outlineLevel="0" collapsed="false">
      <c r="A5983" s="57" t="n">
        <v>43235</v>
      </c>
      <c r="B5983" s="56" t="n">
        <v>2018</v>
      </c>
      <c r="C5983" s="56" t="n">
        <v>5</v>
      </c>
      <c r="D5983" s="56" t="n">
        <v>15</v>
      </c>
      <c r="E5983" s="56" t="n">
        <v>16</v>
      </c>
      <c r="F5983" s="56" t="n">
        <v>1</v>
      </c>
      <c r="G5983" s="56" t="n">
        <v>9.9</v>
      </c>
      <c r="H5983" s="56" t="n">
        <v>0</v>
      </c>
      <c r="I5983" s="56" t="n">
        <v>16.6</v>
      </c>
      <c r="J5983" s="56" t="n">
        <v>1</v>
      </c>
      <c r="K5983" s="56" t="n">
        <v>1020.3</v>
      </c>
      <c r="L5983" s="56" t="n">
        <v>0</v>
      </c>
      <c r="M5983" s="56" t="n">
        <v>48</v>
      </c>
      <c r="N5983" s="56" t="n">
        <v>13.7</v>
      </c>
      <c r="O5983" s="56" t="n">
        <f aca="false">IF(D5983=1,"",E5982)</f>
        <v>23.2</v>
      </c>
      <c r="P5983" s="56" t="n">
        <f aca="false">IF(OR(D5983=1,K5982=""),"",K5982)</f>
        <v>1020.1</v>
      </c>
      <c r="Q5983" s="56" t="n">
        <f aca="false">IF(OR(F5983&lt;&gt;0,AND(I5983&lt;&gt;"",E5983&lt;I5983)),1,0)</f>
        <v>1</v>
      </c>
      <c r="R5983" s="56" t="n">
        <f aca="false">IF(AND(D5983&gt;1,Q5983=0,ISNUMBER(O5983),ISNUMBER(P5983)),IF(Q5982=0,1,0),0)</f>
        <v>0</v>
      </c>
      <c r="S5983" s="56" t="n">
        <f aca="false">R5983*(B5983&gt;=Train_Start)*(B5983&lt;=Train_End)</f>
        <v>0</v>
      </c>
      <c r="T5983" s="84" t="n">
        <f aca="false">IF(AND(ISNUMBER(O5983),ISNUMBER(P5983)),Coef_A+Coef_B1*O5983+Coef_B2*P5983,"")</f>
        <v>23.0960742167179</v>
      </c>
      <c r="U5983" s="84" t="str">
        <f aca="false">IF(AND(R5983=1,ISNUMBER(T5983)),E5983-T5983,"")</f>
        <v/>
      </c>
      <c r="V5983" s="84" t="n">
        <f aca="false">IF(ISNUMBER(T5983),T5983,-99)</f>
        <v>23.0960742167179</v>
      </c>
      <c r="W5983" s="84" t="str">
        <f aca="false">IF(ISNUMBER(U5983),ABS(U5983),"")</f>
        <v/>
      </c>
    </row>
    <row r="5984" customFormat="false" ht="15" hidden="false" customHeight="false" outlineLevel="0" collapsed="false">
      <c r="A5984" s="57" t="n">
        <v>43236</v>
      </c>
      <c r="B5984" s="56" t="n">
        <v>2018</v>
      </c>
      <c r="C5984" s="56" t="n">
        <v>5</v>
      </c>
      <c r="D5984" s="56" t="n">
        <v>16</v>
      </c>
      <c r="E5984" s="56" t="n">
        <v>18</v>
      </c>
      <c r="F5984" s="56" t="n">
        <v>0</v>
      </c>
      <c r="G5984" s="56" t="n">
        <v>11.7</v>
      </c>
      <c r="H5984" s="56" t="n">
        <v>0</v>
      </c>
      <c r="I5984" s="56" t="n">
        <v>13.8</v>
      </c>
      <c r="J5984" s="56" t="n">
        <v>0</v>
      </c>
      <c r="K5984" s="56" t="n">
        <v>1025.1</v>
      </c>
      <c r="L5984" s="56" t="n">
        <v>0</v>
      </c>
      <c r="M5984" s="56" t="n">
        <v>64</v>
      </c>
      <c r="N5984" s="56" t="n">
        <v>2.1</v>
      </c>
      <c r="O5984" s="56" t="n">
        <f aca="false">IF(D5984=1,"",E5983)</f>
        <v>16</v>
      </c>
      <c r="P5984" s="56" t="n">
        <f aca="false">IF(OR(D5984=1,K5983=""),"",K5983)</f>
        <v>1020.3</v>
      </c>
      <c r="Q5984" s="56" t="n">
        <f aca="false">IF(OR(F5984&lt;&gt;0,AND(I5984&lt;&gt;"",E5984&lt;I5984)),1,0)</f>
        <v>0</v>
      </c>
      <c r="R5984" s="56" t="n">
        <f aca="false">IF(AND(D5984&gt;1,Q5984=0,ISNUMBER(O5984),ISNUMBER(P5984)),IF(Q5983=0,1,0),0)</f>
        <v>0</v>
      </c>
      <c r="S5984" s="56" t="n">
        <f aca="false">R5984*(B5984&gt;=Train_Start)*(B5984&lt;=Train_End)</f>
        <v>0</v>
      </c>
      <c r="T5984" s="84" t="n">
        <f aca="false">IF(AND(ISNUMBER(O5984),ISNUMBER(P5984)),Coef_A+Coef_B1*O5984+Coef_B2*P5984,"")</f>
        <v>17.2031060057376</v>
      </c>
      <c r="U5984" s="84" t="str">
        <f aca="false">IF(AND(R5984=1,ISNUMBER(T5984)),E5984-T5984,"")</f>
        <v/>
      </c>
      <c r="V5984" s="84" t="n">
        <f aca="false">IF(ISNUMBER(T5984),T5984,-99)</f>
        <v>17.2031060057376</v>
      </c>
      <c r="W5984" s="84" t="str">
        <f aca="false">IF(ISNUMBER(U5984),ABS(U5984),"")</f>
        <v/>
      </c>
    </row>
    <row r="5985" customFormat="false" ht="15" hidden="false" customHeight="false" outlineLevel="0" collapsed="false">
      <c r="A5985" s="57" t="n">
        <v>43237</v>
      </c>
      <c r="B5985" s="56" t="n">
        <v>2018</v>
      </c>
      <c r="C5985" s="56" t="n">
        <v>5</v>
      </c>
      <c r="D5985" s="56" t="n">
        <v>17</v>
      </c>
      <c r="E5985" s="56" t="n">
        <v>18.7</v>
      </c>
      <c r="F5985" s="56" t="n">
        <v>0</v>
      </c>
      <c r="G5985" s="56" t="n">
        <v>6.8</v>
      </c>
      <c r="H5985" s="56" t="n">
        <v>0</v>
      </c>
      <c r="I5985" s="56" t="n">
        <v>12.4</v>
      </c>
      <c r="J5985" s="56" t="n">
        <v>0</v>
      </c>
      <c r="K5985" s="56" t="n">
        <v>1027.3</v>
      </c>
      <c r="L5985" s="56" t="n">
        <v>0</v>
      </c>
      <c r="M5985" s="56" t="n">
        <v>60</v>
      </c>
      <c r="N5985" s="56" t="n">
        <v>13.4</v>
      </c>
      <c r="O5985" s="56" t="n">
        <f aca="false">IF(D5985=1,"",E5984)</f>
        <v>18</v>
      </c>
      <c r="P5985" s="56" t="n">
        <f aca="false">IF(OR(D5985=1,K5984=""),"",K5984)</f>
        <v>1025.1</v>
      </c>
      <c r="Q5985" s="56" t="n">
        <f aca="false">IF(OR(F5985&lt;&gt;0,AND(I5985&lt;&gt;"",E5985&lt;I5985)),1,0)</f>
        <v>0</v>
      </c>
      <c r="R5985" s="56" t="n">
        <f aca="false">IF(AND(D5985&gt;1,Q5985=0,ISNUMBER(O5985),ISNUMBER(P5985)),IF(Q5984=0,1,0),0)</f>
        <v>1</v>
      </c>
      <c r="S5985" s="56" t="n">
        <f aca="false">R5985*(B5985&gt;=Train_Start)*(B5985&lt;=Train_End)</f>
        <v>0</v>
      </c>
      <c r="T5985" s="84" t="n">
        <f aca="false">IF(AND(ISNUMBER(O5985),ISNUMBER(P5985)),Coef_A+Coef_B1*O5985+Coef_B2*P5985,"")</f>
        <v>18.9923598860661</v>
      </c>
      <c r="U5985" s="84" t="n">
        <f aca="false">IF(AND(R5985=1,ISNUMBER(T5985)),E5985-T5985,"")</f>
        <v>-0.292359886066055</v>
      </c>
      <c r="V5985" s="84" t="n">
        <f aca="false">IF(ISNUMBER(T5985),T5985,-99)</f>
        <v>18.9923598860661</v>
      </c>
      <c r="W5985" s="84" t="n">
        <f aca="false">IF(ISNUMBER(U5985),ABS(U5985),"")</f>
        <v>0.292359886066055</v>
      </c>
    </row>
    <row r="5986" customFormat="false" ht="15" hidden="false" customHeight="false" outlineLevel="0" collapsed="false">
      <c r="A5986" s="57" t="n">
        <v>43238</v>
      </c>
      <c r="B5986" s="56" t="n">
        <v>2018</v>
      </c>
      <c r="C5986" s="56" t="n">
        <v>5</v>
      </c>
      <c r="D5986" s="56" t="n">
        <v>18</v>
      </c>
      <c r="E5986" s="56" t="n">
        <v>22.2</v>
      </c>
      <c r="F5986" s="56" t="n">
        <v>0</v>
      </c>
      <c r="G5986" s="56" t="n">
        <v>5.4</v>
      </c>
      <c r="H5986" s="56" t="n">
        <v>0</v>
      </c>
      <c r="I5986" s="56" t="n">
        <v>12.1</v>
      </c>
      <c r="J5986" s="56" t="n">
        <v>0</v>
      </c>
      <c r="K5986" s="56" t="n">
        <v>1025.6</v>
      </c>
      <c r="L5986" s="56" t="n">
        <v>0</v>
      </c>
      <c r="M5986" s="56" t="n">
        <v>58</v>
      </c>
      <c r="N5986" s="56" t="n">
        <v>12.5</v>
      </c>
      <c r="O5986" s="56" t="n">
        <f aca="false">IF(D5986=1,"",E5985)</f>
        <v>18.7</v>
      </c>
      <c r="P5986" s="56" t="n">
        <f aca="false">IF(OR(D5986=1,K5985=""),"",K5985)</f>
        <v>1027.3</v>
      </c>
      <c r="Q5986" s="56" t="n">
        <f aca="false">IF(OR(F5986&lt;&gt;0,AND(I5986&lt;&gt;"",E5986&lt;I5986)),1,0)</f>
        <v>0</v>
      </c>
      <c r="R5986" s="56" t="n">
        <f aca="false">IF(AND(D5986&gt;1,Q5986=0,ISNUMBER(O5986),ISNUMBER(P5986)),IF(Q5985=0,1,0),0)</f>
        <v>1</v>
      </c>
      <c r="S5986" s="56" t="n">
        <f aca="false">R5986*(B5986&gt;=Train_Start)*(B5986&lt;=Train_End)</f>
        <v>0</v>
      </c>
      <c r="T5986" s="84" t="n">
        <f aca="false">IF(AND(ISNUMBER(O5986),ISNUMBER(P5986)),Coef_A+Coef_B1*O5986+Coef_B2*P5986,"")</f>
        <v>19.6349110893907</v>
      </c>
      <c r="U5986" s="84" t="n">
        <f aca="false">IF(AND(R5986=1,ISNUMBER(T5986)),E5986-T5986,"")</f>
        <v>2.56508891060931</v>
      </c>
      <c r="V5986" s="84" t="n">
        <f aca="false">IF(ISNUMBER(T5986),T5986,-99)</f>
        <v>19.6349110893907</v>
      </c>
      <c r="W5986" s="84" t="n">
        <f aca="false">IF(ISNUMBER(U5986),ABS(U5986),"")</f>
        <v>2.56508891060931</v>
      </c>
    </row>
    <row r="5987" customFormat="false" ht="15" hidden="false" customHeight="false" outlineLevel="0" collapsed="false">
      <c r="A5987" s="57" t="n">
        <v>43239</v>
      </c>
      <c r="B5987" s="56" t="n">
        <v>2018</v>
      </c>
      <c r="C5987" s="56" t="n">
        <v>5</v>
      </c>
      <c r="D5987" s="56" t="n">
        <v>19</v>
      </c>
      <c r="E5987" s="56" t="n">
        <v>22</v>
      </c>
      <c r="F5987" s="56" t="n">
        <v>0</v>
      </c>
      <c r="G5987" s="56" t="n">
        <v>7.7</v>
      </c>
      <c r="H5987" s="56" t="n">
        <v>0</v>
      </c>
      <c r="I5987" s="56" t="n">
        <v>14.9</v>
      </c>
      <c r="J5987" s="56" t="n">
        <v>0</v>
      </c>
      <c r="K5987" s="56" t="n">
        <v>1023.7</v>
      </c>
      <c r="L5987" s="56" t="n">
        <v>0</v>
      </c>
      <c r="M5987" s="56" t="n">
        <v>60</v>
      </c>
      <c r="N5987" s="56" t="n">
        <v>13.8</v>
      </c>
      <c r="O5987" s="56" t="n">
        <f aca="false">IF(D5987=1,"",E5986)</f>
        <v>22.2</v>
      </c>
      <c r="P5987" s="56" t="n">
        <f aca="false">IF(OR(D5987=1,K5986=""),"",K5986)</f>
        <v>1025.6</v>
      </c>
      <c r="Q5987" s="56" t="n">
        <f aca="false">IF(OR(F5987&lt;&gt;0,AND(I5987&lt;&gt;"",E5987&lt;I5987)),1,0)</f>
        <v>0</v>
      </c>
      <c r="R5987" s="56" t="n">
        <f aca="false">IF(AND(D5987&gt;1,Q5987=0,ISNUMBER(O5987),ISNUMBER(P5987)),IF(Q5986=0,1,0),0)</f>
        <v>1</v>
      </c>
      <c r="S5987" s="56" t="n">
        <f aca="false">R5987*(B5987&gt;=Train_Start)*(B5987&lt;=Train_End)</f>
        <v>0</v>
      </c>
      <c r="T5987" s="84" t="n">
        <f aca="false">IF(AND(ISNUMBER(O5987),ISNUMBER(P5987)),Coef_A+Coef_B1*O5987+Coef_B2*P5987,"")</f>
        <v>22.4492694441622</v>
      </c>
      <c r="U5987" s="84" t="n">
        <f aca="false">IF(AND(R5987=1,ISNUMBER(T5987)),E5987-T5987,"")</f>
        <v>-0.449269444162216</v>
      </c>
      <c r="V5987" s="84" t="n">
        <f aca="false">IF(ISNUMBER(T5987),T5987,-99)</f>
        <v>22.4492694441622</v>
      </c>
      <c r="W5987" s="84" t="n">
        <f aca="false">IF(ISNUMBER(U5987),ABS(U5987),"")</f>
        <v>0.449269444162216</v>
      </c>
    </row>
    <row r="5988" customFormat="false" ht="15" hidden="false" customHeight="false" outlineLevel="0" collapsed="false">
      <c r="A5988" s="57" t="n">
        <v>43240</v>
      </c>
      <c r="B5988" s="56" t="n">
        <v>2018</v>
      </c>
      <c r="C5988" s="56" t="n">
        <v>5</v>
      </c>
      <c r="D5988" s="56" t="n">
        <v>20</v>
      </c>
      <c r="E5988" s="56" t="n">
        <v>22.7</v>
      </c>
      <c r="F5988" s="56" t="n">
        <v>0</v>
      </c>
      <c r="G5988" s="56" t="n">
        <v>8.1</v>
      </c>
      <c r="H5988" s="56" t="n">
        <v>0</v>
      </c>
      <c r="I5988" s="56" t="n">
        <v>15.1</v>
      </c>
      <c r="J5988" s="56" t="n">
        <v>0</v>
      </c>
      <c r="K5988" s="56" t="n">
        <v>1021.9</v>
      </c>
      <c r="L5988" s="56" t="n">
        <v>0</v>
      </c>
      <c r="M5988" s="56" t="n">
        <v>65</v>
      </c>
      <c r="N5988" s="56" t="n">
        <v>13.8</v>
      </c>
      <c r="O5988" s="56" t="n">
        <f aca="false">IF(D5988=1,"",E5987)</f>
        <v>22</v>
      </c>
      <c r="P5988" s="56" t="n">
        <f aca="false">IF(OR(D5988=1,K5987=""),"",K5987)</f>
        <v>1023.7</v>
      </c>
      <c r="Q5988" s="56" t="n">
        <f aca="false">IF(OR(F5988&lt;&gt;0,AND(I5988&lt;&gt;"",E5988&lt;I5988)),1,0)</f>
        <v>0</v>
      </c>
      <c r="R5988" s="56" t="n">
        <f aca="false">IF(AND(D5988&gt;1,Q5988=0,ISNUMBER(O5988),ISNUMBER(P5988)),IF(Q5987=0,1,0),0)</f>
        <v>1</v>
      </c>
      <c r="S5988" s="56" t="n">
        <f aca="false">R5988*(B5988&gt;=Train_Start)*(B5988&lt;=Train_End)</f>
        <v>0</v>
      </c>
      <c r="T5988" s="84" t="n">
        <f aca="false">IF(AND(ISNUMBER(O5988),ISNUMBER(P5988)),Coef_A+Coef_B1*O5988+Coef_B2*P5988,"")</f>
        <v>22.2257988057491</v>
      </c>
      <c r="U5988" s="84" t="n">
        <f aca="false">IF(AND(R5988=1,ISNUMBER(T5988)),E5988-T5988,"")</f>
        <v>0.474201194250888</v>
      </c>
      <c r="V5988" s="84" t="n">
        <f aca="false">IF(ISNUMBER(T5988),T5988,-99)</f>
        <v>22.2257988057491</v>
      </c>
      <c r="W5988" s="84" t="n">
        <f aca="false">IF(ISNUMBER(U5988),ABS(U5988),"")</f>
        <v>0.474201194250888</v>
      </c>
    </row>
    <row r="5989" customFormat="false" ht="15" hidden="false" customHeight="false" outlineLevel="0" collapsed="false">
      <c r="A5989" s="57" t="n">
        <v>43241</v>
      </c>
      <c r="B5989" s="56" t="n">
        <v>2018</v>
      </c>
      <c r="C5989" s="56" t="n">
        <v>5</v>
      </c>
      <c r="D5989" s="56" t="n">
        <v>21</v>
      </c>
      <c r="E5989" s="56" t="n">
        <v>23.5</v>
      </c>
      <c r="F5989" s="56" t="n">
        <v>0</v>
      </c>
      <c r="G5989" s="56" t="n">
        <v>9.1</v>
      </c>
      <c r="H5989" s="56" t="n">
        <v>0</v>
      </c>
      <c r="I5989" s="56" t="n">
        <v>15.9</v>
      </c>
      <c r="J5989" s="56" t="n">
        <v>0</v>
      </c>
      <c r="K5989" s="56" t="n">
        <v>1016.2</v>
      </c>
      <c r="L5989" s="56" t="n">
        <v>0</v>
      </c>
      <c r="M5989" s="56" t="n">
        <v>63</v>
      </c>
      <c r="N5989" s="56" t="n">
        <v>6.7</v>
      </c>
      <c r="O5989" s="56" t="n">
        <f aca="false">IF(D5989=1,"",E5988)</f>
        <v>22.7</v>
      </c>
      <c r="P5989" s="56" t="n">
        <f aca="false">IF(OR(D5989=1,K5988=""),"",K5988)</f>
        <v>1021.9</v>
      </c>
      <c r="Q5989" s="56" t="n">
        <f aca="false">IF(OR(F5989&lt;&gt;0,AND(I5989&lt;&gt;"",E5989&lt;I5989)),1,0)</f>
        <v>0</v>
      </c>
      <c r="R5989" s="56" t="n">
        <f aca="false">IF(AND(D5989&gt;1,Q5989=0,ISNUMBER(O5989),ISNUMBER(P5989)),IF(Q5988=0,1,0),0)</f>
        <v>1</v>
      </c>
      <c r="S5989" s="56" t="n">
        <f aca="false">R5989*(B5989&gt;=Train_Start)*(B5989&lt;=Train_End)</f>
        <v>0</v>
      </c>
      <c r="T5989" s="84" t="n">
        <f aca="false">IF(AND(ISNUMBER(O5989),ISNUMBER(P5989)),Coef_A+Coef_B1*O5989+Coef_B2*P5989,"")</f>
        <v>22.7428704305378</v>
      </c>
      <c r="U5989" s="84" t="n">
        <f aca="false">IF(AND(R5989=1,ISNUMBER(T5989)),E5989-T5989,"")</f>
        <v>0.757129569462219</v>
      </c>
      <c r="V5989" s="84" t="n">
        <f aca="false">IF(ISNUMBER(T5989),T5989,-99)</f>
        <v>22.7428704305378</v>
      </c>
      <c r="W5989" s="84" t="n">
        <f aca="false">IF(ISNUMBER(U5989),ABS(U5989),"")</f>
        <v>0.757129569462219</v>
      </c>
    </row>
    <row r="5990" customFormat="false" ht="15" hidden="false" customHeight="false" outlineLevel="0" collapsed="false">
      <c r="A5990" s="57" t="n">
        <v>43242</v>
      </c>
      <c r="B5990" s="56" t="n">
        <v>2018</v>
      </c>
      <c r="C5990" s="56" t="n">
        <v>5</v>
      </c>
      <c r="D5990" s="56" t="n">
        <v>22</v>
      </c>
      <c r="E5990" s="56" t="n">
        <v>19.1</v>
      </c>
      <c r="F5990" s="56" t="n">
        <v>0</v>
      </c>
      <c r="G5990" s="56" t="n">
        <v>12.2</v>
      </c>
      <c r="H5990" s="56" t="n">
        <v>0</v>
      </c>
      <c r="I5990" s="56" t="n">
        <v>17.9</v>
      </c>
      <c r="J5990" s="56" t="n">
        <v>0</v>
      </c>
      <c r="K5990" s="56" t="n">
        <v>1016.9</v>
      </c>
      <c r="L5990" s="56" t="n">
        <v>0</v>
      </c>
      <c r="M5990" s="56" t="n">
        <v>62</v>
      </c>
      <c r="N5990" s="56" t="n">
        <v>13.6</v>
      </c>
      <c r="O5990" s="56" t="n">
        <f aca="false">IF(D5990=1,"",E5989)</f>
        <v>23.5</v>
      </c>
      <c r="P5990" s="56" t="n">
        <f aca="false">IF(OR(D5990=1,K5989=""),"",K5989)</f>
        <v>1016.2</v>
      </c>
      <c r="Q5990" s="56" t="n">
        <f aca="false">IF(OR(F5990&lt;&gt;0,AND(I5990&lt;&gt;"",E5990&lt;I5990)),1,0)</f>
        <v>0</v>
      </c>
      <c r="R5990" s="56" t="n">
        <f aca="false">IF(AND(D5990&gt;1,Q5990=0,ISNUMBER(O5990),ISNUMBER(P5990)),IF(Q5989=0,1,0),0)</f>
        <v>1</v>
      </c>
      <c r="S5990" s="56" t="n">
        <f aca="false">R5990*(B5990&gt;=Train_Start)*(B5990&lt;=Train_End)</f>
        <v>0</v>
      </c>
      <c r="T5990" s="84" t="n">
        <f aca="false">IF(AND(ISNUMBER(O5990),ISNUMBER(P5990)),Coef_A+Coef_B1*O5990+Coef_B2*P5990,"")</f>
        <v>23.2195333855582</v>
      </c>
      <c r="U5990" s="84" t="n">
        <f aca="false">IF(AND(R5990=1,ISNUMBER(T5990)),E5990-T5990,"")</f>
        <v>-4.11953338555817</v>
      </c>
      <c r="V5990" s="84" t="n">
        <f aca="false">IF(ISNUMBER(T5990),T5990,-99)</f>
        <v>23.2195333855582</v>
      </c>
      <c r="W5990" s="84" t="n">
        <f aca="false">IF(ISNUMBER(U5990),ABS(U5990),"")</f>
        <v>4.11953338555817</v>
      </c>
    </row>
    <row r="5991" customFormat="false" ht="15" hidden="false" customHeight="false" outlineLevel="0" collapsed="false">
      <c r="A5991" s="57" t="n">
        <v>43243</v>
      </c>
      <c r="B5991" s="56" t="n">
        <v>2018</v>
      </c>
      <c r="C5991" s="56" t="n">
        <v>5</v>
      </c>
      <c r="D5991" s="56" t="n">
        <v>23</v>
      </c>
      <c r="E5991" s="56" t="n">
        <v>19.3</v>
      </c>
      <c r="F5991" s="56" t="n">
        <v>0</v>
      </c>
      <c r="G5991" s="56" t="n">
        <v>10.6</v>
      </c>
      <c r="H5991" s="56" t="n">
        <v>0</v>
      </c>
      <c r="I5991" s="56" t="n">
        <v>14.8</v>
      </c>
      <c r="J5991" s="56" t="n">
        <v>0</v>
      </c>
      <c r="K5991" s="56" t="n">
        <v>1023</v>
      </c>
      <c r="L5991" s="56" t="n">
        <v>0</v>
      </c>
      <c r="M5991" s="56" t="n">
        <v>73</v>
      </c>
      <c r="N5991" s="56" t="n">
        <v>6.1</v>
      </c>
      <c r="O5991" s="56" t="n">
        <f aca="false">IF(D5991=1,"",E5990)</f>
        <v>19.1</v>
      </c>
      <c r="P5991" s="56" t="n">
        <f aca="false">IF(OR(D5991=1,K5990=""),"",K5990)</f>
        <v>1016.9</v>
      </c>
      <c r="Q5991" s="56" t="n">
        <f aca="false">IF(OR(F5991&lt;&gt;0,AND(I5991&lt;&gt;"",E5991&lt;I5991)),1,0)</f>
        <v>0</v>
      </c>
      <c r="R5991" s="56" t="n">
        <f aca="false">IF(AND(D5991&gt;1,Q5991=0,ISNUMBER(O5991),ISNUMBER(P5991)),IF(Q5990=0,1,0),0)</f>
        <v>1</v>
      </c>
      <c r="S5991" s="56" t="n">
        <f aca="false">R5991*(B5991&gt;=Train_Start)*(B5991&lt;=Train_End)</f>
        <v>0</v>
      </c>
      <c r="T5991" s="84" t="n">
        <f aca="false">IF(AND(ISNUMBER(O5991),ISNUMBER(P5991)),Coef_A+Coef_B1*O5991+Coef_B2*P5991,"")</f>
        <v>19.6363998624143</v>
      </c>
      <c r="U5991" s="84" t="n">
        <f aca="false">IF(AND(R5991=1,ISNUMBER(T5991)),E5991-T5991,"")</f>
        <v>-0.336399862414272</v>
      </c>
      <c r="V5991" s="84" t="n">
        <f aca="false">IF(ISNUMBER(T5991),T5991,-99)</f>
        <v>19.6363998624143</v>
      </c>
      <c r="W5991" s="84" t="n">
        <f aca="false">IF(ISNUMBER(U5991),ABS(U5991),"")</f>
        <v>0.336399862414272</v>
      </c>
    </row>
    <row r="5992" customFormat="false" ht="15" hidden="false" customHeight="false" outlineLevel="0" collapsed="false">
      <c r="A5992" s="57" t="n">
        <v>43244</v>
      </c>
      <c r="B5992" s="56" t="n">
        <v>2018</v>
      </c>
      <c r="C5992" s="56" t="n">
        <v>5</v>
      </c>
      <c r="D5992" s="56" t="n">
        <v>24</v>
      </c>
      <c r="E5992" s="56" t="n">
        <v>18.8</v>
      </c>
      <c r="F5992" s="56" t="n">
        <v>0</v>
      </c>
      <c r="G5992" s="56" t="n">
        <v>10.5</v>
      </c>
      <c r="H5992" s="56" t="n">
        <v>0</v>
      </c>
      <c r="I5992" s="56" t="n">
        <v>14.9</v>
      </c>
      <c r="J5992" s="56" t="n">
        <v>0</v>
      </c>
      <c r="K5992" s="56" t="n">
        <v>1020.1</v>
      </c>
      <c r="L5992" s="56" t="n">
        <v>0</v>
      </c>
      <c r="M5992" s="56" t="n">
        <v>87</v>
      </c>
      <c r="N5992" s="56" t="n">
        <v>1.1</v>
      </c>
      <c r="O5992" s="56" t="n">
        <f aca="false">IF(D5992=1,"",E5991)</f>
        <v>19.3</v>
      </c>
      <c r="P5992" s="56" t="n">
        <f aca="false">IF(OR(D5992=1,K5991=""),"",K5991)</f>
        <v>1023</v>
      </c>
      <c r="Q5992" s="56" t="n">
        <f aca="false">IF(OR(F5992&lt;&gt;0,AND(I5992&lt;&gt;"",E5992&lt;I5992)),1,0)</f>
        <v>0</v>
      </c>
      <c r="R5992" s="56" t="n">
        <f aca="false">IF(AND(D5992&gt;1,Q5992=0,ISNUMBER(O5992),ISNUMBER(P5992)),IF(Q5991=0,1,0),0)</f>
        <v>1</v>
      </c>
      <c r="S5992" s="56" t="n">
        <f aca="false">R5992*(B5992&gt;=Train_Start)*(B5992&lt;=Train_End)</f>
        <v>0</v>
      </c>
      <c r="T5992" s="84" t="n">
        <f aca="false">IF(AND(ISNUMBER(O5992),ISNUMBER(P5992)),Coef_A+Coef_B1*O5992+Coef_B2*P5992,"")</f>
        <v>19.9916240582901</v>
      </c>
      <c r="U5992" s="84" t="n">
        <f aca="false">IF(AND(R5992=1,ISNUMBER(T5992)),E5992-T5992,"")</f>
        <v>-1.19162405829013</v>
      </c>
      <c r="V5992" s="84" t="n">
        <f aca="false">IF(ISNUMBER(T5992),T5992,-99)</f>
        <v>19.9916240582901</v>
      </c>
      <c r="W5992" s="84" t="n">
        <f aca="false">IF(ISNUMBER(U5992),ABS(U5992),"")</f>
        <v>1.19162405829013</v>
      </c>
    </row>
    <row r="5993" customFormat="false" ht="15" hidden="false" customHeight="false" outlineLevel="0" collapsed="false">
      <c r="A5993" s="57" t="n">
        <v>43245</v>
      </c>
      <c r="B5993" s="56" t="n">
        <v>2018</v>
      </c>
      <c r="C5993" s="56" t="n">
        <v>5</v>
      </c>
      <c r="D5993" s="56" t="n">
        <v>25</v>
      </c>
      <c r="E5993" s="56" t="n">
        <v>26.6</v>
      </c>
      <c r="F5993" s="56" t="n">
        <v>0</v>
      </c>
      <c r="G5993" s="56" t="n">
        <v>11.5</v>
      </c>
      <c r="H5993" s="56" t="n">
        <v>0</v>
      </c>
      <c r="I5993" s="56" t="n">
        <v>15.2</v>
      </c>
      <c r="J5993" s="56" t="n">
        <v>0</v>
      </c>
      <c r="K5993" s="56" t="n">
        <v>1018.2</v>
      </c>
      <c r="L5993" s="56" t="n">
        <v>0</v>
      </c>
      <c r="M5993" s="56" t="n">
        <v>83</v>
      </c>
      <c r="N5993" s="56" t="n">
        <v>1.1</v>
      </c>
      <c r="O5993" s="56" t="n">
        <f aca="false">IF(D5993=1,"",E5992)</f>
        <v>18.8</v>
      </c>
      <c r="P5993" s="56" t="n">
        <f aca="false">IF(OR(D5993=1,K5992=""),"",K5992)</f>
        <v>1020.1</v>
      </c>
      <c r="Q5993" s="56" t="n">
        <f aca="false">IF(OR(F5993&lt;&gt;0,AND(I5993&lt;&gt;"",E5993&lt;I5993)),1,0)</f>
        <v>0</v>
      </c>
      <c r="R5993" s="56" t="n">
        <f aca="false">IF(AND(D5993&gt;1,Q5993=0,ISNUMBER(O5993),ISNUMBER(P5993)),IF(Q5992=0,1,0),0)</f>
        <v>1</v>
      </c>
      <c r="S5993" s="56" t="n">
        <f aca="false">R5993*(B5993&gt;=Train_Start)*(B5993&lt;=Train_End)</f>
        <v>0</v>
      </c>
      <c r="T5993" s="84" t="n">
        <f aca="false">IF(AND(ISNUMBER(O5993),ISNUMBER(P5993)),Coef_A+Coef_B1*O5993+Coef_B2*P5993,"")</f>
        <v>19.4909817673302</v>
      </c>
      <c r="U5993" s="84" t="n">
        <f aca="false">IF(AND(R5993=1,ISNUMBER(T5993)),E5993-T5993,"")</f>
        <v>7.10901823266976</v>
      </c>
      <c r="V5993" s="84" t="n">
        <f aca="false">IF(ISNUMBER(T5993),T5993,-99)</f>
        <v>19.4909817673302</v>
      </c>
      <c r="W5993" s="84" t="n">
        <f aca="false">IF(ISNUMBER(U5993),ABS(U5993),"")</f>
        <v>7.10901823266976</v>
      </c>
    </row>
    <row r="5994" customFormat="false" ht="15" hidden="false" customHeight="false" outlineLevel="0" collapsed="false">
      <c r="A5994" s="57" t="n">
        <v>43246</v>
      </c>
      <c r="B5994" s="56" t="n">
        <v>2018</v>
      </c>
      <c r="C5994" s="56" t="n">
        <v>5</v>
      </c>
      <c r="D5994" s="56" t="n">
        <v>26</v>
      </c>
      <c r="E5994" s="56" t="n">
        <v>27.4</v>
      </c>
      <c r="F5994" s="56" t="n">
        <v>0</v>
      </c>
      <c r="G5994" s="56" t="n">
        <v>14.5</v>
      </c>
      <c r="H5994" s="56" t="n">
        <v>0</v>
      </c>
      <c r="I5994" s="56" t="n">
        <v>20.6</v>
      </c>
      <c r="J5994" s="56" t="n">
        <v>0</v>
      </c>
      <c r="K5994" s="56" t="n">
        <v>1018.6</v>
      </c>
      <c r="L5994" s="56" t="n">
        <v>0</v>
      </c>
      <c r="M5994" s="56" t="n">
        <v>74</v>
      </c>
      <c r="N5994" s="56" t="n">
        <v>8.2</v>
      </c>
      <c r="O5994" s="56" t="n">
        <f aca="false">IF(D5994=1,"",E5993)</f>
        <v>26.6</v>
      </c>
      <c r="P5994" s="56" t="n">
        <f aca="false">IF(OR(D5994=1,K5993=""),"",K5993)</f>
        <v>1018.2</v>
      </c>
      <c r="Q5994" s="56" t="n">
        <f aca="false">IF(OR(F5994&lt;&gt;0,AND(I5994&lt;&gt;"",E5994&lt;I5994)),1,0)</f>
        <v>0</v>
      </c>
      <c r="R5994" s="56" t="n">
        <f aca="false">IF(AND(D5994&gt;1,Q5994=0,ISNUMBER(O5994),ISNUMBER(P5994)),IF(Q5993=0,1,0),0)</f>
        <v>1</v>
      </c>
      <c r="S5994" s="56" t="n">
        <f aca="false">R5994*(B5994&gt;=Train_Start)*(B5994&lt;=Train_End)</f>
        <v>0</v>
      </c>
      <c r="T5994" s="84" t="n">
        <f aca="false">IF(AND(ISNUMBER(O5994),ISNUMBER(P5994)),Coef_A+Coef_B1*O5994+Coef_B2*P5994,"")</f>
        <v>25.8222246732584</v>
      </c>
      <c r="U5994" s="84" t="n">
        <f aca="false">IF(AND(R5994=1,ISNUMBER(T5994)),E5994-T5994,"")</f>
        <v>1.57777532674161</v>
      </c>
      <c r="V5994" s="84" t="n">
        <f aca="false">IF(ISNUMBER(T5994),T5994,-99)</f>
        <v>25.8222246732584</v>
      </c>
      <c r="W5994" s="84" t="n">
        <f aca="false">IF(ISNUMBER(U5994),ABS(U5994),"")</f>
        <v>1.57777532674161</v>
      </c>
    </row>
    <row r="5995" customFormat="false" ht="15" hidden="false" customHeight="false" outlineLevel="0" collapsed="false">
      <c r="A5995" s="57" t="n">
        <v>43247</v>
      </c>
      <c r="B5995" s="56" t="n">
        <v>2018</v>
      </c>
      <c r="C5995" s="56" t="n">
        <v>5</v>
      </c>
      <c r="D5995" s="56" t="n">
        <v>27</v>
      </c>
      <c r="E5995" s="56" t="n">
        <v>24.8</v>
      </c>
      <c r="F5995" s="56" t="n">
        <v>0</v>
      </c>
      <c r="G5995" s="56" t="n">
        <v>15.2</v>
      </c>
      <c r="H5995" s="56" t="n">
        <v>0</v>
      </c>
      <c r="I5995" s="56" t="n">
        <v>21.3</v>
      </c>
      <c r="J5995" s="56" t="n">
        <v>0</v>
      </c>
      <c r="K5995" s="56" t="n">
        <v>1015.6</v>
      </c>
      <c r="L5995" s="56" t="n">
        <v>0</v>
      </c>
      <c r="M5995" s="56" t="n">
        <v>73</v>
      </c>
      <c r="N5995" s="56" t="n">
        <v>8.4</v>
      </c>
      <c r="O5995" s="56" t="n">
        <f aca="false">IF(D5995=1,"",E5994)</f>
        <v>27.4</v>
      </c>
      <c r="P5995" s="56" t="n">
        <f aca="false">IF(OR(D5995=1,K5994=""),"",K5994)</f>
        <v>1018.6</v>
      </c>
      <c r="Q5995" s="56" t="n">
        <f aca="false">IF(OR(F5995&lt;&gt;0,AND(I5995&lt;&gt;"",E5995&lt;I5995)),1,0)</f>
        <v>0</v>
      </c>
      <c r="R5995" s="56" t="n">
        <f aca="false">IF(AND(D5995&gt;1,Q5995=0,ISNUMBER(O5995),ISNUMBER(P5995)),IF(Q5994=0,1,0),0)</f>
        <v>1</v>
      </c>
      <c r="S5995" s="56" t="n">
        <f aca="false">R5995*(B5995&gt;=Train_Start)*(B5995&lt;=Train_End)</f>
        <v>0</v>
      </c>
      <c r="T5995" s="84" t="n">
        <f aca="false">IF(AND(ISNUMBER(O5995),ISNUMBER(P5995)),Coef_A+Coef_B1*O5995+Coef_B2*P5995,"")</f>
        <v>26.4902439855461</v>
      </c>
      <c r="U5995" s="84" t="n">
        <f aca="false">IF(AND(R5995=1,ISNUMBER(T5995)),E5995-T5995,"")</f>
        <v>-1.69024398554611</v>
      </c>
      <c r="V5995" s="84" t="n">
        <f aca="false">IF(ISNUMBER(T5995),T5995,-99)</f>
        <v>26.4902439855461</v>
      </c>
      <c r="W5995" s="84" t="n">
        <f aca="false">IF(ISNUMBER(U5995),ABS(U5995),"")</f>
        <v>1.69024398554611</v>
      </c>
    </row>
    <row r="5996" customFormat="false" ht="15" hidden="false" customHeight="false" outlineLevel="0" collapsed="false">
      <c r="A5996" s="57" t="n">
        <v>43248</v>
      </c>
      <c r="B5996" s="56" t="n">
        <v>2018</v>
      </c>
      <c r="C5996" s="56" t="n">
        <v>5</v>
      </c>
      <c r="D5996" s="56" t="n">
        <v>28</v>
      </c>
      <c r="E5996" s="56" t="n">
        <v>17.9</v>
      </c>
      <c r="F5996" s="56" t="n">
        <v>1</v>
      </c>
      <c r="G5996" s="56" t="n">
        <v>15.6</v>
      </c>
      <c r="H5996" s="56" t="n">
        <v>0</v>
      </c>
      <c r="I5996" s="56" t="n">
        <v>20.2</v>
      </c>
      <c r="J5996" s="56" t="n">
        <v>1</v>
      </c>
      <c r="K5996" s="56" t="n">
        <v>1018.2</v>
      </c>
      <c r="L5996" s="56" t="n">
        <v>0</v>
      </c>
      <c r="M5996" s="56" t="n">
        <v>79</v>
      </c>
      <c r="N5996" s="56" t="n">
        <v>6.8</v>
      </c>
      <c r="O5996" s="56" t="n">
        <f aca="false">IF(D5996=1,"",E5995)</f>
        <v>24.8</v>
      </c>
      <c r="P5996" s="56" t="n">
        <f aca="false">IF(OR(D5996=1,K5995=""),"",K5995)</f>
        <v>1015.6</v>
      </c>
      <c r="Q5996" s="56" t="n">
        <f aca="false">IF(OR(F5996&lt;&gt;0,AND(I5996&lt;&gt;"",E5996&lt;I5996)),1,0)</f>
        <v>1</v>
      </c>
      <c r="R5996" s="56" t="n">
        <f aca="false">IF(AND(D5996&gt;1,Q5996=0,ISNUMBER(O5996),ISNUMBER(P5996)),IF(Q5995=0,1,0),0)</f>
        <v>0</v>
      </c>
      <c r="S5996" s="56" t="n">
        <f aca="false">R5996*(B5996&gt;=Train_Start)*(B5996&lt;=Train_End)</f>
        <v>0</v>
      </c>
      <c r="T5996" s="84" t="n">
        <f aca="false">IF(AND(ISNUMBER(O5996),ISNUMBER(P5996)),Coef_A+Coef_B1*O5996+Coef_B2*P5996,"")</f>
        <v>24.2658523997332</v>
      </c>
      <c r="U5996" s="84" t="str">
        <f aca="false">IF(AND(R5996=1,ISNUMBER(T5996)),E5996-T5996,"")</f>
        <v/>
      </c>
      <c r="V5996" s="84" t="n">
        <f aca="false">IF(ISNUMBER(T5996),T5996,-99)</f>
        <v>24.2658523997332</v>
      </c>
      <c r="W5996" s="84" t="str">
        <f aca="false">IF(ISNUMBER(U5996),ABS(U5996),"")</f>
        <v/>
      </c>
    </row>
    <row r="5997" customFormat="false" ht="15" hidden="false" customHeight="false" outlineLevel="0" collapsed="false">
      <c r="A5997" s="57" t="n">
        <v>43249</v>
      </c>
      <c r="B5997" s="56" t="n">
        <v>2018</v>
      </c>
      <c r="C5997" s="56" t="n">
        <v>5</v>
      </c>
      <c r="D5997" s="56" t="n">
        <v>29</v>
      </c>
      <c r="E5997" s="56" t="n">
        <v>19.4</v>
      </c>
      <c r="F5997" s="56" t="n">
        <v>0</v>
      </c>
      <c r="G5997" s="56" t="n">
        <v>13.9</v>
      </c>
      <c r="H5997" s="56" t="n">
        <v>0</v>
      </c>
      <c r="I5997" s="56" t="n">
        <v>15.9</v>
      </c>
      <c r="J5997" s="56" t="n">
        <v>0</v>
      </c>
      <c r="K5997" s="56" t="n">
        <v>1016.3</v>
      </c>
      <c r="L5997" s="56" t="n">
        <v>0</v>
      </c>
      <c r="M5997" s="56" t="n">
        <v>90</v>
      </c>
      <c r="N5997" s="56" t="n">
        <v>0</v>
      </c>
      <c r="O5997" s="56" t="n">
        <f aca="false">IF(D5997=1,"",E5996)</f>
        <v>17.9</v>
      </c>
      <c r="P5997" s="56" t="n">
        <f aca="false">IF(OR(D5997=1,K5996=""),"",K5996)</f>
        <v>1018.2</v>
      </c>
      <c r="Q5997" s="56" t="n">
        <f aca="false">IF(OR(F5997&lt;&gt;0,AND(I5997&lt;&gt;"",E5997&lt;I5997)),1,0)</f>
        <v>0</v>
      </c>
      <c r="R5997" s="56" t="n">
        <f aca="false">IF(AND(D5997&gt;1,Q5997=0,ISNUMBER(O5997),ISNUMBER(P5997)),IF(Q5996=0,1,0),0)</f>
        <v>0</v>
      </c>
      <c r="S5997" s="56" t="n">
        <f aca="false">R5997*(B5997&gt;=Train_Start)*(B5997&lt;=Train_End)</f>
        <v>0</v>
      </c>
      <c r="T5997" s="84" t="n">
        <f aca="false">IF(AND(ISNUMBER(O5997),ISNUMBER(P5997)),Coef_A+Coef_B1*O5997+Coef_B2*P5997,"")</f>
        <v>18.6939736937873</v>
      </c>
      <c r="U5997" s="84" t="str">
        <f aca="false">IF(AND(R5997=1,ISNUMBER(T5997)),E5997-T5997,"")</f>
        <v/>
      </c>
      <c r="V5997" s="84" t="n">
        <f aca="false">IF(ISNUMBER(T5997),T5997,-99)</f>
        <v>18.6939736937873</v>
      </c>
      <c r="W5997" s="84" t="str">
        <f aca="false">IF(ISNUMBER(U5997),ABS(U5997),"")</f>
        <v/>
      </c>
    </row>
    <row r="5998" customFormat="false" ht="15" hidden="false" customHeight="false" outlineLevel="0" collapsed="false">
      <c r="A5998" s="57" t="n">
        <v>43250</v>
      </c>
      <c r="B5998" s="56" t="n">
        <v>2018</v>
      </c>
      <c r="C5998" s="56" t="n">
        <v>5</v>
      </c>
      <c r="D5998" s="56" t="n">
        <v>30</v>
      </c>
      <c r="E5998" s="56" t="n">
        <v>23.5</v>
      </c>
      <c r="F5998" s="56" t="n">
        <v>0</v>
      </c>
      <c r="G5998" s="56" t="n">
        <v>13.2</v>
      </c>
      <c r="H5998" s="56" t="n">
        <v>0</v>
      </c>
      <c r="I5998" s="56" t="n">
        <v>16.3</v>
      </c>
      <c r="J5998" s="56" t="n">
        <v>0</v>
      </c>
      <c r="K5998" s="56" t="n">
        <v>1013.4</v>
      </c>
      <c r="L5998" s="56" t="n">
        <v>0</v>
      </c>
      <c r="M5998" s="56" t="n">
        <v>89</v>
      </c>
      <c r="N5998" s="56" t="n">
        <v>0</v>
      </c>
      <c r="O5998" s="56" t="n">
        <f aca="false">IF(D5998=1,"",E5997)</f>
        <v>19.4</v>
      </c>
      <c r="P5998" s="56" t="n">
        <f aca="false">IF(OR(D5998=1,K5997=""),"",K5997)</f>
        <v>1016.3</v>
      </c>
      <c r="Q5998" s="56" t="n">
        <f aca="false">IF(OR(F5998&lt;&gt;0,AND(I5998&lt;&gt;"",E5998&lt;I5998)),1,0)</f>
        <v>0</v>
      </c>
      <c r="R5998" s="56" t="n">
        <f aca="false">IF(AND(D5998&gt;1,Q5998=0,ISNUMBER(O5998),ISNUMBER(P5998)),IF(Q5997=0,1,0),0)</f>
        <v>1</v>
      </c>
      <c r="S5998" s="56" t="n">
        <f aca="false">R5998*(B5998&gt;=Train_Start)*(B5998&lt;=Train_End)</f>
        <v>0</v>
      </c>
      <c r="T5998" s="84" t="n">
        <f aca="false">IF(AND(ISNUMBER(O5998),ISNUMBER(P5998)),Coef_A+Coef_B1*O5998+Coef_B2*P5998,"")</f>
        <v>19.8633796835467</v>
      </c>
      <c r="U5998" s="84" t="n">
        <f aca="false">IF(AND(R5998=1,ISNUMBER(T5998)),E5998-T5998,"")</f>
        <v>3.63662031645333</v>
      </c>
      <c r="V5998" s="84" t="n">
        <f aca="false">IF(ISNUMBER(T5998),T5998,-99)</f>
        <v>19.8633796835467</v>
      </c>
      <c r="W5998" s="84" t="n">
        <f aca="false">IF(ISNUMBER(U5998),ABS(U5998),"")</f>
        <v>3.63662031645333</v>
      </c>
    </row>
    <row r="5999" customFormat="false" ht="15" hidden="false" customHeight="false" outlineLevel="0" collapsed="false">
      <c r="A5999" s="57" t="n">
        <v>43251</v>
      </c>
      <c r="B5999" s="56" t="n">
        <v>2018</v>
      </c>
      <c r="C5999" s="56" t="n">
        <v>5</v>
      </c>
      <c r="D5999" s="56" t="n">
        <v>31</v>
      </c>
      <c r="E5999" s="56" t="n">
        <v>24</v>
      </c>
      <c r="F5999" s="56" t="n">
        <v>0</v>
      </c>
      <c r="G5999" s="56" t="n">
        <v>13.9</v>
      </c>
      <c r="H5999" s="56" t="n">
        <v>0</v>
      </c>
      <c r="I5999" s="56" t="n">
        <v>18.7</v>
      </c>
      <c r="J5999" s="56" t="n">
        <v>0</v>
      </c>
      <c r="K5999" s="56" t="n">
        <v>1014.9</v>
      </c>
      <c r="L5999" s="56" t="n">
        <v>0</v>
      </c>
      <c r="M5999" s="56" t="n">
        <v>85</v>
      </c>
      <c r="N5999" s="56" t="n">
        <v>1.8</v>
      </c>
      <c r="O5999" s="56" t="n">
        <f aca="false">IF(D5999=1,"",E5998)</f>
        <v>23.5</v>
      </c>
      <c r="P5999" s="56" t="n">
        <f aca="false">IF(OR(D5999=1,K5998=""),"",K5998)</f>
        <v>1013.4</v>
      </c>
      <c r="Q5999" s="56" t="n">
        <f aca="false">IF(OR(F5999&lt;&gt;0,AND(I5999&lt;&gt;"",E5999&lt;I5999)),1,0)</f>
        <v>0</v>
      </c>
      <c r="R5999" s="56" t="n">
        <f aca="false">IF(AND(D5999&gt;1,Q5999=0,ISNUMBER(O5999),ISNUMBER(P5999)),IF(Q5998=0,1,0),0)</f>
        <v>1</v>
      </c>
      <c r="S5999" s="56" t="n">
        <f aca="false">R5999*(B5999&gt;=Train_Start)*(B5999&lt;=Train_End)</f>
        <v>0</v>
      </c>
      <c r="T5999" s="84" t="n">
        <f aca="false">IF(AND(ISNUMBER(O5999),ISNUMBER(P5999)),Coef_A+Coef_B1*O5999+Coef_B2*P5999,"")</f>
        <v>23.131697680583</v>
      </c>
      <c r="U5999" s="84" t="n">
        <f aca="false">IF(AND(R5999=1,ISNUMBER(T5999)),E5999-T5999,"")</f>
        <v>0.868302319417001</v>
      </c>
      <c r="V5999" s="84" t="n">
        <f aca="false">IF(ISNUMBER(T5999),T5999,-99)</f>
        <v>23.131697680583</v>
      </c>
      <c r="W5999" s="84" t="n">
        <f aca="false">IF(ISNUMBER(U5999),ABS(U5999),"")</f>
        <v>0.868302319417001</v>
      </c>
    </row>
    <row r="6000" customFormat="false" ht="15" hidden="false" customHeight="false" outlineLevel="0" collapsed="false">
      <c r="A6000" s="57" t="n">
        <v>43252</v>
      </c>
      <c r="B6000" s="56" t="n">
        <v>2018</v>
      </c>
      <c r="C6000" s="56" t="n">
        <v>6</v>
      </c>
      <c r="D6000" s="56" t="n">
        <v>32</v>
      </c>
      <c r="E6000" s="56" t="n">
        <v>24.4</v>
      </c>
      <c r="F6000" s="56" t="n">
        <v>0</v>
      </c>
      <c r="G6000" s="56" t="n">
        <v>15.8</v>
      </c>
      <c r="H6000" s="56" t="n">
        <v>0</v>
      </c>
      <c r="I6000" s="56" t="n">
        <v>19.9</v>
      </c>
      <c r="J6000" s="56" t="n">
        <v>0</v>
      </c>
      <c r="K6000" s="56" t="n">
        <v>1017.6</v>
      </c>
      <c r="L6000" s="56" t="n">
        <v>0</v>
      </c>
      <c r="M6000" s="56" t="n">
        <v>81</v>
      </c>
      <c r="N6000" s="56" t="n">
        <v>3</v>
      </c>
      <c r="O6000" s="56" t="n">
        <f aca="false">IF(D6000=1,"",E5999)</f>
        <v>24</v>
      </c>
      <c r="P6000" s="56" t="n">
        <f aca="false">IF(OR(D6000=1,K5999=""),"",K5999)</f>
        <v>1014.9</v>
      </c>
      <c r="Q6000" s="56" t="n">
        <f aca="false">IF(OR(F6000&lt;&gt;0,AND(I6000&lt;&gt;"",E6000&lt;I6000)),1,0)</f>
        <v>0</v>
      </c>
      <c r="R6000" s="56" t="n">
        <f aca="false">IF(AND(D6000&gt;1,Q6000=0,ISNUMBER(O6000),ISNUMBER(P6000)),IF(Q5999=0,1,0),0)</f>
        <v>1</v>
      </c>
      <c r="S6000" s="56" t="n">
        <f aca="false">R6000*(B6000&gt;=Train_Start)*(B6000&lt;=Train_End)</f>
        <v>0</v>
      </c>
      <c r="T6000" s="84" t="n">
        <f aca="false">IF(AND(ISNUMBER(O6000),ISNUMBER(P6000)),Coef_A+Coef_B1*O6000+Coef_B2*P6000,"")</f>
        <v>23.5884221190553</v>
      </c>
      <c r="U6000" s="84" t="n">
        <f aca="false">IF(AND(R6000=1,ISNUMBER(T6000)),E6000-T6000,"")</f>
        <v>0.811577880944686</v>
      </c>
      <c r="V6000" s="84" t="n">
        <f aca="false">IF(ISNUMBER(T6000),T6000,-99)</f>
        <v>23.5884221190553</v>
      </c>
      <c r="W6000" s="84" t="n">
        <f aca="false">IF(ISNUMBER(U6000),ABS(U6000),"")</f>
        <v>0.811577880944686</v>
      </c>
    </row>
    <row r="6001" customFormat="false" ht="15" hidden="false" customHeight="false" outlineLevel="0" collapsed="false">
      <c r="A6001" s="57" t="n">
        <v>43253</v>
      </c>
      <c r="B6001" s="56" t="n">
        <v>2018</v>
      </c>
      <c r="C6001" s="56" t="n">
        <v>6</v>
      </c>
      <c r="D6001" s="56" t="n">
        <v>33</v>
      </c>
      <c r="E6001" s="56" t="n">
        <v>27</v>
      </c>
      <c r="F6001" s="56" t="n">
        <v>0</v>
      </c>
      <c r="G6001" s="56" t="n">
        <v>14.9</v>
      </c>
      <c r="H6001" s="56" t="n">
        <v>0</v>
      </c>
      <c r="I6001" s="56" t="n">
        <v>19.6</v>
      </c>
      <c r="J6001" s="56" t="n">
        <v>0</v>
      </c>
      <c r="K6001" s="56" t="n">
        <v>1018.3</v>
      </c>
      <c r="L6001" s="56" t="n">
        <v>0</v>
      </c>
      <c r="M6001" s="56" t="n">
        <v>72</v>
      </c>
      <c r="N6001" s="56" t="n">
        <v>6.4</v>
      </c>
      <c r="O6001" s="56" t="n">
        <f aca="false">IF(D6001=1,"",E6000)</f>
        <v>24.4</v>
      </c>
      <c r="P6001" s="56" t="n">
        <f aca="false">IF(OR(D6001=1,K6000=""),"",K6000)</f>
        <v>1017.6</v>
      </c>
      <c r="Q6001" s="56" t="n">
        <f aca="false">IF(OR(F6001&lt;&gt;0,AND(I6001&lt;&gt;"",E6001&lt;I6001)),1,0)</f>
        <v>0</v>
      </c>
      <c r="R6001" s="56" t="n">
        <f aca="false">IF(AND(D6001&gt;1,Q6001=0,ISNUMBER(O6001),ISNUMBER(P6001)),IF(Q6000=0,1,0),0)</f>
        <v>1</v>
      </c>
      <c r="S6001" s="56" t="n">
        <f aca="false">R6001*(B6001&gt;=Train_Start)*(B6001&lt;=Train_End)</f>
        <v>0</v>
      </c>
      <c r="T6001" s="84" t="n">
        <f aca="false">IF(AND(ISNUMBER(O6001),ISNUMBER(P6001)),Coef_A+Coef_B1*O6001+Coef_B2*P6001,"")</f>
        <v>24.0008565117842</v>
      </c>
      <c r="U6001" s="84" t="n">
        <f aca="false">IF(AND(R6001=1,ISNUMBER(T6001)),E6001-T6001,"")</f>
        <v>2.99914348821585</v>
      </c>
      <c r="V6001" s="84" t="n">
        <f aca="false">IF(ISNUMBER(T6001),T6001,-99)</f>
        <v>24.0008565117842</v>
      </c>
      <c r="W6001" s="84" t="n">
        <f aca="false">IF(ISNUMBER(U6001),ABS(U6001),"")</f>
        <v>2.99914348821585</v>
      </c>
    </row>
    <row r="6002" customFormat="false" ht="15" hidden="false" customHeight="false" outlineLevel="0" collapsed="false">
      <c r="A6002" s="57" t="n">
        <v>43254</v>
      </c>
      <c r="B6002" s="56" t="n">
        <v>2018</v>
      </c>
      <c r="C6002" s="56" t="n">
        <v>6</v>
      </c>
      <c r="D6002" s="56" t="n">
        <v>34</v>
      </c>
      <c r="E6002" s="56" t="n">
        <v>19.8</v>
      </c>
      <c r="F6002" s="56" t="n">
        <v>1</v>
      </c>
      <c r="G6002" s="56" t="n">
        <v>13.3</v>
      </c>
      <c r="H6002" s="56" t="n">
        <v>0</v>
      </c>
      <c r="I6002" s="56" t="n">
        <v>20.1</v>
      </c>
      <c r="J6002" s="56" t="n">
        <v>1</v>
      </c>
      <c r="K6002" s="56" t="n">
        <v>1018.1</v>
      </c>
      <c r="L6002" s="56" t="n">
        <v>0</v>
      </c>
      <c r="M6002" s="56" t="n">
        <v>64</v>
      </c>
      <c r="N6002" s="56" t="n">
        <v>9</v>
      </c>
      <c r="O6002" s="56" t="n">
        <f aca="false">IF(D6002=1,"",E6001)</f>
        <v>27</v>
      </c>
      <c r="P6002" s="56" t="n">
        <f aca="false">IF(OR(D6002=1,K6001=""),"",K6001)</f>
        <v>1018.3</v>
      </c>
      <c r="Q6002" s="56" t="n">
        <f aca="false">IF(OR(F6002&lt;&gt;0,AND(I6002&lt;&gt;"",E6002&lt;I6002)),1,0)</f>
        <v>1</v>
      </c>
      <c r="R6002" s="56" t="n">
        <f aca="false">IF(AND(D6002&gt;1,Q6002=0,ISNUMBER(O6002),ISNUMBER(P6002)),IF(Q6001=0,1,0),0)</f>
        <v>0</v>
      </c>
      <c r="S6002" s="56" t="n">
        <f aca="false">R6002*(B6002&gt;=Train_Start)*(B6002&lt;=Train_End)</f>
        <v>0</v>
      </c>
      <c r="T6002" s="84" t="n">
        <f aca="false">IF(AND(ISNUMBER(O6002),ISNUMBER(P6002)),Coef_A+Coef_B1*O6002+Coef_B2*P6002,"")</f>
        <v>26.1530973399389</v>
      </c>
      <c r="U6002" s="84" t="str">
        <f aca="false">IF(AND(R6002=1,ISNUMBER(T6002)),E6002-T6002,"")</f>
        <v/>
      </c>
      <c r="V6002" s="84" t="n">
        <f aca="false">IF(ISNUMBER(T6002),T6002,-99)</f>
        <v>26.1530973399389</v>
      </c>
      <c r="W6002" s="84" t="str">
        <f aca="false">IF(ISNUMBER(U6002),ABS(U6002),"")</f>
        <v/>
      </c>
    </row>
    <row r="6003" customFormat="false" ht="15" hidden="false" customHeight="false" outlineLevel="0" collapsed="false">
      <c r="A6003" s="57" t="n">
        <v>43255</v>
      </c>
      <c r="B6003" s="56" t="n">
        <v>2018</v>
      </c>
      <c r="C6003" s="56" t="n">
        <v>6</v>
      </c>
      <c r="D6003" s="56" t="n">
        <v>35</v>
      </c>
      <c r="E6003" s="56" t="n">
        <v>18.8</v>
      </c>
      <c r="F6003" s="56" t="n">
        <v>0</v>
      </c>
      <c r="G6003" s="56" t="n">
        <v>15.1</v>
      </c>
      <c r="H6003" s="56" t="n">
        <v>0</v>
      </c>
      <c r="I6003" s="56" t="n">
        <v>17.4</v>
      </c>
      <c r="J6003" s="56" t="n">
        <v>0</v>
      </c>
      <c r="K6003" s="56" t="n">
        <v>1016.6</v>
      </c>
      <c r="L6003" s="56" t="n">
        <v>0</v>
      </c>
      <c r="M6003" s="56" t="n">
        <v>83</v>
      </c>
      <c r="N6003" s="56" t="n">
        <v>0.3</v>
      </c>
      <c r="O6003" s="56" t="n">
        <f aca="false">IF(D6003=1,"",E6002)</f>
        <v>19.8</v>
      </c>
      <c r="P6003" s="56" t="n">
        <f aca="false">IF(OR(D6003=1,K6002=""),"",K6002)</f>
        <v>1018.1</v>
      </c>
      <c r="Q6003" s="56" t="n">
        <f aca="false">IF(OR(F6003&lt;&gt;0,AND(I6003&lt;&gt;"",E6003&lt;I6003)),1,0)</f>
        <v>0</v>
      </c>
      <c r="R6003" s="56" t="n">
        <f aca="false">IF(AND(D6003&gt;1,Q6003=0,ISNUMBER(O6003),ISNUMBER(P6003)),IF(Q6002=0,1,0),0)</f>
        <v>0</v>
      </c>
      <c r="S6003" s="56" t="n">
        <f aca="false">R6003*(B6003&gt;=Train_Start)*(B6003&lt;=Train_End)</f>
        <v>0</v>
      </c>
      <c r="T6003" s="84" t="n">
        <f aca="false">IF(AND(ISNUMBER(O6003),ISNUMBER(P6003)),Coef_A+Coef_B1*O6003+Coef_B2*P6003,"")</f>
        <v>20.2475811711049</v>
      </c>
      <c r="U6003" s="84" t="str">
        <f aca="false">IF(AND(R6003=1,ISNUMBER(T6003)),E6003-T6003,"")</f>
        <v/>
      </c>
      <c r="V6003" s="84" t="n">
        <f aca="false">IF(ISNUMBER(T6003),T6003,-99)</f>
        <v>20.2475811711049</v>
      </c>
      <c r="W6003" s="84" t="str">
        <f aca="false">IF(ISNUMBER(U6003),ABS(U6003),"")</f>
        <v/>
      </c>
    </row>
    <row r="6004" customFormat="false" ht="15" hidden="false" customHeight="false" outlineLevel="0" collapsed="false">
      <c r="A6004" s="57" t="n">
        <v>43256</v>
      </c>
      <c r="B6004" s="56" t="n">
        <v>2018</v>
      </c>
      <c r="C6004" s="56" t="n">
        <v>6</v>
      </c>
      <c r="D6004" s="56" t="n">
        <v>36</v>
      </c>
      <c r="E6004" s="56" t="n">
        <v>23</v>
      </c>
      <c r="F6004" s="56" t="n">
        <v>0</v>
      </c>
      <c r="G6004" s="56" t="n">
        <v>12.1</v>
      </c>
      <c r="H6004" s="56" t="n">
        <v>0</v>
      </c>
      <c r="I6004" s="56" t="n">
        <v>15.4</v>
      </c>
      <c r="J6004" s="56" t="n">
        <v>0</v>
      </c>
      <c r="K6004" s="56" t="n">
        <v>1016.9</v>
      </c>
      <c r="L6004" s="56" t="n">
        <v>0</v>
      </c>
      <c r="M6004" s="56" t="n">
        <v>76</v>
      </c>
      <c r="N6004" s="56" t="n">
        <v>5.4</v>
      </c>
      <c r="O6004" s="56" t="n">
        <f aca="false">IF(D6004=1,"",E6003)</f>
        <v>18.8</v>
      </c>
      <c r="P6004" s="56" t="n">
        <f aca="false">IF(OR(D6004=1,K6003=""),"",K6003)</f>
        <v>1016.6</v>
      </c>
      <c r="Q6004" s="56" t="n">
        <f aca="false">IF(OR(F6004&lt;&gt;0,AND(I6004&lt;&gt;"",E6004&lt;I6004)),1,0)</f>
        <v>0</v>
      </c>
      <c r="R6004" s="56" t="n">
        <f aca="false">IF(AND(D6004&gt;1,Q6004=0,ISNUMBER(O6004),ISNUMBER(P6004)),IF(Q6003=0,1,0),0)</f>
        <v>1</v>
      </c>
      <c r="S6004" s="56" t="n">
        <f aca="false">R6004*(B6004&gt;=Train_Start)*(B6004&lt;=Train_End)</f>
        <v>0</v>
      </c>
      <c r="T6004" s="84" t="n">
        <f aca="false">IF(AND(ISNUMBER(O6004),ISNUMBER(P6004)),Coef_A+Coef_B1*O6004+Coef_B2*P6004,"")</f>
        <v>19.3811871361113</v>
      </c>
      <c r="U6004" s="84" t="n">
        <f aca="false">IF(AND(R6004=1,ISNUMBER(T6004)),E6004-T6004,"")</f>
        <v>3.61881286388872</v>
      </c>
      <c r="V6004" s="84" t="n">
        <f aca="false">IF(ISNUMBER(T6004),T6004,-99)</f>
        <v>19.3811871361113</v>
      </c>
      <c r="W6004" s="84" t="n">
        <f aca="false">IF(ISNUMBER(U6004),ABS(U6004),"")</f>
        <v>3.61881286388872</v>
      </c>
    </row>
    <row r="6005" customFormat="false" ht="15" hidden="false" customHeight="false" outlineLevel="0" collapsed="false">
      <c r="A6005" s="57" t="n">
        <v>43257</v>
      </c>
      <c r="B6005" s="56" t="n">
        <v>2018</v>
      </c>
      <c r="C6005" s="56" t="n">
        <v>6</v>
      </c>
      <c r="D6005" s="56" t="n">
        <v>37</v>
      </c>
      <c r="E6005" s="56" t="n">
        <v>21.4</v>
      </c>
      <c r="F6005" s="56" t="n">
        <v>0</v>
      </c>
      <c r="G6005" s="56" t="n">
        <v>9</v>
      </c>
      <c r="H6005" s="56" t="n">
        <v>0</v>
      </c>
      <c r="I6005" s="56" t="n">
        <v>16</v>
      </c>
      <c r="J6005" s="56" t="n">
        <v>0</v>
      </c>
      <c r="K6005" s="56" t="n">
        <v>1015.6</v>
      </c>
      <c r="L6005" s="56" t="n">
        <v>0</v>
      </c>
      <c r="M6005" s="56" t="n">
        <v>65</v>
      </c>
      <c r="N6005" s="56" t="n">
        <v>11.6</v>
      </c>
      <c r="O6005" s="56" t="n">
        <f aca="false">IF(D6005=1,"",E6004)</f>
        <v>23</v>
      </c>
      <c r="P6005" s="56" t="n">
        <f aca="false">IF(OR(D6005=1,K6004=""),"",K6004)</f>
        <v>1016.9</v>
      </c>
      <c r="Q6005" s="56" t="n">
        <f aca="false">IF(OR(F6005&lt;&gt;0,AND(I6005&lt;&gt;"",E6005&lt;I6005)),1,0)</f>
        <v>0</v>
      </c>
      <c r="R6005" s="56" t="n">
        <f aca="false">IF(AND(D6005&gt;1,Q6005=0,ISNUMBER(O6005),ISNUMBER(P6005)),IF(Q6004=0,1,0),0)</f>
        <v>1</v>
      </c>
      <c r="S6005" s="56" t="n">
        <f aca="false">R6005*(B6005&gt;=Train_Start)*(B6005&lt;=Train_End)</f>
        <v>0</v>
      </c>
      <c r="T6005" s="84" t="n">
        <f aca="false">IF(AND(ISNUMBER(O6005),ISNUMBER(P6005)),Coef_A+Coef_B1*O6005+Coef_B2*P6005,"")</f>
        <v>22.8318227152806</v>
      </c>
      <c r="U6005" s="84" t="n">
        <f aca="false">IF(AND(R6005=1,ISNUMBER(T6005)),E6005-T6005,"")</f>
        <v>-1.43182271528064</v>
      </c>
      <c r="V6005" s="84" t="n">
        <f aca="false">IF(ISNUMBER(T6005),T6005,-99)</f>
        <v>22.8318227152806</v>
      </c>
      <c r="W6005" s="84" t="n">
        <f aca="false">IF(ISNUMBER(U6005),ABS(U6005),"")</f>
        <v>1.43182271528064</v>
      </c>
    </row>
    <row r="6006" customFormat="false" ht="15" hidden="false" customHeight="false" outlineLevel="0" collapsed="false">
      <c r="A6006" s="57" t="n">
        <v>43258</v>
      </c>
      <c r="B6006" s="56" t="n">
        <v>2018</v>
      </c>
      <c r="C6006" s="56" t="n">
        <v>6</v>
      </c>
      <c r="D6006" s="56" t="n">
        <v>38</v>
      </c>
      <c r="E6006" s="56" t="n">
        <v>23</v>
      </c>
      <c r="F6006" s="56" t="n">
        <v>0</v>
      </c>
      <c r="G6006" s="56" t="n">
        <v>12.9</v>
      </c>
      <c r="H6006" s="56" t="n">
        <v>0</v>
      </c>
      <c r="I6006" s="56" t="n">
        <v>17.1</v>
      </c>
      <c r="J6006" s="56" t="n">
        <v>0</v>
      </c>
      <c r="K6006" s="56" t="n">
        <v>1016.4</v>
      </c>
      <c r="L6006" s="56" t="n">
        <v>0</v>
      </c>
      <c r="M6006" s="56" t="n">
        <v>69</v>
      </c>
      <c r="N6006" s="56" t="n">
        <v>0.4</v>
      </c>
      <c r="O6006" s="56" t="n">
        <f aca="false">IF(D6006=1,"",E6005)</f>
        <v>21.4</v>
      </c>
      <c r="P6006" s="56" t="n">
        <f aca="false">IF(OR(D6006=1,K6005=""),"",K6005)</f>
        <v>1015.6</v>
      </c>
      <c r="Q6006" s="56" t="n">
        <f aca="false">IF(OR(F6006&lt;&gt;0,AND(I6006&lt;&gt;"",E6006&lt;I6006)),1,0)</f>
        <v>0</v>
      </c>
      <c r="R6006" s="56" t="n">
        <f aca="false">IF(AND(D6006&gt;1,Q6006=0,ISNUMBER(O6006),ISNUMBER(P6006)),IF(Q6005=0,1,0),0)</f>
        <v>1</v>
      </c>
      <c r="S6006" s="56" t="n">
        <f aca="false">R6006*(B6006&gt;=Train_Start)*(B6006&lt;=Train_End)</f>
        <v>0</v>
      </c>
      <c r="T6006" s="84" t="n">
        <f aca="false">IF(AND(ISNUMBER(O6006),ISNUMBER(P6006)),Coef_A+Coef_B1*O6006+Coef_B2*P6006,"")</f>
        <v>21.4800991433882</v>
      </c>
      <c r="U6006" s="84" t="n">
        <f aca="false">IF(AND(R6006=1,ISNUMBER(T6006)),E6006-T6006,"")</f>
        <v>1.5199008566118</v>
      </c>
      <c r="V6006" s="84" t="n">
        <f aca="false">IF(ISNUMBER(T6006),T6006,-99)</f>
        <v>21.4800991433882</v>
      </c>
      <c r="W6006" s="84" t="n">
        <f aca="false">IF(ISNUMBER(U6006),ABS(U6006),"")</f>
        <v>1.5199008566118</v>
      </c>
    </row>
    <row r="6007" customFormat="false" ht="15" hidden="false" customHeight="false" outlineLevel="0" collapsed="false">
      <c r="A6007" s="57" t="n">
        <v>43259</v>
      </c>
      <c r="B6007" s="56" t="n">
        <v>2018</v>
      </c>
      <c r="C6007" s="56" t="n">
        <v>6</v>
      </c>
      <c r="D6007" s="56" t="n">
        <v>39</v>
      </c>
      <c r="E6007" s="56" t="n">
        <v>21.9</v>
      </c>
      <c r="F6007" s="56" t="n">
        <v>0</v>
      </c>
      <c r="G6007" s="56" t="n">
        <v>14</v>
      </c>
      <c r="H6007" s="56" t="n">
        <v>0</v>
      </c>
      <c r="I6007" s="56" t="n">
        <v>18.5</v>
      </c>
      <c r="J6007" s="56" t="n">
        <v>0</v>
      </c>
      <c r="K6007" s="56" t="n">
        <v>1017</v>
      </c>
      <c r="L6007" s="56" t="n">
        <v>0</v>
      </c>
      <c r="M6007" s="56" t="n">
        <v>65</v>
      </c>
      <c r="N6007" s="56" t="n">
        <v>6.3</v>
      </c>
      <c r="O6007" s="56" t="n">
        <f aca="false">IF(D6007=1,"",E6006)</f>
        <v>23</v>
      </c>
      <c r="P6007" s="56" t="n">
        <f aca="false">IF(OR(D6007=1,K6006=""),"",K6006)</f>
        <v>1016.4</v>
      </c>
      <c r="Q6007" s="56" t="n">
        <f aca="false">IF(OR(F6007&lt;&gt;0,AND(I6007&lt;&gt;"",E6007&lt;I6007)),1,0)</f>
        <v>0</v>
      </c>
      <c r="R6007" s="56" t="n">
        <f aca="false">IF(AND(D6007&gt;1,Q6007=0,ISNUMBER(O6007),ISNUMBER(P6007)),IF(Q6006=0,1,0),0)</f>
        <v>1</v>
      </c>
      <c r="S6007" s="56" t="n">
        <f aca="false">R6007*(B6007&gt;=Train_Start)*(B6007&lt;=Train_End)</f>
        <v>0</v>
      </c>
      <c r="T6007" s="84" t="n">
        <f aca="false">IF(AND(ISNUMBER(O6007),ISNUMBER(P6007)),Coef_A+Coef_B1*O6007+Coef_B2*P6007,"")</f>
        <v>22.8161377679636</v>
      </c>
      <c r="U6007" s="84" t="n">
        <f aca="false">IF(AND(R6007=1,ISNUMBER(T6007)),E6007-T6007,"")</f>
        <v>-0.916137767963644</v>
      </c>
      <c r="V6007" s="84" t="n">
        <f aca="false">IF(ISNUMBER(T6007),T6007,-99)</f>
        <v>22.8161377679636</v>
      </c>
      <c r="W6007" s="84" t="n">
        <f aca="false">IF(ISNUMBER(U6007),ABS(U6007),"")</f>
        <v>0.916137767963644</v>
      </c>
    </row>
    <row r="6008" customFormat="false" ht="15" hidden="false" customHeight="false" outlineLevel="0" collapsed="false">
      <c r="A6008" s="57" t="n">
        <v>43260</v>
      </c>
      <c r="B6008" s="56" t="n">
        <v>2018</v>
      </c>
      <c r="C6008" s="56" t="n">
        <v>6</v>
      </c>
      <c r="D6008" s="56" t="n">
        <v>40</v>
      </c>
      <c r="E6008" s="56" t="n">
        <v>24</v>
      </c>
      <c r="F6008" s="56" t="n">
        <v>0</v>
      </c>
      <c r="G6008" s="56" t="n">
        <v>13.1</v>
      </c>
      <c r="H6008" s="56" t="n">
        <v>0</v>
      </c>
      <c r="I6008" s="56" t="n">
        <v>17.5</v>
      </c>
      <c r="J6008" s="56" t="n">
        <v>0</v>
      </c>
      <c r="K6008" s="56" t="n">
        <v>1016</v>
      </c>
      <c r="L6008" s="56" t="n">
        <v>0</v>
      </c>
      <c r="M6008" s="56" t="n">
        <v>72</v>
      </c>
      <c r="N6008" s="56" t="n">
        <v>3.9</v>
      </c>
      <c r="O6008" s="56" t="n">
        <f aca="false">IF(D6008=1,"",E6007)</f>
        <v>21.9</v>
      </c>
      <c r="P6008" s="56" t="n">
        <f aca="false">IF(OR(D6008=1,K6007=""),"",K6007)</f>
        <v>1017</v>
      </c>
      <c r="Q6008" s="56" t="n">
        <f aca="false">IF(OR(F6008&lt;&gt;0,AND(I6008&lt;&gt;"",E6008&lt;I6008)),1,0)</f>
        <v>0</v>
      </c>
      <c r="R6008" s="56" t="n">
        <f aca="false">IF(AND(D6008&gt;1,Q6008=0,ISNUMBER(O6008),ISNUMBER(P6008)),IF(Q6007=0,1,0),0)</f>
        <v>1</v>
      </c>
      <c r="S6008" s="56" t="n">
        <f aca="false">R6008*(B6008&gt;=Train_Start)*(B6008&lt;=Train_End)</f>
        <v>0</v>
      </c>
      <c r="T6008" s="84" t="n">
        <f aca="false">IF(AND(ISNUMBER(O6008),ISNUMBER(P6008)),Coef_A+Coef_B1*O6008+Coef_B2*P6008,"")</f>
        <v>21.9336865923971</v>
      </c>
      <c r="U6008" s="84" t="n">
        <f aca="false">IF(AND(R6008=1,ISNUMBER(T6008)),E6008-T6008,"")</f>
        <v>2.06631340760289</v>
      </c>
      <c r="V6008" s="84" t="n">
        <f aca="false">IF(ISNUMBER(T6008),T6008,-99)</f>
        <v>21.9336865923971</v>
      </c>
      <c r="W6008" s="84" t="n">
        <f aca="false">IF(ISNUMBER(U6008),ABS(U6008),"")</f>
        <v>2.06631340760289</v>
      </c>
    </row>
    <row r="6009" customFormat="false" ht="15" hidden="false" customHeight="false" outlineLevel="0" collapsed="false">
      <c r="A6009" s="57" t="n">
        <v>43261</v>
      </c>
      <c r="B6009" s="56" t="n">
        <v>2018</v>
      </c>
      <c r="C6009" s="56" t="n">
        <v>6</v>
      </c>
      <c r="D6009" s="56" t="n">
        <v>41</v>
      </c>
      <c r="E6009" s="56" t="n">
        <v>25.4</v>
      </c>
      <c r="F6009" s="56" t="n">
        <v>0</v>
      </c>
      <c r="G6009" s="56" t="n">
        <v>14</v>
      </c>
      <c r="H6009" s="56" t="n">
        <v>0</v>
      </c>
      <c r="I6009" s="56" t="n">
        <v>19</v>
      </c>
      <c r="J6009" s="56" t="n">
        <v>0</v>
      </c>
      <c r="K6009" s="56" t="n">
        <v>1014.7</v>
      </c>
      <c r="L6009" s="56" t="n">
        <v>0</v>
      </c>
      <c r="M6009" s="56" t="n">
        <v>72</v>
      </c>
      <c r="N6009" s="56" t="n">
        <v>9</v>
      </c>
      <c r="O6009" s="56" t="n">
        <f aca="false">IF(D6009=1,"",E6008)</f>
        <v>24</v>
      </c>
      <c r="P6009" s="56" t="n">
        <f aca="false">IF(OR(D6009=1,K6008=""),"",K6008)</f>
        <v>1016</v>
      </c>
      <c r="Q6009" s="56" t="n">
        <f aca="false">IF(OR(F6009&lt;&gt;0,AND(I6009&lt;&gt;"",E6009&lt;I6009)),1,0)</f>
        <v>0</v>
      </c>
      <c r="R6009" s="56" t="n">
        <f aca="false">IF(AND(D6009&gt;1,Q6009=0,ISNUMBER(O6009),ISNUMBER(P6009)),IF(Q6008=0,1,0),0)</f>
        <v>1</v>
      </c>
      <c r="S6009" s="56" t="n">
        <f aca="false">R6009*(B6009&gt;=Train_Start)*(B6009&lt;=Train_End)</f>
        <v>0</v>
      </c>
      <c r="T6009" s="84" t="n">
        <f aca="false">IF(AND(ISNUMBER(O6009),ISNUMBER(P6009)),Coef_A+Coef_B1*O6009+Coef_B2*P6009,"")</f>
        <v>23.6229290031527</v>
      </c>
      <c r="U6009" s="84" t="n">
        <f aca="false">IF(AND(R6009=1,ISNUMBER(T6009)),E6009-T6009,"")</f>
        <v>1.7770709968473</v>
      </c>
      <c r="V6009" s="84" t="n">
        <f aca="false">IF(ISNUMBER(T6009),T6009,-99)</f>
        <v>23.6229290031527</v>
      </c>
      <c r="W6009" s="84" t="n">
        <f aca="false">IF(ISNUMBER(U6009),ABS(U6009),"")</f>
        <v>1.7770709968473</v>
      </c>
    </row>
    <row r="6010" customFormat="false" ht="15" hidden="false" customHeight="false" outlineLevel="0" collapsed="false">
      <c r="A6010" s="57" t="n">
        <v>43262</v>
      </c>
      <c r="B6010" s="56" t="n">
        <v>2018</v>
      </c>
      <c r="C6010" s="56" t="n">
        <v>6</v>
      </c>
      <c r="D6010" s="56" t="n">
        <v>42</v>
      </c>
      <c r="E6010" s="56" t="n">
        <v>18.6</v>
      </c>
      <c r="F6010" s="56" t="n">
        <v>1</v>
      </c>
      <c r="G6010" s="56" t="n">
        <v>12.3</v>
      </c>
      <c r="H6010" s="56" t="n">
        <v>0</v>
      </c>
      <c r="I6010" s="56" t="n">
        <v>18.9</v>
      </c>
      <c r="J6010" s="56" t="n">
        <v>1</v>
      </c>
      <c r="K6010" s="56" t="n">
        <v>1013.9</v>
      </c>
      <c r="L6010" s="56" t="n">
        <v>0</v>
      </c>
      <c r="M6010" s="56" t="n">
        <v>60</v>
      </c>
      <c r="N6010" s="56" t="n">
        <v>12.1</v>
      </c>
      <c r="O6010" s="56" t="n">
        <f aca="false">IF(D6010=1,"",E6009)</f>
        <v>25.4</v>
      </c>
      <c r="P6010" s="56" t="n">
        <f aca="false">IF(OR(D6010=1,K6009=""),"",K6009)</f>
        <v>1014.7</v>
      </c>
      <c r="Q6010" s="56" t="n">
        <f aca="false">IF(OR(F6010&lt;&gt;0,AND(I6010&lt;&gt;"",E6010&lt;I6010)),1,0)</f>
        <v>1</v>
      </c>
      <c r="R6010" s="56" t="n">
        <f aca="false">IF(AND(D6010&gt;1,Q6010=0,ISNUMBER(O6010),ISNUMBER(P6010)),IF(Q6009=0,1,0),0)</f>
        <v>0</v>
      </c>
      <c r="S6010" s="56" t="n">
        <f aca="false">R6010*(B6010&gt;=Train_Start)*(B6010&lt;=Train_End)</f>
        <v>0</v>
      </c>
      <c r="T6010" s="84" t="n">
        <f aca="false">IF(AND(ISNUMBER(O6010),ISNUMBER(P6010)),Coef_A+Coef_B1*O6010+Coef_B2*P6010,"")</f>
        <v>24.7292230103882</v>
      </c>
      <c r="U6010" s="84" t="str">
        <f aca="false">IF(AND(R6010=1,ISNUMBER(T6010)),E6010-T6010,"")</f>
        <v/>
      </c>
      <c r="V6010" s="84" t="n">
        <f aca="false">IF(ISNUMBER(T6010),T6010,-99)</f>
        <v>24.7292230103882</v>
      </c>
      <c r="W6010" s="84" t="str">
        <f aca="false">IF(ISNUMBER(U6010),ABS(U6010),"")</f>
        <v/>
      </c>
    </row>
    <row r="6011" customFormat="false" ht="15" hidden="false" customHeight="false" outlineLevel="0" collapsed="false">
      <c r="A6011" s="57" t="n">
        <v>43263</v>
      </c>
      <c r="B6011" s="56" t="n">
        <v>2018</v>
      </c>
      <c r="C6011" s="56" t="n">
        <v>6</v>
      </c>
      <c r="D6011" s="56" t="n">
        <v>43</v>
      </c>
      <c r="E6011" s="56" t="n">
        <v>23.3</v>
      </c>
      <c r="F6011" s="56" t="n">
        <v>0</v>
      </c>
      <c r="G6011" s="56" t="n">
        <v>12.8</v>
      </c>
      <c r="H6011" s="56" t="n">
        <v>0</v>
      </c>
      <c r="I6011" s="56" t="n">
        <v>15.7</v>
      </c>
      <c r="J6011" s="56" t="n">
        <v>0</v>
      </c>
      <c r="K6011" s="56" t="n">
        <v>1016.9</v>
      </c>
      <c r="L6011" s="56" t="n">
        <v>0</v>
      </c>
      <c r="M6011" s="56" t="n">
        <v>69</v>
      </c>
      <c r="N6011" s="56" t="n">
        <v>3.3</v>
      </c>
      <c r="O6011" s="56" t="n">
        <f aca="false">IF(D6011=1,"",E6010)</f>
        <v>18.6</v>
      </c>
      <c r="P6011" s="56" t="n">
        <f aca="false">IF(OR(D6011=1,K6010=""),"",K6010)</f>
        <v>1013.9</v>
      </c>
      <c r="Q6011" s="56" t="n">
        <f aca="false">IF(OR(F6011&lt;&gt;0,AND(I6011&lt;&gt;"",E6011&lt;I6011)),1,0)</f>
        <v>0</v>
      </c>
      <c r="R6011" s="56" t="n">
        <f aca="false">IF(AND(D6011&gt;1,Q6011=0,ISNUMBER(O6011),ISNUMBER(P6011)),IF(Q6010=0,1,0),0)</f>
        <v>0</v>
      </c>
      <c r="S6011" s="56" t="n">
        <f aca="false">R6011*(B6011&gt;=Train_Start)*(B6011&lt;=Train_End)</f>
        <v>0</v>
      </c>
      <c r="T6011" s="84" t="n">
        <f aca="false">IF(AND(ISNUMBER(O6011),ISNUMBER(P6011)),Coef_A+Coef_B1*O6011+Coef_B2*P6011,"")</f>
        <v>19.132620581991</v>
      </c>
      <c r="U6011" s="84" t="str">
        <f aca="false">IF(AND(R6011=1,ISNUMBER(T6011)),E6011-T6011,"")</f>
        <v/>
      </c>
      <c r="V6011" s="84" t="n">
        <f aca="false">IF(ISNUMBER(T6011),T6011,-99)</f>
        <v>19.132620581991</v>
      </c>
      <c r="W6011" s="84" t="str">
        <f aca="false">IF(ISNUMBER(U6011),ABS(U6011),"")</f>
        <v/>
      </c>
    </row>
    <row r="6012" customFormat="false" ht="15" hidden="false" customHeight="false" outlineLevel="0" collapsed="false">
      <c r="A6012" s="57" t="n">
        <v>43264</v>
      </c>
      <c r="B6012" s="56" t="n">
        <v>2018</v>
      </c>
      <c r="C6012" s="56" t="n">
        <v>6</v>
      </c>
      <c r="D6012" s="56" t="n">
        <v>44</v>
      </c>
      <c r="E6012" s="56" t="n">
        <v>23.9</v>
      </c>
      <c r="F6012" s="56" t="n">
        <v>0</v>
      </c>
      <c r="G6012" s="56" t="n">
        <v>9.4</v>
      </c>
      <c r="H6012" s="56" t="n">
        <v>0</v>
      </c>
      <c r="I6012" s="56" t="n">
        <v>16.4</v>
      </c>
      <c r="J6012" s="56" t="n">
        <v>0</v>
      </c>
      <c r="K6012" s="56" t="n">
        <v>1018.1</v>
      </c>
      <c r="L6012" s="56" t="n">
        <v>0</v>
      </c>
      <c r="M6012" s="56" t="n">
        <v>63</v>
      </c>
      <c r="N6012" s="56" t="n">
        <v>6.9</v>
      </c>
      <c r="O6012" s="56" t="n">
        <f aca="false">IF(D6012=1,"",E6011)</f>
        <v>23.3</v>
      </c>
      <c r="P6012" s="56" t="n">
        <f aca="false">IF(OR(D6012=1,K6011=""),"",K6011)</f>
        <v>1016.9</v>
      </c>
      <c r="Q6012" s="56" t="n">
        <f aca="false">IF(OR(F6012&lt;&gt;0,AND(I6012&lt;&gt;"",E6012&lt;I6012)),1,0)</f>
        <v>0</v>
      </c>
      <c r="R6012" s="56" t="n">
        <f aca="false">IF(AND(D6012&gt;1,Q6012=0,ISNUMBER(O6012),ISNUMBER(P6012)),IF(Q6011=0,1,0),0)</f>
        <v>1</v>
      </c>
      <c r="S6012" s="56" t="n">
        <f aca="false">R6012*(B6012&gt;=Train_Start)*(B6012&lt;=Train_End)</f>
        <v>0</v>
      </c>
      <c r="T6012" s="84" t="n">
        <f aca="false">IF(AND(ISNUMBER(O6012),ISNUMBER(P6012)),Coef_A+Coef_B1*O6012+Coef_B2*P6012,"")</f>
        <v>23.0776244731934</v>
      </c>
      <c r="U6012" s="84" t="n">
        <f aca="false">IF(AND(R6012=1,ISNUMBER(T6012)),E6012-T6012,"")</f>
        <v>0.822375526806564</v>
      </c>
      <c r="V6012" s="84" t="n">
        <f aca="false">IF(ISNUMBER(T6012),T6012,-99)</f>
        <v>23.0776244731934</v>
      </c>
      <c r="W6012" s="84" t="n">
        <f aca="false">IF(ISNUMBER(U6012),ABS(U6012),"")</f>
        <v>0.822375526806564</v>
      </c>
    </row>
    <row r="6013" customFormat="false" ht="15" hidden="false" customHeight="false" outlineLevel="0" collapsed="false">
      <c r="A6013" s="57" t="n">
        <v>43265</v>
      </c>
      <c r="B6013" s="56" t="n">
        <v>2018</v>
      </c>
      <c r="C6013" s="56" t="n">
        <v>6</v>
      </c>
      <c r="D6013" s="56" t="n">
        <v>45</v>
      </c>
      <c r="E6013" s="56" t="n">
        <v>23.4</v>
      </c>
      <c r="F6013" s="56" t="n">
        <v>0</v>
      </c>
      <c r="G6013" s="56" t="n">
        <v>14.5</v>
      </c>
      <c r="H6013" s="56" t="n">
        <v>0</v>
      </c>
      <c r="I6013" s="56" t="n">
        <v>19.2</v>
      </c>
      <c r="J6013" s="56" t="n">
        <v>0</v>
      </c>
      <c r="K6013" s="56" t="n">
        <v>1012.2</v>
      </c>
      <c r="L6013" s="56" t="n">
        <v>0</v>
      </c>
      <c r="M6013" s="56" t="n">
        <v>66</v>
      </c>
      <c r="N6013" s="56" t="n">
        <v>5.9</v>
      </c>
      <c r="O6013" s="56" t="n">
        <f aca="false">IF(D6013=1,"",E6012)</f>
        <v>23.9</v>
      </c>
      <c r="P6013" s="56" t="n">
        <f aca="false">IF(OR(D6013=1,K6012=""),"",K6012)</f>
        <v>1018.1</v>
      </c>
      <c r="Q6013" s="56" t="n">
        <f aca="false">IF(OR(F6013&lt;&gt;0,AND(I6013&lt;&gt;"",E6013&lt;I6013)),1,0)</f>
        <v>0</v>
      </c>
      <c r="R6013" s="56" t="n">
        <f aca="false">IF(AND(D6013&gt;1,Q6013=0,ISNUMBER(O6013),ISNUMBER(P6013)),IF(Q6012=0,1,0),0)</f>
        <v>1</v>
      </c>
      <c r="S6013" s="56" t="n">
        <f aca="false">R6013*(B6013&gt;=Train_Start)*(B6013&lt;=Train_End)</f>
        <v>0</v>
      </c>
      <c r="T6013" s="84" t="n">
        <f aca="false">IF(AND(ISNUMBER(O6013),ISNUMBER(P6013)),Coef_A+Coef_B1*O6013+Coef_B2*P6013,"")</f>
        <v>23.6068718625798</v>
      </c>
      <c r="U6013" s="84" t="n">
        <f aca="false">IF(AND(R6013=1,ISNUMBER(T6013)),E6013-T6013,"")</f>
        <v>-0.206871862579817</v>
      </c>
      <c r="V6013" s="84" t="n">
        <f aca="false">IF(ISNUMBER(T6013),T6013,-99)</f>
        <v>23.6068718625798</v>
      </c>
      <c r="W6013" s="84" t="n">
        <f aca="false">IF(ISNUMBER(U6013),ABS(U6013),"")</f>
        <v>0.206871862579817</v>
      </c>
    </row>
    <row r="6014" customFormat="false" ht="15" hidden="false" customHeight="false" outlineLevel="0" collapsed="false">
      <c r="A6014" s="57" t="n">
        <v>43266</v>
      </c>
      <c r="B6014" s="56" t="n">
        <v>2018</v>
      </c>
      <c r="C6014" s="56" t="n">
        <v>6</v>
      </c>
      <c r="D6014" s="56" t="n">
        <v>46</v>
      </c>
      <c r="E6014" s="56" t="n">
        <v>20.5</v>
      </c>
      <c r="F6014" s="56" t="n">
        <v>0</v>
      </c>
      <c r="G6014" s="56" t="n">
        <v>11.5</v>
      </c>
      <c r="H6014" s="56" t="n">
        <v>0</v>
      </c>
      <c r="I6014" s="56" t="n">
        <v>17.4</v>
      </c>
      <c r="J6014" s="56" t="n">
        <v>0</v>
      </c>
      <c r="K6014" s="56" t="n">
        <v>1016.3</v>
      </c>
      <c r="L6014" s="56" t="n">
        <v>0</v>
      </c>
      <c r="M6014" s="56" t="n">
        <v>57</v>
      </c>
      <c r="N6014" s="56" t="n">
        <v>9.2</v>
      </c>
      <c r="O6014" s="56" t="n">
        <f aca="false">IF(D6014=1,"",E6013)</f>
        <v>23.4</v>
      </c>
      <c r="P6014" s="56" t="n">
        <f aca="false">IF(OR(D6014=1,K6013=""),"",K6013)</f>
        <v>1012.2</v>
      </c>
      <c r="Q6014" s="56" t="n">
        <f aca="false">IF(OR(F6014&lt;&gt;0,AND(I6014&lt;&gt;"",E6014&lt;I6014)),1,0)</f>
        <v>0</v>
      </c>
      <c r="R6014" s="56" t="n">
        <f aca="false">IF(AND(D6014&gt;1,Q6014=0,ISNUMBER(O6014),ISNUMBER(P6014)),IF(Q6013=0,1,0),0)</f>
        <v>1</v>
      </c>
      <c r="S6014" s="56" t="n">
        <f aca="false">R6014*(B6014&gt;=Train_Start)*(B6014&lt;=Train_End)</f>
        <v>0</v>
      </c>
      <c r="T6014" s="84" t="n">
        <f aca="false">IF(AND(ISNUMBER(O6014),ISNUMBER(P6014)),Coef_A+Coef_B1*O6014+Coef_B2*P6014,"")</f>
        <v>23.0121198877179</v>
      </c>
      <c r="U6014" s="84" t="n">
        <f aca="false">IF(AND(R6014=1,ISNUMBER(T6014)),E6014-T6014,"")</f>
        <v>-2.51211988771795</v>
      </c>
      <c r="V6014" s="84" t="n">
        <f aca="false">IF(ISNUMBER(T6014),T6014,-99)</f>
        <v>23.0121198877179</v>
      </c>
      <c r="W6014" s="84" t="n">
        <f aca="false">IF(ISNUMBER(U6014),ABS(U6014),"")</f>
        <v>2.51211988771795</v>
      </c>
    </row>
    <row r="6015" customFormat="false" ht="15" hidden="false" customHeight="false" outlineLevel="0" collapsed="false">
      <c r="A6015" s="57" t="n">
        <v>43267</v>
      </c>
      <c r="B6015" s="56" t="n">
        <v>2018</v>
      </c>
      <c r="C6015" s="56" t="n">
        <v>6</v>
      </c>
      <c r="D6015" s="56" t="n">
        <v>47</v>
      </c>
      <c r="E6015" s="56" t="n">
        <v>20.1</v>
      </c>
      <c r="F6015" s="56" t="n">
        <v>0</v>
      </c>
      <c r="G6015" s="56" t="n">
        <v>13.9</v>
      </c>
      <c r="H6015" s="56" t="n">
        <v>0</v>
      </c>
      <c r="I6015" s="56" t="n">
        <v>17.2</v>
      </c>
      <c r="J6015" s="56" t="n">
        <v>0</v>
      </c>
      <c r="K6015" s="56" t="n">
        <v>1014.4</v>
      </c>
      <c r="L6015" s="56" t="n">
        <v>0</v>
      </c>
      <c r="M6015" s="56" t="n">
        <v>62</v>
      </c>
      <c r="N6015" s="56" t="n">
        <v>2.6</v>
      </c>
      <c r="O6015" s="56" t="n">
        <f aca="false">IF(D6015=1,"",E6014)</f>
        <v>20.5</v>
      </c>
      <c r="P6015" s="56" t="n">
        <f aca="false">IF(OR(D6015=1,K6014=""),"",K6014)</f>
        <v>1016.3</v>
      </c>
      <c r="Q6015" s="56" t="n">
        <f aca="false">IF(OR(F6015&lt;&gt;0,AND(I6015&lt;&gt;"",E6015&lt;I6015)),1,0)</f>
        <v>0</v>
      </c>
      <c r="R6015" s="56" t="n">
        <f aca="false">IF(AND(D6015&gt;1,Q6015=0,ISNUMBER(O6015),ISNUMBER(P6015)),IF(Q6014=0,1,0),0)</f>
        <v>1</v>
      </c>
      <c r="S6015" s="56" t="n">
        <f aca="false">R6015*(B6015&gt;=Train_Start)*(B6015&lt;=Train_End)</f>
        <v>0</v>
      </c>
      <c r="T6015" s="84" t="n">
        <f aca="false">IF(AND(ISNUMBER(O6015),ISNUMBER(P6015)),Coef_A+Coef_B1*O6015+Coef_B2*P6015,"")</f>
        <v>20.7646527958936</v>
      </c>
      <c r="U6015" s="84" t="n">
        <f aca="false">IF(AND(R6015=1,ISNUMBER(T6015)),E6015-T6015,"")</f>
        <v>-0.664652795893595</v>
      </c>
      <c r="V6015" s="84" t="n">
        <f aca="false">IF(ISNUMBER(T6015),T6015,-99)</f>
        <v>20.7646527958936</v>
      </c>
      <c r="W6015" s="84" t="n">
        <f aca="false">IF(ISNUMBER(U6015),ABS(U6015),"")</f>
        <v>0.664652795893595</v>
      </c>
    </row>
    <row r="6016" customFormat="false" ht="15" hidden="false" customHeight="false" outlineLevel="0" collapsed="false">
      <c r="A6016" s="57" t="n">
        <v>43268</v>
      </c>
      <c r="B6016" s="56" t="n">
        <v>2018</v>
      </c>
      <c r="C6016" s="56" t="n">
        <v>6</v>
      </c>
      <c r="D6016" s="56" t="n">
        <v>48</v>
      </c>
      <c r="E6016" s="56" t="n">
        <v>26.6</v>
      </c>
      <c r="F6016" s="56" t="n">
        <v>0</v>
      </c>
      <c r="G6016" s="56" t="n">
        <v>13.1</v>
      </c>
      <c r="H6016" s="56" t="n">
        <v>0</v>
      </c>
      <c r="I6016" s="56" t="n">
        <v>16.6</v>
      </c>
      <c r="J6016" s="56" t="n">
        <v>0</v>
      </c>
      <c r="K6016" s="56" t="n">
        <v>1016.3</v>
      </c>
      <c r="L6016" s="56" t="n">
        <v>0</v>
      </c>
      <c r="M6016" s="56" t="n">
        <v>74</v>
      </c>
      <c r="N6016" s="56" t="n">
        <v>1.2</v>
      </c>
      <c r="O6016" s="56" t="n">
        <f aca="false">IF(D6016=1,"",E6015)</f>
        <v>20.1</v>
      </c>
      <c r="P6016" s="56" t="n">
        <f aca="false">IF(OR(D6016=1,K6015=""),"",K6015)</f>
        <v>1014.4</v>
      </c>
      <c r="Q6016" s="56" t="n">
        <f aca="false">IF(OR(F6016&lt;&gt;0,AND(I6016&lt;&gt;"",E6016&lt;I6016)),1,0)</f>
        <v>0</v>
      </c>
      <c r="R6016" s="56" t="n">
        <f aca="false">IF(AND(D6016&gt;1,Q6016=0,ISNUMBER(O6016),ISNUMBER(P6016)),IF(Q6015=0,1,0),0)</f>
        <v>1</v>
      </c>
      <c r="S6016" s="56" t="n">
        <f aca="false">R6016*(B6016&gt;=Train_Start)*(B6016&lt;=Train_End)</f>
        <v>0</v>
      </c>
      <c r="T6016" s="84" t="n">
        <f aca="false">IF(AND(ISNUMBER(O6016),ISNUMBER(P6016)),Coef_A+Coef_B1*O6016+Coef_B2*P6016,"")</f>
        <v>20.377314318872</v>
      </c>
      <c r="U6016" s="84" t="n">
        <f aca="false">IF(AND(R6016=1,ISNUMBER(T6016)),E6016-T6016,"")</f>
        <v>6.22268568112805</v>
      </c>
      <c r="V6016" s="84" t="n">
        <f aca="false">IF(ISNUMBER(T6016),T6016,-99)</f>
        <v>20.377314318872</v>
      </c>
      <c r="W6016" s="84" t="n">
        <f aca="false">IF(ISNUMBER(U6016),ABS(U6016),"")</f>
        <v>6.22268568112805</v>
      </c>
    </row>
    <row r="6017" customFormat="false" ht="15" hidden="false" customHeight="false" outlineLevel="0" collapsed="false">
      <c r="A6017" s="57" t="n">
        <v>43269</v>
      </c>
      <c r="B6017" s="56" t="n">
        <v>2018</v>
      </c>
      <c r="C6017" s="56" t="n">
        <v>6</v>
      </c>
      <c r="D6017" s="56" t="n">
        <v>49</v>
      </c>
      <c r="E6017" s="56" t="n">
        <v>24.8</v>
      </c>
      <c r="F6017" s="56" t="n">
        <v>0</v>
      </c>
      <c r="G6017" s="56" t="n">
        <v>14.6</v>
      </c>
      <c r="H6017" s="56" t="n">
        <v>0</v>
      </c>
      <c r="I6017" s="56" t="n">
        <v>20.6</v>
      </c>
      <c r="J6017" s="56" t="n">
        <v>0</v>
      </c>
      <c r="K6017" s="56" t="n">
        <v>1018.8</v>
      </c>
      <c r="L6017" s="56" t="n">
        <v>0</v>
      </c>
      <c r="M6017" s="56" t="n">
        <v>70</v>
      </c>
      <c r="N6017" s="56" t="n">
        <v>7.5</v>
      </c>
      <c r="O6017" s="56" t="n">
        <f aca="false">IF(D6017=1,"",E6016)</f>
        <v>26.6</v>
      </c>
      <c r="P6017" s="56" t="n">
        <f aca="false">IF(OR(D6017=1,K6016=""),"",K6016)</f>
        <v>1016.3</v>
      </c>
      <c r="Q6017" s="56" t="n">
        <f aca="false">IF(OR(F6017&lt;&gt;0,AND(I6017&lt;&gt;"",E6017&lt;I6017)),1,0)</f>
        <v>0</v>
      </c>
      <c r="R6017" s="56" t="n">
        <f aca="false">IF(AND(D6017&gt;1,Q6017=0,ISNUMBER(O6017),ISNUMBER(P6017)),IF(Q6016=0,1,0),0)</f>
        <v>1</v>
      </c>
      <c r="S6017" s="56" t="n">
        <f aca="false">R6017*(B6017&gt;=Train_Start)*(B6017&lt;=Train_End)</f>
        <v>0</v>
      </c>
      <c r="T6017" s="84" t="n">
        <f aca="false">IF(AND(ISNUMBER(O6017),ISNUMBER(P6017)),Coef_A+Coef_B1*O6017+Coef_B2*P6017,"")</f>
        <v>25.7626218734538</v>
      </c>
      <c r="U6017" s="84" t="n">
        <f aca="false">IF(AND(R6017=1,ISNUMBER(T6017)),E6017-T6017,"")</f>
        <v>-0.962621873453809</v>
      </c>
      <c r="V6017" s="84" t="n">
        <f aca="false">IF(ISNUMBER(T6017),T6017,-99)</f>
        <v>25.7626218734538</v>
      </c>
      <c r="W6017" s="84" t="n">
        <f aca="false">IF(ISNUMBER(U6017),ABS(U6017),"")</f>
        <v>0.962621873453809</v>
      </c>
    </row>
    <row r="6018" customFormat="false" ht="15" hidden="false" customHeight="false" outlineLevel="0" collapsed="false">
      <c r="A6018" s="57" t="n">
        <v>43270</v>
      </c>
      <c r="B6018" s="56" t="n">
        <v>2018</v>
      </c>
      <c r="C6018" s="56" t="n">
        <v>6</v>
      </c>
      <c r="D6018" s="56" t="n">
        <v>50</v>
      </c>
      <c r="E6018" s="56" t="n">
        <v>26.1</v>
      </c>
      <c r="F6018" s="56" t="n">
        <v>0</v>
      </c>
      <c r="G6018" s="56" t="n">
        <v>17.2</v>
      </c>
      <c r="H6018" s="56" t="n">
        <v>0</v>
      </c>
      <c r="I6018" s="56" t="n">
        <v>21</v>
      </c>
      <c r="J6018" s="56" t="n">
        <v>0</v>
      </c>
      <c r="K6018" s="56" t="n">
        <v>1022.5</v>
      </c>
      <c r="L6018" s="56" t="n">
        <v>0</v>
      </c>
      <c r="M6018" s="56" t="n">
        <v>71</v>
      </c>
      <c r="N6018" s="56" t="n">
        <v>2.1</v>
      </c>
      <c r="O6018" s="56" t="n">
        <f aca="false">IF(D6018=1,"",E6017)</f>
        <v>24.8</v>
      </c>
      <c r="P6018" s="56" t="n">
        <f aca="false">IF(OR(D6018=1,K6017=""),"",K6017)</f>
        <v>1018.8</v>
      </c>
      <c r="Q6018" s="56" t="n">
        <f aca="false">IF(OR(F6018&lt;&gt;0,AND(I6018&lt;&gt;"",E6018&lt;I6018)),1,0)</f>
        <v>0</v>
      </c>
      <c r="R6018" s="56" t="n">
        <f aca="false">IF(AND(D6018&gt;1,Q6018=0,ISNUMBER(O6018),ISNUMBER(P6018)),IF(Q6017=0,1,0),0)</f>
        <v>1</v>
      </c>
      <c r="S6018" s="56" t="n">
        <f aca="false">R6018*(B6018&gt;=Train_Start)*(B6018&lt;=Train_End)</f>
        <v>0</v>
      </c>
      <c r="T6018" s="84" t="n">
        <f aca="false">IF(AND(ISNUMBER(O6018),ISNUMBER(P6018)),Coef_A+Coef_B1*O6018+Coef_B2*P6018,"")</f>
        <v>24.366236062562</v>
      </c>
      <c r="U6018" s="84" t="n">
        <f aca="false">IF(AND(R6018=1,ISNUMBER(T6018)),E6018-T6018,"")</f>
        <v>1.733763937438</v>
      </c>
      <c r="V6018" s="84" t="n">
        <f aca="false">IF(ISNUMBER(T6018),T6018,-99)</f>
        <v>24.366236062562</v>
      </c>
      <c r="W6018" s="84" t="n">
        <f aca="false">IF(ISNUMBER(U6018),ABS(U6018),"")</f>
        <v>1.733763937438</v>
      </c>
    </row>
    <row r="6019" customFormat="false" ht="15" hidden="false" customHeight="false" outlineLevel="0" collapsed="false">
      <c r="A6019" s="57" t="n">
        <v>43271</v>
      </c>
      <c r="B6019" s="56" t="n">
        <v>2018</v>
      </c>
      <c r="C6019" s="56" t="n">
        <v>6</v>
      </c>
      <c r="D6019" s="56" t="n">
        <v>51</v>
      </c>
      <c r="E6019" s="56" t="n">
        <v>20.6</v>
      </c>
      <c r="F6019" s="56" t="n">
        <v>0</v>
      </c>
      <c r="G6019" s="56" t="n">
        <v>14.7</v>
      </c>
      <c r="H6019" s="56" t="n">
        <v>0</v>
      </c>
      <c r="I6019" s="56" t="n">
        <v>20.4</v>
      </c>
      <c r="J6019" s="56" t="n">
        <v>0</v>
      </c>
      <c r="K6019" s="56" t="n">
        <v>1020.4</v>
      </c>
      <c r="L6019" s="56" t="n">
        <v>0</v>
      </c>
      <c r="M6019" s="56" t="n">
        <v>76</v>
      </c>
      <c r="N6019" s="56" t="n">
        <v>4.2</v>
      </c>
      <c r="O6019" s="56" t="n">
        <f aca="false">IF(D6019=1,"",E6018)</f>
        <v>26.1</v>
      </c>
      <c r="P6019" s="56" t="n">
        <f aca="false">IF(OR(D6019=1,K6018=""),"",K6018)</f>
        <v>1022.5</v>
      </c>
      <c r="Q6019" s="56" t="n">
        <f aca="false">IF(OR(F6019&lt;&gt;0,AND(I6019&lt;&gt;"",E6019&lt;I6019)),1,0)</f>
        <v>0</v>
      </c>
      <c r="R6019" s="56" t="n">
        <f aca="false">IF(AND(D6019&gt;1,Q6019=0,ISNUMBER(O6019),ISNUMBER(P6019)),IF(Q6018=0,1,0),0)</f>
        <v>1</v>
      </c>
      <c r="S6019" s="56" t="n">
        <f aca="false">R6019*(B6019&gt;=Train_Start)*(B6019&lt;=Train_End)</f>
        <v>0</v>
      </c>
      <c r="T6019" s="84" t="n">
        <f aca="false">IF(AND(ISNUMBER(O6019),ISNUMBER(P6019)),Coef_A+Coef_B1*O6019+Coef_B2*P6019,"")</f>
        <v>25.5474456236632</v>
      </c>
      <c r="U6019" s="84" t="n">
        <f aca="false">IF(AND(R6019=1,ISNUMBER(T6019)),E6019-T6019,"")</f>
        <v>-4.94744562366322</v>
      </c>
      <c r="V6019" s="84" t="n">
        <f aca="false">IF(ISNUMBER(T6019),T6019,-99)</f>
        <v>25.5474456236632</v>
      </c>
      <c r="W6019" s="84" t="n">
        <f aca="false">IF(ISNUMBER(U6019),ABS(U6019),"")</f>
        <v>4.94744562366322</v>
      </c>
    </row>
    <row r="6020" customFormat="false" ht="15" hidden="false" customHeight="false" outlineLevel="0" collapsed="false">
      <c r="A6020" s="57" t="n">
        <v>43272</v>
      </c>
      <c r="B6020" s="56" t="n">
        <v>2018</v>
      </c>
      <c r="C6020" s="56" t="n">
        <v>6</v>
      </c>
      <c r="D6020" s="56" t="n">
        <v>52</v>
      </c>
      <c r="E6020" s="56" t="n">
        <v>22.9</v>
      </c>
      <c r="F6020" s="56" t="n">
        <v>0</v>
      </c>
      <c r="G6020" s="56" t="n">
        <v>10.7</v>
      </c>
      <c r="H6020" s="56" t="n">
        <v>0</v>
      </c>
      <c r="I6020" s="56" t="n">
        <v>15.7</v>
      </c>
      <c r="J6020" s="56" t="n">
        <v>0</v>
      </c>
      <c r="K6020" s="56" t="n">
        <v>1025.7</v>
      </c>
      <c r="L6020" s="56" t="n">
        <v>0</v>
      </c>
      <c r="M6020" s="56" t="n">
        <v>48</v>
      </c>
      <c r="N6020" s="56" t="n">
        <v>12.1</v>
      </c>
      <c r="O6020" s="56" t="n">
        <f aca="false">IF(D6020=1,"",E6019)</f>
        <v>20.6</v>
      </c>
      <c r="P6020" s="56" t="n">
        <f aca="false">IF(OR(D6020=1,K6019=""),"",K6019)</f>
        <v>1020.4</v>
      </c>
      <c r="Q6020" s="56" t="n">
        <f aca="false">IF(OR(F6020&lt;&gt;0,AND(I6020&lt;&gt;"",E6020&lt;I6020)),1,0)</f>
        <v>0</v>
      </c>
      <c r="R6020" s="56" t="n">
        <f aca="false">IF(AND(D6020&gt;1,Q6020=0,ISNUMBER(O6020),ISNUMBER(P6020)),IF(Q6019=0,1,0),0)</f>
        <v>1</v>
      </c>
      <c r="S6020" s="56" t="n">
        <f aca="false">R6020*(B6020&gt;=Train_Start)*(B6020&lt;=Train_End)</f>
        <v>0</v>
      </c>
      <c r="T6020" s="84" t="n">
        <f aca="false">IF(AND(ISNUMBER(O6020),ISNUMBER(P6020)),Coef_A+Coef_B1*O6020+Coef_B2*P6020,"")</f>
        <v>20.9752032831972</v>
      </c>
      <c r="U6020" s="84" t="n">
        <f aca="false">IF(AND(R6020=1,ISNUMBER(T6020)),E6020-T6020,"")</f>
        <v>1.92479671680277</v>
      </c>
      <c r="V6020" s="84" t="n">
        <f aca="false">IF(ISNUMBER(T6020),T6020,-99)</f>
        <v>20.9752032831972</v>
      </c>
      <c r="W6020" s="84" t="n">
        <f aca="false">IF(ISNUMBER(U6020),ABS(U6020),"")</f>
        <v>1.92479671680277</v>
      </c>
    </row>
    <row r="6021" customFormat="false" ht="15" hidden="false" customHeight="false" outlineLevel="0" collapsed="false">
      <c r="A6021" s="57" t="n">
        <v>43273</v>
      </c>
      <c r="B6021" s="56" t="n">
        <v>2018</v>
      </c>
      <c r="C6021" s="56" t="n">
        <v>6</v>
      </c>
      <c r="D6021" s="56" t="n">
        <v>53</v>
      </c>
      <c r="E6021" s="56" t="n">
        <v>24.1</v>
      </c>
      <c r="F6021" s="56" t="n">
        <v>0</v>
      </c>
      <c r="G6021" s="56" t="n">
        <v>8.8</v>
      </c>
      <c r="H6021" s="56" t="n">
        <v>0</v>
      </c>
      <c r="I6021" s="56" t="n">
        <v>15.8</v>
      </c>
      <c r="J6021" s="56" t="n">
        <v>0</v>
      </c>
      <c r="K6021" s="56" t="n">
        <v>1030.2</v>
      </c>
      <c r="L6021" s="56" t="n">
        <v>0</v>
      </c>
      <c r="M6021" s="56" t="n">
        <v>52</v>
      </c>
      <c r="N6021" s="56" t="n">
        <v>14.1</v>
      </c>
      <c r="O6021" s="56" t="n">
        <f aca="false">IF(D6021=1,"",E6020)</f>
        <v>22.9</v>
      </c>
      <c r="P6021" s="56" t="n">
        <f aca="false">IF(OR(D6021=1,K6020=""),"",K6020)</f>
        <v>1025.7</v>
      </c>
      <c r="Q6021" s="56" t="n">
        <f aca="false">IF(OR(F6021&lt;&gt;0,AND(I6021&lt;&gt;"",E6021&lt;I6021)),1,0)</f>
        <v>0</v>
      </c>
      <c r="R6021" s="56" t="n">
        <f aca="false">IF(AND(D6021&gt;1,Q6021=0,ISNUMBER(O6021),ISNUMBER(P6021)),IF(Q6020=0,1,0),0)</f>
        <v>1</v>
      </c>
      <c r="S6021" s="56" t="n">
        <f aca="false">R6021*(B6021&gt;=Train_Start)*(B6021&lt;=Train_End)</f>
        <v>0</v>
      </c>
      <c r="T6021" s="84" t="n">
        <f aca="false">IF(AND(ISNUMBER(O6021),ISNUMBER(P6021)),Coef_A+Coef_B1*O6021+Coef_B2*P6021,"")</f>
        <v>23.0259438687555</v>
      </c>
      <c r="U6021" s="84" t="n">
        <f aca="false">IF(AND(R6021=1,ISNUMBER(T6021)),E6021-T6021,"")</f>
        <v>1.07405613124453</v>
      </c>
      <c r="V6021" s="84" t="n">
        <f aca="false">IF(ISNUMBER(T6021),T6021,-99)</f>
        <v>23.0259438687555</v>
      </c>
      <c r="W6021" s="84" t="n">
        <f aca="false">IF(ISNUMBER(U6021),ABS(U6021),"")</f>
        <v>1.07405613124453</v>
      </c>
    </row>
    <row r="6022" customFormat="false" ht="15" hidden="false" customHeight="false" outlineLevel="0" collapsed="false">
      <c r="A6022" s="57" t="n">
        <v>43274</v>
      </c>
      <c r="B6022" s="56" t="n">
        <v>2018</v>
      </c>
      <c r="C6022" s="56" t="n">
        <v>6</v>
      </c>
      <c r="D6022" s="56" t="n">
        <v>54</v>
      </c>
      <c r="E6022" s="56" t="n">
        <v>26.5</v>
      </c>
      <c r="F6022" s="56" t="n">
        <v>0</v>
      </c>
      <c r="G6022" s="56" t="n">
        <v>11.6</v>
      </c>
      <c r="H6022" s="56" t="n">
        <v>0</v>
      </c>
      <c r="I6022" s="56" t="n">
        <v>17.9</v>
      </c>
      <c r="J6022" s="56" t="n">
        <v>0</v>
      </c>
      <c r="K6022" s="56" t="n">
        <v>1028.1</v>
      </c>
      <c r="L6022" s="56" t="n">
        <v>0</v>
      </c>
      <c r="M6022" s="56" t="n">
        <v>50</v>
      </c>
      <c r="N6022" s="56" t="n">
        <v>10.4</v>
      </c>
      <c r="O6022" s="56" t="n">
        <f aca="false">IF(D6022=1,"",E6021)</f>
        <v>24.1</v>
      </c>
      <c r="P6022" s="56" t="n">
        <f aca="false">IF(OR(D6022=1,K6021=""),"",K6021)</f>
        <v>1030.2</v>
      </c>
      <c r="Q6022" s="56" t="n">
        <f aca="false">IF(OR(F6022&lt;&gt;0,AND(I6022&lt;&gt;"",E6022&lt;I6022)),1,0)</f>
        <v>0</v>
      </c>
      <c r="R6022" s="56" t="n">
        <f aca="false">IF(AND(D6022&gt;1,Q6022=0,ISNUMBER(O6022),ISNUMBER(P6022)),IF(Q6021=0,1,0),0)</f>
        <v>1</v>
      </c>
      <c r="S6022" s="56" t="n">
        <f aca="false">R6022*(B6022&gt;=Train_Start)*(B6022&lt;=Train_End)</f>
        <v>0</v>
      </c>
      <c r="T6022" s="84" t="n">
        <f aca="false">IF(AND(ISNUMBER(O6022),ISNUMBER(P6022)),Coef_A+Coef_B1*O6022+Coef_B2*P6022,"")</f>
        <v>24.1503154262596</v>
      </c>
      <c r="U6022" s="84" t="n">
        <f aca="false">IF(AND(R6022=1,ISNUMBER(T6022)),E6022-T6022,"")</f>
        <v>2.34968457374038</v>
      </c>
      <c r="V6022" s="84" t="n">
        <f aca="false">IF(ISNUMBER(T6022),T6022,-99)</f>
        <v>24.1503154262596</v>
      </c>
      <c r="W6022" s="84" t="n">
        <f aca="false">IF(ISNUMBER(U6022),ABS(U6022),"")</f>
        <v>2.34968457374038</v>
      </c>
    </row>
    <row r="6023" customFormat="false" ht="15" hidden="false" customHeight="false" outlineLevel="0" collapsed="false">
      <c r="A6023" s="57" t="n">
        <v>43275</v>
      </c>
      <c r="B6023" s="56" t="n">
        <v>2018</v>
      </c>
      <c r="C6023" s="56" t="n">
        <v>6</v>
      </c>
      <c r="D6023" s="56" t="n">
        <v>55</v>
      </c>
      <c r="E6023" s="56" t="n">
        <v>29.8</v>
      </c>
      <c r="F6023" s="56" t="n">
        <v>0</v>
      </c>
      <c r="G6023" s="56" t="n">
        <v>13.1</v>
      </c>
      <c r="H6023" s="56" t="n">
        <v>0</v>
      </c>
      <c r="I6023" s="56" t="n">
        <v>19.8</v>
      </c>
      <c r="J6023" s="56" t="n">
        <v>0</v>
      </c>
      <c r="K6023" s="56" t="n">
        <v>1025.1</v>
      </c>
      <c r="L6023" s="56" t="n">
        <v>0</v>
      </c>
      <c r="M6023" s="56" t="n">
        <v>45</v>
      </c>
      <c r="N6023" s="56" t="n">
        <v>14</v>
      </c>
      <c r="O6023" s="56" t="n">
        <f aca="false">IF(D6023=1,"",E6022)</f>
        <v>26.5</v>
      </c>
      <c r="P6023" s="56" t="n">
        <f aca="false">IF(OR(D6023=1,K6022=""),"",K6022)</f>
        <v>1028.1</v>
      </c>
      <c r="Q6023" s="56" t="n">
        <f aca="false">IF(OR(F6023&lt;&gt;0,AND(I6023&lt;&gt;"",E6023&lt;I6023)),1,0)</f>
        <v>0</v>
      </c>
      <c r="R6023" s="56" t="n">
        <f aca="false">IF(AND(D6023&gt;1,Q6023=0,ISNUMBER(O6023),ISNUMBER(P6023)),IF(Q6022=0,1,0),0)</f>
        <v>1</v>
      </c>
      <c r="S6023" s="56" t="n">
        <f aca="false">R6023*(B6023&gt;=Train_Start)*(B6023&lt;=Train_End)</f>
        <v>0</v>
      </c>
      <c r="T6023" s="84" t="n">
        <f aca="false">IF(AND(ISNUMBER(O6023),ISNUMBER(P6023)),Coef_A+Coef_B1*O6023+Coef_B2*P6023,"")</f>
        <v>26.0508527108306</v>
      </c>
      <c r="U6023" s="84" t="n">
        <f aca="false">IF(AND(R6023=1,ISNUMBER(T6023)),E6023-T6023,"")</f>
        <v>3.74914728916939</v>
      </c>
      <c r="V6023" s="84" t="n">
        <f aca="false">IF(ISNUMBER(T6023),T6023,-99)</f>
        <v>26.0508527108306</v>
      </c>
      <c r="W6023" s="84" t="n">
        <f aca="false">IF(ISNUMBER(U6023),ABS(U6023),"")</f>
        <v>3.74914728916939</v>
      </c>
    </row>
    <row r="6024" customFormat="false" ht="15" hidden="false" customHeight="false" outlineLevel="0" collapsed="false">
      <c r="A6024" s="57" t="n">
        <v>43276</v>
      </c>
      <c r="B6024" s="56" t="n">
        <v>2018</v>
      </c>
      <c r="C6024" s="56" t="n">
        <v>6</v>
      </c>
      <c r="D6024" s="56" t="n">
        <v>56</v>
      </c>
      <c r="E6024" s="56" t="n">
        <v>29.1</v>
      </c>
      <c r="F6024" s="56" t="n">
        <v>0</v>
      </c>
      <c r="G6024" s="56" t="n">
        <v>13.9</v>
      </c>
      <c r="H6024" s="56" t="n">
        <v>0</v>
      </c>
      <c r="I6024" s="56" t="n">
        <v>21.9</v>
      </c>
      <c r="J6024" s="56" t="n">
        <v>0</v>
      </c>
      <c r="K6024" s="56" t="n">
        <v>1025.6</v>
      </c>
      <c r="L6024" s="56" t="n">
        <v>0</v>
      </c>
      <c r="M6024" s="56" t="n">
        <v>46</v>
      </c>
      <c r="N6024" s="56" t="n">
        <v>14.4</v>
      </c>
      <c r="O6024" s="56" t="n">
        <f aca="false">IF(D6024=1,"",E6023)</f>
        <v>29.8</v>
      </c>
      <c r="P6024" s="56" t="n">
        <f aca="false">IF(OR(D6024=1,K6023=""),"",K6023)</f>
        <v>1025.1</v>
      </c>
      <c r="Q6024" s="56" t="n">
        <f aca="false">IF(OR(F6024&lt;&gt;0,AND(I6024&lt;&gt;"",E6024&lt;I6024)),1,0)</f>
        <v>0</v>
      </c>
      <c r="R6024" s="56" t="n">
        <f aca="false">IF(AND(D6024&gt;1,Q6024=0,ISNUMBER(O6024),ISNUMBER(P6024)),IF(Q6023=0,1,0),0)</f>
        <v>1</v>
      </c>
      <c r="S6024" s="56" t="n">
        <f aca="false">R6024*(B6024&gt;=Train_Start)*(B6024&lt;=Train_End)</f>
        <v>0</v>
      </c>
      <c r="T6024" s="84" t="n">
        <f aca="false">IF(AND(ISNUMBER(O6024),ISNUMBER(P6024)),Coef_A+Coef_B1*O6024+Coef_B2*P6024,"")</f>
        <v>28.6605623639694</v>
      </c>
      <c r="U6024" s="84" t="n">
        <f aca="false">IF(AND(R6024=1,ISNUMBER(T6024)),E6024-T6024,"")</f>
        <v>0.439437636030586</v>
      </c>
      <c r="V6024" s="84" t="n">
        <f aca="false">IF(ISNUMBER(T6024),T6024,-99)</f>
        <v>28.6605623639694</v>
      </c>
      <c r="W6024" s="84" t="n">
        <f aca="false">IF(ISNUMBER(U6024),ABS(U6024),"")</f>
        <v>0.439437636030586</v>
      </c>
    </row>
    <row r="6025" customFormat="false" ht="15" hidden="false" customHeight="false" outlineLevel="0" collapsed="false">
      <c r="A6025" s="57" t="n">
        <v>43277</v>
      </c>
      <c r="B6025" s="56" t="n">
        <v>2018</v>
      </c>
      <c r="C6025" s="56" t="n">
        <v>6</v>
      </c>
      <c r="D6025" s="56" t="n">
        <v>57</v>
      </c>
      <c r="E6025" s="56" t="n">
        <v>27.9</v>
      </c>
      <c r="F6025" s="56" t="n">
        <v>0</v>
      </c>
      <c r="G6025" s="56" t="n">
        <v>15.2</v>
      </c>
      <c r="H6025" s="56" t="n">
        <v>0</v>
      </c>
      <c r="I6025" s="56" t="n">
        <v>22.1</v>
      </c>
      <c r="J6025" s="56" t="n">
        <v>0</v>
      </c>
      <c r="K6025" s="56" t="n">
        <v>1026</v>
      </c>
      <c r="L6025" s="56" t="n">
        <v>0</v>
      </c>
      <c r="M6025" s="56" t="n">
        <v>52</v>
      </c>
      <c r="N6025" s="56" t="n">
        <v>14.5</v>
      </c>
      <c r="O6025" s="56" t="n">
        <f aca="false">IF(D6025=1,"",E6024)</f>
        <v>29.1</v>
      </c>
      <c r="P6025" s="56" t="n">
        <f aca="false">IF(OR(D6025=1,K6024=""),"",K6024)</f>
        <v>1025.6</v>
      </c>
      <c r="Q6025" s="56" t="n">
        <f aca="false">IF(OR(F6025&lt;&gt;0,AND(I6025&lt;&gt;"",E6025&lt;I6025)),1,0)</f>
        <v>0</v>
      </c>
      <c r="R6025" s="56" t="n">
        <f aca="false">IF(AND(D6025&gt;1,Q6025=0,ISNUMBER(O6025),ISNUMBER(P6025)),IF(Q6024=0,1,0),0)</f>
        <v>1</v>
      </c>
      <c r="S6025" s="56" t="n">
        <f aca="false">R6025*(B6025&gt;=Train_Start)*(B6025&lt;=Train_End)</f>
        <v>0</v>
      </c>
      <c r="T6025" s="84" t="n">
        <f aca="false">IF(AND(ISNUMBER(O6025),ISNUMBER(P6025)),Coef_A+Coef_B1*O6025+Coef_B2*P6025,"")</f>
        <v>28.1027098761566</v>
      </c>
      <c r="U6025" s="84" t="n">
        <f aca="false">IF(AND(R6025=1,ISNUMBER(T6025)),E6025-T6025,"")</f>
        <v>-0.202709876156554</v>
      </c>
      <c r="V6025" s="84" t="n">
        <f aca="false">IF(ISNUMBER(T6025),T6025,-99)</f>
        <v>28.1027098761566</v>
      </c>
      <c r="W6025" s="84" t="n">
        <f aca="false">IF(ISNUMBER(U6025),ABS(U6025),"")</f>
        <v>0.202709876156554</v>
      </c>
    </row>
    <row r="6026" customFormat="false" ht="15" hidden="false" customHeight="false" outlineLevel="0" collapsed="false">
      <c r="A6026" s="57" t="n">
        <v>43278</v>
      </c>
      <c r="B6026" s="56" t="n">
        <v>2018</v>
      </c>
      <c r="C6026" s="56" t="n">
        <v>6</v>
      </c>
      <c r="D6026" s="56" t="n">
        <v>58</v>
      </c>
      <c r="E6026" s="56" t="n">
        <v>28.3</v>
      </c>
      <c r="F6026" s="56" t="n">
        <v>0</v>
      </c>
      <c r="G6026" s="56" t="n">
        <v>13</v>
      </c>
      <c r="H6026" s="56" t="n">
        <v>0</v>
      </c>
      <c r="I6026" s="56" t="n">
        <v>20.4</v>
      </c>
      <c r="J6026" s="56" t="n">
        <v>0</v>
      </c>
      <c r="K6026" s="56" t="n">
        <v>1025.7</v>
      </c>
      <c r="L6026" s="56" t="n">
        <v>0</v>
      </c>
      <c r="M6026" s="56" t="n">
        <v>59</v>
      </c>
      <c r="N6026" s="56" t="n">
        <v>10.7</v>
      </c>
      <c r="O6026" s="56" t="n">
        <f aca="false">IF(D6026=1,"",E6025)</f>
        <v>27.9</v>
      </c>
      <c r="P6026" s="56" t="n">
        <f aca="false">IF(OR(D6026=1,K6025=""),"",K6025)</f>
        <v>1026</v>
      </c>
      <c r="Q6026" s="56" t="n">
        <f aca="false">IF(OR(F6026&lt;&gt;0,AND(I6026&lt;&gt;"",E6026&lt;I6026)),1,0)</f>
        <v>0</v>
      </c>
      <c r="R6026" s="56" t="n">
        <f aca="false">IF(AND(D6026&gt;1,Q6026=0,ISNUMBER(O6026),ISNUMBER(P6026)),IF(Q6025=0,1,0),0)</f>
        <v>1</v>
      </c>
      <c r="S6026" s="56" t="n">
        <f aca="false">R6026*(B6026&gt;=Train_Start)*(B6026&lt;=Train_End)</f>
        <v>0</v>
      </c>
      <c r="T6026" s="84" t="n">
        <f aca="false">IF(AND(ISNUMBER(O6026),ISNUMBER(P6026)),Coef_A+Coef_B1*O6026+Coef_B2*P6026,"")</f>
        <v>27.132050802359</v>
      </c>
      <c r="U6026" s="84" t="n">
        <f aca="false">IF(AND(R6026=1,ISNUMBER(T6026)),E6026-T6026,"")</f>
        <v>1.16794919764104</v>
      </c>
      <c r="V6026" s="84" t="n">
        <f aca="false">IF(ISNUMBER(T6026),T6026,-99)</f>
        <v>27.132050802359</v>
      </c>
      <c r="W6026" s="84" t="n">
        <f aca="false">IF(ISNUMBER(U6026),ABS(U6026),"")</f>
        <v>1.16794919764104</v>
      </c>
    </row>
    <row r="6027" customFormat="false" ht="15" hidden="false" customHeight="false" outlineLevel="0" collapsed="false">
      <c r="A6027" s="57" t="n">
        <v>43279</v>
      </c>
      <c r="B6027" s="56" t="n">
        <v>2018</v>
      </c>
      <c r="C6027" s="56" t="n">
        <v>6</v>
      </c>
      <c r="D6027" s="56" t="n">
        <v>59</v>
      </c>
      <c r="E6027" s="56" t="n">
        <v>28.8</v>
      </c>
      <c r="F6027" s="56" t="n">
        <v>0</v>
      </c>
      <c r="G6027" s="56" t="n">
        <v>12.7</v>
      </c>
      <c r="H6027" s="56" t="n">
        <v>0</v>
      </c>
      <c r="I6027" s="56" t="n">
        <v>20.5</v>
      </c>
      <c r="J6027" s="56" t="n">
        <v>0</v>
      </c>
      <c r="K6027" s="56" t="n">
        <v>1024.5</v>
      </c>
      <c r="L6027" s="56" t="n">
        <v>0</v>
      </c>
      <c r="M6027" s="56" t="n">
        <v>63</v>
      </c>
      <c r="N6027" s="56" t="n">
        <v>7.3</v>
      </c>
      <c r="O6027" s="56" t="n">
        <f aca="false">IF(D6027=1,"",E6026)</f>
        <v>28.3</v>
      </c>
      <c r="P6027" s="56" t="n">
        <f aca="false">IF(OR(D6027=1,K6026=""),"",K6026)</f>
        <v>1025.7</v>
      </c>
      <c r="Q6027" s="56" t="n">
        <f aca="false">IF(OR(F6027&lt;&gt;0,AND(I6027&lt;&gt;"",E6027&lt;I6027)),1,0)</f>
        <v>0</v>
      </c>
      <c r="R6027" s="56" t="n">
        <f aca="false">IF(AND(D6027&gt;1,Q6027=0,ISNUMBER(O6027),ISNUMBER(P6027)),IF(Q6026=0,1,0),0)</f>
        <v>1</v>
      </c>
      <c r="S6027" s="56" t="n">
        <f aca="false">R6027*(B6027&gt;=Train_Start)*(B6027&lt;=Train_End)</f>
        <v>0</v>
      </c>
      <c r="T6027" s="84" t="n">
        <f aca="false">IF(AND(ISNUMBER(O6027),ISNUMBER(P6027)),Coef_A+Coef_B1*O6027+Coef_B2*P6027,"")</f>
        <v>27.4503755111858</v>
      </c>
      <c r="U6027" s="84" t="n">
        <f aca="false">IF(AND(R6027=1,ISNUMBER(T6027)),E6027-T6027,"")</f>
        <v>1.34962448881418</v>
      </c>
      <c r="V6027" s="84" t="n">
        <f aca="false">IF(ISNUMBER(T6027),T6027,-99)</f>
        <v>27.4503755111858</v>
      </c>
      <c r="W6027" s="84" t="n">
        <f aca="false">IF(ISNUMBER(U6027),ABS(U6027),"")</f>
        <v>1.34962448881418</v>
      </c>
    </row>
    <row r="6028" customFormat="false" ht="15" hidden="false" customHeight="false" outlineLevel="0" collapsed="false">
      <c r="A6028" s="57" t="n">
        <v>43280</v>
      </c>
      <c r="B6028" s="56" t="n">
        <v>2018</v>
      </c>
      <c r="C6028" s="56" t="n">
        <v>6</v>
      </c>
      <c r="D6028" s="56" t="n">
        <v>60</v>
      </c>
      <c r="E6028" s="56" t="n">
        <v>28.8</v>
      </c>
      <c r="F6028" s="56" t="n">
        <v>0</v>
      </c>
      <c r="G6028" s="56" t="n">
        <v>13.1</v>
      </c>
      <c r="H6028" s="56" t="n">
        <v>0</v>
      </c>
      <c r="I6028" s="56" t="n">
        <v>20.9</v>
      </c>
      <c r="J6028" s="56" t="n">
        <v>0</v>
      </c>
      <c r="K6028" s="56" t="n">
        <v>1021.9</v>
      </c>
      <c r="L6028" s="56" t="n">
        <v>0</v>
      </c>
      <c r="M6028" s="56" t="n">
        <v>59</v>
      </c>
      <c r="N6028" s="56" t="n">
        <v>14.1</v>
      </c>
      <c r="O6028" s="56" t="n">
        <f aca="false">IF(D6028=1,"",E6027)</f>
        <v>28.8</v>
      </c>
      <c r="P6028" s="56" t="n">
        <f aca="false">IF(OR(D6028=1,K6027=""),"",K6027)</f>
        <v>1024.5</v>
      </c>
      <c r="Q6028" s="56" t="n">
        <f aca="false">IF(OR(F6028&lt;&gt;0,AND(I6028&lt;&gt;"",E6028&lt;I6028)),1,0)</f>
        <v>0</v>
      </c>
      <c r="R6028" s="56" t="n">
        <f aca="false">IF(AND(D6028&gt;1,Q6028=0,ISNUMBER(O6028),ISNUMBER(P6028)),IF(Q6027=0,1,0),0)</f>
        <v>1</v>
      </c>
      <c r="S6028" s="56" t="n">
        <f aca="false">R6028*(B6028&gt;=Train_Start)*(B6028&lt;=Train_End)</f>
        <v>0</v>
      </c>
      <c r="T6028" s="84" t="n">
        <f aca="false">IF(AND(ISNUMBER(O6028),ISNUMBER(P6028)),Coef_A+Coef_B1*O6028+Coef_B2*P6028,"")</f>
        <v>27.8224012341464</v>
      </c>
      <c r="U6028" s="84" t="n">
        <f aca="false">IF(AND(R6028=1,ISNUMBER(T6028)),E6028-T6028,"")</f>
        <v>0.977598765853635</v>
      </c>
      <c r="V6028" s="84" t="n">
        <f aca="false">IF(ISNUMBER(T6028),T6028,-99)</f>
        <v>27.8224012341464</v>
      </c>
      <c r="W6028" s="84" t="n">
        <f aca="false">IF(ISNUMBER(U6028),ABS(U6028),"")</f>
        <v>0.977598765853635</v>
      </c>
    </row>
    <row r="6029" customFormat="false" ht="15" hidden="false" customHeight="false" outlineLevel="0" collapsed="false">
      <c r="A6029" s="57" t="n">
        <v>43281</v>
      </c>
      <c r="B6029" s="56" t="n">
        <v>2018</v>
      </c>
      <c r="C6029" s="56" t="n">
        <v>6</v>
      </c>
      <c r="D6029" s="56" t="n">
        <v>61</v>
      </c>
      <c r="E6029" s="56" t="n">
        <v>31.8</v>
      </c>
      <c r="F6029" s="56" t="n">
        <v>0</v>
      </c>
      <c r="G6029" s="56" t="n">
        <v>13.1</v>
      </c>
      <c r="H6029" s="56" t="n">
        <v>0</v>
      </c>
      <c r="I6029" s="56" t="n">
        <v>20.9</v>
      </c>
      <c r="J6029" s="56" t="n">
        <v>0</v>
      </c>
      <c r="K6029" s="56" t="n">
        <v>1016.2</v>
      </c>
      <c r="L6029" s="56" t="n">
        <v>0</v>
      </c>
      <c r="M6029" s="56" t="n">
        <v>54</v>
      </c>
      <c r="N6029" s="56" t="n">
        <v>12.6</v>
      </c>
      <c r="O6029" s="56" t="n">
        <f aca="false">IF(D6029=1,"",E6028)</f>
        <v>28.8</v>
      </c>
      <c r="P6029" s="56" t="n">
        <f aca="false">IF(OR(D6029=1,K6028=""),"",K6028)</f>
        <v>1021.9</v>
      </c>
      <c r="Q6029" s="56" t="n">
        <f aca="false">IF(OR(F6029&lt;&gt;0,AND(I6029&lt;&gt;"",E6029&lt;I6029)),1,0)</f>
        <v>0</v>
      </c>
      <c r="R6029" s="56" t="n">
        <f aca="false">IF(AND(D6029&gt;1,Q6029=0,ISNUMBER(O6029),ISNUMBER(P6029)),IF(Q6028=0,1,0),0)</f>
        <v>1</v>
      </c>
      <c r="S6029" s="56" t="n">
        <f aca="false">R6029*(B6029&gt;=Train_Start)*(B6029&lt;=Train_End)</f>
        <v>0</v>
      </c>
      <c r="T6029" s="84" t="n">
        <f aca="false">IF(AND(ISNUMBER(O6029),ISNUMBER(P6029)),Coef_A+Coef_B1*O6029+Coef_B2*P6029,"")</f>
        <v>27.740839508098</v>
      </c>
      <c r="U6029" s="84" t="n">
        <f aca="false">IF(AND(R6029=1,ISNUMBER(T6029)),E6029-T6029,"")</f>
        <v>4.05916049190201</v>
      </c>
      <c r="V6029" s="84" t="n">
        <f aca="false">IF(ISNUMBER(T6029),T6029,-99)</f>
        <v>27.740839508098</v>
      </c>
      <c r="W6029" s="84" t="n">
        <f aca="false">IF(ISNUMBER(U6029),ABS(U6029),"")</f>
        <v>4.05916049190201</v>
      </c>
    </row>
    <row r="6030" customFormat="false" ht="15" hidden="false" customHeight="false" outlineLevel="0" collapsed="false">
      <c r="A6030" s="57" t="n">
        <v>43282</v>
      </c>
      <c r="B6030" s="56" t="n">
        <v>2018</v>
      </c>
      <c r="C6030" s="56" t="n">
        <v>7</v>
      </c>
      <c r="D6030" s="56" t="n">
        <v>62</v>
      </c>
      <c r="E6030" s="56" t="n">
        <v>30.1</v>
      </c>
      <c r="F6030" s="56" t="n">
        <v>0</v>
      </c>
      <c r="G6030" s="56" t="n">
        <v>15.2</v>
      </c>
      <c r="H6030" s="56" t="n">
        <v>0</v>
      </c>
      <c r="I6030" s="56" t="n">
        <v>23.5</v>
      </c>
      <c r="J6030" s="56" t="n">
        <v>0</v>
      </c>
      <c r="K6030" s="56" t="n">
        <v>1013.3</v>
      </c>
      <c r="L6030" s="56" t="n">
        <v>0</v>
      </c>
      <c r="M6030" s="56" t="n">
        <v>47</v>
      </c>
      <c r="N6030" s="56" t="n">
        <v>10.4</v>
      </c>
      <c r="O6030" s="56" t="n">
        <f aca="false">IF(D6030=1,"",E6029)</f>
        <v>31.8</v>
      </c>
      <c r="P6030" s="56" t="n">
        <f aca="false">IF(OR(D6030=1,K6029=""),"",K6029)</f>
        <v>1016.2</v>
      </c>
      <c r="Q6030" s="56" t="n">
        <f aca="false">IF(OR(F6030&lt;&gt;0,AND(I6030&lt;&gt;"",E6030&lt;I6030)),1,0)</f>
        <v>0</v>
      </c>
      <c r="R6030" s="56" t="n">
        <f aca="false">IF(AND(D6030&gt;1,Q6030=0,ISNUMBER(O6030),ISNUMBER(P6030)),IF(Q6029=0,1,0),0)</f>
        <v>1</v>
      </c>
      <c r="S6030" s="56" t="n">
        <f aca="false">R6030*(B6030&gt;=Train_Start)*(B6030&lt;=Train_End)</f>
        <v>0</v>
      </c>
      <c r="T6030" s="84" t="n">
        <f aca="false">IF(AND(ISNUMBER(O6030),ISNUMBER(P6030)),Coef_A+Coef_B1*O6030+Coef_B2*P6030,"")</f>
        <v>30.0200486878122</v>
      </c>
      <c r="U6030" s="84" t="n">
        <f aca="false">IF(AND(R6030=1,ISNUMBER(T6030)),E6030-T6030,"")</f>
        <v>0.0799513121877702</v>
      </c>
      <c r="V6030" s="84" t="n">
        <f aca="false">IF(ISNUMBER(T6030),T6030,-99)</f>
        <v>30.0200486878122</v>
      </c>
      <c r="W6030" s="84" t="n">
        <f aca="false">IF(ISNUMBER(U6030),ABS(U6030),"")</f>
        <v>0.0799513121877702</v>
      </c>
    </row>
    <row r="6031" customFormat="false" ht="15" hidden="false" customHeight="false" outlineLevel="0" collapsed="false">
      <c r="A6031" s="57" t="n">
        <v>43283</v>
      </c>
      <c r="B6031" s="56" t="n">
        <v>2018</v>
      </c>
      <c r="C6031" s="56" t="n">
        <v>7</v>
      </c>
      <c r="D6031" s="56" t="n">
        <v>63</v>
      </c>
      <c r="E6031" s="56" t="n">
        <v>27.6</v>
      </c>
      <c r="F6031" s="56" t="n">
        <v>0</v>
      </c>
      <c r="G6031" s="56" t="n">
        <v>18.4</v>
      </c>
      <c r="H6031" s="56" t="n">
        <v>0</v>
      </c>
      <c r="I6031" s="56" t="n">
        <v>24.2</v>
      </c>
      <c r="J6031" s="56" t="n">
        <v>0</v>
      </c>
      <c r="K6031" s="56" t="n">
        <v>1015.7</v>
      </c>
      <c r="L6031" s="56" t="n">
        <v>0</v>
      </c>
      <c r="M6031" s="56" t="n">
        <v>36</v>
      </c>
      <c r="N6031" s="56" t="n">
        <v>14.2</v>
      </c>
      <c r="O6031" s="56" t="n">
        <f aca="false">IF(D6031=1,"",E6030)</f>
        <v>30.1</v>
      </c>
      <c r="P6031" s="56" t="n">
        <f aca="false">IF(OR(D6031=1,K6030=""),"",K6030)</f>
        <v>1013.3</v>
      </c>
      <c r="Q6031" s="56" t="n">
        <f aca="false">IF(OR(F6031&lt;&gt;0,AND(I6031&lt;&gt;"",E6031&lt;I6031)),1,0)</f>
        <v>0</v>
      </c>
      <c r="R6031" s="56" t="n">
        <f aca="false">IF(AND(D6031&gt;1,Q6031=0,ISNUMBER(O6031),ISNUMBER(P6031)),IF(Q6030=0,1,0),0)</f>
        <v>1</v>
      </c>
      <c r="S6031" s="56" t="n">
        <f aca="false">R6031*(B6031&gt;=Train_Start)*(B6031&lt;=Train_End)</f>
        <v>0</v>
      </c>
      <c r="T6031" s="84" t="n">
        <f aca="false">IF(AND(ISNUMBER(O6031),ISNUMBER(P6031)),Coef_A+Coef_B1*O6031+Coef_B2*P6031,"")</f>
        <v>28.5361993652011</v>
      </c>
      <c r="U6031" s="84" t="n">
        <f aca="false">IF(AND(R6031=1,ISNUMBER(T6031)),E6031-T6031,"")</f>
        <v>-0.936199365201141</v>
      </c>
      <c r="V6031" s="84" t="n">
        <f aca="false">IF(ISNUMBER(T6031),T6031,-99)</f>
        <v>28.5361993652011</v>
      </c>
      <c r="W6031" s="84" t="n">
        <f aca="false">IF(ISNUMBER(U6031),ABS(U6031),"")</f>
        <v>0.936199365201141</v>
      </c>
    </row>
    <row r="6032" customFormat="false" ht="15" hidden="false" customHeight="false" outlineLevel="0" collapsed="false">
      <c r="A6032" s="57" t="n">
        <v>43284</v>
      </c>
      <c r="B6032" s="56" t="n">
        <v>2018</v>
      </c>
      <c r="C6032" s="56" t="n">
        <v>7</v>
      </c>
      <c r="D6032" s="56" t="n">
        <v>64</v>
      </c>
      <c r="E6032" s="56" t="n">
        <v>27</v>
      </c>
      <c r="F6032" s="56" t="n">
        <v>0</v>
      </c>
      <c r="G6032" s="56" t="n">
        <v>15.4</v>
      </c>
      <c r="H6032" s="56" t="n">
        <v>0</v>
      </c>
      <c r="I6032" s="56" t="n">
        <v>21.5</v>
      </c>
      <c r="J6032" s="56" t="n">
        <v>0</v>
      </c>
      <c r="K6032" s="56" t="n">
        <v>1017.4</v>
      </c>
      <c r="L6032" s="56" t="n">
        <v>0</v>
      </c>
      <c r="M6032" s="56" t="n">
        <v>45</v>
      </c>
      <c r="N6032" s="56" t="n">
        <v>13.5</v>
      </c>
      <c r="O6032" s="56" t="n">
        <f aca="false">IF(D6032=1,"",E6031)</f>
        <v>27.6</v>
      </c>
      <c r="P6032" s="56" t="n">
        <f aca="false">IF(OR(D6032=1,K6031=""),"",K6031)</f>
        <v>1015.7</v>
      </c>
      <c r="Q6032" s="56" t="n">
        <f aca="false">IF(OR(F6032&lt;&gt;0,AND(I6032&lt;&gt;"",E6032&lt;I6032)),1,0)</f>
        <v>0</v>
      </c>
      <c r="R6032" s="56" t="n">
        <f aca="false">IF(AND(D6032&gt;1,Q6032=0,ISNUMBER(O6032),ISNUMBER(P6032)),IF(Q6031=0,1,0),0)</f>
        <v>1</v>
      </c>
      <c r="S6032" s="56" t="n">
        <f aca="false">R6032*(B6032&gt;=Train_Start)*(B6032&lt;=Train_End)</f>
        <v>0</v>
      </c>
      <c r="T6032" s="84" t="n">
        <f aca="false">IF(AND(ISNUMBER(O6032),ISNUMBER(P6032)),Coef_A+Coef_B1*O6032+Coef_B2*P6032,"")</f>
        <v>26.5631391297161</v>
      </c>
      <c r="U6032" s="84" t="n">
        <f aca="false">IF(AND(R6032=1,ISNUMBER(T6032)),E6032-T6032,"")</f>
        <v>0.436860870283923</v>
      </c>
      <c r="V6032" s="84" t="n">
        <f aca="false">IF(ISNUMBER(T6032),T6032,-99)</f>
        <v>26.5631391297161</v>
      </c>
      <c r="W6032" s="84" t="n">
        <f aca="false">IF(ISNUMBER(U6032),ABS(U6032),"")</f>
        <v>0.436860870283923</v>
      </c>
    </row>
    <row r="6033" customFormat="false" ht="15" hidden="false" customHeight="false" outlineLevel="0" collapsed="false">
      <c r="A6033" s="57" t="n">
        <v>43285</v>
      </c>
      <c r="B6033" s="56" t="n">
        <v>2018</v>
      </c>
      <c r="C6033" s="56" t="n">
        <v>7</v>
      </c>
      <c r="D6033" s="56" t="n">
        <v>65</v>
      </c>
      <c r="E6033" s="56" t="n">
        <v>30.1</v>
      </c>
      <c r="F6033" s="56" t="n">
        <v>0</v>
      </c>
      <c r="G6033" s="56" t="n">
        <v>13.9</v>
      </c>
      <c r="H6033" s="56" t="n">
        <v>0</v>
      </c>
      <c r="I6033" s="56" t="n">
        <v>20.4</v>
      </c>
      <c r="J6033" s="56" t="n">
        <v>0</v>
      </c>
      <c r="K6033" s="56" t="n">
        <v>1015.2</v>
      </c>
      <c r="L6033" s="56" t="n">
        <v>0</v>
      </c>
      <c r="M6033" s="56" t="n">
        <v>61</v>
      </c>
      <c r="N6033" s="56" t="n">
        <v>7.9</v>
      </c>
      <c r="O6033" s="56" t="n">
        <f aca="false">IF(D6033=1,"",E6032)</f>
        <v>27</v>
      </c>
      <c r="P6033" s="56" t="n">
        <f aca="false">IF(OR(D6033=1,K6032=""),"",K6032)</f>
        <v>1017.4</v>
      </c>
      <c r="Q6033" s="56" t="n">
        <f aca="false">IF(OR(F6033&lt;&gt;0,AND(I6033&lt;&gt;"",E6033&lt;I6033)),1,0)</f>
        <v>0</v>
      </c>
      <c r="R6033" s="56" t="n">
        <f aca="false">IF(AND(D6033&gt;1,Q6033=0,ISNUMBER(O6033),ISNUMBER(P6033)),IF(Q6032=0,1,0),0)</f>
        <v>1</v>
      </c>
      <c r="S6033" s="56" t="n">
        <f aca="false">R6033*(B6033&gt;=Train_Start)*(B6033&lt;=Train_End)</f>
        <v>0</v>
      </c>
      <c r="T6033" s="84" t="n">
        <f aca="false">IF(AND(ISNUMBER(O6033),ISNUMBER(P6033)),Coef_A+Coef_B1*O6033+Coef_B2*P6033,"")</f>
        <v>26.1248644347683</v>
      </c>
      <c r="U6033" s="84" t="n">
        <f aca="false">IF(AND(R6033=1,ISNUMBER(T6033)),E6033-T6033,"")</f>
        <v>3.97513556523174</v>
      </c>
      <c r="V6033" s="84" t="n">
        <f aca="false">IF(ISNUMBER(T6033),T6033,-99)</f>
        <v>26.1248644347683</v>
      </c>
      <c r="W6033" s="84" t="n">
        <f aca="false">IF(ISNUMBER(U6033),ABS(U6033),"")</f>
        <v>3.97513556523174</v>
      </c>
    </row>
    <row r="6034" customFormat="false" ht="15" hidden="false" customHeight="false" outlineLevel="0" collapsed="false">
      <c r="A6034" s="57" t="n">
        <v>43286</v>
      </c>
      <c r="B6034" s="56" t="n">
        <v>2018</v>
      </c>
      <c r="C6034" s="56" t="n">
        <v>7</v>
      </c>
      <c r="D6034" s="56" t="n">
        <v>66</v>
      </c>
      <c r="E6034" s="56" t="n">
        <v>30.9</v>
      </c>
      <c r="F6034" s="56" t="n">
        <v>0</v>
      </c>
      <c r="G6034" s="56" t="n">
        <v>16.7</v>
      </c>
      <c r="H6034" s="56" t="n">
        <v>0</v>
      </c>
      <c r="I6034" s="56" t="n">
        <v>23.4</v>
      </c>
      <c r="J6034" s="56" t="n">
        <v>0</v>
      </c>
      <c r="K6034" s="56" t="n">
        <v>1015.2</v>
      </c>
      <c r="L6034" s="56" t="n">
        <v>0</v>
      </c>
      <c r="M6034" s="56" t="n">
        <v>57</v>
      </c>
      <c r="N6034" s="56" t="n">
        <v>9.4</v>
      </c>
      <c r="O6034" s="56" t="n">
        <f aca="false">IF(D6034=1,"",E6033)</f>
        <v>30.1</v>
      </c>
      <c r="P6034" s="56" t="n">
        <f aca="false">IF(OR(D6034=1,K6033=""),"",K6033)</f>
        <v>1015.2</v>
      </c>
      <c r="Q6034" s="56" t="n">
        <f aca="false">IF(OR(F6034&lt;&gt;0,AND(I6034&lt;&gt;"",E6034&lt;I6034)),1,0)</f>
        <v>0</v>
      </c>
      <c r="R6034" s="56" t="n">
        <f aca="false">IF(AND(D6034&gt;1,Q6034=0,ISNUMBER(O6034),ISNUMBER(P6034)),IF(Q6033=0,1,0),0)</f>
        <v>1</v>
      </c>
      <c r="S6034" s="56" t="n">
        <f aca="false">R6034*(B6034&gt;=Train_Start)*(B6034&lt;=Train_End)</f>
        <v>0</v>
      </c>
      <c r="T6034" s="84" t="n">
        <f aca="false">IF(AND(ISNUMBER(O6034),ISNUMBER(P6034)),Coef_A+Coef_B1*O6034+Coef_B2*P6034,"")</f>
        <v>28.5958021650057</v>
      </c>
      <c r="U6034" s="84" t="n">
        <f aca="false">IF(AND(R6034=1,ISNUMBER(T6034)),E6034-T6034,"")</f>
        <v>2.30419783499427</v>
      </c>
      <c r="V6034" s="84" t="n">
        <f aca="false">IF(ISNUMBER(T6034),T6034,-99)</f>
        <v>28.5958021650057</v>
      </c>
      <c r="W6034" s="84" t="n">
        <f aca="false">IF(ISNUMBER(U6034),ABS(U6034),"")</f>
        <v>2.30419783499427</v>
      </c>
    </row>
    <row r="6035" customFormat="false" ht="15" hidden="false" customHeight="false" outlineLevel="0" collapsed="false">
      <c r="A6035" s="57" t="n">
        <v>43287</v>
      </c>
      <c r="B6035" s="56" t="n">
        <v>2018</v>
      </c>
      <c r="C6035" s="56" t="n">
        <v>7</v>
      </c>
      <c r="D6035" s="56" t="n">
        <v>67</v>
      </c>
      <c r="E6035" s="56" t="n">
        <v>31.5</v>
      </c>
      <c r="F6035" s="56" t="n">
        <v>0</v>
      </c>
      <c r="G6035" s="56" t="n">
        <v>16.5</v>
      </c>
      <c r="H6035" s="56" t="n">
        <v>0</v>
      </c>
      <c r="I6035" s="56" t="n">
        <v>23.7</v>
      </c>
      <c r="J6035" s="56" t="n">
        <v>0</v>
      </c>
      <c r="K6035" s="56" t="n">
        <v>1020.4</v>
      </c>
      <c r="L6035" s="56" t="n">
        <v>0</v>
      </c>
      <c r="M6035" s="56" t="n">
        <v>52</v>
      </c>
      <c r="N6035" s="56" t="n">
        <v>13.2</v>
      </c>
      <c r="O6035" s="56" t="n">
        <f aca="false">IF(D6035=1,"",E6034)</f>
        <v>30.9</v>
      </c>
      <c r="P6035" s="56" t="n">
        <f aca="false">IF(OR(D6035=1,K6034=""),"",K6034)</f>
        <v>1015.2</v>
      </c>
      <c r="Q6035" s="56" t="n">
        <f aca="false">IF(OR(F6035&lt;&gt;0,AND(I6035&lt;&gt;"",E6035&lt;I6035)),1,0)</f>
        <v>0</v>
      </c>
      <c r="R6035" s="56" t="n">
        <f aca="false">IF(AND(D6035&gt;1,Q6035=0,ISNUMBER(O6035),ISNUMBER(P6035)),IF(Q6034=0,1,0),0)</f>
        <v>1</v>
      </c>
      <c r="S6035" s="56" t="n">
        <f aca="false">R6035*(B6035&gt;=Train_Start)*(B6035&lt;=Train_End)</f>
        <v>0</v>
      </c>
      <c r="T6035" s="84" t="n">
        <f aca="false">IF(AND(ISNUMBER(O6035),ISNUMBER(P6035)),Coef_A+Coef_B1*O6035+Coef_B2*P6035,"")</f>
        <v>29.2512735194399</v>
      </c>
      <c r="U6035" s="84" t="n">
        <f aca="false">IF(AND(R6035=1,ISNUMBER(T6035)),E6035-T6035,"")</f>
        <v>2.24872648056015</v>
      </c>
      <c r="V6035" s="84" t="n">
        <f aca="false">IF(ISNUMBER(T6035),T6035,-99)</f>
        <v>29.2512735194399</v>
      </c>
      <c r="W6035" s="84" t="n">
        <f aca="false">IF(ISNUMBER(U6035),ABS(U6035),"")</f>
        <v>2.24872648056015</v>
      </c>
    </row>
    <row r="6036" customFormat="false" ht="15" hidden="false" customHeight="false" outlineLevel="0" collapsed="false">
      <c r="A6036" s="57" t="n">
        <v>43288</v>
      </c>
      <c r="B6036" s="56" t="n">
        <v>2018</v>
      </c>
      <c r="C6036" s="56" t="n">
        <v>7</v>
      </c>
      <c r="D6036" s="56" t="n">
        <v>68</v>
      </c>
      <c r="E6036" s="56" t="n">
        <v>31</v>
      </c>
      <c r="F6036" s="56" t="n">
        <v>0</v>
      </c>
      <c r="G6036" s="56" t="n">
        <v>18.5</v>
      </c>
      <c r="H6036" s="56" t="n">
        <v>0</v>
      </c>
      <c r="I6036" s="56" t="n">
        <v>25</v>
      </c>
      <c r="J6036" s="56" t="n">
        <v>0</v>
      </c>
      <c r="K6036" s="56" t="n">
        <v>1023.3</v>
      </c>
      <c r="L6036" s="56" t="n">
        <v>0</v>
      </c>
      <c r="M6036" s="56" t="n">
        <v>50</v>
      </c>
      <c r="N6036" s="56" t="n">
        <v>13</v>
      </c>
      <c r="O6036" s="56" t="n">
        <f aca="false">IF(D6036=1,"",E6035)</f>
        <v>31.5</v>
      </c>
      <c r="P6036" s="56" t="n">
        <f aca="false">IF(OR(D6036=1,K6035=""),"",K6035)</f>
        <v>1020.4</v>
      </c>
      <c r="Q6036" s="56" t="n">
        <f aca="false">IF(OR(F6036&lt;&gt;0,AND(I6036&lt;&gt;"",E6036&lt;I6036)),1,0)</f>
        <v>0</v>
      </c>
      <c r="R6036" s="56" t="n">
        <f aca="false">IF(AND(D6036&gt;1,Q6036=0,ISNUMBER(O6036),ISNUMBER(P6036)),IF(Q6035=0,1,0),0)</f>
        <v>1</v>
      </c>
      <c r="S6036" s="56" t="n">
        <f aca="false">R6036*(B6036&gt;=Train_Start)*(B6036&lt;=Train_End)</f>
        <v>0</v>
      </c>
      <c r="T6036" s="84" t="n">
        <f aca="false">IF(AND(ISNUMBER(O6036),ISNUMBER(P6036)),Coef_A+Coef_B1*O6036+Coef_B2*P6036,"")</f>
        <v>29.9060004873622</v>
      </c>
      <c r="U6036" s="84" t="n">
        <f aca="false">IF(AND(R6036=1,ISNUMBER(T6036)),E6036-T6036,"")</f>
        <v>1.09399951263781</v>
      </c>
      <c r="V6036" s="84" t="n">
        <f aca="false">IF(ISNUMBER(T6036),T6036,-99)</f>
        <v>29.9060004873622</v>
      </c>
      <c r="W6036" s="84" t="n">
        <f aca="false">IF(ISNUMBER(U6036),ABS(U6036),"")</f>
        <v>1.09399951263781</v>
      </c>
    </row>
    <row r="6037" customFormat="false" ht="15" hidden="false" customHeight="false" outlineLevel="0" collapsed="false">
      <c r="A6037" s="57" t="n">
        <v>43289</v>
      </c>
      <c r="B6037" s="56" t="n">
        <v>2018</v>
      </c>
      <c r="C6037" s="56" t="n">
        <v>7</v>
      </c>
      <c r="D6037" s="56" t="n">
        <v>69</v>
      </c>
      <c r="E6037" s="56" t="n">
        <v>30.5</v>
      </c>
      <c r="F6037" s="56" t="n">
        <v>0</v>
      </c>
      <c r="G6037" s="56" t="n">
        <v>17.7</v>
      </c>
      <c r="H6037" s="56" t="n">
        <v>0</v>
      </c>
      <c r="I6037" s="56" t="n">
        <v>24.4</v>
      </c>
      <c r="J6037" s="56" t="n">
        <v>0</v>
      </c>
      <c r="K6037" s="56" t="n">
        <v>1025.3</v>
      </c>
      <c r="L6037" s="56" t="n">
        <v>0</v>
      </c>
      <c r="M6037" s="56" t="n">
        <v>49</v>
      </c>
      <c r="N6037" s="56" t="n">
        <v>13.1</v>
      </c>
      <c r="O6037" s="56" t="n">
        <f aca="false">IF(D6037=1,"",E6036)</f>
        <v>31</v>
      </c>
      <c r="P6037" s="56" t="n">
        <f aca="false">IF(OR(D6037=1,K6036=""),"",K6036)</f>
        <v>1023.3</v>
      </c>
      <c r="Q6037" s="56" t="n">
        <f aca="false">IF(OR(F6037&lt;&gt;0,AND(I6037&lt;&gt;"",E6037&lt;I6037)),1,0)</f>
        <v>0</v>
      </c>
      <c r="R6037" s="56" t="n">
        <f aca="false">IF(AND(D6037&gt;1,Q6037=0,ISNUMBER(O6037),ISNUMBER(P6037)),IF(Q6036=0,1,0),0)</f>
        <v>1</v>
      </c>
      <c r="S6037" s="56" t="n">
        <f aca="false">R6037*(B6037&gt;=Train_Start)*(B6037&lt;=Train_End)</f>
        <v>0</v>
      </c>
      <c r="T6037" s="84" t="n">
        <f aca="false">IF(AND(ISNUMBER(O6037),ISNUMBER(P6037)),Coef_A+Coef_B1*O6037+Coef_B2*P6037,"")</f>
        <v>29.5873035852794</v>
      </c>
      <c r="U6037" s="84" t="n">
        <f aca="false">IF(AND(R6037=1,ISNUMBER(T6037)),E6037-T6037,"")</f>
        <v>0.912696414720571</v>
      </c>
      <c r="V6037" s="84" t="n">
        <f aca="false">IF(ISNUMBER(T6037),T6037,-99)</f>
        <v>29.5873035852794</v>
      </c>
      <c r="W6037" s="84" t="n">
        <f aca="false">IF(ISNUMBER(U6037),ABS(U6037),"")</f>
        <v>0.912696414720571</v>
      </c>
    </row>
    <row r="6038" customFormat="false" ht="15" hidden="false" customHeight="false" outlineLevel="0" collapsed="false">
      <c r="A6038" s="57" t="n">
        <v>43290</v>
      </c>
      <c r="B6038" s="56" t="n">
        <v>2018</v>
      </c>
      <c r="C6038" s="56" t="n">
        <v>7</v>
      </c>
      <c r="D6038" s="56" t="n">
        <v>70</v>
      </c>
      <c r="E6038" s="56" t="n">
        <v>22.9</v>
      </c>
      <c r="F6038" s="56" t="n">
        <v>1</v>
      </c>
      <c r="G6038" s="56" t="n">
        <v>17.9</v>
      </c>
      <c r="H6038" s="56" t="n">
        <v>0</v>
      </c>
      <c r="I6038" s="56" t="n">
        <v>24.2</v>
      </c>
      <c r="J6038" s="56" t="n">
        <v>1</v>
      </c>
      <c r="K6038" s="56" t="n">
        <v>1025.1</v>
      </c>
      <c r="L6038" s="56" t="n">
        <v>0</v>
      </c>
      <c r="M6038" s="56" t="n">
        <v>55</v>
      </c>
      <c r="N6038" s="56" t="n">
        <v>8.2</v>
      </c>
      <c r="O6038" s="56" t="n">
        <f aca="false">IF(D6038=1,"",E6037)</f>
        <v>30.5</v>
      </c>
      <c r="P6038" s="56" t="n">
        <f aca="false">IF(OR(D6038=1,K6037=""),"",K6037)</f>
        <v>1025.3</v>
      </c>
      <c r="Q6038" s="56" t="n">
        <f aca="false">IF(OR(F6038&lt;&gt;0,AND(I6038&lt;&gt;"",E6038&lt;I6038)),1,0)</f>
        <v>1</v>
      </c>
      <c r="R6038" s="56" t="n">
        <f aca="false">IF(AND(D6038&gt;1,Q6038=0,ISNUMBER(O6038),ISNUMBER(P6038)),IF(Q6037=0,1,0),0)</f>
        <v>0</v>
      </c>
      <c r="S6038" s="56" t="n">
        <f aca="false">R6038*(B6038&gt;=Train_Start)*(B6038&lt;=Train_End)</f>
        <v>0</v>
      </c>
      <c r="T6038" s="84" t="n">
        <f aca="false">IF(AND(ISNUMBER(O6038),ISNUMBER(P6038)),Coef_A+Coef_B1*O6038+Coef_B2*P6038,"")</f>
        <v>29.2403737780261</v>
      </c>
      <c r="U6038" s="84" t="str">
        <f aca="false">IF(AND(R6038=1,ISNUMBER(T6038)),E6038-T6038,"")</f>
        <v/>
      </c>
      <c r="V6038" s="84" t="n">
        <f aca="false">IF(ISNUMBER(T6038),T6038,-99)</f>
        <v>29.2403737780261</v>
      </c>
      <c r="W6038" s="84" t="str">
        <f aca="false">IF(ISNUMBER(U6038),ABS(U6038),"")</f>
        <v/>
      </c>
    </row>
    <row r="6039" customFormat="false" ht="15" hidden="false" customHeight="false" outlineLevel="0" collapsed="false">
      <c r="A6039" s="57" t="n">
        <v>43291</v>
      </c>
      <c r="B6039" s="56" t="n">
        <v>2018</v>
      </c>
      <c r="C6039" s="56" t="n">
        <v>7</v>
      </c>
      <c r="D6039" s="56" t="n">
        <v>71</v>
      </c>
      <c r="E6039" s="56" t="n">
        <v>24.4</v>
      </c>
      <c r="F6039" s="56" t="n">
        <v>0</v>
      </c>
      <c r="G6039" s="56" t="n">
        <v>15.4</v>
      </c>
      <c r="H6039" s="56" t="n">
        <v>0</v>
      </c>
      <c r="I6039" s="56" t="n">
        <v>19.1</v>
      </c>
      <c r="J6039" s="56" t="n">
        <v>0</v>
      </c>
      <c r="K6039" s="56" t="n">
        <v>1023.9</v>
      </c>
      <c r="L6039" s="56" t="n">
        <v>0</v>
      </c>
      <c r="M6039" s="56" t="n">
        <v>58</v>
      </c>
      <c r="N6039" s="56" t="n">
        <v>9.9</v>
      </c>
      <c r="O6039" s="56" t="n">
        <f aca="false">IF(D6039=1,"",E6038)</f>
        <v>22.9</v>
      </c>
      <c r="P6039" s="56" t="n">
        <f aca="false">IF(OR(D6039=1,K6038=""),"",K6038)</f>
        <v>1025.1</v>
      </c>
      <c r="Q6039" s="56" t="n">
        <f aca="false">IF(OR(F6039&lt;&gt;0,AND(I6039&lt;&gt;"",E6039&lt;I6039)),1,0)</f>
        <v>0</v>
      </c>
      <c r="R6039" s="56" t="n">
        <f aca="false">IF(AND(D6039&gt;1,Q6039=0,ISNUMBER(O6039),ISNUMBER(P6039)),IF(Q6038=0,1,0),0)</f>
        <v>0</v>
      </c>
      <c r="S6039" s="56" t="n">
        <f aca="false">R6039*(B6039&gt;=Train_Start)*(B6039&lt;=Train_End)</f>
        <v>0</v>
      </c>
      <c r="T6039" s="84" t="n">
        <f aca="false">IF(AND(ISNUMBER(O6039),ISNUMBER(P6039)),Coef_A+Coef_B1*O6039+Coef_B2*P6039,"")</f>
        <v>23.0071219319751</v>
      </c>
      <c r="U6039" s="84" t="str">
        <f aca="false">IF(AND(R6039=1,ISNUMBER(T6039)),E6039-T6039,"")</f>
        <v/>
      </c>
      <c r="V6039" s="84" t="n">
        <f aca="false">IF(ISNUMBER(T6039),T6039,-99)</f>
        <v>23.0071219319751</v>
      </c>
      <c r="W6039" s="84" t="str">
        <f aca="false">IF(ISNUMBER(U6039),ABS(U6039),"")</f>
        <v/>
      </c>
    </row>
    <row r="6040" customFormat="false" ht="15" hidden="false" customHeight="false" outlineLevel="0" collapsed="false">
      <c r="A6040" s="57" t="n">
        <v>43292</v>
      </c>
      <c r="B6040" s="56" t="n">
        <v>2018</v>
      </c>
      <c r="C6040" s="56" t="n">
        <v>7</v>
      </c>
      <c r="D6040" s="56" t="n">
        <v>72</v>
      </c>
      <c r="E6040" s="56" t="n">
        <v>25.1</v>
      </c>
      <c r="F6040" s="56" t="n">
        <v>0</v>
      </c>
      <c r="G6040" s="56" t="n">
        <v>13.9</v>
      </c>
      <c r="H6040" s="56" t="n">
        <v>0</v>
      </c>
      <c r="I6040" s="56" t="n">
        <v>19.1</v>
      </c>
      <c r="J6040" s="56" t="n">
        <v>0</v>
      </c>
      <c r="K6040" s="56" t="n">
        <v>1021.8</v>
      </c>
      <c r="L6040" s="56" t="n">
        <v>0</v>
      </c>
      <c r="M6040" s="56" t="n">
        <v>65</v>
      </c>
      <c r="N6040" s="56" t="n">
        <v>8.1</v>
      </c>
      <c r="O6040" s="56" t="n">
        <f aca="false">IF(D6040=1,"",E6039)</f>
        <v>24.4</v>
      </c>
      <c r="P6040" s="56" t="n">
        <f aca="false">IF(OR(D6040=1,K6039=""),"",K6039)</f>
        <v>1023.9</v>
      </c>
      <c r="Q6040" s="56" t="n">
        <f aca="false">IF(OR(F6040&lt;&gt;0,AND(I6040&lt;&gt;"",E6040&lt;I6040)),1,0)</f>
        <v>0</v>
      </c>
      <c r="R6040" s="56" t="n">
        <f aca="false">IF(AND(D6040&gt;1,Q6040=0,ISNUMBER(O6040),ISNUMBER(P6040)),IF(Q6039=0,1,0),0)</f>
        <v>1</v>
      </c>
      <c r="S6040" s="56" t="n">
        <f aca="false">R6040*(B6040&gt;=Train_Start)*(B6040&lt;=Train_End)</f>
        <v>0</v>
      </c>
      <c r="T6040" s="84" t="n">
        <f aca="false">IF(AND(ISNUMBER(O6040),ISNUMBER(P6040)),Coef_A+Coef_B1*O6040+Coef_B2*P6040,"")</f>
        <v>24.1984868479783</v>
      </c>
      <c r="U6040" s="84" t="n">
        <f aca="false">IF(AND(R6040=1,ISNUMBER(T6040)),E6040-T6040,"")</f>
        <v>0.901513152021721</v>
      </c>
      <c r="V6040" s="84" t="n">
        <f aca="false">IF(ISNUMBER(T6040),T6040,-99)</f>
        <v>24.1984868479783</v>
      </c>
      <c r="W6040" s="84" t="n">
        <f aca="false">IF(ISNUMBER(U6040),ABS(U6040),"")</f>
        <v>0.901513152021721</v>
      </c>
    </row>
    <row r="6041" customFormat="false" ht="15" hidden="false" customHeight="false" outlineLevel="0" collapsed="false">
      <c r="A6041" s="57" t="n">
        <v>43293</v>
      </c>
      <c r="B6041" s="56" t="n">
        <v>2018</v>
      </c>
      <c r="C6041" s="56" t="n">
        <v>7</v>
      </c>
      <c r="D6041" s="56" t="n">
        <v>73</v>
      </c>
      <c r="E6041" s="56" t="n">
        <v>27.5</v>
      </c>
      <c r="F6041" s="56" t="n">
        <v>0</v>
      </c>
      <c r="G6041" s="56" t="n">
        <v>13.7</v>
      </c>
      <c r="H6041" s="56" t="n">
        <v>0</v>
      </c>
      <c r="I6041" s="56" t="n">
        <v>19.4</v>
      </c>
      <c r="J6041" s="56" t="n">
        <v>0</v>
      </c>
      <c r="K6041" s="56" t="n">
        <v>1021.5</v>
      </c>
      <c r="L6041" s="56" t="n">
        <v>0</v>
      </c>
      <c r="M6041" s="56" t="n">
        <v>65</v>
      </c>
      <c r="N6041" s="56" t="n">
        <v>3.8</v>
      </c>
      <c r="O6041" s="56" t="n">
        <f aca="false">IF(D6041=1,"",E6040)</f>
        <v>25.1</v>
      </c>
      <c r="P6041" s="56" t="n">
        <f aca="false">IF(OR(D6041=1,K6040=""),"",K6040)</f>
        <v>1021.8</v>
      </c>
      <c r="Q6041" s="56" t="n">
        <f aca="false">IF(OR(F6041&lt;&gt;0,AND(I6041&lt;&gt;"",E6041&lt;I6041)),1,0)</f>
        <v>0</v>
      </c>
      <c r="R6041" s="56" t="n">
        <f aca="false">IF(AND(D6041&gt;1,Q6041=0,ISNUMBER(O6041),ISNUMBER(P6041)),IF(Q6040=0,1,0),0)</f>
        <v>1</v>
      </c>
      <c r="S6041" s="56" t="n">
        <f aca="false">R6041*(B6041&gt;=Train_Start)*(B6041&lt;=Train_End)</f>
        <v>0</v>
      </c>
      <c r="T6041" s="84" t="n">
        <f aca="false">IF(AND(ISNUMBER(O6041),ISNUMBER(P6041)),Coef_A+Coef_B1*O6041+Coef_B2*P6041,"")</f>
        <v>24.7061475043768</v>
      </c>
      <c r="U6041" s="84" t="n">
        <f aca="false">IF(AND(R6041=1,ISNUMBER(T6041)),E6041-T6041,"")</f>
        <v>2.79385249562324</v>
      </c>
      <c r="V6041" s="84" t="n">
        <f aca="false">IF(ISNUMBER(T6041),T6041,-99)</f>
        <v>24.7061475043768</v>
      </c>
      <c r="W6041" s="84" t="n">
        <f aca="false">IF(ISNUMBER(U6041),ABS(U6041),"")</f>
        <v>2.79385249562324</v>
      </c>
    </row>
    <row r="6042" customFormat="false" ht="15" hidden="false" customHeight="false" outlineLevel="0" collapsed="false">
      <c r="A6042" s="57" t="n">
        <v>43294</v>
      </c>
      <c r="B6042" s="56" t="n">
        <v>2018</v>
      </c>
      <c r="C6042" s="56" t="n">
        <v>7</v>
      </c>
      <c r="D6042" s="56" t="n">
        <v>74</v>
      </c>
      <c r="E6042" s="56" t="n">
        <v>28.9</v>
      </c>
      <c r="F6042" s="56" t="n">
        <v>0</v>
      </c>
      <c r="G6042" s="56" t="n">
        <v>15.7</v>
      </c>
      <c r="H6042" s="56" t="n">
        <v>0</v>
      </c>
      <c r="I6042" s="56" t="n">
        <v>21.6</v>
      </c>
      <c r="J6042" s="56" t="n">
        <v>0</v>
      </c>
      <c r="K6042" s="56" t="n">
        <v>1021.8</v>
      </c>
      <c r="L6042" s="56" t="n">
        <v>0</v>
      </c>
      <c r="M6042" s="56" t="n">
        <v>65</v>
      </c>
      <c r="N6042" s="56" t="n">
        <v>5.9</v>
      </c>
      <c r="O6042" s="56" t="n">
        <f aca="false">IF(D6042=1,"",E6041)</f>
        <v>27.5</v>
      </c>
      <c r="P6042" s="56" t="n">
        <f aca="false">IF(OR(D6042=1,K6041=""),"",K6041)</f>
        <v>1021.5</v>
      </c>
      <c r="Q6042" s="56" t="n">
        <f aca="false">IF(OR(F6042&lt;&gt;0,AND(I6042&lt;&gt;"",E6042&lt;I6042)),1,0)</f>
        <v>0</v>
      </c>
      <c r="R6042" s="56" t="n">
        <f aca="false">IF(AND(D6042&gt;1,Q6042=0,ISNUMBER(O6042),ISNUMBER(P6042)),IF(Q6041=0,1,0),0)</f>
        <v>1</v>
      </c>
      <c r="S6042" s="56" t="n">
        <f aca="false">R6042*(B6042&gt;=Train_Start)*(B6042&lt;=Train_End)</f>
        <v>0</v>
      </c>
      <c r="T6042" s="84" t="n">
        <f aca="false">IF(AND(ISNUMBER(O6042),ISNUMBER(P6042)),Coef_A+Coef_B1*O6042+Coef_B2*P6042,"")</f>
        <v>26.6631505992889</v>
      </c>
      <c r="U6042" s="84" t="n">
        <f aca="false">IF(AND(R6042=1,ISNUMBER(T6042)),E6042-T6042,"")</f>
        <v>2.23684940071105</v>
      </c>
      <c r="V6042" s="84" t="n">
        <f aca="false">IF(ISNUMBER(T6042),T6042,-99)</f>
        <v>26.6631505992889</v>
      </c>
      <c r="W6042" s="84" t="n">
        <f aca="false">IF(ISNUMBER(U6042),ABS(U6042),"")</f>
        <v>2.23684940071105</v>
      </c>
    </row>
    <row r="6043" customFormat="false" ht="15" hidden="false" customHeight="false" outlineLevel="0" collapsed="false">
      <c r="A6043" s="57" t="n">
        <v>43295</v>
      </c>
      <c r="B6043" s="56" t="n">
        <v>2018</v>
      </c>
      <c r="C6043" s="56" t="n">
        <v>7</v>
      </c>
      <c r="D6043" s="56" t="n">
        <v>75</v>
      </c>
      <c r="E6043" s="56" t="n">
        <v>30.3</v>
      </c>
      <c r="F6043" s="56" t="n">
        <v>0</v>
      </c>
      <c r="G6043" s="56" t="n">
        <v>14.9</v>
      </c>
      <c r="H6043" s="56" t="n">
        <v>0</v>
      </c>
      <c r="I6043" s="56" t="n">
        <v>21.9</v>
      </c>
      <c r="J6043" s="56" t="n">
        <v>0</v>
      </c>
      <c r="K6043" s="56" t="n">
        <v>1019.8</v>
      </c>
      <c r="L6043" s="56" t="n">
        <v>0</v>
      </c>
      <c r="M6043" s="56" t="n">
        <v>59</v>
      </c>
      <c r="N6043" s="56" t="n">
        <v>12.3</v>
      </c>
      <c r="O6043" s="56" t="n">
        <f aca="false">IF(D6043=1,"",E6042)</f>
        <v>28.9</v>
      </c>
      <c r="P6043" s="56" t="n">
        <f aca="false">IF(OR(D6043=1,K6042=""),"",K6042)</f>
        <v>1021.8</v>
      </c>
      <c r="Q6043" s="56" t="n">
        <f aca="false">IF(OR(F6043&lt;&gt;0,AND(I6043&lt;&gt;"",E6043&lt;I6043)),1,0)</f>
        <v>0</v>
      </c>
      <c r="R6043" s="56" t="n">
        <f aca="false">IF(AND(D6043&gt;1,Q6043=0,ISNUMBER(O6043),ISNUMBER(P6043)),IF(Q6042=0,1,0),0)</f>
        <v>1</v>
      </c>
      <c r="S6043" s="56" t="n">
        <f aca="false">R6043*(B6043&gt;=Train_Start)*(B6043&lt;=Train_End)</f>
        <v>0</v>
      </c>
      <c r="T6043" s="84" t="n">
        <f aca="false">IF(AND(ISNUMBER(O6043),ISNUMBER(P6043)),Coef_A+Coef_B1*O6043+Coef_B2*P6043,"")</f>
        <v>27.8196364379389</v>
      </c>
      <c r="U6043" s="84" t="n">
        <f aca="false">IF(AND(R6043=1,ISNUMBER(T6043)),E6043-T6043,"")</f>
        <v>2.48036356206114</v>
      </c>
      <c r="V6043" s="84" t="n">
        <f aca="false">IF(ISNUMBER(T6043),T6043,-99)</f>
        <v>27.8196364379389</v>
      </c>
      <c r="W6043" s="84" t="n">
        <f aca="false">IF(ISNUMBER(U6043),ABS(U6043),"")</f>
        <v>2.48036356206114</v>
      </c>
    </row>
    <row r="6044" customFormat="false" ht="15" hidden="false" customHeight="false" outlineLevel="0" collapsed="false">
      <c r="A6044" s="57" t="n">
        <v>43296</v>
      </c>
      <c r="B6044" s="56" t="n">
        <v>2018</v>
      </c>
      <c r="C6044" s="56" t="n">
        <v>7</v>
      </c>
      <c r="D6044" s="56" t="n">
        <v>76</v>
      </c>
      <c r="E6044" s="56" t="n">
        <v>30</v>
      </c>
      <c r="F6044" s="56" t="n">
        <v>0</v>
      </c>
      <c r="G6044" s="56" t="n">
        <v>15.2</v>
      </c>
      <c r="H6044" s="56" t="n">
        <v>0</v>
      </c>
      <c r="I6044" s="56" t="n">
        <v>22.8</v>
      </c>
      <c r="J6044" s="56" t="n">
        <v>0</v>
      </c>
      <c r="K6044" s="56" t="n">
        <v>1015.8</v>
      </c>
      <c r="L6044" s="56" t="n">
        <v>0</v>
      </c>
      <c r="M6044" s="56" t="n">
        <v>48</v>
      </c>
      <c r="N6044" s="56" t="n">
        <v>14.2</v>
      </c>
      <c r="O6044" s="56" t="n">
        <f aca="false">IF(D6044=1,"",E6043)</f>
        <v>30.3</v>
      </c>
      <c r="P6044" s="56" t="n">
        <f aca="false">IF(OR(D6044=1,K6043=""),"",K6043)</f>
        <v>1019.8</v>
      </c>
      <c r="Q6044" s="56" t="n">
        <f aca="false">IF(OR(F6044&lt;&gt;0,AND(I6044&lt;&gt;"",E6044&lt;I6044)),1,0)</f>
        <v>0</v>
      </c>
      <c r="R6044" s="56" t="n">
        <f aca="false">IF(AND(D6044&gt;1,Q6044=0,ISNUMBER(O6044),ISNUMBER(P6044)),IF(Q6043=0,1,0),0)</f>
        <v>1</v>
      </c>
      <c r="S6044" s="56" t="n">
        <f aca="false">R6044*(B6044&gt;=Train_Start)*(B6044&lt;=Train_End)</f>
        <v>0</v>
      </c>
      <c r="T6044" s="84" t="n">
        <f aca="false">IF(AND(ISNUMBER(O6044),ISNUMBER(P6044)),Coef_A+Coef_B1*O6044+Coef_B2*P6044,"")</f>
        <v>28.9039715189306</v>
      </c>
      <c r="U6044" s="84" t="n">
        <f aca="false">IF(AND(R6044=1,ISNUMBER(T6044)),E6044-T6044,"")</f>
        <v>1.0960284810694</v>
      </c>
      <c r="V6044" s="84" t="n">
        <f aca="false">IF(ISNUMBER(T6044),T6044,-99)</f>
        <v>28.9039715189306</v>
      </c>
      <c r="W6044" s="84" t="n">
        <f aca="false">IF(ISNUMBER(U6044),ABS(U6044),"")</f>
        <v>1.0960284810694</v>
      </c>
    </row>
    <row r="6045" customFormat="false" ht="15" hidden="false" customHeight="false" outlineLevel="0" collapsed="false">
      <c r="A6045" s="57" t="n">
        <v>43297</v>
      </c>
      <c r="B6045" s="56" t="n">
        <v>2018</v>
      </c>
      <c r="C6045" s="56" t="n">
        <v>7</v>
      </c>
      <c r="D6045" s="56" t="n">
        <v>77</v>
      </c>
      <c r="E6045" s="56" t="n">
        <v>25</v>
      </c>
      <c r="F6045" s="56" t="n">
        <v>0</v>
      </c>
      <c r="G6045" s="56" t="n">
        <v>15.9</v>
      </c>
      <c r="H6045" s="56" t="n">
        <v>0</v>
      </c>
      <c r="I6045" s="56" t="n">
        <v>22.9</v>
      </c>
      <c r="J6045" s="56" t="n">
        <v>0</v>
      </c>
      <c r="K6045" s="56" t="n">
        <v>1013.3</v>
      </c>
      <c r="L6045" s="56" t="n">
        <v>0</v>
      </c>
      <c r="M6045" s="56" t="n">
        <v>48</v>
      </c>
      <c r="N6045" s="56" t="n">
        <v>10.4</v>
      </c>
      <c r="O6045" s="56" t="n">
        <f aca="false">IF(D6045=1,"",E6044)</f>
        <v>30</v>
      </c>
      <c r="P6045" s="56" t="n">
        <f aca="false">IF(OR(D6045=1,K6044=""),"",K6044)</f>
        <v>1015.8</v>
      </c>
      <c r="Q6045" s="56" t="n">
        <f aca="false">IF(OR(F6045&lt;&gt;0,AND(I6045&lt;&gt;"",E6045&lt;I6045)),1,0)</f>
        <v>0</v>
      </c>
      <c r="R6045" s="56" t="n">
        <f aca="false">IF(AND(D6045&gt;1,Q6045=0,ISNUMBER(O6045),ISNUMBER(P6045)),IF(Q6044=0,1,0),0)</f>
        <v>1</v>
      </c>
      <c r="S6045" s="56" t="n">
        <f aca="false">R6045*(B6045&gt;=Train_Start)*(B6045&lt;=Train_End)</f>
        <v>0</v>
      </c>
      <c r="T6045" s="84" t="n">
        <f aca="false">IF(AND(ISNUMBER(O6045),ISNUMBER(P6045)),Coef_A+Coef_B1*O6045+Coef_B2*P6045,"")</f>
        <v>28.5326901824819</v>
      </c>
      <c r="U6045" s="84" t="n">
        <f aca="false">IF(AND(R6045=1,ISNUMBER(T6045)),E6045-T6045,"")</f>
        <v>-3.53269018248185</v>
      </c>
      <c r="V6045" s="84" t="n">
        <f aca="false">IF(ISNUMBER(T6045),T6045,-99)</f>
        <v>28.5326901824819</v>
      </c>
      <c r="W6045" s="84" t="n">
        <f aca="false">IF(ISNUMBER(U6045),ABS(U6045),"")</f>
        <v>3.53269018248185</v>
      </c>
    </row>
    <row r="6046" customFormat="false" ht="15" hidden="false" customHeight="false" outlineLevel="0" collapsed="false">
      <c r="A6046" s="57" t="n">
        <v>43298</v>
      </c>
      <c r="B6046" s="56" t="n">
        <v>2018</v>
      </c>
      <c r="C6046" s="56" t="n">
        <v>7</v>
      </c>
      <c r="D6046" s="56" t="n">
        <v>78</v>
      </c>
      <c r="E6046" s="56" t="n">
        <v>26.5</v>
      </c>
      <c r="F6046" s="56" t="n">
        <v>0</v>
      </c>
      <c r="G6046" s="56" t="n">
        <v>13.8</v>
      </c>
      <c r="H6046" s="56" t="n">
        <v>0</v>
      </c>
      <c r="I6046" s="56" t="n">
        <v>19.4</v>
      </c>
      <c r="J6046" s="56" t="n">
        <v>0</v>
      </c>
      <c r="K6046" s="56" t="n">
        <v>1015.8</v>
      </c>
      <c r="L6046" s="56" t="n">
        <v>0</v>
      </c>
      <c r="M6046" s="56" t="n">
        <v>57</v>
      </c>
      <c r="N6046" s="56" t="n">
        <v>8.5</v>
      </c>
      <c r="O6046" s="56" t="n">
        <f aca="false">IF(D6046=1,"",E6045)</f>
        <v>25</v>
      </c>
      <c r="P6046" s="56" t="n">
        <f aca="false">IF(OR(D6046=1,K6045=""),"",K6045)</f>
        <v>1013.3</v>
      </c>
      <c r="Q6046" s="56" t="n">
        <f aca="false">IF(OR(F6046&lt;&gt;0,AND(I6046&lt;&gt;"",E6046&lt;I6046)),1,0)</f>
        <v>0</v>
      </c>
      <c r="R6046" s="56" t="n">
        <f aca="false">IF(AND(D6046&gt;1,Q6046=0,ISNUMBER(O6046),ISNUMBER(P6046)),IF(Q6045=0,1,0),0)</f>
        <v>1</v>
      </c>
      <c r="S6046" s="56" t="n">
        <f aca="false">R6046*(B6046&gt;=Train_Start)*(B6046&lt;=Train_End)</f>
        <v>0</v>
      </c>
      <c r="T6046" s="84" t="n">
        <f aca="false">IF(AND(ISNUMBER(O6046),ISNUMBER(P6046)),Coef_A+Coef_B1*O6046+Coef_B2*P6046,"")</f>
        <v>24.3575694806836</v>
      </c>
      <c r="U6046" s="84" t="n">
        <f aca="false">IF(AND(R6046=1,ISNUMBER(T6046)),E6046-T6046,"")</f>
        <v>2.14243051931641</v>
      </c>
      <c r="V6046" s="84" t="n">
        <f aca="false">IF(ISNUMBER(T6046),T6046,-99)</f>
        <v>24.3575694806836</v>
      </c>
      <c r="W6046" s="84" t="n">
        <f aca="false">IF(ISNUMBER(U6046),ABS(U6046),"")</f>
        <v>2.14243051931641</v>
      </c>
    </row>
    <row r="6047" customFormat="false" ht="15" hidden="false" customHeight="false" outlineLevel="0" collapsed="false">
      <c r="A6047" s="57" t="n">
        <v>43299</v>
      </c>
      <c r="B6047" s="56" t="n">
        <v>2018</v>
      </c>
      <c r="C6047" s="56" t="n">
        <v>7</v>
      </c>
      <c r="D6047" s="56" t="n">
        <v>79</v>
      </c>
      <c r="E6047" s="56" t="n">
        <v>29</v>
      </c>
      <c r="F6047" s="56" t="n">
        <v>0</v>
      </c>
      <c r="G6047" s="56" t="n">
        <v>15.1</v>
      </c>
      <c r="H6047" s="56" t="n">
        <v>0</v>
      </c>
      <c r="I6047" s="56" t="n">
        <v>20.8</v>
      </c>
      <c r="J6047" s="56" t="n">
        <v>0</v>
      </c>
      <c r="K6047" s="56" t="n">
        <v>1018.2</v>
      </c>
      <c r="L6047" s="56" t="n">
        <v>0</v>
      </c>
      <c r="M6047" s="56" t="n">
        <v>55</v>
      </c>
      <c r="N6047" s="56" t="n">
        <v>6.3</v>
      </c>
      <c r="O6047" s="56" t="n">
        <f aca="false">IF(D6047=1,"",E6046)</f>
        <v>26.5</v>
      </c>
      <c r="P6047" s="56" t="n">
        <f aca="false">IF(OR(D6047=1,K6046=""),"",K6046)</f>
        <v>1015.8</v>
      </c>
      <c r="Q6047" s="56" t="n">
        <f aca="false">IF(OR(F6047&lt;&gt;0,AND(I6047&lt;&gt;"",E6047&lt;I6047)),1,0)</f>
        <v>0</v>
      </c>
      <c r="R6047" s="56" t="n">
        <f aca="false">IF(AND(D6047&gt;1,Q6047=0,ISNUMBER(O6047),ISNUMBER(P6047)),IF(Q6046=0,1,0),0)</f>
        <v>1</v>
      </c>
      <c r="S6047" s="56" t="n">
        <f aca="false">R6047*(B6047&gt;=Train_Start)*(B6047&lt;=Train_End)</f>
        <v>0</v>
      </c>
      <c r="T6047" s="84" t="n">
        <f aca="false">IF(AND(ISNUMBER(O6047),ISNUMBER(P6047)),Coef_A+Coef_B1*O6047+Coef_B2*P6047,"")</f>
        <v>25.6650030068326</v>
      </c>
      <c r="U6047" s="84" t="n">
        <f aca="false">IF(AND(R6047=1,ISNUMBER(T6047)),E6047-T6047,"")</f>
        <v>3.33499699316745</v>
      </c>
      <c r="V6047" s="84" t="n">
        <f aca="false">IF(ISNUMBER(T6047),T6047,-99)</f>
        <v>25.6650030068326</v>
      </c>
      <c r="W6047" s="84" t="n">
        <f aca="false">IF(ISNUMBER(U6047),ABS(U6047),"")</f>
        <v>3.33499699316745</v>
      </c>
    </row>
    <row r="6048" customFormat="false" ht="15" hidden="false" customHeight="false" outlineLevel="0" collapsed="false">
      <c r="A6048" s="57" t="n">
        <v>43300</v>
      </c>
      <c r="B6048" s="56" t="n">
        <v>2018</v>
      </c>
      <c r="C6048" s="56" t="n">
        <v>7</v>
      </c>
      <c r="D6048" s="56" t="n">
        <v>80</v>
      </c>
      <c r="E6048" s="56" t="n">
        <v>25.2</v>
      </c>
      <c r="F6048" s="56" t="n">
        <v>0</v>
      </c>
      <c r="G6048" s="56" t="n">
        <v>14.2</v>
      </c>
      <c r="H6048" s="56" t="n">
        <v>0</v>
      </c>
      <c r="I6048" s="56" t="n">
        <v>21.6</v>
      </c>
      <c r="J6048" s="56" t="n">
        <v>0</v>
      </c>
      <c r="K6048" s="56" t="n">
        <v>1018.1</v>
      </c>
      <c r="L6048" s="56" t="n">
        <v>0</v>
      </c>
      <c r="M6048" s="56" t="n">
        <v>51</v>
      </c>
      <c r="N6048" s="56" t="n">
        <v>7.3</v>
      </c>
      <c r="O6048" s="56" t="n">
        <f aca="false">IF(D6048=1,"",E6047)</f>
        <v>29</v>
      </c>
      <c r="P6048" s="56" t="n">
        <f aca="false">IF(OR(D6048=1,K6047=""),"",K6047)</f>
        <v>1018.2</v>
      </c>
      <c r="Q6048" s="56" t="n">
        <f aca="false">IF(OR(F6048&lt;&gt;0,AND(I6048&lt;&gt;"",E6048&lt;I6048)),1,0)</f>
        <v>0</v>
      </c>
      <c r="R6048" s="56" t="n">
        <f aca="false">IF(AND(D6048&gt;1,Q6048=0,ISNUMBER(O6048),ISNUMBER(P6048)),IF(Q6047=0,1,0),0)</f>
        <v>1</v>
      </c>
      <c r="S6048" s="56" t="n">
        <f aca="false">R6048*(B6048&gt;=Train_Start)*(B6048&lt;=Train_End)</f>
        <v>0</v>
      </c>
      <c r="T6048" s="84" t="n">
        <f aca="false">IF(AND(ISNUMBER(O6048),ISNUMBER(P6048)),Coef_A+Coef_B1*O6048+Coef_B2*P6048,"")</f>
        <v>27.7886387365608</v>
      </c>
      <c r="U6048" s="84" t="n">
        <f aca="false">IF(AND(R6048=1,ISNUMBER(T6048)),E6048-T6048,"")</f>
        <v>-2.58863873656077</v>
      </c>
      <c r="V6048" s="84" t="n">
        <f aca="false">IF(ISNUMBER(T6048),T6048,-99)</f>
        <v>27.7886387365608</v>
      </c>
      <c r="W6048" s="84" t="n">
        <f aca="false">IF(ISNUMBER(U6048),ABS(U6048),"")</f>
        <v>2.58863873656077</v>
      </c>
    </row>
    <row r="6049" customFormat="false" ht="15" hidden="false" customHeight="false" outlineLevel="0" collapsed="false">
      <c r="A6049" s="57" t="n">
        <v>43301</v>
      </c>
      <c r="B6049" s="56" t="n">
        <v>2018</v>
      </c>
      <c r="C6049" s="56" t="n">
        <v>7</v>
      </c>
      <c r="D6049" s="56" t="n">
        <v>81</v>
      </c>
      <c r="E6049" s="56" t="n">
        <v>28.5</v>
      </c>
      <c r="F6049" s="56" t="n">
        <v>0</v>
      </c>
      <c r="G6049" s="56" t="n">
        <v>18.8</v>
      </c>
      <c r="H6049" s="56" t="n">
        <v>0</v>
      </c>
      <c r="I6049" s="56" t="n">
        <v>22</v>
      </c>
      <c r="J6049" s="56" t="n">
        <v>0</v>
      </c>
      <c r="K6049" s="56" t="n">
        <v>1014.4</v>
      </c>
      <c r="L6049" s="56" t="n">
        <v>0</v>
      </c>
      <c r="M6049" s="56" t="n">
        <v>55</v>
      </c>
      <c r="N6049" s="56" t="n">
        <v>1</v>
      </c>
      <c r="O6049" s="56" t="n">
        <f aca="false">IF(D6049=1,"",E6048)</f>
        <v>25.2</v>
      </c>
      <c r="P6049" s="56" t="n">
        <f aca="false">IF(OR(D6049=1,K6048=""),"",K6048)</f>
        <v>1018.1</v>
      </c>
      <c r="Q6049" s="56" t="n">
        <f aca="false">IF(OR(F6049&lt;&gt;0,AND(I6049&lt;&gt;"",E6049&lt;I6049)),1,0)</f>
        <v>0</v>
      </c>
      <c r="R6049" s="56" t="n">
        <f aca="false">IF(AND(D6049&gt;1,Q6049=0,ISNUMBER(O6049),ISNUMBER(P6049)),IF(Q6048=0,1,0),0)</f>
        <v>1</v>
      </c>
      <c r="S6049" s="56" t="n">
        <f aca="false">R6049*(B6049&gt;=Train_Start)*(B6049&lt;=Train_End)</f>
        <v>0</v>
      </c>
      <c r="T6049" s="84" t="n">
        <f aca="false">IF(AND(ISNUMBER(O6049),ISNUMBER(P6049)),Coef_A+Coef_B1*O6049+Coef_B2*P6049,"")</f>
        <v>24.6720128135353</v>
      </c>
      <c r="U6049" s="84" t="n">
        <f aca="false">IF(AND(R6049=1,ISNUMBER(T6049)),E6049-T6049,"")</f>
        <v>3.82798718646473</v>
      </c>
      <c r="V6049" s="84" t="n">
        <f aca="false">IF(ISNUMBER(T6049),T6049,-99)</f>
        <v>24.6720128135353</v>
      </c>
      <c r="W6049" s="84" t="n">
        <f aca="false">IF(ISNUMBER(U6049),ABS(U6049),"")</f>
        <v>3.82798718646473</v>
      </c>
    </row>
    <row r="6050" customFormat="false" ht="15" hidden="false" customHeight="false" outlineLevel="0" collapsed="false">
      <c r="A6050" s="57" t="n">
        <v>43302</v>
      </c>
      <c r="B6050" s="56" t="n">
        <v>2018</v>
      </c>
      <c r="C6050" s="56" t="n">
        <v>7</v>
      </c>
      <c r="D6050" s="56" t="n">
        <v>82</v>
      </c>
      <c r="E6050" s="56" t="n">
        <v>28.9</v>
      </c>
      <c r="F6050" s="56" t="n">
        <v>0</v>
      </c>
      <c r="G6050" s="56" t="n">
        <v>16.9</v>
      </c>
      <c r="H6050" s="56" t="n">
        <v>0</v>
      </c>
      <c r="I6050" s="56" t="n">
        <v>22.7</v>
      </c>
      <c r="J6050" s="56" t="n">
        <v>0</v>
      </c>
      <c r="K6050" s="56" t="n">
        <v>1013.8</v>
      </c>
      <c r="L6050" s="56" t="n">
        <v>0</v>
      </c>
      <c r="M6050" s="56" t="n">
        <v>63</v>
      </c>
      <c r="N6050" s="56" t="n">
        <v>6</v>
      </c>
      <c r="O6050" s="56" t="n">
        <f aca="false">IF(D6050=1,"",E6049)</f>
        <v>28.5</v>
      </c>
      <c r="P6050" s="56" t="n">
        <f aca="false">IF(OR(D6050=1,K6049=""),"",K6049)</f>
        <v>1014.4</v>
      </c>
      <c r="Q6050" s="56" t="n">
        <f aca="false">IF(OR(F6050&lt;&gt;0,AND(I6050&lt;&gt;"",E6050&lt;I6050)),1,0)</f>
        <v>0</v>
      </c>
      <c r="R6050" s="56" t="n">
        <f aca="false">IF(AND(D6050&gt;1,Q6050=0,ISNUMBER(O6050),ISNUMBER(P6050)),IF(Q6049=0,1,0),0)</f>
        <v>1</v>
      </c>
      <c r="S6050" s="56" t="n">
        <f aca="false">R6050*(B6050&gt;=Train_Start)*(B6050&lt;=Train_End)</f>
        <v>0</v>
      </c>
      <c r="T6050" s="84" t="n">
        <f aca="false">IF(AND(ISNUMBER(O6050),ISNUMBER(P6050)),Coef_A+Coef_B1*O6050+Coef_B2*P6050,"")</f>
        <v>27.2597635404303</v>
      </c>
      <c r="U6050" s="84" t="n">
        <f aca="false">IF(AND(R6050=1,ISNUMBER(T6050)),E6050-T6050,"")</f>
        <v>1.64023645956972</v>
      </c>
      <c r="V6050" s="84" t="n">
        <f aca="false">IF(ISNUMBER(T6050),T6050,-99)</f>
        <v>27.2597635404303</v>
      </c>
      <c r="W6050" s="84" t="n">
        <f aca="false">IF(ISNUMBER(U6050),ABS(U6050),"")</f>
        <v>1.64023645956972</v>
      </c>
    </row>
    <row r="6051" customFormat="false" ht="15" hidden="false" customHeight="false" outlineLevel="0" collapsed="false">
      <c r="A6051" s="57" t="n">
        <v>43303</v>
      </c>
      <c r="B6051" s="56" t="n">
        <v>2018</v>
      </c>
      <c r="C6051" s="56" t="n">
        <v>7</v>
      </c>
      <c r="D6051" s="56" t="n">
        <v>83</v>
      </c>
      <c r="E6051" s="56" t="n">
        <v>32.2</v>
      </c>
      <c r="F6051" s="56" t="n">
        <v>0</v>
      </c>
      <c r="G6051" s="56" t="n">
        <v>16.8</v>
      </c>
      <c r="H6051" s="56" t="n">
        <v>0</v>
      </c>
      <c r="I6051" s="56" t="n">
        <v>22.9</v>
      </c>
      <c r="J6051" s="56" t="n">
        <v>0</v>
      </c>
      <c r="K6051" s="56" t="n">
        <v>1015.5</v>
      </c>
      <c r="L6051" s="56" t="n">
        <v>0</v>
      </c>
      <c r="M6051" s="56" t="n">
        <v>55</v>
      </c>
      <c r="N6051" s="56" t="n">
        <v>3</v>
      </c>
      <c r="O6051" s="56" t="n">
        <f aca="false">IF(D6051=1,"",E6050)</f>
        <v>28.9</v>
      </c>
      <c r="P6051" s="56" t="n">
        <f aca="false">IF(OR(D6051=1,K6050=""),"",K6050)</f>
        <v>1013.8</v>
      </c>
      <c r="Q6051" s="56" t="n">
        <f aca="false">IF(OR(F6051&lt;&gt;0,AND(I6051&lt;&gt;"",E6051&lt;I6051)),1,0)</f>
        <v>0</v>
      </c>
      <c r="R6051" s="56" t="n">
        <f aca="false">IF(AND(D6051&gt;1,Q6051=0,ISNUMBER(O6051),ISNUMBER(P6051)),IF(Q6050=0,1,0),0)</f>
        <v>1</v>
      </c>
      <c r="S6051" s="56" t="n">
        <f aca="false">R6051*(B6051&gt;=Train_Start)*(B6051&lt;=Train_End)</f>
        <v>0</v>
      </c>
      <c r="T6051" s="84" t="n">
        <f aca="false">IF(AND(ISNUMBER(O6051),ISNUMBER(P6051)),Coef_A+Coef_B1*O6051+Coef_B2*P6051,"")</f>
        <v>27.5686772808669</v>
      </c>
      <c r="U6051" s="84" t="n">
        <f aca="false">IF(AND(R6051=1,ISNUMBER(T6051)),E6051-T6051,"")</f>
        <v>4.63132271913306</v>
      </c>
      <c r="V6051" s="84" t="n">
        <f aca="false">IF(ISNUMBER(T6051),T6051,-99)</f>
        <v>27.5686772808669</v>
      </c>
      <c r="W6051" s="84" t="n">
        <f aca="false">IF(ISNUMBER(U6051),ABS(U6051),"")</f>
        <v>4.63132271913306</v>
      </c>
    </row>
    <row r="6052" customFormat="false" ht="15" hidden="false" customHeight="false" outlineLevel="0" collapsed="false">
      <c r="A6052" s="57" t="n">
        <v>43304</v>
      </c>
      <c r="B6052" s="56" t="n">
        <v>2018</v>
      </c>
      <c r="C6052" s="56" t="n">
        <v>7</v>
      </c>
      <c r="D6052" s="56" t="n">
        <v>84</v>
      </c>
      <c r="E6052" s="56" t="n">
        <v>30.2</v>
      </c>
      <c r="F6052" s="56" t="n">
        <v>0</v>
      </c>
      <c r="G6052" s="56" t="n">
        <v>19</v>
      </c>
      <c r="H6052" s="56" t="n">
        <v>0</v>
      </c>
      <c r="I6052" s="56" t="n">
        <v>25.6</v>
      </c>
      <c r="J6052" s="56" t="n">
        <v>0</v>
      </c>
      <c r="K6052" s="56" t="n">
        <v>1015.8</v>
      </c>
      <c r="L6052" s="56" t="n">
        <v>0</v>
      </c>
      <c r="M6052" s="56" t="n">
        <v>53</v>
      </c>
      <c r="N6052" s="56" t="n">
        <v>12.2</v>
      </c>
      <c r="O6052" s="56" t="n">
        <f aca="false">IF(D6052=1,"",E6051)</f>
        <v>32.2</v>
      </c>
      <c r="P6052" s="56" t="n">
        <f aca="false">IF(OR(D6052=1,K6051=""),"",K6051)</f>
        <v>1015.5</v>
      </c>
      <c r="Q6052" s="56" t="n">
        <f aca="false">IF(OR(F6052&lt;&gt;0,AND(I6052&lt;&gt;"",E6052&lt;I6052)),1,0)</f>
        <v>0</v>
      </c>
      <c r="R6052" s="56" t="n">
        <f aca="false">IF(AND(D6052&gt;1,Q6052=0,ISNUMBER(O6052),ISNUMBER(P6052)),IF(Q6051=0,1,0),0)</f>
        <v>1</v>
      </c>
      <c r="S6052" s="56" t="n">
        <f aca="false">R6052*(B6052&gt;=Train_Start)*(B6052&lt;=Train_End)</f>
        <v>0</v>
      </c>
      <c r="T6052" s="84" t="n">
        <f aca="false">IF(AND(ISNUMBER(O6052),ISNUMBER(P6052)),Coef_A+Coef_B1*O6052+Coef_B2*P6052,"")</f>
        <v>30.3258254387855</v>
      </c>
      <c r="U6052" s="84" t="n">
        <f aca="false">IF(AND(R6052=1,ISNUMBER(T6052)),E6052-T6052,"")</f>
        <v>-0.125825438785505</v>
      </c>
      <c r="V6052" s="84" t="n">
        <f aca="false">IF(ISNUMBER(T6052),T6052,-99)</f>
        <v>30.3258254387855</v>
      </c>
      <c r="W6052" s="84" t="n">
        <f aca="false">IF(ISNUMBER(U6052),ABS(U6052),"")</f>
        <v>0.125825438785505</v>
      </c>
    </row>
    <row r="6053" customFormat="false" ht="15" hidden="false" customHeight="false" outlineLevel="0" collapsed="false">
      <c r="A6053" s="57" t="n">
        <v>43305</v>
      </c>
      <c r="B6053" s="56" t="n">
        <v>2018</v>
      </c>
      <c r="C6053" s="56" t="n">
        <v>7</v>
      </c>
      <c r="D6053" s="56" t="n">
        <v>85</v>
      </c>
      <c r="E6053" s="56" t="n">
        <v>30.9</v>
      </c>
      <c r="F6053" s="56" t="n">
        <v>0</v>
      </c>
      <c r="G6053" s="56" t="n">
        <v>17.3</v>
      </c>
      <c r="H6053" s="56" t="n">
        <v>0</v>
      </c>
      <c r="I6053" s="56" t="n">
        <v>23.8</v>
      </c>
      <c r="J6053" s="56" t="n">
        <v>0</v>
      </c>
      <c r="K6053" s="56" t="n">
        <v>1014.3</v>
      </c>
      <c r="L6053" s="56" t="n">
        <v>0</v>
      </c>
      <c r="M6053" s="56" t="n">
        <v>60</v>
      </c>
      <c r="N6053" s="56" t="n">
        <v>10.4</v>
      </c>
      <c r="O6053" s="56" t="n">
        <f aca="false">IF(D6053=1,"",E6052)</f>
        <v>30.2</v>
      </c>
      <c r="P6053" s="56" t="n">
        <f aca="false">IF(OR(D6053=1,K6052=""),"",K6052)</f>
        <v>1015.8</v>
      </c>
      <c r="Q6053" s="56" t="n">
        <f aca="false">IF(OR(F6053&lt;&gt;0,AND(I6053&lt;&gt;"",E6053&lt;I6053)),1,0)</f>
        <v>0</v>
      </c>
      <c r="R6053" s="56" t="n">
        <f aca="false">IF(AND(D6053&gt;1,Q6053=0,ISNUMBER(O6053),ISNUMBER(P6053)),IF(Q6052=0,1,0),0)</f>
        <v>1</v>
      </c>
      <c r="S6053" s="56" t="n">
        <f aca="false">R6053*(B6053&gt;=Train_Start)*(B6053&lt;=Train_End)</f>
        <v>0</v>
      </c>
      <c r="T6053" s="84" t="n">
        <f aca="false">IF(AND(ISNUMBER(O6053),ISNUMBER(P6053)),Coef_A+Coef_B1*O6053+Coef_B2*P6053,"")</f>
        <v>28.6965580210904</v>
      </c>
      <c r="U6053" s="84" t="n">
        <f aca="false">IF(AND(R6053=1,ISNUMBER(T6053)),E6053-T6053,"")</f>
        <v>2.20344197890962</v>
      </c>
      <c r="V6053" s="84" t="n">
        <f aca="false">IF(ISNUMBER(T6053),T6053,-99)</f>
        <v>28.6965580210904</v>
      </c>
      <c r="W6053" s="84" t="n">
        <f aca="false">IF(ISNUMBER(U6053),ABS(U6053),"")</f>
        <v>2.20344197890962</v>
      </c>
    </row>
    <row r="6054" customFormat="false" ht="15" hidden="false" customHeight="false" outlineLevel="0" collapsed="false">
      <c r="A6054" s="57" t="n">
        <v>43306</v>
      </c>
      <c r="B6054" s="56" t="n">
        <v>2018</v>
      </c>
      <c r="C6054" s="56" t="n">
        <v>7</v>
      </c>
      <c r="D6054" s="56" t="n">
        <v>86</v>
      </c>
      <c r="E6054" s="56" t="n">
        <v>35</v>
      </c>
      <c r="F6054" s="56" t="n">
        <v>0</v>
      </c>
      <c r="G6054" s="56" t="n">
        <v>17.7</v>
      </c>
      <c r="H6054" s="56" t="n">
        <v>0</v>
      </c>
      <c r="I6054" s="56" t="n">
        <v>24.3</v>
      </c>
      <c r="J6054" s="56" t="n">
        <v>0</v>
      </c>
      <c r="K6054" s="56" t="n">
        <v>1016.1</v>
      </c>
      <c r="L6054" s="56" t="n">
        <v>0</v>
      </c>
      <c r="M6054" s="56" t="n">
        <v>52</v>
      </c>
      <c r="N6054" s="56" t="n">
        <v>11.6</v>
      </c>
      <c r="O6054" s="56" t="n">
        <f aca="false">IF(D6054=1,"",E6053)</f>
        <v>30.9</v>
      </c>
      <c r="P6054" s="56" t="n">
        <f aca="false">IF(OR(D6054=1,K6053=""),"",K6053)</f>
        <v>1014.3</v>
      </c>
      <c r="Q6054" s="56" t="n">
        <f aca="false">IF(OR(F6054&lt;&gt;0,AND(I6054&lt;&gt;"",E6054&lt;I6054)),1,0)</f>
        <v>0</v>
      </c>
      <c r="R6054" s="56" t="n">
        <f aca="false">IF(AND(D6054&gt;1,Q6054=0,ISNUMBER(O6054),ISNUMBER(P6054)),IF(Q6053=0,1,0),0)</f>
        <v>1</v>
      </c>
      <c r="S6054" s="56" t="n">
        <f aca="false">R6054*(B6054&gt;=Train_Start)*(B6054&lt;=Train_End)</f>
        <v>0</v>
      </c>
      <c r="T6054" s="84" t="n">
        <f aca="false">IF(AND(ISNUMBER(O6054),ISNUMBER(P6054)),Coef_A+Coef_B1*O6054+Coef_B2*P6054,"")</f>
        <v>29.2230406142693</v>
      </c>
      <c r="U6054" s="84" t="n">
        <f aca="false">IF(AND(R6054=1,ISNUMBER(T6054)),E6054-T6054,"")</f>
        <v>5.77695938573075</v>
      </c>
      <c r="V6054" s="84" t="n">
        <f aca="false">IF(ISNUMBER(T6054),T6054,-99)</f>
        <v>29.2230406142693</v>
      </c>
      <c r="W6054" s="84" t="n">
        <f aca="false">IF(ISNUMBER(U6054),ABS(U6054),"")</f>
        <v>5.77695938573075</v>
      </c>
    </row>
    <row r="6055" customFormat="false" ht="15" hidden="false" customHeight="false" outlineLevel="0" collapsed="false">
      <c r="A6055" s="57" t="n">
        <v>43307</v>
      </c>
      <c r="B6055" s="56" t="n">
        <v>2018</v>
      </c>
      <c r="C6055" s="56" t="n">
        <v>7</v>
      </c>
      <c r="D6055" s="56" t="n">
        <v>87</v>
      </c>
      <c r="E6055" s="56" t="n">
        <v>32</v>
      </c>
      <c r="F6055" s="56" t="n">
        <v>0</v>
      </c>
      <c r="G6055" s="56" t="n">
        <v>18.9</v>
      </c>
      <c r="H6055" s="56" t="n">
        <v>0</v>
      </c>
      <c r="I6055" s="56" t="n">
        <v>26.9</v>
      </c>
      <c r="J6055" s="56" t="n">
        <v>0</v>
      </c>
      <c r="K6055" s="56" t="n">
        <v>1012.9</v>
      </c>
      <c r="L6055" s="56" t="n">
        <v>0</v>
      </c>
      <c r="M6055" s="56" t="n">
        <v>51</v>
      </c>
      <c r="N6055" s="56" t="n">
        <v>10.1</v>
      </c>
      <c r="O6055" s="56" t="n">
        <f aca="false">IF(D6055=1,"",E6054)</f>
        <v>35</v>
      </c>
      <c r="P6055" s="56" t="n">
        <f aca="false">IF(OR(D6055=1,K6054=""),"",K6054)</f>
        <v>1016.1</v>
      </c>
      <c r="Q6055" s="56" t="n">
        <f aca="false">IF(OR(F6055&lt;&gt;0,AND(I6055&lt;&gt;"",E6055&lt;I6055)),1,0)</f>
        <v>0</v>
      </c>
      <c r="R6055" s="56" t="n">
        <f aca="false">IF(AND(D6055&gt;1,Q6055=0,ISNUMBER(O6055),ISNUMBER(P6055)),IF(Q6054=0,1,0),0)</f>
        <v>1</v>
      </c>
      <c r="S6055" s="56" t="n">
        <f aca="false">R6055*(B6055&gt;=Train_Start)*(B6055&lt;=Train_End)</f>
        <v>0</v>
      </c>
      <c r="T6055" s="84" t="n">
        <f aca="false">IF(AND(ISNUMBER(O6055),ISNUMBER(P6055)),Coef_A+Coef_B1*O6055+Coef_B2*P6055,"")</f>
        <v>32.6387971160853</v>
      </c>
      <c r="U6055" s="84" t="n">
        <f aca="false">IF(AND(R6055=1,ISNUMBER(T6055)),E6055-T6055,"")</f>
        <v>-0.638797116085335</v>
      </c>
      <c r="V6055" s="84" t="n">
        <f aca="false">IF(ISNUMBER(T6055),T6055,-99)</f>
        <v>32.6387971160853</v>
      </c>
      <c r="W6055" s="84" t="n">
        <f aca="false">IF(ISNUMBER(U6055),ABS(U6055),"")</f>
        <v>0.638797116085335</v>
      </c>
    </row>
    <row r="6056" customFormat="false" ht="15" hidden="false" customHeight="false" outlineLevel="0" collapsed="false">
      <c r="A6056" s="57" t="n">
        <v>43308</v>
      </c>
      <c r="B6056" s="56" t="n">
        <v>2018</v>
      </c>
      <c r="C6056" s="56" t="n">
        <v>7</v>
      </c>
      <c r="D6056" s="56" t="n">
        <v>88</v>
      </c>
      <c r="E6056" s="56" t="n">
        <v>23</v>
      </c>
      <c r="F6056" s="56" t="n">
        <v>1</v>
      </c>
      <c r="G6056" s="56" t="n">
        <v>19.9</v>
      </c>
      <c r="H6056" s="56" t="n">
        <v>0</v>
      </c>
      <c r="I6056" s="56" t="n">
        <v>25.9</v>
      </c>
      <c r="J6056" s="56" t="n">
        <v>1</v>
      </c>
      <c r="K6056" s="56" t="n">
        <v>1009.3</v>
      </c>
      <c r="L6056" s="56" t="n">
        <v>0</v>
      </c>
      <c r="M6056" s="56" t="n">
        <v>62</v>
      </c>
      <c r="N6056" s="56" t="n">
        <v>7.3</v>
      </c>
      <c r="O6056" s="56" t="n">
        <f aca="false">IF(D6056=1,"",E6055)</f>
        <v>32</v>
      </c>
      <c r="P6056" s="56" t="n">
        <f aca="false">IF(OR(D6056=1,K6055=""),"",K6055)</f>
        <v>1012.9</v>
      </c>
      <c r="Q6056" s="56" t="n">
        <f aca="false">IF(OR(F6056&lt;&gt;0,AND(I6056&lt;&gt;"",E6056&lt;I6056)),1,0)</f>
        <v>1</v>
      </c>
      <c r="R6056" s="56" t="n">
        <f aca="false">IF(AND(D6056&gt;1,Q6056=0,ISNUMBER(O6056),ISNUMBER(P6056)),IF(Q6055=0,1,0),0)</f>
        <v>0</v>
      </c>
      <c r="S6056" s="56" t="n">
        <f aca="false">R6056*(B6056&gt;=Train_Start)*(B6056&lt;=Train_End)</f>
        <v>0</v>
      </c>
      <c r="T6056" s="84" t="n">
        <f aca="false">IF(AND(ISNUMBER(O6056),ISNUMBER(P6056)),Coef_A+Coef_B1*O6056+Coef_B2*P6056,"")</f>
        <v>30.0803958741286</v>
      </c>
      <c r="U6056" s="84" t="str">
        <f aca="false">IF(AND(R6056=1,ISNUMBER(T6056)),E6056-T6056,"")</f>
        <v/>
      </c>
      <c r="V6056" s="84" t="n">
        <f aca="false">IF(ISNUMBER(T6056),T6056,-99)</f>
        <v>30.0803958741286</v>
      </c>
      <c r="W6056" s="84" t="str">
        <f aca="false">IF(ISNUMBER(U6056),ABS(U6056),"")</f>
        <v/>
      </c>
    </row>
    <row r="6057" customFormat="false" ht="15" hidden="false" customHeight="false" outlineLevel="0" collapsed="false">
      <c r="A6057" s="57" t="n">
        <v>43309</v>
      </c>
      <c r="B6057" s="56" t="n">
        <v>2018</v>
      </c>
      <c r="C6057" s="56" t="n">
        <v>7</v>
      </c>
      <c r="D6057" s="56" t="n">
        <v>89</v>
      </c>
      <c r="E6057" s="56" t="n">
        <v>20.8</v>
      </c>
      <c r="F6057" s="56" t="n">
        <v>0</v>
      </c>
      <c r="G6057" s="56" t="n">
        <v>16.2</v>
      </c>
      <c r="H6057" s="56" t="n">
        <v>0</v>
      </c>
      <c r="I6057" s="56" t="n">
        <v>19.6</v>
      </c>
      <c r="J6057" s="56" t="n">
        <v>0</v>
      </c>
      <c r="K6057" s="56" t="n">
        <v>1006.5</v>
      </c>
      <c r="L6057" s="56" t="n">
        <v>0</v>
      </c>
      <c r="M6057" s="56" t="n">
        <v>63</v>
      </c>
      <c r="N6057" s="56" t="n">
        <v>7.9</v>
      </c>
      <c r="O6057" s="56" t="n">
        <f aca="false">IF(D6057=1,"",E6056)</f>
        <v>23</v>
      </c>
      <c r="P6057" s="56" t="n">
        <f aca="false">IF(OR(D6057=1,K6056=""),"",K6056)</f>
        <v>1009.3</v>
      </c>
      <c r="Q6057" s="56" t="n">
        <f aca="false">IF(OR(F6057&lt;&gt;0,AND(I6057&lt;&gt;"",E6057&lt;I6057)),1,0)</f>
        <v>0</v>
      </c>
      <c r="R6057" s="56" t="n">
        <f aca="false">IF(AND(D6057&gt;1,Q6057=0,ISNUMBER(O6057),ISNUMBER(P6057)),IF(Q6056=0,1,0),0)</f>
        <v>0</v>
      </c>
      <c r="S6057" s="56" t="n">
        <f aca="false">R6057*(B6057&gt;=Train_Start)*(B6057&lt;=Train_End)</f>
        <v>0</v>
      </c>
      <c r="T6057" s="84" t="n">
        <f aca="false">IF(AND(ISNUMBER(O6057),ISNUMBER(P6057)),Coef_A+Coef_B1*O6057+Coef_B2*P6057,"")</f>
        <v>22.5934115160623</v>
      </c>
      <c r="U6057" s="84" t="str">
        <f aca="false">IF(AND(R6057=1,ISNUMBER(T6057)),E6057-T6057,"")</f>
        <v/>
      </c>
      <c r="V6057" s="84" t="n">
        <f aca="false">IF(ISNUMBER(T6057),T6057,-99)</f>
        <v>22.5934115160623</v>
      </c>
      <c r="W6057" s="84" t="str">
        <f aca="false">IF(ISNUMBER(U6057),ABS(U6057),"")</f>
        <v/>
      </c>
    </row>
    <row r="6058" customFormat="false" ht="15" hidden="false" customHeight="false" outlineLevel="0" collapsed="false">
      <c r="A6058" s="57" t="n">
        <v>43310</v>
      </c>
      <c r="B6058" s="56" t="n">
        <v>2018</v>
      </c>
      <c r="C6058" s="56" t="n">
        <v>7</v>
      </c>
      <c r="D6058" s="56" t="n">
        <v>90</v>
      </c>
      <c r="E6058" s="56" t="n">
        <v>24.2</v>
      </c>
      <c r="F6058" s="56" t="n">
        <v>0</v>
      </c>
      <c r="G6058" s="56" t="n">
        <v>15.6</v>
      </c>
      <c r="H6058" s="56" t="n">
        <v>0</v>
      </c>
      <c r="I6058" s="56" t="n">
        <v>18.2</v>
      </c>
      <c r="J6058" s="56" t="n">
        <v>0</v>
      </c>
      <c r="K6058" s="56" t="n">
        <v>1005.9</v>
      </c>
      <c r="L6058" s="56" t="n">
        <v>0</v>
      </c>
      <c r="M6058" s="56" t="n">
        <v>86</v>
      </c>
      <c r="N6058" s="56" t="n">
        <v>0</v>
      </c>
      <c r="O6058" s="56" t="n">
        <f aca="false">IF(D6058=1,"",E6057)</f>
        <v>20.8</v>
      </c>
      <c r="P6058" s="56" t="n">
        <f aca="false">IF(OR(D6058=1,K6057=""),"",K6057)</f>
        <v>1006.5</v>
      </c>
      <c r="Q6058" s="56" t="n">
        <f aca="false">IF(OR(F6058&lt;&gt;0,AND(I6058&lt;&gt;"",E6058&lt;I6058)),1,0)</f>
        <v>0</v>
      </c>
      <c r="R6058" s="56" t="n">
        <f aca="false">IF(AND(D6058&gt;1,Q6058=0,ISNUMBER(O6058),ISNUMBER(P6058)),IF(Q6057=0,1,0),0)</f>
        <v>1</v>
      </c>
      <c r="S6058" s="56" t="n">
        <f aca="false">R6058*(B6058&gt;=Train_Start)*(B6058&lt;=Train_End)</f>
        <v>0</v>
      </c>
      <c r="T6058" s="84" t="n">
        <f aca="false">IF(AND(ISNUMBER(O6058),ISNUMBER(P6058)),Coef_A+Coef_B1*O6058+Coef_B2*P6058,"")</f>
        <v>20.7030295863933</v>
      </c>
      <c r="U6058" s="84" t="n">
        <f aca="false">IF(AND(R6058=1,ISNUMBER(T6058)),E6058-T6058,"")</f>
        <v>3.4969704136067</v>
      </c>
      <c r="V6058" s="84" t="n">
        <f aca="false">IF(ISNUMBER(T6058),T6058,-99)</f>
        <v>20.7030295863933</v>
      </c>
      <c r="W6058" s="84" t="n">
        <f aca="false">IF(ISNUMBER(U6058),ABS(U6058),"")</f>
        <v>3.4969704136067</v>
      </c>
    </row>
    <row r="6059" customFormat="false" ht="15" hidden="false" customHeight="false" outlineLevel="0" collapsed="false">
      <c r="A6059" s="57" t="n">
        <v>43311</v>
      </c>
      <c r="B6059" s="56" t="n">
        <v>2018</v>
      </c>
      <c r="C6059" s="56" t="n">
        <v>7</v>
      </c>
      <c r="D6059" s="56" t="n">
        <v>91</v>
      </c>
      <c r="E6059" s="56" t="n">
        <v>25.5</v>
      </c>
      <c r="F6059" s="56" t="n">
        <v>0</v>
      </c>
      <c r="G6059" s="56" t="n">
        <v>16.1</v>
      </c>
      <c r="H6059" s="56" t="n">
        <v>0</v>
      </c>
      <c r="I6059" s="56" t="n">
        <v>20.1</v>
      </c>
      <c r="J6059" s="56" t="n">
        <v>0</v>
      </c>
      <c r="K6059" s="56" t="n">
        <v>1010.7</v>
      </c>
      <c r="L6059" s="56" t="n">
        <v>0</v>
      </c>
      <c r="M6059" s="56" t="n">
        <v>73</v>
      </c>
      <c r="N6059" s="56" t="n">
        <v>3.5</v>
      </c>
      <c r="O6059" s="56" t="n">
        <f aca="false">IF(D6059=1,"",E6058)</f>
        <v>24.2</v>
      </c>
      <c r="P6059" s="56" t="n">
        <f aca="false">IF(OR(D6059=1,K6058=""),"",K6058)</f>
        <v>1005.9</v>
      </c>
      <c r="Q6059" s="56" t="n">
        <f aca="false">IF(OR(F6059&lt;&gt;0,AND(I6059&lt;&gt;"",E6059&lt;I6059)),1,0)</f>
        <v>0</v>
      </c>
      <c r="R6059" s="56" t="n">
        <f aca="false">IF(AND(D6059&gt;1,Q6059=0,ISNUMBER(O6059),ISNUMBER(P6059)),IF(Q6058=0,1,0),0)</f>
        <v>1</v>
      </c>
      <c r="S6059" s="56" t="n">
        <f aca="false">R6059*(B6059&gt;=Train_Start)*(B6059&lt;=Train_End)</f>
        <v>0</v>
      </c>
      <c r="T6059" s="84" t="n">
        <f aca="false">IF(AND(ISNUMBER(O6059),ISNUMBER(P6059)),Coef_A+Coef_B1*O6059+Coef_B2*P6059,"")</f>
        <v>23.4699609059579</v>
      </c>
      <c r="U6059" s="84" t="n">
        <f aca="false">IF(AND(R6059=1,ISNUMBER(T6059)),E6059-T6059,"")</f>
        <v>2.03003909404206</v>
      </c>
      <c r="V6059" s="84" t="n">
        <f aca="false">IF(ISNUMBER(T6059),T6059,-99)</f>
        <v>23.4699609059579</v>
      </c>
      <c r="W6059" s="84" t="n">
        <f aca="false">IF(ISNUMBER(U6059),ABS(U6059),"")</f>
        <v>2.03003909404206</v>
      </c>
    </row>
    <row r="6060" customFormat="false" ht="15" hidden="false" customHeight="false" outlineLevel="0" collapsed="false">
      <c r="A6060" s="57" t="n">
        <v>43312</v>
      </c>
      <c r="B6060" s="56" t="n">
        <v>2018</v>
      </c>
      <c r="C6060" s="56" t="n">
        <v>7</v>
      </c>
      <c r="D6060" s="56" t="n">
        <v>92</v>
      </c>
      <c r="E6060" s="56" t="n">
        <v>26.5</v>
      </c>
      <c r="F6060" s="56" t="n">
        <v>0</v>
      </c>
      <c r="G6060" s="56" t="n">
        <v>15.9</v>
      </c>
      <c r="H6060" s="56" t="n">
        <v>0</v>
      </c>
      <c r="I6060" s="56" t="n">
        <v>20.7</v>
      </c>
      <c r="J6060" s="56" t="n">
        <v>0</v>
      </c>
      <c r="K6060" s="56" t="n">
        <v>1016.1</v>
      </c>
      <c r="L6060" s="56" t="n">
        <v>0</v>
      </c>
      <c r="M6060" s="56" t="n">
        <v>64</v>
      </c>
      <c r="N6060" s="56" t="n">
        <v>9.9</v>
      </c>
      <c r="O6060" s="56" t="n">
        <f aca="false">IF(D6060=1,"",E6059)</f>
        <v>25.5</v>
      </c>
      <c r="P6060" s="56" t="n">
        <f aca="false">IF(OR(D6060=1,K6059=""),"",K6059)</f>
        <v>1010.7</v>
      </c>
      <c r="Q6060" s="56" t="n">
        <f aca="false">IF(OR(F6060&lt;&gt;0,AND(I6060&lt;&gt;"",E6060&lt;I6060)),1,0)</f>
        <v>0</v>
      </c>
      <c r="R6060" s="56" t="n">
        <f aca="false">IF(AND(D6060&gt;1,Q6060=0,ISNUMBER(O6060),ISNUMBER(P6060)),IF(Q6059=0,1,0),0)</f>
        <v>1</v>
      </c>
      <c r="S6060" s="56" t="n">
        <f aca="false">R6060*(B6060&gt;=Train_Start)*(B6060&lt;=Train_End)</f>
        <v>0</v>
      </c>
      <c r="T6060" s="84" t="n">
        <f aca="false">IF(AND(ISNUMBER(O6060),ISNUMBER(P6060)),Coef_A+Coef_B1*O6060+Coef_B2*P6060,"")</f>
        <v>24.6856773511565</v>
      </c>
      <c r="U6060" s="84" t="n">
        <f aca="false">IF(AND(R6060=1,ISNUMBER(T6060)),E6060-T6060,"")</f>
        <v>1.81432264884345</v>
      </c>
      <c r="V6060" s="84" t="n">
        <f aca="false">IF(ISNUMBER(T6060),T6060,-99)</f>
        <v>24.6856773511565</v>
      </c>
      <c r="W6060" s="84" t="n">
        <f aca="false">IF(ISNUMBER(U6060),ABS(U6060),"")</f>
        <v>1.81432264884345</v>
      </c>
    </row>
    <row r="6061" customFormat="false" ht="15" hidden="false" customHeight="false" outlineLevel="0" collapsed="false">
      <c r="A6061" s="57" t="n">
        <v>43313</v>
      </c>
      <c r="B6061" s="56" t="n">
        <v>2018</v>
      </c>
      <c r="C6061" s="56" t="n">
        <v>8</v>
      </c>
      <c r="D6061" s="56" t="n">
        <v>93</v>
      </c>
      <c r="E6061" s="56" t="n">
        <v>30.4</v>
      </c>
      <c r="F6061" s="56" t="n">
        <v>0</v>
      </c>
      <c r="G6061" s="56" t="n">
        <v>13.3</v>
      </c>
      <c r="H6061" s="56" t="n">
        <v>0</v>
      </c>
      <c r="I6061" s="56" t="n">
        <v>19.9</v>
      </c>
      <c r="J6061" s="56" t="n">
        <v>0</v>
      </c>
      <c r="K6061" s="56" t="n">
        <v>1021</v>
      </c>
      <c r="L6061" s="56" t="n">
        <v>0</v>
      </c>
      <c r="M6061" s="56" t="n">
        <v>60</v>
      </c>
      <c r="N6061" s="56" t="n">
        <v>12.1</v>
      </c>
      <c r="O6061" s="56" t="n">
        <f aca="false">IF(D6061=1,"",E6060)</f>
        <v>26.5</v>
      </c>
      <c r="P6061" s="56" t="n">
        <f aca="false">IF(OR(D6061=1,K6060=""),"",K6060)</f>
        <v>1016.1</v>
      </c>
      <c r="Q6061" s="56" t="n">
        <f aca="false">IF(OR(F6061&lt;&gt;0,AND(I6061&lt;&gt;"",E6061&lt;I6061)),1,0)</f>
        <v>0</v>
      </c>
      <c r="R6061" s="56" t="n">
        <f aca="false">IF(AND(D6061&gt;1,Q6061=0,ISNUMBER(O6061),ISNUMBER(P6061)),IF(Q6060=0,1,0),0)</f>
        <v>1</v>
      </c>
      <c r="S6061" s="56" t="n">
        <f aca="false">R6061*(B6061&gt;=Train_Start)*(B6061&lt;=Train_End)</f>
        <v>0</v>
      </c>
      <c r="T6061" s="84" t="n">
        <f aca="false">IF(AND(ISNUMBER(O6061),ISNUMBER(P6061)),Coef_A+Coef_B1*O6061+Coef_B2*P6061,"")</f>
        <v>25.6744139752228</v>
      </c>
      <c r="U6061" s="84" t="n">
        <f aca="false">IF(AND(R6061=1,ISNUMBER(T6061)),E6061-T6061,"")</f>
        <v>4.72558602477725</v>
      </c>
      <c r="V6061" s="84" t="n">
        <f aca="false">IF(ISNUMBER(T6061),T6061,-99)</f>
        <v>25.6744139752228</v>
      </c>
      <c r="W6061" s="84" t="n">
        <f aca="false">IF(ISNUMBER(U6061),ABS(U6061),"")</f>
        <v>4.72558602477725</v>
      </c>
    </row>
    <row r="6062" customFormat="false" ht="15" hidden="false" customHeight="false" outlineLevel="0" collapsed="false">
      <c r="A6062" s="57" t="n">
        <v>43314</v>
      </c>
      <c r="B6062" s="56" t="n">
        <v>2018</v>
      </c>
      <c r="C6062" s="56" t="n">
        <v>8</v>
      </c>
      <c r="D6062" s="56" t="n">
        <v>94</v>
      </c>
      <c r="E6062" s="56" t="n">
        <v>32.6</v>
      </c>
      <c r="F6062" s="56" t="n">
        <v>0</v>
      </c>
      <c r="G6062" s="56" t="n">
        <v>14.1</v>
      </c>
      <c r="H6062" s="56" t="n">
        <v>0</v>
      </c>
      <c r="I6062" s="56" t="n">
        <v>22.2</v>
      </c>
      <c r="J6062" s="56" t="n">
        <v>0</v>
      </c>
      <c r="K6062" s="56" t="n">
        <v>1022.8</v>
      </c>
      <c r="L6062" s="56" t="n">
        <v>0</v>
      </c>
      <c r="M6062" s="56" t="n">
        <v>61</v>
      </c>
      <c r="N6062" s="56" t="n">
        <v>13.3</v>
      </c>
      <c r="O6062" s="56" t="n">
        <f aca="false">IF(D6062=1,"",E6061)</f>
        <v>30.4</v>
      </c>
      <c r="P6062" s="56" t="n">
        <f aca="false">IF(OR(D6062=1,K6061=""),"",K6061)</f>
        <v>1021</v>
      </c>
      <c r="Q6062" s="56" t="n">
        <f aca="false">IF(OR(F6062&lt;&gt;0,AND(I6062&lt;&gt;"",E6062&lt;I6062)),1,0)</f>
        <v>0</v>
      </c>
      <c r="R6062" s="56" t="n">
        <f aca="false">IF(AND(D6062&gt;1,Q6062=0,ISNUMBER(O6062),ISNUMBER(P6062)),IF(Q6061=0,1,0),0)</f>
        <v>1</v>
      </c>
      <c r="S6062" s="56" t="n">
        <f aca="false">R6062*(B6062&gt;=Train_Start)*(B6062&lt;=Train_End)</f>
        <v>0</v>
      </c>
      <c r="T6062" s="84" t="n">
        <f aca="false">IF(AND(ISNUMBER(O6062),ISNUMBER(P6062)),Coef_A+Coef_B1*O6062+Coef_B2*P6062,"")</f>
        <v>29.0235493117957</v>
      </c>
      <c r="U6062" s="84" t="n">
        <f aca="false">IF(AND(R6062=1,ISNUMBER(T6062)),E6062-T6062,"")</f>
        <v>3.57645068820435</v>
      </c>
      <c r="V6062" s="84" t="n">
        <f aca="false">IF(ISNUMBER(T6062),T6062,-99)</f>
        <v>29.0235493117957</v>
      </c>
      <c r="W6062" s="84" t="n">
        <f aca="false">IF(ISNUMBER(U6062),ABS(U6062),"")</f>
        <v>3.57645068820435</v>
      </c>
    </row>
    <row r="6063" customFormat="false" ht="15" hidden="false" customHeight="false" outlineLevel="0" collapsed="false">
      <c r="A6063" s="57" t="n">
        <v>43315</v>
      </c>
      <c r="B6063" s="56" t="n">
        <v>2018</v>
      </c>
      <c r="C6063" s="56" t="n">
        <v>8</v>
      </c>
      <c r="D6063" s="56" t="n">
        <v>95</v>
      </c>
      <c r="E6063" s="56" t="n">
        <v>29</v>
      </c>
      <c r="F6063" s="56" t="n">
        <v>0</v>
      </c>
      <c r="G6063" s="56" t="n">
        <v>18.2</v>
      </c>
      <c r="H6063" s="56" t="n">
        <v>0</v>
      </c>
      <c r="I6063" s="56" t="n">
        <v>25.4</v>
      </c>
      <c r="J6063" s="56" t="n">
        <v>0</v>
      </c>
      <c r="K6063" s="56" t="n">
        <v>1022</v>
      </c>
      <c r="L6063" s="56" t="n">
        <v>0</v>
      </c>
      <c r="M6063" s="56" t="n">
        <v>59</v>
      </c>
      <c r="N6063" s="56" t="n">
        <v>11.2</v>
      </c>
      <c r="O6063" s="56" t="n">
        <f aca="false">IF(D6063=1,"",E6062)</f>
        <v>32.6</v>
      </c>
      <c r="P6063" s="56" t="n">
        <f aca="false">IF(OR(D6063=1,K6062=""),"",K6062)</f>
        <v>1022.8</v>
      </c>
      <c r="Q6063" s="56" t="n">
        <f aca="false">IF(OR(F6063&lt;&gt;0,AND(I6063&lt;&gt;"",E6063&lt;I6063)),1,0)</f>
        <v>0</v>
      </c>
      <c r="R6063" s="56" t="n">
        <f aca="false">IF(AND(D6063&gt;1,Q6063=0,ISNUMBER(O6063),ISNUMBER(P6063)),IF(Q6062=0,1,0),0)</f>
        <v>1</v>
      </c>
      <c r="S6063" s="56" t="n">
        <f aca="false">R6063*(B6063&gt;=Train_Start)*(B6063&lt;=Train_End)</f>
        <v>0</v>
      </c>
      <c r="T6063" s="84" t="n">
        <f aca="false">IF(AND(ISNUMBER(O6063),ISNUMBER(P6063)),Coef_A+Coef_B1*O6063+Coef_B2*P6063,"")</f>
        <v>30.8825613468307</v>
      </c>
      <c r="U6063" s="84" t="n">
        <f aca="false">IF(AND(R6063=1,ISNUMBER(T6063)),E6063-T6063,"")</f>
        <v>-1.88256134683068</v>
      </c>
      <c r="V6063" s="84" t="n">
        <f aca="false">IF(ISNUMBER(T6063),T6063,-99)</f>
        <v>30.8825613468307</v>
      </c>
      <c r="W6063" s="84" t="n">
        <f aca="false">IF(ISNUMBER(U6063),ABS(U6063),"")</f>
        <v>1.88256134683068</v>
      </c>
    </row>
    <row r="6064" customFormat="false" ht="15" hidden="false" customHeight="false" outlineLevel="0" collapsed="false">
      <c r="A6064" s="57" t="n">
        <v>43316</v>
      </c>
      <c r="B6064" s="56" t="n">
        <v>2018</v>
      </c>
      <c r="C6064" s="56" t="n">
        <v>8</v>
      </c>
      <c r="D6064" s="56" t="n">
        <v>96</v>
      </c>
      <c r="E6064" s="56" t="n">
        <v>29.8</v>
      </c>
      <c r="F6064" s="56" t="n">
        <v>0</v>
      </c>
      <c r="G6064" s="56" t="n">
        <v>19.6</v>
      </c>
      <c r="H6064" s="56" t="n">
        <v>0</v>
      </c>
      <c r="I6064" s="56" t="n">
        <v>24.3</v>
      </c>
      <c r="J6064" s="56" t="n">
        <v>0</v>
      </c>
      <c r="K6064" s="56" t="n">
        <v>1023.1</v>
      </c>
      <c r="L6064" s="56" t="n">
        <v>0</v>
      </c>
      <c r="M6064" s="56" t="n">
        <v>57</v>
      </c>
      <c r="N6064" s="56" t="n">
        <v>13.2</v>
      </c>
      <c r="O6064" s="56" t="n">
        <f aca="false">IF(D6064=1,"",E6063)</f>
        <v>29</v>
      </c>
      <c r="P6064" s="56" t="n">
        <f aca="false">IF(OR(D6064=1,K6063=""),"",K6063)</f>
        <v>1022</v>
      </c>
      <c r="Q6064" s="56" t="n">
        <f aca="false">IF(OR(F6064&lt;&gt;0,AND(I6064&lt;&gt;"",E6064&lt;I6064)),1,0)</f>
        <v>0</v>
      </c>
      <c r="R6064" s="56" t="n">
        <f aca="false">IF(AND(D6064&gt;1,Q6064=0,ISNUMBER(O6064),ISNUMBER(P6064)),IF(Q6063=0,1,0),0)</f>
        <v>1</v>
      </c>
      <c r="S6064" s="56" t="n">
        <f aca="false">R6064*(B6064&gt;=Train_Start)*(B6064&lt;=Train_End)</f>
        <v>0</v>
      </c>
      <c r="T6064" s="84" t="n">
        <f aca="false">IF(AND(ISNUMBER(O6064),ISNUMBER(P6064)),Coef_A+Coef_B1*O6064+Coef_B2*P6064,"")</f>
        <v>27.9078443361699</v>
      </c>
      <c r="U6064" s="84" t="n">
        <f aca="false">IF(AND(R6064=1,ISNUMBER(T6064)),E6064-T6064,"")</f>
        <v>1.89215566383007</v>
      </c>
      <c r="V6064" s="84" t="n">
        <f aca="false">IF(ISNUMBER(T6064),T6064,-99)</f>
        <v>27.9078443361699</v>
      </c>
      <c r="W6064" s="84" t="n">
        <f aca="false">IF(ISNUMBER(U6064),ABS(U6064),"")</f>
        <v>1.89215566383007</v>
      </c>
    </row>
    <row r="6065" customFormat="false" ht="15" hidden="false" customHeight="false" outlineLevel="0" collapsed="false">
      <c r="A6065" s="57" t="n">
        <v>43317</v>
      </c>
      <c r="B6065" s="56" t="n">
        <v>2018</v>
      </c>
      <c r="C6065" s="56" t="n">
        <v>8</v>
      </c>
      <c r="D6065" s="56" t="n">
        <v>97</v>
      </c>
      <c r="E6065" s="56" t="n">
        <v>32.4</v>
      </c>
      <c r="F6065" s="56" t="n">
        <v>0</v>
      </c>
      <c r="G6065" s="56" t="n">
        <v>17</v>
      </c>
      <c r="H6065" s="56" t="n">
        <v>0</v>
      </c>
      <c r="I6065" s="56" t="n">
        <v>23.4</v>
      </c>
      <c r="J6065" s="56" t="n">
        <v>0</v>
      </c>
      <c r="K6065" s="56" t="n">
        <v>1022.5</v>
      </c>
      <c r="L6065" s="56" t="n">
        <v>0</v>
      </c>
      <c r="M6065" s="56" t="n">
        <v>58</v>
      </c>
      <c r="N6065" s="56" t="n">
        <v>13.6</v>
      </c>
      <c r="O6065" s="56" t="n">
        <f aca="false">IF(D6065=1,"",E6064)</f>
        <v>29.8</v>
      </c>
      <c r="P6065" s="56" t="n">
        <f aca="false">IF(OR(D6065=1,K6064=""),"",K6064)</f>
        <v>1023.1</v>
      </c>
      <c r="Q6065" s="56" t="n">
        <f aca="false">IF(OR(F6065&lt;&gt;0,AND(I6065&lt;&gt;"",E6065&lt;I6065)),1,0)</f>
        <v>0</v>
      </c>
      <c r="R6065" s="56" t="n">
        <f aca="false">IF(AND(D6065&gt;1,Q6065=0,ISNUMBER(O6065),ISNUMBER(P6065)),IF(Q6064=0,1,0),0)</f>
        <v>1</v>
      </c>
      <c r="S6065" s="56" t="n">
        <f aca="false">R6065*(B6065&gt;=Train_Start)*(B6065&lt;=Train_End)</f>
        <v>0</v>
      </c>
      <c r="T6065" s="84" t="n">
        <f aca="false">IF(AND(ISNUMBER(O6065),ISNUMBER(P6065)),Coef_A+Coef_B1*O6065+Coef_B2*P6065,"")</f>
        <v>28.5978225747014</v>
      </c>
      <c r="U6065" s="84" t="n">
        <f aca="false">IF(AND(R6065=1,ISNUMBER(T6065)),E6065-T6065,"")</f>
        <v>3.80217742529856</v>
      </c>
      <c r="V6065" s="84" t="n">
        <f aca="false">IF(ISNUMBER(T6065),T6065,-99)</f>
        <v>28.5978225747014</v>
      </c>
      <c r="W6065" s="84" t="n">
        <f aca="false">IF(ISNUMBER(U6065),ABS(U6065),"")</f>
        <v>3.80217742529856</v>
      </c>
    </row>
    <row r="6066" customFormat="false" ht="15" hidden="false" customHeight="false" outlineLevel="0" collapsed="false">
      <c r="A6066" s="57" t="n">
        <v>43318</v>
      </c>
      <c r="B6066" s="56" t="n">
        <v>2018</v>
      </c>
      <c r="C6066" s="56" t="n">
        <v>8</v>
      </c>
      <c r="D6066" s="56" t="n">
        <v>98</v>
      </c>
      <c r="E6066" s="56" t="n">
        <v>31.2</v>
      </c>
      <c r="F6066" s="56" t="n">
        <v>0</v>
      </c>
      <c r="G6066" s="56" t="n">
        <v>16.6</v>
      </c>
      <c r="H6066" s="56" t="n">
        <v>0</v>
      </c>
      <c r="I6066" s="56" t="n">
        <v>24.5</v>
      </c>
      <c r="J6066" s="56" t="n">
        <v>0</v>
      </c>
      <c r="K6066" s="56" t="n">
        <v>1014.7</v>
      </c>
      <c r="L6066" s="56" t="n">
        <v>0</v>
      </c>
      <c r="M6066" s="56" t="n">
        <v>50</v>
      </c>
      <c r="N6066" s="56" t="n">
        <v>13.3</v>
      </c>
      <c r="O6066" s="56" t="n">
        <f aca="false">IF(D6066=1,"",E6065)</f>
        <v>32.4</v>
      </c>
      <c r="P6066" s="56" t="n">
        <f aca="false">IF(OR(D6066=1,K6065=""),"",K6065)</f>
        <v>1022.5</v>
      </c>
      <c r="Q6066" s="56" t="n">
        <f aca="false">IF(OR(F6066&lt;&gt;0,AND(I6066&lt;&gt;"",E6066&lt;I6066)),1,0)</f>
        <v>0</v>
      </c>
      <c r="R6066" s="56" t="n">
        <f aca="false">IF(AND(D6066&gt;1,Q6066=0,ISNUMBER(O6066),ISNUMBER(P6066)),IF(Q6065=0,1,0),0)</f>
        <v>1</v>
      </c>
      <c r="S6066" s="56" t="n">
        <f aca="false">R6066*(B6066&gt;=Train_Start)*(B6066&lt;=Train_End)</f>
        <v>0</v>
      </c>
      <c r="T6066" s="84" t="n">
        <f aca="false">IF(AND(ISNUMBER(O6066),ISNUMBER(P6066)),Coef_A+Coef_B1*O6066+Coef_B2*P6066,"")</f>
        <v>30.709282539832</v>
      </c>
      <c r="U6066" s="84" t="n">
        <f aca="false">IF(AND(R6066=1,ISNUMBER(T6066)),E6066-T6066,"")</f>
        <v>0.490717460168039</v>
      </c>
      <c r="V6066" s="84" t="n">
        <f aca="false">IF(ISNUMBER(T6066),T6066,-99)</f>
        <v>30.709282539832</v>
      </c>
      <c r="W6066" s="84" t="n">
        <f aca="false">IF(ISNUMBER(U6066),ABS(U6066),"")</f>
        <v>0.490717460168039</v>
      </c>
    </row>
    <row r="6067" customFormat="false" ht="15" hidden="false" customHeight="false" outlineLevel="0" collapsed="false">
      <c r="A6067" s="57" t="n">
        <v>43319</v>
      </c>
      <c r="B6067" s="56" t="n">
        <v>2018</v>
      </c>
      <c r="C6067" s="56" t="n">
        <v>8</v>
      </c>
      <c r="D6067" s="56" t="n">
        <v>99</v>
      </c>
      <c r="E6067" s="56" t="n">
        <v>25.3</v>
      </c>
      <c r="F6067" s="56" t="n">
        <v>0</v>
      </c>
      <c r="G6067" s="56" t="n">
        <v>17.3</v>
      </c>
      <c r="H6067" s="56" t="n">
        <v>0</v>
      </c>
      <c r="I6067" s="56" t="n">
        <v>24.2</v>
      </c>
      <c r="J6067" s="56" t="n">
        <v>0</v>
      </c>
      <c r="K6067" s="56" t="n">
        <v>1007.9</v>
      </c>
      <c r="L6067" s="56" t="n">
        <v>0</v>
      </c>
      <c r="M6067" s="56" t="n">
        <v>56</v>
      </c>
      <c r="N6067" s="56" t="n">
        <v>8.1</v>
      </c>
      <c r="O6067" s="56" t="n">
        <f aca="false">IF(D6067=1,"",E6066)</f>
        <v>31.2</v>
      </c>
      <c r="P6067" s="56" t="n">
        <f aca="false">IF(OR(D6067=1,K6066=""),"",K6066)</f>
        <v>1014.7</v>
      </c>
      <c r="Q6067" s="56" t="n">
        <f aca="false">IF(OR(F6067&lt;&gt;0,AND(I6067&lt;&gt;"",E6067&lt;I6067)),1,0)</f>
        <v>0</v>
      </c>
      <c r="R6067" s="56" t="n">
        <f aca="false">IF(AND(D6067&gt;1,Q6067=0,ISNUMBER(O6067),ISNUMBER(P6067)),IF(Q6066=0,1,0),0)</f>
        <v>1</v>
      </c>
      <c r="S6067" s="56" t="n">
        <f aca="false">R6067*(B6067&gt;=Train_Start)*(B6067&lt;=Train_End)</f>
        <v>0</v>
      </c>
      <c r="T6067" s="84" t="n">
        <f aca="false">IF(AND(ISNUMBER(O6067),ISNUMBER(P6067)),Coef_A+Coef_B1*O6067+Coef_B2*P6067,"")</f>
        <v>29.4813903300357</v>
      </c>
      <c r="U6067" s="84" t="n">
        <f aca="false">IF(AND(R6067=1,ISNUMBER(T6067)),E6067-T6067,"")</f>
        <v>-4.18139033003565</v>
      </c>
      <c r="V6067" s="84" t="n">
        <f aca="false">IF(ISNUMBER(T6067),T6067,-99)</f>
        <v>29.4813903300357</v>
      </c>
      <c r="W6067" s="84" t="n">
        <f aca="false">IF(ISNUMBER(U6067),ABS(U6067),"")</f>
        <v>4.18139033003565</v>
      </c>
    </row>
    <row r="6068" customFormat="false" ht="15" hidden="false" customHeight="false" outlineLevel="0" collapsed="false">
      <c r="A6068" s="57" t="n">
        <v>43320</v>
      </c>
      <c r="B6068" s="56" t="n">
        <v>2018</v>
      </c>
      <c r="C6068" s="56" t="n">
        <v>8</v>
      </c>
      <c r="D6068" s="56" t="n">
        <v>100</v>
      </c>
      <c r="E6068" s="56" t="n">
        <v>18.4</v>
      </c>
      <c r="F6068" s="56" t="n">
        <v>1</v>
      </c>
      <c r="G6068" s="56" t="n">
        <v>14.4</v>
      </c>
      <c r="H6068" s="56" t="n">
        <v>0</v>
      </c>
      <c r="I6068" s="56" t="n">
        <v>19.9</v>
      </c>
      <c r="J6068" s="56" t="n">
        <v>1</v>
      </c>
      <c r="K6068" s="56" t="n">
        <v>1010.9</v>
      </c>
      <c r="L6068" s="56" t="n">
        <v>0</v>
      </c>
      <c r="M6068" s="56" t="n">
        <v>55</v>
      </c>
      <c r="N6068" s="56" t="n">
        <v>8.9</v>
      </c>
      <c r="O6068" s="56" t="n">
        <f aca="false">IF(D6068=1,"",E6067)</f>
        <v>25.3</v>
      </c>
      <c r="P6068" s="56" t="n">
        <f aca="false">IF(OR(D6068=1,K6067=""),"",K6067)</f>
        <v>1007.9</v>
      </c>
      <c r="Q6068" s="56" t="n">
        <f aca="false">IF(OR(F6068&lt;&gt;0,AND(I6068&lt;&gt;"",E6068&lt;I6068)),1,0)</f>
        <v>1</v>
      </c>
      <c r="R6068" s="56" t="n">
        <f aca="false">IF(AND(D6068&gt;1,Q6068=0,ISNUMBER(O6068),ISNUMBER(P6068)),IF(Q6067=0,1,0),0)</f>
        <v>0</v>
      </c>
      <c r="S6068" s="56" t="n">
        <f aca="false">R6068*(B6068&gt;=Train_Start)*(B6068&lt;=Train_End)</f>
        <v>0</v>
      </c>
      <c r="T6068" s="84" t="n">
        <f aca="false">IF(AND(ISNUMBER(O6068),ISNUMBER(P6068)),Coef_A+Coef_B1*O6068+Coef_B2*P6068,"")</f>
        <v>24.4339738075728</v>
      </c>
      <c r="U6068" s="84" t="str">
        <f aca="false">IF(AND(R6068=1,ISNUMBER(T6068)),E6068-T6068,"")</f>
        <v/>
      </c>
      <c r="V6068" s="84" t="n">
        <f aca="false">IF(ISNUMBER(T6068),T6068,-99)</f>
        <v>24.4339738075728</v>
      </c>
      <c r="W6068" s="84" t="str">
        <f aca="false">IF(ISNUMBER(U6068),ABS(U6068),"")</f>
        <v/>
      </c>
    </row>
    <row r="6069" customFormat="false" ht="15" hidden="false" customHeight="false" outlineLevel="0" collapsed="false">
      <c r="A6069" s="57" t="n">
        <v>43321</v>
      </c>
      <c r="B6069" s="56" t="n">
        <v>2018</v>
      </c>
      <c r="C6069" s="56" t="n">
        <v>8</v>
      </c>
      <c r="D6069" s="56" t="n">
        <v>101</v>
      </c>
      <c r="E6069" s="56" t="n">
        <v>21</v>
      </c>
      <c r="F6069" s="56" t="n">
        <v>0</v>
      </c>
      <c r="G6069" s="56" t="n">
        <v>15.7</v>
      </c>
      <c r="H6069" s="56" t="n">
        <v>0</v>
      </c>
      <c r="I6069" s="56" t="n">
        <v>17.1</v>
      </c>
      <c r="J6069" s="56" t="n">
        <v>0</v>
      </c>
      <c r="K6069" s="56" t="n">
        <v>1013.8</v>
      </c>
      <c r="L6069" s="56" t="n">
        <v>0</v>
      </c>
      <c r="M6069" s="56" t="n">
        <v>82</v>
      </c>
      <c r="N6069" s="56" t="n">
        <v>0.2</v>
      </c>
      <c r="O6069" s="56" t="n">
        <f aca="false">IF(D6069=1,"",E6068)</f>
        <v>18.4</v>
      </c>
      <c r="P6069" s="56" t="n">
        <f aca="false">IF(OR(D6069=1,K6068=""),"",K6068)</f>
        <v>1010.9</v>
      </c>
      <c r="Q6069" s="56" t="n">
        <f aca="false">IF(OR(F6069&lt;&gt;0,AND(I6069&lt;&gt;"",E6069&lt;I6069)),1,0)</f>
        <v>0</v>
      </c>
      <c r="R6069" s="56" t="n">
        <f aca="false">IF(AND(D6069&gt;1,Q6069=0,ISNUMBER(O6069),ISNUMBER(P6069)),IF(Q6068=0,1,0),0)</f>
        <v>0</v>
      </c>
      <c r="S6069" s="56" t="n">
        <f aca="false">R6069*(B6069&gt;=Train_Start)*(B6069&lt;=Train_End)</f>
        <v>0</v>
      </c>
      <c r="T6069" s="84" t="n">
        <f aca="false">IF(AND(ISNUMBER(O6069),ISNUMBER(P6069)),Coef_A+Coef_B1*O6069+Coef_B2*P6069,"")</f>
        <v>18.8746430594805</v>
      </c>
      <c r="U6069" s="84" t="str">
        <f aca="false">IF(AND(R6069=1,ISNUMBER(T6069)),E6069-T6069,"")</f>
        <v/>
      </c>
      <c r="V6069" s="84" t="n">
        <f aca="false">IF(ISNUMBER(T6069),T6069,-99)</f>
        <v>18.8746430594805</v>
      </c>
      <c r="W6069" s="84" t="str">
        <f aca="false">IF(ISNUMBER(U6069),ABS(U6069),"")</f>
        <v/>
      </c>
    </row>
    <row r="6070" customFormat="false" ht="15" hidden="false" customHeight="false" outlineLevel="0" collapsed="false">
      <c r="A6070" s="57" t="n">
        <v>43322</v>
      </c>
      <c r="B6070" s="56" t="n">
        <v>2018</v>
      </c>
      <c r="C6070" s="56" t="n">
        <v>8</v>
      </c>
      <c r="D6070" s="56" t="n">
        <v>102</v>
      </c>
      <c r="E6070" s="56" t="n">
        <v>22.5</v>
      </c>
      <c r="F6070" s="56" t="n">
        <v>0</v>
      </c>
      <c r="G6070" s="56" t="n">
        <v>10.8</v>
      </c>
      <c r="H6070" s="56" t="n">
        <v>0</v>
      </c>
      <c r="I6070" s="56" t="n">
        <v>15.9</v>
      </c>
      <c r="J6070" s="56" t="n">
        <v>0</v>
      </c>
      <c r="K6070" s="56" t="n">
        <v>1017.9</v>
      </c>
      <c r="L6070" s="56" t="n">
        <v>0</v>
      </c>
      <c r="M6070" s="56" t="n">
        <v>72</v>
      </c>
      <c r="N6070" s="56" t="n">
        <v>5.2</v>
      </c>
      <c r="O6070" s="56" t="n">
        <f aca="false">IF(D6070=1,"",E6069)</f>
        <v>21</v>
      </c>
      <c r="P6070" s="56" t="n">
        <f aca="false">IF(OR(D6070=1,K6069=""),"",K6069)</f>
        <v>1013.8</v>
      </c>
      <c r="Q6070" s="56" t="n">
        <f aca="false">IF(OR(F6070&lt;&gt;0,AND(I6070&lt;&gt;"",E6070&lt;I6070)),1,0)</f>
        <v>0</v>
      </c>
      <c r="R6070" s="56" t="n">
        <f aca="false">IF(AND(D6070&gt;1,Q6070=0,ISNUMBER(O6070),ISNUMBER(P6070)),IF(Q6069=0,1,0),0)</f>
        <v>1</v>
      </c>
      <c r="S6070" s="56" t="n">
        <f aca="false">R6070*(B6070&gt;=Train_Start)*(B6070&lt;=Train_End)</f>
        <v>0</v>
      </c>
      <c r="T6070" s="84" t="n">
        <f aca="false">IF(AND(ISNUMBER(O6070),ISNUMBER(P6070)),Coef_A+Coef_B1*O6070+Coef_B2*P6070,"")</f>
        <v>21.09589765583</v>
      </c>
      <c r="U6070" s="84" t="n">
        <f aca="false">IF(AND(R6070=1,ISNUMBER(T6070)),E6070-T6070,"")</f>
        <v>1.40410234417005</v>
      </c>
      <c r="V6070" s="84" t="n">
        <f aca="false">IF(ISNUMBER(T6070),T6070,-99)</f>
        <v>21.09589765583</v>
      </c>
      <c r="W6070" s="84" t="n">
        <f aca="false">IF(ISNUMBER(U6070),ABS(U6070),"")</f>
        <v>1.40410234417005</v>
      </c>
    </row>
    <row r="6071" customFormat="false" ht="15" hidden="false" customHeight="false" outlineLevel="0" collapsed="false">
      <c r="A6071" s="57" t="n">
        <v>43323</v>
      </c>
      <c r="B6071" s="56" t="n">
        <v>2018</v>
      </c>
      <c r="C6071" s="56" t="n">
        <v>8</v>
      </c>
      <c r="D6071" s="56" t="n">
        <v>103</v>
      </c>
      <c r="E6071" s="56" t="n">
        <v>22.4</v>
      </c>
      <c r="F6071" s="56" t="n">
        <v>0</v>
      </c>
      <c r="G6071" s="56" t="n">
        <v>9.3</v>
      </c>
      <c r="H6071" s="56" t="n">
        <v>0</v>
      </c>
      <c r="I6071" s="56" t="n">
        <v>15.9</v>
      </c>
      <c r="J6071" s="56" t="n">
        <v>0</v>
      </c>
      <c r="K6071" s="56" t="n">
        <v>1021.5</v>
      </c>
      <c r="L6071" s="56" t="n">
        <v>0</v>
      </c>
      <c r="M6071" s="56" t="n">
        <v>71</v>
      </c>
      <c r="N6071" s="56" t="n">
        <v>6.7</v>
      </c>
      <c r="O6071" s="56" t="n">
        <f aca="false">IF(D6071=1,"",E6070)</f>
        <v>22.5</v>
      </c>
      <c r="P6071" s="56" t="n">
        <f aca="false">IF(OR(D6071=1,K6070=""),"",K6070)</f>
        <v>1017.9</v>
      </c>
      <c r="Q6071" s="56" t="n">
        <f aca="false">IF(OR(F6071&lt;&gt;0,AND(I6071&lt;&gt;"",E6071&lt;I6071)),1,0)</f>
        <v>0</v>
      </c>
      <c r="R6071" s="56" t="n">
        <f aca="false">IF(AND(D6071&gt;1,Q6071=0,ISNUMBER(O6071),ISNUMBER(P6071)),IF(Q6070=0,1,0),0)</f>
        <v>1</v>
      </c>
      <c r="S6071" s="56" t="n">
        <f aca="false">R6071*(B6071&gt;=Train_Start)*(B6071&lt;=Train_End)</f>
        <v>0</v>
      </c>
      <c r="T6071" s="84" t="n">
        <f aca="false">IF(AND(ISNUMBER(O6071),ISNUMBER(P6071)),Coef_A+Coef_B1*O6071+Coef_B2*P6071,"")</f>
        <v>22.4535230133933</v>
      </c>
      <c r="U6071" s="84" t="n">
        <f aca="false">IF(AND(R6071=1,ISNUMBER(T6071)),E6071-T6071,"")</f>
        <v>-0.0535230133932991</v>
      </c>
      <c r="V6071" s="84" t="n">
        <f aca="false">IF(ISNUMBER(T6071),T6071,-99)</f>
        <v>22.4535230133933</v>
      </c>
      <c r="W6071" s="84" t="n">
        <f aca="false">IF(ISNUMBER(U6071),ABS(U6071),"")</f>
        <v>0.0535230133932991</v>
      </c>
    </row>
    <row r="6072" customFormat="false" ht="15" hidden="false" customHeight="false" outlineLevel="0" collapsed="false">
      <c r="A6072" s="57" t="n">
        <v>43324</v>
      </c>
      <c r="B6072" s="56" t="n">
        <v>2018</v>
      </c>
      <c r="C6072" s="56" t="n">
        <v>8</v>
      </c>
      <c r="D6072" s="56" t="n">
        <v>104</v>
      </c>
      <c r="E6072" s="56" t="n">
        <v>25.2</v>
      </c>
      <c r="F6072" s="56" t="n">
        <v>0</v>
      </c>
      <c r="G6072" s="56" t="n">
        <v>16.3</v>
      </c>
      <c r="H6072" s="56" t="n">
        <v>0</v>
      </c>
      <c r="I6072" s="56" t="n">
        <v>19.4</v>
      </c>
      <c r="J6072" s="56" t="n">
        <v>0</v>
      </c>
      <c r="K6072" s="56" t="n">
        <v>1010.7</v>
      </c>
      <c r="L6072" s="56" t="n">
        <v>0</v>
      </c>
      <c r="M6072" s="56" t="n">
        <v>78</v>
      </c>
      <c r="N6072" s="56" t="n">
        <v>0</v>
      </c>
      <c r="O6072" s="56" t="n">
        <f aca="false">IF(D6072=1,"",E6071)</f>
        <v>22.4</v>
      </c>
      <c r="P6072" s="56" t="n">
        <f aca="false">IF(OR(D6072=1,K6071=""),"",K6071)</f>
        <v>1021.5</v>
      </c>
      <c r="Q6072" s="56" t="n">
        <f aca="false">IF(OR(F6072&lt;&gt;0,AND(I6072&lt;&gt;"",E6072&lt;I6072)),1,0)</f>
        <v>0</v>
      </c>
      <c r="R6072" s="56" t="n">
        <f aca="false">IF(AND(D6072&gt;1,Q6072=0,ISNUMBER(O6072),ISNUMBER(P6072)),IF(Q6071=0,1,0),0)</f>
        <v>1</v>
      </c>
      <c r="S6072" s="56" t="n">
        <f aca="false">R6072*(B6072&gt;=Train_Start)*(B6072&lt;=Train_End)</f>
        <v>0</v>
      </c>
      <c r="T6072" s="84" t="n">
        <f aca="false">IF(AND(ISNUMBER(O6072),ISNUMBER(P6072)),Coef_A+Coef_B1*O6072+Coef_B2*P6072,"")</f>
        <v>22.4845207147714</v>
      </c>
      <c r="U6072" s="84" t="n">
        <f aca="false">IF(AND(R6072=1,ISNUMBER(T6072)),E6072-T6072,"")</f>
        <v>2.71547928522861</v>
      </c>
      <c r="V6072" s="84" t="n">
        <f aca="false">IF(ISNUMBER(T6072),T6072,-99)</f>
        <v>22.4845207147714</v>
      </c>
      <c r="W6072" s="84" t="n">
        <f aca="false">IF(ISNUMBER(U6072),ABS(U6072),"")</f>
        <v>2.71547928522861</v>
      </c>
    </row>
    <row r="6073" customFormat="false" ht="15" hidden="false" customHeight="false" outlineLevel="0" collapsed="false">
      <c r="A6073" s="57" t="n">
        <v>43325</v>
      </c>
      <c r="B6073" s="56" t="n">
        <v>2018</v>
      </c>
      <c r="C6073" s="56" t="n">
        <v>8</v>
      </c>
      <c r="D6073" s="56" t="n">
        <v>105</v>
      </c>
      <c r="E6073" s="56" t="n">
        <v>26.6</v>
      </c>
      <c r="F6073" s="56" t="n">
        <v>0</v>
      </c>
      <c r="G6073" s="56" t="n">
        <v>15.2</v>
      </c>
      <c r="H6073" s="56" t="n">
        <v>0</v>
      </c>
      <c r="I6073" s="56" t="n">
        <v>20.2</v>
      </c>
      <c r="J6073" s="56" t="n">
        <v>0</v>
      </c>
      <c r="K6073" s="56" t="n">
        <v>1007.4</v>
      </c>
      <c r="L6073" s="56" t="n">
        <v>0</v>
      </c>
      <c r="M6073" s="56" t="n">
        <v>74</v>
      </c>
      <c r="N6073" s="56" t="n">
        <v>2.3</v>
      </c>
      <c r="O6073" s="56" t="n">
        <f aca="false">IF(D6073=1,"",E6072)</f>
        <v>25.2</v>
      </c>
      <c r="P6073" s="56" t="n">
        <f aca="false">IF(OR(D6073=1,K6072=""),"",K6072)</f>
        <v>1010.7</v>
      </c>
      <c r="Q6073" s="56" t="n">
        <f aca="false">IF(OR(F6073&lt;&gt;0,AND(I6073&lt;&gt;"",E6073&lt;I6073)),1,0)</f>
        <v>0</v>
      </c>
      <c r="R6073" s="56" t="n">
        <f aca="false">IF(AND(D6073&gt;1,Q6073=0,ISNUMBER(O6073),ISNUMBER(P6073)),IF(Q6072=0,1,0),0)</f>
        <v>1</v>
      </c>
      <c r="S6073" s="56" t="n">
        <f aca="false">R6073*(B6073&gt;=Train_Start)*(B6073&lt;=Train_End)</f>
        <v>0</v>
      </c>
      <c r="T6073" s="84" t="n">
        <f aca="false">IF(AND(ISNUMBER(O6073),ISNUMBER(P6073)),Coef_A+Coef_B1*O6073+Coef_B2*P6073,"")</f>
        <v>24.4398755932437</v>
      </c>
      <c r="U6073" s="84" t="n">
        <f aca="false">IF(AND(R6073=1,ISNUMBER(T6073)),E6073-T6073,"")</f>
        <v>2.16012440675625</v>
      </c>
      <c r="V6073" s="84" t="n">
        <f aca="false">IF(ISNUMBER(T6073),T6073,-99)</f>
        <v>24.4398755932437</v>
      </c>
      <c r="W6073" s="84" t="n">
        <f aca="false">IF(ISNUMBER(U6073),ABS(U6073),"")</f>
        <v>2.16012440675625</v>
      </c>
    </row>
    <row r="6074" customFormat="false" ht="15" hidden="false" customHeight="false" outlineLevel="0" collapsed="false">
      <c r="A6074" s="57" t="n">
        <v>43326</v>
      </c>
      <c r="B6074" s="56" t="n">
        <v>2018</v>
      </c>
      <c r="C6074" s="56" t="n">
        <v>8</v>
      </c>
      <c r="D6074" s="56" t="n">
        <v>106</v>
      </c>
      <c r="E6074" s="56" t="n">
        <v>25.7</v>
      </c>
      <c r="F6074" s="56" t="n">
        <v>0</v>
      </c>
      <c r="G6074" s="56" t="n">
        <v>13.1</v>
      </c>
      <c r="H6074" s="56" t="n">
        <v>0</v>
      </c>
      <c r="I6074" s="56" t="n">
        <v>19.9</v>
      </c>
      <c r="J6074" s="56" t="n">
        <v>0</v>
      </c>
      <c r="K6074" s="56" t="n">
        <v>1016</v>
      </c>
      <c r="L6074" s="56" t="n">
        <v>0</v>
      </c>
      <c r="M6074" s="56" t="n">
        <v>66</v>
      </c>
      <c r="N6074" s="56" t="n">
        <v>3.8</v>
      </c>
      <c r="O6074" s="56" t="n">
        <f aca="false">IF(D6074=1,"",E6073)</f>
        <v>26.6</v>
      </c>
      <c r="P6074" s="56" t="n">
        <f aca="false">IF(OR(D6074=1,K6073=""),"",K6073)</f>
        <v>1007.4</v>
      </c>
      <c r="Q6074" s="56" t="n">
        <f aca="false">IF(OR(F6074&lt;&gt;0,AND(I6074&lt;&gt;"",E6074&lt;I6074)),1,0)</f>
        <v>0</v>
      </c>
      <c r="R6074" s="56" t="n">
        <f aca="false">IF(AND(D6074&gt;1,Q6074=0,ISNUMBER(O6074),ISNUMBER(P6074)),IF(Q6073=0,1,0),0)</f>
        <v>1</v>
      </c>
      <c r="S6074" s="56" t="n">
        <f aca="false">R6074*(B6074&gt;=Train_Start)*(B6074&lt;=Train_End)</f>
        <v>0</v>
      </c>
      <c r="T6074" s="84" t="n">
        <f aca="false">IF(AND(ISNUMBER(O6074),ISNUMBER(P6074)),Coef_A+Coef_B1*O6074+Coef_B2*P6074,"")</f>
        <v>25.4834298112113</v>
      </c>
      <c r="U6074" s="84" t="n">
        <f aca="false">IF(AND(R6074=1,ISNUMBER(T6074)),E6074-T6074,"")</f>
        <v>0.216570188788694</v>
      </c>
      <c r="V6074" s="84" t="n">
        <f aca="false">IF(ISNUMBER(T6074),T6074,-99)</f>
        <v>25.4834298112113</v>
      </c>
      <c r="W6074" s="84" t="n">
        <f aca="false">IF(ISNUMBER(U6074),ABS(U6074),"")</f>
        <v>0.216570188788694</v>
      </c>
    </row>
    <row r="6075" customFormat="false" ht="15" hidden="false" customHeight="false" outlineLevel="0" collapsed="false">
      <c r="A6075" s="57" t="n">
        <v>43327</v>
      </c>
      <c r="B6075" s="56" t="n">
        <v>2018</v>
      </c>
      <c r="C6075" s="56" t="n">
        <v>8</v>
      </c>
      <c r="D6075" s="56" t="n">
        <v>107</v>
      </c>
      <c r="E6075" s="56" t="n">
        <v>21.4</v>
      </c>
      <c r="F6075" s="56" t="n">
        <v>0</v>
      </c>
      <c r="G6075" s="56" t="n">
        <v>15.6</v>
      </c>
      <c r="H6075" s="56" t="n">
        <v>0</v>
      </c>
      <c r="I6075" s="56" t="n">
        <v>20.6</v>
      </c>
      <c r="J6075" s="56" t="n">
        <v>0</v>
      </c>
      <c r="K6075" s="56" t="n">
        <v>1017.2</v>
      </c>
      <c r="L6075" s="56" t="n">
        <v>0</v>
      </c>
      <c r="M6075" s="56" t="n">
        <v>69</v>
      </c>
      <c r="N6075" s="56" t="n">
        <v>1.6</v>
      </c>
      <c r="O6075" s="56" t="n">
        <f aca="false">IF(D6075=1,"",E6074)</f>
        <v>25.7</v>
      </c>
      <c r="P6075" s="56" t="n">
        <f aca="false">IF(OR(D6075=1,K6074=""),"",K6074)</f>
        <v>1016</v>
      </c>
      <c r="Q6075" s="56" t="n">
        <f aca="false">IF(OR(F6075&lt;&gt;0,AND(I6075&lt;&gt;"",E6075&lt;I6075)),1,0)</f>
        <v>0</v>
      </c>
      <c r="R6075" s="56" t="n">
        <f aca="false">IF(AND(D6075&gt;1,Q6075=0,ISNUMBER(O6075),ISNUMBER(P6075)),IF(Q6074=0,1,0),0)</f>
        <v>1</v>
      </c>
      <c r="S6075" s="56" t="n">
        <f aca="false">R6075*(B6075&gt;=Train_Start)*(B6075&lt;=Train_End)</f>
        <v>0</v>
      </c>
      <c r="T6075" s="84" t="n">
        <f aca="false">IF(AND(ISNUMBER(O6075),ISNUMBER(P6075)),Coef_A+Coef_B1*O6075+Coef_B2*P6075,"")</f>
        <v>25.0158056313252</v>
      </c>
      <c r="U6075" s="84" t="n">
        <f aca="false">IF(AND(R6075=1,ISNUMBER(T6075)),E6075-T6075,"")</f>
        <v>-3.61580563132522</v>
      </c>
      <c r="V6075" s="84" t="n">
        <f aca="false">IF(ISNUMBER(T6075),T6075,-99)</f>
        <v>25.0158056313252</v>
      </c>
      <c r="W6075" s="84" t="n">
        <f aca="false">IF(ISNUMBER(U6075),ABS(U6075),"")</f>
        <v>3.61580563132522</v>
      </c>
    </row>
    <row r="6076" customFormat="false" ht="15" hidden="false" customHeight="false" outlineLevel="0" collapsed="false">
      <c r="A6076" s="57" t="n">
        <v>43328</v>
      </c>
      <c r="B6076" s="56" t="n">
        <v>2018</v>
      </c>
      <c r="C6076" s="56" t="n">
        <v>8</v>
      </c>
      <c r="D6076" s="56" t="n">
        <v>108</v>
      </c>
      <c r="E6076" s="56" t="n">
        <v>23.7</v>
      </c>
      <c r="F6076" s="56" t="n">
        <v>0</v>
      </c>
      <c r="G6076" s="56" t="n">
        <v>17.6</v>
      </c>
      <c r="H6076" s="56" t="n">
        <v>0</v>
      </c>
      <c r="I6076" s="56" t="n">
        <v>19.5</v>
      </c>
      <c r="J6076" s="56" t="n">
        <v>0</v>
      </c>
      <c r="K6076" s="56" t="n">
        <v>1014</v>
      </c>
      <c r="L6076" s="56" t="n">
        <v>0</v>
      </c>
      <c r="M6076" s="56" t="n">
        <v>77</v>
      </c>
      <c r="N6076" s="56" t="n">
        <v>2.3</v>
      </c>
      <c r="O6076" s="56" t="n">
        <f aca="false">IF(D6076=1,"",E6075)</f>
        <v>21.4</v>
      </c>
      <c r="P6076" s="56" t="n">
        <f aca="false">IF(OR(D6076=1,K6075=""),"",K6075)</f>
        <v>1017.2</v>
      </c>
      <c r="Q6076" s="56" t="n">
        <f aca="false">IF(OR(F6076&lt;&gt;0,AND(I6076&lt;&gt;"",E6076&lt;I6076)),1,0)</f>
        <v>0</v>
      </c>
      <c r="R6076" s="56" t="n">
        <f aca="false">IF(AND(D6076&gt;1,Q6076=0,ISNUMBER(O6076),ISNUMBER(P6076)),IF(Q6075=0,1,0),0)</f>
        <v>1</v>
      </c>
      <c r="S6076" s="56" t="n">
        <f aca="false">R6076*(B6076&gt;=Train_Start)*(B6076&lt;=Train_End)</f>
        <v>0</v>
      </c>
      <c r="T6076" s="84" t="n">
        <f aca="false">IF(AND(ISNUMBER(O6076),ISNUMBER(P6076)),Coef_A+Coef_B1*O6076+Coef_B2*P6076,"")</f>
        <v>21.5302909748026</v>
      </c>
      <c r="U6076" s="84" t="n">
        <f aca="false">IF(AND(R6076=1,ISNUMBER(T6076)),E6076-T6076,"")</f>
        <v>2.16970902519742</v>
      </c>
      <c r="V6076" s="84" t="n">
        <f aca="false">IF(ISNUMBER(T6076),T6076,-99)</f>
        <v>21.5302909748026</v>
      </c>
      <c r="W6076" s="84" t="n">
        <f aca="false">IF(ISNUMBER(U6076),ABS(U6076),"")</f>
        <v>2.16970902519742</v>
      </c>
    </row>
    <row r="6077" customFormat="false" ht="15" hidden="false" customHeight="false" outlineLevel="0" collapsed="false">
      <c r="A6077" s="57" t="n">
        <v>43329</v>
      </c>
      <c r="B6077" s="56" t="n">
        <v>2018</v>
      </c>
      <c r="C6077" s="56" t="n">
        <v>8</v>
      </c>
      <c r="D6077" s="56" t="n">
        <v>109</v>
      </c>
      <c r="E6077" s="56" t="n">
        <v>22.5</v>
      </c>
      <c r="F6077" s="56" t="n">
        <v>0</v>
      </c>
      <c r="G6077" s="56" t="n">
        <v>10.6</v>
      </c>
      <c r="H6077" s="56" t="n">
        <v>0</v>
      </c>
      <c r="I6077" s="56" t="n">
        <v>17.1</v>
      </c>
      <c r="J6077" s="56" t="n">
        <v>0</v>
      </c>
      <c r="K6077" s="56" t="n">
        <v>1019.5</v>
      </c>
      <c r="L6077" s="56" t="n">
        <v>0</v>
      </c>
      <c r="M6077" s="56" t="n">
        <v>66</v>
      </c>
      <c r="N6077" s="56" t="n">
        <v>8.6</v>
      </c>
      <c r="O6077" s="56" t="n">
        <f aca="false">IF(D6077=1,"",E6076)</f>
        <v>23.7</v>
      </c>
      <c r="P6077" s="56" t="n">
        <f aca="false">IF(OR(D6077=1,K6076=""),"",K6076)</f>
        <v>1014</v>
      </c>
      <c r="Q6077" s="56" t="n">
        <f aca="false">IF(OR(F6077&lt;&gt;0,AND(I6077&lt;&gt;"",E6077&lt;I6077)),1,0)</f>
        <v>0</v>
      </c>
      <c r="R6077" s="56" t="n">
        <f aca="false">IF(AND(D6077&gt;1,Q6077=0,ISNUMBER(O6077),ISNUMBER(P6077)),IF(Q6076=0,1,0),0)</f>
        <v>1</v>
      </c>
      <c r="S6077" s="56" t="n">
        <f aca="false">R6077*(B6077&gt;=Train_Start)*(B6077&lt;=Train_End)</f>
        <v>0</v>
      </c>
      <c r="T6077" s="84" t="n">
        <f aca="false">IF(AND(ISNUMBER(O6077),ISNUMBER(P6077)),Coef_A+Coef_B1*O6077+Coef_B2*P6077,"")</f>
        <v>23.3143874559719</v>
      </c>
      <c r="U6077" s="84" t="n">
        <f aca="false">IF(AND(R6077=1,ISNUMBER(T6077)),E6077-T6077,"")</f>
        <v>-0.814387455971925</v>
      </c>
      <c r="V6077" s="84" t="n">
        <f aca="false">IF(ISNUMBER(T6077),T6077,-99)</f>
        <v>23.3143874559719</v>
      </c>
      <c r="W6077" s="84" t="n">
        <f aca="false">IF(ISNUMBER(U6077),ABS(U6077),"")</f>
        <v>0.814387455971925</v>
      </c>
    </row>
    <row r="6078" customFormat="false" ht="15" hidden="false" customHeight="false" outlineLevel="0" collapsed="false">
      <c r="A6078" s="57" t="n">
        <v>43330</v>
      </c>
      <c r="B6078" s="56" t="n">
        <v>2018</v>
      </c>
      <c r="C6078" s="56" t="n">
        <v>8</v>
      </c>
      <c r="D6078" s="56" t="n">
        <v>110</v>
      </c>
      <c r="E6078" s="56" t="n">
        <v>28.3</v>
      </c>
      <c r="F6078" s="56" t="n">
        <v>0</v>
      </c>
      <c r="G6078" s="56" t="n">
        <v>15.3</v>
      </c>
      <c r="H6078" s="56" t="n">
        <v>0</v>
      </c>
      <c r="I6078" s="56" t="n">
        <v>18.9</v>
      </c>
      <c r="J6078" s="56" t="n">
        <v>0</v>
      </c>
      <c r="K6078" s="56" t="n">
        <v>1020.8</v>
      </c>
      <c r="L6078" s="56" t="n">
        <v>0</v>
      </c>
      <c r="M6078" s="56" t="n">
        <v>71</v>
      </c>
      <c r="N6078" s="56" t="n">
        <v>0.2</v>
      </c>
      <c r="O6078" s="56" t="n">
        <f aca="false">IF(D6078=1,"",E6077)</f>
        <v>22.5</v>
      </c>
      <c r="P6078" s="56" t="n">
        <f aca="false">IF(OR(D6078=1,K6077=""),"",K6077)</f>
        <v>1019.5</v>
      </c>
      <c r="Q6078" s="56" t="n">
        <f aca="false">IF(OR(F6078&lt;&gt;0,AND(I6078&lt;&gt;"",E6078&lt;I6078)),1,0)</f>
        <v>0</v>
      </c>
      <c r="R6078" s="56" t="n">
        <f aca="false">IF(AND(D6078&gt;1,Q6078=0,ISNUMBER(O6078),ISNUMBER(P6078)),IF(Q6077=0,1,0),0)</f>
        <v>1</v>
      </c>
      <c r="S6078" s="56" t="n">
        <f aca="false">R6078*(B6078&gt;=Train_Start)*(B6078&lt;=Train_End)</f>
        <v>0</v>
      </c>
      <c r="T6078" s="84" t="n">
        <f aca="false">IF(AND(ISNUMBER(O6078),ISNUMBER(P6078)),Coef_A+Coef_B1*O6078+Coef_B2*P6078,"")</f>
        <v>22.5037148448077</v>
      </c>
      <c r="U6078" s="84" t="n">
        <f aca="false">IF(AND(R6078=1,ISNUMBER(T6078)),E6078-T6078,"")</f>
        <v>5.79628515519232</v>
      </c>
      <c r="V6078" s="84" t="n">
        <f aca="false">IF(ISNUMBER(T6078),T6078,-99)</f>
        <v>22.5037148448077</v>
      </c>
      <c r="W6078" s="84" t="n">
        <f aca="false">IF(ISNUMBER(U6078),ABS(U6078),"")</f>
        <v>5.79628515519232</v>
      </c>
    </row>
    <row r="6079" customFormat="false" ht="15" hidden="false" customHeight="false" outlineLevel="0" collapsed="false">
      <c r="A6079" s="57" t="n">
        <v>43331</v>
      </c>
      <c r="B6079" s="56" t="n">
        <v>2018</v>
      </c>
      <c r="C6079" s="56" t="n">
        <v>8</v>
      </c>
      <c r="D6079" s="56" t="n">
        <v>111</v>
      </c>
      <c r="E6079" s="56" t="n">
        <v>26.2</v>
      </c>
      <c r="F6079" s="56" t="n">
        <v>0</v>
      </c>
      <c r="G6079" s="56" t="n">
        <v>17.5</v>
      </c>
      <c r="H6079" s="56" t="n">
        <v>0</v>
      </c>
      <c r="I6079" s="56" t="n">
        <v>22.9</v>
      </c>
      <c r="J6079" s="56" t="n">
        <v>0</v>
      </c>
      <c r="K6079" s="56" t="n">
        <v>1018.6</v>
      </c>
      <c r="L6079" s="56" t="n">
        <v>0</v>
      </c>
      <c r="M6079" s="56" t="n">
        <v>71</v>
      </c>
      <c r="N6079" s="56" t="n">
        <v>5.5</v>
      </c>
      <c r="O6079" s="56" t="n">
        <f aca="false">IF(D6079=1,"",E6078)</f>
        <v>28.3</v>
      </c>
      <c r="P6079" s="56" t="n">
        <f aca="false">IF(OR(D6079=1,K6078=""),"",K6078)</f>
        <v>1020.8</v>
      </c>
      <c r="Q6079" s="56" t="n">
        <f aca="false">IF(OR(F6079&lt;&gt;0,AND(I6079&lt;&gt;"",E6079&lt;I6079)),1,0)</f>
        <v>0</v>
      </c>
      <c r="R6079" s="56" t="n">
        <f aca="false">IF(AND(D6079&gt;1,Q6079=0,ISNUMBER(O6079),ISNUMBER(P6079)),IF(Q6078=0,1,0),0)</f>
        <v>1</v>
      </c>
      <c r="S6079" s="56" t="n">
        <f aca="false">R6079*(B6079&gt;=Train_Start)*(B6079&lt;=Train_End)</f>
        <v>0</v>
      </c>
      <c r="T6079" s="84" t="n">
        <f aca="false">IF(AND(ISNUMBER(O6079),ISNUMBER(P6079)),Coef_A+Coef_B1*O6079+Coef_B2*P6079,"")</f>
        <v>27.2966630274793</v>
      </c>
      <c r="U6079" s="84" t="n">
        <f aca="false">IF(AND(R6079=1,ISNUMBER(T6079)),E6079-T6079,"")</f>
        <v>-1.09666302747928</v>
      </c>
      <c r="V6079" s="84" t="n">
        <f aca="false">IF(ISNUMBER(T6079),T6079,-99)</f>
        <v>27.2966630274793</v>
      </c>
      <c r="W6079" s="84" t="n">
        <f aca="false">IF(ISNUMBER(U6079),ABS(U6079),"")</f>
        <v>1.09666302747928</v>
      </c>
    </row>
    <row r="6080" customFormat="false" ht="15" hidden="false" customHeight="false" outlineLevel="0" collapsed="false">
      <c r="A6080" s="57" t="n">
        <v>43332</v>
      </c>
      <c r="B6080" s="56" t="n">
        <v>2018</v>
      </c>
      <c r="C6080" s="56" t="n">
        <v>8</v>
      </c>
      <c r="D6080" s="56" t="n">
        <v>112</v>
      </c>
      <c r="E6080" s="56" t="n">
        <v>27.3</v>
      </c>
      <c r="F6080" s="56" t="n">
        <v>0</v>
      </c>
      <c r="G6080" s="56" t="n">
        <v>18.3</v>
      </c>
      <c r="H6080" s="56" t="n">
        <v>0</v>
      </c>
      <c r="I6080" s="56" t="n">
        <v>22.2</v>
      </c>
      <c r="J6080" s="56" t="n">
        <v>0</v>
      </c>
      <c r="K6080" s="56" t="n">
        <v>1019.9</v>
      </c>
      <c r="L6080" s="56" t="n">
        <v>0</v>
      </c>
      <c r="M6080" s="56" t="n">
        <v>70</v>
      </c>
      <c r="N6080" s="56" t="n">
        <v>3.9</v>
      </c>
      <c r="O6080" s="56" t="n">
        <f aca="false">IF(D6080=1,"",E6079)</f>
        <v>26.2</v>
      </c>
      <c r="P6080" s="56" t="n">
        <f aca="false">IF(OR(D6080=1,K6079=""),"",K6079)</f>
        <v>1018.6</v>
      </c>
      <c r="Q6080" s="56" t="n">
        <f aca="false">IF(OR(F6080&lt;&gt;0,AND(I6080&lt;&gt;"",E6080&lt;I6080)),1,0)</f>
        <v>0</v>
      </c>
      <c r="R6080" s="56" t="n">
        <f aca="false">IF(AND(D6080&gt;1,Q6080=0,ISNUMBER(O6080),ISNUMBER(P6080)),IF(Q6079=0,1,0),0)</f>
        <v>1</v>
      </c>
      <c r="S6080" s="56" t="n">
        <f aca="false">R6080*(B6080&gt;=Train_Start)*(B6080&lt;=Train_End)</f>
        <v>0</v>
      </c>
      <c r="T6080" s="84" t="n">
        <f aca="false">IF(AND(ISNUMBER(O6080),ISNUMBER(P6080)),Coef_A+Coef_B1*O6080+Coef_B2*P6080,"")</f>
        <v>25.5070369538949</v>
      </c>
      <c r="U6080" s="84" t="n">
        <f aca="false">IF(AND(R6080=1,ISNUMBER(T6080)),E6080-T6080,"")</f>
        <v>1.79296304610508</v>
      </c>
      <c r="V6080" s="84" t="n">
        <f aca="false">IF(ISNUMBER(T6080),T6080,-99)</f>
        <v>25.5070369538949</v>
      </c>
      <c r="W6080" s="84" t="n">
        <f aca="false">IF(ISNUMBER(U6080),ABS(U6080),"")</f>
        <v>1.79296304610508</v>
      </c>
    </row>
    <row r="6081" customFormat="false" ht="15" hidden="false" customHeight="false" outlineLevel="0" collapsed="false">
      <c r="A6081" s="57" t="n">
        <v>43333</v>
      </c>
      <c r="B6081" s="56" t="n">
        <v>2018</v>
      </c>
      <c r="C6081" s="56" t="n">
        <v>8</v>
      </c>
      <c r="D6081" s="56" t="n">
        <v>113</v>
      </c>
      <c r="E6081" s="56" t="n">
        <v>24.1</v>
      </c>
      <c r="F6081" s="56" t="n">
        <v>0</v>
      </c>
      <c r="G6081" s="56" t="n">
        <v>18</v>
      </c>
      <c r="H6081" s="56" t="n">
        <v>0</v>
      </c>
      <c r="I6081" s="56" t="n">
        <v>22.6</v>
      </c>
      <c r="J6081" s="56" t="n">
        <v>0</v>
      </c>
      <c r="K6081" s="56" t="n">
        <v>1019</v>
      </c>
      <c r="L6081" s="56" t="n">
        <v>0</v>
      </c>
      <c r="M6081" s="56" t="n">
        <v>67</v>
      </c>
      <c r="N6081" s="56" t="n">
        <v>8.7</v>
      </c>
      <c r="O6081" s="56" t="n">
        <f aca="false">IF(D6081=1,"",E6080)</f>
        <v>27.3</v>
      </c>
      <c r="P6081" s="56" t="n">
        <f aca="false">IF(OR(D6081=1,K6080=""),"",K6080)</f>
        <v>1019.9</v>
      </c>
      <c r="Q6081" s="56" t="n">
        <f aca="false">IF(OR(F6081&lt;&gt;0,AND(I6081&lt;&gt;"",E6081&lt;I6081)),1,0)</f>
        <v>0</v>
      </c>
      <c r="R6081" s="56" t="n">
        <f aca="false">IF(AND(D6081&gt;1,Q6081=0,ISNUMBER(O6081),ISNUMBER(P6081)),IF(Q6080=0,1,0),0)</f>
        <v>1</v>
      </c>
      <c r="S6081" s="56" t="n">
        <f aca="false">R6081*(B6081&gt;=Train_Start)*(B6081&lt;=Train_End)</f>
        <v>0</v>
      </c>
      <c r="T6081" s="84" t="n">
        <f aca="false">IF(AND(ISNUMBER(O6081),ISNUMBER(P6081)),Coef_A+Coef_B1*O6081+Coef_B2*P6081,"")</f>
        <v>26.449090929266</v>
      </c>
      <c r="U6081" s="84" t="n">
        <f aca="false">IF(AND(R6081=1,ISNUMBER(T6081)),E6081-T6081,"")</f>
        <v>-2.34909092926603</v>
      </c>
      <c r="V6081" s="84" t="n">
        <f aca="false">IF(ISNUMBER(T6081),T6081,-99)</f>
        <v>26.449090929266</v>
      </c>
      <c r="W6081" s="84" t="n">
        <f aca="false">IF(ISNUMBER(U6081),ABS(U6081),"")</f>
        <v>2.34909092926603</v>
      </c>
    </row>
    <row r="6082" customFormat="false" ht="15" hidden="false" customHeight="false" outlineLevel="0" collapsed="false">
      <c r="A6082" s="57" t="n">
        <v>43334</v>
      </c>
      <c r="B6082" s="56" t="n">
        <v>2018</v>
      </c>
      <c r="C6082" s="56" t="n">
        <v>8</v>
      </c>
      <c r="D6082" s="56" t="n">
        <v>114</v>
      </c>
      <c r="E6082" s="56" t="n">
        <v>22.9</v>
      </c>
      <c r="F6082" s="56" t="n">
        <v>0</v>
      </c>
      <c r="G6082" s="56" t="n">
        <v>15.3</v>
      </c>
      <c r="H6082" s="56" t="n">
        <v>0</v>
      </c>
      <c r="I6082" s="56" t="n">
        <v>19.7</v>
      </c>
      <c r="J6082" s="56" t="n">
        <v>0</v>
      </c>
      <c r="K6082" s="56" t="n">
        <v>1017</v>
      </c>
      <c r="L6082" s="56" t="n">
        <v>0</v>
      </c>
      <c r="M6082" s="56" t="n">
        <v>77</v>
      </c>
      <c r="N6082" s="56" t="n">
        <v>0.6</v>
      </c>
      <c r="O6082" s="56" t="n">
        <f aca="false">IF(D6082=1,"",E6081)</f>
        <v>24.1</v>
      </c>
      <c r="P6082" s="56" t="n">
        <f aca="false">IF(OR(D6082=1,K6081=""),"",K6081)</f>
        <v>1019</v>
      </c>
      <c r="Q6082" s="56" t="n">
        <f aca="false">IF(OR(F6082&lt;&gt;0,AND(I6082&lt;&gt;"",E6082&lt;I6082)),1,0)</f>
        <v>0</v>
      </c>
      <c r="R6082" s="56" t="n">
        <f aca="false">IF(AND(D6082&gt;1,Q6082=0,ISNUMBER(O6082),ISNUMBER(P6082)),IF(Q6081=0,1,0),0)</f>
        <v>1</v>
      </c>
      <c r="S6082" s="56" t="n">
        <f aca="false">R6082*(B6082&gt;=Train_Start)*(B6082&lt;=Train_End)</f>
        <v>0</v>
      </c>
      <c r="T6082" s="84" t="n">
        <f aca="false">IF(AND(ISNUMBER(O6082),ISNUMBER(P6082)),Coef_A+Coef_B1*O6082+Coef_B2*P6082,"")</f>
        <v>23.7989726063589</v>
      </c>
      <c r="U6082" s="84" t="n">
        <f aca="false">IF(AND(R6082=1,ISNUMBER(T6082)),E6082-T6082,"")</f>
        <v>-0.898972606358942</v>
      </c>
      <c r="V6082" s="84" t="n">
        <f aca="false">IF(ISNUMBER(T6082),T6082,-99)</f>
        <v>23.7989726063589</v>
      </c>
      <c r="W6082" s="84" t="n">
        <f aca="false">IF(ISNUMBER(U6082),ABS(U6082),"")</f>
        <v>0.898972606358942</v>
      </c>
    </row>
    <row r="6083" customFormat="false" ht="15" hidden="false" customHeight="false" outlineLevel="0" collapsed="false">
      <c r="A6083" s="57" t="n">
        <v>43335</v>
      </c>
      <c r="B6083" s="56" t="n">
        <v>2018</v>
      </c>
      <c r="C6083" s="56" t="n">
        <v>8</v>
      </c>
      <c r="D6083" s="56" t="n">
        <v>115</v>
      </c>
      <c r="E6083" s="56" t="n">
        <v>21</v>
      </c>
      <c r="F6083" s="56" t="n">
        <v>0</v>
      </c>
      <c r="G6083" s="56" t="n">
        <v>17.3</v>
      </c>
      <c r="H6083" s="56" t="n">
        <v>0</v>
      </c>
      <c r="I6083" s="56" t="n">
        <v>20.1</v>
      </c>
      <c r="J6083" s="56" t="n">
        <v>0</v>
      </c>
      <c r="K6083" s="56" t="n">
        <v>1012.9</v>
      </c>
      <c r="L6083" s="56" t="n">
        <v>0</v>
      </c>
      <c r="M6083" s="56" t="n">
        <v>71</v>
      </c>
      <c r="N6083" s="56" t="n">
        <v>3.7</v>
      </c>
      <c r="O6083" s="56" t="n">
        <f aca="false">IF(D6083=1,"",E6082)</f>
        <v>22.9</v>
      </c>
      <c r="P6083" s="56" t="n">
        <f aca="false">IF(OR(D6083=1,K6082=""),"",K6082)</f>
        <v>1017</v>
      </c>
      <c r="Q6083" s="56" t="n">
        <f aca="false">IF(OR(F6083&lt;&gt;0,AND(I6083&lt;&gt;"",E6083&lt;I6083)),1,0)</f>
        <v>0</v>
      </c>
      <c r="R6083" s="56" t="n">
        <f aca="false">IF(AND(D6083&gt;1,Q6083=0,ISNUMBER(O6083),ISNUMBER(P6083)),IF(Q6082=0,1,0),0)</f>
        <v>1</v>
      </c>
      <c r="S6083" s="56" t="n">
        <f aca="false">R6083*(B6083&gt;=Train_Start)*(B6083&lt;=Train_End)</f>
        <v>0</v>
      </c>
      <c r="T6083" s="84" t="n">
        <f aca="false">IF(AND(ISNUMBER(O6083),ISNUMBER(P6083)),Coef_A+Coef_B1*O6083+Coef_B2*P6083,"")</f>
        <v>22.7530257854398</v>
      </c>
      <c r="U6083" s="84" t="n">
        <f aca="false">IF(AND(R6083=1,ISNUMBER(T6083)),E6083-T6083,"")</f>
        <v>-1.75302578543977</v>
      </c>
      <c r="V6083" s="84" t="n">
        <f aca="false">IF(ISNUMBER(T6083),T6083,-99)</f>
        <v>22.7530257854398</v>
      </c>
      <c r="W6083" s="84" t="n">
        <f aca="false">IF(ISNUMBER(U6083),ABS(U6083),"")</f>
        <v>1.75302578543977</v>
      </c>
    </row>
    <row r="6084" customFormat="false" ht="15" hidden="false" customHeight="false" outlineLevel="0" collapsed="false">
      <c r="A6084" s="57" t="n">
        <v>43336</v>
      </c>
      <c r="B6084" s="56" t="n">
        <v>2018</v>
      </c>
      <c r="C6084" s="56" t="n">
        <v>8</v>
      </c>
      <c r="D6084" s="56" t="n">
        <v>116</v>
      </c>
      <c r="E6084" s="56" t="n">
        <v>20</v>
      </c>
      <c r="F6084" s="56" t="n">
        <v>0</v>
      </c>
      <c r="G6084" s="56" t="n">
        <v>10.7</v>
      </c>
      <c r="H6084" s="56" t="n">
        <v>0</v>
      </c>
      <c r="I6084" s="56" t="n">
        <v>15.8</v>
      </c>
      <c r="J6084" s="56" t="n">
        <v>0</v>
      </c>
      <c r="K6084" s="56" t="n">
        <v>1013.5</v>
      </c>
      <c r="L6084" s="56" t="n">
        <v>0</v>
      </c>
      <c r="M6084" s="56" t="n">
        <v>67</v>
      </c>
      <c r="N6084" s="56" t="n">
        <v>6.3</v>
      </c>
      <c r="O6084" s="56" t="n">
        <f aca="false">IF(D6084=1,"",E6083)</f>
        <v>21</v>
      </c>
      <c r="P6084" s="56" t="n">
        <f aca="false">IF(OR(D6084=1,K6083=""),"",K6083)</f>
        <v>1012.9</v>
      </c>
      <c r="Q6084" s="56" t="n">
        <f aca="false">IF(OR(F6084&lt;&gt;0,AND(I6084&lt;&gt;"",E6084&lt;I6084)),1,0)</f>
        <v>0</v>
      </c>
      <c r="R6084" s="56" t="n">
        <f aca="false">IF(AND(D6084&gt;1,Q6084=0,ISNUMBER(O6084),ISNUMBER(P6084)),IF(Q6083=0,1,0),0)</f>
        <v>1</v>
      </c>
      <c r="S6084" s="56" t="n">
        <f aca="false">R6084*(B6084&gt;=Train_Start)*(B6084&lt;=Train_End)</f>
        <v>0</v>
      </c>
      <c r="T6084" s="84" t="n">
        <f aca="false">IF(AND(ISNUMBER(O6084),ISNUMBER(P6084)),Coef_A+Coef_B1*O6084+Coef_B2*P6084,"")</f>
        <v>21.0676647506594</v>
      </c>
      <c r="U6084" s="84" t="n">
        <f aca="false">IF(AND(R6084=1,ISNUMBER(T6084)),E6084-T6084,"")</f>
        <v>-1.06766475065936</v>
      </c>
      <c r="V6084" s="84" t="n">
        <f aca="false">IF(ISNUMBER(T6084),T6084,-99)</f>
        <v>21.0676647506594</v>
      </c>
      <c r="W6084" s="84" t="n">
        <f aca="false">IF(ISNUMBER(U6084),ABS(U6084),"")</f>
        <v>1.06766475065936</v>
      </c>
    </row>
    <row r="6085" customFormat="false" ht="15" hidden="false" customHeight="false" outlineLevel="0" collapsed="false">
      <c r="A6085" s="57" t="n">
        <v>43337</v>
      </c>
      <c r="B6085" s="56" t="n">
        <v>2018</v>
      </c>
      <c r="C6085" s="56" t="n">
        <v>8</v>
      </c>
      <c r="D6085" s="56" t="n">
        <v>117</v>
      </c>
      <c r="E6085" s="56" t="n">
        <v>18.4</v>
      </c>
      <c r="F6085" s="56" t="n">
        <v>0</v>
      </c>
      <c r="G6085" s="56" t="n">
        <v>8.2</v>
      </c>
      <c r="H6085" s="56" t="n">
        <v>0</v>
      </c>
      <c r="I6085" s="56" t="n">
        <v>14.1</v>
      </c>
      <c r="J6085" s="56" t="n">
        <v>0</v>
      </c>
      <c r="K6085" s="56" t="n">
        <v>1014.9</v>
      </c>
      <c r="L6085" s="56" t="n">
        <v>0</v>
      </c>
      <c r="M6085" s="56" t="n">
        <v>68</v>
      </c>
      <c r="N6085" s="56" t="n">
        <v>8.5</v>
      </c>
      <c r="O6085" s="56" t="n">
        <f aca="false">IF(D6085=1,"",E6084)</f>
        <v>20</v>
      </c>
      <c r="P6085" s="56" t="n">
        <f aca="false">IF(OR(D6085=1,K6084=""),"",K6084)</f>
        <v>1013.5</v>
      </c>
      <c r="Q6085" s="56" t="n">
        <f aca="false">IF(OR(F6085&lt;&gt;0,AND(I6085&lt;&gt;"",E6085&lt;I6085)),1,0)</f>
        <v>0</v>
      </c>
      <c r="R6085" s="56" t="n">
        <f aca="false">IF(AND(D6085&gt;1,Q6085=0,ISNUMBER(O6085),ISNUMBER(P6085)),IF(Q6084=0,1,0),0)</f>
        <v>1</v>
      </c>
      <c r="S6085" s="56" t="n">
        <f aca="false">R6085*(B6085&gt;=Train_Start)*(B6085&lt;=Train_End)</f>
        <v>0</v>
      </c>
      <c r="T6085" s="84" t="n">
        <f aca="false">IF(AND(ISNUMBER(O6085),ISNUMBER(P6085)),Coef_A+Coef_B1*O6085+Coef_B2*P6085,"")</f>
        <v>20.2671474943971</v>
      </c>
      <c r="U6085" s="84" t="n">
        <f aca="false">IF(AND(R6085=1,ISNUMBER(T6085)),E6085-T6085,"")</f>
        <v>-1.8671474943971</v>
      </c>
      <c r="V6085" s="84" t="n">
        <f aca="false">IF(ISNUMBER(T6085),T6085,-99)</f>
        <v>20.2671474943971</v>
      </c>
      <c r="W6085" s="84" t="n">
        <f aca="false">IF(ISNUMBER(U6085),ABS(U6085),"")</f>
        <v>1.8671474943971</v>
      </c>
    </row>
    <row r="6086" customFormat="false" ht="15" hidden="false" customHeight="false" outlineLevel="0" collapsed="false">
      <c r="A6086" s="57" t="n">
        <v>43338</v>
      </c>
      <c r="B6086" s="56" t="n">
        <v>2018</v>
      </c>
      <c r="C6086" s="56" t="n">
        <v>8</v>
      </c>
      <c r="D6086" s="56" t="n">
        <v>118</v>
      </c>
      <c r="E6086" s="56" t="n">
        <v>19.7</v>
      </c>
      <c r="F6086" s="56" t="n">
        <v>0</v>
      </c>
      <c r="G6086" s="56" t="n">
        <v>10.8</v>
      </c>
      <c r="H6086" s="56" t="n">
        <v>0</v>
      </c>
      <c r="I6086" s="56" t="n">
        <v>14.6</v>
      </c>
      <c r="J6086" s="56" t="n">
        <v>0</v>
      </c>
      <c r="K6086" s="56" t="n">
        <v>1009.5</v>
      </c>
      <c r="L6086" s="56" t="n">
        <v>0</v>
      </c>
      <c r="M6086" s="56" t="n">
        <v>86</v>
      </c>
      <c r="N6086" s="56" t="n">
        <v>0</v>
      </c>
      <c r="O6086" s="56" t="n">
        <f aca="false">IF(D6086=1,"",E6085)</f>
        <v>18.4</v>
      </c>
      <c r="P6086" s="56" t="n">
        <f aca="false">IF(OR(D6086=1,K6085=""),"",K6085)</f>
        <v>1014.9</v>
      </c>
      <c r="Q6086" s="56" t="n">
        <f aca="false">IF(OR(F6086&lt;&gt;0,AND(I6086&lt;&gt;"",E6086&lt;I6086)),1,0)</f>
        <v>0</v>
      </c>
      <c r="R6086" s="56" t="n">
        <f aca="false">IF(AND(D6086&gt;1,Q6086=0,ISNUMBER(O6086),ISNUMBER(P6086)),IF(Q6085=0,1,0),0)</f>
        <v>1</v>
      </c>
      <c r="S6086" s="56" t="n">
        <f aca="false">R6086*(B6086&gt;=Train_Start)*(B6086&lt;=Train_End)</f>
        <v>0</v>
      </c>
      <c r="T6086" s="84" t="n">
        <f aca="false">IF(AND(ISNUMBER(O6086),ISNUMBER(P6086)),Coef_A+Coef_B1*O6086+Coef_B2*P6086,"")</f>
        <v>19.0001226380164</v>
      </c>
      <c r="U6086" s="84" t="n">
        <f aca="false">IF(AND(R6086=1,ISNUMBER(T6086)),E6086-T6086,"")</f>
        <v>0.699877361983571</v>
      </c>
      <c r="V6086" s="84" t="n">
        <f aca="false">IF(ISNUMBER(T6086),T6086,-99)</f>
        <v>19.0001226380164</v>
      </c>
      <c r="W6086" s="84" t="n">
        <f aca="false">IF(ISNUMBER(U6086),ABS(U6086),"")</f>
        <v>0.699877361983571</v>
      </c>
    </row>
    <row r="6087" customFormat="false" ht="15" hidden="false" customHeight="false" outlineLevel="0" collapsed="false">
      <c r="A6087" s="57" t="n">
        <v>43339</v>
      </c>
      <c r="B6087" s="56" t="n">
        <v>2018</v>
      </c>
      <c r="C6087" s="56" t="n">
        <v>8</v>
      </c>
      <c r="D6087" s="56" t="n">
        <v>119</v>
      </c>
      <c r="E6087" s="56" t="n">
        <v>21.1</v>
      </c>
      <c r="F6087" s="56" t="n">
        <v>0</v>
      </c>
      <c r="G6087" s="56" t="n">
        <v>13.1</v>
      </c>
      <c r="H6087" s="56" t="n">
        <v>0</v>
      </c>
      <c r="I6087" s="56" t="n">
        <v>16.4</v>
      </c>
      <c r="J6087" s="56" t="n">
        <v>0</v>
      </c>
      <c r="K6087" s="56" t="n">
        <v>1012</v>
      </c>
      <c r="L6087" s="56" t="n">
        <v>0</v>
      </c>
      <c r="M6087" s="56" t="n">
        <v>70</v>
      </c>
      <c r="N6087" s="56" t="n">
        <v>1.9</v>
      </c>
      <c r="O6087" s="56" t="n">
        <f aca="false">IF(D6087=1,"",E6086)</f>
        <v>19.7</v>
      </c>
      <c r="P6087" s="56" t="n">
        <f aca="false">IF(OR(D6087=1,K6086=""),"",K6086)</f>
        <v>1009.5</v>
      </c>
      <c r="Q6087" s="56" t="n">
        <f aca="false">IF(OR(F6087&lt;&gt;0,AND(I6087&lt;&gt;"",E6087&lt;I6087)),1,0)</f>
        <v>0</v>
      </c>
      <c r="R6087" s="56" t="n">
        <f aca="false">IF(AND(D6087&gt;1,Q6087=0,ISNUMBER(O6087),ISNUMBER(P6087)),IF(Q6086=0,1,0),0)</f>
        <v>1</v>
      </c>
      <c r="S6087" s="56" t="n">
        <f aca="false">R6087*(B6087&gt;=Train_Start)*(B6087&lt;=Train_End)</f>
        <v>0</v>
      </c>
      <c r="T6087" s="84" t="n">
        <f aca="false">IF(AND(ISNUMBER(O6087),ISNUMBER(P6087)),Coef_A+Coef_B1*O6087+Coef_B2*P6087,"")</f>
        <v>19.8958661579483</v>
      </c>
      <c r="U6087" s="84" t="n">
        <f aca="false">IF(AND(R6087=1,ISNUMBER(T6087)),E6087-T6087,"")</f>
        <v>1.20413384205166</v>
      </c>
      <c r="V6087" s="84" t="n">
        <f aca="false">IF(ISNUMBER(T6087),T6087,-99)</f>
        <v>19.8958661579483</v>
      </c>
      <c r="W6087" s="84" t="n">
        <f aca="false">IF(ISNUMBER(U6087),ABS(U6087),"")</f>
        <v>1.20413384205166</v>
      </c>
    </row>
    <row r="6088" customFormat="false" ht="15" hidden="false" customHeight="false" outlineLevel="0" collapsed="false">
      <c r="A6088" s="57" t="n">
        <v>43340</v>
      </c>
      <c r="B6088" s="56" t="n">
        <v>2018</v>
      </c>
      <c r="C6088" s="56" t="n">
        <v>8</v>
      </c>
      <c r="D6088" s="56" t="n">
        <v>120</v>
      </c>
      <c r="E6088" s="56" t="n">
        <v>20.1</v>
      </c>
      <c r="F6088" s="56" t="n">
        <v>0</v>
      </c>
      <c r="G6088" s="56" t="n">
        <v>15.6</v>
      </c>
      <c r="H6088" s="56" t="n">
        <v>0</v>
      </c>
      <c r="I6088" s="56" t="n">
        <v>18.4</v>
      </c>
      <c r="J6088" s="56" t="n">
        <v>0</v>
      </c>
      <c r="K6088" s="56" t="n">
        <v>1017.1</v>
      </c>
      <c r="L6088" s="56" t="n">
        <v>0</v>
      </c>
      <c r="M6088" s="56" t="n">
        <v>64</v>
      </c>
      <c r="N6088" s="56" t="n">
        <v>2.1</v>
      </c>
      <c r="O6088" s="56" t="n">
        <f aca="false">IF(D6088=1,"",E6087)</f>
        <v>21.1</v>
      </c>
      <c r="P6088" s="56" t="n">
        <f aca="false">IF(OR(D6088=1,K6087=""),"",K6087)</f>
        <v>1012</v>
      </c>
      <c r="Q6088" s="56" t="n">
        <f aca="false">IF(OR(F6088&lt;&gt;0,AND(I6088&lt;&gt;"",E6088&lt;I6088)),1,0)</f>
        <v>0</v>
      </c>
      <c r="R6088" s="56" t="n">
        <f aca="false">IF(AND(D6088&gt;1,Q6088=0,ISNUMBER(O6088),ISNUMBER(P6088)),IF(Q6087=0,1,0),0)</f>
        <v>1</v>
      </c>
      <c r="S6088" s="56" t="n">
        <f aca="false">R6088*(B6088&gt;=Train_Start)*(B6088&lt;=Train_End)</f>
        <v>0</v>
      </c>
      <c r="T6088" s="84" t="n">
        <f aca="false">IF(AND(ISNUMBER(O6088),ISNUMBER(P6088)),Coef_A+Coef_B1*O6088+Coef_B2*P6088,"")</f>
        <v>21.121365764793</v>
      </c>
      <c r="U6088" s="84" t="n">
        <f aca="false">IF(AND(R6088=1,ISNUMBER(T6088)),E6088-T6088,"")</f>
        <v>-1.02136576479304</v>
      </c>
      <c r="V6088" s="84" t="n">
        <f aca="false">IF(ISNUMBER(T6088),T6088,-99)</f>
        <v>21.121365764793</v>
      </c>
      <c r="W6088" s="84" t="n">
        <f aca="false">IF(ISNUMBER(U6088),ABS(U6088),"")</f>
        <v>1.02136576479304</v>
      </c>
    </row>
    <row r="6089" customFormat="false" ht="15" hidden="false" customHeight="false" outlineLevel="0" collapsed="false">
      <c r="A6089" s="57" t="n">
        <v>43341</v>
      </c>
      <c r="B6089" s="56" t="n">
        <v>2018</v>
      </c>
      <c r="C6089" s="56" t="n">
        <v>8</v>
      </c>
      <c r="D6089" s="56" t="n">
        <v>121</v>
      </c>
      <c r="E6089" s="56" t="n">
        <v>21</v>
      </c>
      <c r="F6089" s="56" t="n">
        <v>0</v>
      </c>
      <c r="G6089" s="56" t="n">
        <v>13.4</v>
      </c>
      <c r="H6089" s="56" t="n">
        <v>0</v>
      </c>
      <c r="I6089" s="56" t="n">
        <v>16.8</v>
      </c>
      <c r="J6089" s="56" t="n">
        <v>0</v>
      </c>
      <c r="K6089" s="56" t="n">
        <v>1016</v>
      </c>
      <c r="L6089" s="56" t="n">
        <v>0</v>
      </c>
      <c r="M6089" s="56" t="n">
        <v>76</v>
      </c>
      <c r="N6089" s="56" t="n">
        <v>1.7</v>
      </c>
      <c r="O6089" s="56" t="n">
        <f aca="false">IF(D6089=1,"",E6088)</f>
        <v>20.1</v>
      </c>
      <c r="P6089" s="56" t="n">
        <f aca="false">IF(OR(D6089=1,K6088=""),"",K6088)</f>
        <v>1017.1</v>
      </c>
      <c r="Q6089" s="56" t="n">
        <f aca="false">IF(OR(F6089&lt;&gt;0,AND(I6089&lt;&gt;"",E6089&lt;I6089)),1,0)</f>
        <v>0</v>
      </c>
      <c r="R6089" s="56" t="n">
        <f aca="false">IF(AND(D6089&gt;1,Q6089=0,ISNUMBER(O6089),ISNUMBER(P6089)),IF(Q6088=0,1,0),0)</f>
        <v>1</v>
      </c>
      <c r="S6089" s="56" t="n">
        <f aca="false">R6089*(B6089&gt;=Train_Start)*(B6089&lt;=Train_End)</f>
        <v>0</v>
      </c>
      <c r="T6089" s="84" t="n">
        <f aca="false">IF(AND(ISNUMBER(O6089),ISNUMBER(P6089)),Coef_A+Coef_B1*O6089+Coef_B2*P6089,"")</f>
        <v>20.4620130343837</v>
      </c>
      <c r="U6089" s="84" t="n">
        <f aca="false">IF(AND(R6089=1,ISNUMBER(T6089)),E6089-T6089,"")</f>
        <v>0.53798696561627</v>
      </c>
      <c r="V6089" s="84" t="n">
        <f aca="false">IF(ISNUMBER(T6089),T6089,-99)</f>
        <v>20.4620130343837</v>
      </c>
      <c r="W6089" s="84" t="n">
        <f aca="false">IF(ISNUMBER(U6089),ABS(U6089),"")</f>
        <v>0.53798696561627</v>
      </c>
    </row>
    <row r="6090" customFormat="false" ht="15" hidden="false" customHeight="false" outlineLevel="0" collapsed="false">
      <c r="A6090" s="57" t="n">
        <v>43342</v>
      </c>
      <c r="B6090" s="56" t="n">
        <v>2018</v>
      </c>
      <c r="C6090" s="56" t="n">
        <v>8</v>
      </c>
      <c r="D6090" s="56" t="n">
        <v>122</v>
      </c>
      <c r="E6090" s="56" t="n">
        <v>22.5</v>
      </c>
      <c r="F6090" s="56" t="n">
        <v>0</v>
      </c>
      <c r="G6090" s="56" t="n">
        <v>10.4</v>
      </c>
      <c r="H6090" s="56" t="n">
        <v>0</v>
      </c>
      <c r="I6090" s="56" t="n">
        <v>15.7</v>
      </c>
      <c r="J6090" s="56" t="n">
        <v>0</v>
      </c>
      <c r="K6090" s="56" t="n">
        <v>1023.1</v>
      </c>
      <c r="L6090" s="56" t="n">
        <v>0</v>
      </c>
      <c r="M6090" s="56" t="n">
        <v>60</v>
      </c>
      <c r="N6090" s="56" t="n">
        <v>8.4</v>
      </c>
      <c r="O6090" s="56" t="n">
        <f aca="false">IF(D6090=1,"",E6089)</f>
        <v>21</v>
      </c>
      <c r="P6090" s="56" t="n">
        <f aca="false">IF(OR(D6090=1,K6089=""),"",K6089)</f>
        <v>1016</v>
      </c>
      <c r="Q6090" s="56" t="n">
        <f aca="false">IF(OR(F6090&lt;&gt;0,AND(I6090&lt;&gt;"",E6090&lt;I6090)),1,0)</f>
        <v>0</v>
      </c>
      <c r="R6090" s="56" t="n">
        <f aca="false">IF(AND(D6090&gt;1,Q6090=0,ISNUMBER(O6090),ISNUMBER(P6090)),IF(Q6089=0,1,0),0)</f>
        <v>1</v>
      </c>
      <c r="S6090" s="56" t="n">
        <f aca="false">R6090*(B6090&gt;=Train_Start)*(B6090&lt;=Train_End)</f>
        <v>0</v>
      </c>
      <c r="T6090" s="84" t="n">
        <f aca="false">IF(AND(ISNUMBER(O6090),ISNUMBER(P6090)),Coef_A+Coef_B1*O6090+Coef_B2*P6090,"")</f>
        <v>21.1649114240247</v>
      </c>
      <c r="U6090" s="84" t="n">
        <f aca="false">IF(AND(R6090=1,ISNUMBER(T6090)),E6090-T6090,"")</f>
        <v>1.33508857597527</v>
      </c>
      <c r="V6090" s="84" t="n">
        <f aca="false">IF(ISNUMBER(T6090),T6090,-99)</f>
        <v>21.1649114240247</v>
      </c>
      <c r="W6090" s="84" t="n">
        <f aca="false">IF(ISNUMBER(U6090),ABS(U6090),"")</f>
        <v>1.33508857597527</v>
      </c>
    </row>
    <row r="6091" customFormat="false" ht="15" hidden="false" customHeight="false" outlineLevel="0" collapsed="false">
      <c r="A6091" s="57" t="n">
        <v>43343</v>
      </c>
      <c r="B6091" s="56" t="n">
        <v>2018</v>
      </c>
      <c r="C6091" s="56" t="n">
        <v>8</v>
      </c>
      <c r="D6091" s="56" t="n">
        <v>123</v>
      </c>
      <c r="E6091" s="56" t="n">
        <v>24.5</v>
      </c>
      <c r="F6091" s="56" t="n">
        <v>0</v>
      </c>
      <c r="G6091" s="56" t="n">
        <v>11.2</v>
      </c>
      <c r="H6091" s="56" t="n">
        <v>0</v>
      </c>
      <c r="I6091" s="56" t="n">
        <v>16.9</v>
      </c>
      <c r="J6091" s="56" t="n">
        <v>0</v>
      </c>
      <c r="K6091" s="56" t="n">
        <v>1023.4</v>
      </c>
      <c r="L6091" s="56" t="n">
        <v>0</v>
      </c>
      <c r="M6091" s="56" t="n">
        <v>70</v>
      </c>
      <c r="N6091" s="56" t="n">
        <v>6.2</v>
      </c>
      <c r="O6091" s="56" t="n">
        <f aca="false">IF(D6091=1,"",E6090)</f>
        <v>22.5</v>
      </c>
      <c r="P6091" s="56" t="n">
        <f aca="false">IF(OR(D6091=1,K6090=""),"",K6090)</f>
        <v>1023.1</v>
      </c>
      <c r="Q6091" s="56" t="n">
        <f aca="false">IF(OR(F6091&lt;&gt;0,AND(I6091&lt;&gt;"",E6091&lt;I6091)),1,0)</f>
        <v>0</v>
      </c>
      <c r="R6091" s="56" t="n">
        <f aca="false">IF(AND(D6091&gt;1,Q6091=0,ISNUMBER(O6091),ISNUMBER(P6091)),IF(Q6090=0,1,0),0)</f>
        <v>1</v>
      </c>
      <c r="S6091" s="56" t="n">
        <f aca="false">R6091*(B6091&gt;=Train_Start)*(B6091&lt;=Train_End)</f>
        <v>0</v>
      </c>
      <c r="T6091" s="84" t="n">
        <f aca="false">IF(AND(ISNUMBER(O6091),ISNUMBER(P6091)),Coef_A+Coef_B1*O6091+Coef_B2*P6091,"")</f>
        <v>22.61664646549</v>
      </c>
      <c r="U6091" s="84" t="n">
        <f aca="false">IF(AND(R6091=1,ISNUMBER(T6091)),E6091-T6091,"")</f>
        <v>1.88335353450996</v>
      </c>
      <c r="V6091" s="84" t="n">
        <f aca="false">IF(ISNUMBER(T6091),T6091,-99)</f>
        <v>22.61664646549</v>
      </c>
      <c r="W6091" s="84" t="n">
        <f aca="false">IF(ISNUMBER(U6091),ABS(U6091),"")</f>
        <v>1.88335353450996</v>
      </c>
    </row>
    <row r="6092" customFormat="false" ht="15" hidden="false" customHeight="false" outlineLevel="0" collapsed="false">
      <c r="A6092" s="57" t="n">
        <v>43344</v>
      </c>
      <c r="B6092" s="56" t="n">
        <v>2018</v>
      </c>
      <c r="C6092" s="56" t="n">
        <v>9</v>
      </c>
      <c r="D6092" s="56" t="n">
        <v>124</v>
      </c>
      <c r="E6092" s="56" t="n">
        <v>24.8</v>
      </c>
      <c r="F6092" s="56" t="n">
        <v>0</v>
      </c>
      <c r="G6092" s="56" t="n">
        <v>11.8</v>
      </c>
      <c r="H6092" s="56" t="n">
        <v>0</v>
      </c>
      <c r="I6092" s="56" t="n">
        <v>18.1</v>
      </c>
      <c r="J6092" s="56" t="n">
        <v>0</v>
      </c>
      <c r="K6092" s="56" t="n">
        <v>1025.3</v>
      </c>
      <c r="L6092" s="56" t="n">
        <v>0</v>
      </c>
      <c r="M6092" s="56" t="n">
        <v>64</v>
      </c>
      <c r="N6092" s="56" t="n">
        <v>12.2</v>
      </c>
      <c r="O6092" s="56" t="n">
        <f aca="false">IF(D6092=1,"",E6091)</f>
        <v>24.5</v>
      </c>
      <c r="P6092" s="56" t="n">
        <f aca="false">IF(OR(D6092=1,K6091=""),"",K6091)</f>
        <v>1023.4</v>
      </c>
      <c r="Q6092" s="56" t="n">
        <f aca="false">IF(OR(F6092&lt;&gt;0,AND(I6092&lt;&gt;"",E6092&lt;I6092)),1,0)</f>
        <v>0</v>
      </c>
      <c r="R6092" s="56" t="n">
        <f aca="false">IF(AND(D6092&gt;1,Q6092=0,ISNUMBER(O6092),ISNUMBER(P6092)),IF(Q6091=0,1,0),0)</f>
        <v>1</v>
      </c>
      <c r="S6092" s="56" t="n">
        <f aca="false">R6092*(B6092&gt;=Train_Start)*(B6092&lt;=Train_End)</f>
        <v>0</v>
      </c>
      <c r="T6092" s="84" t="n">
        <f aca="false">IF(AND(ISNUMBER(O6092),ISNUMBER(P6092)),Coef_A+Coef_B1*O6092+Coef_B2*P6092,"")</f>
        <v>24.2647358199656</v>
      </c>
      <c r="U6092" s="84" t="n">
        <f aca="false">IF(AND(R6092=1,ISNUMBER(T6092)),E6092-T6092,"")</f>
        <v>0.535264180034446</v>
      </c>
      <c r="V6092" s="84" t="n">
        <f aca="false">IF(ISNUMBER(T6092),T6092,-99)</f>
        <v>24.2647358199656</v>
      </c>
      <c r="W6092" s="84" t="n">
        <f aca="false">IF(ISNUMBER(U6092),ABS(U6092),"")</f>
        <v>0.535264180034446</v>
      </c>
    </row>
    <row r="6093" customFormat="false" ht="15" hidden="false" customHeight="false" outlineLevel="0" collapsed="false">
      <c r="A6093" s="57" t="n">
        <v>43345</v>
      </c>
      <c r="B6093" s="56" t="n">
        <v>2018</v>
      </c>
      <c r="C6093" s="56" t="n">
        <v>9</v>
      </c>
      <c r="D6093" s="56" t="n">
        <v>125</v>
      </c>
      <c r="E6093" s="56" t="n">
        <v>24.5</v>
      </c>
      <c r="F6093" s="56" t="n">
        <v>0</v>
      </c>
      <c r="G6093" s="56" t="n">
        <v>11.5</v>
      </c>
      <c r="H6093" s="56" t="n">
        <v>0</v>
      </c>
      <c r="I6093" s="56" t="n">
        <v>18.1</v>
      </c>
      <c r="J6093" s="56" t="n">
        <v>0</v>
      </c>
      <c r="K6093" s="56" t="n">
        <v>1024.1</v>
      </c>
      <c r="L6093" s="56" t="n">
        <v>0</v>
      </c>
      <c r="M6093" s="56" t="n">
        <v>58</v>
      </c>
      <c r="N6093" s="56" t="n">
        <v>12.4</v>
      </c>
      <c r="O6093" s="56" t="n">
        <f aca="false">IF(D6093=1,"",E6092)</f>
        <v>24.8</v>
      </c>
      <c r="P6093" s="56" t="n">
        <f aca="false">IF(OR(D6093=1,K6092=""),"",K6092)</f>
        <v>1025.3</v>
      </c>
      <c r="Q6093" s="56" t="n">
        <f aca="false">IF(OR(F6093&lt;&gt;0,AND(I6093&lt;&gt;"",E6093&lt;I6093)),1,0)</f>
        <v>0</v>
      </c>
      <c r="R6093" s="56" t="n">
        <f aca="false">IF(AND(D6093&gt;1,Q6093=0,ISNUMBER(O6093),ISNUMBER(P6093)),IF(Q6092=0,1,0),0)</f>
        <v>1</v>
      </c>
      <c r="S6093" s="56" t="n">
        <f aca="false">R6093*(B6093&gt;=Train_Start)*(B6093&lt;=Train_End)</f>
        <v>0</v>
      </c>
      <c r="T6093" s="84" t="n">
        <f aca="false">IF(AND(ISNUMBER(O6093),ISNUMBER(P6093)),Coef_A+Coef_B1*O6093+Coef_B2*P6093,"")</f>
        <v>24.5701403776829</v>
      </c>
      <c r="U6093" s="84" t="n">
        <f aca="false">IF(AND(R6093=1,ISNUMBER(T6093)),E6093-T6093,"")</f>
        <v>-0.0701403776829253</v>
      </c>
      <c r="V6093" s="84" t="n">
        <f aca="false">IF(ISNUMBER(T6093),T6093,-99)</f>
        <v>24.5701403776829</v>
      </c>
      <c r="W6093" s="84" t="n">
        <f aca="false">IF(ISNUMBER(U6093),ABS(U6093),"")</f>
        <v>0.0701403776829253</v>
      </c>
    </row>
    <row r="6094" customFormat="false" ht="15" hidden="false" customHeight="false" outlineLevel="0" collapsed="false">
      <c r="A6094" s="57" t="n">
        <v>43346</v>
      </c>
      <c r="B6094" s="56" t="n">
        <v>2018</v>
      </c>
      <c r="C6094" s="56" t="n">
        <v>9</v>
      </c>
      <c r="D6094" s="56" t="n">
        <v>126</v>
      </c>
      <c r="E6094" s="56" t="n">
        <v>20.7</v>
      </c>
      <c r="F6094" s="56" t="n">
        <v>0</v>
      </c>
      <c r="G6094" s="56" t="n">
        <v>11.9</v>
      </c>
      <c r="H6094" s="56" t="n">
        <v>0</v>
      </c>
      <c r="I6094" s="56" t="n">
        <v>18.2</v>
      </c>
      <c r="J6094" s="56" t="n">
        <v>0</v>
      </c>
      <c r="K6094" s="56" t="n">
        <v>1020.6</v>
      </c>
      <c r="L6094" s="56" t="n">
        <v>0</v>
      </c>
      <c r="M6094" s="56" t="n">
        <v>62</v>
      </c>
      <c r="N6094" s="56" t="n">
        <v>8.3</v>
      </c>
      <c r="O6094" s="56" t="n">
        <f aca="false">IF(D6094=1,"",E6093)</f>
        <v>24.5</v>
      </c>
      <c r="P6094" s="56" t="n">
        <f aca="false">IF(OR(D6094=1,K6093=""),"",K6093)</f>
        <v>1024.1</v>
      </c>
      <c r="Q6094" s="56" t="n">
        <f aca="false">IF(OR(F6094&lt;&gt;0,AND(I6094&lt;&gt;"",E6094&lt;I6094)),1,0)</f>
        <v>0</v>
      </c>
      <c r="R6094" s="56" t="n">
        <f aca="false">IF(AND(D6094&gt;1,Q6094=0,ISNUMBER(O6094),ISNUMBER(P6094)),IF(Q6093=0,1,0),0)</f>
        <v>1</v>
      </c>
      <c r="S6094" s="56" t="n">
        <f aca="false">R6094*(B6094&gt;=Train_Start)*(B6094&lt;=Train_End)</f>
        <v>0</v>
      </c>
      <c r="T6094" s="84" t="n">
        <f aca="false">IF(AND(ISNUMBER(O6094),ISNUMBER(P6094)),Coef_A+Coef_B1*O6094+Coef_B2*P6094,"")</f>
        <v>24.2866947462093</v>
      </c>
      <c r="U6094" s="84" t="n">
        <f aca="false">IF(AND(R6094=1,ISNUMBER(T6094)),E6094-T6094,"")</f>
        <v>-3.58669474620934</v>
      </c>
      <c r="V6094" s="84" t="n">
        <f aca="false">IF(ISNUMBER(T6094),T6094,-99)</f>
        <v>24.2866947462093</v>
      </c>
      <c r="W6094" s="84" t="n">
        <f aca="false">IF(ISNUMBER(U6094),ABS(U6094),"")</f>
        <v>3.58669474620934</v>
      </c>
    </row>
    <row r="6095" customFormat="false" ht="15" hidden="false" customHeight="false" outlineLevel="0" collapsed="false">
      <c r="A6095" s="57" t="n">
        <v>43347</v>
      </c>
      <c r="B6095" s="56" t="n">
        <v>2018</v>
      </c>
      <c r="C6095" s="56" t="n">
        <v>9</v>
      </c>
      <c r="D6095" s="56" t="n">
        <v>127</v>
      </c>
      <c r="E6095" s="56" t="n">
        <v>22.6</v>
      </c>
      <c r="F6095" s="56" t="n">
        <v>0</v>
      </c>
      <c r="G6095" s="56" t="n">
        <v>12.5</v>
      </c>
      <c r="H6095" s="56" t="n">
        <v>0</v>
      </c>
      <c r="I6095" s="56" t="n">
        <v>16.6</v>
      </c>
      <c r="J6095" s="56" t="n">
        <v>0</v>
      </c>
      <c r="K6095" s="56" t="n">
        <v>1021</v>
      </c>
      <c r="L6095" s="56" t="n">
        <v>0</v>
      </c>
      <c r="M6095" s="56" t="n">
        <v>73</v>
      </c>
      <c r="N6095" s="56" t="n">
        <v>2.9</v>
      </c>
      <c r="O6095" s="56" t="n">
        <f aca="false">IF(D6095=1,"",E6094)</f>
        <v>20.7</v>
      </c>
      <c r="P6095" s="56" t="n">
        <f aca="false">IF(OR(D6095=1,K6094=""),"",K6094)</f>
        <v>1020.6</v>
      </c>
      <c r="Q6095" s="56" t="n">
        <f aca="false">IF(OR(F6095&lt;&gt;0,AND(I6095&lt;&gt;"",E6095&lt;I6095)),1,0)</f>
        <v>0</v>
      </c>
      <c r="R6095" s="56" t="n">
        <f aca="false">IF(AND(D6095&gt;1,Q6095=0,ISNUMBER(O6095),ISNUMBER(P6095)),IF(Q6094=0,1,0),0)</f>
        <v>1</v>
      </c>
      <c r="S6095" s="56" t="n">
        <f aca="false">R6095*(B6095&gt;=Train_Start)*(B6095&lt;=Train_End)</f>
        <v>0</v>
      </c>
      <c r="T6095" s="84" t="n">
        <f aca="false">IF(AND(ISNUMBER(O6095),ISNUMBER(P6095)),Coef_A+Coef_B1*O6095+Coef_B2*P6095,"")</f>
        <v>21.0634111814283</v>
      </c>
      <c r="U6095" s="84" t="n">
        <f aca="false">IF(AND(R6095=1,ISNUMBER(T6095)),E6095-T6095,"")</f>
        <v>1.53658881857172</v>
      </c>
      <c r="V6095" s="84" t="n">
        <f aca="false">IF(ISNUMBER(T6095),T6095,-99)</f>
        <v>21.0634111814283</v>
      </c>
      <c r="W6095" s="84" t="n">
        <f aca="false">IF(ISNUMBER(U6095),ABS(U6095),"")</f>
        <v>1.53658881857172</v>
      </c>
    </row>
    <row r="6096" customFormat="false" ht="15" hidden="false" customHeight="false" outlineLevel="0" collapsed="false">
      <c r="A6096" s="57" t="n">
        <v>43348</v>
      </c>
      <c r="B6096" s="56" t="n">
        <v>2018</v>
      </c>
      <c r="C6096" s="56" t="n">
        <v>9</v>
      </c>
      <c r="D6096" s="56" t="n">
        <v>128</v>
      </c>
      <c r="E6096" s="56" t="n">
        <v>22.6</v>
      </c>
      <c r="F6096" s="56" t="n">
        <v>0</v>
      </c>
      <c r="G6096" s="56" t="n">
        <v>13.8</v>
      </c>
      <c r="H6096" s="56" t="n">
        <v>0</v>
      </c>
      <c r="I6096" s="56" t="n">
        <v>18.2</v>
      </c>
      <c r="J6096" s="56" t="n">
        <v>0</v>
      </c>
      <c r="K6096" s="56" t="n">
        <v>1020.7</v>
      </c>
      <c r="L6096" s="56" t="n">
        <v>0</v>
      </c>
      <c r="M6096" s="56" t="n">
        <v>68</v>
      </c>
      <c r="N6096" s="56" t="n">
        <v>6.1</v>
      </c>
      <c r="O6096" s="56" t="n">
        <f aca="false">IF(D6096=1,"",E6095)</f>
        <v>22.6</v>
      </c>
      <c r="P6096" s="56" t="n">
        <f aca="false">IF(OR(D6096=1,K6095=""),"",K6095)</f>
        <v>1021</v>
      </c>
      <c r="Q6096" s="56" t="n">
        <f aca="false">IF(OR(F6096&lt;&gt;0,AND(I6096&lt;&gt;"",E6096&lt;I6096)),1,0)</f>
        <v>0</v>
      </c>
      <c r="R6096" s="56" t="n">
        <f aca="false">IF(AND(D6096&gt;1,Q6096=0,ISNUMBER(O6096),ISNUMBER(P6096)),IF(Q6095=0,1,0),0)</f>
        <v>1</v>
      </c>
      <c r="S6096" s="56" t="n">
        <f aca="false">R6096*(B6096&gt;=Train_Start)*(B6096&lt;=Train_End)</f>
        <v>0</v>
      </c>
      <c r="T6096" s="84" t="n">
        <f aca="false">IF(AND(ISNUMBER(O6096),ISNUMBER(P6096)),Coef_A+Coef_B1*O6096+Coef_B2*P6096,"")</f>
        <v>22.6327036060629</v>
      </c>
      <c r="U6096" s="84" t="n">
        <f aca="false">IF(AND(R6096=1,ISNUMBER(T6096)),E6096-T6096,"")</f>
        <v>-0.0327036060629276</v>
      </c>
      <c r="V6096" s="84" t="n">
        <f aca="false">IF(ISNUMBER(T6096),T6096,-99)</f>
        <v>22.6327036060629</v>
      </c>
      <c r="W6096" s="84" t="n">
        <f aca="false">IF(ISNUMBER(U6096),ABS(U6096),"")</f>
        <v>0.0327036060629276</v>
      </c>
    </row>
    <row r="6097" customFormat="false" ht="15" hidden="false" customHeight="false" outlineLevel="0" collapsed="false">
      <c r="A6097" s="57" t="n">
        <v>43349</v>
      </c>
      <c r="B6097" s="56" t="n">
        <v>2018</v>
      </c>
      <c r="C6097" s="56" t="n">
        <v>9</v>
      </c>
      <c r="D6097" s="56" t="n">
        <v>129</v>
      </c>
      <c r="E6097" s="56" t="n">
        <v>20.4</v>
      </c>
      <c r="F6097" s="56" t="n">
        <v>0</v>
      </c>
      <c r="G6097" s="56" t="n">
        <v>11.2</v>
      </c>
      <c r="H6097" s="56" t="n">
        <v>0</v>
      </c>
      <c r="I6097" s="56" t="n">
        <v>16.9</v>
      </c>
      <c r="J6097" s="56" t="n">
        <v>0</v>
      </c>
      <c r="K6097" s="56" t="n">
        <v>1016.4</v>
      </c>
      <c r="L6097" s="56" t="n">
        <v>0</v>
      </c>
      <c r="M6097" s="56" t="n">
        <v>69</v>
      </c>
      <c r="N6097" s="56" t="n">
        <v>6.4</v>
      </c>
      <c r="O6097" s="56" t="n">
        <f aca="false">IF(D6097=1,"",E6096)</f>
        <v>22.6</v>
      </c>
      <c r="P6097" s="56" t="n">
        <f aca="false">IF(OR(D6097=1,K6096=""),"",K6096)</f>
        <v>1020.7</v>
      </c>
      <c r="Q6097" s="56" t="n">
        <f aca="false">IF(OR(F6097&lt;&gt;0,AND(I6097&lt;&gt;"",E6097&lt;I6097)),1,0)</f>
        <v>0</v>
      </c>
      <c r="R6097" s="56" t="n">
        <f aca="false">IF(AND(D6097&gt;1,Q6097=0,ISNUMBER(O6097),ISNUMBER(P6097)),IF(Q6096=0,1,0),0)</f>
        <v>1</v>
      </c>
      <c r="S6097" s="56" t="n">
        <f aca="false">R6097*(B6097&gt;=Train_Start)*(B6097&lt;=Train_End)</f>
        <v>0</v>
      </c>
      <c r="T6097" s="84" t="n">
        <f aca="false">IF(AND(ISNUMBER(O6097),ISNUMBER(P6097)),Coef_A+Coef_B1*O6097+Coef_B2*P6097,"")</f>
        <v>22.6232926376727</v>
      </c>
      <c r="U6097" s="84" t="n">
        <f aca="false">IF(AND(R6097=1,ISNUMBER(T6097)),E6097-T6097,"")</f>
        <v>-2.22329263767274</v>
      </c>
      <c r="V6097" s="84" t="n">
        <f aca="false">IF(ISNUMBER(T6097),T6097,-99)</f>
        <v>22.6232926376727</v>
      </c>
      <c r="W6097" s="84" t="n">
        <f aca="false">IF(ISNUMBER(U6097),ABS(U6097),"")</f>
        <v>2.22329263767274</v>
      </c>
    </row>
    <row r="6098" customFormat="false" ht="15" hidden="false" customHeight="false" outlineLevel="0" collapsed="false">
      <c r="A6098" s="57" t="n">
        <v>43350</v>
      </c>
      <c r="B6098" s="56" t="n">
        <v>2018</v>
      </c>
      <c r="C6098" s="56" t="n">
        <v>9</v>
      </c>
      <c r="D6098" s="56" t="n">
        <v>130</v>
      </c>
      <c r="E6098" s="56" t="n">
        <v>21</v>
      </c>
      <c r="F6098" s="56" t="n">
        <v>0</v>
      </c>
      <c r="G6098" s="56" t="n">
        <v>8.3</v>
      </c>
      <c r="H6098" s="56" t="n">
        <v>0</v>
      </c>
      <c r="I6098" s="56" t="n">
        <v>14.3</v>
      </c>
      <c r="J6098" s="56" t="n">
        <v>0</v>
      </c>
      <c r="K6098" s="56" t="n">
        <v>1016.2</v>
      </c>
      <c r="L6098" s="56" t="n">
        <v>0</v>
      </c>
      <c r="M6098" s="56" t="n">
        <v>60</v>
      </c>
      <c r="N6098" s="56" t="n">
        <v>10.8</v>
      </c>
      <c r="O6098" s="56" t="n">
        <f aca="false">IF(D6098=1,"",E6097)</f>
        <v>20.4</v>
      </c>
      <c r="P6098" s="56" t="n">
        <f aca="false">IF(OR(D6098=1,K6097=""),"",K6097)</f>
        <v>1016.4</v>
      </c>
      <c r="Q6098" s="56" t="n">
        <f aca="false">IF(OR(F6098&lt;&gt;0,AND(I6098&lt;&gt;"",E6098&lt;I6098)),1,0)</f>
        <v>0</v>
      </c>
      <c r="R6098" s="56" t="n">
        <f aca="false">IF(AND(D6098&gt;1,Q6098=0,ISNUMBER(O6098),ISNUMBER(P6098)),IF(Q6097=0,1,0),0)</f>
        <v>1</v>
      </c>
      <c r="S6098" s="56" t="n">
        <f aca="false">R6098*(B6098&gt;=Train_Start)*(B6098&lt;=Train_End)</f>
        <v>0</v>
      </c>
      <c r="T6098" s="84" t="n">
        <f aca="false">IF(AND(ISNUMBER(O6098),ISNUMBER(P6098)),Coef_A+Coef_B1*O6098+Coef_B2*P6098,"")</f>
        <v>20.6858558660527</v>
      </c>
      <c r="U6098" s="84" t="n">
        <f aca="false">IF(AND(R6098=1,ISNUMBER(T6098)),E6098-T6098,"")</f>
        <v>0.31414413394727</v>
      </c>
      <c r="V6098" s="84" t="n">
        <f aca="false">IF(ISNUMBER(T6098),T6098,-99)</f>
        <v>20.6858558660527</v>
      </c>
      <c r="W6098" s="84" t="n">
        <f aca="false">IF(ISNUMBER(U6098),ABS(U6098),"")</f>
        <v>0.31414413394727</v>
      </c>
    </row>
    <row r="6099" customFormat="false" ht="15" hidden="false" customHeight="false" outlineLevel="0" collapsed="false">
      <c r="A6099" s="57" t="n">
        <v>43351</v>
      </c>
      <c r="B6099" s="56" t="n">
        <v>2018</v>
      </c>
      <c r="C6099" s="56" t="n">
        <v>9</v>
      </c>
      <c r="D6099" s="56" t="n">
        <v>131</v>
      </c>
      <c r="E6099" s="56" t="n">
        <v>24.7</v>
      </c>
      <c r="F6099" s="56" t="n">
        <v>0</v>
      </c>
      <c r="G6099" s="56" t="n">
        <v>8.9</v>
      </c>
      <c r="H6099" s="56" t="n">
        <v>0</v>
      </c>
      <c r="I6099" s="56" t="n">
        <v>14.9</v>
      </c>
      <c r="J6099" s="56" t="n">
        <v>0</v>
      </c>
      <c r="K6099" s="56" t="n">
        <v>1018</v>
      </c>
      <c r="L6099" s="56" t="n">
        <v>0</v>
      </c>
      <c r="M6099" s="56" t="n">
        <v>71</v>
      </c>
      <c r="N6099" s="56" t="n">
        <v>0.9</v>
      </c>
      <c r="O6099" s="56" t="n">
        <f aca="false">IF(D6099=1,"",E6098)</f>
        <v>21</v>
      </c>
      <c r="P6099" s="56" t="n">
        <f aca="false">IF(OR(D6099=1,K6098=""),"",K6098)</f>
        <v>1016.2</v>
      </c>
      <c r="Q6099" s="56" t="n">
        <f aca="false">IF(OR(F6099&lt;&gt;0,AND(I6099&lt;&gt;"",E6099&lt;I6099)),1,0)</f>
        <v>0</v>
      </c>
      <c r="R6099" s="56" t="n">
        <f aca="false">IF(AND(D6099&gt;1,Q6099=0,ISNUMBER(O6099),ISNUMBER(P6099)),IF(Q6098=0,1,0),0)</f>
        <v>1</v>
      </c>
      <c r="S6099" s="56" t="n">
        <f aca="false">R6099*(B6099&gt;=Train_Start)*(B6099&lt;=Train_End)</f>
        <v>0</v>
      </c>
      <c r="T6099" s="84" t="n">
        <f aca="false">IF(AND(ISNUMBER(O6099),ISNUMBER(P6099)),Coef_A+Coef_B1*O6099+Coef_B2*P6099,"")</f>
        <v>21.1711854029515</v>
      </c>
      <c r="U6099" s="84" t="n">
        <f aca="false">IF(AND(R6099=1,ISNUMBER(T6099)),E6099-T6099,"")</f>
        <v>3.52881459704847</v>
      </c>
      <c r="V6099" s="84" t="n">
        <f aca="false">IF(ISNUMBER(T6099),T6099,-99)</f>
        <v>21.1711854029515</v>
      </c>
      <c r="W6099" s="84" t="n">
        <f aca="false">IF(ISNUMBER(U6099),ABS(U6099),"")</f>
        <v>3.52881459704847</v>
      </c>
    </row>
    <row r="6100" customFormat="false" ht="15" hidden="false" customHeight="false" outlineLevel="0" collapsed="false">
      <c r="A6100" s="57" t="n">
        <v>43352</v>
      </c>
      <c r="B6100" s="56" t="n">
        <v>2018</v>
      </c>
      <c r="C6100" s="56" t="n">
        <v>9</v>
      </c>
      <c r="D6100" s="56" t="n">
        <v>132</v>
      </c>
      <c r="E6100" s="56" t="n">
        <v>22.7</v>
      </c>
      <c r="F6100" s="56" t="n">
        <v>0</v>
      </c>
      <c r="G6100" s="56" t="n">
        <v>14.4</v>
      </c>
      <c r="H6100" s="56" t="n">
        <v>0</v>
      </c>
      <c r="I6100" s="56" t="n">
        <v>19.6</v>
      </c>
      <c r="J6100" s="56" t="n">
        <v>0</v>
      </c>
      <c r="K6100" s="56" t="n">
        <v>1017.9</v>
      </c>
      <c r="L6100" s="56" t="n">
        <v>0</v>
      </c>
      <c r="M6100" s="56" t="n">
        <v>68</v>
      </c>
      <c r="N6100" s="56" t="n">
        <v>4.1</v>
      </c>
      <c r="O6100" s="56" t="n">
        <f aca="false">IF(D6100=1,"",E6099)</f>
        <v>24.7</v>
      </c>
      <c r="P6100" s="56" t="n">
        <f aca="false">IF(OR(D6100=1,K6099=""),"",K6099)</f>
        <v>1018</v>
      </c>
      <c r="Q6100" s="56" t="n">
        <f aca="false">IF(OR(F6100&lt;&gt;0,AND(I6100&lt;&gt;"",E6100&lt;I6100)),1,0)</f>
        <v>0</v>
      </c>
      <c r="R6100" s="56" t="n">
        <f aca="false">IF(AND(D6100&gt;1,Q6100=0,ISNUMBER(O6100),ISNUMBER(P6100)),IF(Q6099=0,1,0),0)</f>
        <v>1</v>
      </c>
      <c r="S6100" s="56" t="n">
        <f aca="false">R6100*(B6100&gt;=Train_Start)*(B6100&lt;=Train_End)</f>
        <v>0</v>
      </c>
      <c r="T6100" s="84" t="n">
        <f aca="false">IF(AND(ISNUMBER(O6100),ISNUMBER(P6100)),Coef_A+Coef_B1*O6100+Coef_B2*P6100,"")</f>
        <v>24.2592062275505</v>
      </c>
      <c r="U6100" s="84" t="n">
        <f aca="false">IF(AND(R6100=1,ISNUMBER(T6100)),E6100-T6100,"")</f>
        <v>-1.55920622755054</v>
      </c>
      <c r="V6100" s="84" t="n">
        <f aca="false">IF(ISNUMBER(T6100),T6100,-99)</f>
        <v>24.2592062275505</v>
      </c>
      <c r="W6100" s="84" t="n">
        <f aca="false">IF(ISNUMBER(U6100),ABS(U6100),"")</f>
        <v>1.55920622755054</v>
      </c>
    </row>
    <row r="6101" customFormat="false" ht="15" hidden="false" customHeight="false" outlineLevel="0" collapsed="false">
      <c r="A6101" s="57" t="n">
        <v>43353</v>
      </c>
      <c r="B6101" s="56" t="n">
        <v>2018</v>
      </c>
      <c r="C6101" s="56" t="n">
        <v>9</v>
      </c>
      <c r="D6101" s="56" t="n">
        <v>133</v>
      </c>
      <c r="E6101" s="56" t="n">
        <v>25.2</v>
      </c>
      <c r="F6101" s="56" t="n">
        <v>0</v>
      </c>
      <c r="G6101" s="56" t="n">
        <v>13.4</v>
      </c>
      <c r="H6101" s="56" t="n">
        <v>0</v>
      </c>
      <c r="I6101" s="56" t="n">
        <v>18.1</v>
      </c>
      <c r="J6101" s="56" t="n">
        <v>0</v>
      </c>
      <c r="K6101" s="56" t="n">
        <v>1021</v>
      </c>
      <c r="L6101" s="56" t="n">
        <v>0</v>
      </c>
      <c r="M6101" s="56" t="n">
        <v>68</v>
      </c>
      <c r="N6101" s="56" t="n">
        <v>7.8</v>
      </c>
      <c r="O6101" s="56" t="n">
        <f aca="false">IF(D6101=1,"",E6100)</f>
        <v>22.7</v>
      </c>
      <c r="P6101" s="56" t="n">
        <f aca="false">IF(OR(D6101=1,K6100=""),"",K6100)</f>
        <v>1017.9</v>
      </c>
      <c r="Q6101" s="56" t="n">
        <f aca="false">IF(OR(F6101&lt;&gt;0,AND(I6101&lt;&gt;"",E6101&lt;I6101)),1,0)</f>
        <v>0</v>
      </c>
      <c r="R6101" s="56" t="n">
        <f aca="false">IF(AND(D6101&gt;1,Q6101=0,ISNUMBER(O6101),ISNUMBER(P6101)),IF(Q6100=0,1,0),0)</f>
        <v>1</v>
      </c>
      <c r="S6101" s="56" t="n">
        <f aca="false">R6101*(B6101&gt;=Train_Start)*(B6101&lt;=Train_End)</f>
        <v>0</v>
      </c>
      <c r="T6101" s="84" t="n">
        <f aca="false">IF(AND(ISNUMBER(O6101),ISNUMBER(P6101)),Coef_A+Coef_B1*O6101+Coef_B2*P6101,"")</f>
        <v>22.6173908520018</v>
      </c>
      <c r="U6101" s="84" t="n">
        <f aca="false">IF(AND(R6101=1,ISNUMBER(T6101)),E6101-T6101,"")</f>
        <v>2.58260914799817</v>
      </c>
      <c r="V6101" s="84" t="n">
        <f aca="false">IF(ISNUMBER(T6101),T6101,-99)</f>
        <v>22.6173908520018</v>
      </c>
      <c r="W6101" s="84" t="n">
        <f aca="false">IF(ISNUMBER(U6101),ABS(U6101),"")</f>
        <v>2.58260914799817</v>
      </c>
    </row>
    <row r="6102" customFormat="false" ht="15" hidden="false" customHeight="false" outlineLevel="0" collapsed="false">
      <c r="A6102" s="57" t="n">
        <v>43354</v>
      </c>
      <c r="B6102" s="56" t="n">
        <v>2018</v>
      </c>
      <c r="C6102" s="56" t="n">
        <v>9</v>
      </c>
      <c r="D6102" s="56" t="n">
        <v>134</v>
      </c>
      <c r="E6102" s="56" t="n">
        <v>15.6</v>
      </c>
      <c r="F6102" s="56" t="n">
        <v>1</v>
      </c>
      <c r="G6102" s="56" t="n">
        <v>16.4</v>
      </c>
      <c r="H6102" s="56" t="n">
        <v>1</v>
      </c>
      <c r="I6102" s="56" t="n">
        <v>20.8</v>
      </c>
      <c r="J6102" s="56" t="n">
        <v>1</v>
      </c>
      <c r="K6102" s="56" t="n">
        <v>1019.1</v>
      </c>
      <c r="L6102" s="56" t="n">
        <v>0</v>
      </c>
      <c r="M6102" s="56" t="n">
        <v>78</v>
      </c>
      <c r="N6102" s="56" t="n">
        <v>1.3</v>
      </c>
      <c r="O6102" s="56" t="n">
        <f aca="false">IF(D6102=1,"",E6101)</f>
        <v>25.2</v>
      </c>
      <c r="P6102" s="56" t="n">
        <f aca="false">IF(OR(D6102=1,K6101=""),"",K6101)</f>
        <v>1021</v>
      </c>
      <c r="Q6102" s="56" t="n">
        <f aca="false">IF(OR(F6102&lt;&gt;0,AND(I6102&lt;&gt;"",E6102&lt;I6102)),1,0)</f>
        <v>1</v>
      </c>
      <c r="R6102" s="56" t="n">
        <f aca="false">IF(AND(D6102&gt;1,Q6102=0,ISNUMBER(O6102),ISNUMBER(P6102)),IF(Q6101=0,1,0),0)</f>
        <v>0</v>
      </c>
      <c r="S6102" s="56" t="n">
        <f aca="false">R6102*(B6102&gt;=Train_Start)*(B6102&lt;=Train_End)</f>
        <v>0</v>
      </c>
      <c r="T6102" s="84" t="n">
        <f aca="false">IF(AND(ISNUMBER(O6102),ISNUMBER(P6102)),Coef_A+Coef_B1*O6102+Coef_B2*P6102,"")</f>
        <v>24.7629855079738</v>
      </c>
      <c r="U6102" s="84" t="str">
        <f aca="false">IF(AND(R6102=1,ISNUMBER(T6102)),E6102-T6102,"")</f>
        <v/>
      </c>
      <c r="V6102" s="84" t="n">
        <f aca="false">IF(ISNUMBER(T6102),T6102,-99)</f>
        <v>24.7629855079738</v>
      </c>
      <c r="W6102" s="84" t="str">
        <f aca="false">IF(ISNUMBER(U6102),ABS(U6102),"")</f>
        <v/>
      </c>
    </row>
    <row r="6103" customFormat="false" ht="15" hidden="false" customHeight="false" outlineLevel="0" collapsed="false">
      <c r="A6103" s="57" t="n">
        <v>43355</v>
      </c>
      <c r="B6103" s="56" t="n">
        <v>2018</v>
      </c>
      <c r="C6103" s="56" t="n">
        <v>9</v>
      </c>
      <c r="D6103" s="56" t="n">
        <v>135</v>
      </c>
      <c r="E6103" s="56" t="n">
        <v>20.9</v>
      </c>
      <c r="F6103" s="56" t="n">
        <v>0</v>
      </c>
      <c r="G6103" s="56" t="n">
        <v>11.9</v>
      </c>
      <c r="H6103" s="56" t="n">
        <v>0</v>
      </c>
      <c r="I6103" s="56" t="n">
        <v>13.8</v>
      </c>
      <c r="J6103" s="56" t="n">
        <v>0</v>
      </c>
      <c r="K6103" s="56" t="n">
        <v>1022.9</v>
      </c>
      <c r="L6103" s="56" t="n">
        <v>0</v>
      </c>
      <c r="M6103" s="56" t="n">
        <v>81</v>
      </c>
      <c r="N6103" s="56" t="n">
        <v>0.1</v>
      </c>
      <c r="O6103" s="56" t="n">
        <f aca="false">IF(D6103=1,"",E6102)</f>
        <v>15.6</v>
      </c>
      <c r="P6103" s="56" t="n">
        <f aca="false">IF(OR(D6103=1,K6102=""),"",K6102)</f>
        <v>1019.1</v>
      </c>
      <c r="Q6103" s="56" t="n">
        <f aca="false">IF(OR(F6103&lt;&gt;0,AND(I6103&lt;&gt;"",E6103&lt;I6103)),1,0)</f>
        <v>0</v>
      </c>
      <c r="R6103" s="56" t="n">
        <f aca="false">IF(AND(D6103&gt;1,Q6103=0,ISNUMBER(O6103),ISNUMBER(P6103)),IF(Q6102=0,1,0),0)</f>
        <v>0</v>
      </c>
      <c r="S6103" s="56" t="n">
        <f aca="false">R6103*(B6103&gt;=Train_Start)*(B6103&lt;=Train_End)</f>
        <v>0</v>
      </c>
      <c r="T6103" s="84" t="n">
        <f aca="false">IF(AND(ISNUMBER(O6103),ISNUMBER(P6103)),Coef_A+Coef_B1*O6103+Coef_B2*P6103,"")</f>
        <v>16.8377264549597</v>
      </c>
      <c r="U6103" s="84" t="str">
        <f aca="false">IF(AND(R6103=1,ISNUMBER(T6103)),E6103-T6103,"")</f>
        <v/>
      </c>
      <c r="V6103" s="84" t="n">
        <f aca="false">IF(ISNUMBER(T6103),T6103,-99)</f>
        <v>16.8377264549597</v>
      </c>
      <c r="W6103" s="84" t="str">
        <f aca="false">IF(ISNUMBER(U6103),ABS(U6103),"")</f>
        <v/>
      </c>
    </row>
    <row r="6104" customFormat="false" ht="15" hidden="false" customHeight="false" outlineLevel="0" collapsed="false">
      <c r="A6104" s="57" t="n">
        <v>43356</v>
      </c>
      <c r="B6104" s="56" t="n">
        <v>2018</v>
      </c>
      <c r="C6104" s="56" t="n">
        <v>9</v>
      </c>
      <c r="D6104" s="56" t="n">
        <v>136</v>
      </c>
      <c r="E6104" s="56" t="n">
        <v>18.6</v>
      </c>
      <c r="F6104" s="56" t="n">
        <v>0</v>
      </c>
      <c r="G6104" s="56" t="n">
        <v>7.7</v>
      </c>
      <c r="H6104" s="56" t="n">
        <v>0</v>
      </c>
      <c r="I6104" s="56" t="n">
        <v>14.3</v>
      </c>
      <c r="J6104" s="56" t="n">
        <v>0</v>
      </c>
      <c r="K6104" s="56" t="n">
        <v>1023</v>
      </c>
      <c r="L6104" s="56" t="n">
        <v>0</v>
      </c>
      <c r="M6104" s="56" t="n">
        <v>67</v>
      </c>
      <c r="N6104" s="56" t="n">
        <v>10.4</v>
      </c>
      <c r="O6104" s="56" t="n">
        <f aca="false">IF(D6104=1,"",E6103)</f>
        <v>20.9</v>
      </c>
      <c r="P6104" s="56" t="n">
        <f aca="false">IF(OR(D6104=1,K6103=""),"",K6103)</f>
        <v>1022.9</v>
      </c>
      <c r="Q6104" s="56" t="n">
        <f aca="false">IF(OR(F6104&lt;&gt;0,AND(I6104&lt;&gt;"",E6104&lt;I6104)),1,0)</f>
        <v>0</v>
      </c>
      <c r="R6104" s="56" t="n">
        <f aca="false">IF(AND(D6104&gt;1,Q6104=0,ISNUMBER(O6104),ISNUMBER(P6104)),IF(Q6103=0,1,0),0)</f>
        <v>1</v>
      </c>
      <c r="S6104" s="56" t="n">
        <f aca="false">R6104*(B6104&gt;=Train_Start)*(B6104&lt;=Train_End)</f>
        <v>0</v>
      </c>
      <c r="T6104" s="84" t="n">
        <f aca="false">IF(AND(ISNUMBER(O6104),ISNUMBER(P6104)),Coef_A+Coef_B1*O6104+Coef_B2*P6104,"")</f>
        <v>21.299429777695</v>
      </c>
      <c r="U6104" s="84" t="n">
        <f aca="false">IF(AND(R6104=1,ISNUMBER(T6104)),E6104-T6104,"")</f>
        <v>-2.69942977769499</v>
      </c>
      <c r="V6104" s="84" t="n">
        <f aca="false">IF(ISNUMBER(T6104),T6104,-99)</f>
        <v>21.299429777695</v>
      </c>
      <c r="W6104" s="84" t="n">
        <f aca="false">IF(ISNUMBER(U6104),ABS(U6104),"")</f>
        <v>2.69942977769499</v>
      </c>
    </row>
    <row r="6105" customFormat="false" ht="15" hidden="false" customHeight="false" outlineLevel="0" collapsed="false">
      <c r="A6105" s="57" t="n">
        <v>43357</v>
      </c>
      <c r="B6105" s="56" t="n">
        <v>2018</v>
      </c>
      <c r="C6105" s="56" t="n">
        <v>9</v>
      </c>
      <c r="D6105" s="56" t="n">
        <v>137</v>
      </c>
      <c r="E6105" s="56" t="n">
        <v>22.1</v>
      </c>
      <c r="F6105" s="56" t="n">
        <v>0</v>
      </c>
      <c r="G6105" s="56" t="n">
        <v>10.3</v>
      </c>
      <c r="H6105" s="56" t="n">
        <v>0</v>
      </c>
      <c r="I6105" s="56" t="n">
        <v>14.4</v>
      </c>
      <c r="J6105" s="56" t="n">
        <v>0</v>
      </c>
      <c r="K6105" s="56" t="n">
        <v>1021</v>
      </c>
      <c r="L6105" s="56" t="n">
        <v>0</v>
      </c>
      <c r="M6105" s="56" t="n">
        <v>70</v>
      </c>
      <c r="N6105" s="56" t="n">
        <v>2.5</v>
      </c>
      <c r="O6105" s="56" t="n">
        <f aca="false">IF(D6105=1,"",E6104)</f>
        <v>18.6</v>
      </c>
      <c r="P6105" s="56" t="n">
        <f aca="false">IF(OR(D6105=1,K6104=""),"",K6104)</f>
        <v>1023</v>
      </c>
      <c r="Q6105" s="56" t="n">
        <f aca="false">IF(OR(F6105&lt;&gt;0,AND(I6105&lt;&gt;"",E6105&lt;I6105)),1,0)</f>
        <v>0</v>
      </c>
      <c r="R6105" s="56" t="n">
        <f aca="false">IF(AND(D6105&gt;1,Q6105=0,ISNUMBER(O6105),ISNUMBER(P6105)),IF(Q6104=0,1,0),0)</f>
        <v>1</v>
      </c>
      <c r="S6105" s="56" t="n">
        <f aca="false">R6105*(B6105&gt;=Train_Start)*(B6105&lt;=Train_End)</f>
        <v>0</v>
      </c>
      <c r="T6105" s="84" t="n">
        <f aca="false">IF(AND(ISNUMBER(O6105),ISNUMBER(P6105)),Coef_A+Coef_B1*O6105+Coef_B2*P6105,"")</f>
        <v>19.4180866231603</v>
      </c>
      <c r="U6105" s="84" t="n">
        <f aca="false">IF(AND(R6105=1,ISNUMBER(T6105)),E6105-T6105,"")</f>
        <v>2.68191337683972</v>
      </c>
      <c r="V6105" s="84" t="n">
        <f aca="false">IF(ISNUMBER(T6105),T6105,-99)</f>
        <v>19.4180866231603</v>
      </c>
      <c r="W6105" s="84" t="n">
        <f aca="false">IF(ISNUMBER(U6105),ABS(U6105),"")</f>
        <v>2.68191337683972</v>
      </c>
    </row>
    <row r="6106" customFormat="false" ht="15" hidden="false" customHeight="false" outlineLevel="0" collapsed="false">
      <c r="A6106" s="57" t="n">
        <v>43358</v>
      </c>
      <c r="B6106" s="56" t="n">
        <v>2018</v>
      </c>
      <c r="C6106" s="56" t="n">
        <v>9</v>
      </c>
      <c r="D6106" s="56" t="n">
        <v>138</v>
      </c>
      <c r="E6106" s="56" t="n">
        <v>24.2</v>
      </c>
      <c r="F6106" s="56" t="n">
        <v>0</v>
      </c>
      <c r="G6106" s="56" t="n">
        <v>10.4</v>
      </c>
      <c r="H6106" s="56" t="n">
        <v>0</v>
      </c>
      <c r="I6106" s="56" t="n">
        <v>16.2</v>
      </c>
      <c r="J6106" s="56" t="n">
        <v>0</v>
      </c>
      <c r="K6106" s="56" t="n">
        <v>1023.2</v>
      </c>
      <c r="L6106" s="56" t="n">
        <v>0</v>
      </c>
      <c r="M6106" s="56" t="n">
        <v>71</v>
      </c>
      <c r="N6106" s="56" t="n">
        <v>6.9</v>
      </c>
      <c r="O6106" s="56" t="n">
        <f aca="false">IF(D6106=1,"",E6105)</f>
        <v>22.1</v>
      </c>
      <c r="P6106" s="56" t="n">
        <f aca="false">IF(OR(D6106=1,K6105=""),"",K6105)</f>
        <v>1021</v>
      </c>
      <c r="Q6106" s="56" t="n">
        <f aca="false">IF(OR(F6106&lt;&gt;0,AND(I6106&lt;&gt;"",E6106&lt;I6106)),1,0)</f>
        <v>0</v>
      </c>
      <c r="R6106" s="56" t="n">
        <f aca="false">IF(AND(D6106&gt;1,Q6106=0,ISNUMBER(O6106),ISNUMBER(P6106)),IF(Q6105=0,1,0),0)</f>
        <v>1</v>
      </c>
      <c r="S6106" s="56" t="n">
        <f aca="false">R6106*(B6106&gt;=Train_Start)*(B6106&lt;=Train_End)</f>
        <v>0</v>
      </c>
      <c r="T6106" s="84" t="n">
        <f aca="false">IF(AND(ISNUMBER(O6106),ISNUMBER(P6106)),Coef_A+Coef_B1*O6106+Coef_B2*P6106,"")</f>
        <v>22.2230340095416</v>
      </c>
      <c r="U6106" s="84" t="n">
        <f aca="false">IF(AND(R6106=1,ISNUMBER(T6106)),E6106-T6106,"")</f>
        <v>1.9769659904584</v>
      </c>
      <c r="V6106" s="84" t="n">
        <f aca="false">IF(ISNUMBER(T6106),T6106,-99)</f>
        <v>22.2230340095416</v>
      </c>
      <c r="W6106" s="84" t="n">
        <f aca="false">IF(ISNUMBER(U6106),ABS(U6106),"")</f>
        <v>1.9769659904584</v>
      </c>
    </row>
    <row r="6107" customFormat="false" ht="15" hidden="false" customHeight="false" outlineLevel="0" collapsed="false">
      <c r="A6107" s="57" t="n">
        <v>43359</v>
      </c>
      <c r="B6107" s="56" t="n">
        <v>2018</v>
      </c>
      <c r="C6107" s="56" t="n">
        <v>9</v>
      </c>
      <c r="D6107" s="56" t="n">
        <v>139</v>
      </c>
      <c r="E6107" s="56" t="n">
        <v>25.3</v>
      </c>
      <c r="F6107" s="56" t="n">
        <v>0</v>
      </c>
      <c r="G6107" s="56" t="n">
        <v>11.7</v>
      </c>
      <c r="H6107" s="56" t="n">
        <v>0</v>
      </c>
      <c r="I6107" s="56" t="n">
        <v>17.9</v>
      </c>
      <c r="J6107" s="56" t="n">
        <v>0</v>
      </c>
      <c r="K6107" s="56" t="n">
        <v>1018.6</v>
      </c>
      <c r="L6107" s="56" t="n">
        <v>0</v>
      </c>
      <c r="M6107" s="56" t="n">
        <v>71</v>
      </c>
      <c r="N6107" s="56" t="n">
        <v>6.4</v>
      </c>
      <c r="O6107" s="56" t="n">
        <f aca="false">IF(D6107=1,"",E6106)</f>
        <v>24.2</v>
      </c>
      <c r="P6107" s="56" t="n">
        <f aca="false">IF(OR(D6107=1,K6106=""),"",K6106)</f>
        <v>1023.2</v>
      </c>
      <c r="Q6107" s="56" t="n">
        <f aca="false">IF(OR(F6107&lt;&gt;0,AND(I6107&lt;&gt;"",E6107&lt;I6107)),1,0)</f>
        <v>0</v>
      </c>
      <c r="R6107" s="56" t="n">
        <f aca="false">IF(AND(D6107&gt;1,Q6107=0,ISNUMBER(O6107),ISNUMBER(P6107)),IF(Q6106=0,1,0),0)</f>
        <v>1</v>
      </c>
      <c r="S6107" s="56" t="n">
        <f aca="false">R6107*(B6107&gt;=Train_Start)*(B6107&lt;=Train_End)</f>
        <v>0</v>
      </c>
      <c r="T6107" s="84" t="n">
        <f aca="false">IF(AND(ISNUMBER(O6107),ISNUMBER(P6107)),Coef_A+Coef_B1*O6107+Coef_B2*P6107,"")</f>
        <v>24.012660083126</v>
      </c>
      <c r="U6107" s="84" t="n">
        <f aca="false">IF(AND(R6107=1,ISNUMBER(T6107)),E6107-T6107,"")</f>
        <v>1.28733991687404</v>
      </c>
      <c r="V6107" s="84" t="n">
        <f aca="false">IF(ISNUMBER(T6107),T6107,-99)</f>
        <v>24.012660083126</v>
      </c>
      <c r="W6107" s="84" t="n">
        <f aca="false">IF(ISNUMBER(U6107),ABS(U6107),"")</f>
        <v>1.28733991687404</v>
      </c>
    </row>
    <row r="6108" customFormat="false" ht="15" hidden="false" customHeight="false" outlineLevel="0" collapsed="false">
      <c r="A6108" s="57" t="n">
        <v>43360</v>
      </c>
      <c r="B6108" s="56" t="n">
        <v>2018</v>
      </c>
      <c r="C6108" s="56" t="n">
        <v>9</v>
      </c>
      <c r="D6108" s="56" t="n">
        <v>140</v>
      </c>
      <c r="E6108" s="56" t="n">
        <v>23.5</v>
      </c>
      <c r="F6108" s="56" t="n">
        <v>0</v>
      </c>
      <c r="G6108" s="56" t="n">
        <v>17.3</v>
      </c>
      <c r="H6108" s="56" t="n">
        <v>0</v>
      </c>
      <c r="I6108" s="56" t="n">
        <v>21.3</v>
      </c>
      <c r="J6108" s="56" t="n">
        <v>0</v>
      </c>
      <c r="K6108" s="56" t="n">
        <v>1013.7</v>
      </c>
      <c r="L6108" s="56" t="n">
        <v>0</v>
      </c>
      <c r="M6108" s="56" t="n">
        <v>62</v>
      </c>
      <c r="N6108" s="56" t="n">
        <v>9.5</v>
      </c>
      <c r="O6108" s="56" t="n">
        <f aca="false">IF(D6108=1,"",E6107)</f>
        <v>25.3</v>
      </c>
      <c r="P6108" s="56" t="n">
        <f aca="false">IF(OR(D6108=1,K6107=""),"",K6107)</f>
        <v>1018.6</v>
      </c>
      <c r="Q6108" s="56" t="n">
        <f aca="false">IF(OR(F6108&lt;&gt;0,AND(I6108&lt;&gt;"",E6108&lt;I6108)),1,0)</f>
        <v>0</v>
      </c>
      <c r="R6108" s="56" t="n">
        <f aca="false">IF(AND(D6108&gt;1,Q6108=0,ISNUMBER(O6108),ISNUMBER(P6108)),IF(Q6107=0,1,0),0)</f>
        <v>1</v>
      </c>
      <c r="S6108" s="56" t="n">
        <f aca="false">R6108*(B6108&gt;=Train_Start)*(B6108&lt;=Train_End)</f>
        <v>0</v>
      </c>
      <c r="T6108" s="84" t="n">
        <f aca="false">IF(AND(ISNUMBER(O6108),ISNUMBER(P6108)),Coef_A+Coef_B1*O6108+Coef_B2*P6108,"")</f>
        <v>24.7696316801565</v>
      </c>
      <c r="U6108" s="84" t="n">
        <f aca="false">IF(AND(R6108=1,ISNUMBER(T6108)),E6108-T6108,"")</f>
        <v>-1.26963168015653</v>
      </c>
      <c r="V6108" s="84" t="n">
        <f aca="false">IF(ISNUMBER(T6108),T6108,-99)</f>
        <v>24.7696316801565</v>
      </c>
      <c r="W6108" s="84" t="n">
        <f aca="false">IF(ISNUMBER(U6108),ABS(U6108),"")</f>
        <v>1.26963168015653</v>
      </c>
    </row>
    <row r="6109" customFormat="false" ht="15" hidden="false" customHeight="false" outlineLevel="0" collapsed="false">
      <c r="A6109" s="57" t="n">
        <v>43361</v>
      </c>
      <c r="B6109" s="56" t="n">
        <v>2018</v>
      </c>
      <c r="C6109" s="56" t="n">
        <v>9</v>
      </c>
      <c r="D6109" s="56" t="n">
        <v>141</v>
      </c>
      <c r="E6109" s="56" t="n">
        <v>23.7</v>
      </c>
      <c r="F6109" s="56" t="n">
        <v>0</v>
      </c>
      <c r="G6109" s="56" t="n">
        <v>16.5</v>
      </c>
      <c r="H6109" s="56" t="n">
        <v>0</v>
      </c>
      <c r="I6109" s="56" t="n">
        <v>20</v>
      </c>
      <c r="J6109" s="56" t="n">
        <v>0</v>
      </c>
      <c r="K6109" s="56" t="n">
        <v>1008.9</v>
      </c>
      <c r="L6109" s="56" t="n">
        <v>0</v>
      </c>
      <c r="M6109" s="56" t="n">
        <v>70</v>
      </c>
      <c r="N6109" s="56" t="n">
        <v>4.1</v>
      </c>
      <c r="O6109" s="56" t="n">
        <f aca="false">IF(D6109=1,"",E6108)</f>
        <v>23.5</v>
      </c>
      <c r="P6109" s="56" t="n">
        <f aca="false">IF(OR(D6109=1,K6108=""),"",K6108)</f>
        <v>1013.7</v>
      </c>
      <c r="Q6109" s="56" t="n">
        <f aca="false">IF(OR(F6109&lt;&gt;0,AND(I6109&lt;&gt;"",E6109&lt;I6109)),1,0)</f>
        <v>0</v>
      </c>
      <c r="R6109" s="56" t="n">
        <f aca="false">IF(AND(D6109&gt;1,Q6109=0,ISNUMBER(O6109),ISNUMBER(P6109)),IF(Q6108=0,1,0),0)</f>
        <v>1</v>
      </c>
      <c r="S6109" s="56" t="n">
        <f aca="false">R6109*(B6109&gt;=Train_Start)*(B6109&lt;=Train_End)</f>
        <v>0</v>
      </c>
      <c r="T6109" s="84" t="n">
        <f aca="false">IF(AND(ISNUMBER(O6109),ISNUMBER(P6109)),Coef_A+Coef_B1*O6109+Coef_B2*P6109,"")</f>
        <v>23.1411086489732</v>
      </c>
      <c r="U6109" s="84" t="n">
        <f aca="false">IF(AND(R6109=1,ISNUMBER(T6109)),E6109-T6109,"")</f>
        <v>0.558891351026801</v>
      </c>
      <c r="V6109" s="84" t="n">
        <f aca="false">IF(ISNUMBER(T6109),T6109,-99)</f>
        <v>23.1411086489732</v>
      </c>
      <c r="W6109" s="84" t="n">
        <f aca="false">IF(ISNUMBER(U6109),ABS(U6109),"")</f>
        <v>0.558891351026801</v>
      </c>
    </row>
    <row r="6110" customFormat="false" ht="15" hidden="false" customHeight="false" outlineLevel="0" collapsed="false">
      <c r="A6110" s="57" t="n">
        <v>43362</v>
      </c>
      <c r="B6110" s="56" t="n">
        <v>2018</v>
      </c>
      <c r="C6110" s="56" t="n">
        <v>9</v>
      </c>
      <c r="D6110" s="56" t="n">
        <v>142</v>
      </c>
      <c r="E6110" s="56" t="n">
        <v>21.9</v>
      </c>
      <c r="F6110" s="56" t="n">
        <v>0</v>
      </c>
      <c r="G6110" s="56" t="n">
        <v>16.7</v>
      </c>
      <c r="H6110" s="56" t="n">
        <v>0</v>
      </c>
      <c r="I6110" s="56" t="n">
        <v>20.2</v>
      </c>
      <c r="J6110" s="56" t="n">
        <v>0</v>
      </c>
      <c r="K6110" s="56" t="n">
        <v>1012.4</v>
      </c>
      <c r="L6110" s="56" t="n">
        <v>0</v>
      </c>
      <c r="M6110" s="56" t="n">
        <v>76</v>
      </c>
      <c r="N6110" s="56" t="n">
        <v>4.1</v>
      </c>
      <c r="O6110" s="56" t="n">
        <f aca="false">IF(D6110=1,"",E6109)</f>
        <v>23.7</v>
      </c>
      <c r="P6110" s="56" t="n">
        <f aca="false">IF(OR(D6110=1,K6109=""),"",K6109)</f>
        <v>1008.9</v>
      </c>
      <c r="Q6110" s="56" t="n">
        <f aca="false">IF(OR(F6110&lt;&gt;0,AND(I6110&lt;&gt;"",E6110&lt;I6110)),1,0)</f>
        <v>0</v>
      </c>
      <c r="R6110" s="56" t="n">
        <f aca="false">IF(AND(D6110&gt;1,Q6110=0,ISNUMBER(O6110),ISNUMBER(P6110)),IF(Q6109=0,1,0),0)</f>
        <v>1</v>
      </c>
      <c r="S6110" s="56" t="n">
        <f aca="false">R6110*(B6110&gt;=Train_Start)*(B6110&lt;=Train_End)</f>
        <v>0</v>
      </c>
      <c r="T6110" s="84" t="n">
        <f aca="false">IF(AND(ISNUMBER(O6110),ISNUMBER(P6110)),Coef_A+Coef_B1*O6110+Coef_B2*P6110,"")</f>
        <v>23.1544009933386</v>
      </c>
      <c r="U6110" s="84" t="n">
        <f aca="false">IF(AND(R6110=1,ISNUMBER(T6110)),E6110-T6110,"")</f>
        <v>-1.25440099333858</v>
      </c>
      <c r="V6110" s="84" t="n">
        <f aca="false">IF(ISNUMBER(T6110),T6110,-99)</f>
        <v>23.1544009933386</v>
      </c>
      <c r="W6110" s="84" t="n">
        <f aca="false">IF(ISNUMBER(U6110),ABS(U6110),"")</f>
        <v>1.25440099333858</v>
      </c>
    </row>
    <row r="6111" customFormat="false" ht="15" hidden="false" customHeight="false" outlineLevel="0" collapsed="false">
      <c r="A6111" s="57" t="n">
        <v>43363</v>
      </c>
      <c r="B6111" s="56" t="n">
        <v>2018</v>
      </c>
      <c r="C6111" s="56" t="n">
        <v>9</v>
      </c>
      <c r="D6111" s="56" t="n">
        <v>143</v>
      </c>
      <c r="E6111" s="56" t="n">
        <v>17.7</v>
      </c>
      <c r="F6111" s="56" t="n">
        <v>1</v>
      </c>
      <c r="G6111" s="56" t="n">
        <v>16</v>
      </c>
      <c r="H6111" s="56" t="n">
        <v>0</v>
      </c>
      <c r="I6111" s="56" t="n">
        <v>18.9</v>
      </c>
      <c r="J6111" s="56" t="n">
        <v>1</v>
      </c>
      <c r="K6111" s="56" t="n">
        <v>1009.1</v>
      </c>
      <c r="L6111" s="56" t="n">
        <v>0</v>
      </c>
      <c r="M6111" s="56" t="n">
        <v>78</v>
      </c>
      <c r="N6111" s="56" t="n">
        <v>0.5</v>
      </c>
      <c r="O6111" s="56" t="n">
        <f aca="false">IF(D6111=1,"",E6110)</f>
        <v>21.9</v>
      </c>
      <c r="P6111" s="56" t="n">
        <f aca="false">IF(OR(D6111=1,K6110=""),"",K6110)</f>
        <v>1012.4</v>
      </c>
      <c r="Q6111" s="56" t="n">
        <f aca="false">IF(OR(F6111&lt;&gt;0,AND(I6111&lt;&gt;"",E6111&lt;I6111)),1,0)</f>
        <v>1</v>
      </c>
      <c r="R6111" s="56" t="n">
        <f aca="false">IF(AND(D6111&gt;1,Q6111=0,ISNUMBER(O6111),ISNUMBER(P6111)),IF(Q6110=0,1,0),0)</f>
        <v>0</v>
      </c>
      <c r="S6111" s="56" t="n">
        <f aca="false">R6111*(B6111&gt;=Train_Start)*(B6111&lt;=Train_End)</f>
        <v>0</v>
      </c>
      <c r="T6111" s="84" t="n">
        <f aca="false">IF(AND(ISNUMBER(O6111),ISNUMBER(P6111)),Coef_A+Coef_B1*O6111+Coef_B2*P6111,"")</f>
        <v>21.7893850770808</v>
      </c>
      <c r="U6111" s="84" t="str">
        <f aca="false">IF(AND(R6111=1,ISNUMBER(T6111)),E6111-T6111,"")</f>
        <v/>
      </c>
      <c r="V6111" s="84" t="n">
        <f aca="false">IF(ISNUMBER(T6111),T6111,-99)</f>
        <v>21.7893850770808</v>
      </c>
      <c r="W6111" s="84" t="str">
        <f aca="false">IF(ISNUMBER(U6111),ABS(U6111),"")</f>
        <v/>
      </c>
    </row>
    <row r="6112" customFormat="false" ht="15" hidden="false" customHeight="false" outlineLevel="0" collapsed="false">
      <c r="A6112" s="57" t="n">
        <v>43364</v>
      </c>
      <c r="B6112" s="56" t="n">
        <v>2018</v>
      </c>
      <c r="C6112" s="56" t="n">
        <v>9</v>
      </c>
      <c r="D6112" s="56" t="n">
        <v>144</v>
      </c>
      <c r="E6112" s="56" t="n">
        <v>13.3</v>
      </c>
      <c r="F6112" s="56" t="n">
        <v>1</v>
      </c>
      <c r="G6112" s="56" t="n">
        <v>10.6</v>
      </c>
      <c r="H6112" s="56" t="n">
        <v>0</v>
      </c>
      <c r="I6112" s="56" t="n">
        <v>14.2</v>
      </c>
      <c r="J6112" s="56" t="n">
        <v>1</v>
      </c>
      <c r="K6112" s="56" t="n">
        <v>1008.6</v>
      </c>
      <c r="L6112" s="56" t="n">
        <v>0</v>
      </c>
      <c r="M6112" s="56" t="n">
        <v>67</v>
      </c>
      <c r="N6112" s="56" t="n">
        <v>8.9</v>
      </c>
      <c r="O6112" s="56" t="n">
        <f aca="false">IF(D6112=1,"",E6111)</f>
        <v>17.7</v>
      </c>
      <c r="P6112" s="56" t="n">
        <f aca="false">IF(OR(D6112=1,K6111=""),"",K6111)</f>
        <v>1009.1</v>
      </c>
      <c r="Q6112" s="56" t="n">
        <f aca="false">IF(OR(F6112&lt;&gt;0,AND(I6112&lt;&gt;"",E6112&lt;I6112)),1,0)</f>
        <v>1</v>
      </c>
      <c r="R6112" s="56" t="n">
        <f aca="false">IF(AND(D6112&gt;1,Q6112=0,ISNUMBER(O6112),ISNUMBER(P6112)),IF(Q6111=0,1,0),0)</f>
        <v>0</v>
      </c>
      <c r="S6112" s="56" t="n">
        <f aca="false">R6112*(B6112&gt;=Train_Start)*(B6112&lt;=Train_End)</f>
        <v>0</v>
      </c>
      <c r="T6112" s="84" t="n">
        <f aca="false">IF(AND(ISNUMBER(O6112),ISNUMBER(P6112)),Coef_A+Coef_B1*O6112+Coef_B2*P6112,"")</f>
        <v>18.2446398140094</v>
      </c>
      <c r="U6112" s="84" t="str">
        <f aca="false">IF(AND(R6112=1,ISNUMBER(T6112)),E6112-T6112,"")</f>
        <v/>
      </c>
      <c r="V6112" s="84" t="n">
        <f aca="false">IF(ISNUMBER(T6112),T6112,-99)</f>
        <v>18.2446398140094</v>
      </c>
      <c r="W6112" s="84" t="str">
        <f aca="false">IF(ISNUMBER(U6112),ABS(U6112),"")</f>
        <v/>
      </c>
    </row>
    <row r="6113" customFormat="false" ht="15" hidden="false" customHeight="false" outlineLevel="0" collapsed="false">
      <c r="A6113" s="57" t="n">
        <v>43365</v>
      </c>
      <c r="B6113" s="56" t="n">
        <v>2018</v>
      </c>
      <c r="C6113" s="56" t="n">
        <v>9</v>
      </c>
      <c r="D6113" s="56" t="n">
        <v>145</v>
      </c>
      <c r="E6113" s="56" t="n">
        <v>14.9</v>
      </c>
      <c r="F6113" s="56" t="n">
        <v>0</v>
      </c>
      <c r="G6113" s="56" t="n">
        <v>10.6</v>
      </c>
      <c r="H6113" s="56" t="n">
        <v>0</v>
      </c>
      <c r="I6113" s="56" t="n">
        <v>11.9</v>
      </c>
      <c r="J6113" s="56" t="n">
        <v>0</v>
      </c>
      <c r="K6113" s="56" t="n">
        <v>1017.6</v>
      </c>
      <c r="L6113" s="56" t="n">
        <v>0</v>
      </c>
      <c r="M6113" s="56" t="n">
        <v>86</v>
      </c>
      <c r="N6113" s="56" t="n">
        <v>0</v>
      </c>
      <c r="O6113" s="56" t="n">
        <f aca="false">IF(D6113=1,"",E6112)</f>
        <v>13.3</v>
      </c>
      <c r="P6113" s="56" t="n">
        <f aca="false">IF(OR(D6113=1,K6112=""),"",K6112)</f>
        <v>1008.6</v>
      </c>
      <c r="Q6113" s="56" t="n">
        <f aca="false">IF(OR(F6113&lt;&gt;0,AND(I6113&lt;&gt;"",E6113&lt;I6113)),1,0)</f>
        <v>0</v>
      </c>
      <c r="R6113" s="56" t="n">
        <f aca="false">IF(AND(D6113&gt;1,Q6113=0,ISNUMBER(O6113),ISNUMBER(P6113)),IF(Q6112=0,1,0),0)</f>
        <v>0</v>
      </c>
      <c r="S6113" s="56" t="n">
        <f aca="false">R6113*(B6113&gt;=Train_Start)*(B6113&lt;=Train_End)</f>
        <v>0</v>
      </c>
      <c r="T6113" s="84" t="n">
        <f aca="false">IF(AND(ISNUMBER(O6113),ISNUMBER(P6113)),Coef_A+Coef_B1*O6113+Coef_B2*P6113,"")</f>
        <v>14.6238624173047</v>
      </c>
      <c r="U6113" s="84" t="str">
        <f aca="false">IF(AND(R6113=1,ISNUMBER(T6113)),E6113-T6113,"")</f>
        <v/>
      </c>
      <c r="V6113" s="84" t="n">
        <f aca="false">IF(ISNUMBER(T6113),T6113,-99)</f>
        <v>14.6238624173047</v>
      </c>
      <c r="W6113" s="84" t="str">
        <f aca="false">IF(ISNUMBER(U6113),ABS(U6113),"")</f>
        <v/>
      </c>
    </row>
    <row r="6114" customFormat="false" ht="15" hidden="false" customHeight="false" outlineLevel="0" collapsed="false">
      <c r="A6114" s="57" t="n">
        <v>43366</v>
      </c>
      <c r="B6114" s="56" t="n">
        <v>2018</v>
      </c>
      <c r="C6114" s="56" t="n">
        <v>9</v>
      </c>
      <c r="D6114" s="56" t="n">
        <v>146</v>
      </c>
      <c r="E6114" s="56" t="n">
        <v>16.2</v>
      </c>
      <c r="F6114" s="56" t="n">
        <v>0</v>
      </c>
      <c r="G6114" s="56" t="n">
        <v>9</v>
      </c>
      <c r="H6114" s="56" t="n">
        <v>0</v>
      </c>
      <c r="I6114" s="56" t="n">
        <v>11.9</v>
      </c>
      <c r="J6114" s="56" t="n">
        <v>0</v>
      </c>
      <c r="K6114" s="56" t="n">
        <v>1019.6</v>
      </c>
      <c r="L6114" s="56" t="n">
        <v>0</v>
      </c>
      <c r="M6114" s="56" t="n">
        <v>80</v>
      </c>
      <c r="N6114" s="56" t="n">
        <v>3.8</v>
      </c>
      <c r="O6114" s="56" t="n">
        <f aca="false">IF(D6114=1,"",E6113)</f>
        <v>14.9</v>
      </c>
      <c r="P6114" s="56" t="n">
        <f aca="false">IF(OR(D6114=1,K6113=""),"",K6113)</f>
        <v>1017.6</v>
      </c>
      <c r="Q6114" s="56" t="n">
        <f aca="false">IF(OR(F6114&lt;&gt;0,AND(I6114&lt;&gt;"",E6114&lt;I6114)),1,0)</f>
        <v>0</v>
      </c>
      <c r="R6114" s="56" t="n">
        <f aca="false">IF(AND(D6114&gt;1,Q6114=0,ISNUMBER(O6114),ISNUMBER(P6114)),IF(Q6113=0,1,0),0)</f>
        <v>1</v>
      </c>
      <c r="S6114" s="56" t="n">
        <f aca="false">R6114*(B6114&gt;=Train_Start)*(B6114&lt;=Train_End)</f>
        <v>0</v>
      </c>
      <c r="T6114" s="84" t="n">
        <f aca="false">IF(AND(ISNUMBER(O6114),ISNUMBER(P6114)),Coef_A+Coef_B1*O6114+Coef_B2*P6114,"")</f>
        <v>16.2171341778789</v>
      </c>
      <c r="U6114" s="84" t="n">
        <f aca="false">IF(AND(R6114=1,ISNUMBER(T6114)),E6114-T6114,"")</f>
        <v>-0.0171341778789049</v>
      </c>
      <c r="V6114" s="84" t="n">
        <f aca="false">IF(ISNUMBER(T6114),T6114,-99)</f>
        <v>16.2171341778789</v>
      </c>
      <c r="W6114" s="84" t="n">
        <f aca="false">IF(ISNUMBER(U6114),ABS(U6114),"")</f>
        <v>0.0171341778789049</v>
      </c>
    </row>
    <row r="6115" customFormat="false" ht="15" hidden="false" customHeight="false" outlineLevel="0" collapsed="false">
      <c r="A6115" s="57" t="n">
        <v>43367</v>
      </c>
      <c r="B6115" s="56" t="n">
        <v>2018</v>
      </c>
      <c r="C6115" s="56" t="n">
        <v>9</v>
      </c>
      <c r="D6115" s="56" t="n">
        <v>147</v>
      </c>
      <c r="E6115" s="56" t="n">
        <v>18.2</v>
      </c>
      <c r="F6115" s="56" t="n">
        <v>0</v>
      </c>
      <c r="G6115" s="56" t="n">
        <v>4.8</v>
      </c>
      <c r="H6115" s="56" t="n">
        <v>0</v>
      </c>
      <c r="I6115" s="56" t="n">
        <v>10.5</v>
      </c>
      <c r="J6115" s="56" t="n">
        <v>0</v>
      </c>
      <c r="K6115" s="56" t="n">
        <v>1037</v>
      </c>
      <c r="L6115" s="56" t="n">
        <v>0</v>
      </c>
      <c r="M6115" s="56" t="n">
        <v>65</v>
      </c>
      <c r="N6115" s="56" t="n">
        <v>11.2</v>
      </c>
      <c r="O6115" s="56" t="n">
        <f aca="false">IF(D6115=1,"",E6114)</f>
        <v>16.2</v>
      </c>
      <c r="P6115" s="56" t="n">
        <f aca="false">IF(OR(D6115=1,K6114=""),"",K6114)</f>
        <v>1019.6</v>
      </c>
      <c r="Q6115" s="56" t="n">
        <f aca="false">IF(OR(F6115&lt;&gt;0,AND(I6115&lt;&gt;"",E6115&lt;I6115)),1,0)</f>
        <v>0</v>
      </c>
      <c r="R6115" s="56" t="n">
        <f aca="false">IF(AND(D6115&gt;1,Q6115=0,ISNUMBER(O6115),ISNUMBER(P6115)),IF(Q6114=0,1,0),0)</f>
        <v>1</v>
      </c>
      <c r="S6115" s="56" t="n">
        <f aca="false">R6115*(B6115&gt;=Train_Start)*(B6115&lt;=Train_End)</f>
        <v>0</v>
      </c>
      <c r="T6115" s="84" t="n">
        <f aca="false">IF(AND(ISNUMBER(O6115),ISNUMBER(P6115)),Coef_A+Coef_B1*O6115+Coef_B2*P6115,"")</f>
        <v>17.3450149181023</v>
      </c>
      <c r="U6115" s="84" t="n">
        <f aca="false">IF(AND(R6115=1,ISNUMBER(T6115)),E6115-T6115,"")</f>
        <v>0.854985081897663</v>
      </c>
      <c r="V6115" s="84" t="n">
        <f aca="false">IF(ISNUMBER(T6115),T6115,-99)</f>
        <v>17.3450149181023</v>
      </c>
      <c r="W6115" s="84" t="n">
        <f aca="false">IF(ISNUMBER(U6115),ABS(U6115),"")</f>
        <v>0.854985081897663</v>
      </c>
    </row>
    <row r="6116" customFormat="false" ht="15" hidden="false" customHeight="false" outlineLevel="0" collapsed="false">
      <c r="A6116" s="57" t="n">
        <v>43368</v>
      </c>
      <c r="B6116" s="56" t="n">
        <v>2018</v>
      </c>
      <c r="C6116" s="56" t="n">
        <v>9</v>
      </c>
      <c r="D6116" s="56" t="n">
        <v>148</v>
      </c>
      <c r="E6116" s="56" t="n">
        <v>22.8</v>
      </c>
      <c r="F6116" s="56" t="n">
        <v>0</v>
      </c>
      <c r="G6116" s="56" t="n">
        <v>3.3</v>
      </c>
      <c r="H6116" s="56" t="n">
        <v>0</v>
      </c>
      <c r="I6116" s="56" t="n">
        <v>10.8</v>
      </c>
      <c r="J6116" s="56" t="n">
        <v>0</v>
      </c>
      <c r="K6116" s="56" t="n">
        <v>1037.7</v>
      </c>
      <c r="L6116" s="56" t="n">
        <v>0</v>
      </c>
      <c r="M6116" s="56" t="n">
        <v>67</v>
      </c>
      <c r="N6116" s="56" t="n">
        <v>10.5</v>
      </c>
      <c r="O6116" s="56" t="n">
        <f aca="false">IF(D6116=1,"",E6115)</f>
        <v>18.2</v>
      </c>
      <c r="P6116" s="56" t="n">
        <f aca="false">IF(OR(D6116=1,K6115=""),"",K6115)</f>
        <v>1037</v>
      </c>
      <c r="Q6116" s="56" t="n">
        <f aca="false">IF(OR(F6116&lt;&gt;0,AND(I6116&lt;&gt;"",E6116&lt;I6116)),1,0)</f>
        <v>0</v>
      </c>
      <c r="R6116" s="56" t="n">
        <f aca="false">IF(AND(D6116&gt;1,Q6116=0,ISNUMBER(O6116),ISNUMBER(P6116)),IF(Q6115=0,1,0),0)</f>
        <v>1</v>
      </c>
      <c r="S6116" s="56" t="n">
        <f aca="false">R6116*(B6116&gt;=Train_Start)*(B6116&lt;=Train_End)</f>
        <v>0</v>
      </c>
      <c r="T6116" s="84" t="n">
        <f aca="false">IF(AND(ISNUMBER(O6116),ISNUMBER(P6116)),Coef_A+Coef_B1*O6116+Coef_B2*P6116,"")</f>
        <v>19.5295294708191</v>
      </c>
      <c r="U6116" s="84" t="n">
        <f aca="false">IF(AND(R6116=1,ISNUMBER(T6116)),E6116-T6116,"")</f>
        <v>3.27047052918094</v>
      </c>
      <c r="V6116" s="84" t="n">
        <f aca="false">IF(ISNUMBER(T6116),T6116,-99)</f>
        <v>19.5295294708191</v>
      </c>
      <c r="W6116" s="84" t="n">
        <f aca="false">IF(ISNUMBER(U6116),ABS(U6116),"")</f>
        <v>3.27047052918094</v>
      </c>
    </row>
    <row r="6117" customFormat="false" ht="15" hidden="false" customHeight="false" outlineLevel="0" collapsed="false">
      <c r="A6117" s="57" t="n">
        <v>43369</v>
      </c>
      <c r="B6117" s="56" t="n">
        <v>2018</v>
      </c>
      <c r="C6117" s="56" t="n">
        <v>9</v>
      </c>
      <c r="D6117" s="56" t="n">
        <v>149</v>
      </c>
      <c r="E6117" s="56" t="n">
        <v>23.4</v>
      </c>
      <c r="F6117" s="56" t="n">
        <v>0</v>
      </c>
      <c r="G6117" s="56" t="n">
        <v>6.6</v>
      </c>
      <c r="H6117" s="56" t="n">
        <v>0</v>
      </c>
      <c r="I6117" s="56" t="n">
        <v>14.7</v>
      </c>
      <c r="J6117" s="56" t="n">
        <v>0</v>
      </c>
      <c r="K6117" s="56" t="n">
        <v>1032.6</v>
      </c>
      <c r="L6117" s="56" t="n">
        <v>0</v>
      </c>
      <c r="M6117" s="56" t="n">
        <v>62</v>
      </c>
      <c r="N6117" s="56" t="n">
        <v>11.1</v>
      </c>
      <c r="O6117" s="56" t="n">
        <f aca="false">IF(D6117=1,"",E6116)</f>
        <v>22.8</v>
      </c>
      <c r="P6117" s="56" t="n">
        <f aca="false">IF(OR(D6117=1,K6116=""),"",K6116)</f>
        <v>1037.7</v>
      </c>
      <c r="Q6117" s="56" t="n">
        <f aca="false">IF(OR(F6117&lt;&gt;0,AND(I6117&lt;&gt;"",E6117&lt;I6117)),1,0)</f>
        <v>0</v>
      </c>
      <c r="R6117" s="56" t="n">
        <f aca="false">IF(AND(D6117&gt;1,Q6117=0,ISNUMBER(O6117),ISNUMBER(P6117)),IF(Q6116=0,1,0),0)</f>
        <v>1</v>
      </c>
      <c r="S6117" s="56" t="n">
        <f aca="false">R6117*(B6117&gt;=Train_Start)*(B6117&lt;=Train_End)</f>
        <v>0</v>
      </c>
      <c r="T6117" s="84" t="n">
        <f aca="false">IF(AND(ISNUMBER(O6117),ISNUMBER(P6117)),Coef_A+Coef_B1*O6117+Coef_B2*P6117,"")</f>
        <v>23.3204486850591</v>
      </c>
      <c r="U6117" s="84" t="n">
        <f aca="false">IF(AND(R6117=1,ISNUMBER(T6117)),E6117-T6117,"")</f>
        <v>0.0795513149409111</v>
      </c>
      <c r="V6117" s="84" t="n">
        <f aca="false">IF(ISNUMBER(T6117),T6117,-99)</f>
        <v>23.3204486850591</v>
      </c>
      <c r="W6117" s="84" t="n">
        <f aca="false">IF(ISNUMBER(U6117),ABS(U6117),"")</f>
        <v>0.0795513149409111</v>
      </c>
    </row>
    <row r="6118" customFormat="false" ht="15" hidden="false" customHeight="false" outlineLevel="0" collapsed="false">
      <c r="A6118" s="57" t="n">
        <v>43370</v>
      </c>
      <c r="B6118" s="56" t="n">
        <v>2018</v>
      </c>
      <c r="C6118" s="56" t="n">
        <v>9</v>
      </c>
      <c r="D6118" s="56" t="n">
        <v>150</v>
      </c>
      <c r="E6118" s="56" t="n">
        <v>17.5</v>
      </c>
      <c r="F6118" s="56" t="n">
        <v>0</v>
      </c>
      <c r="G6118" s="56" t="n">
        <v>8.5</v>
      </c>
      <c r="H6118" s="56" t="n">
        <v>0</v>
      </c>
      <c r="I6118" s="56" t="n">
        <v>15.9</v>
      </c>
      <c r="J6118" s="56" t="n">
        <v>0</v>
      </c>
      <c r="K6118" s="56" t="n">
        <v>1026.5</v>
      </c>
      <c r="L6118" s="56" t="n">
        <v>0</v>
      </c>
      <c r="M6118" s="56" t="n">
        <v>62</v>
      </c>
      <c r="N6118" s="56" t="n">
        <v>11</v>
      </c>
      <c r="O6118" s="56" t="n">
        <f aca="false">IF(D6118=1,"",E6117)</f>
        <v>23.4</v>
      </c>
      <c r="P6118" s="56" t="n">
        <f aca="false">IF(OR(D6118=1,K6117=""),"",K6117)</f>
        <v>1032.6</v>
      </c>
      <c r="Q6118" s="56" t="n">
        <f aca="false">IF(OR(F6118&lt;&gt;0,AND(I6118&lt;&gt;"",E6118&lt;I6118)),1,0)</f>
        <v>0</v>
      </c>
      <c r="R6118" s="56" t="n">
        <f aca="false">IF(AND(D6118&gt;1,Q6118=0,ISNUMBER(O6118),ISNUMBER(P6118)),IF(Q6117=0,1,0),0)</f>
        <v>1</v>
      </c>
      <c r="S6118" s="56" t="n">
        <f aca="false">R6118*(B6118&gt;=Train_Start)*(B6118&lt;=Train_End)</f>
        <v>0</v>
      </c>
      <c r="T6118" s="84" t="n">
        <f aca="false">IF(AND(ISNUMBER(O6118),ISNUMBER(P6118)),Coef_A+Coef_B1*O6118+Coef_B2*P6118,"")</f>
        <v>23.6520657382513</v>
      </c>
      <c r="U6118" s="84" t="n">
        <f aca="false">IF(AND(R6118=1,ISNUMBER(T6118)),E6118-T6118,"")</f>
        <v>-6.15206573825133</v>
      </c>
      <c r="V6118" s="84" t="n">
        <f aca="false">IF(ISNUMBER(T6118),T6118,-99)</f>
        <v>23.6520657382513</v>
      </c>
      <c r="W6118" s="84" t="n">
        <f aca="false">IF(ISNUMBER(U6118),ABS(U6118),"")</f>
        <v>6.15206573825133</v>
      </c>
    </row>
    <row r="6119" customFormat="false" ht="15" hidden="false" customHeight="false" outlineLevel="0" collapsed="false">
      <c r="A6119" s="57" t="n">
        <v>43371</v>
      </c>
      <c r="B6119" s="56" t="n">
        <v>2018</v>
      </c>
      <c r="C6119" s="56" t="n">
        <v>9</v>
      </c>
      <c r="D6119" s="56" t="n">
        <v>151</v>
      </c>
      <c r="E6119" s="56" t="n">
        <v>18.3</v>
      </c>
      <c r="F6119" s="56" t="n">
        <v>0</v>
      </c>
      <c r="G6119" s="56" t="n">
        <v>12</v>
      </c>
      <c r="H6119" s="56" t="n">
        <v>0</v>
      </c>
      <c r="I6119" s="56" t="n">
        <v>14.8</v>
      </c>
      <c r="J6119" s="56" t="n">
        <v>0</v>
      </c>
      <c r="K6119" s="56" t="n">
        <v>1030</v>
      </c>
      <c r="L6119" s="56" t="n">
        <v>0</v>
      </c>
      <c r="M6119" s="56" t="n">
        <v>63</v>
      </c>
      <c r="N6119" s="56" t="n">
        <v>7.5</v>
      </c>
      <c r="O6119" s="56" t="n">
        <f aca="false">IF(D6119=1,"",E6118)</f>
        <v>17.5</v>
      </c>
      <c r="P6119" s="56" t="n">
        <f aca="false">IF(OR(D6119=1,K6118=""),"",K6118)</f>
        <v>1026.5</v>
      </c>
      <c r="Q6119" s="56" t="n">
        <f aca="false">IF(OR(F6119&lt;&gt;0,AND(I6119&lt;&gt;"",E6119&lt;I6119)),1,0)</f>
        <v>0</v>
      </c>
      <c r="R6119" s="56" t="n">
        <f aca="false">IF(AND(D6119&gt;1,Q6119=0,ISNUMBER(O6119),ISNUMBER(P6119)),IF(Q6118=0,1,0),0)</f>
        <v>1</v>
      </c>
      <c r="S6119" s="56" t="n">
        <f aca="false">R6119*(B6119&gt;=Train_Start)*(B6119&lt;=Train_End)</f>
        <v>0</v>
      </c>
      <c r="T6119" s="84" t="n">
        <f aca="false">IF(AND(ISNUMBER(O6119),ISNUMBER(P6119)),Coef_A+Coef_B1*O6119+Coef_B2*P6119,"")</f>
        <v>18.6266081420323</v>
      </c>
      <c r="U6119" s="84" t="n">
        <f aca="false">IF(AND(R6119=1,ISNUMBER(T6119)),E6119-T6119,"")</f>
        <v>-0.326608142032313</v>
      </c>
      <c r="V6119" s="84" t="n">
        <f aca="false">IF(ISNUMBER(T6119),T6119,-99)</f>
        <v>18.6266081420323</v>
      </c>
      <c r="W6119" s="84" t="n">
        <f aca="false">IF(ISNUMBER(U6119),ABS(U6119),"")</f>
        <v>0.326608142032313</v>
      </c>
    </row>
    <row r="6120" customFormat="false" ht="15" hidden="false" customHeight="false" outlineLevel="0" collapsed="false">
      <c r="A6120" s="57" t="n">
        <v>43372</v>
      </c>
      <c r="B6120" s="56" t="n">
        <v>2018</v>
      </c>
      <c r="C6120" s="56" t="n">
        <v>9</v>
      </c>
      <c r="D6120" s="56" t="n">
        <v>152</v>
      </c>
      <c r="E6120" s="56" t="n">
        <v>15.4</v>
      </c>
      <c r="F6120" s="56" t="n">
        <v>0</v>
      </c>
      <c r="G6120" s="56" t="n">
        <v>5.3</v>
      </c>
      <c r="H6120" s="56" t="n">
        <v>0</v>
      </c>
      <c r="I6120" s="56" t="n">
        <v>11.8</v>
      </c>
      <c r="J6120" s="56" t="n">
        <v>0</v>
      </c>
      <c r="K6120" s="56" t="n">
        <v>1028</v>
      </c>
      <c r="L6120" s="56" t="n">
        <v>0</v>
      </c>
      <c r="M6120" s="56" t="n">
        <v>67</v>
      </c>
      <c r="N6120" s="56" t="n">
        <v>10.1</v>
      </c>
      <c r="O6120" s="56" t="n">
        <f aca="false">IF(D6120=1,"",E6119)</f>
        <v>18.3</v>
      </c>
      <c r="P6120" s="56" t="n">
        <f aca="false">IF(OR(D6120=1,K6119=""),"",K6119)</f>
        <v>1030</v>
      </c>
      <c r="Q6120" s="56" t="n">
        <f aca="false">IF(OR(F6120&lt;&gt;0,AND(I6120&lt;&gt;"",E6120&lt;I6120)),1,0)</f>
        <v>0</v>
      </c>
      <c r="R6120" s="56" t="n">
        <f aca="false">IF(AND(D6120&gt;1,Q6120=0,ISNUMBER(O6120),ISNUMBER(P6120)),IF(Q6119=0,1,0),0)</f>
        <v>1</v>
      </c>
      <c r="S6120" s="56" t="n">
        <f aca="false">R6120*(B6120&gt;=Train_Start)*(B6120&lt;=Train_End)</f>
        <v>0</v>
      </c>
      <c r="T6120" s="84" t="n">
        <f aca="false">IF(AND(ISNUMBER(O6120),ISNUMBER(P6120)),Coef_A+Coef_B1*O6120+Coef_B2*P6120,"")</f>
        <v>19.3918741276854</v>
      </c>
      <c r="U6120" s="84" t="n">
        <f aca="false">IF(AND(R6120=1,ISNUMBER(T6120)),E6120-T6120,"")</f>
        <v>-3.99187412768541</v>
      </c>
      <c r="V6120" s="84" t="n">
        <f aca="false">IF(ISNUMBER(T6120),T6120,-99)</f>
        <v>19.3918741276854</v>
      </c>
      <c r="W6120" s="84" t="n">
        <f aca="false">IF(ISNUMBER(U6120),ABS(U6120),"")</f>
        <v>3.99187412768541</v>
      </c>
    </row>
    <row r="6121" customFormat="false" ht="15" hidden="false" customHeight="false" outlineLevel="0" collapsed="false">
      <c r="A6121" s="57" t="n">
        <v>43373</v>
      </c>
      <c r="B6121" s="56" t="n">
        <v>2018</v>
      </c>
      <c r="C6121" s="56" t="n">
        <v>9</v>
      </c>
      <c r="D6121" s="56" t="n">
        <v>153</v>
      </c>
      <c r="E6121" s="56" t="n">
        <v>16.7</v>
      </c>
      <c r="F6121" s="56" t="n">
        <v>0</v>
      </c>
      <c r="G6121" s="56" t="n">
        <v>5.6</v>
      </c>
      <c r="H6121" s="56" t="n">
        <v>0</v>
      </c>
      <c r="I6121" s="56" t="n">
        <v>10.5</v>
      </c>
      <c r="J6121" s="56" t="n">
        <v>0</v>
      </c>
      <c r="K6121" s="56" t="n">
        <v>1020.4</v>
      </c>
      <c r="L6121" s="56" t="n">
        <v>0</v>
      </c>
      <c r="M6121" s="56" t="n">
        <v>72</v>
      </c>
      <c r="N6121" s="56" t="n">
        <v>3.2</v>
      </c>
      <c r="O6121" s="56" t="n">
        <f aca="false">IF(D6121=1,"",E6120)</f>
        <v>15.4</v>
      </c>
      <c r="P6121" s="56" t="n">
        <f aca="false">IF(OR(D6121=1,K6120=""),"",K6120)</f>
        <v>1028</v>
      </c>
      <c r="Q6121" s="56" t="n">
        <f aca="false">IF(OR(F6121&lt;&gt;0,AND(I6121&lt;&gt;"",E6121&lt;I6121)),1,0)</f>
        <v>0</v>
      </c>
      <c r="R6121" s="56" t="n">
        <f aca="false">IF(AND(D6121&gt;1,Q6121=0,ISNUMBER(O6121),ISNUMBER(P6121)),IF(Q6120=0,1,0),0)</f>
        <v>1</v>
      </c>
      <c r="S6121" s="56" t="n">
        <f aca="false">R6121*(B6121&gt;=Train_Start)*(B6121&lt;=Train_End)</f>
        <v>0</v>
      </c>
      <c r="T6121" s="84" t="n">
        <f aca="false">IF(AND(ISNUMBER(O6121),ISNUMBER(P6121)),Coef_A+Coef_B1*O6121+Coef_B2*P6121,"")</f>
        <v>16.9530506785937</v>
      </c>
      <c r="U6121" s="84" t="n">
        <f aca="false">IF(AND(R6121=1,ISNUMBER(T6121)),E6121-T6121,"")</f>
        <v>-0.253050678593723</v>
      </c>
      <c r="V6121" s="84" t="n">
        <f aca="false">IF(ISNUMBER(T6121),T6121,-99)</f>
        <v>16.9530506785937</v>
      </c>
      <c r="W6121" s="84" t="n">
        <f aca="false">IF(ISNUMBER(U6121),ABS(U6121),"")</f>
        <v>0.253050678593723</v>
      </c>
    </row>
    <row r="6122" customFormat="false" ht="15" hidden="false" customHeight="false" outlineLevel="0" collapsed="false">
      <c r="A6122" s="57" t="n">
        <v>43586</v>
      </c>
      <c r="B6122" s="56" t="n">
        <v>2019</v>
      </c>
      <c r="C6122" s="56" t="n">
        <v>5</v>
      </c>
      <c r="D6122" s="56" t="n">
        <v>1</v>
      </c>
      <c r="E6122" s="56" t="n">
        <v>16.7</v>
      </c>
      <c r="F6122" s="56" t="n">
        <v>0</v>
      </c>
      <c r="G6122" s="56" t="n">
        <v>6.5</v>
      </c>
      <c r="H6122" s="56" t="n">
        <v>0</v>
      </c>
      <c r="I6122" s="56" t="n">
        <v>12.5</v>
      </c>
      <c r="J6122" s="56" t="n">
        <v>0</v>
      </c>
      <c r="K6122" s="56" t="n">
        <v>1018.9</v>
      </c>
      <c r="L6122" s="56" t="n">
        <v>0</v>
      </c>
      <c r="M6122" s="56" t="n">
        <v>71</v>
      </c>
      <c r="N6122" s="56" t="n">
        <v>3.8</v>
      </c>
      <c r="O6122" s="56" t="str">
        <f aca="false">IF(D6122=1,"",E6121)</f>
        <v/>
      </c>
      <c r="P6122" s="56" t="str">
        <f aca="false">IF(OR(D6122=1,K6121=""),"",K6121)</f>
        <v/>
      </c>
      <c r="Q6122" s="56" t="n">
        <f aca="false">IF(OR(F6122&lt;&gt;0,AND(I6122&lt;&gt;"",E6122&lt;I6122)),1,0)</f>
        <v>0</v>
      </c>
      <c r="R6122" s="56" t="n">
        <f aca="false">IF(AND(D6122&gt;1,Q6122=0,ISNUMBER(O6122),ISNUMBER(P6122)),IF(Q6121=0,1,0),0)</f>
        <v>0</v>
      </c>
      <c r="S6122" s="56" t="n">
        <f aca="false">R6122*(B6122&gt;=Train_Start)*(B6122&lt;=Train_End)</f>
        <v>0</v>
      </c>
      <c r="T6122" s="84" t="str">
        <f aca="false">IF(AND(ISNUMBER(O6122),ISNUMBER(P6122)),Coef_A+Coef_B1*O6122+Coef_B2*P6122,"")</f>
        <v/>
      </c>
      <c r="U6122" s="84" t="str">
        <f aca="false">IF(AND(R6122=1,ISNUMBER(T6122)),E6122-T6122,"")</f>
        <v/>
      </c>
      <c r="V6122" s="84" t="n">
        <f aca="false">IF(ISNUMBER(T6122),T6122,-99)</f>
        <v>-99</v>
      </c>
      <c r="W6122" s="84" t="str">
        <f aca="false">IF(ISNUMBER(U6122),ABS(U6122),"")</f>
        <v/>
      </c>
    </row>
    <row r="6123" customFormat="false" ht="15" hidden="false" customHeight="false" outlineLevel="0" collapsed="false">
      <c r="A6123" s="57" t="n">
        <v>43587</v>
      </c>
      <c r="B6123" s="56" t="n">
        <v>2019</v>
      </c>
      <c r="C6123" s="56" t="n">
        <v>5</v>
      </c>
      <c r="D6123" s="56" t="n">
        <v>2</v>
      </c>
      <c r="E6123" s="56" t="n">
        <v>15.5</v>
      </c>
      <c r="F6123" s="56" t="n">
        <v>0</v>
      </c>
      <c r="G6123" s="56" t="n">
        <v>9.1</v>
      </c>
      <c r="H6123" s="56" t="n">
        <v>0</v>
      </c>
      <c r="I6123" s="56" t="n">
        <v>12.9</v>
      </c>
      <c r="J6123" s="56" t="n">
        <v>0</v>
      </c>
      <c r="K6123" s="56" t="n">
        <v>1014.1</v>
      </c>
      <c r="L6123" s="56" t="n">
        <v>0</v>
      </c>
      <c r="M6123" s="56" t="n">
        <v>75</v>
      </c>
      <c r="N6123" s="56" t="n">
        <v>4.7</v>
      </c>
      <c r="O6123" s="56" t="n">
        <f aca="false">IF(D6123=1,"",E6122)</f>
        <v>16.7</v>
      </c>
      <c r="P6123" s="56" t="n">
        <f aca="false">IF(OR(D6123=1,K6122=""),"",K6122)</f>
        <v>1018.9</v>
      </c>
      <c r="Q6123" s="56" t="n">
        <f aca="false">IF(OR(F6123&lt;&gt;0,AND(I6123&lt;&gt;"",E6123&lt;I6123)),1,0)</f>
        <v>0</v>
      </c>
      <c r="R6123" s="56" t="n">
        <f aca="false">IF(AND(D6123&gt;1,Q6123=0,ISNUMBER(O6123),ISNUMBER(P6123)),IF(Q6122=0,1,0),0)</f>
        <v>1</v>
      </c>
      <c r="S6123" s="56" t="n">
        <f aca="false">R6123*(B6123&gt;=Train_Start)*(B6123&lt;=Train_End)</f>
        <v>0</v>
      </c>
      <c r="T6123" s="84" t="n">
        <f aca="false">IF(AND(ISNUMBER(O6123),ISNUMBER(P6123)),Coef_A+Coef_B1*O6123+Coef_B2*P6123,"")</f>
        <v>17.7327255883799</v>
      </c>
      <c r="U6123" s="84" t="n">
        <f aca="false">IF(AND(R6123=1,ISNUMBER(T6123)),E6123-T6123,"")</f>
        <v>-2.23272558837987</v>
      </c>
      <c r="V6123" s="84" t="n">
        <f aca="false">IF(ISNUMBER(T6123),T6123,-99)</f>
        <v>17.7327255883799</v>
      </c>
      <c r="W6123" s="84" t="n">
        <f aca="false">IF(ISNUMBER(U6123),ABS(U6123),"")</f>
        <v>2.23272558837987</v>
      </c>
    </row>
    <row r="6124" customFormat="false" ht="15" hidden="false" customHeight="false" outlineLevel="0" collapsed="false">
      <c r="A6124" s="57" t="n">
        <v>43588</v>
      </c>
      <c r="B6124" s="56" t="n">
        <v>2019</v>
      </c>
      <c r="C6124" s="56" t="n">
        <v>5</v>
      </c>
      <c r="D6124" s="56" t="n">
        <v>3</v>
      </c>
      <c r="E6124" s="56" t="n">
        <v>11.6</v>
      </c>
      <c r="F6124" s="56" t="n">
        <v>0</v>
      </c>
      <c r="G6124" s="56" t="n">
        <v>7.4</v>
      </c>
      <c r="H6124" s="56" t="n">
        <v>0</v>
      </c>
      <c r="I6124" s="56" t="n">
        <v>11.4</v>
      </c>
      <c r="J6124" s="56" t="n">
        <v>0</v>
      </c>
      <c r="K6124" s="56" t="n">
        <v>1014.7</v>
      </c>
      <c r="L6124" s="56" t="n">
        <v>0</v>
      </c>
      <c r="M6124" s="56" t="n">
        <v>83</v>
      </c>
      <c r="N6124" s="56" t="n">
        <v>1.9</v>
      </c>
      <c r="O6124" s="56" t="n">
        <f aca="false">IF(D6124=1,"",E6123)</f>
        <v>15.5</v>
      </c>
      <c r="P6124" s="56" t="n">
        <f aca="false">IF(OR(D6124=1,K6123=""),"",K6123)</f>
        <v>1014.1</v>
      </c>
      <c r="Q6124" s="56" t="n">
        <f aca="false">IF(OR(F6124&lt;&gt;0,AND(I6124&lt;&gt;"",E6124&lt;I6124)),1,0)</f>
        <v>0</v>
      </c>
      <c r="R6124" s="56" t="n">
        <f aca="false">IF(AND(D6124&gt;1,Q6124=0,ISNUMBER(O6124),ISNUMBER(P6124)),IF(Q6123=0,1,0),0)</f>
        <v>1</v>
      </c>
      <c r="S6124" s="56" t="n">
        <f aca="false">R6124*(B6124&gt;=Train_Start)*(B6124&lt;=Train_End)</f>
        <v>0</v>
      </c>
      <c r="T6124" s="84" t="n">
        <f aca="false">IF(AND(ISNUMBER(O6124),ISNUMBER(P6124)),Coef_A+Coef_B1*O6124+Coef_B2*P6124,"")</f>
        <v>16.5989430624855</v>
      </c>
      <c r="U6124" s="84" t="n">
        <f aca="false">IF(AND(R6124=1,ISNUMBER(T6124)),E6124-T6124,"")</f>
        <v>-4.99894306248553</v>
      </c>
      <c r="V6124" s="84" t="n">
        <f aca="false">IF(ISNUMBER(T6124),T6124,-99)</f>
        <v>16.5989430624855</v>
      </c>
      <c r="W6124" s="84" t="n">
        <f aca="false">IF(ISNUMBER(U6124),ABS(U6124),"")</f>
        <v>4.99894306248553</v>
      </c>
    </row>
    <row r="6125" customFormat="false" ht="15" hidden="false" customHeight="false" outlineLevel="0" collapsed="false">
      <c r="A6125" s="57" t="n">
        <v>43589</v>
      </c>
      <c r="B6125" s="56" t="n">
        <v>2019</v>
      </c>
      <c r="C6125" s="56" t="n">
        <v>5</v>
      </c>
      <c r="D6125" s="56" t="n">
        <v>4</v>
      </c>
      <c r="E6125" s="56" t="n">
        <v>12.7</v>
      </c>
      <c r="F6125" s="56" t="n">
        <v>0</v>
      </c>
      <c r="G6125" s="56" t="n">
        <v>5.2</v>
      </c>
      <c r="H6125" s="56" t="n">
        <v>0</v>
      </c>
      <c r="I6125" s="56" t="n">
        <v>8.4</v>
      </c>
      <c r="J6125" s="56" t="n">
        <v>0</v>
      </c>
      <c r="K6125" s="56" t="n">
        <v>1019.6</v>
      </c>
      <c r="L6125" s="56" t="n">
        <v>0</v>
      </c>
      <c r="M6125" s="56" t="n">
        <v>64</v>
      </c>
      <c r="N6125" s="56" t="n">
        <v>9.5</v>
      </c>
      <c r="O6125" s="56" t="n">
        <f aca="false">IF(D6125=1,"",E6124)</f>
        <v>11.6</v>
      </c>
      <c r="P6125" s="56" t="n">
        <f aca="false">IF(OR(D6125=1,K6124=""),"",K6124)</f>
        <v>1014.7</v>
      </c>
      <c r="Q6125" s="56" t="n">
        <f aca="false">IF(OR(F6125&lt;&gt;0,AND(I6125&lt;&gt;"",E6125&lt;I6125)),1,0)</f>
        <v>0</v>
      </c>
      <c r="R6125" s="56" t="n">
        <f aca="false">IF(AND(D6125&gt;1,Q6125=0,ISNUMBER(O6125),ISNUMBER(P6125)),IF(Q6124=0,1,0),0)</f>
        <v>1</v>
      </c>
      <c r="S6125" s="56" t="n">
        <f aca="false">R6125*(B6125&gt;=Train_Start)*(B6125&lt;=Train_End)</f>
        <v>0</v>
      </c>
      <c r="T6125" s="84" t="n">
        <f aca="false">IF(AND(ISNUMBER(O6125),ISNUMBER(P6125)),Coef_A+Coef_B1*O6125+Coef_B2*P6125,"")</f>
        <v>13.4223421463996</v>
      </c>
      <c r="U6125" s="84" t="n">
        <f aca="false">IF(AND(R6125=1,ISNUMBER(T6125)),E6125-T6125,"")</f>
        <v>-0.722342146399566</v>
      </c>
      <c r="V6125" s="84" t="n">
        <f aca="false">IF(ISNUMBER(T6125),T6125,-99)</f>
        <v>13.4223421463996</v>
      </c>
      <c r="W6125" s="84" t="n">
        <f aca="false">IF(ISNUMBER(U6125),ABS(U6125),"")</f>
        <v>0.722342146399566</v>
      </c>
    </row>
    <row r="6126" customFormat="false" ht="15" hidden="false" customHeight="false" outlineLevel="0" collapsed="false">
      <c r="A6126" s="57" t="n">
        <v>43590</v>
      </c>
      <c r="B6126" s="56" t="n">
        <v>2019</v>
      </c>
      <c r="C6126" s="56" t="n">
        <v>5</v>
      </c>
      <c r="D6126" s="56" t="n">
        <v>5</v>
      </c>
      <c r="E6126" s="56" t="n">
        <v>13.1</v>
      </c>
      <c r="F6126" s="56" t="n">
        <v>0</v>
      </c>
      <c r="G6126" s="56" t="n">
        <v>2.7</v>
      </c>
      <c r="H6126" s="56" t="n">
        <v>0</v>
      </c>
      <c r="I6126" s="56" t="n">
        <v>7.7</v>
      </c>
      <c r="J6126" s="56" t="n">
        <v>0</v>
      </c>
      <c r="K6126" s="56" t="n">
        <v>1025.8</v>
      </c>
      <c r="L6126" s="56" t="n">
        <v>0</v>
      </c>
      <c r="M6126" s="56" t="n">
        <v>59</v>
      </c>
      <c r="N6126" s="56" t="n">
        <v>4.3</v>
      </c>
      <c r="O6126" s="56" t="n">
        <f aca="false">IF(D6126=1,"",E6125)</f>
        <v>12.7</v>
      </c>
      <c r="P6126" s="56" t="n">
        <f aca="false">IF(OR(D6126=1,K6125=""),"",K6125)</f>
        <v>1019.6</v>
      </c>
      <c r="Q6126" s="56" t="n">
        <f aca="false">IF(OR(F6126&lt;&gt;0,AND(I6126&lt;&gt;"",E6126&lt;I6126)),1,0)</f>
        <v>0</v>
      </c>
      <c r="R6126" s="56" t="n">
        <f aca="false">IF(AND(D6126&gt;1,Q6126=0,ISNUMBER(O6126),ISNUMBER(P6126)),IF(Q6125=0,1,0),0)</f>
        <v>1</v>
      </c>
      <c r="S6126" s="56" t="n">
        <f aca="false">R6126*(B6126&gt;=Train_Start)*(B6126&lt;=Train_End)</f>
        <v>0</v>
      </c>
      <c r="T6126" s="84" t="n">
        <f aca="false">IF(AND(ISNUMBER(O6126),ISNUMBER(P6126)),Coef_A+Coef_B1*O6126+Coef_B2*P6126,"")</f>
        <v>14.477327742453</v>
      </c>
      <c r="U6126" s="84" t="n">
        <f aca="false">IF(AND(R6126=1,ISNUMBER(T6126)),E6126-T6126,"")</f>
        <v>-1.37732774245303</v>
      </c>
      <c r="V6126" s="84" t="n">
        <f aca="false">IF(ISNUMBER(T6126),T6126,-99)</f>
        <v>14.477327742453</v>
      </c>
      <c r="W6126" s="84" t="n">
        <f aca="false">IF(ISNUMBER(U6126),ABS(U6126),"")</f>
        <v>1.37732774245303</v>
      </c>
    </row>
    <row r="6127" customFormat="false" ht="15" hidden="false" customHeight="false" outlineLevel="0" collapsed="false">
      <c r="A6127" s="57" t="n">
        <v>43591</v>
      </c>
      <c r="B6127" s="56" t="n">
        <v>2019</v>
      </c>
      <c r="C6127" s="56" t="n">
        <v>5</v>
      </c>
      <c r="D6127" s="56" t="n">
        <v>6</v>
      </c>
      <c r="E6127" s="56" t="n">
        <v>17.5</v>
      </c>
      <c r="F6127" s="56" t="n">
        <v>0</v>
      </c>
      <c r="G6127" s="56" t="n">
        <v>5.1</v>
      </c>
      <c r="H6127" s="56" t="n">
        <v>0</v>
      </c>
      <c r="I6127" s="56" t="n">
        <v>9.1</v>
      </c>
      <c r="J6127" s="56" t="n">
        <v>0</v>
      </c>
      <c r="K6127" s="56" t="n">
        <v>1022</v>
      </c>
      <c r="L6127" s="56" t="n">
        <v>0</v>
      </c>
      <c r="M6127" s="56" t="n">
        <v>55</v>
      </c>
      <c r="N6127" s="56" t="n">
        <v>2</v>
      </c>
      <c r="O6127" s="56" t="n">
        <f aca="false">IF(D6127=1,"",E6126)</f>
        <v>13.1</v>
      </c>
      <c r="P6127" s="56" t="n">
        <f aca="false">IF(OR(D6127=1,K6126=""),"",K6126)</f>
        <v>1025.8</v>
      </c>
      <c r="Q6127" s="56" t="n">
        <f aca="false">IF(OR(F6127&lt;&gt;0,AND(I6127&lt;&gt;"",E6127&lt;I6127)),1,0)</f>
        <v>0</v>
      </c>
      <c r="R6127" s="56" t="n">
        <f aca="false">IF(AND(D6127&gt;1,Q6127=0,ISNUMBER(O6127),ISNUMBER(P6127)),IF(Q6126=0,1,0),0)</f>
        <v>1</v>
      </c>
      <c r="S6127" s="56" t="n">
        <f aca="false">R6127*(B6127&gt;=Train_Start)*(B6127&lt;=Train_End)</f>
        <v>0</v>
      </c>
      <c r="T6127" s="84" t="n">
        <f aca="false">IF(AND(ISNUMBER(O6127),ISNUMBER(P6127)),Coef_A+Coef_B1*O6127+Coef_B2*P6127,"")</f>
        <v>14.9995567664008</v>
      </c>
      <c r="U6127" s="84" t="n">
        <f aca="false">IF(AND(R6127=1,ISNUMBER(T6127)),E6127-T6127,"")</f>
        <v>2.50044323359917</v>
      </c>
      <c r="V6127" s="84" t="n">
        <f aca="false">IF(ISNUMBER(T6127),T6127,-99)</f>
        <v>14.9995567664008</v>
      </c>
      <c r="W6127" s="84" t="n">
        <f aca="false">IF(ISNUMBER(U6127),ABS(U6127),"")</f>
        <v>2.50044323359917</v>
      </c>
    </row>
    <row r="6128" customFormat="false" ht="15" hidden="false" customHeight="false" outlineLevel="0" collapsed="false">
      <c r="A6128" s="57" t="n">
        <v>43592</v>
      </c>
      <c r="B6128" s="56" t="n">
        <v>2019</v>
      </c>
      <c r="C6128" s="56" t="n">
        <v>5</v>
      </c>
      <c r="D6128" s="56" t="n">
        <v>7</v>
      </c>
      <c r="E6128" s="56" t="n">
        <v>15.7</v>
      </c>
      <c r="F6128" s="56" t="n">
        <v>0</v>
      </c>
      <c r="G6128" s="56" t="n">
        <v>6.2</v>
      </c>
      <c r="H6128" s="56" t="n">
        <v>0</v>
      </c>
      <c r="I6128" s="56" t="n">
        <v>11.8</v>
      </c>
      <c r="J6128" s="56" t="n">
        <v>0</v>
      </c>
      <c r="K6128" s="56" t="n">
        <v>1013.9</v>
      </c>
      <c r="L6128" s="56" t="n">
        <v>0</v>
      </c>
      <c r="M6128" s="56" t="n">
        <v>57</v>
      </c>
      <c r="N6128" s="56" t="n">
        <v>6.9</v>
      </c>
      <c r="O6128" s="56" t="n">
        <f aca="false">IF(D6128=1,"",E6127)</f>
        <v>17.5</v>
      </c>
      <c r="P6128" s="56" t="n">
        <f aca="false">IF(OR(D6128=1,K6127=""),"",K6127)</f>
        <v>1022</v>
      </c>
      <c r="Q6128" s="56" t="n">
        <f aca="false">IF(OR(F6128&lt;&gt;0,AND(I6128&lt;&gt;"",E6128&lt;I6128)),1,0)</f>
        <v>0</v>
      </c>
      <c r="R6128" s="56" t="n">
        <f aca="false">IF(AND(D6128&gt;1,Q6128=0,ISNUMBER(O6128),ISNUMBER(P6128)),IF(Q6127=0,1,0),0)</f>
        <v>1</v>
      </c>
      <c r="S6128" s="56" t="n">
        <f aca="false">R6128*(B6128&gt;=Train_Start)*(B6128&lt;=Train_End)</f>
        <v>0</v>
      </c>
      <c r="T6128" s="84" t="n">
        <f aca="false">IF(AND(ISNUMBER(O6128),ISNUMBER(P6128)),Coef_A+Coef_B1*O6128+Coef_B2*P6128,"")</f>
        <v>18.4854436161794</v>
      </c>
      <c r="U6128" s="84" t="n">
        <f aca="false">IF(AND(R6128=1,ISNUMBER(T6128)),E6128-T6128,"")</f>
        <v>-2.78544361617936</v>
      </c>
      <c r="V6128" s="84" t="n">
        <f aca="false">IF(ISNUMBER(T6128),T6128,-99)</f>
        <v>18.4854436161794</v>
      </c>
      <c r="W6128" s="84" t="n">
        <f aca="false">IF(ISNUMBER(U6128),ABS(U6128),"")</f>
        <v>2.78544361617936</v>
      </c>
    </row>
    <row r="6129" customFormat="false" ht="15" hidden="false" customHeight="false" outlineLevel="0" collapsed="false">
      <c r="A6129" s="57" t="n">
        <v>43593</v>
      </c>
      <c r="B6129" s="56" t="n">
        <v>2019</v>
      </c>
      <c r="C6129" s="56" t="n">
        <v>5</v>
      </c>
      <c r="D6129" s="56" t="n">
        <v>8</v>
      </c>
      <c r="E6129" s="56" t="n">
        <v>15.8</v>
      </c>
      <c r="F6129" s="56" t="n">
        <v>0</v>
      </c>
      <c r="G6129" s="56" t="n">
        <v>8.4</v>
      </c>
      <c r="H6129" s="56" t="n">
        <v>0</v>
      </c>
      <c r="I6129" s="56" t="n">
        <v>12.1</v>
      </c>
      <c r="J6129" s="56" t="n">
        <v>0</v>
      </c>
      <c r="K6129" s="56" t="n">
        <v>995.7</v>
      </c>
      <c r="L6129" s="56" t="n">
        <v>0</v>
      </c>
      <c r="M6129" s="56" t="n">
        <v>86</v>
      </c>
      <c r="N6129" s="56" t="n">
        <v>1.8</v>
      </c>
      <c r="O6129" s="56" t="n">
        <f aca="false">IF(D6129=1,"",E6128)</f>
        <v>15.7</v>
      </c>
      <c r="P6129" s="56" t="n">
        <f aca="false">IF(OR(D6129=1,K6128=""),"",K6128)</f>
        <v>1013.9</v>
      </c>
      <c r="Q6129" s="56" t="n">
        <f aca="false">IF(OR(F6129&lt;&gt;0,AND(I6129&lt;&gt;"",E6129&lt;I6129)),1,0)</f>
        <v>0</v>
      </c>
      <c r="R6129" s="56" t="n">
        <f aca="false">IF(AND(D6129&gt;1,Q6129=0,ISNUMBER(O6129),ISNUMBER(P6129)),IF(Q6128=0,1,0),0)</f>
        <v>1</v>
      </c>
      <c r="S6129" s="56" t="n">
        <f aca="false">R6129*(B6129&gt;=Train_Start)*(B6129&lt;=Train_End)</f>
        <v>0</v>
      </c>
      <c r="T6129" s="84" t="n">
        <f aca="false">IF(AND(ISNUMBER(O6129),ISNUMBER(P6129)),Coef_A+Coef_B1*O6129+Coef_B2*P6129,"")</f>
        <v>16.7565369221673</v>
      </c>
      <c r="U6129" s="84" t="n">
        <f aca="false">IF(AND(R6129=1,ISNUMBER(T6129)),E6129-T6129,"")</f>
        <v>-0.956536922167263</v>
      </c>
      <c r="V6129" s="84" t="n">
        <f aca="false">IF(ISNUMBER(T6129),T6129,-99)</f>
        <v>16.7565369221673</v>
      </c>
      <c r="W6129" s="84" t="n">
        <f aca="false">IF(ISNUMBER(U6129),ABS(U6129),"")</f>
        <v>0.956536922167263</v>
      </c>
    </row>
    <row r="6130" customFormat="false" ht="15" hidden="false" customHeight="false" outlineLevel="0" collapsed="false">
      <c r="A6130" s="57" t="n">
        <v>43594</v>
      </c>
      <c r="B6130" s="56" t="n">
        <v>2019</v>
      </c>
      <c r="C6130" s="56" t="n">
        <v>5</v>
      </c>
      <c r="D6130" s="56" t="n">
        <v>9</v>
      </c>
      <c r="E6130" s="56" t="n">
        <v>16.4</v>
      </c>
      <c r="F6130" s="56" t="n">
        <v>0</v>
      </c>
      <c r="G6130" s="56" t="n">
        <v>6.1</v>
      </c>
      <c r="H6130" s="56" t="n">
        <v>0</v>
      </c>
      <c r="I6130" s="56" t="n">
        <v>10.9</v>
      </c>
      <c r="J6130" s="56" t="n">
        <v>0</v>
      </c>
      <c r="K6130" s="56" t="n">
        <v>997.5</v>
      </c>
      <c r="L6130" s="56" t="n">
        <v>0</v>
      </c>
      <c r="M6130" s="56" t="n">
        <v>90</v>
      </c>
      <c r="N6130" s="56" t="n">
        <v>1.9</v>
      </c>
      <c r="O6130" s="56" t="n">
        <f aca="false">IF(D6130=1,"",E6129)</f>
        <v>15.8</v>
      </c>
      <c r="P6130" s="56" t="n">
        <f aca="false">IF(OR(D6130=1,K6129=""),"",K6129)</f>
        <v>995.7</v>
      </c>
      <c r="Q6130" s="56" t="n">
        <f aca="false">IF(OR(F6130&lt;&gt;0,AND(I6130&lt;&gt;"",E6130&lt;I6130)),1,0)</f>
        <v>0</v>
      </c>
      <c r="R6130" s="56" t="n">
        <f aca="false">IF(AND(D6130&gt;1,Q6130=0,ISNUMBER(O6130),ISNUMBER(P6130)),IF(Q6129=0,1,0),0)</f>
        <v>1</v>
      </c>
      <c r="S6130" s="56" t="n">
        <f aca="false">R6130*(B6130&gt;=Train_Start)*(B6130&lt;=Train_End)</f>
        <v>0</v>
      </c>
      <c r="T6130" s="84" t="n">
        <f aca="false">IF(AND(ISNUMBER(O6130),ISNUMBER(P6130)),Coef_A+Coef_B1*O6130+Coef_B2*P6130,"")</f>
        <v>16.2675387591329</v>
      </c>
      <c r="U6130" s="84" t="n">
        <f aca="false">IF(AND(R6130=1,ISNUMBER(T6130)),E6130-T6130,"")</f>
        <v>0.132461240867073</v>
      </c>
      <c r="V6130" s="84" t="n">
        <f aca="false">IF(ISNUMBER(T6130),T6130,-99)</f>
        <v>16.2675387591329</v>
      </c>
      <c r="W6130" s="84" t="n">
        <f aca="false">IF(ISNUMBER(U6130),ABS(U6130),"")</f>
        <v>0.132461240867073</v>
      </c>
    </row>
    <row r="6131" customFormat="false" ht="15" hidden="false" customHeight="false" outlineLevel="0" collapsed="false">
      <c r="A6131" s="57" t="n">
        <v>43595</v>
      </c>
      <c r="B6131" s="56" t="n">
        <v>2019</v>
      </c>
      <c r="C6131" s="56" t="n">
        <v>5</v>
      </c>
      <c r="D6131" s="56" t="n">
        <v>10</v>
      </c>
      <c r="E6131" s="56" t="n">
        <v>16.8</v>
      </c>
      <c r="F6131" s="56" t="n">
        <v>0</v>
      </c>
      <c r="G6131" s="56" t="n">
        <v>4.7</v>
      </c>
      <c r="H6131" s="56" t="n">
        <v>0</v>
      </c>
      <c r="I6131" s="56" t="n">
        <v>10.6</v>
      </c>
      <c r="J6131" s="56" t="n">
        <v>0</v>
      </c>
      <c r="K6131" s="56" t="n">
        <v>1008.8</v>
      </c>
      <c r="L6131" s="56" t="n">
        <v>0</v>
      </c>
      <c r="M6131" s="56" t="n">
        <v>78</v>
      </c>
      <c r="N6131" s="56" t="n">
        <v>4.9</v>
      </c>
      <c r="O6131" s="56" t="n">
        <f aca="false">IF(D6131=1,"",E6130)</f>
        <v>16.4</v>
      </c>
      <c r="P6131" s="56" t="n">
        <f aca="false">IF(OR(D6131=1,K6130=""),"",K6130)</f>
        <v>997.5</v>
      </c>
      <c r="Q6131" s="56" t="n">
        <f aca="false">IF(OR(F6131&lt;&gt;0,AND(I6131&lt;&gt;"",E6131&lt;I6131)),1,0)</f>
        <v>0</v>
      </c>
      <c r="R6131" s="56" t="n">
        <f aca="false">IF(AND(D6131&gt;1,Q6131=0,ISNUMBER(O6131),ISNUMBER(P6131)),IF(Q6130=0,1,0),0)</f>
        <v>1</v>
      </c>
      <c r="S6131" s="56" t="n">
        <f aca="false">R6131*(B6131&gt;=Train_Start)*(B6131&lt;=Train_End)</f>
        <v>0</v>
      </c>
      <c r="T6131" s="84" t="n">
        <f aca="false">IF(AND(ISNUMBER(O6131),ISNUMBER(P6131)),Coef_A+Coef_B1*O6131+Coef_B2*P6131,"")</f>
        <v>16.8156080852997</v>
      </c>
      <c r="U6131" s="84" t="n">
        <f aca="false">IF(AND(R6131=1,ISNUMBER(T6131)),E6131-T6131,"")</f>
        <v>-0.0156080852997</v>
      </c>
      <c r="V6131" s="84" t="n">
        <f aca="false">IF(ISNUMBER(T6131),T6131,-99)</f>
        <v>16.8156080852997</v>
      </c>
      <c r="W6131" s="84" t="n">
        <f aca="false">IF(ISNUMBER(U6131),ABS(U6131),"")</f>
        <v>0.0156080852997</v>
      </c>
    </row>
    <row r="6132" customFormat="false" ht="15" hidden="false" customHeight="false" outlineLevel="0" collapsed="false">
      <c r="A6132" s="57" t="n">
        <v>43596</v>
      </c>
      <c r="B6132" s="56" t="n">
        <v>2019</v>
      </c>
      <c r="C6132" s="56" t="n">
        <v>5</v>
      </c>
      <c r="D6132" s="56" t="n">
        <v>11</v>
      </c>
      <c r="E6132" s="56" t="n">
        <v>18.1</v>
      </c>
      <c r="F6132" s="56" t="n">
        <v>0</v>
      </c>
      <c r="G6132" s="56" t="n">
        <v>8.1</v>
      </c>
      <c r="H6132" s="56" t="n">
        <v>0</v>
      </c>
      <c r="I6132" s="56" t="n">
        <v>12.4</v>
      </c>
      <c r="J6132" s="56" t="n">
        <v>0</v>
      </c>
      <c r="K6132" s="56" t="n">
        <v>1019.9</v>
      </c>
      <c r="L6132" s="56" t="n">
        <v>0</v>
      </c>
      <c r="M6132" s="56" t="n">
        <v>73</v>
      </c>
      <c r="N6132" s="56" t="n">
        <v>4.6</v>
      </c>
      <c r="O6132" s="56" t="n">
        <f aca="false">IF(D6132=1,"",E6131)</f>
        <v>16.8</v>
      </c>
      <c r="P6132" s="56" t="n">
        <f aca="false">IF(OR(D6132=1,K6131=""),"",K6131)</f>
        <v>1008.8</v>
      </c>
      <c r="Q6132" s="56" t="n">
        <f aca="false">IF(OR(F6132&lt;&gt;0,AND(I6132&lt;&gt;"",E6132&lt;I6132)),1,0)</f>
        <v>0</v>
      </c>
      <c r="R6132" s="56" t="n">
        <f aca="false">IF(AND(D6132&gt;1,Q6132=0,ISNUMBER(O6132),ISNUMBER(P6132)),IF(Q6131=0,1,0),0)</f>
        <v>1</v>
      </c>
      <c r="S6132" s="56" t="n">
        <f aca="false">R6132*(B6132&gt;=Train_Start)*(B6132&lt;=Train_End)</f>
        <v>0</v>
      </c>
      <c r="T6132" s="84" t="n">
        <f aca="false">IF(AND(ISNUMBER(O6132),ISNUMBER(P6132)),Coef_A+Coef_B1*O6132+Coef_B2*P6132,"")</f>
        <v>17.4978235718808</v>
      </c>
      <c r="U6132" s="84" t="n">
        <f aca="false">IF(AND(R6132=1,ISNUMBER(T6132)),E6132-T6132,"")</f>
        <v>0.602176428119158</v>
      </c>
      <c r="V6132" s="84" t="n">
        <f aca="false">IF(ISNUMBER(T6132),T6132,-99)</f>
        <v>17.4978235718808</v>
      </c>
      <c r="W6132" s="84" t="n">
        <f aca="false">IF(ISNUMBER(U6132),ABS(U6132),"")</f>
        <v>0.602176428119158</v>
      </c>
    </row>
    <row r="6133" customFormat="false" ht="15" hidden="false" customHeight="false" outlineLevel="0" collapsed="false">
      <c r="A6133" s="57" t="n">
        <v>43597</v>
      </c>
      <c r="B6133" s="56" t="n">
        <v>2019</v>
      </c>
      <c r="C6133" s="56" t="n">
        <v>5</v>
      </c>
      <c r="D6133" s="56" t="n">
        <v>12</v>
      </c>
      <c r="E6133" s="56" t="n">
        <v>17.8</v>
      </c>
      <c r="F6133" s="56" t="n">
        <v>0</v>
      </c>
      <c r="G6133" s="56" t="n">
        <v>4.7</v>
      </c>
      <c r="H6133" s="56" t="n">
        <v>0</v>
      </c>
      <c r="I6133" s="56" t="n">
        <v>11.4</v>
      </c>
      <c r="J6133" s="56" t="n">
        <v>0</v>
      </c>
      <c r="K6133" s="56" t="n">
        <v>1035.9</v>
      </c>
      <c r="L6133" s="56" t="n">
        <v>0</v>
      </c>
      <c r="M6133" s="56" t="n">
        <v>64</v>
      </c>
      <c r="N6133" s="56" t="n">
        <v>11.3</v>
      </c>
      <c r="O6133" s="56" t="n">
        <f aca="false">IF(D6133=1,"",E6132)</f>
        <v>18.1</v>
      </c>
      <c r="P6133" s="56" t="n">
        <f aca="false">IF(OR(D6133=1,K6132=""),"",K6132)</f>
        <v>1019.9</v>
      </c>
      <c r="Q6133" s="56" t="n">
        <f aca="false">IF(OR(F6133&lt;&gt;0,AND(I6133&lt;&gt;"",E6133&lt;I6133)),1,0)</f>
        <v>0</v>
      </c>
      <c r="R6133" s="56" t="n">
        <f aca="false">IF(AND(D6133&gt;1,Q6133=0,ISNUMBER(O6133),ISNUMBER(P6133)),IF(Q6132=0,1,0),0)</f>
        <v>1</v>
      </c>
      <c r="S6133" s="56" t="n">
        <f aca="false">R6133*(B6133&gt;=Train_Start)*(B6133&lt;=Train_End)</f>
        <v>0</v>
      </c>
      <c r="T6133" s="84" t="n">
        <f aca="false">IF(AND(ISNUMBER(O6133),ISNUMBER(P6133)),Coef_A+Coef_B1*O6133+Coef_B2*P6133,"")</f>
        <v>18.9111703532736</v>
      </c>
      <c r="U6133" s="84" t="n">
        <f aca="false">IF(AND(R6133=1,ISNUMBER(T6133)),E6133-T6133,"")</f>
        <v>-1.11117035327358</v>
      </c>
      <c r="V6133" s="84" t="n">
        <f aca="false">IF(ISNUMBER(T6133),T6133,-99)</f>
        <v>18.9111703532736</v>
      </c>
      <c r="W6133" s="84" t="n">
        <f aca="false">IF(ISNUMBER(U6133),ABS(U6133),"")</f>
        <v>1.11117035327358</v>
      </c>
    </row>
    <row r="6134" customFormat="false" ht="15" hidden="false" customHeight="false" outlineLevel="0" collapsed="false">
      <c r="A6134" s="57" t="n">
        <v>43598</v>
      </c>
      <c r="B6134" s="56" t="n">
        <v>2019</v>
      </c>
      <c r="C6134" s="56" t="n">
        <v>5</v>
      </c>
      <c r="D6134" s="56" t="n">
        <v>13</v>
      </c>
      <c r="E6134" s="56" t="n">
        <v>18.8</v>
      </c>
      <c r="F6134" s="56" t="n">
        <v>0</v>
      </c>
      <c r="G6134" s="56" t="n">
        <v>5.2</v>
      </c>
      <c r="H6134" s="56" t="n">
        <v>0</v>
      </c>
      <c r="I6134" s="56" t="n">
        <v>11.5</v>
      </c>
      <c r="J6134" s="56" t="n">
        <v>0</v>
      </c>
      <c r="K6134" s="56" t="n">
        <v>1039.3</v>
      </c>
      <c r="L6134" s="56" t="n">
        <v>0</v>
      </c>
      <c r="M6134" s="56" t="n">
        <v>56</v>
      </c>
      <c r="N6134" s="56" t="n">
        <v>13.7</v>
      </c>
      <c r="O6134" s="56" t="n">
        <f aca="false">IF(D6134=1,"",E6133)</f>
        <v>17.8</v>
      </c>
      <c r="P6134" s="56" t="n">
        <f aca="false">IF(OR(D6134=1,K6133=""),"",K6133)</f>
        <v>1035.9</v>
      </c>
      <c r="Q6134" s="56" t="n">
        <f aca="false">IF(OR(F6134&lt;&gt;0,AND(I6134&lt;&gt;"",E6134&lt;I6134)),1,0)</f>
        <v>0</v>
      </c>
      <c r="R6134" s="56" t="n">
        <f aca="false">IF(AND(D6134&gt;1,Q6134=0,ISNUMBER(O6134),ISNUMBER(P6134)),IF(Q6133=0,1,0),0)</f>
        <v>1</v>
      </c>
      <c r="S6134" s="56" t="n">
        <f aca="false">R6134*(B6134&gt;=Train_Start)*(B6134&lt;=Train_End)</f>
        <v>0</v>
      </c>
      <c r="T6134" s="84" t="n">
        <f aca="false">IF(AND(ISNUMBER(O6134),ISNUMBER(P6134)),Coef_A+Coef_B1*O6134+Coef_B2*P6134,"")</f>
        <v>19.1672869095046</v>
      </c>
      <c r="U6134" s="84" t="n">
        <f aca="false">IF(AND(R6134=1,ISNUMBER(T6134)),E6134-T6134,"")</f>
        <v>-0.367286909504617</v>
      </c>
      <c r="V6134" s="84" t="n">
        <f aca="false">IF(ISNUMBER(T6134),T6134,-99)</f>
        <v>19.1672869095046</v>
      </c>
      <c r="W6134" s="84" t="n">
        <f aca="false">IF(ISNUMBER(U6134),ABS(U6134),"")</f>
        <v>0.367286909504617</v>
      </c>
    </row>
    <row r="6135" customFormat="false" ht="15" hidden="false" customHeight="false" outlineLevel="0" collapsed="false">
      <c r="A6135" s="57" t="n">
        <v>43599</v>
      </c>
      <c r="B6135" s="56" t="n">
        <v>2019</v>
      </c>
      <c r="C6135" s="56" t="n">
        <v>5</v>
      </c>
      <c r="D6135" s="56" t="n">
        <v>14</v>
      </c>
      <c r="E6135" s="56" t="n">
        <v>20.7</v>
      </c>
      <c r="F6135" s="56" t="n">
        <v>0</v>
      </c>
      <c r="G6135" s="56" t="n">
        <v>6.6</v>
      </c>
      <c r="H6135" s="56" t="n">
        <v>0</v>
      </c>
      <c r="I6135" s="56" t="n">
        <v>12.7</v>
      </c>
      <c r="J6135" s="56" t="n">
        <v>0</v>
      </c>
      <c r="K6135" s="56" t="n">
        <v>1033.8</v>
      </c>
      <c r="L6135" s="56" t="n">
        <v>0</v>
      </c>
      <c r="M6135" s="56" t="n">
        <v>54</v>
      </c>
      <c r="N6135" s="56" t="n">
        <v>14</v>
      </c>
      <c r="O6135" s="56" t="n">
        <f aca="false">IF(D6135=1,"",E6134)</f>
        <v>18.8</v>
      </c>
      <c r="P6135" s="56" t="n">
        <f aca="false">IF(OR(D6135=1,K6134=""),"",K6134)</f>
        <v>1039.3</v>
      </c>
      <c r="Q6135" s="56" t="n">
        <f aca="false">IF(OR(F6135&lt;&gt;0,AND(I6135&lt;&gt;"",E6135&lt;I6135)),1,0)</f>
        <v>0</v>
      </c>
      <c r="R6135" s="56" t="n">
        <f aca="false">IF(AND(D6135&gt;1,Q6135=0,ISNUMBER(O6135),ISNUMBER(P6135)),IF(Q6134=0,1,0),0)</f>
        <v>1</v>
      </c>
      <c r="S6135" s="56" t="n">
        <f aca="false">R6135*(B6135&gt;=Train_Start)*(B6135&lt;=Train_End)</f>
        <v>0</v>
      </c>
      <c r="T6135" s="84" t="n">
        <f aca="false">IF(AND(ISNUMBER(O6135),ISNUMBER(P6135)),Coef_A+Coef_B1*O6135+Coef_B2*P6135,"")</f>
        <v>20.0932837443028</v>
      </c>
      <c r="U6135" s="84" t="n">
        <f aca="false">IF(AND(R6135=1,ISNUMBER(T6135)),E6135-T6135,"")</f>
        <v>0.606716255697162</v>
      </c>
      <c r="V6135" s="84" t="n">
        <f aca="false">IF(ISNUMBER(T6135),T6135,-99)</f>
        <v>20.0932837443028</v>
      </c>
      <c r="W6135" s="84" t="n">
        <f aca="false">IF(ISNUMBER(U6135),ABS(U6135),"")</f>
        <v>0.606716255697162</v>
      </c>
    </row>
    <row r="6136" customFormat="false" ht="15" hidden="false" customHeight="false" outlineLevel="0" collapsed="false">
      <c r="A6136" s="57" t="n">
        <v>43600</v>
      </c>
      <c r="B6136" s="56" t="n">
        <v>2019</v>
      </c>
      <c r="C6136" s="56" t="n">
        <v>5</v>
      </c>
      <c r="D6136" s="56" t="n">
        <v>15</v>
      </c>
      <c r="E6136" s="56" t="n">
        <v>19</v>
      </c>
      <c r="F6136" s="56" t="n">
        <v>0</v>
      </c>
      <c r="G6136" s="56" t="n">
        <v>6.9</v>
      </c>
      <c r="H6136" s="56" t="n">
        <v>0</v>
      </c>
      <c r="I6136" s="56" t="n">
        <v>13.8</v>
      </c>
      <c r="J6136" s="56" t="n">
        <v>0</v>
      </c>
      <c r="K6136" s="56" t="n">
        <v>1026.9</v>
      </c>
      <c r="L6136" s="56" t="n">
        <v>0</v>
      </c>
      <c r="M6136" s="56" t="n">
        <v>60</v>
      </c>
      <c r="N6136" s="56" t="n">
        <v>12.9</v>
      </c>
      <c r="O6136" s="56" t="n">
        <f aca="false">IF(D6136=1,"",E6135)</f>
        <v>20.7</v>
      </c>
      <c r="P6136" s="56" t="n">
        <f aca="false">IF(OR(D6136=1,K6135=""),"",K6135)</f>
        <v>1033.8</v>
      </c>
      <c r="Q6136" s="56" t="n">
        <f aca="false">IF(OR(F6136&lt;&gt;0,AND(I6136&lt;&gt;"",E6136&lt;I6136)),1,0)</f>
        <v>0</v>
      </c>
      <c r="R6136" s="56" t="n">
        <f aca="false">IF(AND(D6136&gt;1,Q6136=0,ISNUMBER(O6136),ISNUMBER(P6136)),IF(Q6135=0,1,0),0)</f>
        <v>1</v>
      </c>
      <c r="S6136" s="56" t="n">
        <f aca="false">R6136*(B6136&gt;=Train_Start)*(B6136&lt;=Train_End)</f>
        <v>0</v>
      </c>
      <c r="T6136" s="84" t="n">
        <f aca="false">IF(AND(ISNUMBER(O6136),ISNUMBER(P6136)),Coef_A+Coef_B1*O6136+Coef_B2*P6136,"")</f>
        <v>21.4774937905969</v>
      </c>
      <c r="U6136" s="84" t="n">
        <f aca="false">IF(AND(R6136=1,ISNUMBER(T6136)),E6136-T6136,"")</f>
        <v>-2.47749379059695</v>
      </c>
      <c r="V6136" s="84" t="n">
        <f aca="false">IF(ISNUMBER(T6136),T6136,-99)</f>
        <v>21.4774937905969</v>
      </c>
      <c r="W6136" s="84" t="n">
        <f aca="false">IF(ISNUMBER(U6136),ABS(U6136),"")</f>
        <v>2.47749379059695</v>
      </c>
    </row>
    <row r="6137" customFormat="false" ht="15" hidden="false" customHeight="false" outlineLevel="0" collapsed="false">
      <c r="A6137" s="57" t="n">
        <v>43601</v>
      </c>
      <c r="B6137" s="56" t="n">
        <v>2019</v>
      </c>
      <c r="C6137" s="56" t="n">
        <v>5</v>
      </c>
      <c r="D6137" s="56" t="n">
        <v>16</v>
      </c>
      <c r="E6137" s="56" t="n">
        <v>14.8</v>
      </c>
      <c r="F6137" s="56" t="n">
        <v>0</v>
      </c>
      <c r="G6137" s="56" t="n">
        <v>7.4</v>
      </c>
      <c r="H6137" s="56" t="n">
        <v>0</v>
      </c>
      <c r="I6137" s="56" t="n">
        <v>13.2</v>
      </c>
      <c r="J6137" s="56" t="n">
        <v>0</v>
      </c>
      <c r="K6137" s="56" t="n">
        <v>1017.4</v>
      </c>
      <c r="L6137" s="56" t="n">
        <v>0</v>
      </c>
      <c r="M6137" s="56"/>
      <c r="N6137" s="56" t="n">
        <v>11.7</v>
      </c>
      <c r="O6137" s="56" t="n">
        <f aca="false">IF(D6137=1,"",E6136)</f>
        <v>19</v>
      </c>
      <c r="P6137" s="56" t="n">
        <f aca="false">IF(OR(D6137=1,K6136=""),"",K6136)</f>
        <v>1026.9</v>
      </c>
      <c r="Q6137" s="56" t="n">
        <f aca="false">IF(OR(F6137&lt;&gt;0,AND(I6137&lt;&gt;"",E6137&lt;I6137)),1,0)</f>
        <v>0</v>
      </c>
      <c r="R6137" s="56" t="n">
        <f aca="false">IF(AND(D6137&gt;1,Q6137=0,ISNUMBER(O6137),ISNUMBER(P6137)),IF(Q6136=0,1,0),0)</f>
        <v>1</v>
      </c>
      <c r="S6137" s="56" t="n">
        <f aca="false">R6137*(B6137&gt;=Train_Start)*(B6137&lt;=Train_End)</f>
        <v>0</v>
      </c>
      <c r="T6137" s="84" t="n">
        <f aca="false">IF(AND(ISNUMBER(O6137),ISNUMBER(P6137)),Coef_A+Coef_B1*O6137+Coef_B2*P6137,"")</f>
        <v>19.8681648894499</v>
      </c>
      <c r="U6137" s="84" t="n">
        <f aca="false">IF(AND(R6137=1,ISNUMBER(T6137)),E6137-T6137,"")</f>
        <v>-5.0681648894499</v>
      </c>
      <c r="V6137" s="84" t="n">
        <f aca="false">IF(ISNUMBER(T6137),T6137,-99)</f>
        <v>19.8681648894499</v>
      </c>
      <c r="W6137" s="84" t="n">
        <f aca="false">IF(ISNUMBER(U6137),ABS(U6137),"")</f>
        <v>5.0681648894499</v>
      </c>
    </row>
    <row r="6138" customFormat="false" ht="15" hidden="false" customHeight="false" outlineLevel="0" collapsed="false">
      <c r="A6138" s="57" t="n">
        <v>43602</v>
      </c>
      <c r="B6138" s="56" t="n">
        <v>2019</v>
      </c>
      <c r="C6138" s="56" t="n">
        <v>5</v>
      </c>
      <c r="D6138" s="56" t="n">
        <v>17</v>
      </c>
      <c r="E6138" s="56" t="n">
        <v>17.2</v>
      </c>
      <c r="F6138" s="56" t="n">
        <v>0</v>
      </c>
      <c r="G6138" s="56" t="n">
        <v>8.4</v>
      </c>
      <c r="H6138" s="56" t="n">
        <v>0</v>
      </c>
      <c r="I6138" s="56" t="n">
        <v>11.6</v>
      </c>
      <c r="J6138" s="56" t="n">
        <v>0</v>
      </c>
      <c r="K6138" s="56" t="n">
        <v>1009.1</v>
      </c>
      <c r="L6138" s="56" t="n">
        <v>0</v>
      </c>
      <c r="M6138" s="56" t="n">
        <v>79</v>
      </c>
      <c r="N6138" s="56" t="n">
        <v>0.5</v>
      </c>
      <c r="O6138" s="56" t="n">
        <f aca="false">IF(D6138=1,"",E6137)</f>
        <v>14.8</v>
      </c>
      <c r="P6138" s="56" t="n">
        <f aca="false">IF(OR(D6138=1,K6137=""),"",K6137)</f>
        <v>1017.4</v>
      </c>
      <c r="Q6138" s="56" t="n">
        <f aca="false">IF(OR(F6138&lt;&gt;0,AND(I6138&lt;&gt;"",E6138&lt;I6138)),1,0)</f>
        <v>0</v>
      </c>
      <c r="R6138" s="56" t="n">
        <f aca="false">IF(AND(D6138&gt;1,Q6138=0,ISNUMBER(O6138),ISNUMBER(P6138)),IF(Q6137=0,1,0),0)</f>
        <v>1</v>
      </c>
      <c r="S6138" s="56" t="n">
        <f aca="false">R6138*(B6138&gt;=Train_Start)*(B6138&lt;=Train_End)</f>
        <v>0</v>
      </c>
      <c r="T6138" s="84" t="n">
        <f aca="false">IF(AND(ISNUMBER(O6138),ISNUMBER(P6138)),Coef_A+Coef_B1*O6138+Coef_B2*P6138,"")</f>
        <v>16.1289262796478</v>
      </c>
      <c r="U6138" s="84" t="n">
        <f aca="false">IF(AND(R6138=1,ISNUMBER(T6138)),E6138-T6138,"")</f>
        <v>1.07107372035216</v>
      </c>
      <c r="V6138" s="84" t="n">
        <f aca="false">IF(ISNUMBER(T6138),T6138,-99)</f>
        <v>16.1289262796478</v>
      </c>
      <c r="W6138" s="84" t="n">
        <f aca="false">IF(ISNUMBER(U6138),ABS(U6138),"")</f>
        <v>1.07107372035216</v>
      </c>
    </row>
    <row r="6139" customFormat="false" ht="15" hidden="false" customHeight="false" outlineLevel="0" collapsed="false">
      <c r="A6139" s="57" t="n">
        <v>43603</v>
      </c>
      <c r="B6139" s="56" t="n">
        <v>2019</v>
      </c>
      <c r="C6139" s="56" t="n">
        <v>5</v>
      </c>
      <c r="D6139" s="56" t="n">
        <v>18</v>
      </c>
      <c r="E6139" s="56" t="n">
        <v>18.6</v>
      </c>
      <c r="F6139" s="56" t="n">
        <v>0</v>
      </c>
      <c r="G6139" s="56" t="n">
        <v>9.7</v>
      </c>
      <c r="H6139" s="56" t="n">
        <v>0</v>
      </c>
      <c r="I6139" s="56" t="n">
        <v>13.4</v>
      </c>
      <c r="J6139" s="56" t="n">
        <v>0</v>
      </c>
      <c r="K6139" s="56" t="n">
        <v>1006.8</v>
      </c>
      <c r="L6139" s="56" t="n">
        <v>0</v>
      </c>
      <c r="M6139" s="56" t="n">
        <v>74</v>
      </c>
      <c r="N6139" s="56" t="n">
        <v>0.7</v>
      </c>
      <c r="O6139" s="56" t="n">
        <f aca="false">IF(D6139=1,"",E6138)</f>
        <v>17.2</v>
      </c>
      <c r="P6139" s="56" t="n">
        <f aca="false">IF(OR(D6139=1,K6138=""),"",K6138)</f>
        <v>1009.1</v>
      </c>
      <c r="Q6139" s="56" t="n">
        <f aca="false">IF(OR(F6139&lt;&gt;0,AND(I6139&lt;&gt;"",E6139&lt;I6139)),1,0)</f>
        <v>0</v>
      </c>
      <c r="R6139" s="56" t="n">
        <f aca="false">IF(AND(D6139&gt;1,Q6139=0,ISNUMBER(O6139),ISNUMBER(P6139)),IF(Q6138=0,1,0),0)</f>
        <v>1</v>
      </c>
      <c r="S6139" s="56" t="n">
        <f aca="false">R6139*(B6139&gt;=Train_Start)*(B6139&lt;=Train_End)</f>
        <v>0</v>
      </c>
      <c r="T6139" s="84" t="n">
        <f aca="false">IF(AND(ISNUMBER(O6139),ISNUMBER(P6139)),Coef_A+Coef_B1*O6139+Coef_B2*P6139,"")</f>
        <v>17.8349702174881</v>
      </c>
      <c r="U6139" s="84" t="n">
        <f aca="false">IF(AND(R6139=1,ISNUMBER(T6139)),E6139-T6139,"")</f>
        <v>0.765029782511896</v>
      </c>
      <c r="V6139" s="84" t="n">
        <f aca="false">IF(ISNUMBER(T6139),T6139,-99)</f>
        <v>17.8349702174881</v>
      </c>
      <c r="W6139" s="84" t="n">
        <f aca="false">IF(ISNUMBER(U6139),ABS(U6139),"")</f>
        <v>0.765029782511896</v>
      </c>
    </row>
    <row r="6140" customFormat="false" ht="15" hidden="false" customHeight="false" outlineLevel="0" collapsed="false">
      <c r="A6140" s="57" t="n">
        <v>43604</v>
      </c>
      <c r="B6140" s="56" t="n">
        <v>2019</v>
      </c>
      <c r="C6140" s="56" t="n">
        <v>5</v>
      </c>
      <c r="D6140" s="56" t="n">
        <v>19</v>
      </c>
      <c r="E6140" s="56" t="n">
        <v>20.4</v>
      </c>
      <c r="F6140" s="56" t="n">
        <v>0</v>
      </c>
      <c r="G6140" s="56" t="n">
        <v>8.2</v>
      </c>
      <c r="H6140" s="56" t="n">
        <v>0</v>
      </c>
      <c r="I6140" s="56" t="n">
        <v>13.4</v>
      </c>
      <c r="J6140" s="56" t="n">
        <v>0</v>
      </c>
      <c r="K6140" s="56" t="n">
        <v>1009.7</v>
      </c>
      <c r="L6140" s="56" t="n">
        <v>0</v>
      </c>
      <c r="M6140" s="56" t="n">
        <v>74</v>
      </c>
      <c r="N6140" s="56" t="n">
        <v>0.3</v>
      </c>
      <c r="O6140" s="56" t="n">
        <f aca="false">IF(D6140=1,"",E6139)</f>
        <v>18.6</v>
      </c>
      <c r="P6140" s="56" t="n">
        <f aca="false">IF(OR(D6140=1,K6139=""),"",K6139)</f>
        <v>1006.8</v>
      </c>
      <c r="Q6140" s="56" t="n">
        <f aca="false">IF(OR(F6140&lt;&gt;0,AND(I6140&lt;&gt;"",E6140&lt;I6140)),1,0)</f>
        <v>0</v>
      </c>
      <c r="R6140" s="56" t="n">
        <f aca="false">IF(AND(D6140&gt;1,Q6140=0,ISNUMBER(O6140),ISNUMBER(P6140)),IF(Q6139=0,1,0),0)</f>
        <v>1</v>
      </c>
      <c r="S6140" s="56" t="n">
        <f aca="false">R6140*(B6140&gt;=Train_Start)*(B6140&lt;=Train_End)</f>
        <v>0</v>
      </c>
      <c r="T6140" s="84" t="n">
        <f aca="false">IF(AND(ISNUMBER(O6140),ISNUMBER(P6140)),Coef_A+Coef_B1*O6140+Coef_B2*P6140,"")</f>
        <v>18.9098943300897</v>
      </c>
      <c r="U6140" s="84" t="n">
        <f aca="false">IF(AND(R6140=1,ISNUMBER(T6140)),E6140-T6140,"")</f>
        <v>1.49010566991035</v>
      </c>
      <c r="V6140" s="84" t="n">
        <f aca="false">IF(ISNUMBER(T6140),T6140,-99)</f>
        <v>18.9098943300897</v>
      </c>
      <c r="W6140" s="84" t="n">
        <f aca="false">IF(ISNUMBER(U6140),ABS(U6140),"")</f>
        <v>1.49010566991035</v>
      </c>
    </row>
    <row r="6141" customFormat="false" ht="15" hidden="false" customHeight="false" outlineLevel="0" collapsed="false">
      <c r="A6141" s="57" t="n">
        <v>43605</v>
      </c>
      <c r="B6141" s="56" t="n">
        <v>2019</v>
      </c>
      <c r="C6141" s="56" t="n">
        <v>5</v>
      </c>
      <c r="D6141" s="56" t="n">
        <v>20</v>
      </c>
      <c r="E6141" s="56" t="n">
        <v>20.9</v>
      </c>
      <c r="F6141" s="56" t="n">
        <v>0</v>
      </c>
      <c r="G6141" s="56" t="n">
        <v>12.2</v>
      </c>
      <c r="H6141" s="56" t="n">
        <v>0</v>
      </c>
      <c r="I6141" s="56" t="n">
        <v>16.3</v>
      </c>
      <c r="J6141" s="56" t="n">
        <v>0</v>
      </c>
      <c r="K6141" s="56" t="n">
        <v>1012.7</v>
      </c>
      <c r="L6141" s="56" t="n">
        <v>0</v>
      </c>
      <c r="M6141" s="56" t="n">
        <v>66</v>
      </c>
      <c r="N6141" s="56" t="n">
        <v>3.1</v>
      </c>
      <c r="O6141" s="56" t="n">
        <f aca="false">IF(D6141=1,"",E6140)</f>
        <v>20.4</v>
      </c>
      <c r="P6141" s="56" t="n">
        <f aca="false">IF(OR(D6141=1,K6140=""),"",K6140)</f>
        <v>1009.7</v>
      </c>
      <c r="Q6141" s="56" t="n">
        <f aca="false">IF(OR(F6141&lt;&gt;0,AND(I6141&lt;&gt;"",E6141&lt;I6141)),1,0)</f>
        <v>0</v>
      </c>
      <c r="R6141" s="56" t="n">
        <f aca="false">IF(AND(D6141&gt;1,Q6141=0,ISNUMBER(O6141),ISNUMBER(P6141)),IF(Q6140=0,1,0),0)</f>
        <v>1</v>
      </c>
      <c r="S6141" s="56" t="n">
        <f aca="false">R6141*(B6141&gt;=Train_Start)*(B6141&lt;=Train_End)</f>
        <v>0</v>
      </c>
      <c r="T6141" s="84" t="n">
        <f aca="false">IF(AND(ISNUMBER(O6141),ISNUMBER(P6141)),Coef_A+Coef_B1*O6141+Coef_B2*P6141,"")</f>
        <v>20.475677572005</v>
      </c>
      <c r="U6141" s="84" t="n">
        <f aca="false">IF(AND(R6141=1,ISNUMBER(T6141)),E6141-T6141,"")</f>
        <v>0.424322427994998</v>
      </c>
      <c r="V6141" s="84" t="n">
        <f aca="false">IF(ISNUMBER(T6141),T6141,-99)</f>
        <v>20.475677572005</v>
      </c>
      <c r="W6141" s="84" t="n">
        <f aca="false">IF(ISNUMBER(U6141),ABS(U6141),"")</f>
        <v>0.424322427994998</v>
      </c>
    </row>
    <row r="6142" customFormat="false" ht="15" hidden="false" customHeight="false" outlineLevel="0" collapsed="false">
      <c r="A6142" s="57" t="n">
        <v>43606</v>
      </c>
      <c r="B6142" s="56" t="n">
        <v>2019</v>
      </c>
      <c r="C6142" s="56" t="n">
        <v>5</v>
      </c>
      <c r="D6142" s="56" t="n">
        <v>21</v>
      </c>
      <c r="E6142" s="56" t="n">
        <v>22.5</v>
      </c>
      <c r="F6142" s="56" t="n">
        <v>0</v>
      </c>
      <c r="G6142" s="56" t="n">
        <v>9.6</v>
      </c>
      <c r="H6142" s="56" t="n">
        <v>0</v>
      </c>
      <c r="I6142" s="56" t="n">
        <v>15.2</v>
      </c>
      <c r="J6142" s="56" t="n">
        <v>0</v>
      </c>
      <c r="K6142" s="56" t="n">
        <v>1018.1</v>
      </c>
      <c r="L6142" s="56" t="n">
        <v>0</v>
      </c>
      <c r="M6142" s="56" t="n">
        <v>55</v>
      </c>
      <c r="N6142" s="56" t="n">
        <v>11.9</v>
      </c>
      <c r="O6142" s="56" t="n">
        <f aca="false">IF(D6142=1,"",E6141)</f>
        <v>20.9</v>
      </c>
      <c r="P6142" s="56" t="n">
        <f aca="false">IF(OR(D6142=1,K6141=""),"",K6141)</f>
        <v>1012.7</v>
      </c>
      <c r="Q6142" s="56" t="n">
        <f aca="false">IF(OR(F6142&lt;&gt;0,AND(I6142&lt;&gt;"",E6142&lt;I6142)),1,0)</f>
        <v>0</v>
      </c>
      <c r="R6142" s="56" t="n">
        <f aca="false">IF(AND(D6142&gt;1,Q6142=0,ISNUMBER(O6142),ISNUMBER(P6142)),IF(Q6141=0,1,0),0)</f>
        <v>1</v>
      </c>
      <c r="S6142" s="56" t="n">
        <f aca="false">R6142*(B6142&gt;=Train_Start)*(B6142&lt;=Train_End)</f>
        <v>0</v>
      </c>
      <c r="T6142" s="84" t="n">
        <f aca="false">IF(AND(ISNUMBER(O6142),ISNUMBER(P6142)),Coef_A+Coef_B1*O6142+Coef_B2*P6142,"")</f>
        <v>20.9794568524283</v>
      </c>
      <c r="U6142" s="84" t="n">
        <f aca="false">IF(AND(R6142=1,ISNUMBER(T6142)),E6142-T6142,"")</f>
        <v>1.5205431475717</v>
      </c>
      <c r="V6142" s="84" t="n">
        <f aca="false">IF(ISNUMBER(T6142),T6142,-99)</f>
        <v>20.9794568524283</v>
      </c>
      <c r="W6142" s="84" t="n">
        <f aca="false">IF(ISNUMBER(U6142),ABS(U6142),"")</f>
        <v>1.5205431475717</v>
      </c>
    </row>
    <row r="6143" customFormat="false" ht="15" hidden="false" customHeight="false" outlineLevel="0" collapsed="false">
      <c r="A6143" s="57" t="n">
        <v>43607</v>
      </c>
      <c r="B6143" s="56" t="n">
        <v>2019</v>
      </c>
      <c r="C6143" s="56" t="n">
        <v>5</v>
      </c>
      <c r="D6143" s="56" t="n">
        <v>22</v>
      </c>
      <c r="E6143" s="56" t="n">
        <v>24.7</v>
      </c>
      <c r="F6143" s="56" t="n">
        <v>0</v>
      </c>
      <c r="G6143" s="56" t="n">
        <v>10.4</v>
      </c>
      <c r="H6143" s="56" t="n">
        <v>0</v>
      </c>
      <c r="I6143" s="56" t="n">
        <v>16.4</v>
      </c>
      <c r="J6143" s="56" t="n">
        <v>0</v>
      </c>
      <c r="K6143" s="56" t="n">
        <v>1019.6</v>
      </c>
      <c r="L6143" s="56" t="n">
        <v>0</v>
      </c>
      <c r="M6143" s="56" t="n">
        <v>48</v>
      </c>
      <c r="N6143" s="56" t="n">
        <v>9.4</v>
      </c>
      <c r="O6143" s="56" t="n">
        <f aca="false">IF(D6143=1,"",E6142)</f>
        <v>22.5</v>
      </c>
      <c r="P6143" s="56" t="n">
        <f aca="false">IF(OR(D6143=1,K6142=""),"",K6142)</f>
        <v>1018.1</v>
      </c>
      <c r="Q6143" s="56" t="n">
        <f aca="false">IF(OR(F6143&lt;&gt;0,AND(I6143&lt;&gt;"",E6143&lt;I6143)),1,0)</f>
        <v>0</v>
      </c>
      <c r="R6143" s="56" t="n">
        <f aca="false">IF(AND(D6143&gt;1,Q6143=0,ISNUMBER(O6143),ISNUMBER(P6143)),IF(Q6142=0,1,0),0)</f>
        <v>1</v>
      </c>
      <c r="S6143" s="56" t="n">
        <f aca="false">R6143*(B6143&gt;=Train_Start)*(B6143&lt;=Train_End)</f>
        <v>0</v>
      </c>
      <c r="T6143" s="84" t="n">
        <f aca="false">IF(AND(ISNUMBER(O6143),ISNUMBER(P6143)),Coef_A+Coef_B1*O6143+Coef_B2*P6143,"")</f>
        <v>22.4597969923201</v>
      </c>
      <c r="U6143" s="84" t="n">
        <f aca="false">IF(AND(R6143=1,ISNUMBER(T6143)),E6143-T6143,"")</f>
        <v>2.2402030076799</v>
      </c>
      <c r="V6143" s="84" t="n">
        <f aca="false">IF(ISNUMBER(T6143),T6143,-99)</f>
        <v>22.4597969923201</v>
      </c>
      <c r="W6143" s="84" t="n">
        <f aca="false">IF(ISNUMBER(U6143),ABS(U6143),"")</f>
        <v>2.2402030076799</v>
      </c>
    </row>
    <row r="6144" customFormat="false" ht="15" hidden="false" customHeight="false" outlineLevel="0" collapsed="false">
      <c r="A6144" s="57" t="n">
        <v>43608</v>
      </c>
      <c r="B6144" s="56" t="n">
        <v>2019</v>
      </c>
      <c r="C6144" s="56" t="n">
        <v>5</v>
      </c>
      <c r="D6144" s="56" t="n">
        <v>23</v>
      </c>
      <c r="E6144" s="56" t="n">
        <v>22.6</v>
      </c>
      <c r="F6144" s="56" t="n">
        <v>0</v>
      </c>
      <c r="G6144" s="56" t="n">
        <v>9</v>
      </c>
      <c r="H6144" s="56" t="n">
        <v>0</v>
      </c>
      <c r="I6144" s="56" t="n">
        <v>16.9</v>
      </c>
      <c r="J6144" s="56" t="n">
        <v>0</v>
      </c>
      <c r="K6144" s="56" t="n">
        <v>1016.3</v>
      </c>
      <c r="L6144" s="56" t="n">
        <v>0</v>
      </c>
      <c r="M6144" s="56" t="n">
        <v>50</v>
      </c>
      <c r="N6144" s="56" t="n">
        <v>10.8</v>
      </c>
      <c r="O6144" s="56" t="n">
        <f aca="false">IF(D6144=1,"",E6143)</f>
        <v>24.7</v>
      </c>
      <c r="P6144" s="56" t="n">
        <f aca="false">IF(OR(D6144=1,K6143=""),"",K6143)</f>
        <v>1019.6</v>
      </c>
      <c r="Q6144" s="56" t="n">
        <f aca="false">IF(OR(F6144&lt;&gt;0,AND(I6144&lt;&gt;"",E6144&lt;I6144)),1,0)</f>
        <v>0</v>
      </c>
      <c r="R6144" s="56" t="n">
        <f aca="false">IF(AND(D6144&gt;1,Q6144=0,ISNUMBER(O6144),ISNUMBER(P6144)),IF(Q6143=0,1,0),0)</f>
        <v>1</v>
      </c>
      <c r="S6144" s="56" t="n">
        <f aca="false">R6144*(B6144&gt;=Train_Start)*(B6144&lt;=Train_End)</f>
        <v>0</v>
      </c>
      <c r="T6144" s="84" t="n">
        <f aca="false">IF(AND(ISNUMBER(O6144),ISNUMBER(P6144)),Coef_A+Coef_B1*O6144+Coef_B2*P6144,"")</f>
        <v>24.3093980589649</v>
      </c>
      <c r="U6144" s="84" t="n">
        <f aca="false">IF(AND(R6144=1,ISNUMBER(T6144)),E6144-T6144,"")</f>
        <v>-1.70939805896492</v>
      </c>
      <c r="V6144" s="84" t="n">
        <f aca="false">IF(ISNUMBER(T6144),T6144,-99)</f>
        <v>24.3093980589649</v>
      </c>
      <c r="W6144" s="84" t="n">
        <f aca="false">IF(ISNUMBER(U6144),ABS(U6144),"")</f>
        <v>1.70939805896492</v>
      </c>
    </row>
    <row r="6145" customFormat="false" ht="15" hidden="false" customHeight="false" outlineLevel="0" collapsed="false">
      <c r="A6145" s="57" t="n">
        <v>43609</v>
      </c>
      <c r="B6145" s="56" t="n">
        <v>2019</v>
      </c>
      <c r="C6145" s="56" t="n">
        <v>5</v>
      </c>
      <c r="D6145" s="56" t="n">
        <v>24</v>
      </c>
      <c r="E6145" s="56" t="n">
        <v>24.2</v>
      </c>
      <c r="F6145" s="56" t="n">
        <v>0</v>
      </c>
      <c r="G6145" s="56" t="n">
        <v>10.8</v>
      </c>
      <c r="H6145" s="56" t="n">
        <v>0</v>
      </c>
      <c r="I6145" s="56" t="n">
        <v>16.7</v>
      </c>
      <c r="J6145" s="56" t="n">
        <v>0</v>
      </c>
      <c r="K6145" s="56" t="n">
        <v>1017.2</v>
      </c>
      <c r="L6145" s="56" t="n">
        <v>0</v>
      </c>
      <c r="M6145" s="56" t="n">
        <v>60</v>
      </c>
      <c r="N6145" s="56" t="n">
        <v>7.6</v>
      </c>
      <c r="O6145" s="56" t="n">
        <f aca="false">IF(D6145=1,"",E6144)</f>
        <v>22.6</v>
      </c>
      <c r="P6145" s="56" t="n">
        <f aca="false">IF(OR(D6145=1,K6144=""),"",K6144)</f>
        <v>1016.3</v>
      </c>
      <c r="Q6145" s="56" t="n">
        <f aca="false">IF(OR(F6145&lt;&gt;0,AND(I6145&lt;&gt;"",E6145&lt;I6145)),1,0)</f>
        <v>0</v>
      </c>
      <c r="R6145" s="56" t="n">
        <f aca="false">IF(AND(D6145&gt;1,Q6145=0,ISNUMBER(O6145),ISNUMBER(P6145)),IF(Q6144=0,1,0),0)</f>
        <v>1</v>
      </c>
      <c r="S6145" s="56" t="n">
        <f aca="false">R6145*(B6145&gt;=Train_Start)*(B6145&lt;=Train_End)</f>
        <v>0</v>
      </c>
      <c r="T6145" s="84" t="n">
        <f aca="false">IF(AND(ISNUMBER(O6145),ISNUMBER(P6145)),Coef_A+Coef_B1*O6145+Coef_B2*P6145,"")</f>
        <v>22.4852651012832</v>
      </c>
      <c r="U6145" s="84" t="n">
        <f aca="false">IF(AND(R6145=1,ISNUMBER(T6145)),E6145-T6145,"")</f>
        <v>1.71473489871682</v>
      </c>
      <c r="V6145" s="84" t="n">
        <f aca="false">IF(ISNUMBER(T6145),T6145,-99)</f>
        <v>22.4852651012832</v>
      </c>
      <c r="W6145" s="84" t="n">
        <f aca="false">IF(ISNUMBER(U6145),ABS(U6145),"")</f>
        <v>1.71473489871682</v>
      </c>
    </row>
    <row r="6146" customFormat="false" ht="15" hidden="false" customHeight="false" outlineLevel="0" collapsed="false">
      <c r="A6146" s="57" t="n">
        <v>43610</v>
      </c>
      <c r="B6146" s="56" t="n">
        <v>2019</v>
      </c>
      <c r="C6146" s="56" t="n">
        <v>5</v>
      </c>
      <c r="D6146" s="56" t="n">
        <v>25</v>
      </c>
      <c r="E6146" s="56" t="n">
        <v>21.2</v>
      </c>
      <c r="F6146" s="56" t="n">
        <v>0</v>
      </c>
      <c r="G6146" s="56" t="n">
        <v>13.9</v>
      </c>
      <c r="H6146" s="56" t="n">
        <v>0</v>
      </c>
      <c r="I6146" s="56" t="n">
        <v>19.1</v>
      </c>
      <c r="J6146" s="56" t="n">
        <v>0</v>
      </c>
      <c r="K6146" s="56" t="n">
        <v>1018.2</v>
      </c>
      <c r="L6146" s="56" t="n">
        <v>0</v>
      </c>
      <c r="M6146" s="56" t="n">
        <v>59</v>
      </c>
      <c r="N6146" s="56" t="n">
        <v>4.5</v>
      </c>
      <c r="O6146" s="56" t="n">
        <f aca="false">IF(D6146=1,"",E6145)</f>
        <v>24.2</v>
      </c>
      <c r="P6146" s="56" t="n">
        <f aca="false">IF(OR(D6146=1,K6145=""),"",K6145)</f>
        <v>1017.2</v>
      </c>
      <c r="Q6146" s="56" t="n">
        <f aca="false">IF(OR(F6146&lt;&gt;0,AND(I6146&lt;&gt;"",E6146&lt;I6146)),1,0)</f>
        <v>0</v>
      </c>
      <c r="R6146" s="56" t="n">
        <f aca="false">IF(AND(D6146&gt;1,Q6146=0,ISNUMBER(O6146),ISNUMBER(P6146)),IF(Q6145=0,1,0),0)</f>
        <v>1</v>
      </c>
      <c r="S6146" s="56" t="n">
        <f aca="false">R6146*(B6146&gt;=Train_Start)*(B6146&lt;=Train_End)</f>
        <v>0</v>
      </c>
      <c r="T6146" s="84" t="n">
        <f aca="false">IF(AND(ISNUMBER(O6146),ISNUMBER(P6146)),Coef_A+Coef_B1*O6146+Coef_B2*P6146,"")</f>
        <v>23.824440715322</v>
      </c>
      <c r="U6146" s="84" t="n">
        <f aca="false">IF(AND(R6146=1,ISNUMBER(T6146)),E6146-T6146,"")</f>
        <v>-2.62444071532202</v>
      </c>
      <c r="V6146" s="84" t="n">
        <f aca="false">IF(ISNUMBER(T6146),T6146,-99)</f>
        <v>23.824440715322</v>
      </c>
      <c r="W6146" s="84" t="n">
        <f aca="false">IF(ISNUMBER(U6146),ABS(U6146),"")</f>
        <v>2.62444071532202</v>
      </c>
    </row>
    <row r="6147" customFormat="false" ht="15" hidden="false" customHeight="false" outlineLevel="0" collapsed="false">
      <c r="A6147" s="57" t="n">
        <v>43611</v>
      </c>
      <c r="B6147" s="56" t="n">
        <v>2019</v>
      </c>
      <c r="C6147" s="56" t="n">
        <v>5</v>
      </c>
      <c r="D6147" s="56" t="n">
        <v>26</v>
      </c>
      <c r="E6147" s="56" t="n">
        <v>20</v>
      </c>
      <c r="F6147" s="56" t="n">
        <v>0</v>
      </c>
      <c r="G6147" s="56" t="n">
        <v>14</v>
      </c>
      <c r="H6147" s="56" t="n">
        <v>0</v>
      </c>
      <c r="I6147" s="56" t="n">
        <v>17.6</v>
      </c>
      <c r="J6147" s="56" t="n">
        <v>0</v>
      </c>
      <c r="K6147" s="56" t="n">
        <v>1013.5</v>
      </c>
      <c r="L6147" s="56" t="n">
        <v>0</v>
      </c>
      <c r="M6147" s="56" t="n">
        <v>72</v>
      </c>
      <c r="N6147" s="56" t="n">
        <v>1.7</v>
      </c>
      <c r="O6147" s="56" t="n">
        <f aca="false">IF(D6147=1,"",E6146)</f>
        <v>21.2</v>
      </c>
      <c r="P6147" s="56" t="n">
        <f aca="false">IF(OR(D6147=1,K6146=""),"",K6146)</f>
        <v>1018.2</v>
      </c>
      <c r="Q6147" s="56" t="n">
        <f aca="false">IF(OR(F6147&lt;&gt;0,AND(I6147&lt;&gt;"",E6147&lt;I6147)),1,0)</f>
        <v>0</v>
      </c>
      <c r="R6147" s="56" t="n">
        <f aca="false">IF(AND(D6147&gt;1,Q6147=0,ISNUMBER(O6147),ISNUMBER(P6147)),IF(Q6146=0,1,0),0)</f>
        <v>1</v>
      </c>
      <c r="S6147" s="56" t="n">
        <f aca="false">R6147*(B6147&gt;=Train_Start)*(B6147&lt;=Train_End)</f>
        <v>0</v>
      </c>
      <c r="T6147" s="84" t="n">
        <f aca="false">IF(AND(ISNUMBER(O6147),ISNUMBER(P6147)),Coef_A+Coef_B1*O6147+Coef_B2*P6147,"")</f>
        <v>21.397793030828</v>
      </c>
      <c r="U6147" s="84" t="n">
        <f aca="false">IF(AND(R6147=1,ISNUMBER(T6147)),E6147-T6147,"")</f>
        <v>-1.39779303082804</v>
      </c>
      <c r="V6147" s="84" t="n">
        <f aca="false">IF(ISNUMBER(T6147),T6147,-99)</f>
        <v>21.397793030828</v>
      </c>
      <c r="W6147" s="84" t="n">
        <f aca="false">IF(ISNUMBER(U6147),ABS(U6147),"")</f>
        <v>1.39779303082804</v>
      </c>
    </row>
    <row r="6148" customFormat="false" ht="15" hidden="false" customHeight="false" outlineLevel="0" collapsed="false">
      <c r="A6148" s="57" t="n">
        <v>43612</v>
      </c>
      <c r="B6148" s="56" t="n">
        <v>2019</v>
      </c>
      <c r="C6148" s="56" t="n">
        <v>5</v>
      </c>
      <c r="D6148" s="56" t="n">
        <v>27</v>
      </c>
      <c r="E6148" s="56" t="n">
        <v>18.4</v>
      </c>
      <c r="F6148" s="56" t="n">
        <v>0</v>
      </c>
      <c r="G6148" s="56" t="n">
        <v>9</v>
      </c>
      <c r="H6148" s="56" t="n">
        <v>0</v>
      </c>
      <c r="I6148" s="56" t="n">
        <v>14.5</v>
      </c>
      <c r="J6148" s="56" t="n">
        <v>0</v>
      </c>
      <c r="K6148" s="56" t="n">
        <v>1010.4</v>
      </c>
      <c r="L6148" s="56" t="n">
        <v>0</v>
      </c>
      <c r="M6148" s="56" t="n">
        <v>64</v>
      </c>
      <c r="N6148" s="56" t="n">
        <v>4</v>
      </c>
      <c r="O6148" s="56" t="n">
        <f aca="false">IF(D6148=1,"",E6147)</f>
        <v>20</v>
      </c>
      <c r="P6148" s="56" t="n">
        <f aca="false">IF(OR(D6148=1,K6147=""),"",K6147)</f>
        <v>1013.5</v>
      </c>
      <c r="Q6148" s="56" t="n">
        <f aca="false">IF(OR(F6148&lt;&gt;0,AND(I6148&lt;&gt;"",E6148&lt;I6148)),1,0)</f>
        <v>0</v>
      </c>
      <c r="R6148" s="56" t="n">
        <f aca="false">IF(AND(D6148&gt;1,Q6148=0,ISNUMBER(O6148),ISNUMBER(P6148)),IF(Q6147=0,1,0),0)</f>
        <v>1</v>
      </c>
      <c r="S6148" s="56" t="n">
        <f aca="false">R6148*(B6148&gt;=Train_Start)*(B6148&lt;=Train_End)</f>
        <v>0</v>
      </c>
      <c r="T6148" s="84" t="n">
        <f aca="false">IF(AND(ISNUMBER(O6148),ISNUMBER(P6148)),Coef_A+Coef_B1*O6148+Coef_B2*P6148,"")</f>
        <v>20.2671474943971</v>
      </c>
      <c r="U6148" s="84" t="n">
        <f aca="false">IF(AND(R6148=1,ISNUMBER(T6148)),E6148-T6148,"")</f>
        <v>-1.8671474943971</v>
      </c>
      <c r="V6148" s="84" t="n">
        <f aca="false">IF(ISNUMBER(T6148),T6148,-99)</f>
        <v>20.2671474943971</v>
      </c>
      <c r="W6148" s="84" t="n">
        <f aca="false">IF(ISNUMBER(U6148),ABS(U6148),"")</f>
        <v>1.8671474943971</v>
      </c>
    </row>
    <row r="6149" customFormat="false" ht="15" hidden="false" customHeight="false" outlineLevel="0" collapsed="false">
      <c r="A6149" s="57" t="n">
        <v>43613</v>
      </c>
      <c r="B6149" s="56" t="n">
        <v>2019</v>
      </c>
      <c r="C6149" s="56" t="n">
        <v>5</v>
      </c>
      <c r="D6149" s="56" t="n">
        <v>28</v>
      </c>
      <c r="E6149" s="56" t="n">
        <v>19.2</v>
      </c>
      <c r="F6149" s="56" t="n">
        <v>0</v>
      </c>
      <c r="G6149" s="56" t="n">
        <v>9.1</v>
      </c>
      <c r="H6149" s="56" t="n">
        <v>0</v>
      </c>
      <c r="I6149" s="56" t="n">
        <v>13.8</v>
      </c>
      <c r="J6149" s="56" t="n">
        <v>0</v>
      </c>
      <c r="K6149" s="56" t="n">
        <v>1012.7</v>
      </c>
      <c r="L6149" s="56" t="n">
        <v>0</v>
      </c>
      <c r="M6149" s="56" t="n">
        <v>68</v>
      </c>
      <c r="N6149" s="56" t="n">
        <v>4.7</v>
      </c>
      <c r="O6149" s="56" t="n">
        <f aca="false">IF(D6149=1,"",E6148)</f>
        <v>18.4</v>
      </c>
      <c r="P6149" s="56" t="n">
        <f aca="false">IF(OR(D6149=1,K6148=""),"",K6148)</f>
        <v>1010.4</v>
      </c>
      <c r="Q6149" s="56" t="n">
        <f aca="false">IF(OR(F6149&lt;&gt;0,AND(I6149&lt;&gt;"",E6149&lt;I6149)),1,0)</f>
        <v>0</v>
      </c>
      <c r="R6149" s="56" t="n">
        <f aca="false">IF(AND(D6149&gt;1,Q6149=0,ISNUMBER(O6149),ISNUMBER(P6149)),IF(Q6148=0,1,0),0)</f>
        <v>1</v>
      </c>
      <c r="S6149" s="56" t="n">
        <f aca="false">R6149*(B6149&gt;=Train_Start)*(B6149&lt;=Train_End)</f>
        <v>0</v>
      </c>
      <c r="T6149" s="84" t="n">
        <f aca="false">IF(AND(ISNUMBER(O6149),ISNUMBER(P6149)),Coef_A+Coef_B1*O6149+Coef_B2*P6149,"")</f>
        <v>18.8589581121635</v>
      </c>
      <c r="U6149" s="84" t="n">
        <f aca="false">IF(AND(R6149=1,ISNUMBER(T6149)),E6149-T6149,"")</f>
        <v>0.341041887836521</v>
      </c>
      <c r="V6149" s="84" t="n">
        <f aca="false">IF(ISNUMBER(T6149),T6149,-99)</f>
        <v>18.8589581121635</v>
      </c>
      <c r="W6149" s="84" t="n">
        <f aca="false">IF(ISNUMBER(U6149),ABS(U6149),"")</f>
        <v>0.341041887836521</v>
      </c>
    </row>
    <row r="6150" customFormat="false" ht="15" hidden="false" customHeight="false" outlineLevel="0" collapsed="false">
      <c r="A6150" s="57" t="n">
        <v>43614</v>
      </c>
      <c r="B6150" s="56" t="n">
        <v>2019</v>
      </c>
      <c r="C6150" s="56" t="n">
        <v>5</v>
      </c>
      <c r="D6150" s="56" t="n">
        <v>29</v>
      </c>
      <c r="E6150" s="56" t="n">
        <v>24.8</v>
      </c>
      <c r="F6150" s="56" t="n">
        <v>0</v>
      </c>
      <c r="G6150" s="56" t="n">
        <v>9.2</v>
      </c>
      <c r="H6150" s="56" t="n">
        <v>0</v>
      </c>
      <c r="I6150" s="56" t="n">
        <v>14.2</v>
      </c>
      <c r="J6150" s="56" t="n">
        <v>0</v>
      </c>
      <c r="K6150" s="56" t="n">
        <v>1018.6</v>
      </c>
      <c r="L6150" s="56" t="n">
        <v>0</v>
      </c>
      <c r="M6150" s="56" t="n">
        <v>83</v>
      </c>
      <c r="N6150" s="56" t="n">
        <v>0.3</v>
      </c>
      <c r="O6150" s="56" t="n">
        <f aca="false">IF(D6150=1,"",E6149)</f>
        <v>19.2</v>
      </c>
      <c r="P6150" s="56" t="n">
        <f aca="false">IF(OR(D6150=1,K6149=""),"",K6149)</f>
        <v>1012.7</v>
      </c>
      <c r="Q6150" s="56" t="n">
        <f aca="false">IF(OR(F6150&lt;&gt;0,AND(I6150&lt;&gt;"",E6150&lt;I6150)),1,0)</f>
        <v>0</v>
      </c>
      <c r="R6150" s="56" t="n">
        <f aca="false">IF(AND(D6150&gt;1,Q6150=0,ISNUMBER(O6150),ISNUMBER(P6150)),IF(Q6149=0,1,0),0)</f>
        <v>1</v>
      </c>
      <c r="S6150" s="56" t="n">
        <f aca="false">R6150*(B6150&gt;=Train_Start)*(B6150&lt;=Train_End)</f>
        <v>0</v>
      </c>
      <c r="T6150" s="84" t="n">
        <f aca="false">IF(AND(ISNUMBER(O6150),ISNUMBER(P6150)),Coef_A+Coef_B1*O6150+Coef_B2*P6150,"")</f>
        <v>19.5865802242558</v>
      </c>
      <c r="U6150" s="84" t="n">
        <f aca="false">IF(AND(R6150=1,ISNUMBER(T6150)),E6150-T6150,"")</f>
        <v>5.21341977574422</v>
      </c>
      <c r="V6150" s="84" t="n">
        <f aca="false">IF(ISNUMBER(T6150),T6150,-99)</f>
        <v>19.5865802242558</v>
      </c>
      <c r="W6150" s="84" t="n">
        <f aca="false">IF(ISNUMBER(U6150),ABS(U6150),"")</f>
        <v>5.21341977574422</v>
      </c>
    </row>
    <row r="6151" customFormat="false" ht="15" hidden="false" customHeight="false" outlineLevel="0" collapsed="false">
      <c r="A6151" s="57" t="n">
        <v>43615</v>
      </c>
      <c r="B6151" s="56" t="n">
        <v>2019</v>
      </c>
      <c r="C6151" s="56" t="n">
        <v>5</v>
      </c>
      <c r="D6151" s="56" t="n">
        <v>30</v>
      </c>
      <c r="E6151" s="56" t="n">
        <v>20.7</v>
      </c>
      <c r="F6151" s="56" t="n">
        <v>0</v>
      </c>
      <c r="G6151" s="56" t="n">
        <v>11.1</v>
      </c>
      <c r="H6151" s="56" t="n">
        <v>0</v>
      </c>
      <c r="I6151" s="56" t="n">
        <v>17.9</v>
      </c>
      <c r="J6151" s="56" t="n">
        <v>0</v>
      </c>
      <c r="K6151" s="56" t="n">
        <v>1021</v>
      </c>
      <c r="L6151" s="56" t="n">
        <v>0</v>
      </c>
      <c r="M6151" s="56" t="n">
        <v>69</v>
      </c>
      <c r="N6151" s="56" t="n">
        <v>4.6</v>
      </c>
      <c r="O6151" s="56" t="n">
        <f aca="false">IF(D6151=1,"",E6150)</f>
        <v>24.8</v>
      </c>
      <c r="P6151" s="56" t="n">
        <f aca="false">IF(OR(D6151=1,K6150=""),"",K6150)</f>
        <v>1018.6</v>
      </c>
      <c r="Q6151" s="56" t="n">
        <f aca="false">IF(OR(F6151&lt;&gt;0,AND(I6151&lt;&gt;"",E6151&lt;I6151)),1,0)</f>
        <v>0</v>
      </c>
      <c r="R6151" s="56" t="n">
        <f aca="false">IF(AND(D6151&gt;1,Q6151=0,ISNUMBER(O6151),ISNUMBER(P6151)),IF(Q6150=0,1,0),0)</f>
        <v>1</v>
      </c>
      <c r="S6151" s="56" t="n">
        <f aca="false">R6151*(B6151&gt;=Train_Start)*(B6151&lt;=Train_End)</f>
        <v>0</v>
      </c>
      <c r="T6151" s="84" t="n">
        <f aca="false">IF(AND(ISNUMBER(O6151),ISNUMBER(P6151)),Coef_A+Coef_B1*O6151+Coef_B2*P6151,"")</f>
        <v>24.3599620836352</v>
      </c>
      <c r="U6151" s="84" t="n">
        <f aca="false">IF(AND(R6151=1,ISNUMBER(T6151)),E6151-T6151,"")</f>
        <v>-3.6599620836352</v>
      </c>
      <c r="V6151" s="84" t="n">
        <f aca="false">IF(ISNUMBER(T6151),T6151,-99)</f>
        <v>24.3599620836352</v>
      </c>
      <c r="W6151" s="84" t="n">
        <f aca="false">IF(ISNUMBER(U6151),ABS(U6151),"")</f>
        <v>3.6599620836352</v>
      </c>
    </row>
    <row r="6152" customFormat="false" ht="15" hidden="false" customHeight="false" outlineLevel="0" collapsed="false">
      <c r="A6152" s="57" t="n">
        <v>43616</v>
      </c>
      <c r="B6152" s="56" t="n">
        <v>2019</v>
      </c>
      <c r="C6152" s="56" t="n">
        <v>5</v>
      </c>
      <c r="D6152" s="56" t="n">
        <v>31</v>
      </c>
      <c r="E6152" s="56" t="n">
        <v>27.6</v>
      </c>
      <c r="F6152" s="56" t="n">
        <v>0</v>
      </c>
      <c r="G6152" s="56" t="n">
        <v>14.3</v>
      </c>
      <c r="H6152" s="56" t="n">
        <v>0</v>
      </c>
      <c r="I6152" s="56" t="n">
        <v>17.5</v>
      </c>
      <c r="J6152" s="56" t="n">
        <v>0</v>
      </c>
      <c r="K6152" s="56" t="n">
        <v>1023.5</v>
      </c>
      <c r="L6152" s="56" t="n">
        <v>0</v>
      </c>
      <c r="M6152" s="56" t="n">
        <v>68</v>
      </c>
      <c r="N6152" s="56" t="n">
        <v>2.3</v>
      </c>
      <c r="O6152" s="56" t="n">
        <f aca="false">IF(D6152=1,"",E6151)</f>
        <v>20.7</v>
      </c>
      <c r="P6152" s="56" t="n">
        <f aca="false">IF(OR(D6152=1,K6151=""),"",K6151)</f>
        <v>1021</v>
      </c>
      <c r="Q6152" s="56" t="n">
        <f aca="false">IF(OR(F6152&lt;&gt;0,AND(I6152&lt;&gt;"",E6152&lt;I6152)),1,0)</f>
        <v>0</v>
      </c>
      <c r="R6152" s="56" t="n">
        <f aca="false">IF(AND(D6152&gt;1,Q6152=0,ISNUMBER(O6152),ISNUMBER(P6152)),IF(Q6151=0,1,0),0)</f>
        <v>1</v>
      </c>
      <c r="S6152" s="56" t="n">
        <f aca="false">R6152*(B6152&gt;=Train_Start)*(B6152&lt;=Train_End)</f>
        <v>0</v>
      </c>
      <c r="T6152" s="84" t="n">
        <f aca="false">IF(AND(ISNUMBER(O6152),ISNUMBER(P6152)),Coef_A+Coef_B1*O6152+Coef_B2*P6152,"")</f>
        <v>21.0759591392819</v>
      </c>
      <c r="U6152" s="84" t="n">
        <f aca="false">IF(AND(R6152=1,ISNUMBER(T6152)),E6152-T6152,"")</f>
        <v>6.52404086071812</v>
      </c>
      <c r="V6152" s="84" t="n">
        <f aca="false">IF(ISNUMBER(T6152),T6152,-99)</f>
        <v>21.0759591392819</v>
      </c>
      <c r="W6152" s="84" t="n">
        <f aca="false">IF(ISNUMBER(U6152),ABS(U6152),"")</f>
        <v>6.52404086071812</v>
      </c>
    </row>
    <row r="6153" customFormat="false" ht="15" hidden="false" customHeight="false" outlineLevel="0" collapsed="false">
      <c r="A6153" s="57" t="n">
        <v>43617</v>
      </c>
      <c r="B6153" s="56" t="n">
        <v>2019</v>
      </c>
      <c r="C6153" s="56" t="n">
        <v>6</v>
      </c>
      <c r="D6153" s="56" t="n">
        <v>32</v>
      </c>
      <c r="E6153" s="56" t="n">
        <v>27.3</v>
      </c>
      <c r="F6153" s="56" t="n">
        <v>0</v>
      </c>
      <c r="G6153" s="56" t="n">
        <v>10.5</v>
      </c>
      <c r="H6153" s="56" t="n">
        <v>0</v>
      </c>
      <c r="I6153" s="56" t="n">
        <v>19.1</v>
      </c>
      <c r="J6153" s="56" t="n">
        <v>0</v>
      </c>
      <c r="K6153" s="56" t="n">
        <v>1019.2</v>
      </c>
      <c r="L6153" s="56" t="n">
        <v>0</v>
      </c>
      <c r="M6153" s="56" t="n">
        <v>61</v>
      </c>
      <c r="N6153" s="56" t="n">
        <v>11.5</v>
      </c>
      <c r="O6153" s="56" t="n">
        <f aca="false">IF(D6153=1,"",E6152)</f>
        <v>27.6</v>
      </c>
      <c r="P6153" s="56" t="n">
        <f aca="false">IF(OR(D6153=1,K6152=""),"",K6152)</f>
        <v>1023.5</v>
      </c>
      <c r="Q6153" s="56" t="n">
        <f aca="false">IF(OR(F6153&lt;&gt;0,AND(I6153&lt;&gt;"",E6153&lt;I6153)),1,0)</f>
        <v>0</v>
      </c>
      <c r="R6153" s="56" t="n">
        <f aca="false">IF(AND(D6153&gt;1,Q6153=0,ISNUMBER(O6153),ISNUMBER(P6153)),IF(Q6152=0,1,0),0)</f>
        <v>1</v>
      </c>
      <c r="S6153" s="56" t="n">
        <f aca="false">R6153*(B6153&gt;=Train_Start)*(B6153&lt;=Train_End)</f>
        <v>0</v>
      </c>
      <c r="T6153" s="84" t="n">
        <f aca="false">IF(AND(ISNUMBER(O6153),ISNUMBER(P6153)),Coef_A+Coef_B1*O6153+Coef_B2*P6153,"")</f>
        <v>26.8078243078612</v>
      </c>
      <c r="U6153" s="84" t="n">
        <f aca="false">IF(AND(R6153=1,ISNUMBER(T6153)),E6153-T6153,"")</f>
        <v>0.492175692138805</v>
      </c>
      <c r="V6153" s="84" t="n">
        <f aca="false">IF(ISNUMBER(T6153),T6153,-99)</f>
        <v>26.8078243078612</v>
      </c>
      <c r="W6153" s="84" t="n">
        <f aca="false">IF(ISNUMBER(U6153),ABS(U6153),"")</f>
        <v>0.492175692138805</v>
      </c>
    </row>
    <row r="6154" customFormat="false" ht="15" hidden="false" customHeight="false" outlineLevel="0" collapsed="false">
      <c r="A6154" s="57" t="n">
        <v>43618</v>
      </c>
      <c r="B6154" s="56" t="n">
        <v>2019</v>
      </c>
      <c r="C6154" s="56" t="n">
        <v>6</v>
      </c>
      <c r="D6154" s="56" t="n">
        <v>33</v>
      </c>
      <c r="E6154" s="56" t="n">
        <v>22</v>
      </c>
      <c r="F6154" s="56" t="n">
        <v>0</v>
      </c>
      <c r="G6154" s="56" t="n">
        <v>14.9</v>
      </c>
      <c r="H6154" s="56" t="n">
        <v>0</v>
      </c>
      <c r="I6154" s="56" t="n">
        <v>21.1</v>
      </c>
      <c r="J6154" s="56" t="n">
        <v>0</v>
      </c>
      <c r="K6154" s="56" t="n">
        <v>1010.1</v>
      </c>
      <c r="L6154" s="56" t="n">
        <v>0</v>
      </c>
      <c r="M6154" s="56" t="n">
        <v>64</v>
      </c>
      <c r="N6154" s="56" t="n">
        <v>7.1</v>
      </c>
      <c r="O6154" s="56" t="n">
        <f aca="false">IF(D6154=1,"",E6153)</f>
        <v>27.3</v>
      </c>
      <c r="P6154" s="56" t="n">
        <f aca="false">IF(OR(D6154=1,K6153=""),"",K6153)</f>
        <v>1019.2</v>
      </c>
      <c r="Q6154" s="56" t="n">
        <f aca="false">IF(OR(F6154&lt;&gt;0,AND(I6154&lt;&gt;"",E6154&lt;I6154)),1,0)</f>
        <v>0</v>
      </c>
      <c r="R6154" s="56" t="n">
        <f aca="false">IF(AND(D6154&gt;1,Q6154=0,ISNUMBER(O6154),ISNUMBER(P6154)),IF(Q6153=0,1,0),0)</f>
        <v>1</v>
      </c>
      <c r="S6154" s="56" t="n">
        <f aca="false">R6154*(B6154&gt;=Train_Start)*(B6154&lt;=Train_End)</f>
        <v>0</v>
      </c>
      <c r="T6154" s="84" t="n">
        <f aca="false">IF(AND(ISNUMBER(O6154),ISNUMBER(P6154)),Coef_A+Coef_B1*O6154+Coef_B2*P6154,"")</f>
        <v>26.4271320030222</v>
      </c>
      <c r="U6154" s="84" t="n">
        <f aca="false">IF(AND(R6154=1,ISNUMBER(T6154)),E6154-T6154,"")</f>
        <v>-4.42713200302224</v>
      </c>
      <c r="V6154" s="84" t="n">
        <f aca="false">IF(ISNUMBER(T6154),T6154,-99)</f>
        <v>26.4271320030222</v>
      </c>
      <c r="W6154" s="84" t="n">
        <f aca="false">IF(ISNUMBER(U6154),ABS(U6154),"")</f>
        <v>4.42713200302224</v>
      </c>
    </row>
    <row r="6155" customFormat="false" ht="15" hidden="false" customHeight="false" outlineLevel="0" collapsed="false">
      <c r="A6155" s="57" t="n">
        <v>43619</v>
      </c>
      <c r="B6155" s="56" t="n">
        <v>2019</v>
      </c>
      <c r="C6155" s="56" t="n">
        <v>6</v>
      </c>
      <c r="D6155" s="56" t="n">
        <v>34</v>
      </c>
      <c r="E6155" s="56" t="n">
        <v>17.5</v>
      </c>
      <c r="F6155" s="56" t="n">
        <v>0</v>
      </c>
      <c r="G6155" s="56" t="n">
        <v>10.6</v>
      </c>
      <c r="H6155" s="56" t="n">
        <v>0</v>
      </c>
      <c r="I6155" s="56" t="n">
        <v>16.3</v>
      </c>
      <c r="J6155" s="56" t="n">
        <v>0</v>
      </c>
      <c r="K6155" s="56" t="n">
        <v>1012.4</v>
      </c>
      <c r="L6155" s="56" t="n">
        <v>0</v>
      </c>
      <c r="M6155" s="56" t="n">
        <v>62</v>
      </c>
      <c r="N6155" s="56" t="n">
        <v>6.8</v>
      </c>
      <c r="O6155" s="56" t="n">
        <f aca="false">IF(D6155=1,"",E6154)</f>
        <v>22</v>
      </c>
      <c r="P6155" s="56" t="n">
        <f aca="false">IF(OR(D6155=1,K6154=""),"",K6154)</f>
        <v>1010.1</v>
      </c>
      <c r="Q6155" s="56" t="n">
        <f aca="false">IF(OR(F6155&lt;&gt;0,AND(I6155&lt;&gt;"",E6155&lt;I6155)),1,0)</f>
        <v>0</v>
      </c>
      <c r="R6155" s="56" t="n">
        <f aca="false">IF(AND(D6155&gt;1,Q6155=0,ISNUMBER(O6155),ISNUMBER(P6155)),IF(Q6154=0,1,0),0)</f>
        <v>1</v>
      </c>
      <c r="S6155" s="56" t="n">
        <f aca="false">R6155*(B6155&gt;=Train_Start)*(B6155&lt;=Train_End)</f>
        <v>0</v>
      </c>
      <c r="T6155" s="84" t="n">
        <f aca="false">IF(AND(ISNUMBER(O6155),ISNUMBER(P6155)),Coef_A+Coef_B1*O6155+Coef_B2*P6155,"")</f>
        <v>21.7991682387269</v>
      </c>
      <c r="U6155" s="84" t="n">
        <f aca="false">IF(AND(R6155=1,ISNUMBER(T6155)),E6155-T6155,"")</f>
        <v>-4.29916823872685</v>
      </c>
      <c r="V6155" s="84" t="n">
        <f aca="false">IF(ISNUMBER(T6155),T6155,-99)</f>
        <v>21.7991682387269</v>
      </c>
      <c r="W6155" s="84" t="n">
        <f aca="false">IF(ISNUMBER(U6155),ABS(U6155),"")</f>
        <v>4.29916823872685</v>
      </c>
    </row>
    <row r="6156" customFormat="false" ht="15" hidden="false" customHeight="false" outlineLevel="0" collapsed="false">
      <c r="A6156" s="57" t="n">
        <v>43620</v>
      </c>
      <c r="B6156" s="56" t="n">
        <v>2019</v>
      </c>
      <c r="C6156" s="56" t="n">
        <v>6</v>
      </c>
      <c r="D6156" s="56" t="n">
        <v>35</v>
      </c>
      <c r="E6156" s="56" t="n">
        <v>19.8</v>
      </c>
      <c r="F6156" s="56" t="n">
        <v>0</v>
      </c>
      <c r="G6156" s="56" t="n">
        <v>10.1</v>
      </c>
      <c r="H6156" s="56" t="n">
        <v>0</v>
      </c>
      <c r="I6156" s="56" t="n">
        <v>13.8</v>
      </c>
      <c r="J6156" s="56" t="n">
        <v>0</v>
      </c>
      <c r="K6156" s="56" t="n">
        <v>1006</v>
      </c>
      <c r="L6156" s="56" t="n">
        <v>0</v>
      </c>
      <c r="M6156" s="56" t="n">
        <v>80</v>
      </c>
      <c r="N6156" s="56" t="n">
        <v>0.8</v>
      </c>
      <c r="O6156" s="56" t="n">
        <f aca="false">IF(D6156=1,"",E6155)</f>
        <v>17.5</v>
      </c>
      <c r="P6156" s="56" t="n">
        <f aca="false">IF(OR(D6156=1,K6155=""),"",K6155)</f>
        <v>1012.4</v>
      </c>
      <c r="Q6156" s="56" t="n">
        <f aca="false">IF(OR(F6156&lt;&gt;0,AND(I6156&lt;&gt;"",E6156&lt;I6156)),1,0)</f>
        <v>0</v>
      </c>
      <c r="R6156" s="56" t="n">
        <f aca="false">IF(AND(D6156&gt;1,Q6156=0,ISNUMBER(O6156),ISNUMBER(P6156)),IF(Q6155=0,1,0),0)</f>
        <v>1</v>
      </c>
      <c r="S6156" s="56" t="n">
        <f aca="false">R6156*(B6156&gt;=Train_Start)*(B6156&lt;=Train_End)</f>
        <v>0</v>
      </c>
      <c r="T6156" s="84" t="n">
        <f aca="false">IF(AND(ISNUMBER(O6156),ISNUMBER(P6156)),Coef_A+Coef_B1*O6156+Coef_B2*P6156,"")</f>
        <v>18.1842926276931</v>
      </c>
      <c r="U6156" s="84" t="n">
        <f aca="false">IF(AND(R6156=1,ISNUMBER(T6156)),E6156-T6156,"")</f>
        <v>1.61570737230694</v>
      </c>
      <c r="V6156" s="84" t="n">
        <f aca="false">IF(ISNUMBER(T6156),T6156,-99)</f>
        <v>18.1842926276931</v>
      </c>
      <c r="W6156" s="84" t="n">
        <f aca="false">IF(ISNUMBER(U6156),ABS(U6156),"")</f>
        <v>1.61570737230694</v>
      </c>
    </row>
    <row r="6157" customFormat="false" ht="15" hidden="false" customHeight="false" outlineLevel="0" collapsed="false">
      <c r="A6157" s="57" t="n">
        <v>43621</v>
      </c>
      <c r="B6157" s="56" t="n">
        <v>2019</v>
      </c>
      <c r="C6157" s="56" t="n">
        <v>6</v>
      </c>
      <c r="D6157" s="56" t="n">
        <v>36</v>
      </c>
      <c r="E6157" s="56" t="n">
        <v>21</v>
      </c>
      <c r="F6157" s="56" t="n">
        <v>0</v>
      </c>
      <c r="G6157" s="56" t="n">
        <v>11.8</v>
      </c>
      <c r="H6157" s="56" t="n">
        <v>0</v>
      </c>
      <c r="I6157" s="56" t="n">
        <v>15.8</v>
      </c>
      <c r="J6157" s="56" t="n">
        <v>0</v>
      </c>
      <c r="K6157" s="56" t="n">
        <v>1005.9</v>
      </c>
      <c r="L6157" s="56" t="n">
        <v>0</v>
      </c>
      <c r="M6157" s="56" t="n">
        <v>64</v>
      </c>
      <c r="N6157" s="56" t="n">
        <v>4.6</v>
      </c>
      <c r="O6157" s="56" t="n">
        <f aca="false">IF(D6157=1,"",E6156)</f>
        <v>19.8</v>
      </c>
      <c r="P6157" s="56" t="n">
        <f aca="false">IF(OR(D6157=1,K6156=""),"",K6156)</f>
        <v>1006</v>
      </c>
      <c r="Q6157" s="56" t="n">
        <f aca="false">IF(OR(F6157&lt;&gt;0,AND(I6157&lt;&gt;"",E6157&lt;I6157)),1,0)</f>
        <v>0</v>
      </c>
      <c r="R6157" s="56" t="n">
        <f aca="false">IF(AND(D6157&gt;1,Q6157=0,ISNUMBER(O6157),ISNUMBER(P6157)),IF(Q6156=0,1,0),0)</f>
        <v>1</v>
      </c>
      <c r="S6157" s="56" t="n">
        <f aca="false">R6157*(B6157&gt;=Train_Start)*(B6157&lt;=Train_End)</f>
        <v>0</v>
      </c>
      <c r="T6157" s="84" t="n">
        <f aca="false">IF(AND(ISNUMBER(O6157),ISNUMBER(P6157)),Coef_A+Coef_B1*O6157+Coef_B2*P6157,"")</f>
        <v>19.8680054460337</v>
      </c>
      <c r="U6157" s="84" t="n">
        <f aca="false">IF(AND(R6157=1,ISNUMBER(T6157)),E6157-T6157,"")</f>
        <v>1.13199455396635</v>
      </c>
      <c r="V6157" s="84" t="n">
        <f aca="false">IF(ISNUMBER(T6157),T6157,-99)</f>
        <v>19.8680054460337</v>
      </c>
      <c r="W6157" s="84" t="n">
        <f aca="false">IF(ISNUMBER(U6157),ABS(U6157),"")</f>
        <v>1.13199455396635</v>
      </c>
    </row>
    <row r="6158" customFormat="false" ht="15" hidden="false" customHeight="false" outlineLevel="0" collapsed="false">
      <c r="A6158" s="57" t="n">
        <v>43622</v>
      </c>
      <c r="B6158" s="56" t="n">
        <v>2019</v>
      </c>
      <c r="C6158" s="56" t="n">
        <v>6</v>
      </c>
      <c r="D6158" s="56" t="n">
        <v>37</v>
      </c>
      <c r="E6158" s="56" t="n">
        <v>19.3</v>
      </c>
      <c r="F6158" s="56" t="n">
        <v>0</v>
      </c>
      <c r="G6158" s="56" t="n">
        <v>8.7</v>
      </c>
      <c r="H6158" s="56" t="n">
        <v>0</v>
      </c>
      <c r="I6158" s="56" t="n">
        <v>14.8</v>
      </c>
      <c r="J6158" s="56" t="n">
        <v>0</v>
      </c>
      <c r="K6158" s="56" t="n">
        <v>1010.1</v>
      </c>
      <c r="L6158" s="56" t="n">
        <v>0</v>
      </c>
      <c r="M6158" s="56" t="n">
        <v>56</v>
      </c>
      <c r="N6158" s="56" t="n">
        <v>11.9</v>
      </c>
      <c r="O6158" s="56" t="n">
        <f aca="false">IF(D6158=1,"",E6157)</f>
        <v>21</v>
      </c>
      <c r="P6158" s="56" t="n">
        <f aca="false">IF(OR(D6158=1,K6157=""),"",K6157)</f>
        <v>1005.9</v>
      </c>
      <c r="Q6158" s="56" t="n">
        <f aca="false">IF(OR(F6158&lt;&gt;0,AND(I6158&lt;&gt;"",E6158&lt;I6158)),1,0)</f>
        <v>0</v>
      </c>
      <c r="R6158" s="56" t="n">
        <f aca="false">IF(AND(D6158&gt;1,Q6158=0,ISNUMBER(O6158),ISNUMBER(P6158)),IF(Q6157=0,1,0),0)</f>
        <v>1</v>
      </c>
      <c r="S6158" s="56" t="n">
        <f aca="false">R6158*(B6158&gt;=Train_Start)*(B6158&lt;=Train_End)</f>
        <v>0</v>
      </c>
      <c r="T6158" s="84" t="n">
        <f aca="false">IF(AND(ISNUMBER(O6158),ISNUMBER(P6158)),Coef_A+Coef_B1*O6158+Coef_B2*P6158,"")</f>
        <v>20.8480754882214</v>
      </c>
      <c r="U6158" s="84" t="n">
        <f aca="false">IF(AND(R6158=1,ISNUMBER(T6158)),E6158-T6158,"")</f>
        <v>-1.54807548822144</v>
      </c>
      <c r="V6158" s="84" t="n">
        <f aca="false">IF(ISNUMBER(T6158),T6158,-99)</f>
        <v>20.8480754882214</v>
      </c>
      <c r="W6158" s="84" t="n">
        <f aca="false">IF(ISNUMBER(U6158),ABS(U6158),"")</f>
        <v>1.54807548822144</v>
      </c>
    </row>
    <row r="6159" customFormat="false" ht="15" hidden="false" customHeight="false" outlineLevel="0" collapsed="false">
      <c r="A6159" s="57" t="n">
        <v>43623</v>
      </c>
      <c r="B6159" s="56" t="n">
        <v>2019</v>
      </c>
      <c r="C6159" s="56" t="n">
        <v>6</v>
      </c>
      <c r="D6159" s="56" t="n">
        <v>38</v>
      </c>
      <c r="E6159" s="56" t="n">
        <v>20.3</v>
      </c>
      <c r="F6159" s="56" t="n">
        <v>0</v>
      </c>
      <c r="G6159" s="56" t="n">
        <v>11</v>
      </c>
      <c r="H6159" s="56" t="n">
        <v>0</v>
      </c>
      <c r="I6159" s="56" t="n">
        <v>15.2</v>
      </c>
      <c r="J6159" s="56" t="n">
        <v>0</v>
      </c>
      <c r="K6159" s="56" t="n">
        <v>1002.4</v>
      </c>
      <c r="L6159" s="56" t="n">
        <v>0</v>
      </c>
      <c r="M6159" s="56" t="n">
        <v>78</v>
      </c>
      <c r="N6159" s="56" t="n">
        <v>1.5</v>
      </c>
      <c r="O6159" s="56" t="n">
        <f aca="false">IF(D6159=1,"",E6158)</f>
        <v>19.3</v>
      </c>
      <c r="P6159" s="56" t="n">
        <f aca="false">IF(OR(D6159=1,K6158=""),"",K6158)</f>
        <v>1010.1</v>
      </c>
      <c r="Q6159" s="56" t="n">
        <f aca="false">IF(OR(F6159&lt;&gt;0,AND(I6159&lt;&gt;"",E6159&lt;I6159)),1,0)</f>
        <v>0</v>
      </c>
      <c r="R6159" s="56" t="n">
        <f aca="false">IF(AND(D6159&gt;1,Q6159=0,ISNUMBER(O6159),ISNUMBER(P6159)),IF(Q6158=0,1,0),0)</f>
        <v>1</v>
      </c>
      <c r="S6159" s="56" t="n">
        <f aca="false">R6159*(B6159&gt;=Train_Start)*(B6159&lt;=Train_End)</f>
        <v>0</v>
      </c>
      <c r="T6159" s="84" t="n">
        <f aca="false">IF(AND(ISNUMBER(O6159),ISNUMBER(P6159)),Coef_A+Coef_B1*O6159+Coef_B2*P6159,"")</f>
        <v>19.5869524175117</v>
      </c>
      <c r="U6159" s="84" t="n">
        <f aca="false">IF(AND(R6159=1,ISNUMBER(T6159)),E6159-T6159,"")</f>
        <v>0.713047582488326</v>
      </c>
      <c r="V6159" s="84" t="n">
        <f aca="false">IF(ISNUMBER(T6159),T6159,-99)</f>
        <v>19.5869524175117</v>
      </c>
      <c r="W6159" s="84" t="n">
        <f aca="false">IF(ISNUMBER(U6159),ABS(U6159),"")</f>
        <v>0.713047582488326</v>
      </c>
    </row>
    <row r="6160" customFormat="false" ht="15" hidden="false" customHeight="false" outlineLevel="0" collapsed="false">
      <c r="A6160" s="57" t="n">
        <v>43624</v>
      </c>
      <c r="B6160" s="56" t="n">
        <v>2019</v>
      </c>
      <c r="C6160" s="56" t="n">
        <v>6</v>
      </c>
      <c r="D6160" s="56" t="n">
        <v>39</v>
      </c>
      <c r="E6160" s="56" t="n">
        <v>21</v>
      </c>
      <c r="F6160" s="56" t="n">
        <v>0</v>
      </c>
      <c r="G6160" s="56" t="n">
        <v>10.9</v>
      </c>
      <c r="H6160" s="56" t="n">
        <v>0</v>
      </c>
      <c r="I6160" s="56" t="n">
        <v>15.6</v>
      </c>
      <c r="J6160" s="56" t="n">
        <v>0</v>
      </c>
      <c r="K6160" s="56" t="n">
        <v>1011.4</v>
      </c>
      <c r="L6160" s="56" t="n">
        <v>0</v>
      </c>
      <c r="M6160" s="56" t="n">
        <v>68</v>
      </c>
      <c r="N6160" s="56" t="n">
        <v>7.6</v>
      </c>
      <c r="O6160" s="56" t="n">
        <f aca="false">IF(D6160=1,"",E6159)</f>
        <v>20.3</v>
      </c>
      <c r="P6160" s="56" t="n">
        <f aca="false">IF(OR(D6160=1,K6159=""),"",K6159)</f>
        <v>1002.4</v>
      </c>
      <c r="Q6160" s="56" t="n">
        <f aca="false">IF(OR(F6160&lt;&gt;0,AND(I6160&lt;&gt;"",E6160&lt;I6160)),1,0)</f>
        <v>0</v>
      </c>
      <c r="R6160" s="56" t="n">
        <f aca="false">IF(AND(D6160&gt;1,Q6160=0,ISNUMBER(O6160),ISNUMBER(P6160)),IF(Q6159=0,1,0),0)</f>
        <v>1</v>
      </c>
      <c r="S6160" s="56" t="n">
        <f aca="false">R6160*(B6160&gt;=Train_Start)*(B6160&lt;=Train_End)</f>
        <v>0</v>
      </c>
      <c r="T6160" s="84" t="n">
        <f aca="false">IF(AND(ISNUMBER(O6160),ISNUMBER(P6160)),Coef_A+Coef_B1*O6160+Coef_B2*P6160,"")</f>
        <v>20.1647434218726</v>
      </c>
      <c r="U6160" s="84" t="n">
        <f aca="false">IF(AND(R6160=1,ISNUMBER(T6160)),E6160-T6160,"")</f>
        <v>0.835256578127389</v>
      </c>
      <c r="V6160" s="84" t="n">
        <f aca="false">IF(ISNUMBER(T6160),T6160,-99)</f>
        <v>20.1647434218726</v>
      </c>
      <c r="W6160" s="84" t="n">
        <f aca="false">IF(ISNUMBER(U6160),ABS(U6160),"")</f>
        <v>0.835256578127389</v>
      </c>
    </row>
    <row r="6161" customFormat="false" ht="15" hidden="false" customHeight="false" outlineLevel="0" collapsed="false">
      <c r="A6161" s="57" t="n">
        <v>43625</v>
      </c>
      <c r="B6161" s="56" t="n">
        <v>2019</v>
      </c>
      <c r="C6161" s="56" t="n">
        <v>6</v>
      </c>
      <c r="D6161" s="56" t="n">
        <v>40</v>
      </c>
      <c r="E6161" s="56" t="n">
        <v>14.8</v>
      </c>
      <c r="F6161" s="56" t="n">
        <v>0</v>
      </c>
      <c r="G6161" s="56" t="n">
        <v>8.6</v>
      </c>
      <c r="H6161" s="56" t="n">
        <v>0</v>
      </c>
      <c r="I6161" s="56" t="n">
        <v>14.8</v>
      </c>
      <c r="J6161" s="56" t="n">
        <v>0</v>
      </c>
      <c r="K6161" s="56" t="n">
        <v>1020.4</v>
      </c>
      <c r="L6161" s="56" t="n">
        <v>0</v>
      </c>
      <c r="M6161" s="56" t="n">
        <v>67</v>
      </c>
      <c r="N6161" s="56" t="n">
        <v>6.4</v>
      </c>
      <c r="O6161" s="56" t="n">
        <f aca="false">IF(D6161=1,"",E6160)</f>
        <v>21</v>
      </c>
      <c r="P6161" s="56" t="n">
        <f aca="false">IF(OR(D6161=1,K6160=""),"",K6160)</f>
        <v>1011.4</v>
      </c>
      <c r="Q6161" s="56" t="n">
        <f aca="false">IF(OR(F6161&lt;&gt;0,AND(I6161&lt;&gt;"",E6161&lt;I6161)),1,0)</f>
        <v>0</v>
      </c>
      <c r="R6161" s="56" t="n">
        <f aca="false">IF(AND(D6161&gt;1,Q6161=0,ISNUMBER(O6161),ISNUMBER(P6161)),IF(Q6160=0,1,0),0)</f>
        <v>1</v>
      </c>
      <c r="S6161" s="56" t="n">
        <f aca="false">R6161*(B6161&gt;=Train_Start)*(B6161&lt;=Train_End)</f>
        <v>0</v>
      </c>
      <c r="T6161" s="84" t="n">
        <f aca="false">IF(AND(ISNUMBER(O6161),ISNUMBER(P6161)),Coef_A+Coef_B1*O6161+Coef_B2*P6161,"")</f>
        <v>21.0206099087084</v>
      </c>
      <c r="U6161" s="84" t="n">
        <f aca="false">IF(AND(R6161=1,ISNUMBER(T6161)),E6161-T6161,"")</f>
        <v>-6.22060990870838</v>
      </c>
      <c r="V6161" s="84" t="n">
        <f aca="false">IF(ISNUMBER(T6161),T6161,-99)</f>
        <v>21.0206099087084</v>
      </c>
      <c r="W6161" s="84" t="n">
        <f aca="false">IF(ISNUMBER(U6161),ABS(U6161),"")</f>
        <v>6.22060990870838</v>
      </c>
    </row>
    <row r="6162" customFormat="false" ht="15" hidden="false" customHeight="false" outlineLevel="0" collapsed="false">
      <c r="A6162" s="57" t="n">
        <v>43626</v>
      </c>
      <c r="B6162" s="56" t="n">
        <v>2019</v>
      </c>
      <c r="C6162" s="56" t="n">
        <v>6</v>
      </c>
      <c r="D6162" s="56" t="n">
        <v>41</v>
      </c>
      <c r="E6162" s="56" t="n">
        <v>18.4</v>
      </c>
      <c r="F6162" s="56" t="n">
        <v>0</v>
      </c>
      <c r="G6162" s="56" t="n">
        <v>11.4</v>
      </c>
      <c r="H6162" s="56" t="n">
        <v>0</v>
      </c>
      <c r="I6162" s="56" t="n">
        <v>13.1</v>
      </c>
      <c r="J6162" s="56" t="n">
        <v>0</v>
      </c>
      <c r="K6162" s="56" t="n">
        <v>1014.6</v>
      </c>
      <c r="L6162" s="56" t="n">
        <v>0</v>
      </c>
      <c r="M6162" s="56" t="n">
        <v>90</v>
      </c>
      <c r="N6162" s="56" t="n">
        <v>0</v>
      </c>
      <c r="O6162" s="56" t="n">
        <f aca="false">IF(D6162=1,"",E6161)</f>
        <v>14.8</v>
      </c>
      <c r="P6162" s="56" t="n">
        <f aca="false">IF(OR(D6162=1,K6161=""),"",K6161)</f>
        <v>1020.4</v>
      </c>
      <c r="Q6162" s="56" t="n">
        <f aca="false">IF(OR(F6162&lt;&gt;0,AND(I6162&lt;&gt;"",E6162&lt;I6162)),1,0)</f>
        <v>0</v>
      </c>
      <c r="R6162" s="56" t="n">
        <f aca="false">IF(AND(D6162&gt;1,Q6162=0,ISNUMBER(O6162),ISNUMBER(P6162)),IF(Q6161=0,1,0),0)</f>
        <v>1</v>
      </c>
      <c r="S6162" s="56" t="n">
        <f aca="false">R6162*(B6162&gt;=Train_Start)*(B6162&lt;=Train_End)</f>
        <v>0</v>
      </c>
      <c r="T6162" s="84" t="n">
        <f aca="false">IF(AND(ISNUMBER(O6162),ISNUMBER(P6162)),Coef_A+Coef_B1*O6162+Coef_B2*P6162,"")</f>
        <v>16.2230359635498</v>
      </c>
      <c r="U6162" s="84" t="n">
        <f aca="false">IF(AND(R6162=1,ISNUMBER(T6162)),E6162-T6162,"")</f>
        <v>2.17696403645019</v>
      </c>
      <c r="V6162" s="84" t="n">
        <f aca="false">IF(ISNUMBER(T6162),T6162,-99)</f>
        <v>16.2230359635498</v>
      </c>
      <c r="W6162" s="84" t="n">
        <f aca="false">IF(ISNUMBER(U6162),ABS(U6162),"")</f>
        <v>2.17696403645019</v>
      </c>
    </row>
    <row r="6163" customFormat="false" ht="15" hidden="false" customHeight="false" outlineLevel="0" collapsed="false">
      <c r="A6163" s="57" t="n">
        <v>43627</v>
      </c>
      <c r="B6163" s="56" t="n">
        <v>2019</v>
      </c>
      <c r="C6163" s="56" t="n">
        <v>6</v>
      </c>
      <c r="D6163" s="56" t="n">
        <v>42</v>
      </c>
      <c r="E6163" s="56" t="n">
        <v>16.1</v>
      </c>
      <c r="F6163" s="56" t="n">
        <v>0</v>
      </c>
      <c r="G6163" s="56" t="n">
        <v>9.5</v>
      </c>
      <c r="H6163" s="56" t="n">
        <v>0</v>
      </c>
      <c r="I6163" s="56" t="n">
        <v>13.9</v>
      </c>
      <c r="J6163" s="56" t="n">
        <v>0</v>
      </c>
      <c r="K6163" s="56" t="n">
        <v>1011.5</v>
      </c>
      <c r="L6163" s="56" t="n">
        <v>0</v>
      </c>
      <c r="M6163" s="56" t="n">
        <v>85</v>
      </c>
      <c r="N6163" s="56" t="n">
        <v>0.8</v>
      </c>
      <c r="O6163" s="56" t="n">
        <f aca="false">IF(D6163=1,"",E6162)</f>
        <v>18.4</v>
      </c>
      <c r="P6163" s="56" t="n">
        <f aca="false">IF(OR(D6163=1,K6162=""),"",K6162)</f>
        <v>1014.6</v>
      </c>
      <c r="Q6163" s="56" t="n">
        <f aca="false">IF(OR(F6163&lt;&gt;0,AND(I6163&lt;&gt;"",E6163&lt;I6163)),1,0)</f>
        <v>0</v>
      </c>
      <c r="R6163" s="56" t="n">
        <f aca="false">IF(AND(D6163&gt;1,Q6163=0,ISNUMBER(O6163),ISNUMBER(P6163)),IF(Q6162=0,1,0),0)</f>
        <v>1</v>
      </c>
      <c r="S6163" s="56" t="n">
        <f aca="false">R6163*(B6163&gt;=Train_Start)*(B6163&lt;=Train_End)</f>
        <v>0</v>
      </c>
      <c r="T6163" s="84" t="n">
        <f aca="false">IF(AND(ISNUMBER(O6163),ISNUMBER(P6163)),Coef_A+Coef_B1*O6163+Coef_B2*P6163,"")</f>
        <v>18.9907116696262</v>
      </c>
      <c r="U6163" s="84" t="n">
        <f aca="false">IF(AND(R6163=1,ISNUMBER(T6163)),E6163-T6163,"")</f>
        <v>-2.89071166962624</v>
      </c>
      <c r="V6163" s="84" t="n">
        <f aca="false">IF(ISNUMBER(T6163),T6163,-99)</f>
        <v>18.9907116696262</v>
      </c>
      <c r="W6163" s="84" t="n">
        <f aca="false">IF(ISNUMBER(U6163),ABS(U6163),"")</f>
        <v>2.89071166962624</v>
      </c>
    </row>
    <row r="6164" customFormat="false" ht="15" hidden="false" customHeight="false" outlineLevel="0" collapsed="false">
      <c r="A6164" s="57" t="n">
        <v>43628</v>
      </c>
      <c r="B6164" s="56" t="n">
        <v>2019</v>
      </c>
      <c r="C6164" s="56" t="n">
        <v>6</v>
      </c>
      <c r="D6164" s="56" t="n">
        <v>43</v>
      </c>
      <c r="E6164" s="56" t="n">
        <v>16.1</v>
      </c>
      <c r="F6164" s="56" t="n">
        <v>0</v>
      </c>
      <c r="G6164" s="56" t="n">
        <v>11</v>
      </c>
      <c r="H6164" s="56" t="n">
        <v>0</v>
      </c>
      <c r="I6164" s="56" t="n">
        <v>13.6</v>
      </c>
      <c r="J6164" s="56" t="n">
        <v>0</v>
      </c>
      <c r="K6164" s="56" t="n">
        <v>1009.7</v>
      </c>
      <c r="L6164" s="56" t="n">
        <v>0</v>
      </c>
      <c r="M6164" s="56" t="n">
        <v>85</v>
      </c>
      <c r="N6164" s="56" t="n">
        <v>1.7</v>
      </c>
      <c r="O6164" s="56" t="n">
        <f aca="false">IF(D6164=1,"",E6163)</f>
        <v>16.1</v>
      </c>
      <c r="P6164" s="56" t="n">
        <f aca="false">IF(OR(D6164=1,K6163=""),"",K6163)</f>
        <v>1011.5</v>
      </c>
      <c r="Q6164" s="56" t="n">
        <f aca="false">IF(OR(F6164&lt;&gt;0,AND(I6164&lt;&gt;"",E6164&lt;I6164)),1,0)</f>
        <v>0</v>
      </c>
      <c r="R6164" s="56" t="n">
        <f aca="false">IF(AND(D6164&gt;1,Q6164=0,ISNUMBER(O6164),ISNUMBER(P6164)),IF(Q6163=0,1,0),0)</f>
        <v>1</v>
      </c>
      <c r="S6164" s="56" t="n">
        <f aca="false">R6164*(B6164&gt;=Train_Start)*(B6164&lt;=Train_End)</f>
        <v>0</v>
      </c>
      <c r="T6164" s="84" t="n">
        <f aca="false">IF(AND(ISNUMBER(O6164),ISNUMBER(P6164)),Coef_A+Coef_B1*O6164+Coef_B2*P6164,"")</f>
        <v>17.0089848522628</v>
      </c>
      <c r="U6164" s="84" t="n">
        <f aca="false">IF(AND(R6164=1,ISNUMBER(T6164)),E6164-T6164,"")</f>
        <v>-0.908984852262755</v>
      </c>
      <c r="V6164" s="84" t="n">
        <f aca="false">IF(ISNUMBER(T6164),T6164,-99)</f>
        <v>17.0089848522628</v>
      </c>
      <c r="W6164" s="84" t="n">
        <f aca="false">IF(ISNUMBER(U6164),ABS(U6164),"")</f>
        <v>0.908984852262755</v>
      </c>
    </row>
    <row r="6165" customFormat="false" ht="15" hidden="false" customHeight="false" outlineLevel="0" collapsed="false">
      <c r="A6165" s="57" t="n">
        <v>43629</v>
      </c>
      <c r="B6165" s="56" t="n">
        <v>2019</v>
      </c>
      <c r="C6165" s="56" t="n">
        <v>6</v>
      </c>
      <c r="D6165" s="56" t="n">
        <v>44</v>
      </c>
      <c r="E6165" s="56" t="n">
        <v>20.1</v>
      </c>
      <c r="F6165" s="56" t="n">
        <v>0</v>
      </c>
      <c r="G6165" s="56" t="n">
        <v>11.4</v>
      </c>
      <c r="H6165" s="56" t="n">
        <v>0</v>
      </c>
      <c r="I6165" s="56" t="n">
        <v>13.8</v>
      </c>
      <c r="J6165" s="56" t="n">
        <v>0</v>
      </c>
      <c r="K6165" s="56" t="n">
        <v>1005.8</v>
      </c>
      <c r="L6165" s="56" t="n">
        <v>0</v>
      </c>
      <c r="M6165" s="56" t="n">
        <v>90</v>
      </c>
      <c r="N6165" s="56" t="n">
        <v>0</v>
      </c>
      <c r="O6165" s="56" t="n">
        <f aca="false">IF(D6165=1,"",E6164)</f>
        <v>16.1</v>
      </c>
      <c r="P6165" s="56" t="n">
        <f aca="false">IF(OR(D6165=1,K6164=""),"",K6164)</f>
        <v>1009.7</v>
      </c>
      <c r="Q6165" s="56" t="n">
        <f aca="false">IF(OR(F6165&lt;&gt;0,AND(I6165&lt;&gt;"",E6165&lt;I6165)),1,0)</f>
        <v>0</v>
      </c>
      <c r="R6165" s="56" t="n">
        <f aca="false">IF(AND(D6165&gt;1,Q6165=0,ISNUMBER(O6165),ISNUMBER(P6165)),IF(Q6164=0,1,0),0)</f>
        <v>1</v>
      </c>
      <c r="S6165" s="56" t="n">
        <f aca="false">R6165*(B6165&gt;=Train_Start)*(B6165&lt;=Train_End)</f>
        <v>0</v>
      </c>
      <c r="T6165" s="84" t="n">
        <f aca="false">IF(AND(ISNUMBER(O6165),ISNUMBER(P6165)),Coef_A+Coef_B1*O6165+Coef_B2*P6165,"")</f>
        <v>16.9525190419216</v>
      </c>
      <c r="U6165" s="84" t="n">
        <f aca="false">IF(AND(R6165=1,ISNUMBER(T6165)),E6165-T6165,"")</f>
        <v>3.14748095807843</v>
      </c>
      <c r="V6165" s="84" t="n">
        <f aca="false">IF(ISNUMBER(T6165),T6165,-99)</f>
        <v>16.9525190419216</v>
      </c>
      <c r="W6165" s="84" t="n">
        <f aca="false">IF(ISNUMBER(U6165),ABS(U6165),"")</f>
        <v>3.14748095807843</v>
      </c>
    </row>
    <row r="6166" customFormat="false" ht="15" hidden="false" customHeight="false" outlineLevel="0" collapsed="false">
      <c r="A6166" s="57" t="n">
        <v>43630</v>
      </c>
      <c r="B6166" s="56" t="n">
        <v>2019</v>
      </c>
      <c r="C6166" s="56" t="n">
        <v>6</v>
      </c>
      <c r="D6166" s="56" t="n">
        <v>45</v>
      </c>
      <c r="E6166" s="56" t="n">
        <v>20</v>
      </c>
      <c r="F6166" s="56" t="n">
        <v>0</v>
      </c>
      <c r="G6166" s="56" t="n">
        <v>11.7</v>
      </c>
      <c r="H6166" s="56" t="n">
        <v>0</v>
      </c>
      <c r="I6166" s="56" t="n">
        <v>15.9</v>
      </c>
      <c r="J6166" s="56" t="n">
        <v>0</v>
      </c>
      <c r="K6166" s="56" t="n">
        <v>1010.2</v>
      </c>
      <c r="L6166" s="56" t="n">
        <v>0</v>
      </c>
      <c r="M6166" s="56" t="n">
        <v>74</v>
      </c>
      <c r="N6166" s="56" t="n">
        <v>5.3</v>
      </c>
      <c r="O6166" s="56" t="n">
        <f aca="false">IF(D6166=1,"",E6165)</f>
        <v>20.1</v>
      </c>
      <c r="P6166" s="56" t="n">
        <f aca="false">IF(OR(D6166=1,K6165=""),"",K6165)</f>
        <v>1005.8</v>
      </c>
      <c r="Q6166" s="56" t="n">
        <f aca="false">IF(OR(F6166&lt;&gt;0,AND(I6166&lt;&gt;"",E6166&lt;I6166)),1,0)</f>
        <v>0</v>
      </c>
      <c r="R6166" s="56" t="n">
        <f aca="false">IF(AND(D6166&gt;1,Q6166=0,ISNUMBER(O6166),ISNUMBER(P6166)),IF(Q6165=0,1,0),0)</f>
        <v>1</v>
      </c>
      <c r="S6166" s="56" t="n">
        <f aca="false">R6166*(B6166&gt;=Train_Start)*(B6166&lt;=Train_End)</f>
        <v>0</v>
      </c>
      <c r="T6166" s="84" t="n">
        <f aca="false">IF(AND(ISNUMBER(O6166),ISNUMBER(P6166)),Coef_A+Coef_B1*O6166+Coef_B2*P6166,"")</f>
        <v>20.1075332250196</v>
      </c>
      <c r="U6166" s="84" t="n">
        <f aca="false">IF(AND(R6166=1,ISNUMBER(T6166)),E6166-T6166,"")</f>
        <v>-0.107533225019647</v>
      </c>
      <c r="V6166" s="84" t="n">
        <f aca="false">IF(ISNUMBER(T6166),T6166,-99)</f>
        <v>20.1075332250196</v>
      </c>
      <c r="W6166" s="84" t="n">
        <f aca="false">IF(ISNUMBER(U6166),ABS(U6166),"")</f>
        <v>0.107533225019647</v>
      </c>
    </row>
    <row r="6167" customFormat="false" ht="15" hidden="false" customHeight="false" outlineLevel="0" collapsed="false">
      <c r="A6167" s="57" t="n">
        <v>43631</v>
      </c>
      <c r="B6167" s="56" t="n">
        <v>2019</v>
      </c>
      <c r="C6167" s="56" t="n">
        <v>6</v>
      </c>
      <c r="D6167" s="56" t="n">
        <v>46</v>
      </c>
      <c r="E6167" s="56" t="n">
        <v>21.4</v>
      </c>
      <c r="F6167" s="56" t="n">
        <v>0</v>
      </c>
      <c r="G6167" s="56" t="n">
        <v>11.5</v>
      </c>
      <c r="H6167" s="56" t="n">
        <v>0</v>
      </c>
      <c r="I6167" s="56" t="n">
        <v>15.8</v>
      </c>
      <c r="J6167" s="56" t="n">
        <v>0</v>
      </c>
      <c r="K6167" s="56" t="n">
        <v>1012.8</v>
      </c>
      <c r="L6167" s="56" t="n">
        <v>0</v>
      </c>
      <c r="M6167" s="56" t="n">
        <v>77</v>
      </c>
      <c r="N6167" s="56" t="n">
        <v>3.7</v>
      </c>
      <c r="O6167" s="56" t="n">
        <f aca="false">IF(D6167=1,"",E6166)</f>
        <v>20</v>
      </c>
      <c r="P6167" s="56" t="n">
        <f aca="false">IF(OR(D6167=1,K6166=""),"",K6166)</f>
        <v>1010.2</v>
      </c>
      <c r="Q6167" s="56" t="n">
        <f aca="false">IF(OR(F6167&lt;&gt;0,AND(I6167&lt;&gt;"",E6167&lt;I6167)),1,0)</f>
        <v>0</v>
      </c>
      <c r="R6167" s="56" t="n">
        <f aca="false">IF(AND(D6167&gt;1,Q6167=0,ISNUMBER(O6167),ISNUMBER(P6167)),IF(Q6166=0,1,0),0)</f>
        <v>1</v>
      </c>
      <c r="S6167" s="56" t="n">
        <f aca="false">R6167*(B6167&gt;=Train_Start)*(B6167&lt;=Train_End)</f>
        <v>0</v>
      </c>
      <c r="T6167" s="84" t="n">
        <f aca="false">IF(AND(ISNUMBER(O6167),ISNUMBER(P6167)),Coef_A+Coef_B1*O6167+Coef_B2*P6167,"")</f>
        <v>20.1636268421049</v>
      </c>
      <c r="U6167" s="84" t="n">
        <f aca="false">IF(AND(R6167=1,ISNUMBER(T6167)),E6167-T6167,"")</f>
        <v>1.23637315789507</v>
      </c>
      <c r="V6167" s="84" t="n">
        <f aca="false">IF(ISNUMBER(T6167),T6167,-99)</f>
        <v>20.1636268421049</v>
      </c>
      <c r="W6167" s="84" t="n">
        <f aca="false">IF(ISNUMBER(U6167),ABS(U6167),"")</f>
        <v>1.23637315789507</v>
      </c>
    </row>
    <row r="6168" customFormat="false" ht="15" hidden="false" customHeight="false" outlineLevel="0" collapsed="false">
      <c r="A6168" s="57" t="n">
        <v>43632</v>
      </c>
      <c r="B6168" s="56" t="n">
        <v>2019</v>
      </c>
      <c r="C6168" s="56" t="n">
        <v>6</v>
      </c>
      <c r="D6168" s="56" t="n">
        <v>47</v>
      </c>
      <c r="E6168" s="56" t="n">
        <v>22.7</v>
      </c>
      <c r="F6168" s="56" t="n">
        <v>0</v>
      </c>
      <c r="G6168" s="56" t="n">
        <v>8.4</v>
      </c>
      <c r="H6168" s="56" t="n">
        <v>0</v>
      </c>
      <c r="I6168" s="56" t="n">
        <v>14.9</v>
      </c>
      <c r="J6168" s="56" t="n">
        <v>0</v>
      </c>
      <c r="K6168" s="56" t="n">
        <v>1016.6</v>
      </c>
      <c r="L6168" s="56" t="n">
        <v>0</v>
      </c>
      <c r="M6168" s="56" t="n">
        <v>76</v>
      </c>
      <c r="N6168" s="56" t="n">
        <v>4.7</v>
      </c>
      <c r="O6168" s="56" t="n">
        <f aca="false">IF(D6168=1,"",E6167)</f>
        <v>21.4</v>
      </c>
      <c r="P6168" s="56" t="n">
        <f aca="false">IF(OR(D6168=1,K6167=""),"",K6167)</f>
        <v>1012.8</v>
      </c>
      <c r="Q6168" s="56" t="n">
        <f aca="false">IF(OR(F6168&lt;&gt;0,AND(I6168&lt;&gt;"",E6168&lt;I6168)),1,0)</f>
        <v>0</v>
      </c>
      <c r="R6168" s="56" t="n">
        <f aca="false">IF(AND(D6168&gt;1,Q6168=0,ISNUMBER(O6168),ISNUMBER(P6168)),IF(Q6167=0,1,0),0)</f>
        <v>1</v>
      </c>
      <c r="S6168" s="56" t="n">
        <f aca="false">R6168*(B6168&gt;=Train_Start)*(B6168&lt;=Train_End)</f>
        <v>0</v>
      </c>
      <c r="T6168" s="84" t="n">
        <f aca="false">IF(AND(ISNUMBER(O6168),ISNUMBER(P6168)),Coef_A+Coef_B1*O6168+Coef_B2*P6168,"")</f>
        <v>21.392263438413</v>
      </c>
      <c r="U6168" s="84" t="n">
        <f aca="false">IF(AND(R6168=1,ISNUMBER(T6168)),E6168-T6168,"")</f>
        <v>1.30773656158697</v>
      </c>
      <c r="V6168" s="84" t="n">
        <f aca="false">IF(ISNUMBER(T6168),T6168,-99)</f>
        <v>21.392263438413</v>
      </c>
      <c r="W6168" s="84" t="n">
        <f aca="false">IF(ISNUMBER(U6168),ABS(U6168),"")</f>
        <v>1.30773656158697</v>
      </c>
    </row>
    <row r="6169" customFormat="false" ht="15" hidden="false" customHeight="false" outlineLevel="0" collapsed="false">
      <c r="A6169" s="57" t="n">
        <v>43633</v>
      </c>
      <c r="B6169" s="56" t="n">
        <v>2019</v>
      </c>
      <c r="C6169" s="56" t="n">
        <v>6</v>
      </c>
      <c r="D6169" s="56" t="n">
        <v>48</v>
      </c>
      <c r="E6169" s="56" t="n">
        <v>19.7</v>
      </c>
      <c r="F6169" s="56" t="n">
        <v>0</v>
      </c>
      <c r="G6169" s="56" t="n">
        <v>11.3</v>
      </c>
      <c r="H6169" s="56" t="n">
        <v>0</v>
      </c>
      <c r="I6169" s="56" t="n">
        <v>17</v>
      </c>
      <c r="J6169" s="56" t="n">
        <v>0</v>
      </c>
      <c r="K6169" s="56" t="n">
        <v>1017.5</v>
      </c>
      <c r="L6169" s="56" t="n">
        <v>0</v>
      </c>
      <c r="M6169" s="56" t="n">
        <v>64</v>
      </c>
      <c r="N6169" s="56" t="n">
        <v>9.3</v>
      </c>
      <c r="O6169" s="56" t="n">
        <f aca="false">IF(D6169=1,"",E6168)</f>
        <v>22.7</v>
      </c>
      <c r="P6169" s="56" t="n">
        <f aca="false">IF(OR(D6169=1,K6168=""),"",K6168)</f>
        <v>1016.6</v>
      </c>
      <c r="Q6169" s="56" t="n">
        <f aca="false">IF(OR(F6169&lt;&gt;0,AND(I6169&lt;&gt;"",E6169&lt;I6169)),1,0)</f>
        <v>0</v>
      </c>
      <c r="R6169" s="56" t="n">
        <f aca="false">IF(AND(D6169&gt;1,Q6169=0,ISNUMBER(O6169),ISNUMBER(P6169)),IF(Q6168=0,1,0),0)</f>
        <v>1</v>
      </c>
      <c r="S6169" s="56" t="n">
        <f aca="false">R6169*(B6169&gt;=Train_Start)*(B6169&lt;=Train_End)</f>
        <v>0</v>
      </c>
      <c r="T6169" s="84" t="n">
        <f aca="false">IF(AND(ISNUMBER(O6169),ISNUMBER(P6169)),Coef_A+Coef_B1*O6169+Coef_B2*P6169,"")</f>
        <v>22.5766099889776</v>
      </c>
      <c r="U6169" s="84" t="n">
        <f aca="false">IF(AND(R6169=1,ISNUMBER(T6169)),E6169-T6169,"")</f>
        <v>-2.87660998897764</v>
      </c>
      <c r="V6169" s="84" t="n">
        <f aca="false">IF(ISNUMBER(T6169),T6169,-99)</f>
        <v>22.5766099889776</v>
      </c>
      <c r="W6169" s="84" t="n">
        <f aca="false">IF(ISNUMBER(U6169),ABS(U6169),"")</f>
        <v>2.87660998897764</v>
      </c>
    </row>
    <row r="6170" customFormat="false" ht="15" hidden="false" customHeight="false" outlineLevel="0" collapsed="false">
      <c r="A6170" s="57" t="n">
        <v>43634</v>
      </c>
      <c r="B6170" s="56" t="n">
        <v>2019</v>
      </c>
      <c r="C6170" s="56" t="n">
        <v>6</v>
      </c>
      <c r="D6170" s="56" t="n">
        <v>49</v>
      </c>
      <c r="E6170" s="56" t="n">
        <v>19.5</v>
      </c>
      <c r="F6170" s="56" t="n">
        <v>0</v>
      </c>
      <c r="G6170" s="56" t="n">
        <v>11</v>
      </c>
      <c r="H6170" s="56" t="n">
        <v>0</v>
      </c>
      <c r="I6170" s="56" t="n">
        <v>15.3</v>
      </c>
      <c r="J6170" s="56" t="n">
        <v>0</v>
      </c>
      <c r="K6170" s="56" t="n">
        <v>1013.9</v>
      </c>
      <c r="L6170" s="56" t="n">
        <v>0</v>
      </c>
      <c r="M6170" s="56" t="n">
        <v>80</v>
      </c>
      <c r="N6170" s="56" t="n">
        <v>2.4</v>
      </c>
      <c r="O6170" s="56" t="n">
        <f aca="false">IF(D6170=1,"",E6169)</f>
        <v>19.7</v>
      </c>
      <c r="P6170" s="56" t="n">
        <f aca="false">IF(OR(D6170=1,K6169=""),"",K6169)</f>
        <v>1017.5</v>
      </c>
      <c r="Q6170" s="56" t="n">
        <f aca="false">IF(OR(F6170&lt;&gt;0,AND(I6170&lt;&gt;"",E6170&lt;I6170)),1,0)</f>
        <v>0</v>
      </c>
      <c r="R6170" s="56" t="n">
        <f aca="false">IF(AND(D6170&gt;1,Q6170=0,ISNUMBER(O6170),ISNUMBER(P6170)),IF(Q6169=0,1,0),0)</f>
        <v>1</v>
      </c>
      <c r="S6170" s="56" t="n">
        <f aca="false">R6170*(B6170&gt;=Train_Start)*(B6170&lt;=Train_End)</f>
        <v>0</v>
      </c>
      <c r="T6170" s="84" t="n">
        <f aca="false">IF(AND(ISNUMBER(O6170),ISNUMBER(P6170)),Coef_A+Coef_B1*O6170+Coef_B2*P6170,"")</f>
        <v>20.1468253150203</v>
      </c>
      <c r="U6170" s="84" t="n">
        <f aca="false">IF(AND(R6170=1,ISNUMBER(T6170)),E6170-T6170,"")</f>
        <v>-0.646825315020259</v>
      </c>
      <c r="V6170" s="84" t="n">
        <f aca="false">IF(ISNUMBER(T6170),T6170,-99)</f>
        <v>20.1468253150203</v>
      </c>
      <c r="W6170" s="84" t="n">
        <f aca="false">IF(ISNUMBER(U6170),ABS(U6170),"")</f>
        <v>0.646825315020259</v>
      </c>
    </row>
    <row r="6171" customFormat="false" ht="15" hidden="false" customHeight="false" outlineLevel="0" collapsed="false">
      <c r="A6171" s="57" t="n">
        <v>43635</v>
      </c>
      <c r="B6171" s="56" t="n">
        <v>2019</v>
      </c>
      <c r="C6171" s="56" t="n">
        <v>6</v>
      </c>
      <c r="D6171" s="56" t="n">
        <v>50</v>
      </c>
      <c r="E6171" s="56" t="n">
        <v>20.5</v>
      </c>
      <c r="F6171" s="56" t="n">
        <v>0</v>
      </c>
      <c r="G6171" s="56" t="n">
        <v>14.1</v>
      </c>
      <c r="H6171" s="56" t="n">
        <v>0</v>
      </c>
      <c r="I6171" s="56" t="n">
        <v>16.8</v>
      </c>
      <c r="J6171" s="56" t="n">
        <v>0</v>
      </c>
      <c r="K6171" s="56" t="n">
        <v>1008</v>
      </c>
      <c r="L6171" s="56" t="n">
        <v>0</v>
      </c>
      <c r="M6171" s="56" t="n">
        <v>85</v>
      </c>
      <c r="N6171" s="56" t="n">
        <v>0.1</v>
      </c>
      <c r="O6171" s="56" t="n">
        <f aca="false">IF(D6171=1,"",E6170)</f>
        <v>19.5</v>
      </c>
      <c r="P6171" s="56" t="n">
        <f aca="false">IF(OR(D6171=1,K6170=""),"",K6170)</f>
        <v>1013.9</v>
      </c>
      <c r="Q6171" s="56" t="n">
        <f aca="false">IF(OR(F6171&lt;&gt;0,AND(I6171&lt;&gt;"",E6171&lt;I6171)),1,0)</f>
        <v>0</v>
      </c>
      <c r="R6171" s="56" t="n">
        <f aca="false">IF(AND(D6171&gt;1,Q6171=0,ISNUMBER(O6171),ISNUMBER(P6171)),IF(Q6170=0,1,0),0)</f>
        <v>1</v>
      </c>
      <c r="S6171" s="56" t="n">
        <f aca="false">R6171*(B6171&gt;=Train_Start)*(B6171&lt;=Train_End)</f>
        <v>0</v>
      </c>
      <c r="T6171" s="84" t="n">
        <f aca="false">IF(AND(ISNUMBER(O6171),ISNUMBER(P6171)),Coef_A+Coef_B1*O6171+Coef_B2*P6171,"")</f>
        <v>19.8700258557294</v>
      </c>
      <c r="U6171" s="84" t="n">
        <f aca="false">IF(AND(R6171=1,ISNUMBER(T6171)),E6171-T6171,"")</f>
        <v>0.629974144270634</v>
      </c>
      <c r="V6171" s="84" t="n">
        <f aca="false">IF(ISNUMBER(T6171),T6171,-99)</f>
        <v>19.8700258557294</v>
      </c>
      <c r="W6171" s="84" t="n">
        <f aca="false">IF(ISNUMBER(U6171),ABS(U6171),"")</f>
        <v>0.629974144270634</v>
      </c>
    </row>
    <row r="6172" customFormat="false" ht="15" hidden="false" customHeight="false" outlineLevel="0" collapsed="false">
      <c r="A6172" s="57" t="n">
        <v>43636</v>
      </c>
      <c r="B6172" s="56" t="n">
        <v>2019</v>
      </c>
      <c r="C6172" s="56" t="n">
        <v>6</v>
      </c>
      <c r="D6172" s="56" t="n">
        <v>51</v>
      </c>
      <c r="E6172" s="56" t="n">
        <v>22.4</v>
      </c>
      <c r="F6172" s="56" t="n">
        <v>0</v>
      </c>
      <c r="G6172" s="56" t="n">
        <v>12.3</v>
      </c>
      <c r="H6172" s="56" t="n">
        <v>0</v>
      </c>
      <c r="I6172" s="56" t="n">
        <v>16.4</v>
      </c>
      <c r="J6172" s="56" t="n">
        <v>0</v>
      </c>
      <c r="K6172" s="56" t="n">
        <v>1012.6</v>
      </c>
      <c r="L6172" s="56" t="n">
        <v>0</v>
      </c>
      <c r="M6172" s="56" t="n">
        <v>69</v>
      </c>
      <c r="N6172" s="56" t="n">
        <v>6.5</v>
      </c>
      <c r="O6172" s="56" t="n">
        <f aca="false">IF(D6172=1,"",E6171)</f>
        <v>20.5</v>
      </c>
      <c r="P6172" s="56" t="n">
        <f aca="false">IF(OR(D6172=1,K6171=""),"",K6171)</f>
        <v>1008</v>
      </c>
      <c r="Q6172" s="56" t="n">
        <f aca="false">IF(OR(F6172&lt;&gt;0,AND(I6172&lt;&gt;"",E6172&lt;I6172)),1,0)</f>
        <v>0</v>
      </c>
      <c r="R6172" s="56" t="n">
        <f aca="false">IF(AND(D6172&gt;1,Q6172=0,ISNUMBER(O6172),ISNUMBER(P6172)),IF(Q6171=0,1,0),0)</f>
        <v>1</v>
      </c>
      <c r="S6172" s="56" t="n">
        <f aca="false">R6172*(B6172&gt;=Train_Start)*(B6172&lt;=Train_End)</f>
        <v>0</v>
      </c>
      <c r="T6172" s="84" t="n">
        <f aca="false">IF(AND(ISNUMBER(O6172),ISNUMBER(P6172)),Coef_A+Coef_B1*O6172+Coef_B2*P6172,"")</f>
        <v>20.5042826704315</v>
      </c>
      <c r="U6172" s="84" t="n">
        <f aca="false">IF(AND(R6172=1,ISNUMBER(T6172)),E6172-T6172,"")</f>
        <v>1.89571732956851</v>
      </c>
      <c r="V6172" s="84" t="n">
        <f aca="false">IF(ISNUMBER(T6172),T6172,-99)</f>
        <v>20.5042826704315</v>
      </c>
      <c r="W6172" s="84" t="n">
        <f aca="false">IF(ISNUMBER(U6172),ABS(U6172),"")</f>
        <v>1.89571732956851</v>
      </c>
    </row>
    <row r="6173" customFormat="false" ht="15" hidden="false" customHeight="false" outlineLevel="0" collapsed="false">
      <c r="A6173" s="57" t="n">
        <v>43637</v>
      </c>
      <c r="B6173" s="56" t="n">
        <v>2019</v>
      </c>
      <c r="C6173" s="56" t="n">
        <v>6</v>
      </c>
      <c r="D6173" s="56" t="n">
        <v>52</v>
      </c>
      <c r="E6173" s="56" t="n">
        <v>23.8</v>
      </c>
      <c r="F6173" s="56" t="n">
        <v>0</v>
      </c>
      <c r="G6173" s="56" t="n">
        <v>8.8</v>
      </c>
      <c r="H6173" s="56" t="n">
        <v>0</v>
      </c>
      <c r="I6173" s="56" t="n">
        <v>15.6</v>
      </c>
      <c r="J6173" s="56" t="n">
        <v>0</v>
      </c>
      <c r="K6173" s="56" t="n">
        <v>1019.4</v>
      </c>
      <c r="L6173" s="56" t="n">
        <v>0</v>
      </c>
      <c r="M6173" s="56" t="n">
        <v>63</v>
      </c>
      <c r="N6173" s="56" t="n">
        <v>9.8</v>
      </c>
      <c r="O6173" s="56" t="n">
        <f aca="false">IF(D6173=1,"",E6172)</f>
        <v>22.4</v>
      </c>
      <c r="P6173" s="56" t="n">
        <f aca="false">IF(OR(D6173=1,K6172=""),"",K6172)</f>
        <v>1012.6</v>
      </c>
      <c r="Q6173" s="56" t="n">
        <f aca="false">IF(OR(F6173&lt;&gt;0,AND(I6173&lt;&gt;"",E6173&lt;I6173)),1,0)</f>
        <v>0</v>
      </c>
      <c r="R6173" s="56" t="n">
        <f aca="false">IF(AND(D6173&gt;1,Q6173=0,ISNUMBER(O6173),ISNUMBER(P6173)),IF(Q6172=0,1,0),0)</f>
        <v>1</v>
      </c>
      <c r="S6173" s="56" t="n">
        <f aca="false">R6173*(B6173&gt;=Train_Start)*(B6173&lt;=Train_End)</f>
        <v>0</v>
      </c>
      <c r="T6173" s="84" t="n">
        <f aca="false">IF(AND(ISNUMBER(O6173),ISNUMBER(P6173)),Coef_A+Coef_B1*O6173+Coef_B2*P6173,"")</f>
        <v>22.2053286525289</v>
      </c>
      <c r="U6173" s="84" t="n">
        <f aca="false">IF(AND(R6173=1,ISNUMBER(T6173)),E6173-T6173,"")</f>
        <v>1.59467134747112</v>
      </c>
      <c r="V6173" s="84" t="n">
        <f aca="false">IF(ISNUMBER(T6173),T6173,-99)</f>
        <v>22.2053286525289</v>
      </c>
      <c r="W6173" s="84" t="n">
        <f aca="false">IF(ISNUMBER(U6173),ABS(U6173),"")</f>
        <v>1.59467134747112</v>
      </c>
    </row>
    <row r="6174" customFormat="false" ht="15" hidden="false" customHeight="false" outlineLevel="0" collapsed="false">
      <c r="A6174" s="57" t="n">
        <v>43638</v>
      </c>
      <c r="B6174" s="56" t="n">
        <v>2019</v>
      </c>
      <c r="C6174" s="56" t="n">
        <v>6</v>
      </c>
      <c r="D6174" s="56" t="n">
        <v>53</v>
      </c>
      <c r="E6174" s="56" t="n">
        <v>24.9</v>
      </c>
      <c r="F6174" s="56" t="n">
        <v>0</v>
      </c>
      <c r="G6174" s="56" t="n">
        <v>9.7</v>
      </c>
      <c r="H6174" s="56" t="n">
        <v>0</v>
      </c>
      <c r="I6174" s="56" t="n">
        <v>16.8</v>
      </c>
      <c r="J6174" s="56" t="n">
        <v>0</v>
      </c>
      <c r="K6174" s="56" t="n">
        <v>1020.9</v>
      </c>
      <c r="L6174" s="56" t="n">
        <v>0</v>
      </c>
      <c r="M6174" s="56" t="n">
        <v>60</v>
      </c>
      <c r="N6174" s="56" t="n">
        <v>11.9</v>
      </c>
      <c r="O6174" s="56" t="n">
        <f aca="false">IF(D6174=1,"",E6173)</f>
        <v>23.8</v>
      </c>
      <c r="P6174" s="56" t="n">
        <f aca="false">IF(OR(D6174=1,K6173=""),"",K6173)</f>
        <v>1019.4</v>
      </c>
      <c r="Q6174" s="56" t="n">
        <f aca="false">IF(OR(F6174&lt;&gt;0,AND(I6174&lt;&gt;"",E6174&lt;I6174)),1,0)</f>
        <v>0</v>
      </c>
      <c r="R6174" s="56" t="n">
        <f aca="false">IF(AND(D6174&gt;1,Q6174=0,ISNUMBER(O6174),ISNUMBER(P6174)),IF(Q6173=0,1,0),0)</f>
        <v>1</v>
      </c>
      <c r="S6174" s="56" t="n">
        <f aca="false">R6174*(B6174&gt;=Train_Start)*(B6174&lt;=Train_End)</f>
        <v>0</v>
      </c>
      <c r="T6174" s="84" t="n">
        <f aca="false">IF(AND(ISNUMBER(O6174),ISNUMBER(P6174)),Coef_A+Coef_B1*O6174+Coef_B2*P6174,"")</f>
        <v>23.5657188062997</v>
      </c>
      <c r="U6174" s="84" t="n">
        <f aca="false">IF(AND(R6174=1,ISNUMBER(T6174)),E6174-T6174,"")</f>
        <v>1.33428119370027</v>
      </c>
      <c r="V6174" s="84" t="n">
        <f aca="false">IF(ISNUMBER(T6174),T6174,-99)</f>
        <v>23.5657188062997</v>
      </c>
      <c r="W6174" s="84" t="n">
        <f aca="false">IF(ISNUMBER(U6174),ABS(U6174),"")</f>
        <v>1.33428119370027</v>
      </c>
    </row>
    <row r="6175" customFormat="false" ht="15" hidden="false" customHeight="false" outlineLevel="0" collapsed="false">
      <c r="A6175" s="57" t="n">
        <v>43639</v>
      </c>
      <c r="B6175" s="56" t="n">
        <v>2019</v>
      </c>
      <c r="C6175" s="56" t="n">
        <v>6</v>
      </c>
      <c r="D6175" s="56" t="n">
        <v>54</v>
      </c>
      <c r="E6175" s="56" t="n">
        <v>24.5</v>
      </c>
      <c r="F6175" s="56" t="n">
        <v>0</v>
      </c>
      <c r="G6175" s="56" t="n">
        <v>12.5</v>
      </c>
      <c r="H6175" s="56" t="n">
        <v>0</v>
      </c>
      <c r="I6175" s="56" t="n">
        <v>18.7</v>
      </c>
      <c r="J6175" s="56" t="n">
        <v>0</v>
      </c>
      <c r="K6175" s="56" t="n">
        <v>1016.8</v>
      </c>
      <c r="L6175" s="56" t="n">
        <v>0</v>
      </c>
      <c r="M6175" s="56" t="n">
        <v>70</v>
      </c>
      <c r="N6175" s="56" t="n">
        <v>1</v>
      </c>
      <c r="O6175" s="56" t="n">
        <f aca="false">IF(D6175=1,"",E6174)</f>
        <v>24.9</v>
      </c>
      <c r="P6175" s="56" t="n">
        <f aca="false">IF(OR(D6175=1,K6174=""),"",K6174)</f>
        <v>1020.9</v>
      </c>
      <c r="Q6175" s="56" t="n">
        <f aca="false">IF(OR(F6175&lt;&gt;0,AND(I6175&lt;&gt;"",E6175&lt;I6175)),1,0)</f>
        <v>0</v>
      </c>
      <c r="R6175" s="56" t="n">
        <f aca="false">IF(AND(D6175&gt;1,Q6175=0,ISNUMBER(O6175),ISNUMBER(P6175)),IF(Q6174=0,1,0),0)</f>
        <v>1</v>
      </c>
      <c r="S6175" s="56" t="n">
        <f aca="false">R6175*(B6175&gt;=Train_Start)*(B6175&lt;=Train_End)</f>
        <v>0</v>
      </c>
      <c r="T6175" s="84" t="n">
        <f aca="false">IF(AND(ISNUMBER(O6175),ISNUMBER(P6175)),Coef_A+Coef_B1*O6175+Coef_B2*P6175,"")</f>
        <v>24.5140467605976</v>
      </c>
      <c r="U6175" s="84" t="n">
        <f aca="false">IF(AND(R6175=1,ISNUMBER(T6175)),E6175-T6175,"")</f>
        <v>-0.0140467605976404</v>
      </c>
      <c r="V6175" s="84" t="n">
        <f aca="false">IF(ISNUMBER(T6175),T6175,-99)</f>
        <v>24.5140467605976</v>
      </c>
      <c r="W6175" s="84" t="n">
        <f aca="false">IF(ISNUMBER(U6175),ABS(U6175),"")</f>
        <v>0.0140467605976404</v>
      </c>
    </row>
    <row r="6176" customFormat="false" ht="15" hidden="false" customHeight="false" outlineLevel="0" collapsed="false">
      <c r="A6176" s="57" t="n">
        <v>43640</v>
      </c>
      <c r="B6176" s="56" t="n">
        <v>2019</v>
      </c>
      <c r="C6176" s="56" t="n">
        <v>6</v>
      </c>
      <c r="D6176" s="56" t="n">
        <v>55</v>
      </c>
      <c r="E6176" s="56" t="n">
        <v>23.9</v>
      </c>
      <c r="F6176" s="56" t="n">
        <v>0</v>
      </c>
      <c r="G6176" s="56" t="n">
        <v>17.2</v>
      </c>
      <c r="H6176" s="56" t="n">
        <v>0</v>
      </c>
      <c r="I6176" s="56" t="n">
        <v>20.9</v>
      </c>
      <c r="J6176" s="56" t="n">
        <v>0</v>
      </c>
      <c r="K6176" s="56" t="n">
        <v>1015.6</v>
      </c>
      <c r="L6176" s="56" t="n">
        <v>0</v>
      </c>
      <c r="M6176" s="56" t="n">
        <v>75</v>
      </c>
      <c r="N6176" s="56" t="n">
        <v>1.7</v>
      </c>
      <c r="O6176" s="56" t="n">
        <f aca="false">IF(D6176=1,"",E6175)</f>
        <v>24.5</v>
      </c>
      <c r="P6176" s="56" t="n">
        <f aca="false">IF(OR(D6176=1,K6175=""),"",K6175)</f>
        <v>1016.8</v>
      </c>
      <c r="Q6176" s="56" t="n">
        <f aca="false">IF(OR(F6176&lt;&gt;0,AND(I6176&lt;&gt;"",E6176&lt;I6176)),1,0)</f>
        <v>0</v>
      </c>
      <c r="R6176" s="56" t="n">
        <f aca="false">IF(AND(D6176&gt;1,Q6176=0,ISNUMBER(O6176),ISNUMBER(P6176)),IF(Q6175=0,1,0),0)</f>
        <v>1</v>
      </c>
      <c r="S6176" s="56" t="n">
        <f aca="false">R6176*(B6176&gt;=Train_Start)*(B6176&lt;=Train_End)</f>
        <v>0</v>
      </c>
      <c r="T6176" s="84" t="n">
        <f aca="false">IF(AND(ISNUMBER(O6176),ISNUMBER(P6176)),Coef_A+Coef_B1*O6176+Coef_B2*P6176,"")</f>
        <v>24.0576945153812</v>
      </c>
      <c r="U6176" s="84" t="n">
        <f aca="false">IF(AND(R6176=1,ISNUMBER(T6176)),E6176-T6176,"")</f>
        <v>-0.157694515381223</v>
      </c>
      <c r="V6176" s="84" t="n">
        <f aca="false">IF(ISNUMBER(T6176),T6176,-99)</f>
        <v>24.0576945153812</v>
      </c>
      <c r="W6176" s="84" t="n">
        <f aca="false">IF(ISNUMBER(U6176),ABS(U6176),"")</f>
        <v>0.157694515381223</v>
      </c>
    </row>
    <row r="6177" customFormat="false" ht="15" hidden="false" customHeight="false" outlineLevel="0" collapsed="false">
      <c r="A6177" s="57" t="n">
        <v>43641</v>
      </c>
      <c r="B6177" s="56" t="n">
        <v>2019</v>
      </c>
      <c r="C6177" s="56" t="n">
        <v>6</v>
      </c>
      <c r="D6177" s="56" t="n">
        <v>56</v>
      </c>
      <c r="E6177" s="56" t="n">
        <v>22.2</v>
      </c>
      <c r="F6177" s="56" t="n">
        <v>0</v>
      </c>
      <c r="G6177" s="56" t="n">
        <v>17.8</v>
      </c>
      <c r="H6177" s="56" t="n">
        <v>0</v>
      </c>
      <c r="I6177" s="56" t="n">
        <v>20.9</v>
      </c>
      <c r="J6177" s="56" t="n">
        <v>0</v>
      </c>
      <c r="K6177" s="56" t="n">
        <v>1018.9</v>
      </c>
      <c r="L6177" s="56" t="n">
        <v>0</v>
      </c>
      <c r="M6177" s="56" t="n">
        <v>85</v>
      </c>
      <c r="N6177" s="56" t="n">
        <v>1</v>
      </c>
      <c r="O6177" s="56" t="n">
        <f aca="false">IF(D6177=1,"",E6176)</f>
        <v>23.9</v>
      </c>
      <c r="P6177" s="56" t="n">
        <f aca="false">IF(OR(D6177=1,K6176=""),"",K6176)</f>
        <v>1015.6</v>
      </c>
      <c r="Q6177" s="56" t="n">
        <f aca="false">IF(OR(F6177&lt;&gt;0,AND(I6177&lt;&gt;"",E6177&lt;I6177)),1,0)</f>
        <v>0</v>
      </c>
      <c r="R6177" s="56" t="n">
        <f aca="false">IF(AND(D6177&gt;1,Q6177=0,ISNUMBER(O6177),ISNUMBER(P6177)),IF(Q6176=0,1,0),0)</f>
        <v>1</v>
      </c>
      <c r="S6177" s="56" t="n">
        <f aca="false">R6177*(B6177&gt;=Train_Start)*(B6177&lt;=Train_End)</f>
        <v>0</v>
      </c>
      <c r="T6177" s="84" t="n">
        <f aca="false">IF(AND(ISNUMBER(O6177),ISNUMBER(P6177)),Coef_A+Coef_B1*O6177+Coef_B2*P6177,"")</f>
        <v>23.5284471259948</v>
      </c>
      <c r="U6177" s="84" t="n">
        <f aca="false">IF(AND(R6177=1,ISNUMBER(T6177)),E6177-T6177,"")</f>
        <v>-1.32844712599484</v>
      </c>
      <c r="V6177" s="84" t="n">
        <f aca="false">IF(ISNUMBER(T6177),T6177,-99)</f>
        <v>23.5284471259948</v>
      </c>
      <c r="W6177" s="84" t="n">
        <f aca="false">IF(ISNUMBER(U6177),ABS(U6177),"")</f>
        <v>1.32844712599484</v>
      </c>
    </row>
    <row r="6178" customFormat="false" ht="15" hidden="false" customHeight="false" outlineLevel="0" collapsed="false">
      <c r="A6178" s="57" t="n">
        <v>43642</v>
      </c>
      <c r="B6178" s="56" t="n">
        <v>2019</v>
      </c>
      <c r="C6178" s="56" t="n">
        <v>6</v>
      </c>
      <c r="D6178" s="56" t="n">
        <v>57</v>
      </c>
      <c r="E6178" s="56" t="n">
        <v>24.6</v>
      </c>
      <c r="F6178" s="56" t="n">
        <v>0</v>
      </c>
      <c r="G6178" s="56" t="n">
        <v>15.4</v>
      </c>
      <c r="H6178" s="56" t="n">
        <v>0</v>
      </c>
      <c r="I6178" s="56" t="n">
        <v>18.8</v>
      </c>
      <c r="J6178" s="56" t="n">
        <v>0</v>
      </c>
      <c r="K6178" s="56" t="n">
        <v>1027.2</v>
      </c>
      <c r="L6178" s="56" t="n">
        <v>0</v>
      </c>
      <c r="M6178" s="56" t="n">
        <v>80</v>
      </c>
      <c r="N6178" s="56" t="n">
        <v>3.5</v>
      </c>
      <c r="O6178" s="56" t="n">
        <f aca="false">IF(D6178=1,"",E6177)</f>
        <v>22.2</v>
      </c>
      <c r="P6178" s="56" t="n">
        <f aca="false">IF(OR(D6178=1,K6177=""),"",K6177)</f>
        <v>1018.9</v>
      </c>
      <c r="Q6178" s="56" t="n">
        <f aca="false">IF(OR(F6178&lt;&gt;0,AND(I6178&lt;&gt;"",E6178&lt;I6178)),1,0)</f>
        <v>0</v>
      </c>
      <c r="R6178" s="56" t="n">
        <f aca="false">IF(AND(D6178&gt;1,Q6178=0,ISNUMBER(O6178),ISNUMBER(P6178)),IF(Q6177=0,1,0),0)</f>
        <v>1</v>
      </c>
      <c r="S6178" s="56" t="n">
        <f aca="false">R6178*(B6178&gt;=Train_Start)*(B6178&lt;=Train_End)</f>
        <v>0</v>
      </c>
      <c r="T6178" s="84" t="n">
        <f aca="false">IF(AND(ISNUMBER(O6178),ISNUMBER(P6178)),Coef_A+Coef_B1*O6178+Coef_B2*P6178,"")</f>
        <v>22.2390911501145</v>
      </c>
      <c r="U6178" s="84" t="n">
        <f aca="false">IF(AND(R6178=1,ISNUMBER(T6178)),E6178-T6178,"")</f>
        <v>2.36090884988551</v>
      </c>
      <c r="V6178" s="84" t="n">
        <f aca="false">IF(ISNUMBER(T6178),T6178,-99)</f>
        <v>22.2390911501145</v>
      </c>
      <c r="W6178" s="84" t="n">
        <f aca="false">IF(ISNUMBER(U6178),ABS(U6178),"")</f>
        <v>2.36090884988551</v>
      </c>
    </row>
    <row r="6179" customFormat="false" ht="15" hidden="false" customHeight="false" outlineLevel="0" collapsed="false">
      <c r="A6179" s="57" t="n">
        <v>43643</v>
      </c>
      <c r="B6179" s="56" t="n">
        <v>2019</v>
      </c>
      <c r="C6179" s="56" t="n">
        <v>6</v>
      </c>
      <c r="D6179" s="56" t="n">
        <v>58</v>
      </c>
      <c r="E6179" s="56" t="n">
        <v>24.7</v>
      </c>
      <c r="F6179" s="56" t="n">
        <v>0</v>
      </c>
      <c r="G6179" s="56" t="n">
        <v>13</v>
      </c>
      <c r="H6179" s="56" t="n">
        <v>0</v>
      </c>
      <c r="I6179" s="56" t="n">
        <v>18.8</v>
      </c>
      <c r="J6179" s="56" t="n">
        <v>0</v>
      </c>
      <c r="K6179" s="56" t="n">
        <v>1028.7</v>
      </c>
      <c r="L6179" s="56" t="n">
        <v>0</v>
      </c>
      <c r="M6179" s="56" t="n">
        <v>66</v>
      </c>
      <c r="N6179" s="56" t="n">
        <v>13.3</v>
      </c>
      <c r="O6179" s="56" t="n">
        <f aca="false">IF(D6179=1,"",E6178)</f>
        <v>24.6</v>
      </c>
      <c r="P6179" s="56" t="n">
        <f aca="false">IF(OR(D6179=1,K6178=""),"",K6178)</f>
        <v>1027.2</v>
      </c>
      <c r="Q6179" s="56" t="n">
        <f aca="false">IF(OR(F6179&lt;&gt;0,AND(I6179&lt;&gt;"",E6179&lt;I6179)),1,0)</f>
        <v>0</v>
      </c>
      <c r="R6179" s="56" t="n">
        <f aca="false">IF(AND(D6179&gt;1,Q6179=0,ISNUMBER(O6179),ISNUMBER(P6179)),IF(Q6178=0,1,0),0)</f>
        <v>1</v>
      </c>
      <c r="S6179" s="56" t="n">
        <f aca="false">R6179*(B6179&gt;=Train_Start)*(B6179&lt;=Train_End)</f>
        <v>0</v>
      </c>
      <c r="T6179" s="84" t="n">
        <f aca="false">IF(AND(ISNUMBER(O6179),ISNUMBER(P6179)),Coef_A+Coef_B1*O6179+Coef_B2*P6179,"")</f>
        <v>24.465875338879</v>
      </c>
      <c r="U6179" s="84" t="n">
        <f aca="false">IF(AND(R6179=1,ISNUMBER(T6179)),E6179-T6179,"")</f>
        <v>0.234124661121019</v>
      </c>
      <c r="V6179" s="84" t="n">
        <f aca="false">IF(ISNUMBER(T6179),T6179,-99)</f>
        <v>24.465875338879</v>
      </c>
      <c r="W6179" s="84" t="n">
        <f aca="false">IF(ISNUMBER(U6179),ABS(U6179),"")</f>
        <v>0.234124661121019</v>
      </c>
    </row>
    <row r="6180" customFormat="false" ht="15" hidden="false" customHeight="false" outlineLevel="0" collapsed="false">
      <c r="A6180" s="57" t="n">
        <v>43644</v>
      </c>
      <c r="B6180" s="56" t="n">
        <v>2019</v>
      </c>
      <c r="C6180" s="56" t="n">
        <v>6</v>
      </c>
      <c r="D6180" s="56" t="n">
        <v>59</v>
      </c>
      <c r="E6180" s="56" t="n">
        <v>34</v>
      </c>
      <c r="F6180" s="56" t="n">
        <v>0</v>
      </c>
      <c r="G6180" s="56" t="n">
        <v>13.4</v>
      </c>
      <c r="H6180" s="56" t="n">
        <v>0</v>
      </c>
      <c r="I6180" s="56" t="n">
        <v>19.1</v>
      </c>
      <c r="J6180" s="56" t="n">
        <v>0</v>
      </c>
      <c r="K6180" s="56" t="n">
        <v>1024.2</v>
      </c>
      <c r="L6180" s="56" t="n">
        <v>0</v>
      </c>
      <c r="M6180" s="56" t="n">
        <v>68</v>
      </c>
      <c r="N6180" s="56" t="n">
        <v>12.7</v>
      </c>
      <c r="O6180" s="56" t="n">
        <f aca="false">IF(D6180=1,"",E6179)</f>
        <v>24.7</v>
      </c>
      <c r="P6180" s="56" t="n">
        <f aca="false">IF(OR(D6180=1,K6179=""),"",K6179)</f>
        <v>1028.7</v>
      </c>
      <c r="Q6180" s="56" t="n">
        <f aca="false">IF(OR(F6180&lt;&gt;0,AND(I6180&lt;&gt;"",E6180&lt;I6180)),1,0)</f>
        <v>0</v>
      </c>
      <c r="R6180" s="56" t="n">
        <f aca="false">IF(AND(D6180&gt;1,Q6180=0,ISNUMBER(O6180),ISNUMBER(P6180)),IF(Q6179=0,1,0),0)</f>
        <v>1</v>
      </c>
      <c r="S6180" s="56" t="n">
        <f aca="false">R6180*(B6180&gt;=Train_Start)*(B6180&lt;=Train_End)</f>
        <v>0</v>
      </c>
      <c r="T6180" s="84" t="n">
        <f aca="false">IF(AND(ISNUMBER(O6180),ISNUMBER(P6180)),Coef_A+Coef_B1*O6180+Coef_B2*P6180,"")</f>
        <v>24.5948641001342</v>
      </c>
      <c r="U6180" s="84" t="n">
        <f aca="false">IF(AND(R6180=1,ISNUMBER(T6180)),E6180-T6180,"")</f>
        <v>9.40513589986577</v>
      </c>
      <c r="V6180" s="84" t="n">
        <f aca="false">IF(ISNUMBER(T6180),T6180,-99)</f>
        <v>24.5948641001342</v>
      </c>
      <c r="W6180" s="84" t="n">
        <f aca="false">IF(ISNUMBER(U6180),ABS(U6180),"")</f>
        <v>9.40513589986577</v>
      </c>
    </row>
    <row r="6181" customFormat="false" ht="15" hidden="false" customHeight="false" outlineLevel="0" collapsed="false">
      <c r="A6181" s="57" t="n">
        <v>43645</v>
      </c>
      <c r="B6181" s="56" t="n">
        <v>2019</v>
      </c>
      <c r="C6181" s="56" t="n">
        <v>6</v>
      </c>
      <c r="D6181" s="56" t="n">
        <v>60</v>
      </c>
      <c r="E6181" s="56" t="n">
        <v>25.1</v>
      </c>
      <c r="F6181" s="56" t="n">
        <v>0</v>
      </c>
      <c r="G6181" s="56" t="n">
        <v>14.6</v>
      </c>
      <c r="H6181" s="56" t="n">
        <v>0</v>
      </c>
      <c r="I6181" s="56" t="n">
        <v>24.3</v>
      </c>
      <c r="J6181" s="56" t="n">
        <v>0</v>
      </c>
      <c r="K6181" s="56" t="n">
        <v>1015</v>
      </c>
      <c r="L6181" s="56" t="n">
        <v>0</v>
      </c>
      <c r="M6181" s="56" t="n">
        <v>60</v>
      </c>
      <c r="N6181" s="56" t="n">
        <v>13.6</v>
      </c>
      <c r="O6181" s="56" t="n">
        <f aca="false">IF(D6181=1,"",E6180)</f>
        <v>34</v>
      </c>
      <c r="P6181" s="56" t="n">
        <f aca="false">IF(OR(D6181=1,K6180=""),"",K6180)</f>
        <v>1024.2</v>
      </c>
      <c r="Q6181" s="56" t="n">
        <f aca="false">IF(OR(F6181&lt;&gt;0,AND(I6181&lt;&gt;"",E6181&lt;I6181)),1,0)</f>
        <v>0</v>
      </c>
      <c r="R6181" s="56" t="n">
        <f aca="false">IF(AND(D6181&gt;1,Q6181=0,ISNUMBER(O6181),ISNUMBER(P6181)),IF(Q6180=0,1,0),0)</f>
        <v>1</v>
      </c>
      <c r="S6181" s="56" t="n">
        <f aca="false">R6181*(B6181&gt;=Train_Start)*(B6181&lt;=Train_End)</f>
        <v>0</v>
      </c>
      <c r="T6181" s="84" t="n">
        <f aca="false">IF(AND(ISNUMBER(O6181),ISNUMBER(P6181)),Coef_A+Coef_B1*O6181+Coef_B2*P6181,"")</f>
        <v>32.073554069578</v>
      </c>
      <c r="U6181" s="84" t="n">
        <f aca="false">IF(AND(R6181=1,ISNUMBER(T6181)),E6181-T6181,"")</f>
        <v>-6.97355406957799</v>
      </c>
      <c r="V6181" s="84" t="n">
        <f aca="false">IF(ISNUMBER(T6181),T6181,-99)</f>
        <v>32.073554069578</v>
      </c>
      <c r="W6181" s="84" t="n">
        <f aca="false">IF(ISNUMBER(U6181),ABS(U6181),"")</f>
        <v>6.97355406957799</v>
      </c>
    </row>
    <row r="6182" customFormat="false" ht="15" hidden="false" customHeight="false" outlineLevel="0" collapsed="false">
      <c r="A6182" s="57" t="n">
        <v>43646</v>
      </c>
      <c r="B6182" s="56" t="n">
        <v>2019</v>
      </c>
      <c r="C6182" s="56" t="n">
        <v>6</v>
      </c>
      <c r="D6182" s="56" t="n">
        <v>61</v>
      </c>
      <c r="E6182" s="56" t="n">
        <v>22.5</v>
      </c>
      <c r="F6182" s="56" t="n">
        <v>0</v>
      </c>
      <c r="G6182" s="56" t="n">
        <v>14.6</v>
      </c>
      <c r="H6182" s="56" t="n">
        <v>0</v>
      </c>
      <c r="I6182" s="56" t="n">
        <v>19.9</v>
      </c>
      <c r="J6182" s="56" t="n">
        <v>0</v>
      </c>
      <c r="K6182" s="56" t="n">
        <v>1016.1</v>
      </c>
      <c r="L6182" s="56" t="n">
        <v>0</v>
      </c>
      <c r="M6182" s="56" t="n">
        <v>64</v>
      </c>
      <c r="N6182" s="56" t="n">
        <v>8.9</v>
      </c>
      <c r="O6182" s="56" t="n">
        <f aca="false">IF(D6182=1,"",E6181)</f>
        <v>25.1</v>
      </c>
      <c r="P6182" s="56" t="n">
        <f aca="false">IF(OR(D6182=1,K6181=""),"",K6181)</f>
        <v>1015</v>
      </c>
      <c r="Q6182" s="56" t="n">
        <f aca="false">IF(OR(F6182&lt;&gt;0,AND(I6182&lt;&gt;"",E6182&lt;I6182)),1,0)</f>
        <v>0</v>
      </c>
      <c r="R6182" s="56" t="n">
        <f aca="false">IF(AND(D6182&gt;1,Q6182=0,ISNUMBER(O6182),ISNUMBER(P6182)),IF(Q6181=0,1,0),0)</f>
        <v>1</v>
      </c>
      <c r="S6182" s="56" t="n">
        <f aca="false">R6182*(B6182&gt;=Train_Start)*(B6182&lt;=Train_End)</f>
        <v>0</v>
      </c>
      <c r="T6182" s="84" t="n">
        <f aca="false">IF(AND(ISNUMBER(O6182),ISNUMBER(P6182)),Coef_A+Coef_B1*O6182+Coef_B2*P6182,"")</f>
        <v>24.4928322208656</v>
      </c>
      <c r="U6182" s="84" t="n">
        <f aca="false">IF(AND(R6182=1,ISNUMBER(T6182)),E6182-T6182,"")</f>
        <v>-1.99283222086564</v>
      </c>
      <c r="V6182" s="84" t="n">
        <f aca="false">IF(ISNUMBER(T6182),T6182,-99)</f>
        <v>24.4928322208656</v>
      </c>
      <c r="W6182" s="84" t="n">
        <f aca="false">IF(ISNUMBER(U6182),ABS(U6182),"")</f>
        <v>1.99283222086564</v>
      </c>
    </row>
    <row r="6183" customFormat="false" ht="15" hidden="false" customHeight="false" outlineLevel="0" collapsed="false">
      <c r="A6183" s="57" t="n">
        <v>43647</v>
      </c>
      <c r="B6183" s="56" t="n">
        <v>2019</v>
      </c>
      <c r="C6183" s="56" t="n">
        <v>7</v>
      </c>
      <c r="D6183" s="56" t="n">
        <v>62</v>
      </c>
      <c r="E6183" s="56" t="n">
        <v>23.2</v>
      </c>
      <c r="F6183" s="56" t="n">
        <v>0</v>
      </c>
      <c r="G6183" s="56" t="n">
        <v>13.3</v>
      </c>
      <c r="H6183" s="56" t="n">
        <v>0</v>
      </c>
      <c r="I6183" s="56" t="n">
        <v>17.9</v>
      </c>
      <c r="J6183" s="56" t="n">
        <v>0</v>
      </c>
      <c r="K6183" s="56" t="n">
        <v>1020.4</v>
      </c>
      <c r="L6183" s="56" t="n">
        <v>0</v>
      </c>
      <c r="M6183" s="56" t="n">
        <v>62</v>
      </c>
      <c r="N6183" s="56" t="n">
        <v>7.4</v>
      </c>
      <c r="O6183" s="56" t="n">
        <f aca="false">IF(D6183=1,"",E6182)</f>
        <v>22.5</v>
      </c>
      <c r="P6183" s="56" t="n">
        <f aca="false">IF(OR(D6183=1,K6182=""),"",K6182)</f>
        <v>1016.1</v>
      </c>
      <c r="Q6183" s="56" t="n">
        <f aca="false">IF(OR(F6183&lt;&gt;0,AND(I6183&lt;&gt;"",E6183&lt;I6183)),1,0)</f>
        <v>0</v>
      </c>
      <c r="R6183" s="56" t="n">
        <f aca="false">IF(AND(D6183&gt;1,Q6183=0,ISNUMBER(O6183),ISNUMBER(P6183)),IF(Q6182=0,1,0),0)</f>
        <v>1</v>
      </c>
      <c r="S6183" s="56" t="n">
        <f aca="false">R6183*(B6183&gt;=Train_Start)*(B6183&lt;=Train_End)</f>
        <v>0</v>
      </c>
      <c r="T6183" s="84" t="n">
        <f aca="false">IF(AND(ISNUMBER(O6183),ISNUMBER(P6183)),Coef_A+Coef_B1*O6183+Coef_B2*P6183,"")</f>
        <v>22.3970572030521</v>
      </c>
      <c r="U6183" s="84" t="n">
        <f aca="false">IF(AND(R6183=1,ISNUMBER(T6183)),E6183-T6183,"")</f>
        <v>0.802942796947882</v>
      </c>
      <c r="V6183" s="84" t="n">
        <f aca="false">IF(ISNUMBER(T6183),T6183,-99)</f>
        <v>22.3970572030521</v>
      </c>
      <c r="W6183" s="84" t="n">
        <f aca="false">IF(ISNUMBER(U6183),ABS(U6183),"")</f>
        <v>0.802942796947882</v>
      </c>
    </row>
    <row r="6184" customFormat="false" ht="15" hidden="false" customHeight="false" outlineLevel="0" collapsed="false">
      <c r="A6184" s="57" t="n">
        <v>43648</v>
      </c>
      <c r="B6184" s="56" t="n">
        <v>2019</v>
      </c>
      <c r="C6184" s="56" t="n">
        <v>7</v>
      </c>
      <c r="D6184" s="56" t="n">
        <v>63</v>
      </c>
      <c r="E6184" s="56" t="n">
        <v>24.4</v>
      </c>
      <c r="F6184" s="56" t="n">
        <v>0</v>
      </c>
      <c r="G6184" s="56" t="n">
        <v>10.8</v>
      </c>
      <c r="H6184" s="56" t="n">
        <v>0</v>
      </c>
      <c r="I6184" s="56" t="n">
        <v>17</v>
      </c>
      <c r="J6184" s="56" t="n">
        <v>0</v>
      </c>
      <c r="K6184" s="56" t="n">
        <v>1025</v>
      </c>
      <c r="L6184" s="56" t="n">
        <v>0</v>
      </c>
      <c r="M6184" s="56" t="n">
        <v>58</v>
      </c>
      <c r="N6184" s="56" t="n">
        <v>9.6</v>
      </c>
      <c r="O6184" s="56" t="n">
        <f aca="false">IF(D6184=1,"",E6183)</f>
        <v>23.2</v>
      </c>
      <c r="P6184" s="56" t="n">
        <f aca="false">IF(OR(D6184=1,K6183=""),"",K6183)</f>
        <v>1020.4</v>
      </c>
      <c r="Q6184" s="56" t="n">
        <f aca="false">IF(OR(F6184&lt;&gt;0,AND(I6184&lt;&gt;"",E6184&lt;I6184)),1,0)</f>
        <v>0</v>
      </c>
      <c r="R6184" s="56" t="n">
        <f aca="false">IF(AND(D6184&gt;1,Q6184=0,ISNUMBER(O6184),ISNUMBER(P6184)),IF(Q6183=0,1,0),0)</f>
        <v>1</v>
      </c>
      <c r="S6184" s="56" t="n">
        <f aca="false">R6184*(B6184&gt;=Train_Start)*(B6184&lt;=Train_End)</f>
        <v>0</v>
      </c>
      <c r="T6184" s="84" t="n">
        <f aca="false">IF(AND(ISNUMBER(O6184),ISNUMBER(P6184)),Coef_A+Coef_B1*O6184+Coef_B2*P6184,"")</f>
        <v>23.1054851851081</v>
      </c>
      <c r="U6184" s="84" t="n">
        <f aca="false">IF(AND(R6184=1,ISNUMBER(T6184)),E6184-T6184,"")</f>
        <v>1.29451481489187</v>
      </c>
      <c r="V6184" s="84" t="n">
        <f aca="false">IF(ISNUMBER(T6184),T6184,-99)</f>
        <v>23.1054851851081</v>
      </c>
      <c r="W6184" s="84" t="n">
        <f aca="false">IF(ISNUMBER(U6184),ABS(U6184),"")</f>
        <v>1.29451481489187</v>
      </c>
    </row>
    <row r="6185" customFormat="false" ht="15" hidden="false" customHeight="false" outlineLevel="0" collapsed="false">
      <c r="A6185" s="57" t="n">
        <v>43649</v>
      </c>
      <c r="B6185" s="56" t="n">
        <v>2019</v>
      </c>
      <c r="C6185" s="56" t="n">
        <v>7</v>
      </c>
      <c r="D6185" s="56" t="n">
        <v>64</v>
      </c>
      <c r="E6185" s="56" t="n">
        <v>26.7</v>
      </c>
      <c r="F6185" s="56" t="n">
        <v>0</v>
      </c>
      <c r="G6185" s="56" t="n">
        <v>12.9</v>
      </c>
      <c r="H6185" s="56" t="n">
        <v>0</v>
      </c>
      <c r="I6185" s="56" t="n">
        <v>18.6</v>
      </c>
      <c r="J6185" s="56" t="n">
        <v>0</v>
      </c>
      <c r="K6185" s="56" t="n">
        <v>1026.5</v>
      </c>
      <c r="L6185" s="56" t="n">
        <v>0</v>
      </c>
      <c r="M6185" s="56"/>
      <c r="N6185" s="56" t="n">
        <v>10.9</v>
      </c>
      <c r="O6185" s="56" t="n">
        <f aca="false">IF(D6185=1,"",E6184)</f>
        <v>24.4</v>
      </c>
      <c r="P6185" s="56" t="n">
        <f aca="false">IF(OR(D6185=1,K6184=""),"",K6184)</f>
        <v>1025</v>
      </c>
      <c r="Q6185" s="56" t="n">
        <f aca="false">IF(OR(F6185&lt;&gt;0,AND(I6185&lt;&gt;"",E6185&lt;I6185)),1,0)</f>
        <v>0</v>
      </c>
      <c r="R6185" s="56" t="n">
        <f aca="false">IF(AND(D6185&gt;1,Q6185=0,ISNUMBER(O6185),ISNUMBER(P6185)),IF(Q6184=0,1,0),0)</f>
        <v>1</v>
      </c>
      <c r="S6185" s="56" t="n">
        <f aca="false">R6185*(B6185&gt;=Train_Start)*(B6185&lt;=Train_End)</f>
        <v>0</v>
      </c>
      <c r="T6185" s="84" t="n">
        <f aca="false">IF(AND(ISNUMBER(O6185),ISNUMBER(P6185)),Coef_A+Coef_B1*O6185+Coef_B2*P6185,"")</f>
        <v>24.2329937320757</v>
      </c>
      <c r="U6185" s="84" t="n">
        <f aca="false">IF(AND(R6185=1,ISNUMBER(T6185)),E6185-T6185,"")</f>
        <v>2.46700626792433</v>
      </c>
      <c r="V6185" s="84" t="n">
        <f aca="false">IF(ISNUMBER(T6185),T6185,-99)</f>
        <v>24.2329937320757</v>
      </c>
      <c r="W6185" s="84" t="n">
        <f aca="false">IF(ISNUMBER(U6185),ABS(U6185),"")</f>
        <v>2.46700626792433</v>
      </c>
    </row>
    <row r="6186" customFormat="false" ht="15" hidden="false" customHeight="false" outlineLevel="0" collapsed="false">
      <c r="A6186" s="57" t="n">
        <v>43650</v>
      </c>
      <c r="B6186" s="56" t="n">
        <v>2019</v>
      </c>
      <c r="C6186" s="56" t="n">
        <v>7</v>
      </c>
      <c r="D6186" s="56" t="n">
        <v>65</v>
      </c>
      <c r="E6186" s="56" t="n">
        <v>27.6</v>
      </c>
      <c r="F6186" s="56" t="n">
        <v>0</v>
      </c>
      <c r="G6186" s="56" t="n">
        <v>12</v>
      </c>
      <c r="H6186" s="56" t="n">
        <v>0</v>
      </c>
      <c r="I6186" s="56" t="n">
        <v>19.4</v>
      </c>
      <c r="J6186" s="56" t="n">
        <v>0</v>
      </c>
      <c r="K6186" s="56" t="n">
        <v>1024.6</v>
      </c>
      <c r="L6186" s="56" t="n">
        <v>0</v>
      </c>
      <c r="M6186" s="56" t="n">
        <v>52</v>
      </c>
      <c r="N6186" s="56" t="n">
        <v>14.1</v>
      </c>
      <c r="O6186" s="56" t="n">
        <f aca="false">IF(D6186=1,"",E6185)</f>
        <v>26.7</v>
      </c>
      <c r="P6186" s="56" t="n">
        <f aca="false">IF(OR(D6186=1,K6185=""),"",K6185)</f>
        <v>1026.5</v>
      </c>
      <c r="Q6186" s="56" t="n">
        <f aca="false">IF(OR(F6186&lt;&gt;0,AND(I6186&lt;&gt;"",E6186&lt;I6186)),1,0)</f>
        <v>0</v>
      </c>
      <c r="R6186" s="56" t="n">
        <f aca="false">IF(AND(D6186&gt;1,Q6186=0,ISNUMBER(O6186),ISNUMBER(P6186)),IF(Q6185=0,1,0),0)</f>
        <v>1</v>
      </c>
      <c r="S6186" s="56" t="n">
        <f aca="false">R6186*(B6186&gt;=Train_Start)*(B6186&lt;=Train_End)</f>
        <v>0</v>
      </c>
      <c r="T6186" s="84" t="n">
        <f aca="false">IF(AND(ISNUMBER(O6186),ISNUMBER(P6186)),Coef_A+Coef_B1*O6186+Coef_B2*P6186,"")</f>
        <v>26.1645287180248</v>
      </c>
      <c r="U6186" s="84" t="n">
        <f aca="false">IF(AND(R6186=1,ISNUMBER(T6186)),E6186-T6186,"")</f>
        <v>1.43547128197524</v>
      </c>
      <c r="V6186" s="84" t="n">
        <f aca="false">IF(ISNUMBER(T6186),T6186,-99)</f>
        <v>26.1645287180248</v>
      </c>
      <c r="W6186" s="84" t="n">
        <f aca="false">IF(ISNUMBER(U6186),ABS(U6186),"")</f>
        <v>1.43547128197524</v>
      </c>
    </row>
    <row r="6187" customFormat="false" ht="15" hidden="false" customHeight="false" outlineLevel="0" collapsed="false">
      <c r="A6187" s="57" t="n">
        <v>43651</v>
      </c>
      <c r="B6187" s="56" t="n">
        <v>2019</v>
      </c>
      <c r="C6187" s="56" t="n">
        <v>7</v>
      </c>
      <c r="D6187" s="56" t="n">
        <v>66</v>
      </c>
      <c r="E6187" s="56" t="n">
        <v>23.6</v>
      </c>
      <c r="F6187" s="56" t="n">
        <v>0</v>
      </c>
      <c r="G6187" s="56" t="n">
        <v>15.7</v>
      </c>
      <c r="H6187" s="56" t="n">
        <v>0</v>
      </c>
      <c r="I6187" s="56" t="n">
        <v>21.6</v>
      </c>
      <c r="J6187" s="56" t="n">
        <v>0</v>
      </c>
      <c r="K6187" s="56" t="n">
        <v>1018.5</v>
      </c>
      <c r="L6187" s="56" t="n">
        <v>0</v>
      </c>
      <c r="M6187" s="56" t="n">
        <v>53</v>
      </c>
      <c r="N6187" s="56" t="n">
        <v>8.5</v>
      </c>
      <c r="O6187" s="56" t="n">
        <f aca="false">IF(D6187=1,"",E6186)</f>
        <v>27.6</v>
      </c>
      <c r="P6187" s="56" t="n">
        <f aca="false">IF(OR(D6187=1,K6186=""),"",K6186)</f>
        <v>1024.6</v>
      </c>
      <c r="Q6187" s="56" t="n">
        <f aca="false">IF(OR(F6187&lt;&gt;0,AND(I6187&lt;&gt;"",E6187&lt;I6187)),1,0)</f>
        <v>0</v>
      </c>
      <c r="R6187" s="56" t="n">
        <f aca="false">IF(AND(D6187&gt;1,Q6187=0,ISNUMBER(O6187),ISNUMBER(P6187)),IF(Q6186=0,1,0),0)</f>
        <v>1</v>
      </c>
      <c r="S6187" s="56" t="n">
        <f aca="false">R6187*(B6187&gt;=Train_Start)*(B6187&lt;=Train_End)</f>
        <v>0</v>
      </c>
      <c r="T6187" s="84" t="n">
        <f aca="false">IF(AND(ISNUMBER(O6187),ISNUMBER(P6187)),Coef_A+Coef_B1*O6187+Coef_B2*P6187,"")</f>
        <v>26.8423311919586</v>
      </c>
      <c r="U6187" s="84" t="n">
        <f aca="false">IF(AND(R6187=1,ISNUMBER(T6187)),E6187-T6187,"")</f>
        <v>-3.24233119195858</v>
      </c>
      <c r="V6187" s="84" t="n">
        <f aca="false">IF(ISNUMBER(T6187),T6187,-99)</f>
        <v>26.8423311919586</v>
      </c>
      <c r="W6187" s="84" t="n">
        <f aca="false">IF(ISNUMBER(U6187),ABS(U6187),"")</f>
        <v>3.24233119195858</v>
      </c>
    </row>
    <row r="6188" customFormat="false" ht="15" hidden="false" customHeight="false" outlineLevel="0" collapsed="false">
      <c r="A6188" s="57" t="n">
        <v>43652</v>
      </c>
      <c r="B6188" s="56" t="n">
        <v>2019</v>
      </c>
      <c r="C6188" s="56" t="n">
        <v>7</v>
      </c>
      <c r="D6188" s="56" t="n">
        <v>67</v>
      </c>
      <c r="E6188" s="56" t="n">
        <v>21.5</v>
      </c>
      <c r="F6188" s="56" t="n">
        <v>0</v>
      </c>
      <c r="G6188" s="56" t="n">
        <v>14.6</v>
      </c>
      <c r="H6188" s="56" t="n">
        <v>0</v>
      </c>
      <c r="I6188" s="56" t="n">
        <v>19.1</v>
      </c>
      <c r="J6188" s="56" t="n">
        <v>0</v>
      </c>
      <c r="K6188" s="56" t="n">
        <v>1013.7</v>
      </c>
      <c r="L6188" s="56" t="n">
        <v>0</v>
      </c>
      <c r="M6188" s="56" t="n">
        <v>64</v>
      </c>
      <c r="N6188" s="56" t="n">
        <v>4.7</v>
      </c>
      <c r="O6188" s="56" t="n">
        <f aca="false">IF(D6188=1,"",E6187)</f>
        <v>23.6</v>
      </c>
      <c r="P6188" s="56" t="n">
        <f aca="false">IF(OR(D6188=1,K6187=""),"",K6187)</f>
        <v>1018.5</v>
      </c>
      <c r="Q6188" s="56" t="n">
        <f aca="false">IF(OR(F6188&lt;&gt;0,AND(I6188&lt;&gt;"",E6188&lt;I6188)),1,0)</f>
        <v>0</v>
      </c>
      <c r="R6188" s="56" t="n">
        <f aca="false">IF(AND(D6188&gt;1,Q6188=0,ISNUMBER(O6188),ISNUMBER(P6188)),IF(Q6187=0,1,0),0)</f>
        <v>1</v>
      </c>
      <c r="S6188" s="56" t="n">
        <f aca="false">R6188*(B6188&gt;=Train_Start)*(B6188&lt;=Train_End)</f>
        <v>0</v>
      </c>
      <c r="T6188" s="84" t="n">
        <f aca="false">IF(AND(ISNUMBER(O6188),ISNUMBER(P6188)),Coef_A+Coef_B1*O6188+Coef_B2*P6188,"")</f>
        <v>23.3736180625206</v>
      </c>
      <c r="U6188" s="84" t="n">
        <f aca="false">IF(AND(R6188=1,ISNUMBER(T6188)),E6188-T6188,"")</f>
        <v>-1.87361806252062</v>
      </c>
      <c r="V6188" s="84" t="n">
        <f aca="false">IF(ISNUMBER(T6188),T6188,-99)</f>
        <v>23.3736180625206</v>
      </c>
      <c r="W6188" s="84" t="n">
        <f aca="false">IF(ISNUMBER(U6188),ABS(U6188),"")</f>
        <v>1.87361806252062</v>
      </c>
    </row>
    <row r="6189" customFormat="false" ht="15" hidden="false" customHeight="false" outlineLevel="0" collapsed="false">
      <c r="A6189" s="57" t="n">
        <v>43653</v>
      </c>
      <c r="B6189" s="56" t="n">
        <v>2019</v>
      </c>
      <c r="C6189" s="56" t="n">
        <v>7</v>
      </c>
      <c r="D6189" s="56" t="n">
        <v>68</v>
      </c>
      <c r="E6189" s="56" t="n">
        <v>23.9</v>
      </c>
      <c r="F6189" s="56" t="n">
        <v>0</v>
      </c>
      <c r="G6189" s="56" t="n">
        <v>14.1</v>
      </c>
      <c r="H6189" s="56" t="n">
        <v>0</v>
      </c>
      <c r="I6189" s="56" t="n">
        <v>17.8</v>
      </c>
      <c r="J6189" s="56" t="n">
        <v>0</v>
      </c>
      <c r="K6189" s="56" t="n">
        <v>1016.7</v>
      </c>
      <c r="L6189" s="56" t="n">
        <v>0</v>
      </c>
      <c r="M6189" s="56" t="n">
        <v>79</v>
      </c>
      <c r="N6189" s="56" t="n">
        <v>3</v>
      </c>
      <c r="O6189" s="56" t="n">
        <f aca="false">IF(D6189=1,"",E6188)</f>
        <v>21.5</v>
      </c>
      <c r="P6189" s="56" t="n">
        <f aca="false">IF(OR(D6189=1,K6188=""),"",K6188)</f>
        <v>1013.7</v>
      </c>
      <c r="Q6189" s="56" t="n">
        <f aca="false">IF(OR(F6189&lt;&gt;0,AND(I6189&lt;&gt;"",E6189&lt;I6189)),1,0)</f>
        <v>0</v>
      </c>
      <c r="R6189" s="56" t="n">
        <f aca="false">IF(AND(D6189&gt;1,Q6189=0,ISNUMBER(O6189),ISNUMBER(P6189)),IF(Q6188=0,1,0),0)</f>
        <v>1</v>
      </c>
      <c r="S6189" s="56" t="n">
        <f aca="false">R6189*(B6189&gt;=Train_Start)*(B6189&lt;=Train_End)</f>
        <v>0</v>
      </c>
      <c r="T6189" s="84" t="n">
        <f aca="false">IF(AND(ISNUMBER(O6189),ISNUMBER(P6189)),Coef_A+Coef_B1*O6189+Coef_B2*P6189,"")</f>
        <v>21.5024302628879</v>
      </c>
      <c r="U6189" s="84" t="n">
        <f aca="false">IF(AND(R6189=1,ISNUMBER(T6189)),E6189-T6189,"")</f>
        <v>2.39756973711211</v>
      </c>
      <c r="V6189" s="84" t="n">
        <f aca="false">IF(ISNUMBER(T6189),T6189,-99)</f>
        <v>21.5024302628879</v>
      </c>
      <c r="W6189" s="84" t="n">
        <f aca="false">IF(ISNUMBER(U6189),ABS(U6189),"")</f>
        <v>2.39756973711211</v>
      </c>
    </row>
    <row r="6190" customFormat="false" ht="15" hidden="false" customHeight="false" outlineLevel="0" collapsed="false">
      <c r="A6190" s="57" t="n">
        <v>43654</v>
      </c>
      <c r="B6190" s="56" t="n">
        <v>2019</v>
      </c>
      <c r="C6190" s="56" t="n">
        <v>7</v>
      </c>
      <c r="D6190" s="56" t="n">
        <v>69</v>
      </c>
      <c r="E6190" s="56" t="n">
        <v>25.8</v>
      </c>
      <c r="F6190" s="56" t="n">
        <v>0</v>
      </c>
      <c r="G6190" s="56" t="n">
        <v>12.5</v>
      </c>
      <c r="H6190" s="56" t="n">
        <v>0</v>
      </c>
      <c r="I6190" s="56" t="n">
        <v>18.2</v>
      </c>
      <c r="J6190" s="56" t="n">
        <v>0</v>
      </c>
      <c r="K6190" s="56" t="n">
        <v>1020.7</v>
      </c>
      <c r="L6190" s="56" t="n">
        <v>0</v>
      </c>
      <c r="M6190" s="56" t="n">
        <v>58</v>
      </c>
      <c r="N6190" s="56" t="n">
        <v>4.8</v>
      </c>
      <c r="O6190" s="56" t="n">
        <f aca="false">IF(D6190=1,"",E6189)</f>
        <v>23.9</v>
      </c>
      <c r="P6190" s="56" t="n">
        <f aca="false">IF(OR(D6190=1,K6189=""),"",K6189)</f>
        <v>1016.7</v>
      </c>
      <c r="Q6190" s="56" t="n">
        <f aca="false">IF(OR(F6190&lt;&gt;0,AND(I6190&lt;&gt;"",E6190&lt;I6190)),1,0)</f>
        <v>0</v>
      </c>
      <c r="R6190" s="56" t="n">
        <f aca="false">IF(AND(D6190&gt;1,Q6190=0,ISNUMBER(O6190),ISNUMBER(P6190)),IF(Q6189=0,1,0),0)</f>
        <v>1</v>
      </c>
      <c r="S6190" s="56" t="n">
        <f aca="false">R6190*(B6190&gt;=Train_Start)*(B6190&lt;=Train_End)</f>
        <v>0</v>
      </c>
      <c r="T6190" s="84" t="n">
        <f aca="false">IF(AND(ISNUMBER(O6190),ISNUMBER(P6190)),Coef_A+Coef_B1*O6190+Coef_B2*P6190,"")</f>
        <v>23.5629540100922</v>
      </c>
      <c r="U6190" s="84" t="n">
        <f aca="false">IF(AND(R6190=1,ISNUMBER(T6190)),E6190-T6190,"")</f>
        <v>2.23704598990777</v>
      </c>
      <c r="V6190" s="84" t="n">
        <f aca="false">IF(ISNUMBER(T6190),T6190,-99)</f>
        <v>23.5629540100922</v>
      </c>
      <c r="W6190" s="84" t="n">
        <f aca="false">IF(ISNUMBER(U6190),ABS(U6190),"")</f>
        <v>2.23704598990777</v>
      </c>
    </row>
    <row r="6191" customFormat="false" ht="15" hidden="false" customHeight="false" outlineLevel="0" collapsed="false">
      <c r="A6191" s="57" t="n">
        <v>43655</v>
      </c>
      <c r="B6191" s="56" t="n">
        <v>2019</v>
      </c>
      <c r="C6191" s="56" t="n">
        <v>7</v>
      </c>
      <c r="D6191" s="56" t="n">
        <v>70</v>
      </c>
      <c r="E6191" s="56" t="n">
        <v>26.7</v>
      </c>
      <c r="F6191" s="56" t="n">
        <v>0</v>
      </c>
      <c r="G6191" s="56" t="n">
        <v>15.3</v>
      </c>
      <c r="H6191" s="56" t="n">
        <v>0</v>
      </c>
      <c r="I6191" s="56" t="n">
        <v>20.6</v>
      </c>
      <c r="J6191" s="56" t="n">
        <v>0</v>
      </c>
      <c r="K6191" s="56" t="n">
        <v>1020.9</v>
      </c>
      <c r="L6191" s="56" t="n">
        <v>0</v>
      </c>
      <c r="M6191" s="56" t="n">
        <v>59</v>
      </c>
      <c r="N6191" s="56" t="n">
        <v>1.8</v>
      </c>
      <c r="O6191" s="56" t="n">
        <f aca="false">IF(D6191=1,"",E6190)</f>
        <v>25.8</v>
      </c>
      <c r="P6191" s="56" t="n">
        <f aca="false">IF(OR(D6191=1,K6190=""),"",K6190)</f>
        <v>1020.7</v>
      </c>
      <c r="Q6191" s="56" t="n">
        <f aca="false">IF(OR(F6191&lt;&gt;0,AND(I6191&lt;&gt;"",E6191&lt;I6191)),1,0)</f>
        <v>0</v>
      </c>
      <c r="R6191" s="56" t="n">
        <f aca="false">IF(AND(D6191&gt;1,Q6191=0,ISNUMBER(O6191),ISNUMBER(P6191)),IF(Q6190=0,1,0),0)</f>
        <v>1</v>
      </c>
      <c r="S6191" s="56" t="n">
        <f aca="false">R6191*(B6191&gt;=Train_Start)*(B6191&lt;=Train_End)</f>
        <v>0</v>
      </c>
      <c r="T6191" s="84" t="n">
        <f aca="false">IF(AND(ISNUMBER(O6191),ISNUMBER(P6191)),Coef_A+Coef_B1*O6191+Coef_B2*P6191,"")</f>
        <v>25.2451780554092</v>
      </c>
      <c r="U6191" s="84" t="n">
        <f aca="false">IF(AND(R6191=1,ISNUMBER(T6191)),E6191-T6191,"")</f>
        <v>1.45482194459076</v>
      </c>
      <c r="V6191" s="84" t="n">
        <f aca="false">IF(ISNUMBER(T6191),T6191,-99)</f>
        <v>25.2451780554092</v>
      </c>
      <c r="W6191" s="84" t="n">
        <f aca="false">IF(ISNUMBER(U6191),ABS(U6191),"")</f>
        <v>1.45482194459076</v>
      </c>
    </row>
    <row r="6192" customFormat="false" ht="15" hidden="false" customHeight="false" outlineLevel="0" collapsed="false">
      <c r="A6192" s="57" t="n">
        <v>43656</v>
      </c>
      <c r="B6192" s="56" t="n">
        <v>2019</v>
      </c>
      <c r="C6192" s="56" t="n">
        <v>7</v>
      </c>
      <c r="D6192" s="56" t="n">
        <v>71</v>
      </c>
      <c r="E6192" s="56" t="n">
        <v>27.3</v>
      </c>
      <c r="F6192" s="56" t="n">
        <v>0</v>
      </c>
      <c r="G6192" s="56" t="n">
        <v>16.7</v>
      </c>
      <c r="H6192" s="56" t="n">
        <v>0</v>
      </c>
      <c r="I6192" s="56" t="n">
        <v>21.7</v>
      </c>
      <c r="J6192" s="56" t="n">
        <v>0</v>
      </c>
      <c r="K6192" s="56" t="n">
        <v>1018</v>
      </c>
      <c r="L6192" s="56" t="n">
        <v>0</v>
      </c>
      <c r="M6192" s="56" t="n">
        <v>60</v>
      </c>
      <c r="N6192" s="56" t="n">
        <v>3.1</v>
      </c>
      <c r="O6192" s="56" t="n">
        <f aca="false">IF(D6192=1,"",E6191)</f>
        <v>26.7</v>
      </c>
      <c r="P6192" s="56" t="n">
        <f aca="false">IF(OR(D6192=1,K6191=""),"",K6191)</f>
        <v>1020.9</v>
      </c>
      <c r="Q6192" s="56" t="n">
        <f aca="false">IF(OR(F6192&lt;&gt;0,AND(I6192&lt;&gt;"",E6192&lt;I6192)),1,0)</f>
        <v>0</v>
      </c>
      <c r="R6192" s="56" t="n">
        <f aca="false">IF(AND(D6192&gt;1,Q6192=0,ISNUMBER(O6192),ISNUMBER(P6192)),IF(Q6191=0,1,0),0)</f>
        <v>1</v>
      </c>
      <c r="S6192" s="56" t="n">
        <f aca="false">R6192*(B6192&gt;=Train_Start)*(B6192&lt;=Train_End)</f>
        <v>0</v>
      </c>
      <c r="T6192" s="84" t="n">
        <f aca="false">IF(AND(ISNUMBER(O6192),ISNUMBER(P6192)),Coef_A+Coef_B1*O6192+Coef_B2*P6192,"")</f>
        <v>25.9888573080744</v>
      </c>
      <c r="U6192" s="84" t="n">
        <f aca="false">IF(AND(R6192=1,ISNUMBER(T6192)),E6192-T6192,"")</f>
        <v>1.31114269192558</v>
      </c>
      <c r="V6192" s="84" t="n">
        <f aca="false">IF(ISNUMBER(T6192),T6192,-99)</f>
        <v>25.9888573080744</v>
      </c>
      <c r="W6192" s="84" t="n">
        <f aca="false">IF(ISNUMBER(U6192),ABS(U6192),"")</f>
        <v>1.31114269192558</v>
      </c>
    </row>
    <row r="6193" customFormat="false" ht="15" hidden="false" customHeight="false" outlineLevel="0" collapsed="false">
      <c r="A6193" s="57" t="n">
        <v>43657</v>
      </c>
      <c r="B6193" s="56" t="n">
        <v>2019</v>
      </c>
      <c r="C6193" s="56" t="n">
        <v>7</v>
      </c>
      <c r="D6193" s="56" t="n">
        <v>72</v>
      </c>
      <c r="E6193" s="56" t="n">
        <v>25.5</v>
      </c>
      <c r="F6193" s="56" t="n">
        <v>0</v>
      </c>
      <c r="G6193" s="56" t="n">
        <v>16.3</v>
      </c>
      <c r="H6193" s="56" t="n">
        <v>0</v>
      </c>
      <c r="I6193" s="56" t="n">
        <v>21.8</v>
      </c>
      <c r="J6193" s="56" t="n">
        <v>0</v>
      </c>
      <c r="K6193" s="56" t="n">
        <v>1012.9</v>
      </c>
      <c r="L6193" s="56" t="n">
        <v>0</v>
      </c>
      <c r="M6193" s="56" t="n">
        <v>57</v>
      </c>
      <c r="N6193" s="56" t="n">
        <v>7.9</v>
      </c>
      <c r="O6193" s="56" t="n">
        <f aca="false">IF(D6193=1,"",E6192)</f>
        <v>27.3</v>
      </c>
      <c r="P6193" s="56" t="n">
        <f aca="false">IF(OR(D6193=1,K6192=""),"",K6192)</f>
        <v>1018</v>
      </c>
      <c r="Q6193" s="56" t="n">
        <f aca="false">IF(OR(F6193&lt;&gt;0,AND(I6193&lt;&gt;"",E6193&lt;I6193)),1,0)</f>
        <v>0</v>
      </c>
      <c r="R6193" s="56" t="n">
        <f aca="false">IF(AND(D6193&gt;1,Q6193=0,ISNUMBER(O6193),ISNUMBER(P6193)),IF(Q6192=0,1,0),0)</f>
        <v>1</v>
      </c>
      <c r="S6193" s="56" t="n">
        <f aca="false">R6193*(B6193&gt;=Train_Start)*(B6193&lt;=Train_End)</f>
        <v>0</v>
      </c>
      <c r="T6193" s="84" t="n">
        <f aca="false">IF(AND(ISNUMBER(O6193),ISNUMBER(P6193)),Coef_A+Coef_B1*O6193+Coef_B2*P6193,"")</f>
        <v>26.3894881294615</v>
      </c>
      <c r="U6193" s="84" t="n">
        <f aca="false">IF(AND(R6193=1,ISNUMBER(T6193)),E6193-T6193,"")</f>
        <v>-0.889488129461451</v>
      </c>
      <c r="V6193" s="84" t="n">
        <f aca="false">IF(ISNUMBER(T6193),T6193,-99)</f>
        <v>26.3894881294615</v>
      </c>
      <c r="W6193" s="84" t="n">
        <f aca="false">IF(ISNUMBER(U6193),ABS(U6193),"")</f>
        <v>0.889488129461451</v>
      </c>
    </row>
    <row r="6194" customFormat="false" ht="15" hidden="false" customHeight="false" outlineLevel="0" collapsed="false">
      <c r="A6194" s="57" t="n">
        <v>43658</v>
      </c>
      <c r="B6194" s="56" t="n">
        <v>2019</v>
      </c>
      <c r="C6194" s="56" t="n">
        <v>7</v>
      </c>
      <c r="D6194" s="56" t="n">
        <v>73</v>
      </c>
      <c r="E6194" s="56" t="n">
        <v>23.7</v>
      </c>
      <c r="F6194" s="56" t="n">
        <v>0</v>
      </c>
      <c r="G6194" s="56" t="n">
        <v>17.1</v>
      </c>
      <c r="H6194" s="56" t="n">
        <v>0</v>
      </c>
      <c r="I6194" s="56" t="n">
        <v>21.3</v>
      </c>
      <c r="J6194" s="56" t="n">
        <v>0</v>
      </c>
      <c r="K6194" s="56" t="n">
        <v>1015.1</v>
      </c>
      <c r="L6194" s="56" t="n">
        <v>0</v>
      </c>
      <c r="M6194" s="56" t="n">
        <v>60</v>
      </c>
      <c r="N6194" s="56" t="n">
        <v>9.2</v>
      </c>
      <c r="O6194" s="56" t="n">
        <f aca="false">IF(D6194=1,"",E6193)</f>
        <v>25.5</v>
      </c>
      <c r="P6194" s="56" t="n">
        <f aca="false">IF(OR(D6194=1,K6193=""),"",K6193)</f>
        <v>1012.9</v>
      </c>
      <c r="Q6194" s="56" t="n">
        <f aca="false">IF(OR(F6194&lt;&gt;0,AND(I6194&lt;&gt;"",E6194&lt;I6194)),1,0)</f>
        <v>0</v>
      </c>
      <c r="R6194" s="56" t="n">
        <f aca="false">IF(AND(D6194&gt;1,Q6194=0,ISNUMBER(O6194),ISNUMBER(P6194)),IF(Q6193=0,1,0),0)</f>
        <v>1</v>
      </c>
      <c r="S6194" s="56" t="n">
        <f aca="false">R6194*(B6194&gt;=Train_Start)*(B6194&lt;=Train_End)</f>
        <v>0</v>
      </c>
      <c r="T6194" s="84" t="n">
        <f aca="false">IF(AND(ISNUMBER(O6194),ISNUMBER(P6194)),Coef_A+Coef_B1*O6194+Coef_B2*P6194,"")</f>
        <v>24.7546911193513</v>
      </c>
      <c r="U6194" s="84" t="n">
        <f aca="false">IF(AND(R6194=1,ISNUMBER(T6194)),E6194-T6194,"")</f>
        <v>-1.05469111935132</v>
      </c>
      <c r="V6194" s="84" t="n">
        <f aca="false">IF(ISNUMBER(T6194),T6194,-99)</f>
        <v>24.7546911193513</v>
      </c>
      <c r="W6194" s="84" t="n">
        <f aca="false">IF(ISNUMBER(U6194),ABS(U6194),"")</f>
        <v>1.05469111935132</v>
      </c>
    </row>
    <row r="6195" customFormat="false" ht="15" hidden="false" customHeight="false" outlineLevel="0" collapsed="false">
      <c r="A6195" s="57" t="n">
        <v>43659</v>
      </c>
      <c r="B6195" s="56" t="n">
        <v>2019</v>
      </c>
      <c r="C6195" s="56" t="n">
        <v>7</v>
      </c>
      <c r="D6195" s="56" t="n">
        <v>74</v>
      </c>
      <c r="E6195" s="56" t="n">
        <v>21.9</v>
      </c>
      <c r="F6195" s="56" t="n">
        <v>0</v>
      </c>
      <c r="G6195" s="56" t="n">
        <v>14.5</v>
      </c>
      <c r="H6195" s="56" t="n">
        <v>0</v>
      </c>
      <c r="I6195" s="56" t="n">
        <v>19.1</v>
      </c>
      <c r="J6195" s="56" t="n">
        <v>0</v>
      </c>
      <c r="K6195" s="56" t="n">
        <v>1021.6</v>
      </c>
      <c r="L6195" s="56" t="n">
        <v>0</v>
      </c>
      <c r="M6195" s="56" t="n">
        <v>64</v>
      </c>
      <c r="N6195" s="56" t="n">
        <v>5</v>
      </c>
      <c r="O6195" s="56" t="n">
        <f aca="false">IF(D6195=1,"",E6194)</f>
        <v>23.7</v>
      </c>
      <c r="P6195" s="56" t="n">
        <f aca="false">IF(OR(D6195=1,K6194=""),"",K6194)</f>
        <v>1015.1</v>
      </c>
      <c r="Q6195" s="56" t="n">
        <f aca="false">IF(OR(F6195&lt;&gt;0,AND(I6195&lt;&gt;"",E6195&lt;I6195)),1,0)</f>
        <v>0</v>
      </c>
      <c r="R6195" s="56" t="n">
        <f aca="false">IF(AND(D6195&gt;1,Q6195=0,ISNUMBER(O6195),ISNUMBER(P6195)),IF(Q6194=0,1,0),0)</f>
        <v>1</v>
      </c>
      <c r="S6195" s="56" t="n">
        <f aca="false">R6195*(B6195&gt;=Train_Start)*(B6195&lt;=Train_End)</f>
        <v>0</v>
      </c>
      <c r="T6195" s="84" t="n">
        <f aca="false">IF(AND(ISNUMBER(O6195),ISNUMBER(P6195)),Coef_A+Coef_B1*O6195+Coef_B2*P6195,"")</f>
        <v>23.3488943400693</v>
      </c>
      <c r="U6195" s="84" t="n">
        <f aca="false">IF(AND(R6195=1,ISNUMBER(T6195)),E6195-T6195,"")</f>
        <v>-1.44889434006932</v>
      </c>
      <c r="V6195" s="84" t="n">
        <f aca="false">IF(ISNUMBER(T6195),T6195,-99)</f>
        <v>23.3488943400693</v>
      </c>
      <c r="W6195" s="84" t="n">
        <f aca="false">IF(ISNUMBER(U6195),ABS(U6195),"")</f>
        <v>1.44889434006932</v>
      </c>
    </row>
    <row r="6196" customFormat="false" ht="15" hidden="false" customHeight="false" outlineLevel="0" collapsed="false">
      <c r="A6196" s="57" t="n">
        <v>43660</v>
      </c>
      <c r="B6196" s="56" t="n">
        <v>2019</v>
      </c>
      <c r="C6196" s="56" t="n">
        <v>7</v>
      </c>
      <c r="D6196" s="56" t="n">
        <v>75</v>
      </c>
      <c r="E6196" s="56" t="n">
        <v>22.9</v>
      </c>
      <c r="F6196" s="56" t="n">
        <v>0</v>
      </c>
      <c r="G6196" s="56" t="n">
        <v>14.1</v>
      </c>
      <c r="H6196" s="56" t="n">
        <v>0</v>
      </c>
      <c r="I6196" s="56" t="n">
        <v>18</v>
      </c>
      <c r="J6196" s="56" t="n">
        <v>0</v>
      </c>
      <c r="K6196" s="56" t="n">
        <v>1023.2</v>
      </c>
      <c r="L6196" s="56" t="n">
        <v>0</v>
      </c>
      <c r="M6196" s="56" t="n">
        <v>71</v>
      </c>
      <c r="N6196" s="56" t="n">
        <v>2.5</v>
      </c>
      <c r="O6196" s="56" t="n">
        <f aca="false">IF(D6196=1,"",E6195)</f>
        <v>21.9</v>
      </c>
      <c r="P6196" s="56" t="n">
        <f aca="false">IF(OR(D6196=1,K6195=""),"",K6195)</f>
        <v>1021.6</v>
      </c>
      <c r="Q6196" s="56" t="n">
        <f aca="false">IF(OR(F6196&lt;&gt;0,AND(I6196&lt;&gt;"",E6196&lt;I6196)),1,0)</f>
        <v>0</v>
      </c>
      <c r="R6196" s="56" t="n">
        <f aca="false">IF(AND(D6196&gt;1,Q6196=0,ISNUMBER(O6196),ISNUMBER(P6196)),IF(Q6195=0,1,0),0)</f>
        <v>1</v>
      </c>
      <c r="S6196" s="56" t="n">
        <f aca="false">R6196*(B6196&gt;=Train_Start)*(B6196&lt;=Train_End)</f>
        <v>0</v>
      </c>
      <c r="T6196" s="84" t="n">
        <f aca="false">IF(AND(ISNUMBER(O6196),ISNUMBER(P6196)),Coef_A+Coef_B1*O6196+Coef_B2*P6196,"")</f>
        <v>22.0779881077135</v>
      </c>
      <c r="U6196" s="84" t="n">
        <f aca="false">IF(AND(R6196=1,ISNUMBER(T6196)),E6196-T6196,"")</f>
        <v>0.822011892286533</v>
      </c>
      <c r="V6196" s="84" t="n">
        <f aca="false">IF(ISNUMBER(T6196),T6196,-99)</f>
        <v>22.0779881077135</v>
      </c>
      <c r="W6196" s="84" t="n">
        <f aca="false">IF(ISNUMBER(U6196),ABS(U6196),"")</f>
        <v>0.822011892286533</v>
      </c>
    </row>
    <row r="6197" customFormat="false" ht="15" hidden="false" customHeight="false" outlineLevel="0" collapsed="false">
      <c r="A6197" s="57" t="n">
        <v>43661</v>
      </c>
      <c r="B6197" s="56" t="n">
        <v>2019</v>
      </c>
      <c r="C6197" s="56" t="n">
        <v>7</v>
      </c>
      <c r="D6197" s="56" t="n">
        <v>76</v>
      </c>
      <c r="E6197" s="56" t="n">
        <v>27.3</v>
      </c>
      <c r="F6197" s="56" t="n">
        <v>0</v>
      </c>
      <c r="G6197" s="56" t="n">
        <v>11.8</v>
      </c>
      <c r="H6197" s="56" t="n">
        <v>0</v>
      </c>
      <c r="I6197" s="56" t="n">
        <v>17.4</v>
      </c>
      <c r="J6197" s="56" t="n">
        <v>0</v>
      </c>
      <c r="K6197" s="56" t="n">
        <v>1022.6</v>
      </c>
      <c r="L6197" s="56" t="n">
        <v>0</v>
      </c>
      <c r="M6197" s="56" t="n">
        <v>64</v>
      </c>
      <c r="N6197" s="56" t="n">
        <v>6.1</v>
      </c>
      <c r="O6197" s="56" t="n">
        <f aca="false">IF(D6197=1,"",E6196)</f>
        <v>22.9</v>
      </c>
      <c r="P6197" s="56" t="n">
        <f aca="false">IF(OR(D6197=1,K6196=""),"",K6196)</f>
        <v>1023.2</v>
      </c>
      <c r="Q6197" s="56" t="n">
        <f aca="false">IF(OR(F6197&lt;&gt;0,AND(I6197&lt;&gt;"",E6197&lt;I6197)),1,0)</f>
        <v>0</v>
      </c>
      <c r="R6197" s="56" t="n">
        <f aca="false">IF(AND(D6197&gt;1,Q6197=0,ISNUMBER(O6197),ISNUMBER(P6197)),IF(Q6196=0,1,0),0)</f>
        <v>1</v>
      </c>
      <c r="S6197" s="56" t="n">
        <f aca="false">R6197*(B6197&gt;=Train_Start)*(B6197&lt;=Train_End)</f>
        <v>0</v>
      </c>
      <c r="T6197" s="84" t="n">
        <f aca="false">IF(AND(ISNUMBER(O6197),ISNUMBER(P6197)),Coef_A+Coef_B1*O6197+Coef_B2*P6197,"")</f>
        <v>22.9475191321705</v>
      </c>
      <c r="U6197" s="84" t="n">
        <f aca="false">IF(AND(R6197=1,ISNUMBER(T6197)),E6197-T6197,"")</f>
        <v>4.3524808678295</v>
      </c>
      <c r="V6197" s="84" t="n">
        <f aca="false">IF(ISNUMBER(T6197),T6197,-99)</f>
        <v>22.9475191321705</v>
      </c>
      <c r="W6197" s="84" t="n">
        <f aca="false">IF(ISNUMBER(U6197),ABS(U6197),"")</f>
        <v>4.3524808678295</v>
      </c>
    </row>
    <row r="6198" customFormat="false" ht="15" hidden="false" customHeight="false" outlineLevel="0" collapsed="false">
      <c r="A6198" s="57" t="n">
        <v>43662</v>
      </c>
      <c r="B6198" s="56" t="n">
        <v>2019</v>
      </c>
      <c r="C6198" s="56" t="n">
        <v>7</v>
      </c>
      <c r="D6198" s="56" t="n">
        <v>77</v>
      </c>
      <c r="E6198" s="56" t="n">
        <v>26.4</v>
      </c>
      <c r="F6198" s="56" t="n">
        <v>0</v>
      </c>
      <c r="G6198" s="56" t="n">
        <v>11.7</v>
      </c>
      <c r="H6198" s="56" t="n">
        <v>0</v>
      </c>
      <c r="I6198" s="56" t="n">
        <v>19.5</v>
      </c>
      <c r="J6198" s="56" t="n">
        <v>0</v>
      </c>
      <c r="K6198" s="56" t="n">
        <v>1019.1</v>
      </c>
      <c r="L6198" s="56" t="n">
        <v>0</v>
      </c>
      <c r="M6198" s="56" t="n">
        <v>58</v>
      </c>
      <c r="N6198" s="56" t="n">
        <v>13.1</v>
      </c>
      <c r="O6198" s="56" t="n">
        <f aca="false">IF(D6198=1,"",E6197)</f>
        <v>27.3</v>
      </c>
      <c r="P6198" s="56" t="n">
        <f aca="false">IF(OR(D6198=1,K6197=""),"",K6197)</f>
        <v>1022.6</v>
      </c>
      <c r="Q6198" s="56" t="n">
        <f aca="false">IF(OR(F6198&lt;&gt;0,AND(I6198&lt;&gt;"",E6198&lt;I6198)),1,0)</f>
        <v>0</v>
      </c>
      <c r="R6198" s="56" t="n">
        <f aca="false">IF(AND(D6198&gt;1,Q6198=0,ISNUMBER(O6198),ISNUMBER(P6198)),IF(Q6197=0,1,0),0)</f>
        <v>1</v>
      </c>
      <c r="S6198" s="56" t="n">
        <f aca="false">R6198*(B6198&gt;=Train_Start)*(B6198&lt;=Train_End)</f>
        <v>0</v>
      </c>
      <c r="T6198" s="84" t="n">
        <f aca="false">IF(AND(ISNUMBER(O6198),ISNUMBER(P6198)),Coef_A+Coef_B1*O6198+Coef_B2*P6198,"")</f>
        <v>26.5337896447778</v>
      </c>
      <c r="U6198" s="84" t="n">
        <f aca="false">IF(AND(R6198=1,ISNUMBER(T6198)),E6198-T6198,"")</f>
        <v>-0.133789644777806</v>
      </c>
      <c r="V6198" s="84" t="n">
        <f aca="false">IF(ISNUMBER(T6198),T6198,-99)</f>
        <v>26.5337896447778</v>
      </c>
      <c r="W6198" s="84" t="n">
        <f aca="false">IF(ISNUMBER(U6198),ABS(U6198),"")</f>
        <v>0.133789644777806</v>
      </c>
    </row>
    <row r="6199" customFormat="false" ht="15" hidden="false" customHeight="false" outlineLevel="0" collapsed="false">
      <c r="A6199" s="57" t="n">
        <v>43663</v>
      </c>
      <c r="B6199" s="56" t="n">
        <v>2019</v>
      </c>
      <c r="C6199" s="56" t="n">
        <v>7</v>
      </c>
      <c r="D6199" s="56" t="n">
        <v>78</v>
      </c>
      <c r="E6199" s="56" t="n">
        <v>24.8</v>
      </c>
      <c r="F6199" s="56" t="n">
        <v>0</v>
      </c>
      <c r="G6199" s="56" t="n">
        <v>13.5</v>
      </c>
      <c r="H6199" s="56" t="n">
        <v>0</v>
      </c>
      <c r="I6199" s="56" t="n">
        <v>19.9</v>
      </c>
      <c r="J6199" s="56" t="n">
        <v>0</v>
      </c>
      <c r="K6199" s="56" t="n">
        <v>1014.1</v>
      </c>
      <c r="L6199" s="56" t="n">
        <v>0</v>
      </c>
      <c r="M6199" s="56" t="n">
        <v>59</v>
      </c>
      <c r="N6199" s="56" t="n">
        <v>6.6</v>
      </c>
      <c r="O6199" s="56" t="n">
        <f aca="false">IF(D6199=1,"",E6198)</f>
        <v>26.4</v>
      </c>
      <c r="P6199" s="56" t="n">
        <f aca="false">IF(OR(D6199=1,K6198=""),"",K6198)</f>
        <v>1019.1</v>
      </c>
      <c r="Q6199" s="56" t="n">
        <f aca="false">IF(OR(F6199&lt;&gt;0,AND(I6199&lt;&gt;"",E6199&lt;I6199)),1,0)</f>
        <v>0</v>
      </c>
      <c r="R6199" s="56" t="n">
        <f aca="false">IF(AND(D6199&gt;1,Q6199=0,ISNUMBER(O6199),ISNUMBER(P6199)),IF(Q6198=0,1,0),0)</f>
        <v>1</v>
      </c>
      <c r="S6199" s="56" t="n">
        <f aca="false">R6199*(B6199&gt;=Train_Start)*(B6199&lt;=Train_End)</f>
        <v>0</v>
      </c>
      <c r="T6199" s="84" t="n">
        <f aca="false">IF(AND(ISNUMBER(O6199),ISNUMBER(P6199)),Coef_A+Coef_B1*O6199+Coef_B2*P6199,"")</f>
        <v>25.6865897398204</v>
      </c>
      <c r="U6199" s="84" t="n">
        <f aca="false">IF(AND(R6199=1,ISNUMBER(T6199)),E6199-T6199,"")</f>
        <v>-0.886589739820444</v>
      </c>
      <c r="V6199" s="84" t="n">
        <f aca="false">IF(ISNUMBER(T6199),T6199,-99)</f>
        <v>25.6865897398204</v>
      </c>
      <c r="W6199" s="84" t="n">
        <f aca="false">IF(ISNUMBER(U6199),ABS(U6199),"")</f>
        <v>0.886589739820444</v>
      </c>
    </row>
    <row r="6200" customFormat="false" ht="15" hidden="false" customHeight="false" outlineLevel="0" collapsed="false">
      <c r="A6200" s="57" t="n">
        <v>43664</v>
      </c>
      <c r="B6200" s="56" t="n">
        <v>2019</v>
      </c>
      <c r="C6200" s="56" t="n">
        <v>7</v>
      </c>
      <c r="D6200" s="56" t="n">
        <v>79</v>
      </c>
      <c r="E6200" s="56" t="n">
        <v>19.9</v>
      </c>
      <c r="F6200" s="56" t="n">
        <v>1</v>
      </c>
      <c r="G6200" s="56" t="n">
        <v>15.6</v>
      </c>
      <c r="H6200" s="56" t="n">
        <v>0</v>
      </c>
      <c r="I6200" s="56" t="n">
        <v>20.2</v>
      </c>
      <c r="J6200" s="56" t="n">
        <v>1</v>
      </c>
      <c r="K6200" s="56" t="n">
        <v>1010.5</v>
      </c>
      <c r="L6200" s="56" t="n">
        <v>0</v>
      </c>
      <c r="M6200" s="56" t="n">
        <v>69</v>
      </c>
      <c r="N6200" s="56" t="n">
        <v>2.5</v>
      </c>
      <c r="O6200" s="56" t="n">
        <f aca="false">IF(D6200=1,"",E6199)</f>
        <v>24.8</v>
      </c>
      <c r="P6200" s="56" t="n">
        <f aca="false">IF(OR(D6200=1,K6199=""),"",K6199)</f>
        <v>1014.1</v>
      </c>
      <c r="Q6200" s="56" t="n">
        <f aca="false">IF(OR(F6200&lt;&gt;0,AND(I6200&lt;&gt;"",E6200&lt;I6200)),1,0)</f>
        <v>1</v>
      </c>
      <c r="R6200" s="56" t="n">
        <f aca="false">IF(AND(D6200&gt;1,Q6200=0,ISNUMBER(O6200),ISNUMBER(P6200)),IF(Q6199=0,1,0),0)</f>
        <v>0</v>
      </c>
      <c r="S6200" s="56" t="n">
        <f aca="false">R6200*(B6200&gt;=Train_Start)*(B6200&lt;=Train_End)</f>
        <v>0</v>
      </c>
      <c r="T6200" s="84" t="n">
        <f aca="false">IF(AND(ISNUMBER(O6200),ISNUMBER(P6200)),Coef_A+Coef_B1*O6200+Coef_B2*P6200,"")</f>
        <v>24.2187975577823</v>
      </c>
      <c r="U6200" s="84" t="str">
        <f aca="false">IF(AND(R6200=1,ISNUMBER(T6200)),E6200-T6200,"")</f>
        <v/>
      </c>
      <c r="V6200" s="84" t="n">
        <f aca="false">IF(ISNUMBER(T6200),T6200,-99)</f>
        <v>24.2187975577823</v>
      </c>
      <c r="W6200" s="84" t="str">
        <f aca="false">IF(ISNUMBER(U6200),ABS(U6200),"")</f>
        <v/>
      </c>
    </row>
    <row r="6201" customFormat="false" ht="15" hidden="false" customHeight="false" outlineLevel="0" collapsed="false">
      <c r="A6201" s="57" t="n">
        <v>43665</v>
      </c>
      <c r="B6201" s="56" t="n">
        <v>2019</v>
      </c>
      <c r="C6201" s="56" t="n">
        <v>7</v>
      </c>
      <c r="D6201" s="56" t="n">
        <v>80</v>
      </c>
      <c r="E6201" s="56" t="n">
        <v>25.6</v>
      </c>
      <c r="F6201" s="56" t="n">
        <v>0</v>
      </c>
      <c r="G6201" s="56" t="n">
        <v>12.7</v>
      </c>
      <c r="H6201" s="56" t="n">
        <v>0</v>
      </c>
      <c r="I6201" s="56" t="n">
        <v>16.3</v>
      </c>
      <c r="J6201" s="56" t="n">
        <v>0</v>
      </c>
      <c r="K6201" s="56" t="n">
        <v>1011.2</v>
      </c>
      <c r="L6201" s="56" t="n">
        <v>0</v>
      </c>
      <c r="M6201" s="56" t="n">
        <v>84</v>
      </c>
      <c r="N6201" s="56" t="n">
        <v>0</v>
      </c>
      <c r="O6201" s="56" t="n">
        <f aca="false">IF(D6201=1,"",E6200)</f>
        <v>19.9</v>
      </c>
      <c r="P6201" s="56" t="n">
        <f aca="false">IF(OR(D6201=1,K6200=""),"",K6200)</f>
        <v>1010.5</v>
      </c>
      <c r="Q6201" s="56" t="n">
        <f aca="false">IF(OR(F6201&lt;&gt;0,AND(I6201&lt;&gt;"",E6201&lt;I6201)),1,0)</f>
        <v>0</v>
      </c>
      <c r="R6201" s="56" t="n">
        <f aca="false">IF(AND(D6201&gt;1,Q6201=0,ISNUMBER(O6201),ISNUMBER(P6201)),IF(Q6200=0,1,0),0)</f>
        <v>0</v>
      </c>
      <c r="S6201" s="56" t="n">
        <f aca="false">R6201*(B6201&gt;=Train_Start)*(B6201&lt;=Train_End)</f>
        <v>0</v>
      </c>
      <c r="T6201" s="84" t="n">
        <f aca="false">IF(AND(ISNUMBER(O6201),ISNUMBER(P6201)),Coef_A+Coef_B1*O6201+Coef_B2*P6201,"")</f>
        <v>20.0911038911909</v>
      </c>
      <c r="U6201" s="84" t="str">
        <f aca="false">IF(AND(R6201=1,ISNUMBER(T6201)),E6201-T6201,"")</f>
        <v/>
      </c>
      <c r="V6201" s="84" t="n">
        <f aca="false">IF(ISNUMBER(T6201),T6201,-99)</f>
        <v>20.0911038911909</v>
      </c>
      <c r="W6201" s="84" t="str">
        <f aca="false">IF(ISNUMBER(U6201),ABS(U6201),"")</f>
        <v/>
      </c>
    </row>
    <row r="6202" customFormat="false" ht="15" hidden="false" customHeight="false" outlineLevel="0" collapsed="false">
      <c r="A6202" s="57" t="n">
        <v>43666</v>
      </c>
      <c r="B6202" s="56" t="n">
        <v>2019</v>
      </c>
      <c r="C6202" s="56" t="n">
        <v>7</v>
      </c>
      <c r="D6202" s="56" t="n">
        <v>81</v>
      </c>
      <c r="E6202" s="56" t="n">
        <v>24.6</v>
      </c>
      <c r="F6202" s="56" t="n">
        <v>0</v>
      </c>
      <c r="G6202" s="56" t="n">
        <v>15.4</v>
      </c>
      <c r="H6202" s="56" t="n">
        <v>0</v>
      </c>
      <c r="I6202" s="56" t="n">
        <v>20.5</v>
      </c>
      <c r="J6202" s="56" t="n">
        <v>0</v>
      </c>
      <c r="K6202" s="56" t="n">
        <v>1008.9</v>
      </c>
      <c r="L6202" s="56" t="n">
        <v>0</v>
      </c>
      <c r="M6202" s="56" t="n">
        <v>73</v>
      </c>
      <c r="N6202" s="56" t="n">
        <v>6.9</v>
      </c>
      <c r="O6202" s="56" t="n">
        <f aca="false">IF(D6202=1,"",E6201)</f>
        <v>25.6</v>
      </c>
      <c r="P6202" s="56" t="n">
        <f aca="false">IF(OR(D6202=1,K6201=""),"",K6201)</f>
        <v>1011.2</v>
      </c>
      <c r="Q6202" s="56" t="n">
        <f aca="false">IF(OR(F6202&lt;&gt;0,AND(I6202&lt;&gt;"",E6202&lt;I6202)),1,0)</f>
        <v>0</v>
      </c>
      <c r="R6202" s="56" t="n">
        <f aca="false">IF(AND(D6202&gt;1,Q6202=0,ISNUMBER(O6202),ISNUMBER(P6202)),IF(Q6201=0,1,0),0)</f>
        <v>1</v>
      </c>
      <c r="S6202" s="56" t="n">
        <f aca="false">R6202*(B6202&gt;=Train_Start)*(B6202&lt;=Train_End)</f>
        <v>0</v>
      </c>
      <c r="T6202" s="84" t="n">
        <f aca="false">IF(AND(ISNUMBER(O6202),ISNUMBER(P6202)),Coef_A+Coef_B1*O6202+Coef_B2*P6202,"")</f>
        <v>24.7832962177778</v>
      </c>
      <c r="U6202" s="84" t="n">
        <f aca="false">IF(AND(R6202=1,ISNUMBER(T6202)),E6202-T6202,"")</f>
        <v>-0.183296217777805</v>
      </c>
      <c r="V6202" s="84" t="n">
        <f aca="false">IF(ISNUMBER(T6202),T6202,-99)</f>
        <v>24.7832962177778</v>
      </c>
      <c r="W6202" s="84" t="n">
        <f aca="false">IF(ISNUMBER(U6202),ABS(U6202),"")</f>
        <v>0.183296217777805</v>
      </c>
    </row>
    <row r="6203" customFormat="false" ht="15" hidden="false" customHeight="false" outlineLevel="0" collapsed="false">
      <c r="A6203" s="57" t="n">
        <v>43667</v>
      </c>
      <c r="B6203" s="56" t="n">
        <v>2019</v>
      </c>
      <c r="C6203" s="56" t="n">
        <v>7</v>
      </c>
      <c r="D6203" s="56" t="n">
        <v>82</v>
      </c>
      <c r="E6203" s="56" t="n">
        <v>27.9</v>
      </c>
      <c r="F6203" s="56" t="n">
        <v>0</v>
      </c>
      <c r="G6203" s="56" t="n">
        <v>13</v>
      </c>
      <c r="H6203" s="56" t="n">
        <v>0</v>
      </c>
      <c r="I6203" s="56" t="n">
        <v>18.8</v>
      </c>
      <c r="J6203" s="56" t="n">
        <v>0</v>
      </c>
      <c r="K6203" s="56" t="n">
        <v>1020.2</v>
      </c>
      <c r="L6203" s="56" t="n">
        <v>0</v>
      </c>
      <c r="M6203" s="56" t="n">
        <v>68</v>
      </c>
      <c r="N6203" s="56" t="n">
        <v>5.7</v>
      </c>
      <c r="O6203" s="56" t="n">
        <f aca="false">IF(D6203=1,"",E6202)</f>
        <v>24.6</v>
      </c>
      <c r="P6203" s="56" t="n">
        <f aca="false">IF(OR(D6203=1,K6202=""),"",K6202)</f>
        <v>1008.9</v>
      </c>
      <c r="Q6203" s="56" t="n">
        <f aca="false">IF(OR(F6203&lt;&gt;0,AND(I6203&lt;&gt;"",E6203&lt;I6203)),1,0)</f>
        <v>0</v>
      </c>
      <c r="R6203" s="56" t="n">
        <f aca="false">IF(AND(D6203&gt;1,Q6203=0,ISNUMBER(O6203),ISNUMBER(P6203)),IF(Q6202=0,1,0),0)</f>
        <v>1</v>
      </c>
      <c r="S6203" s="56" t="n">
        <f aca="false">R6203*(B6203&gt;=Train_Start)*(B6203&lt;=Train_End)</f>
        <v>0</v>
      </c>
      <c r="T6203" s="84" t="n">
        <f aca="false">IF(AND(ISNUMBER(O6203),ISNUMBER(P6203)),Coef_A+Coef_B1*O6203+Coef_B2*P6203,"")</f>
        <v>23.891806267077</v>
      </c>
      <c r="U6203" s="84" t="n">
        <f aca="false">IF(AND(R6203=1,ISNUMBER(T6203)),E6203-T6203,"")</f>
        <v>4.00819373292303</v>
      </c>
      <c r="V6203" s="84" t="n">
        <f aca="false">IF(ISNUMBER(T6203),T6203,-99)</f>
        <v>23.891806267077</v>
      </c>
      <c r="W6203" s="84" t="n">
        <f aca="false">IF(ISNUMBER(U6203),ABS(U6203),"")</f>
        <v>4.00819373292303</v>
      </c>
    </row>
    <row r="6204" customFormat="false" ht="15" hidden="false" customHeight="false" outlineLevel="0" collapsed="false">
      <c r="A6204" s="57" t="n">
        <v>43668</v>
      </c>
      <c r="B6204" s="56" t="n">
        <v>2019</v>
      </c>
      <c r="C6204" s="56" t="n">
        <v>7</v>
      </c>
      <c r="D6204" s="56" t="n">
        <v>83</v>
      </c>
      <c r="E6204" s="56" t="n">
        <v>33.6</v>
      </c>
      <c r="F6204" s="56" t="n">
        <v>0</v>
      </c>
      <c r="G6204" s="56" t="n">
        <v>16.4</v>
      </c>
      <c r="H6204" s="56" t="n">
        <v>0</v>
      </c>
      <c r="I6204" s="56" t="n">
        <v>22.1</v>
      </c>
      <c r="J6204" s="56" t="n">
        <v>0</v>
      </c>
      <c r="K6204" s="56" t="n">
        <v>1021.7</v>
      </c>
      <c r="L6204" s="56" t="n">
        <v>0</v>
      </c>
      <c r="M6204" s="56" t="n">
        <v>72</v>
      </c>
      <c r="N6204" s="56" t="n">
        <v>7.1</v>
      </c>
      <c r="O6204" s="56" t="n">
        <f aca="false">IF(D6204=1,"",E6203)</f>
        <v>27.9</v>
      </c>
      <c r="P6204" s="56" t="n">
        <f aca="false">IF(OR(D6204=1,K6203=""),"",K6203)</f>
        <v>1020.2</v>
      </c>
      <c r="Q6204" s="56" t="n">
        <f aca="false">IF(OR(F6204&lt;&gt;0,AND(I6204&lt;&gt;"",E6204&lt;I6204)),1,0)</f>
        <v>0</v>
      </c>
      <c r="R6204" s="56" t="n">
        <f aca="false">IF(AND(D6204&gt;1,Q6204=0,ISNUMBER(O6204),ISNUMBER(P6204)),IF(Q6203=0,1,0),0)</f>
        <v>1</v>
      </c>
      <c r="S6204" s="56" t="n">
        <f aca="false">R6204*(B6204&gt;=Train_Start)*(B6204&lt;=Train_End)</f>
        <v>0</v>
      </c>
      <c r="T6204" s="84" t="n">
        <f aca="false">IF(AND(ISNUMBER(O6204),ISNUMBER(P6204)),Coef_A+Coef_B1*O6204+Coef_B2*P6204,"")</f>
        <v>26.9501054134818</v>
      </c>
      <c r="U6204" s="84" t="n">
        <f aca="false">IF(AND(R6204=1,ISNUMBER(T6204)),E6204-T6204,"")</f>
        <v>6.64989458651818</v>
      </c>
      <c r="V6204" s="84" t="n">
        <f aca="false">IF(ISNUMBER(T6204),T6204,-99)</f>
        <v>26.9501054134818</v>
      </c>
      <c r="W6204" s="84" t="n">
        <f aca="false">IF(ISNUMBER(U6204),ABS(U6204),"")</f>
        <v>6.64989458651818</v>
      </c>
    </row>
    <row r="6205" customFormat="false" ht="15" hidden="false" customHeight="false" outlineLevel="0" collapsed="false">
      <c r="A6205" s="57" t="n">
        <v>43669</v>
      </c>
      <c r="B6205" s="56" t="n">
        <v>2019</v>
      </c>
      <c r="C6205" s="56" t="n">
        <v>7</v>
      </c>
      <c r="D6205" s="56" t="n">
        <v>84</v>
      </c>
      <c r="E6205" s="56" t="n">
        <v>32.8</v>
      </c>
      <c r="F6205" s="56" t="n">
        <v>0</v>
      </c>
      <c r="G6205" s="56" t="n">
        <v>15.7</v>
      </c>
      <c r="H6205" s="56" t="n">
        <v>0</v>
      </c>
      <c r="I6205" s="56" t="n">
        <v>24.6</v>
      </c>
      <c r="J6205" s="56" t="n">
        <v>0</v>
      </c>
      <c r="K6205" s="56" t="n">
        <v>1017.3</v>
      </c>
      <c r="L6205" s="56" t="n">
        <v>0</v>
      </c>
      <c r="M6205" s="56" t="n">
        <v>60</v>
      </c>
      <c r="N6205" s="56" t="n">
        <v>13.2</v>
      </c>
      <c r="O6205" s="56" t="n">
        <f aca="false">IF(D6205=1,"",E6204)</f>
        <v>33.6</v>
      </c>
      <c r="P6205" s="56" t="n">
        <f aca="false">IF(OR(D6205=1,K6204=""),"",K6204)</f>
        <v>1021.7</v>
      </c>
      <c r="Q6205" s="56" t="n">
        <f aca="false">IF(OR(F6205&lt;&gt;0,AND(I6205&lt;&gt;"",E6205&lt;I6205)),1,0)</f>
        <v>0</v>
      </c>
      <c r="R6205" s="56" t="n">
        <f aca="false">IF(AND(D6205&gt;1,Q6205=0,ISNUMBER(O6205),ISNUMBER(P6205)),IF(Q6204=0,1,0),0)</f>
        <v>1</v>
      </c>
      <c r="S6205" s="56" t="n">
        <f aca="false">R6205*(B6205&gt;=Train_Start)*(B6205&lt;=Train_End)</f>
        <v>0</v>
      </c>
      <c r="T6205" s="84" t="n">
        <f aca="false">IF(AND(ISNUMBER(O6205),ISNUMBER(P6205)),Coef_A+Coef_B1*O6205+Coef_B2*P6205,"")</f>
        <v>31.667393655776</v>
      </c>
      <c r="U6205" s="84" t="n">
        <f aca="false">IF(AND(R6205=1,ISNUMBER(T6205)),E6205-T6205,"")</f>
        <v>1.13260634422404</v>
      </c>
      <c r="V6205" s="84" t="n">
        <f aca="false">IF(ISNUMBER(T6205),T6205,-99)</f>
        <v>31.667393655776</v>
      </c>
      <c r="W6205" s="84" t="n">
        <f aca="false">IF(ISNUMBER(U6205),ABS(U6205),"")</f>
        <v>1.13260634422404</v>
      </c>
    </row>
    <row r="6206" customFormat="false" ht="15" hidden="false" customHeight="false" outlineLevel="0" collapsed="false">
      <c r="A6206" s="57" t="n">
        <v>43670</v>
      </c>
      <c r="B6206" s="56" t="n">
        <v>2019</v>
      </c>
      <c r="C6206" s="56" t="n">
        <v>7</v>
      </c>
      <c r="D6206" s="56" t="n">
        <v>85</v>
      </c>
      <c r="E6206" s="56" t="n">
        <v>37.9</v>
      </c>
      <c r="F6206" s="56" t="n">
        <v>0</v>
      </c>
      <c r="G6206" s="56" t="n">
        <v>20</v>
      </c>
      <c r="H6206" s="56" t="n">
        <v>0</v>
      </c>
      <c r="I6206" s="56" t="n">
        <v>26.4</v>
      </c>
      <c r="J6206" s="56" t="n">
        <v>0</v>
      </c>
      <c r="K6206" s="56" t="n">
        <v>1012.1</v>
      </c>
      <c r="L6206" s="56" t="n">
        <v>0</v>
      </c>
      <c r="M6206" s="56" t="n">
        <v>57</v>
      </c>
      <c r="N6206" s="56" t="n">
        <v>12.2</v>
      </c>
      <c r="O6206" s="56" t="n">
        <f aca="false">IF(D6206=1,"",E6205)</f>
        <v>32.8</v>
      </c>
      <c r="P6206" s="56" t="n">
        <f aca="false">IF(OR(D6206=1,K6205=""),"",K6205)</f>
        <v>1017.3</v>
      </c>
      <c r="Q6206" s="56" t="n">
        <f aca="false">IF(OR(F6206&lt;&gt;0,AND(I6206&lt;&gt;"",E6206&lt;I6206)),1,0)</f>
        <v>0</v>
      </c>
      <c r="R6206" s="56" t="n">
        <f aca="false">IF(AND(D6206&gt;1,Q6206=0,ISNUMBER(O6206),ISNUMBER(P6206)),IF(Q6205=0,1,0),0)</f>
        <v>1</v>
      </c>
      <c r="S6206" s="56" t="n">
        <f aca="false">R6206*(B6206&gt;=Train_Start)*(B6206&lt;=Train_End)</f>
        <v>0</v>
      </c>
      <c r="T6206" s="84" t="n">
        <f aca="false">IF(AND(ISNUMBER(O6206),ISNUMBER(P6206)),Coef_A+Coef_B1*O6206+Coef_B2*P6206,"")</f>
        <v>30.8738947649523</v>
      </c>
      <c r="U6206" s="84" t="n">
        <f aca="false">IF(AND(R6206=1,ISNUMBER(T6206)),E6206-T6206,"")</f>
        <v>7.02610523504773</v>
      </c>
      <c r="V6206" s="84" t="n">
        <f aca="false">IF(ISNUMBER(T6206),T6206,-99)</f>
        <v>30.8738947649523</v>
      </c>
      <c r="W6206" s="84" t="n">
        <f aca="false">IF(ISNUMBER(U6206),ABS(U6206),"")</f>
        <v>7.02610523504773</v>
      </c>
    </row>
    <row r="6207" customFormat="false" ht="15" hidden="false" customHeight="false" outlineLevel="0" collapsed="false">
      <c r="A6207" s="57" t="n">
        <v>43671</v>
      </c>
      <c r="B6207" s="56" t="n">
        <v>2019</v>
      </c>
      <c r="C6207" s="56" t="n">
        <v>7</v>
      </c>
      <c r="D6207" s="56" t="n">
        <v>86</v>
      </c>
      <c r="E6207" s="56" t="n">
        <v>25.7</v>
      </c>
      <c r="F6207" s="56" t="n">
        <v>1</v>
      </c>
      <c r="G6207" s="56" t="n">
        <v>19.7</v>
      </c>
      <c r="H6207" s="56" t="n">
        <v>0</v>
      </c>
      <c r="I6207" s="56" t="n">
        <v>28.8</v>
      </c>
      <c r="J6207" s="56" t="n">
        <v>1</v>
      </c>
      <c r="K6207" s="56" t="n">
        <v>1010.2</v>
      </c>
      <c r="L6207" s="56" t="n">
        <v>0</v>
      </c>
      <c r="M6207" s="56" t="n">
        <v>48</v>
      </c>
      <c r="N6207" s="56" t="n">
        <v>9.5</v>
      </c>
      <c r="O6207" s="56" t="n">
        <f aca="false">IF(D6207=1,"",E6206)</f>
        <v>37.9</v>
      </c>
      <c r="P6207" s="56" t="n">
        <f aca="false">IF(OR(D6207=1,K6206=""),"",K6206)</f>
        <v>1012.1</v>
      </c>
      <c r="Q6207" s="56" t="n">
        <f aca="false">IF(OR(F6207&lt;&gt;0,AND(I6207&lt;&gt;"",E6207&lt;I6207)),1,0)</f>
        <v>1</v>
      </c>
      <c r="R6207" s="56" t="n">
        <f aca="false">IF(AND(D6207&gt;1,Q6207=0,ISNUMBER(O6207),ISNUMBER(P6207)),IF(Q6206=0,1,0),0)</f>
        <v>0</v>
      </c>
      <c r="S6207" s="56" t="n">
        <f aca="false">R6207*(B6207&gt;=Train_Start)*(B6207&lt;=Train_End)</f>
        <v>0</v>
      </c>
      <c r="T6207" s="84" t="n">
        <f aca="false">IF(AND(ISNUMBER(O6207),ISNUMBER(P6207)),Coef_A+Coef_B1*O6207+Coef_B2*P6207,"")</f>
        <v>34.8894011973731</v>
      </c>
      <c r="U6207" s="84" t="str">
        <f aca="false">IF(AND(R6207=1,ISNUMBER(T6207)),E6207-T6207,"")</f>
        <v/>
      </c>
      <c r="V6207" s="84" t="n">
        <f aca="false">IF(ISNUMBER(T6207),T6207,-99)</f>
        <v>34.8894011973731</v>
      </c>
      <c r="W6207" s="84" t="str">
        <f aca="false">IF(ISNUMBER(U6207),ABS(U6207),"")</f>
        <v/>
      </c>
    </row>
    <row r="6208" customFormat="false" ht="15" hidden="false" customHeight="false" outlineLevel="0" collapsed="false">
      <c r="A6208" s="57" t="n">
        <v>43672</v>
      </c>
      <c r="B6208" s="56" t="n">
        <v>2019</v>
      </c>
      <c r="C6208" s="56" t="n">
        <v>7</v>
      </c>
      <c r="D6208" s="56" t="n">
        <v>87</v>
      </c>
      <c r="E6208" s="56" t="n">
        <v>20.3</v>
      </c>
      <c r="F6208" s="56" t="n">
        <v>1</v>
      </c>
      <c r="G6208" s="56" t="n">
        <v>18.7</v>
      </c>
      <c r="H6208" s="56" t="n">
        <v>0</v>
      </c>
      <c r="I6208" s="56" t="n">
        <v>22.2</v>
      </c>
      <c r="J6208" s="56" t="n">
        <v>1</v>
      </c>
      <c r="K6208" s="56" t="n">
        <v>1010.5</v>
      </c>
      <c r="L6208" s="56" t="n">
        <v>0</v>
      </c>
      <c r="M6208" s="56" t="n">
        <v>70</v>
      </c>
      <c r="N6208" s="56" t="n">
        <v>0.7</v>
      </c>
      <c r="O6208" s="56" t="n">
        <f aca="false">IF(D6208=1,"",E6207)</f>
        <v>25.7</v>
      </c>
      <c r="P6208" s="56" t="n">
        <f aca="false">IF(OR(D6208=1,K6207=""),"",K6207)</f>
        <v>1010.2</v>
      </c>
      <c r="Q6208" s="56" t="n">
        <f aca="false">IF(OR(F6208&lt;&gt;0,AND(I6208&lt;&gt;"",E6208&lt;I6208)),1,0)</f>
        <v>1</v>
      </c>
      <c r="R6208" s="56" t="n">
        <f aca="false">IF(AND(D6208&gt;1,Q6208=0,ISNUMBER(O6208),ISNUMBER(P6208)),IF(Q6207=0,1,0),0)</f>
        <v>0</v>
      </c>
      <c r="S6208" s="56" t="n">
        <f aca="false">R6208*(B6208&gt;=Train_Start)*(B6208&lt;=Train_End)</f>
        <v>0</v>
      </c>
      <c r="T6208" s="84" t="n">
        <f aca="false">IF(AND(ISNUMBER(O6208),ISNUMBER(P6208)),Coef_A+Coef_B1*O6208+Coef_B2*P6208,"")</f>
        <v>24.8338602424481</v>
      </c>
      <c r="U6208" s="84" t="str">
        <f aca="false">IF(AND(R6208=1,ISNUMBER(T6208)),E6208-T6208,"")</f>
        <v/>
      </c>
      <c r="V6208" s="84" t="n">
        <f aca="false">IF(ISNUMBER(T6208),T6208,-99)</f>
        <v>24.8338602424481</v>
      </c>
      <c r="W6208" s="84" t="str">
        <f aca="false">IF(ISNUMBER(U6208),ABS(U6208),"")</f>
        <v/>
      </c>
    </row>
    <row r="6209" customFormat="false" ht="15" hidden="false" customHeight="false" outlineLevel="0" collapsed="false">
      <c r="A6209" s="57" t="n">
        <v>43673</v>
      </c>
      <c r="B6209" s="56" t="n">
        <v>2019</v>
      </c>
      <c r="C6209" s="56" t="n">
        <v>7</v>
      </c>
      <c r="D6209" s="56" t="n">
        <v>88</v>
      </c>
      <c r="E6209" s="56" t="n">
        <v>24.3</v>
      </c>
      <c r="F6209" s="56" t="n">
        <v>0</v>
      </c>
      <c r="G6209" s="56" t="n">
        <v>16.1</v>
      </c>
      <c r="H6209" s="56" t="n">
        <v>0</v>
      </c>
      <c r="I6209" s="56" t="n">
        <v>18.2</v>
      </c>
      <c r="J6209" s="56" t="n">
        <v>0</v>
      </c>
      <c r="K6209" s="56" t="n">
        <v>1007.1</v>
      </c>
      <c r="L6209" s="56" t="n">
        <v>0</v>
      </c>
      <c r="M6209" s="56" t="n">
        <v>89</v>
      </c>
      <c r="N6209" s="56" t="n">
        <v>0</v>
      </c>
      <c r="O6209" s="56" t="n">
        <f aca="false">IF(D6209=1,"",E6208)</f>
        <v>20.3</v>
      </c>
      <c r="P6209" s="56" t="n">
        <f aca="false">IF(OR(D6209=1,K6208=""),"",K6208)</f>
        <v>1010.5</v>
      </c>
      <c r="Q6209" s="56" t="n">
        <f aca="false">IF(OR(F6209&lt;&gt;0,AND(I6209&lt;&gt;"",E6209&lt;I6209)),1,0)</f>
        <v>0</v>
      </c>
      <c r="R6209" s="56" t="n">
        <f aca="false">IF(AND(D6209&gt;1,Q6209=0,ISNUMBER(O6209),ISNUMBER(P6209)),IF(Q6208=0,1,0),0)</f>
        <v>0</v>
      </c>
      <c r="S6209" s="56" t="n">
        <f aca="false">R6209*(B6209&gt;=Train_Start)*(B6209&lt;=Train_End)</f>
        <v>0</v>
      </c>
      <c r="T6209" s="84" t="n">
        <f aca="false">IF(AND(ISNUMBER(O6209),ISNUMBER(P6209)),Coef_A+Coef_B1*O6209+Coef_B2*P6209,"")</f>
        <v>20.4188395684079</v>
      </c>
      <c r="U6209" s="84" t="str">
        <f aca="false">IF(AND(R6209=1,ISNUMBER(T6209)),E6209-T6209,"")</f>
        <v/>
      </c>
      <c r="V6209" s="84" t="n">
        <f aca="false">IF(ISNUMBER(T6209),T6209,-99)</f>
        <v>20.4188395684079</v>
      </c>
      <c r="W6209" s="84" t="str">
        <f aca="false">IF(ISNUMBER(U6209),ABS(U6209),"")</f>
        <v/>
      </c>
    </row>
    <row r="6210" customFormat="false" ht="15" hidden="false" customHeight="false" outlineLevel="0" collapsed="false">
      <c r="A6210" s="57" t="n">
        <v>43674</v>
      </c>
      <c r="B6210" s="56" t="n">
        <v>2019</v>
      </c>
      <c r="C6210" s="56" t="n">
        <v>7</v>
      </c>
      <c r="D6210" s="56" t="n">
        <v>89</v>
      </c>
      <c r="E6210" s="56" t="n">
        <v>26.2</v>
      </c>
      <c r="F6210" s="56" t="n">
        <v>0</v>
      </c>
      <c r="G6210" s="56" t="n">
        <v>15.5</v>
      </c>
      <c r="H6210" s="56" t="n">
        <v>0</v>
      </c>
      <c r="I6210" s="56" t="n">
        <v>19.9</v>
      </c>
      <c r="J6210" s="56" t="n">
        <v>0</v>
      </c>
      <c r="K6210" s="56" t="n">
        <v>1006</v>
      </c>
      <c r="L6210" s="56" t="n">
        <v>0</v>
      </c>
      <c r="M6210" s="56" t="n">
        <v>67</v>
      </c>
      <c r="N6210" s="56" t="n">
        <v>1.3</v>
      </c>
      <c r="O6210" s="56" t="n">
        <f aca="false">IF(D6210=1,"",E6209)</f>
        <v>24.3</v>
      </c>
      <c r="P6210" s="56" t="n">
        <f aca="false">IF(OR(D6210=1,K6209=""),"",K6209)</f>
        <v>1007.1</v>
      </c>
      <c r="Q6210" s="56" t="n">
        <f aca="false">IF(OR(F6210&lt;&gt;0,AND(I6210&lt;&gt;"",E6210&lt;I6210)),1,0)</f>
        <v>0</v>
      </c>
      <c r="R6210" s="56" t="n">
        <f aca="false">IF(AND(D6210&gt;1,Q6210=0,ISNUMBER(O6210),ISNUMBER(P6210)),IF(Q6209=0,1,0),0)</f>
        <v>1</v>
      </c>
      <c r="S6210" s="56" t="n">
        <f aca="false">R6210*(B6210&gt;=Train_Start)*(B6210&lt;=Train_End)</f>
        <v>0</v>
      </c>
      <c r="T6210" s="84" t="n">
        <f aca="false">IF(AND(ISNUMBER(O6210),ISNUMBER(P6210)),Coef_A+Coef_B1*O6210+Coef_B2*P6210,"")</f>
        <v>23.589538698823</v>
      </c>
      <c r="U6210" s="84" t="n">
        <f aca="false">IF(AND(R6210=1,ISNUMBER(T6210)),E6210-T6210,"")</f>
        <v>2.610461301177</v>
      </c>
      <c r="V6210" s="84" t="n">
        <f aca="false">IF(ISNUMBER(T6210),T6210,-99)</f>
        <v>23.589538698823</v>
      </c>
      <c r="W6210" s="84" t="n">
        <f aca="false">IF(ISNUMBER(U6210),ABS(U6210),"")</f>
        <v>2.610461301177</v>
      </c>
    </row>
    <row r="6211" customFormat="false" ht="15" hidden="false" customHeight="false" outlineLevel="0" collapsed="false">
      <c r="A6211" s="57" t="n">
        <v>43675</v>
      </c>
      <c r="B6211" s="56" t="n">
        <v>2019</v>
      </c>
      <c r="C6211" s="56" t="n">
        <v>7</v>
      </c>
      <c r="D6211" s="56" t="n">
        <v>90</v>
      </c>
      <c r="E6211" s="56" t="n">
        <v>19.9</v>
      </c>
      <c r="F6211" s="56" t="n">
        <v>0</v>
      </c>
      <c r="G6211" s="56" t="n">
        <v>13.2</v>
      </c>
      <c r="H6211" s="56" t="n">
        <v>0</v>
      </c>
      <c r="I6211" s="56" t="n">
        <v>19.7</v>
      </c>
      <c r="J6211" s="56" t="n">
        <v>0</v>
      </c>
      <c r="K6211" s="56" t="n">
        <v>1008.8</v>
      </c>
      <c r="L6211" s="56" t="n">
        <v>0</v>
      </c>
      <c r="M6211" s="56" t="n">
        <v>59</v>
      </c>
      <c r="N6211" s="56" t="n">
        <v>11.4</v>
      </c>
      <c r="O6211" s="56" t="n">
        <f aca="false">IF(D6211=1,"",E6210)</f>
        <v>26.2</v>
      </c>
      <c r="P6211" s="56" t="n">
        <f aca="false">IF(OR(D6211=1,K6210=""),"",K6210)</f>
        <v>1006</v>
      </c>
      <c r="Q6211" s="56" t="n">
        <f aca="false">IF(OR(F6211&lt;&gt;0,AND(I6211&lt;&gt;"",E6211&lt;I6211)),1,0)</f>
        <v>0</v>
      </c>
      <c r="R6211" s="56" t="n">
        <f aca="false">IF(AND(D6211&gt;1,Q6211=0,ISNUMBER(O6211),ISNUMBER(P6211)),IF(Q6210=0,1,0),0)</f>
        <v>1</v>
      </c>
      <c r="S6211" s="56" t="n">
        <f aca="false">R6211*(B6211&gt;=Train_Start)*(B6211&lt;=Train_End)</f>
        <v>0</v>
      </c>
      <c r="T6211" s="84" t="n">
        <f aca="false">IF(AND(ISNUMBER(O6211),ISNUMBER(P6211)),Coef_A+Coef_B1*O6211+Coef_B2*P6211,"")</f>
        <v>25.1117762815067</v>
      </c>
      <c r="U6211" s="84" t="n">
        <f aca="false">IF(AND(R6211=1,ISNUMBER(T6211)),E6211-T6211,"")</f>
        <v>-5.21177628150666</v>
      </c>
      <c r="V6211" s="84" t="n">
        <f aca="false">IF(ISNUMBER(T6211),T6211,-99)</f>
        <v>25.1117762815067</v>
      </c>
      <c r="W6211" s="84" t="n">
        <f aca="false">IF(ISNUMBER(U6211),ABS(U6211),"")</f>
        <v>5.21177628150666</v>
      </c>
    </row>
    <row r="6212" customFormat="false" ht="15" hidden="false" customHeight="false" outlineLevel="0" collapsed="false">
      <c r="A6212" s="57" t="n">
        <v>43676</v>
      </c>
      <c r="B6212" s="56" t="n">
        <v>2019</v>
      </c>
      <c r="C6212" s="56" t="n">
        <v>7</v>
      </c>
      <c r="D6212" s="56" t="n">
        <v>91</v>
      </c>
      <c r="E6212" s="56" t="n">
        <v>24.9</v>
      </c>
      <c r="F6212" s="56" t="n">
        <v>0</v>
      </c>
      <c r="G6212" s="56" t="n">
        <v>17</v>
      </c>
      <c r="H6212" s="56" t="n">
        <v>0</v>
      </c>
      <c r="I6212" s="56" t="n">
        <v>18.4</v>
      </c>
      <c r="J6212" s="56" t="n">
        <v>0</v>
      </c>
      <c r="K6212" s="56" t="n">
        <v>1005.1</v>
      </c>
      <c r="L6212" s="56" t="n">
        <v>0</v>
      </c>
      <c r="M6212" s="56" t="n">
        <v>80</v>
      </c>
      <c r="N6212" s="56" t="n">
        <v>1.5</v>
      </c>
      <c r="O6212" s="56" t="n">
        <f aca="false">IF(D6212=1,"",E6211)</f>
        <v>19.9</v>
      </c>
      <c r="P6212" s="56" t="n">
        <f aca="false">IF(OR(D6212=1,K6211=""),"",K6211)</f>
        <v>1008.8</v>
      </c>
      <c r="Q6212" s="56" t="n">
        <f aca="false">IF(OR(F6212&lt;&gt;0,AND(I6212&lt;&gt;"",E6212&lt;I6212)),1,0)</f>
        <v>0</v>
      </c>
      <c r="R6212" s="56" t="n">
        <f aca="false">IF(AND(D6212&gt;1,Q6212=0,ISNUMBER(O6212),ISNUMBER(P6212)),IF(Q6211=0,1,0),0)</f>
        <v>1</v>
      </c>
      <c r="S6212" s="56" t="n">
        <f aca="false">R6212*(B6212&gt;=Train_Start)*(B6212&lt;=Train_End)</f>
        <v>0</v>
      </c>
      <c r="T6212" s="84" t="n">
        <f aca="false">IF(AND(ISNUMBER(O6212),ISNUMBER(P6212)),Coef_A+Coef_B1*O6212+Coef_B2*P6212,"")</f>
        <v>20.0377750703131</v>
      </c>
      <c r="U6212" s="84" t="n">
        <f aca="false">IF(AND(R6212=1,ISNUMBER(T6212)),E6212-T6212,"")</f>
        <v>4.86222492968692</v>
      </c>
      <c r="V6212" s="84" t="n">
        <f aca="false">IF(ISNUMBER(T6212),T6212,-99)</f>
        <v>20.0377750703131</v>
      </c>
      <c r="W6212" s="84" t="n">
        <f aca="false">IF(ISNUMBER(U6212),ABS(U6212),"")</f>
        <v>4.86222492968692</v>
      </c>
    </row>
    <row r="6213" customFormat="false" ht="15" hidden="false" customHeight="false" outlineLevel="0" collapsed="false">
      <c r="A6213" s="57" t="n">
        <v>43677</v>
      </c>
      <c r="B6213" s="56" t="n">
        <v>2019</v>
      </c>
      <c r="C6213" s="56" t="n">
        <v>7</v>
      </c>
      <c r="D6213" s="56" t="n">
        <v>92</v>
      </c>
      <c r="E6213" s="56" t="n">
        <v>26</v>
      </c>
      <c r="F6213" s="56" t="n">
        <v>0</v>
      </c>
      <c r="G6213" s="56" t="n">
        <v>16.3</v>
      </c>
      <c r="H6213" s="56" t="n">
        <v>0</v>
      </c>
      <c r="I6213" s="56" t="n">
        <v>20.6</v>
      </c>
      <c r="J6213" s="56" t="n">
        <v>0</v>
      </c>
      <c r="K6213" s="56" t="n">
        <v>1012.3</v>
      </c>
      <c r="L6213" s="56" t="n">
        <v>0</v>
      </c>
      <c r="M6213" s="56" t="n">
        <v>62</v>
      </c>
      <c r="N6213" s="56" t="n">
        <v>4.2</v>
      </c>
      <c r="O6213" s="56" t="n">
        <f aca="false">IF(D6213=1,"",E6212)</f>
        <v>24.9</v>
      </c>
      <c r="P6213" s="56" t="n">
        <f aca="false">IF(OR(D6213=1,K6212=""),"",K6212)</f>
        <v>1005.1</v>
      </c>
      <c r="Q6213" s="56" t="n">
        <f aca="false">IF(OR(F6213&lt;&gt;0,AND(I6213&lt;&gt;"",E6213&lt;I6213)),1,0)</f>
        <v>0</v>
      </c>
      <c r="R6213" s="56" t="n">
        <f aca="false">IF(AND(D6213&gt;1,Q6213=0,ISNUMBER(O6213),ISNUMBER(P6213)),IF(Q6212=0,1,0),0)</f>
        <v>1</v>
      </c>
      <c r="S6213" s="56" t="n">
        <f aca="false">R6213*(B6213&gt;=Train_Start)*(B6213&lt;=Train_End)</f>
        <v>0</v>
      </c>
      <c r="T6213" s="84" t="n">
        <f aca="false">IF(AND(ISNUMBER(O6213),ISNUMBER(P6213)),Coef_A+Coef_B1*O6213+Coef_B2*P6213,"")</f>
        <v>24.0184024253806</v>
      </c>
      <c r="U6213" s="84" t="n">
        <f aca="false">IF(AND(R6213=1,ISNUMBER(T6213)),E6213-T6213,"")</f>
        <v>1.98159757461939</v>
      </c>
      <c r="V6213" s="84" t="n">
        <f aca="false">IF(ISNUMBER(T6213),T6213,-99)</f>
        <v>24.0184024253806</v>
      </c>
      <c r="W6213" s="84" t="n">
        <f aca="false">IF(ISNUMBER(U6213),ABS(U6213),"")</f>
        <v>1.98159757461939</v>
      </c>
    </row>
    <row r="6214" customFormat="false" ht="15" hidden="false" customHeight="false" outlineLevel="0" collapsed="false">
      <c r="A6214" s="57" t="n">
        <v>43678</v>
      </c>
      <c r="B6214" s="56" t="n">
        <v>2019</v>
      </c>
      <c r="C6214" s="56" t="n">
        <v>8</v>
      </c>
      <c r="D6214" s="56" t="n">
        <v>93</v>
      </c>
      <c r="E6214" s="56" t="n">
        <v>25.8</v>
      </c>
      <c r="F6214" s="56" t="n">
        <v>0</v>
      </c>
      <c r="G6214" s="56" t="n">
        <v>14.6</v>
      </c>
      <c r="H6214" s="56" t="n">
        <v>0</v>
      </c>
      <c r="I6214" s="56" t="n">
        <v>20.3</v>
      </c>
      <c r="J6214" s="56" t="n">
        <v>0</v>
      </c>
      <c r="K6214" s="56" t="n">
        <v>1017.1</v>
      </c>
      <c r="L6214" s="56" t="n">
        <v>0</v>
      </c>
      <c r="M6214" s="56" t="n">
        <v>66</v>
      </c>
      <c r="N6214" s="56" t="n">
        <v>5.7</v>
      </c>
      <c r="O6214" s="56" t="n">
        <f aca="false">IF(D6214=1,"",E6213)</f>
        <v>26</v>
      </c>
      <c r="P6214" s="56" t="n">
        <f aca="false">IF(OR(D6214=1,K6213=""),"",K6213)</f>
        <v>1012.3</v>
      </c>
      <c r="Q6214" s="56" t="n">
        <f aca="false">IF(OR(F6214&lt;&gt;0,AND(I6214&lt;&gt;"",E6214&lt;I6214)),1,0)</f>
        <v>0</v>
      </c>
      <c r="R6214" s="56" t="n">
        <f aca="false">IF(AND(D6214&gt;1,Q6214=0,ISNUMBER(O6214),ISNUMBER(P6214)),IF(Q6213=0,1,0),0)</f>
        <v>1</v>
      </c>
      <c r="S6214" s="56" t="n">
        <f aca="false">R6214*(B6214&gt;=Train_Start)*(B6214&lt;=Train_End)</f>
        <v>0</v>
      </c>
      <c r="T6214" s="84" t="n">
        <f aca="false">IF(AND(ISNUMBER(O6214),ISNUMBER(P6214)),Coef_A+Coef_B1*O6214+Coef_B2*P6214,"")</f>
        <v>25.1455387790923</v>
      </c>
      <c r="U6214" s="84" t="n">
        <f aca="false">IF(AND(R6214=1,ISNUMBER(T6214)),E6214-T6214,"")</f>
        <v>0.654461220907745</v>
      </c>
      <c r="V6214" s="84" t="n">
        <f aca="false">IF(ISNUMBER(T6214),T6214,-99)</f>
        <v>25.1455387790923</v>
      </c>
      <c r="W6214" s="84" t="n">
        <f aca="false">IF(ISNUMBER(U6214),ABS(U6214),"")</f>
        <v>0.654461220907745</v>
      </c>
    </row>
    <row r="6215" customFormat="false" ht="15" hidden="false" customHeight="false" outlineLevel="0" collapsed="false">
      <c r="A6215" s="57" t="n">
        <v>43679</v>
      </c>
      <c r="B6215" s="56" t="n">
        <v>2019</v>
      </c>
      <c r="C6215" s="56" t="n">
        <v>8</v>
      </c>
      <c r="D6215" s="56" t="n">
        <v>94</v>
      </c>
      <c r="E6215" s="56" t="n">
        <v>24.7</v>
      </c>
      <c r="F6215" s="56" t="n">
        <v>0</v>
      </c>
      <c r="G6215" s="56" t="n">
        <v>15.5</v>
      </c>
      <c r="H6215" s="56" t="n">
        <v>0</v>
      </c>
      <c r="I6215" s="56" t="n">
        <v>20.6</v>
      </c>
      <c r="J6215" s="56" t="n">
        <v>0</v>
      </c>
      <c r="K6215" s="56" t="n">
        <v>1019.1</v>
      </c>
      <c r="L6215" s="56" t="n">
        <v>0</v>
      </c>
      <c r="M6215" s="56" t="n">
        <v>65</v>
      </c>
      <c r="N6215" s="56" t="n">
        <v>6.6</v>
      </c>
      <c r="O6215" s="56" t="n">
        <f aca="false">IF(D6215=1,"",E6214)</f>
        <v>25.8</v>
      </c>
      <c r="P6215" s="56" t="n">
        <f aca="false">IF(OR(D6215=1,K6214=""),"",K6214)</f>
        <v>1017.1</v>
      </c>
      <c r="Q6215" s="56" t="n">
        <f aca="false">IF(OR(F6215&lt;&gt;0,AND(I6215&lt;&gt;"",E6215&lt;I6215)),1,0)</f>
        <v>0</v>
      </c>
      <c r="R6215" s="56" t="n">
        <f aca="false">IF(AND(D6215&gt;1,Q6215=0,ISNUMBER(O6215),ISNUMBER(P6215)),IF(Q6214=0,1,0),0)</f>
        <v>1</v>
      </c>
      <c r="S6215" s="56" t="n">
        <f aca="false">R6215*(B6215&gt;=Train_Start)*(B6215&lt;=Train_End)</f>
        <v>0</v>
      </c>
      <c r="T6215" s="84" t="n">
        <f aca="false">IF(AND(ISNUMBER(O6215),ISNUMBER(P6215)),Coef_A+Coef_B1*O6215+Coef_B2*P6215,"")</f>
        <v>25.1322464347269</v>
      </c>
      <c r="U6215" s="84" t="n">
        <f aca="false">IF(AND(R6215=1,ISNUMBER(T6215)),E6215-T6215,"")</f>
        <v>-0.432246434726878</v>
      </c>
      <c r="V6215" s="84" t="n">
        <f aca="false">IF(ISNUMBER(T6215),T6215,-99)</f>
        <v>25.1322464347269</v>
      </c>
      <c r="W6215" s="84" t="n">
        <f aca="false">IF(ISNUMBER(U6215),ABS(U6215),"")</f>
        <v>0.432246434726878</v>
      </c>
    </row>
    <row r="6216" customFormat="false" ht="15" hidden="false" customHeight="false" outlineLevel="0" collapsed="false">
      <c r="A6216" s="57" t="n">
        <v>43680</v>
      </c>
      <c r="B6216" s="56" t="n">
        <v>2019</v>
      </c>
      <c r="C6216" s="56" t="n">
        <v>8</v>
      </c>
      <c r="D6216" s="56" t="n">
        <v>95</v>
      </c>
      <c r="E6216" s="56" t="n">
        <v>27.4</v>
      </c>
      <c r="F6216" s="56" t="n">
        <v>0</v>
      </c>
      <c r="G6216" s="56" t="n">
        <v>14.8</v>
      </c>
      <c r="H6216" s="56" t="n">
        <v>0</v>
      </c>
      <c r="I6216" s="56" t="n">
        <v>19.8</v>
      </c>
      <c r="J6216" s="56" t="n">
        <v>0</v>
      </c>
      <c r="K6216" s="56" t="n">
        <v>1018.8</v>
      </c>
      <c r="L6216" s="56" t="n">
        <v>0</v>
      </c>
      <c r="M6216" s="56" t="n">
        <v>69</v>
      </c>
      <c r="N6216" s="56" t="n">
        <v>3</v>
      </c>
      <c r="O6216" s="56" t="n">
        <f aca="false">IF(D6216=1,"",E6215)</f>
        <v>24.7</v>
      </c>
      <c r="P6216" s="56" t="n">
        <f aca="false">IF(OR(D6216=1,K6215=""),"",K6215)</f>
        <v>1019.1</v>
      </c>
      <c r="Q6216" s="56" t="n">
        <f aca="false">IF(OR(F6216&lt;&gt;0,AND(I6216&lt;&gt;"",E6216&lt;I6216)),1,0)</f>
        <v>0</v>
      </c>
      <c r="R6216" s="56" t="n">
        <f aca="false">IF(AND(D6216&gt;1,Q6216=0,ISNUMBER(O6216),ISNUMBER(P6216)),IF(Q6215=0,1,0),0)</f>
        <v>1</v>
      </c>
      <c r="S6216" s="56" t="n">
        <f aca="false">R6216*(B6216&gt;=Train_Start)*(B6216&lt;=Train_End)</f>
        <v>0</v>
      </c>
      <c r="T6216" s="84" t="n">
        <f aca="false">IF(AND(ISNUMBER(O6216),ISNUMBER(P6216)),Coef_A+Coef_B1*O6216+Coef_B2*P6216,"")</f>
        <v>24.2937131116479</v>
      </c>
      <c r="U6216" s="84" t="n">
        <f aca="false">IF(AND(R6216=1,ISNUMBER(T6216)),E6216-T6216,"")</f>
        <v>3.10628688835207</v>
      </c>
      <c r="V6216" s="84" t="n">
        <f aca="false">IF(ISNUMBER(T6216),T6216,-99)</f>
        <v>24.2937131116479</v>
      </c>
      <c r="W6216" s="84" t="n">
        <f aca="false">IF(ISNUMBER(U6216),ABS(U6216),"")</f>
        <v>3.10628688835207</v>
      </c>
    </row>
    <row r="6217" customFormat="false" ht="15" hidden="false" customHeight="false" outlineLevel="0" collapsed="false">
      <c r="A6217" s="57" t="n">
        <v>43681</v>
      </c>
      <c r="B6217" s="56" t="n">
        <v>2019</v>
      </c>
      <c r="C6217" s="56" t="n">
        <v>8</v>
      </c>
      <c r="D6217" s="56" t="n">
        <v>96</v>
      </c>
      <c r="E6217" s="56" t="n">
        <v>26.5</v>
      </c>
      <c r="F6217" s="56" t="n">
        <v>0</v>
      </c>
      <c r="G6217" s="56" t="n">
        <v>15</v>
      </c>
      <c r="H6217" s="56" t="n">
        <v>0</v>
      </c>
      <c r="I6217" s="56" t="n">
        <v>21.2</v>
      </c>
      <c r="J6217" s="56" t="n">
        <v>0</v>
      </c>
      <c r="K6217" s="56" t="n">
        <v>1013.4</v>
      </c>
      <c r="L6217" s="56" t="n">
        <v>0</v>
      </c>
      <c r="M6217" s="56" t="n">
        <v>69</v>
      </c>
      <c r="N6217" s="56" t="n">
        <v>0.5</v>
      </c>
      <c r="O6217" s="56" t="n">
        <f aca="false">IF(D6217=1,"",E6216)</f>
        <v>27.4</v>
      </c>
      <c r="P6217" s="56" t="n">
        <f aca="false">IF(OR(D6217=1,K6216=""),"",K6216)</f>
        <v>1018.8</v>
      </c>
      <c r="Q6217" s="56" t="n">
        <f aca="false">IF(OR(F6217&lt;&gt;0,AND(I6217&lt;&gt;"",E6217&lt;I6217)),1,0)</f>
        <v>0</v>
      </c>
      <c r="R6217" s="56" t="n">
        <f aca="false">IF(AND(D6217&gt;1,Q6217=0,ISNUMBER(O6217),ISNUMBER(P6217)),IF(Q6216=0,1,0),0)</f>
        <v>1</v>
      </c>
      <c r="S6217" s="56" t="n">
        <f aca="false">R6217*(B6217&gt;=Train_Start)*(B6217&lt;=Train_End)</f>
        <v>0</v>
      </c>
      <c r="T6217" s="84" t="n">
        <f aca="false">IF(AND(ISNUMBER(O6217),ISNUMBER(P6217)),Coef_A+Coef_B1*O6217+Coef_B2*P6217,"")</f>
        <v>26.4965179644729</v>
      </c>
      <c r="U6217" s="84" t="n">
        <f aca="false">IF(AND(R6217=1,ISNUMBER(T6217)),E6217-T6217,"")</f>
        <v>0.00348203552709236</v>
      </c>
      <c r="V6217" s="84" t="n">
        <f aca="false">IF(ISNUMBER(T6217),T6217,-99)</f>
        <v>26.4965179644729</v>
      </c>
      <c r="W6217" s="84" t="n">
        <f aca="false">IF(ISNUMBER(U6217),ABS(U6217),"")</f>
        <v>0.00348203552709236</v>
      </c>
    </row>
    <row r="6218" customFormat="false" ht="15" hidden="false" customHeight="false" outlineLevel="0" collapsed="false">
      <c r="A6218" s="57" t="n">
        <v>43682</v>
      </c>
      <c r="B6218" s="56" t="n">
        <v>2019</v>
      </c>
      <c r="C6218" s="56" t="n">
        <v>8</v>
      </c>
      <c r="D6218" s="56" t="n">
        <v>97</v>
      </c>
      <c r="E6218" s="56" t="n">
        <v>25</v>
      </c>
      <c r="F6218" s="56" t="n">
        <v>0</v>
      </c>
      <c r="G6218" s="56" t="n">
        <v>16</v>
      </c>
      <c r="H6218" s="56" t="n">
        <v>0</v>
      </c>
      <c r="I6218" s="56" t="n">
        <v>21.2</v>
      </c>
      <c r="J6218" s="56" t="n">
        <v>0</v>
      </c>
      <c r="K6218" s="56" t="n">
        <v>1009.8</v>
      </c>
      <c r="L6218" s="56" t="n">
        <v>0</v>
      </c>
      <c r="M6218" s="56" t="n">
        <v>68</v>
      </c>
      <c r="N6218" s="56" t="n">
        <v>4.8</v>
      </c>
      <c r="O6218" s="56" t="n">
        <f aca="false">IF(D6218=1,"",E6217)</f>
        <v>26.5</v>
      </c>
      <c r="P6218" s="56" t="n">
        <f aca="false">IF(OR(D6218=1,K6217=""),"",K6217)</f>
        <v>1013.4</v>
      </c>
      <c r="Q6218" s="56" t="n">
        <f aca="false">IF(OR(F6218&lt;&gt;0,AND(I6218&lt;&gt;"",E6218&lt;I6218)),1,0)</f>
        <v>0</v>
      </c>
      <c r="R6218" s="56" t="n">
        <f aca="false">IF(AND(D6218&gt;1,Q6218=0,ISNUMBER(O6218),ISNUMBER(P6218)),IF(Q6217=0,1,0),0)</f>
        <v>1</v>
      </c>
      <c r="S6218" s="56" t="n">
        <f aca="false">R6218*(B6218&gt;=Train_Start)*(B6218&lt;=Train_End)</f>
        <v>0</v>
      </c>
      <c r="T6218" s="84" t="n">
        <f aca="false">IF(AND(ISNUMBER(O6218),ISNUMBER(P6218)),Coef_A+Coef_B1*O6218+Coef_B2*P6218,"")</f>
        <v>25.589715259711</v>
      </c>
      <c r="U6218" s="84" t="n">
        <f aca="false">IF(AND(R6218=1,ISNUMBER(T6218)),E6218-T6218,"")</f>
        <v>-0.589715259710975</v>
      </c>
      <c r="V6218" s="84" t="n">
        <f aca="false">IF(ISNUMBER(T6218),T6218,-99)</f>
        <v>25.589715259711</v>
      </c>
      <c r="W6218" s="84" t="n">
        <f aca="false">IF(ISNUMBER(U6218),ABS(U6218),"")</f>
        <v>0.589715259710975</v>
      </c>
    </row>
    <row r="6219" customFormat="false" ht="15" hidden="false" customHeight="false" outlineLevel="0" collapsed="false">
      <c r="A6219" s="57" t="n">
        <v>43683</v>
      </c>
      <c r="B6219" s="56" t="n">
        <v>2019</v>
      </c>
      <c r="C6219" s="56" t="n">
        <v>8</v>
      </c>
      <c r="D6219" s="56" t="n">
        <v>98</v>
      </c>
      <c r="E6219" s="56" t="n">
        <v>24.9</v>
      </c>
      <c r="F6219" s="56" t="n">
        <v>0</v>
      </c>
      <c r="G6219" s="56" t="n">
        <v>15.3</v>
      </c>
      <c r="H6219" s="56" t="n">
        <v>0</v>
      </c>
      <c r="I6219" s="56" t="n">
        <v>20.1</v>
      </c>
      <c r="J6219" s="56" t="n">
        <v>0</v>
      </c>
      <c r="K6219" s="56" t="n">
        <v>1007.8</v>
      </c>
      <c r="L6219" s="56" t="n">
        <v>0</v>
      </c>
      <c r="M6219" s="56" t="n">
        <v>70</v>
      </c>
      <c r="N6219" s="56" t="n">
        <v>5.9</v>
      </c>
      <c r="O6219" s="56" t="n">
        <f aca="false">IF(D6219=1,"",E6218)</f>
        <v>25</v>
      </c>
      <c r="P6219" s="56" t="n">
        <f aca="false">IF(OR(D6219=1,K6218=""),"",K6218)</f>
        <v>1009.8</v>
      </c>
      <c r="Q6219" s="56" t="n">
        <f aca="false">IF(OR(F6219&lt;&gt;0,AND(I6219&lt;&gt;"",E6219&lt;I6219)),1,0)</f>
        <v>0</v>
      </c>
      <c r="R6219" s="56" t="n">
        <f aca="false">IF(AND(D6219&gt;1,Q6219=0,ISNUMBER(O6219),ISNUMBER(P6219)),IF(Q6218=0,1,0),0)</f>
        <v>1</v>
      </c>
      <c r="S6219" s="56" t="n">
        <f aca="false">R6219*(B6219&gt;=Train_Start)*(B6219&lt;=Train_End)</f>
        <v>0</v>
      </c>
      <c r="T6219" s="84" t="n">
        <f aca="false">IF(AND(ISNUMBER(O6219),ISNUMBER(P6219)),Coef_A+Coef_B1*O6219+Coef_B2*P6219,"")</f>
        <v>24.2477748494646</v>
      </c>
      <c r="U6219" s="84" t="n">
        <f aca="false">IF(AND(R6219=1,ISNUMBER(T6219)),E6219-T6219,"")</f>
        <v>0.652225150535376</v>
      </c>
      <c r="V6219" s="84" t="n">
        <f aca="false">IF(ISNUMBER(T6219),T6219,-99)</f>
        <v>24.2477748494646</v>
      </c>
      <c r="W6219" s="84" t="n">
        <f aca="false">IF(ISNUMBER(U6219),ABS(U6219),"")</f>
        <v>0.652225150535376</v>
      </c>
    </row>
    <row r="6220" customFormat="false" ht="15" hidden="false" customHeight="false" outlineLevel="0" collapsed="false">
      <c r="A6220" s="57" t="n">
        <v>43684</v>
      </c>
      <c r="B6220" s="56" t="n">
        <v>2019</v>
      </c>
      <c r="C6220" s="56" t="n">
        <v>8</v>
      </c>
      <c r="D6220" s="56" t="n">
        <v>99</v>
      </c>
      <c r="E6220" s="56" t="n">
        <v>24.5</v>
      </c>
      <c r="F6220" s="56" t="n">
        <v>0</v>
      </c>
      <c r="G6220" s="56" t="n">
        <v>14.2</v>
      </c>
      <c r="H6220" s="56" t="n">
        <v>0</v>
      </c>
      <c r="I6220" s="56" t="n">
        <v>19.6</v>
      </c>
      <c r="J6220" s="56" t="n">
        <v>0</v>
      </c>
      <c r="K6220" s="56" t="n">
        <v>1006.7</v>
      </c>
      <c r="L6220" s="56" t="n">
        <v>0</v>
      </c>
      <c r="M6220" s="56" t="n">
        <v>70</v>
      </c>
      <c r="N6220" s="56" t="n">
        <v>5.3</v>
      </c>
      <c r="O6220" s="56" t="n">
        <f aca="false">IF(D6220=1,"",E6219)</f>
        <v>24.9</v>
      </c>
      <c r="P6220" s="56" t="n">
        <f aca="false">IF(OR(D6220=1,K6219=""),"",K6219)</f>
        <v>1007.8</v>
      </c>
      <c r="Q6220" s="56" t="n">
        <f aca="false">IF(OR(F6220&lt;&gt;0,AND(I6220&lt;&gt;"",E6220&lt;I6220)),1,0)</f>
        <v>0</v>
      </c>
      <c r="R6220" s="56" t="n">
        <f aca="false">IF(AND(D6220&gt;1,Q6220=0,ISNUMBER(O6220),ISNUMBER(P6220)),IF(Q6219=0,1,0),0)</f>
        <v>1</v>
      </c>
      <c r="S6220" s="56" t="n">
        <f aca="false">R6220*(B6220&gt;=Train_Start)*(B6220&lt;=Train_End)</f>
        <v>0</v>
      </c>
      <c r="T6220" s="84" t="n">
        <f aca="false">IF(AND(ISNUMBER(O6220),ISNUMBER(P6220)),Coef_A+Coef_B1*O6220+Coef_B2*P6220,"")</f>
        <v>24.1031011408924</v>
      </c>
      <c r="U6220" s="84" t="n">
        <f aca="false">IF(AND(R6220=1,ISNUMBER(T6220)),E6220-T6220,"")</f>
        <v>0.396898859107619</v>
      </c>
      <c r="V6220" s="84" t="n">
        <f aca="false">IF(ISNUMBER(T6220),T6220,-99)</f>
        <v>24.1031011408924</v>
      </c>
      <c r="W6220" s="84" t="n">
        <f aca="false">IF(ISNUMBER(U6220),ABS(U6220),"")</f>
        <v>0.396898859107619</v>
      </c>
    </row>
    <row r="6221" customFormat="false" ht="15" hidden="false" customHeight="false" outlineLevel="0" collapsed="false">
      <c r="A6221" s="57" t="n">
        <v>43685</v>
      </c>
      <c r="B6221" s="56" t="n">
        <v>2019</v>
      </c>
      <c r="C6221" s="56" t="n">
        <v>8</v>
      </c>
      <c r="D6221" s="56" t="n">
        <v>100</v>
      </c>
      <c r="E6221" s="56" t="n">
        <v>25</v>
      </c>
      <c r="F6221" s="56" t="n">
        <v>0</v>
      </c>
      <c r="G6221" s="56" t="n">
        <v>13.4</v>
      </c>
      <c r="H6221" s="56" t="n">
        <v>0</v>
      </c>
      <c r="I6221" s="56" t="n">
        <v>18.9</v>
      </c>
      <c r="J6221" s="56" t="n">
        <v>0</v>
      </c>
      <c r="K6221" s="56" t="n">
        <v>1009.6</v>
      </c>
      <c r="L6221" s="56" t="n">
        <v>0</v>
      </c>
      <c r="M6221" s="56" t="n">
        <v>70</v>
      </c>
      <c r="N6221" s="56" t="n">
        <v>5.4</v>
      </c>
      <c r="O6221" s="56" t="n">
        <f aca="false">IF(D6221=1,"",E6220)</f>
        <v>24.5</v>
      </c>
      <c r="P6221" s="56" t="n">
        <f aca="false">IF(OR(D6221=1,K6220=""),"",K6220)</f>
        <v>1006.7</v>
      </c>
      <c r="Q6221" s="56" t="n">
        <f aca="false">IF(OR(F6221&lt;&gt;0,AND(I6221&lt;&gt;"",E6221&lt;I6221)),1,0)</f>
        <v>0</v>
      </c>
      <c r="R6221" s="56" t="n">
        <f aca="false">IF(AND(D6221&gt;1,Q6221=0,ISNUMBER(O6221),ISNUMBER(P6221)),IF(Q6220=0,1,0),0)</f>
        <v>1</v>
      </c>
      <c r="S6221" s="56" t="n">
        <f aca="false">R6221*(B6221&gt;=Train_Start)*(B6221&lt;=Train_End)</f>
        <v>0</v>
      </c>
      <c r="T6221" s="84" t="n">
        <f aca="false">IF(AND(ISNUMBER(O6221),ISNUMBER(P6221)),Coef_A+Coef_B1*O6221+Coef_B2*P6221,"")</f>
        <v>23.7408585795779</v>
      </c>
      <c r="U6221" s="84" t="n">
        <f aca="false">IF(AND(R6221=1,ISNUMBER(T6221)),E6221-T6221,"")</f>
        <v>1.25914142042207</v>
      </c>
      <c r="V6221" s="84" t="n">
        <f aca="false">IF(ISNUMBER(T6221),T6221,-99)</f>
        <v>23.7408585795779</v>
      </c>
      <c r="W6221" s="84" t="n">
        <f aca="false">IF(ISNUMBER(U6221),ABS(U6221),"")</f>
        <v>1.25914142042207</v>
      </c>
    </row>
    <row r="6222" customFormat="false" ht="15" hidden="false" customHeight="false" outlineLevel="0" collapsed="false">
      <c r="A6222" s="57" t="n">
        <v>43686</v>
      </c>
      <c r="B6222" s="56" t="n">
        <v>2019</v>
      </c>
      <c r="C6222" s="56" t="n">
        <v>8</v>
      </c>
      <c r="D6222" s="56" t="n">
        <v>101</v>
      </c>
      <c r="E6222" s="56" t="n">
        <v>23.6</v>
      </c>
      <c r="F6222" s="56" t="n">
        <v>0</v>
      </c>
      <c r="G6222" s="56" t="n">
        <v>17.6</v>
      </c>
      <c r="H6222" s="56" t="n">
        <v>0</v>
      </c>
      <c r="I6222" s="56" t="n">
        <v>21.3</v>
      </c>
      <c r="J6222" s="56" t="n">
        <v>0</v>
      </c>
      <c r="K6222" s="56" t="n">
        <v>1000.9</v>
      </c>
      <c r="L6222" s="56" t="n">
        <v>0</v>
      </c>
      <c r="M6222" s="56" t="n">
        <v>79</v>
      </c>
      <c r="N6222" s="56" t="n">
        <v>3.8</v>
      </c>
      <c r="O6222" s="56" t="n">
        <f aca="false">IF(D6222=1,"",E6221)</f>
        <v>25</v>
      </c>
      <c r="P6222" s="56" t="n">
        <f aca="false">IF(OR(D6222=1,K6221=""),"",K6221)</f>
        <v>1009.6</v>
      </c>
      <c r="Q6222" s="56" t="n">
        <f aca="false">IF(OR(F6222&lt;&gt;0,AND(I6222&lt;&gt;"",E6222&lt;I6222)),1,0)</f>
        <v>0</v>
      </c>
      <c r="R6222" s="56" t="n">
        <f aca="false">IF(AND(D6222&gt;1,Q6222=0,ISNUMBER(O6222),ISNUMBER(P6222)),IF(Q6221=0,1,0),0)</f>
        <v>1</v>
      </c>
      <c r="S6222" s="56" t="n">
        <f aca="false">R6222*(B6222&gt;=Train_Start)*(B6222&lt;=Train_End)</f>
        <v>0</v>
      </c>
      <c r="T6222" s="84" t="n">
        <f aca="false">IF(AND(ISNUMBER(O6222),ISNUMBER(P6222)),Coef_A+Coef_B1*O6222+Coef_B2*P6222,"")</f>
        <v>24.2415008705378</v>
      </c>
      <c r="U6222" s="84" t="n">
        <f aca="false">IF(AND(R6222=1,ISNUMBER(T6222)),E6222-T6222,"")</f>
        <v>-0.641500870537826</v>
      </c>
      <c r="V6222" s="84" t="n">
        <f aca="false">IF(ISNUMBER(T6222),T6222,-99)</f>
        <v>24.2415008705378</v>
      </c>
      <c r="W6222" s="84" t="n">
        <f aca="false">IF(ISNUMBER(U6222),ABS(U6222),"")</f>
        <v>0.641500870537826</v>
      </c>
    </row>
    <row r="6223" customFormat="false" ht="15" hidden="false" customHeight="false" outlineLevel="0" collapsed="false">
      <c r="A6223" s="57" t="n">
        <v>43687</v>
      </c>
      <c r="B6223" s="56" t="n">
        <v>2019</v>
      </c>
      <c r="C6223" s="56" t="n">
        <v>8</v>
      </c>
      <c r="D6223" s="56" t="n">
        <v>102</v>
      </c>
      <c r="E6223" s="56" t="n">
        <v>23.2</v>
      </c>
      <c r="F6223" s="56" t="n">
        <v>0</v>
      </c>
      <c r="G6223" s="56" t="n">
        <v>16.6</v>
      </c>
      <c r="H6223" s="56" t="n">
        <v>0</v>
      </c>
      <c r="I6223" s="56" t="n">
        <v>20.1</v>
      </c>
      <c r="J6223" s="56" t="n">
        <v>0</v>
      </c>
      <c r="K6223" s="56" t="n">
        <v>1004.2</v>
      </c>
      <c r="L6223" s="56" t="n">
        <v>0</v>
      </c>
      <c r="M6223" s="56" t="n">
        <v>70</v>
      </c>
      <c r="N6223" s="56" t="n">
        <v>5.6</v>
      </c>
      <c r="O6223" s="56" t="n">
        <f aca="false">IF(D6223=1,"",E6222)</f>
        <v>23.6</v>
      </c>
      <c r="P6223" s="56" t="n">
        <f aca="false">IF(OR(D6223=1,K6222=""),"",K6222)</f>
        <v>1000.9</v>
      </c>
      <c r="Q6223" s="56" t="n">
        <f aca="false">IF(OR(F6223&lt;&gt;0,AND(I6223&lt;&gt;"",E6223&lt;I6223)),1,0)</f>
        <v>0</v>
      </c>
      <c r="R6223" s="56" t="n">
        <f aca="false">IF(AND(D6223&gt;1,Q6223=0,ISNUMBER(O6223),ISNUMBER(P6223)),IF(Q6222=0,1,0),0)</f>
        <v>1</v>
      </c>
      <c r="S6223" s="56" t="n">
        <f aca="false">R6223*(B6223&gt;=Train_Start)*(B6223&lt;=Train_End)</f>
        <v>0</v>
      </c>
      <c r="T6223" s="84" t="n">
        <f aca="false">IF(AND(ISNUMBER(O6223),ISNUMBER(P6223)),Coef_A+Coef_B1*O6223+Coef_B2*P6223,"")</f>
        <v>22.8215079169624</v>
      </c>
      <c r="U6223" s="84" t="n">
        <f aca="false">IF(AND(R6223=1,ISNUMBER(T6223)),E6223-T6223,"")</f>
        <v>0.3784920830376</v>
      </c>
      <c r="V6223" s="84" t="n">
        <f aca="false">IF(ISNUMBER(T6223),T6223,-99)</f>
        <v>22.8215079169624</v>
      </c>
      <c r="W6223" s="84" t="n">
        <f aca="false">IF(ISNUMBER(U6223),ABS(U6223),"")</f>
        <v>0.3784920830376</v>
      </c>
    </row>
    <row r="6224" customFormat="false" ht="15" hidden="false" customHeight="false" outlineLevel="0" collapsed="false">
      <c r="A6224" s="57" t="n">
        <v>43688</v>
      </c>
      <c r="B6224" s="56" t="n">
        <v>2019</v>
      </c>
      <c r="C6224" s="56" t="n">
        <v>8</v>
      </c>
      <c r="D6224" s="56" t="n">
        <v>103</v>
      </c>
      <c r="E6224" s="56" t="n">
        <v>19.5</v>
      </c>
      <c r="F6224" s="56" t="n">
        <v>0</v>
      </c>
      <c r="G6224" s="56" t="n">
        <v>15.1</v>
      </c>
      <c r="H6224" s="56" t="n">
        <v>0</v>
      </c>
      <c r="I6224" s="56" t="n">
        <v>19.1</v>
      </c>
      <c r="J6224" s="56" t="n">
        <v>0</v>
      </c>
      <c r="K6224" s="56" t="n">
        <v>1011.2</v>
      </c>
      <c r="L6224" s="56" t="n">
        <v>0</v>
      </c>
      <c r="M6224" s="56" t="n">
        <v>65</v>
      </c>
      <c r="N6224" s="56" t="n">
        <v>7.2</v>
      </c>
      <c r="O6224" s="56" t="n">
        <f aca="false">IF(D6224=1,"",E6223)</f>
        <v>23.2</v>
      </c>
      <c r="P6224" s="56" t="n">
        <f aca="false">IF(OR(D6224=1,K6223=""),"",K6223)</f>
        <v>1004.2</v>
      </c>
      <c r="Q6224" s="56" t="n">
        <f aca="false">IF(OR(F6224&lt;&gt;0,AND(I6224&lt;&gt;"",E6224&lt;I6224)),1,0)</f>
        <v>0</v>
      </c>
      <c r="R6224" s="56" t="n">
        <f aca="false">IF(AND(D6224&gt;1,Q6224=0,ISNUMBER(O6224),ISNUMBER(P6224)),IF(Q6223=0,1,0),0)</f>
        <v>1</v>
      </c>
      <c r="S6224" s="56" t="n">
        <f aca="false">R6224*(B6224&gt;=Train_Start)*(B6224&lt;=Train_End)</f>
        <v>0</v>
      </c>
      <c r="T6224" s="84" t="n">
        <f aca="false">IF(AND(ISNUMBER(O6224),ISNUMBER(P6224)),Coef_A+Coef_B1*O6224+Coef_B2*P6224,"")</f>
        <v>22.5972928920375</v>
      </c>
      <c r="U6224" s="84" t="n">
        <f aca="false">IF(AND(R6224=1,ISNUMBER(T6224)),E6224-T6224,"")</f>
        <v>-3.0972928920375</v>
      </c>
      <c r="V6224" s="84" t="n">
        <f aca="false">IF(ISNUMBER(T6224),T6224,-99)</f>
        <v>22.5972928920375</v>
      </c>
      <c r="W6224" s="84" t="n">
        <f aca="false">IF(ISNUMBER(U6224),ABS(U6224),"")</f>
        <v>3.0972928920375</v>
      </c>
    </row>
    <row r="6225" customFormat="false" ht="15" hidden="false" customHeight="false" outlineLevel="0" collapsed="false">
      <c r="A6225" s="57" t="n">
        <v>43689</v>
      </c>
      <c r="B6225" s="56" t="n">
        <v>2019</v>
      </c>
      <c r="C6225" s="56" t="n">
        <v>8</v>
      </c>
      <c r="D6225" s="56" t="n">
        <v>104</v>
      </c>
      <c r="E6225" s="56" t="n">
        <v>23.4</v>
      </c>
      <c r="F6225" s="56" t="n">
        <v>0</v>
      </c>
      <c r="G6225" s="56" t="n">
        <v>12.9</v>
      </c>
      <c r="H6225" s="56" t="n">
        <v>0</v>
      </c>
      <c r="I6225" s="56" t="n">
        <v>16.2</v>
      </c>
      <c r="J6225" s="56" t="n">
        <v>0</v>
      </c>
      <c r="K6225" s="56" t="n">
        <v>1014.6</v>
      </c>
      <c r="L6225" s="56" t="n">
        <v>0</v>
      </c>
      <c r="M6225" s="56" t="n">
        <v>73</v>
      </c>
      <c r="N6225" s="56" t="n">
        <v>1.3</v>
      </c>
      <c r="O6225" s="56" t="n">
        <f aca="false">IF(D6225=1,"",E6224)</f>
        <v>19.5</v>
      </c>
      <c r="P6225" s="56" t="n">
        <f aca="false">IF(OR(D6225=1,K6224=""),"",K6224)</f>
        <v>1011.2</v>
      </c>
      <c r="Q6225" s="56" t="n">
        <f aca="false">IF(OR(F6225&lt;&gt;0,AND(I6225&lt;&gt;"",E6225&lt;I6225)),1,0)</f>
        <v>0</v>
      </c>
      <c r="R6225" s="56" t="n">
        <f aca="false">IF(AND(D6225&gt;1,Q6225=0,ISNUMBER(O6225),ISNUMBER(P6225)),IF(Q6224=0,1,0),0)</f>
        <v>1</v>
      </c>
      <c r="S6225" s="56" t="n">
        <f aca="false">R6225*(B6225&gt;=Train_Start)*(B6225&lt;=Train_End)</f>
        <v>0</v>
      </c>
      <c r="T6225" s="84" t="n">
        <f aca="false">IF(AND(ISNUMBER(O6225),ISNUMBER(P6225)),Coef_A+Coef_B1*O6225+Coef_B2*P6225,"")</f>
        <v>19.7853271402176</v>
      </c>
      <c r="U6225" s="84" t="n">
        <f aca="false">IF(AND(R6225=1,ISNUMBER(T6225)),E6225-T6225,"")</f>
        <v>3.6146728597824</v>
      </c>
      <c r="V6225" s="84" t="n">
        <f aca="false">IF(ISNUMBER(T6225),T6225,-99)</f>
        <v>19.7853271402176</v>
      </c>
      <c r="W6225" s="84" t="n">
        <f aca="false">IF(ISNUMBER(U6225),ABS(U6225),"")</f>
        <v>3.6146728597824</v>
      </c>
    </row>
    <row r="6226" customFormat="false" ht="15" hidden="false" customHeight="false" outlineLevel="0" collapsed="false">
      <c r="A6226" s="57" t="n">
        <v>43690</v>
      </c>
      <c r="B6226" s="56" t="n">
        <v>2019</v>
      </c>
      <c r="C6226" s="56" t="n">
        <v>8</v>
      </c>
      <c r="D6226" s="56" t="n">
        <v>105</v>
      </c>
      <c r="E6226" s="56" t="n">
        <v>19.4</v>
      </c>
      <c r="F6226" s="56" t="n">
        <v>0</v>
      </c>
      <c r="G6226" s="56" t="n">
        <v>9.8</v>
      </c>
      <c r="H6226" s="56" t="n">
        <v>0</v>
      </c>
      <c r="I6226" s="56" t="n">
        <v>16.6</v>
      </c>
      <c r="J6226" s="56" t="n">
        <v>0</v>
      </c>
      <c r="K6226" s="56" t="n">
        <v>1017.4</v>
      </c>
      <c r="L6226" s="56" t="n">
        <v>0</v>
      </c>
      <c r="M6226" s="56" t="n">
        <v>61</v>
      </c>
      <c r="N6226" s="56" t="n">
        <v>9.8</v>
      </c>
      <c r="O6226" s="56" t="n">
        <f aca="false">IF(D6226=1,"",E6225)</f>
        <v>23.4</v>
      </c>
      <c r="P6226" s="56" t="n">
        <f aca="false">IF(OR(D6226=1,K6225=""),"",K6225)</f>
        <v>1014.6</v>
      </c>
      <c r="Q6226" s="56" t="n">
        <f aca="false">IF(OR(F6226&lt;&gt;0,AND(I6226&lt;&gt;"",E6226&lt;I6226)),1,0)</f>
        <v>0</v>
      </c>
      <c r="R6226" s="56" t="n">
        <f aca="false">IF(AND(D6226&gt;1,Q6226=0,ISNUMBER(O6226),ISNUMBER(P6226)),IF(Q6225=0,1,0),0)</f>
        <v>1</v>
      </c>
      <c r="S6226" s="56" t="n">
        <f aca="false">R6226*(B6226&gt;=Train_Start)*(B6226&lt;=Train_End)</f>
        <v>0</v>
      </c>
      <c r="T6226" s="84" t="n">
        <f aca="false">IF(AND(ISNUMBER(O6226),ISNUMBER(P6226)),Coef_A+Coef_B1*O6226+Coef_B2*P6226,"")</f>
        <v>23.0874076348395</v>
      </c>
      <c r="U6226" s="84" t="n">
        <f aca="false">IF(AND(R6226=1,ISNUMBER(T6226)),E6226-T6226,"")</f>
        <v>-3.68740763483952</v>
      </c>
      <c r="V6226" s="84" t="n">
        <f aca="false">IF(ISNUMBER(T6226),T6226,-99)</f>
        <v>23.0874076348395</v>
      </c>
      <c r="W6226" s="84" t="n">
        <f aca="false">IF(ISNUMBER(U6226),ABS(U6226),"")</f>
        <v>3.68740763483952</v>
      </c>
    </row>
    <row r="6227" customFormat="false" ht="15" hidden="false" customHeight="false" outlineLevel="0" collapsed="false">
      <c r="A6227" s="57" t="n">
        <v>43691</v>
      </c>
      <c r="B6227" s="56" t="n">
        <v>2019</v>
      </c>
      <c r="C6227" s="56" t="n">
        <v>8</v>
      </c>
      <c r="D6227" s="56" t="n">
        <v>106</v>
      </c>
      <c r="E6227" s="56" t="n">
        <v>23.5</v>
      </c>
      <c r="F6227" s="56" t="n">
        <v>0</v>
      </c>
      <c r="G6227" s="56" t="n">
        <v>13.9</v>
      </c>
      <c r="H6227" s="56" t="n">
        <v>0</v>
      </c>
      <c r="I6227" s="56" t="n">
        <v>16.6</v>
      </c>
      <c r="J6227" s="56" t="n">
        <v>0</v>
      </c>
      <c r="K6227" s="56" t="n">
        <v>1012.4</v>
      </c>
      <c r="L6227" s="56" t="n">
        <v>0</v>
      </c>
      <c r="M6227" s="56" t="n">
        <v>91</v>
      </c>
      <c r="N6227" s="56" t="n">
        <v>0.1</v>
      </c>
      <c r="O6227" s="56" t="n">
        <f aca="false">IF(D6227=1,"",E6226)</f>
        <v>19.4</v>
      </c>
      <c r="P6227" s="56" t="n">
        <f aca="false">IF(OR(D6227=1,K6226=""),"",K6226)</f>
        <v>1017.4</v>
      </c>
      <c r="Q6227" s="56" t="n">
        <f aca="false">IF(OR(F6227&lt;&gt;0,AND(I6227&lt;&gt;"",E6227&lt;I6227)),1,0)</f>
        <v>0</v>
      </c>
      <c r="R6227" s="56" t="n">
        <f aca="false">IF(AND(D6227&gt;1,Q6227=0,ISNUMBER(O6227),ISNUMBER(P6227)),IF(Q6226=0,1,0),0)</f>
        <v>1</v>
      </c>
      <c r="S6227" s="56" t="n">
        <f aca="false">R6227*(B6227&gt;=Train_Start)*(B6227&lt;=Train_End)</f>
        <v>0</v>
      </c>
      <c r="T6227" s="84" t="n">
        <f aca="false">IF(AND(ISNUMBER(O6227),ISNUMBER(P6227)),Coef_A+Coef_B1*O6227+Coef_B2*P6227,"")</f>
        <v>19.8978865676441</v>
      </c>
      <c r="U6227" s="84" t="n">
        <f aca="false">IF(AND(R6227=1,ISNUMBER(T6227)),E6227-T6227,"")</f>
        <v>3.60211343235594</v>
      </c>
      <c r="V6227" s="84" t="n">
        <f aca="false">IF(ISNUMBER(T6227),T6227,-99)</f>
        <v>19.8978865676441</v>
      </c>
      <c r="W6227" s="84" t="n">
        <f aca="false">IF(ISNUMBER(U6227),ABS(U6227),"")</f>
        <v>3.60211343235594</v>
      </c>
    </row>
    <row r="6228" customFormat="false" ht="15" hidden="false" customHeight="false" outlineLevel="0" collapsed="false">
      <c r="A6228" s="57" t="n">
        <v>43692</v>
      </c>
      <c r="B6228" s="56" t="n">
        <v>2019</v>
      </c>
      <c r="C6228" s="56" t="n">
        <v>8</v>
      </c>
      <c r="D6228" s="56" t="n">
        <v>107</v>
      </c>
      <c r="E6228" s="56" t="n">
        <v>19.2</v>
      </c>
      <c r="F6228" s="56" t="n">
        <v>0</v>
      </c>
      <c r="G6228" s="56" t="n">
        <v>14</v>
      </c>
      <c r="H6228" s="56" t="n">
        <v>0</v>
      </c>
      <c r="I6228" s="56" t="n">
        <v>18.8</v>
      </c>
      <c r="J6228" s="56" t="n">
        <v>0</v>
      </c>
      <c r="K6228" s="56" t="n">
        <v>1012.3</v>
      </c>
      <c r="L6228" s="56" t="n">
        <v>0</v>
      </c>
      <c r="M6228" s="56" t="n">
        <v>68</v>
      </c>
      <c r="N6228" s="56" t="n">
        <v>7</v>
      </c>
      <c r="O6228" s="56" t="n">
        <f aca="false">IF(D6228=1,"",E6227)</f>
        <v>23.5</v>
      </c>
      <c r="P6228" s="56" t="n">
        <f aca="false">IF(OR(D6228=1,K6227=""),"",K6227)</f>
        <v>1012.4</v>
      </c>
      <c r="Q6228" s="56" t="n">
        <f aca="false">IF(OR(F6228&lt;&gt;0,AND(I6228&lt;&gt;"",E6228&lt;I6228)),1,0)</f>
        <v>0</v>
      </c>
      <c r="R6228" s="56" t="n">
        <f aca="false">IF(AND(D6228&gt;1,Q6228=0,ISNUMBER(O6228),ISNUMBER(P6228)),IF(Q6227=0,1,0),0)</f>
        <v>1</v>
      </c>
      <c r="S6228" s="56" t="n">
        <f aca="false">R6228*(B6228&gt;=Train_Start)*(B6228&lt;=Train_End)</f>
        <v>0</v>
      </c>
      <c r="T6228" s="84" t="n">
        <f aca="false">IF(AND(ISNUMBER(O6228),ISNUMBER(P6228)),Coef_A+Coef_B1*O6228+Coef_B2*P6228,"")</f>
        <v>23.100327785949</v>
      </c>
      <c r="U6228" s="84" t="n">
        <f aca="false">IF(AND(R6228=1,ISNUMBER(T6228)),E6228-T6228,"")</f>
        <v>-3.90032778594901</v>
      </c>
      <c r="V6228" s="84" t="n">
        <f aca="false">IF(ISNUMBER(T6228),T6228,-99)</f>
        <v>23.100327785949</v>
      </c>
      <c r="W6228" s="84" t="n">
        <f aca="false">IF(ISNUMBER(U6228),ABS(U6228),"")</f>
        <v>3.90032778594901</v>
      </c>
    </row>
    <row r="6229" customFormat="false" ht="15" hidden="false" customHeight="false" outlineLevel="0" collapsed="false">
      <c r="A6229" s="57" t="n">
        <v>43693</v>
      </c>
      <c r="B6229" s="56" t="n">
        <v>2019</v>
      </c>
      <c r="C6229" s="56" t="n">
        <v>8</v>
      </c>
      <c r="D6229" s="56" t="n">
        <v>108</v>
      </c>
      <c r="E6229" s="56" t="n">
        <v>24.1</v>
      </c>
      <c r="F6229" s="56" t="n">
        <v>0</v>
      </c>
      <c r="G6229" s="56" t="n">
        <v>12.7</v>
      </c>
      <c r="H6229" s="56" t="n">
        <v>0</v>
      </c>
      <c r="I6229" s="56" t="n">
        <v>15.9</v>
      </c>
      <c r="J6229" s="56" t="n">
        <v>0</v>
      </c>
      <c r="K6229" s="56" t="n">
        <v>1011.2</v>
      </c>
      <c r="L6229" s="56" t="n">
        <v>0</v>
      </c>
      <c r="M6229" s="56" t="n">
        <v>86</v>
      </c>
      <c r="N6229" s="56" t="n">
        <v>0</v>
      </c>
      <c r="O6229" s="56" t="n">
        <f aca="false">IF(D6229=1,"",E6228)</f>
        <v>19.2</v>
      </c>
      <c r="P6229" s="56" t="n">
        <f aca="false">IF(OR(D6229=1,K6228=""),"",K6228)</f>
        <v>1012.3</v>
      </c>
      <c r="Q6229" s="56" t="n">
        <f aca="false">IF(OR(F6229&lt;&gt;0,AND(I6229&lt;&gt;"",E6229&lt;I6229)),1,0)</f>
        <v>0</v>
      </c>
      <c r="R6229" s="56" t="n">
        <f aca="false">IF(AND(D6229&gt;1,Q6229=0,ISNUMBER(O6229),ISNUMBER(P6229)),IF(Q6228=0,1,0),0)</f>
        <v>1</v>
      </c>
      <c r="S6229" s="56" t="n">
        <f aca="false">R6229*(B6229&gt;=Train_Start)*(B6229&lt;=Train_End)</f>
        <v>0</v>
      </c>
      <c r="T6229" s="84" t="n">
        <f aca="false">IF(AND(ISNUMBER(O6229),ISNUMBER(P6229)),Coef_A+Coef_B1*O6229+Coef_B2*P6229,"")</f>
        <v>19.5740322664022</v>
      </c>
      <c r="U6229" s="84" t="n">
        <f aca="false">IF(AND(R6229=1,ISNUMBER(T6229)),E6229-T6229,"")</f>
        <v>4.52596773359782</v>
      </c>
      <c r="V6229" s="84" t="n">
        <f aca="false">IF(ISNUMBER(T6229),T6229,-99)</f>
        <v>19.5740322664022</v>
      </c>
      <c r="W6229" s="84" t="n">
        <f aca="false">IF(ISNUMBER(U6229),ABS(U6229),"")</f>
        <v>4.52596773359782</v>
      </c>
    </row>
    <row r="6230" customFormat="false" ht="15" hidden="false" customHeight="false" outlineLevel="0" collapsed="false">
      <c r="A6230" s="57" t="n">
        <v>43694</v>
      </c>
      <c r="B6230" s="56" t="n">
        <v>2019</v>
      </c>
      <c r="C6230" s="56" t="n">
        <v>8</v>
      </c>
      <c r="D6230" s="56" t="n">
        <v>109</v>
      </c>
      <c r="E6230" s="56" t="n">
        <v>22.5</v>
      </c>
      <c r="F6230" s="56" t="n">
        <v>0</v>
      </c>
      <c r="G6230" s="56" t="n">
        <v>15</v>
      </c>
      <c r="H6230" s="56" t="n">
        <v>0</v>
      </c>
      <c r="I6230" s="56" t="n">
        <v>19.6</v>
      </c>
      <c r="J6230" s="56" t="n">
        <v>0</v>
      </c>
      <c r="K6230" s="56" t="n">
        <v>1004.6</v>
      </c>
      <c r="L6230" s="56" t="n">
        <v>0</v>
      </c>
      <c r="M6230" s="56" t="n">
        <v>75</v>
      </c>
      <c r="N6230" s="56" t="n">
        <v>7.5</v>
      </c>
      <c r="O6230" s="56" t="n">
        <f aca="false">IF(D6230=1,"",E6229)</f>
        <v>24.1</v>
      </c>
      <c r="P6230" s="56" t="n">
        <f aca="false">IF(OR(D6230=1,K6229=""),"",K6229)</f>
        <v>1011.2</v>
      </c>
      <c r="Q6230" s="56" t="n">
        <f aca="false">IF(OR(F6230&lt;&gt;0,AND(I6230&lt;&gt;"",E6230&lt;I6230)),1,0)</f>
        <v>0</v>
      </c>
      <c r="R6230" s="56" t="n">
        <f aca="false">IF(AND(D6230&gt;1,Q6230=0,ISNUMBER(O6230),ISNUMBER(P6230)),IF(Q6229=0,1,0),0)</f>
        <v>1</v>
      </c>
      <c r="S6230" s="56" t="n">
        <f aca="false">R6230*(B6230&gt;=Train_Start)*(B6230&lt;=Train_End)</f>
        <v>0</v>
      </c>
      <c r="T6230" s="84" t="n">
        <f aca="false">IF(AND(ISNUMBER(O6230),ISNUMBER(P6230)),Coef_A+Coef_B1*O6230+Coef_B2*P6230,"")</f>
        <v>23.5542874282138</v>
      </c>
      <c r="U6230" s="84" t="n">
        <f aca="false">IF(AND(R6230=1,ISNUMBER(T6230)),E6230-T6230,"")</f>
        <v>-1.05428742821382</v>
      </c>
      <c r="V6230" s="84" t="n">
        <f aca="false">IF(ISNUMBER(T6230),T6230,-99)</f>
        <v>23.5542874282138</v>
      </c>
      <c r="W6230" s="84" t="n">
        <f aca="false">IF(ISNUMBER(U6230),ABS(U6230),"")</f>
        <v>1.05428742821382</v>
      </c>
    </row>
    <row r="6231" customFormat="false" ht="15" hidden="false" customHeight="false" outlineLevel="0" collapsed="false">
      <c r="A6231" s="57" t="n">
        <v>43695</v>
      </c>
      <c r="B6231" s="56" t="n">
        <v>2019</v>
      </c>
      <c r="C6231" s="56" t="n">
        <v>8</v>
      </c>
      <c r="D6231" s="56" t="n">
        <v>110</v>
      </c>
      <c r="E6231" s="56" t="n">
        <v>22.4</v>
      </c>
      <c r="F6231" s="56" t="n">
        <v>0</v>
      </c>
      <c r="G6231" s="56" t="n">
        <v>14.6</v>
      </c>
      <c r="H6231" s="56" t="n">
        <v>0</v>
      </c>
      <c r="I6231" s="56" t="n">
        <v>18.6</v>
      </c>
      <c r="J6231" s="56" t="n">
        <v>0</v>
      </c>
      <c r="K6231" s="56" t="n">
        <v>1005.5</v>
      </c>
      <c r="L6231" s="56" t="n">
        <v>0</v>
      </c>
      <c r="M6231" s="56" t="n">
        <v>76</v>
      </c>
      <c r="N6231" s="56" t="n">
        <v>3.7</v>
      </c>
      <c r="O6231" s="56" t="n">
        <f aca="false">IF(D6231=1,"",E6230)</f>
        <v>22.5</v>
      </c>
      <c r="P6231" s="56" t="n">
        <f aca="false">IF(OR(D6231=1,K6230=""),"",K6230)</f>
        <v>1004.6</v>
      </c>
      <c r="Q6231" s="56" t="n">
        <f aca="false">IF(OR(F6231&lt;&gt;0,AND(I6231&lt;&gt;"",E6231&lt;I6231)),1,0)</f>
        <v>0</v>
      </c>
      <c r="R6231" s="56" t="n">
        <f aca="false">IF(AND(D6231&gt;1,Q6231=0,ISNUMBER(O6231),ISNUMBER(P6231)),IF(Q6230=0,1,0),0)</f>
        <v>1</v>
      </c>
      <c r="S6231" s="56" t="n">
        <f aca="false">R6231*(B6231&gt;=Train_Start)*(B6231&lt;=Train_End)</f>
        <v>0</v>
      </c>
      <c r="T6231" s="84" t="n">
        <f aca="false">IF(AND(ISNUMBER(O6231),ISNUMBER(P6231)),Coef_A+Coef_B1*O6231+Coef_B2*P6231,"")</f>
        <v>22.0363034147612</v>
      </c>
      <c r="U6231" s="84" t="n">
        <f aca="false">IF(AND(R6231=1,ISNUMBER(T6231)),E6231-T6231,"")</f>
        <v>0.36369658523876</v>
      </c>
      <c r="V6231" s="84" t="n">
        <f aca="false">IF(ISNUMBER(T6231),T6231,-99)</f>
        <v>22.0363034147612</v>
      </c>
      <c r="W6231" s="84" t="n">
        <f aca="false">IF(ISNUMBER(U6231),ABS(U6231),"")</f>
        <v>0.36369658523876</v>
      </c>
    </row>
    <row r="6232" customFormat="false" ht="15" hidden="false" customHeight="false" outlineLevel="0" collapsed="false">
      <c r="A6232" s="57" t="n">
        <v>43696</v>
      </c>
      <c r="B6232" s="56" t="n">
        <v>2019</v>
      </c>
      <c r="C6232" s="56" t="n">
        <v>8</v>
      </c>
      <c r="D6232" s="56" t="n">
        <v>111</v>
      </c>
      <c r="E6232" s="56" t="n">
        <v>22.8</v>
      </c>
      <c r="F6232" s="56" t="n">
        <v>0</v>
      </c>
      <c r="G6232" s="56" t="n">
        <v>12.1</v>
      </c>
      <c r="H6232" s="56" t="n">
        <v>0</v>
      </c>
      <c r="I6232" s="56" t="n">
        <v>17.2</v>
      </c>
      <c r="J6232" s="56" t="n">
        <v>0</v>
      </c>
      <c r="K6232" s="56" t="n">
        <v>1014.1</v>
      </c>
      <c r="L6232" s="56" t="n">
        <v>0</v>
      </c>
      <c r="M6232" s="56" t="n">
        <v>68</v>
      </c>
      <c r="N6232" s="56" t="n">
        <v>7.5</v>
      </c>
      <c r="O6232" s="56" t="n">
        <f aca="false">IF(D6232=1,"",E6231)</f>
        <v>22.4</v>
      </c>
      <c r="P6232" s="56" t="n">
        <f aca="false">IF(OR(D6232=1,K6231=""),"",K6231)</f>
        <v>1005.5</v>
      </c>
      <c r="Q6232" s="56" t="n">
        <f aca="false">IF(OR(F6232&lt;&gt;0,AND(I6232&lt;&gt;"",E6232&lt;I6232)),1,0)</f>
        <v>0</v>
      </c>
      <c r="R6232" s="56" t="n">
        <f aca="false">IF(AND(D6232&gt;1,Q6232=0,ISNUMBER(O6232),ISNUMBER(P6232)),IF(Q6231=0,1,0),0)</f>
        <v>1</v>
      </c>
      <c r="S6232" s="56" t="n">
        <f aca="false">R6232*(B6232&gt;=Train_Start)*(B6232&lt;=Train_End)</f>
        <v>0</v>
      </c>
      <c r="T6232" s="84" t="n">
        <f aca="false">IF(AND(ISNUMBER(O6232),ISNUMBER(P6232)),Coef_A+Coef_B1*O6232+Coef_B2*P6232,"")</f>
        <v>21.9826024006276</v>
      </c>
      <c r="U6232" s="84" t="n">
        <f aca="false">IF(AND(R6232=1,ISNUMBER(T6232)),E6232-T6232,"")</f>
        <v>0.817397599372441</v>
      </c>
      <c r="V6232" s="84" t="n">
        <f aca="false">IF(ISNUMBER(T6232),T6232,-99)</f>
        <v>21.9826024006276</v>
      </c>
      <c r="W6232" s="84" t="n">
        <f aca="false">IF(ISNUMBER(U6232),ABS(U6232),"")</f>
        <v>0.817397599372441</v>
      </c>
    </row>
    <row r="6233" customFormat="false" ht="15" hidden="false" customHeight="false" outlineLevel="0" collapsed="false">
      <c r="A6233" s="57" t="n">
        <v>43697</v>
      </c>
      <c r="B6233" s="56" t="n">
        <v>2019</v>
      </c>
      <c r="C6233" s="56" t="n">
        <v>8</v>
      </c>
      <c r="D6233" s="56" t="n">
        <v>112</v>
      </c>
      <c r="E6233" s="56" t="n">
        <v>23.6</v>
      </c>
      <c r="F6233" s="56" t="n">
        <v>0</v>
      </c>
      <c r="G6233" s="56" t="n">
        <v>10.7</v>
      </c>
      <c r="H6233" s="56" t="n">
        <v>0</v>
      </c>
      <c r="I6233" s="56" t="n">
        <v>16.8</v>
      </c>
      <c r="J6233" s="56" t="n">
        <v>0</v>
      </c>
      <c r="K6233" s="56" t="n">
        <v>1022.8</v>
      </c>
      <c r="L6233" s="56" t="n">
        <v>0</v>
      </c>
      <c r="M6233" s="56" t="n">
        <v>60</v>
      </c>
      <c r="N6233" s="56" t="n">
        <v>9.9</v>
      </c>
      <c r="O6233" s="56" t="n">
        <f aca="false">IF(D6233=1,"",E6232)</f>
        <v>22.8</v>
      </c>
      <c r="P6233" s="56" t="n">
        <f aca="false">IF(OR(D6233=1,K6232=""),"",K6232)</f>
        <v>1014.1</v>
      </c>
      <c r="Q6233" s="56" t="n">
        <f aca="false">IF(OR(F6233&lt;&gt;0,AND(I6233&lt;&gt;"",E6233&lt;I6233)),1,0)</f>
        <v>0</v>
      </c>
      <c r="R6233" s="56" t="n">
        <f aca="false">IF(AND(D6233&gt;1,Q6233=0,ISNUMBER(O6233),ISNUMBER(P6233)),IF(Q6232=0,1,0),0)</f>
        <v>1</v>
      </c>
      <c r="S6233" s="56" t="n">
        <f aca="false">R6233*(B6233&gt;=Train_Start)*(B6233&lt;=Train_End)</f>
        <v>0</v>
      </c>
      <c r="T6233" s="84" t="n">
        <f aca="false">IF(AND(ISNUMBER(O6233),ISNUMBER(P6233)),Coef_A+Coef_B1*O6233+Coef_B2*P6233,"")</f>
        <v>22.5801191716969</v>
      </c>
      <c r="U6233" s="84" t="n">
        <f aca="false">IF(AND(R6233=1,ISNUMBER(T6233)),E6233-T6233,"")</f>
        <v>1.01988082830307</v>
      </c>
      <c r="V6233" s="84" t="n">
        <f aca="false">IF(ISNUMBER(T6233),T6233,-99)</f>
        <v>22.5801191716969</v>
      </c>
      <c r="W6233" s="84" t="n">
        <f aca="false">IF(ISNUMBER(U6233),ABS(U6233),"")</f>
        <v>1.01988082830307</v>
      </c>
    </row>
    <row r="6234" customFormat="false" ht="15" hidden="false" customHeight="false" outlineLevel="0" collapsed="false">
      <c r="A6234" s="57" t="n">
        <v>43698</v>
      </c>
      <c r="B6234" s="56" t="n">
        <v>2019</v>
      </c>
      <c r="C6234" s="56" t="n">
        <v>8</v>
      </c>
      <c r="D6234" s="56" t="n">
        <v>113</v>
      </c>
      <c r="E6234" s="56" t="n">
        <v>25.1</v>
      </c>
      <c r="F6234" s="56" t="n">
        <v>0</v>
      </c>
      <c r="G6234" s="56" t="n">
        <v>10.6</v>
      </c>
      <c r="H6234" s="56" t="n">
        <v>0</v>
      </c>
      <c r="I6234" s="56" t="n">
        <v>17.1</v>
      </c>
      <c r="J6234" s="56" t="n">
        <v>0</v>
      </c>
      <c r="K6234" s="56" t="n">
        <v>1026.5</v>
      </c>
      <c r="L6234" s="56" t="n">
        <v>0</v>
      </c>
      <c r="M6234" s="56" t="n">
        <v>66</v>
      </c>
      <c r="N6234" s="56" t="n">
        <v>8.4</v>
      </c>
      <c r="O6234" s="56" t="n">
        <f aca="false">IF(D6234=1,"",E6233)</f>
        <v>23.6</v>
      </c>
      <c r="P6234" s="56" t="n">
        <f aca="false">IF(OR(D6234=1,K6233=""),"",K6233)</f>
        <v>1022.8</v>
      </c>
      <c r="Q6234" s="56" t="n">
        <f aca="false">IF(OR(F6234&lt;&gt;0,AND(I6234&lt;&gt;"",E6234&lt;I6234)),1,0)</f>
        <v>0</v>
      </c>
      <c r="R6234" s="56" t="n">
        <f aca="false">IF(AND(D6234&gt;1,Q6234=0,ISNUMBER(O6234),ISNUMBER(P6234)),IF(Q6233=0,1,0),0)</f>
        <v>1</v>
      </c>
      <c r="S6234" s="56" t="n">
        <f aca="false">R6234*(B6234&gt;=Train_Start)*(B6234&lt;=Train_End)</f>
        <v>0</v>
      </c>
      <c r="T6234" s="84" t="n">
        <f aca="false">IF(AND(ISNUMBER(O6234),ISNUMBER(P6234)),Coef_A+Coef_B1*O6234+Coef_B2*P6234,"")</f>
        <v>23.5085086094468</v>
      </c>
      <c r="U6234" s="84" t="n">
        <f aca="false">IF(AND(R6234=1,ISNUMBER(T6234)),E6234-T6234,"")</f>
        <v>1.59149139055323</v>
      </c>
      <c r="V6234" s="84" t="n">
        <f aca="false">IF(ISNUMBER(T6234),T6234,-99)</f>
        <v>23.5085086094468</v>
      </c>
      <c r="W6234" s="84" t="n">
        <f aca="false">IF(ISNUMBER(U6234),ABS(U6234),"")</f>
        <v>1.59149139055323</v>
      </c>
    </row>
    <row r="6235" customFormat="false" ht="15" hidden="false" customHeight="false" outlineLevel="0" collapsed="false">
      <c r="A6235" s="57" t="n">
        <v>43699</v>
      </c>
      <c r="B6235" s="56" t="n">
        <v>2019</v>
      </c>
      <c r="C6235" s="56" t="n">
        <v>8</v>
      </c>
      <c r="D6235" s="56" t="n">
        <v>114</v>
      </c>
      <c r="E6235" s="56" t="n">
        <v>27.7</v>
      </c>
      <c r="F6235" s="56" t="n">
        <v>0</v>
      </c>
      <c r="G6235" s="56" t="n">
        <v>12.2</v>
      </c>
      <c r="H6235" s="56" t="n">
        <v>0</v>
      </c>
      <c r="I6235" s="56" t="n">
        <v>18.6</v>
      </c>
      <c r="J6235" s="56" t="n">
        <v>0</v>
      </c>
      <c r="K6235" s="56" t="n">
        <v>1024.7</v>
      </c>
      <c r="L6235" s="56" t="n">
        <v>0</v>
      </c>
      <c r="M6235" s="56" t="n">
        <v>69</v>
      </c>
      <c r="N6235" s="56" t="n">
        <v>9</v>
      </c>
      <c r="O6235" s="56" t="n">
        <f aca="false">IF(D6235=1,"",E6234)</f>
        <v>25.1</v>
      </c>
      <c r="P6235" s="56" t="n">
        <f aca="false">IF(OR(D6235=1,K6234=""),"",K6234)</f>
        <v>1026.5</v>
      </c>
      <c r="Q6235" s="56" t="n">
        <f aca="false">IF(OR(F6235&lt;&gt;0,AND(I6235&lt;&gt;"",E6235&lt;I6235)),1,0)</f>
        <v>0</v>
      </c>
      <c r="R6235" s="56" t="n">
        <f aca="false">IF(AND(D6235&gt;1,Q6235=0,ISNUMBER(O6235),ISNUMBER(P6235)),IF(Q6234=0,1,0),0)</f>
        <v>1</v>
      </c>
      <c r="S6235" s="56" t="n">
        <f aca="false">R6235*(B6235&gt;=Train_Start)*(B6235&lt;=Train_End)</f>
        <v>0</v>
      </c>
      <c r="T6235" s="84" t="n">
        <f aca="false">IF(AND(ISNUMBER(O6235),ISNUMBER(P6235)),Coef_A+Coef_B1*O6235+Coef_B2*P6235,"")</f>
        <v>24.8535860091565</v>
      </c>
      <c r="U6235" s="84" t="n">
        <f aca="false">IF(AND(R6235=1,ISNUMBER(T6235)),E6235-T6235,"")</f>
        <v>2.84641399084349</v>
      </c>
      <c r="V6235" s="84" t="n">
        <f aca="false">IF(ISNUMBER(T6235),T6235,-99)</f>
        <v>24.8535860091565</v>
      </c>
      <c r="W6235" s="84" t="n">
        <f aca="false">IF(ISNUMBER(U6235),ABS(U6235),"")</f>
        <v>2.84641399084349</v>
      </c>
    </row>
    <row r="6236" customFormat="false" ht="15" hidden="false" customHeight="false" outlineLevel="0" collapsed="false">
      <c r="A6236" s="57" t="n">
        <v>43700</v>
      </c>
      <c r="B6236" s="56" t="n">
        <v>2019</v>
      </c>
      <c r="C6236" s="56" t="n">
        <v>8</v>
      </c>
      <c r="D6236" s="56" t="n">
        <v>115</v>
      </c>
      <c r="E6236" s="56" t="n">
        <v>30.7</v>
      </c>
      <c r="F6236" s="56" t="n">
        <v>0</v>
      </c>
      <c r="G6236" s="56" t="n">
        <v>13.2</v>
      </c>
      <c r="H6236" s="56" t="n">
        <v>0</v>
      </c>
      <c r="I6236" s="56" t="n">
        <v>20.4</v>
      </c>
      <c r="J6236" s="56" t="n">
        <v>0</v>
      </c>
      <c r="K6236" s="56" t="n">
        <v>1024</v>
      </c>
      <c r="L6236" s="56" t="n">
        <v>0</v>
      </c>
      <c r="M6236" s="56" t="n">
        <v>69</v>
      </c>
      <c r="N6236" s="56" t="n">
        <v>12.2</v>
      </c>
      <c r="O6236" s="56" t="n">
        <f aca="false">IF(D6236=1,"",E6235)</f>
        <v>27.7</v>
      </c>
      <c r="P6236" s="56" t="n">
        <f aca="false">IF(OR(D6236=1,K6235=""),"",K6235)</f>
        <v>1024.7</v>
      </c>
      <c r="Q6236" s="56" t="n">
        <f aca="false">IF(OR(F6236&lt;&gt;0,AND(I6236&lt;&gt;"",E6236&lt;I6236)),1,0)</f>
        <v>0</v>
      </c>
      <c r="R6236" s="56" t="n">
        <f aca="false">IF(AND(D6236&gt;1,Q6236=0,ISNUMBER(O6236),ISNUMBER(P6236)),IF(Q6235=0,1,0),0)</f>
        <v>1</v>
      </c>
      <c r="S6236" s="56" t="n">
        <f aca="false">R6236*(B6236&gt;=Train_Start)*(B6236&lt;=Train_End)</f>
        <v>0</v>
      </c>
      <c r="T6236" s="84" t="n">
        <f aca="false">IF(AND(ISNUMBER(O6236),ISNUMBER(P6236)),Coef_A+Coef_B1*O6236+Coef_B2*P6236,"")</f>
        <v>26.9274021007262</v>
      </c>
      <c r="U6236" s="84" t="n">
        <f aca="false">IF(AND(R6236=1,ISNUMBER(T6236)),E6236-T6236,"")</f>
        <v>3.77259789927376</v>
      </c>
      <c r="V6236" s="84" t="n">
        <f aca="false">IF(ISNUMBER(T6236),T6236,-99)</f>
        <v>26.9274021007262</v>
      </c>
      <c r="W6236" s="84" t="n">
        <f aca="false">IF(ISNUMBER(U6236),ABS(U6236),"")</f>
        <v>3.77259789927376</v>
      </c>
    </row>
    <row r="6237" customFormat="false" ht="15" hidden="false" customHeight="false" outlineLevel="0" collapsed="false">
      <c r="A6237" s="57" t="n">
        <v>43701</v>
      </c>
      <c r="B6237" s="56" t="n">
        <v>2019</v>
      </c>
      <c r="C6237" s="56" t="n">
        <v>8</v>
      </c>
      <c r="D6237" s="56" t="n">
        <v>116</v>
      </c>
      <c r="E6237" s="56" t="n">
        <v>33.3</v>
      </c>
      <c r="F6237" s="56" t="n">
        <v>0</v>
      </c>
      <c r="G6237" s="56" t="n">
        <v>13</v>
      </c>
      <c r="H6237" s="56" t="n">
        <v>0</v>
      </c>
      <c r="I6237" s="56" t="n">
        <v>21.9</v>
      </c>
      <c r="J6237" s="56" t="n">
        <v>0</v>
      </c>
      <c r="K6237" s="56" t="n">
        <v>1019.1</v>
      </c>
      <c r="L6237" s="56" t="n">
        <v>0</v>
      </c>
      <c r="M6237" s="56" t="n">
        <v>60</v>
      </c>
      <c r="N6237" s="56" t="n">
        <v>11.1</v>
      </c>
      <c r="O6237" s="56" t="n">
        <f aca="false">IF(D6237=1,"",E6236)</f>
        <v>30.7</v>
      </c>
      <c r="P6237" s="56" t="n">
        <f aca="false">IF(OR(D6237=1,K6236=""),"",K6236)</f>
        <v>1024</v>
      </c>
      <c r="Q6237" s="56" t="n">
        <f aca="false">IF(OR(F6237&lt;&gt;0,AND(I6237&lt;&gt;"",E6237&lt;I6237)),1,0)</f>
        <v>0</v>
      </c>
      <c r="R6237" s="56" t="n">
        <f aca="false">IF(AND(D6237&gt;1,Q6237=0,ISNUMBER(O6237),ISNUMBER(P6237)),IF(Q6236=0,1,0),0)</f>
        <v>1</v>
      </c>
      <c r="S6237" s="56" t="n">
        <f aca="false">R6237*(B6237&gt;=Train_Start)*(B6237&lt;=Train_End)</f>
        <v>0</v>
      </c>
      <c r="T6237" s="84" t="n">
        <f aca="false">IF(AND(ISNUMBER(O6237),ISNUMBER(P6237)),Coef_A+Coef_B1*O6237+Coef_B2*P6237,"")</f>
        <v>29.3634607536104</v>
      </c>
      <c r="U6237" s="84" t="n">
        <f aca="false">IF(AND(R6237=1,ISNUMBER(T6237)),E6237-T6237,"")</f>
        <v>3.93653924638958</v>
      </c>
      <c r="V6237" s="84" t="n">
        <f aca="false">IF(ISNUMBER(T6237),T6237,-99)</f>
        <v>29.3634607536104</v>
      </c>
      <c r="W6237" s="84" t="n">
        <f aca="false">IF(ISNUMBER(U6237),ABS(U6237),"")</f>
        <v>3.93653924638958</v>
      </c>
    </row>
    <row r="6238" customFormat="false" ht="15" hidden="false" customHeight="false" outlineLevel="0" collapsed="false">
      <c r="A6238" s="57" t="n">
        <v>43702</v>
      </c>
      <c r="B6238" s="56" t="n">
        <v>2019</v>
      </c>
      <c r="C6238" s="56" t="n">
        <v>8</v>
      </c>
      <c r="D6238" s="56" t="n">
        <v>117</v>
      </c>
      <c r="E6238" s="56" t="n">
        <v>33.2</v>
      </c>
      <c r="F6238" s="56" t="n">
        <v>0</v>
      </c>
      <c r="G6238" s="56" t="n">
        <v>16.3</v>
      </c>
      <c r="H6238" s="56" t="n">
        <v>0</v>
      </c>
      <c r="I6238" s="56" t="n">
        <v>24.8</v>
      </c>
      <c r="J6238" s="56" t="n">
        <v>0</v>
      </c>
      <c r="K6238" s="56" t="n">
        <v>1017.8</v>
      </c>
      <c r="L6238" s="56" t="n">
        <v>0</v>
      </c>
      <c r="M6238" s="56" t="n">
        <v>51</v>
      </c>
      <c r="N6238" s="56" t="n">
        <v>11</v>
      </c>
      <c r="O6238" s="56" t="n">
        <f aca="false">IF(D6238=1,"",E6237)</f>
        <v>33.3</v>
      </c>
      <c r="P6238" s="56" t="n">
        <f aca="false">IF(OR(D6238=1,K6237=""),"",K6237)</f>
        <v>1019.1</v>
      </c>
      <c r="Q6238" s="56" t="n">
        <f aca="false">IF(OR(F6238&lt;&gt;0,AND(I6238&lt;&gt;"",E6238&lt;I6238)),1,0)</f>
        <v>0</v>
      </c>
      <c r="R6238" s="56" t="n">
        <f aca="false">IF(AND(D6238&gt;1,Q6238=0,ISNUMBER(O6238),ISNUMBER(P6238)),IF(Q6237=0,1,0),0)</f>
        <v>1</v>
      </c>
      <c r="S6238" s="56" t="n">
        <f aca="false">R6238*(B6238&gt;=Train_Start)*(B6238&lt;=Train_End)</f>
        <v>0</v>
      </c>
      <c r="T6238" s="84" t="n">
        <f aca="false">IF(AND(ISNUMBER(O6238),ISNUMBER(P6238)),Coef_A+Coef_B1*O6238+Coef_B2*P6238,"")</f>
        <v>31.3400301718148</v>
      </c>
      <c r="U6238" s="84" t="n">
        <f aca="false">IF(AND(R6238=1,ISNUMBER(T6238)),E6238-T6238,"")</f>
        <v>1.85996982818522</v>
      </c>
      <c r="V6238" s="84" t="n">
        <f aca="false">IF(ISNUMBER(T6238),T6238,-99)</f>
        <v>31.3400301718148</v>
      </c>
      <c r="W6238" s="84" t="n">
        <f aca="false">IF(ISNUMBER(U6238),ABS(U6238),"")</f>
        <v>1.85996982818522</v>
      </c>
    </row>
    <row r="6239" customFormat="false" ht="15" hidden="false" customHeight="false" outlineLevel="0" collapsed="false">
      <c r="A6239" s="57" t="n">
        <v>43703</v>
      </c>
      <c r="B6239" s="56" t="n">
        <v>2019</v>
      </c>
      <c r="C6239" s="56" t="n">
        <v>8</v>
      </c>
      <c r="D6239" s="56" t="n">
        <v>118</v>
      </c>
      <c r="E6239" s="56" t="n">
        <v>33.4</v>
      </c>
      <c r="F6239" s="56" t="n">
        <v>0</v>
      </c>
      <c r="G6239" s="56" t="n">
        <v>16.5</v>
      </c>
      <c r="H6239" s="56" t="n">
        <v>0</v>
      </c>
      <c r="I6239" s="56" t="n">
        <v>24.9</v>
      </c>
      <c r="J6239" s="56" t="n">
        <v>0</v>
      </c>
      <c r="K6239" s="56" t="n">
        <v>1017.4</v>
      </c>
      <c r="L6239" s="56" t="n">
        <v>0</v>
      </c>
      <c r="M6239" s="56" t="n">
        <v>53</v>
      </c>
      <c r="N6239" s="56" t="n">
        <v>12</v>
      </c>
      <c r="O6239" s="56" t="n">
        <f aca="false">IF(D6239=1,"",E6238)</f>
        <v>33.2</v>
      </c>
      <c r="P6239" s="56" t="n">
        <f aca="false">IF(OR(D6239=1,K6238=""),"",K6238)</f>
        <v>1017.8</v>
      </c>
      <c r="Q6239" s="56" t="n">
        <f aca="false">IF(OR(F6239&lt;&gt;0,AND(I6239&lt;&gt;"",E6239&lt;I6239)),1,0)</f>
        <v>0</v>
      </c>
      <c r="R6239" s="56" t="n">
        <f aca="false">IF(AND(D6239&gt;1,Q6239=0,ISNUMBER(O6239),ISNUMBER(P6239)),IF(Q6238=0,1,0),0)</f>
        <v>1</v>
      </c>
      <c r="S6239" s="56" t="n">
        <f aca="false">R6239*(B6239&gt;=Train_Start)*(B6239&lt;=Train_End)</f>
        <v>0</v>
      </c>
      <c r="T6239" s="84" t="n">
        <f aca="false">IF(AND(ISNUMBER(O6239),ISNUMBER(P6239)),Coef_A+Coef_B1*O6239+Coef_B2*P6239,"")</f>
        <v>31.2173153894863</v>
      </c>
      <c r="U6239" s="84" t="n">
        <f aca="false">IF(AND(R6239=1,ISNUMBER(T6239)),E6239-T6239,"")</f>
        <v>2.18268461051366</v>
      </c>
      <c r="V6239" s="84" t="n">
        <f aca="false">IF(ISNUMBER(T6239),T6239,-99)</f>
        <v>31.2173153894863</v>
      </c>
      <c r="W6239" s="84" t="n">
        <f aca="false">IF(ISNUMBER(U6239),ABS(U6239),"")</f>
        <v>2.18268461051366</v>
      </c>
    </row>
    <row r="6240" customFormat="false" ht="15" hidden="false" customHeight="false" outlineLevel="0" collapsed="false">
      <c r="A6240" s="57" t="n">
        <v>43704</v>
      </c>
      <c r="B6240" s="56" t="n">
        <v>2019</v>
      </c>
      <c r="C6240" s="56" t="n">
        <v>8</v>
      </c>
      <c r="D6240" s="56" t="n">
        <v>119</v>
      </c>
      <c r="E6240" s="56" t="n">
        <v>26.6</v>
      </c>
      <c r="F6240" s="56" t="n">
        <v>0</v>
      </c>
      <c r="G6240" s="56" t="n">
        <v>16.3</v>
      </c>
      <c r="H6240" s="56" t="n">
        <v>0</v>
      </c>
      <c r="I6240" s="56" t="n">
        <v>24.9</v>
      </c>
      <c r="J6240" s="56" t="n">
        <v>0</v>
      </c>
      <c r="K6240" s="56" t="n">
        <v>1014.1</v>
      </c>
      <c r="L6240" s="56" t="n">
        <v>0</v>
      </c>
      <c r="M6240" s="56" t="n">
        <v>57</v>
      </c>
      <c r="N6240" s="56" t="n">
        <v>10.4</v>
      </c>
      <c r="O6240" s="56" t="n">
        <f aca="false">IF(D6240=1,"",E6239)</f>
        <v>33.4</v>
      </c>
      <c r="P6240" s="56" t="n">
        <f aca="false">IF(OR(D6240=1,K6239=""),"",K6239)</f>
        <v>1017.4</v>
      </c>
      <c r="Q6240" s="56" t="n">
        <f aca="false">IF(OR(F6240&lt;&gt;0,AND(I6240&lt;&gt;"",E6240&lt;I6240)),1,0)</f>
        <v>0</v>
      </c>
      <c r="R6240" s="56" t="n">
        <f aca="false">IF(AND(D6240&gt;1,Q6240=0,ISNUMBER(O6240),ISNUMBER(P6240)),IF(Q6239=0,1,0),0)</f>
        <v>1</v>
      </c>
      <c r="S6240" s="56" t="n">
        <f aca="false">R6240*(B6240&gt;=Train_Start)*(B6240&lt;=Train_End)</f>
        <v>0</v>
      </c>
      <c r="T6240" s="84" t="n">
        <f aca="false">IF(AND(ISNUMBER(O6240),ISNUMBER(P6240)),Coef_A+Coef_B1*O6240+Coef_B2*P6240,"")</f>
        <v>31.3686352702413</v>
      </c>
      <c r="U6240" s="84" t="n">
        <f aca="false">IF(AND(R6240=1,ISNUMBER(T6240)),E6240-T6240,"")</f>
        <v>-4.76863527024127</v>
      </c>
      <c r="V6240" s="84" t="n">
        <f aca="false">IF(ISNUMBER(T6240),T6240,-99)</f>
        <v>31.3686352702413</v>
      </c>
      <c r="W6240" s="84" t="n">
        <f aca="false">IF(ISNUMBER(U6240),ABS(U6240),"")</f>
        <v>4.76863527024127</v>
      </c>
    </row>
    <row r="6241" customFormat="false" ht="15" hidden="false" customHeight="false" outlineLevel="0" collapsed="false">
      <c r="A6241" s="57" t="n">
        <v>43705</v>
      </c>
      <c r="B6241" s="56" t="n">
        <v>2019</v>
      </c>
      <c r="C6241" s="56" t="n">
        <v>8</v>
      </c>
      <c r="D6241" s="56" t="n">
        <v>120</v>
      </c>
      <c r="E6241" s="56" t="n">
        <v>24.7</v>
      </c>
      <c r="F6241" s="56" t="n">
        <v>0</v>
      </c>
      <c r="G6241" s="56" t="n">
        <v>18</v>
      </c>
      <c r="H6241" s="56" t="n">
        <v>0</v>
      </c>
      <c r="I6241" s="56" t="n">
        <v>22.3</v>
      </c>
      <c r="J6241" s="56" t="n">
        <v>0</v>
      </c>
      <c r="K6241" s="56" t="n">
        <v>1013.8</v>
      </c>
      <c r="L6241" s="56" t="n">
        <v>0</v>
      </c>
      <c r="M6241" s="56" t="n">
        <v>68</v>
      </c>
      <c r="N6241" s="56" t="n">
        <v>3.3</v>
      </c>
      <c r="O6241" s="56" t="n">
        <f aca="false">IF(D6241=1,"",E6240)</f>
        <v>26.6</v>
      </c>
      <c r="P6241" s="56" t="n">
        <f aca="false">IF(OR(D6241=1,K6240=""),"",K6240)</f>
        <v>1014.1</v>
      </c>
      <c r="Q6241" s="56" t="n">
        <f aca="false">IF(OR(F6241&lt;&gt;0,AND(I6241&lt;&gt;"",E6241&lt;I6241)),1,0)</f>
        <v>0</v>
      </c>
      <c r="R6241" s="56" t="n">
        <f aca="false">IF(AND(D6241&gt;1,Q6241=0,ISNUMBER(O6241),ISNUMBER(P6241)),IF(Q6240=0,1,0),0)</f>
        <v>1</v>
      </c>
      <c r="S6241" s="56" t="n">
        <f aca="false">R6241*(B6241&gt;=Train_Start)*(B6241&lt;=Train_End)</f>
        <v>0</v>
      </c>
      <c r="T6241" s="84" t="n">
        <f aca="false">IF(AND(ISNUMBER(O6241),ISNUMBER(P6241)),Coef_A+Coef_B1*O6241+Coef_B2*P6241,"")</f>
        <v>25.693608105259</v>
      </c>
      <c r="U6241" s="84" t="n">
        <f aca="false">IF(AND(R6241=1,ISNUMBER(T6241)),E6241-T6241,"")</f>
        <v>-0.993608105259035</v>
      </c>
      <c r="V6241" s="84" t="n">
        <f aca="false">IF(ISNUMBER(T6241),T6241,-99)</f>
        <v>25.693608105259</v>
      </c>
      <c r="W6241" s="84" t="n">
        <f aca="false">IF(ISNUMBER(U6241),ABS(U6241),"")</f>
        <v>0.993608105259035</v>
      </c>
    </row>
    <row r="6242" customFormat="false" ht="15" hidden="false" customHeight="false" outlineLevel="0" collapsed="false">
      <c r="A6242" s="57" t="n">
        <v>43706</v>
      </c>
      <c r="B6242" s="56" t="n">
        <v>2019</v>
      </c>
      <c r="C6242" s="56" t="n">
        <v>8</v>
      </c>
      <c r="D6242" s="56" t="n">
        <v>121</v>
      </c>
      <c r="E6242" s="56" t="n">
        <v>24.8</v>
      </c>
      <c r="F6242" s="56" t="n">
        <v>0</v>
      </c>
      <c r="G6242" s="56" t="n">
        <v>10.8</v>
      </c>
      <c r="H6242" s="56" t="n">
        <v>0</v>
      </c>
      <c r="I6242" s="56" t="n">
        <v>17.8</v>
      </c>
      <c r="J6242" s="56" t="n">
        <v>0</v>
      </c>
      <c r="K6242" s="56" t="n">
        <v>1019.5</v>
      </c>
      <c r="L6242" s="56" t="n">
        <v>0</v>
      </c>
      <c r="M6242" s="56" t="n">
        <v>66</v>
      </c>
      <c r="N6242" s="56" t="n">
        <v>8.9</v>
      </c>
      <c r="O6242" s="56" t="n">
        <f aca="false">IF(D6242=1,"",E6241)</f>
        <v>24.7</v>
      </c>
      <c r="P6242" s="56" t="n">
        <f aca="false">IF(OR(D6242=1,K6241=""),"",K6241)</f>
        <v>1013.8</v>
      </c>
      <c r="Q6242" s="56" t="n">
        <f aca="false">IF(OR(F6242&lt;&gt;0,AND(I6242&lt;&gt;"",E6242&lt;I6242)),1,0)</f>
        <v>0</v>
      </c>
      <c r="R6242" s="56" t="n">
        <f aca="false">IF(AND(D6242&gt;1,Q6242=0,ISNUMBER(O6242),ISNUMBER(P6242)),IF(Q6241=0,1,0),0)</f>
        <v>1</v>
      </c>
      <c r="S6242" s="56" t="n">
        <f aca="false">R6242*(B6242&gt;=Train_Start)*(B6242&lt;=Train_End)</f>
        <v>0</v>
      </c>
      <c r="T6242" s="84" t="n">
        <f aca="false">IF(AND(ISNUMBER(O6242),ISNUMBER(P6242)),Coef_A+Coef_B1*O6242+Coef_B2*P6242,"")</f>
        <v>24.1274526700878</v>
      </c>
      <c r="U6242" s="84" t="n">
        <f aca="false">IF(AND(R6242=1,ISNUMBER(T6242)),E6242-T6242,"")</f>
        <v>0.672547329912216</v>
      </c>
      <c r="V6242" s="84" t="n">
        <f aca="false">IF(ISNUMBER(T6242),T6242,-99)</f>
        <v>24.1274526700878</v>
      </c>
      <c r="W6242" s="84" t="n">
        <f aca="false">IF(ISNUMBER(U6242),ABS(U6242),"")</f>
        <v>0.672547329912216</v>
      </c>
    </row>
    <row r="6243" customFormat="false" ht="15" hidden="false" customHeight="false" outlineLevel="0" collapsed="false">
      <c r="A6243" s="57" t="n">
        <v>43707</v>
      </c>
      <c r="B6243" s="56" t="n">
        <v>2019</v>
      </c>
      <c r="C6243" s="56" t="n">
        <v>8</v>
      </c>
      <c r="D6243" s="56" t="n">
        <v>122</v>
      </c>
      <c r="E6243" s="56" t="n">
        <v>24.9</v>
      </c>
      <c r="F6243" s="56" t="n">
        <v>0</v>
      </c>
      <c r="G6243" s="56" t="n">
        <v>13.4</v>
      </c>
      <c r="H6243" s="56" t="n">
        <v>0</v>
      </c>
      <c r="I6243" s="56" t="n">
        <v>19.1</v>
      </c>
      <c r="J6243" s="56" t="n">
        <v>0</v>
      </c>
      <c r="K6243" s="56" t="n">
        <v>1020.5</v>
      </c>
      <c r="L6243" s="56" t="n">
        <v>0</v>
      </c>
      <c r="M6243" s="56" t="n">
        <v>68</v>
      </c>
      <c r="N6243" s="56" t="n">
        <v>8.6</v>
      </c>
      <c r="O6243" s="56" t="n">
        <f aca="false">IF(D6243=1,"",E6242)</f>
        <v>24.8</v>
      </c>
      <c r="P6243" s="56" t="n">
        <f aca="false">IF(OR(D6243=1,K6242=""),"",K6242)</f>
        <v>1019.5</v>
      </c>
      <c r="Q6243" s="56" t="n">
        <f aca="false">IF(OR(F6243&lt;&gt;0,AND(I6243&lt;&gt;"",E6243&lt;I6243)),1,0)</f>
        <v>0</v>
      </c>
      <c r="R6243" s="56" t="n">
        <f aca="false">IF(AND(D6243&gt;1,Q6243=0,ISNUMBER(O6243),ISNUMBER(P6243)),IF(Q6242=0,1,0),0)</f>
        <v>1</v>
      </c>
      <c r="S6243" s="56" t="n">
        <f aca="false">R6243*(B6243&gt;=Train_Start)*(B6243&lt;=Train_End)</f>
        <v>0</v>
      </c>
      <c r="T6243" s="84" t="n">
        <f aca="false">IF(AND(ISNUMBER(O6243),ISNUMBER(P6243)),Coef_A+Coef_B1*O6243+Coef_B2*P6243,"")</f>
        <v>24.3881949888058</v>
      </c>
      <c r="U6243" s="84" t="n">
        <f aca="false">IF(AND(R6243=1,ISNUMBER(T6243)),E6243-T6243,"")</f>
        <v>0.511805011194209</v>
      </c>
      <c r="V6243" s="84" t="n">
        <f aca="false">IF(ISNUMBER(T6243),T6243,-99)</f>
        <v>24.3881949888058</v>
      </c>
      <c r="W6243" s="84" t="n">
        <f aca="false">IF(ISNUMBER(U6243),ABS(U6243),"")</f>
        <v>0.511805011194209</v>
      </c>
    </row>
    <row r="6244" customFormat="false" ht="15" hidden="false" customHeight="false" outlineLevel="0" collapsed="false">
      <c r="A6244" s="57" t="n">
        <v>43708</v>
      </c>
      <c r="B6244" s="56" t="n">
        <v>2019</v>
      </c>
      <c r="C6244" s="56" t="n">
        <v>8</v>
      </c>
      <c r="D6244" s="56" t="n">
        <v>123</v>
      </c>
      <c r="E6244" s="56" t="n">
        <v>21.6</v>
      </c>
      <c r="F6244" s="56" t="n">
        <v>0</v>
      </c>
      <c r="G6244" s="56" t="n">
        <v>12.3</v>
      </c>
      <c r="H6244" s="56" t="n">
        <v>0</v>
      </c>
      <c r="I6244" s="56" t="n">
        <v>18.6</v>
      </c>
      <c r="J6244" s="56" t="n">
        <v>0</v>
      </c>
      <c r="K6244" s="56" t="n">
        <v>1012.6</v>
      </c>
      <c r="L6244" s="56" t="n">
        <v>0</v>
      </c>
      <c r="M6244" s="56" t="n">
        <v>70</v>
      </c>
      <c r="N6244" s="56" t="n">
        <v>5.7</v>
      </c>
      <c r="O6244" s="56" t="n">
        <f aca="false">IF(D6244=1,"",E6243)</f>
        <v>24.9</v>
      </c>
      <c r="P6244" s="56" t="n">
        <f aca="false">IF(OR(D6244=1,K6243=""),"",K6243)</f>
        <v>1020.5</v>
      </c>
      <c r="Q6244" s="56" t="n">
        <f aca="false">IF(OR(F6244&lt;&gt;0,AND(I6244&lt;&gt;"",E6244&lt;I6244)),1,0)</f>
        <v>0</v>
      </c>
      <c r="R6244" s="56" t="n">
        <f aca="false">IF(AND(D6244&gt;1,Q6244=0,ISNUMBER(O6244),ISNUMBER(P6244)),IF(Q6243=0,1,0),0)</f>
        <v>1</v>
      </c>
      <c r="S6244" s="56" t="n">
        <f aca="false">R6244*(B6244&gt;=Train_Start)*(B6244&lt;=Train_End)</f>
        <v>0</v>
      </c>
      <c r="T6244" s="84" t="n">
        <f aca="false">IF(AND(ISNUMBER(O6244),ISNUMBER(P6244)),Coef_A+Coef_B1*O6244+Coef_B2*P6244,"")</f>
        <v>24.5014988027441</v>
      </c>
      <c r="U6244" s="84" t="n">
        <f aca="false">IF(AND(R6244=1,ISNUMBER(T6244)),E6244-T6244,"")</f>
        <v>-2.90149880274405</v>
      </c>
      <c r="V6244" s="84" t="n">
        <f aca="false">IF(ISNUMBER(T6244),T6244,-99)</f>
        <v>24.5014988027441</v>
      </c>
      <c r="W6244" s="84" t="n">
        <f aca="false">IF(ISNUMBER(U6244),ABS(U6244),"")</f>
        <v>2.90149880274405</v>
      </c>
    </row>
    <row r="6245" customFormat="false" ht="15" hidden="false" customHeight="false" outlineLevel="0" collapsed="false">
      <c r="A6245" s="57" t="n">
        <v>43709</v>
      </c>
      <c r="B6245" s="56" t="n">
        <v>2019</v>
      </c>
      <c r="C6245" s="56" t="n">
        <v>9</v>
      </c>
      <c r="D6245" s="56" t="n">
        <v>124</v>
      </c>
      <c r="E6245" s="56" t="n">
        <v>23.6</v>
      </c>
      <c r="F6245" s="56" t="n">
        <v>0</v>
      </c>
      <c r="G6245" s="56" t="n">
        <v>11.3</v>
      </c>
      <c r="H6245" s="56" t="n">
        <v>0</v>
      </c>
      <c r="I6245" s="56" t="n">
        <v>16.4</v>
      </c>
      <c r="J6245" s="56" t="n">
        <v>0</v>
      </c>
      <c r="K6245" s="56" t="n">
        <v>1018</v>
      </c>
      <c r="L6245" s="56" t="n">
        <v>0</v>
      </c>
      <c r="M6245" s="56" t="n">
        <v>57</v>
      </c>
      <c r="N6245" s="56" t="n">
        <v>8.6</v>
      </c>
      <c r="O6245" s="56" t="n">
        <f aca="false">IF(D6245=1,"",E6244)</f>
        <v>21.6</v>
      </c>
      <c r="P6245" s="56" t="n">
        <f aca="false">IF(OR(D6245=1,K6244=""),"",K6244)</f>
        <v>1012.6</v>
      </c>
      <c r="Q6245" s="56" t="n">
        <f aca="false">IF(OR(F6245&lt;&gt;0,AND(I6245&lt;&gt;"",E6245&lt;I6245)),1,0)</f>
        <v>0</v>
      </c>
      <c r="R6245" s="56" t="n">
        <f aca="false">IF(AND(D6245&gt;1,Q6245=0,ISNUMBER(O6245),ISNUMBER(P6245)),IF(Q6244=0,1,0),0)</f>
        <v>1</v>
      </c>
      <c r="S6245" s="56" t="n">
        <f aca="false">R6245*(B6245&gt;=Train_Start)*(B6245&lt;=Train_End)</f>
        <v>0</v>
      </c>
      <c r="T6245" s="84" t="n">
        <f aca="false">IF(AND(ISNUMBER(O6245),ISNUMBER(P6245)),Coef_A+Coef_B1*O6245+Coef_B2*P6245,"")</f>
        <v>21.5498572980948</v>
      </c>
      <c r="U6245" s="84" t="n">
        <f aca="false">IF(AND(R6245=1,ISNUMBER(T6245)),E6245-T6245,"")</f>
        <v>2.05014270190524</v>
      </c>
      <c r="V6245" s="84" t="n">
        <f aca="false">IF(ISNUMBER(T6245),T6245,-99)</f>
        <v>21.5498572980948</v>
      </c>
      <c r="W6245" s="84" t="n">
        <f aca="false">IF(ISNUMBER(U6245),ABS(U6245),"")</f>
        <v>2.05014270190524</v>
      </c>
    </row>
    <row r="6246" customFormat="false" ht="15" hidden="false" customHeight="false" outlineLevel="0" collapsed="false">
      <c r="A6246" s="57" t="n">
        <v>43710</v>
      </c>
      <c r="B6246" s="56" t="n">
        <v>2019</v>
      </c>
      <c r="C6246" s="56" t="n">
        <v>9</v>
      </c>
      <c r="D6246" s="56" t="n">
        <v>125</v>
      </c>
      <c r="E6246" s="56" t="n">
        <v>22.8</v>
      </c>
      <c r="F6246" s="56" t="n">
        <v>0</v>
      </c>
      <c r="G6246" s="56" t="n">
        <v>8.7</v>
      </c>
      <c r="H6246" s="56" t="n">
        <v>0</v>
      </c>
      <c r="I6246" s="56" t="n">
        <v>16.1</v>
      </c>
      <c r="J6246" s="56" t="n">
        <v>0</v>
      </c>
      <c r="K6246" s="56" t="n">
        <v>1023.6</v>
      </c>
      <c r="L6246" s="56" t="n">
        <v>0</v>
      </c>
      <c r="M6246" s="56" t="n">
        <v>61</v>
      </c>
      <c r="N6246" s="56" t="n">
        <v>7.1</v>
      </c>
      <c r="O6246" s="56" t="n">
        <f aca="false">IF(D6246=1,"",E6245)</f>
        <v>23.6</v>
      </c>
      <c r="P6246" s="56" t="n">
        <f aca="false">IF(OR(D6246=1,K6245=""),"",K6245)</f>
        <v>1018</v>
      </c>
      <c r="Q6246" s="56" t="n">
        <f aca="false">IF(OR(F6246&lt;&gt;0,AND(I6246&lt;&gt;"",E6246&lt;I6246)),1,0)</f>
        <v>0</v>
      </c>
      <c r="R6246" s="56" t="n">
        <f aca="false">IF(AND(D6246&gt;1,Q6246=0,ISNUMBER(O6246),ISNUMBER(P6246)),IF(Q6245=0,1,0),0)</f>
        <v>1</v>
      </c>
      <c r="S6246" s="56" t="n">
        <f aca="false">R6246*(B6246&gt;=Train_Start)*(B6246&lt;=Train_End)</f>
        <v>0</v>
      </c>
      <c r="T6246" s="84" t="n">
        <f aca="false">IF(AND(ISNUMBER(O6246),ISNUMBER(P6246)),Coef_A+Coef_B1*O6246+Coef_B2*P6246,"")</f>
        <v>23.3579331152036</v>
      </c>
      <c r="U6246" s="84" t="n">
        <f aca="false">IF(AND(R6246=1,ISNUMBER(T6246)),E6246-T6246,"")</f>
        <v>-0.557933115203621</v>
      </c>
      <c r="V6246" s="84" t="n">
        <f aca="false">IF(ISNUMBER(T6246),T6246,-99)</f>
        <v>23.3579331152036</v>
      </c>
      <c r="W6246" s="84" t="n">
        <f aca="false">IF(ISNUMBER(U6246),ABS(U6246),"")</f>
        <v>0.557933115203621</v>
      </c>
    </row>
    <row r="6247" customFormat="false" ht="15" hidden="false" customHeight="false" outlineLevel="0" collapsed="false">
      <c r="A6247" s="57" t="n">
        <v>43711</v>
      </c>
      <c r="B6247" s="56" t="n">
        <v>2019</v>
      </c>
      <c r="C6247" s="56" t="n">
        <v>9</v>
      </c>
      <c r="D6247" s="56" t="n">
        <v>126</v>
      </c>
      <c r="E6247" s="56" t="n">
        <v>21.1</v>
      </c>
      <c r="F6247" s="56" t="n">
        <v>0</v>
      </c>
      <c r="G6247" s="56" t="n">
        <v>15.3</v>
      </c>
      <c r="H6247" s="56" t="n">
        <v>0</v>
      </c>
      <c r="I6247" s="56" t="n">
        <v>19.1</v>
      </c>
      <c r="J6247" s="56" t="n">
        <v>0</v>
      </c>
      <c r="K6247" s="56" t="n">
        <v>1022.6</v>
      </c>
      <c r="L6247" s="56" t="n">
        <v>0</v>
      </c>
      <c r="M6247" s="56" t="n">
        <v>67</v>
      </c>
      <c r="N6247" s="56" t="n">
        <v>2.5</v>
      </c>
      <c r="O6247" s="56" t="n">
        <f aca="false">IF(D6247=1,"",E6246)</f>
        <v>22.8</v>
      </c>
      <c r="P6247" s="56" t="n">
        <f aca="false">IF(OR(D6247=1,K6246=""),"",K6246)</f>
        <v>1023.6</v>
      </c>
      <c r="Q6247" s="56" t="n">
        <f aca="false">IF(OR(F6247&lt;&gt;0,AND(I6247&lt;&gt;"",E6247&lt;I6247)),1,0)</f>
        <v>0</v>
      </c>
      <c r="R6247" s="56" t="n">
        <f aca="false">IF(AND(D6247&gt;1,Q6247=0,ISNUMBER(O6247),ISNUMBER(P6247)),IF(Q6246=0,1,0),0)</f>
        <v>1</v>
      </c>
      <c r="S6247" s="56" t="n">
        <f aca="false">R6247*(B6247&gt;=Train_Start)*(B6247&lt;=Train_End)</f>
        <v>0</v>
      </c>
      <c r="T6247" s="84" t="n">
        <f aca="false">IF(AND(ISNUMBER(O6247),ISNUMBER(P6247)),Coef_A+Coef_B1*O6247+Coef_B2*P6247,"")</f>
        <v>22.8781331707198</v>
      </c>
      <c r="U6247" s="84" t="n">
        <f aca="false">IF(AND(R6247=1,ISNUMBER(T6247)),E6247-T6247,"")</f>
        <v>-1.77813317071984</v>
      </c>
      <c r="V6247" s="84" t="n">
        <f aca="false">IF(ISNUMBER(T6247),T6247,-99)</f>
        <v>22.8781331707198</v>
      </c>
      <c r="W6247" s="84" t="n">
        <f aca="false">IF(ISNUMBER(U6247),ABS(U6247),"")</f>
        <v>1.77813317071984</v>
      </c>
    </row>
    <row r="6248" customFormat="false" ht="15" hidden="false" customHeight="false" outlineLevel="0" collapsed="false">
      <c r="A6248" s="57" t="n">
        <v>43712</v>
      </c>
      <c r="B6248" s="56" t="n">
        <v>2019</v>
      </c>
      <c r="C6248" s="56" t="n">
        <v>9</v>
      </c>
      <c r="D6248" s="56" t="n">
        <v>127</v>
      </c>
      <c r="E6248" s="56" t="n">
        <v>18.7</v>
      </c>
      <c r="F6248" s="56" t="n">
        <v>0</v>
      </c>
      <c r="G6248" s="56" t="n">
        <v>14.6</v>
      </c>
      <c r="H6248" s="56" t="n">
        <v>0</v>
      </c>
      <c r="I6248" s="56" t="n">
        <v>17.9</v>
      </c>
      <c r="J6248" s="56" t="n">
        <v>0</v>
      </c>
      <c r="K6248" s="56" t="n">
        <v>1015.7</v>
      </c>
      <c r="L6248" s="56" t="n">
        <v>0</v>
      </c>
      <c r="M6248" s="56" t="n">
        <v>69</v>
      </c>
      <c r="N6248" s="56" t="n">
        <v>7</v>
      </c>
      <c r="O6248" s="56" t="n">
        <f aca="false">IF(D6248=1,"",E6247)</f>
        <v>21.1</v>
      </c>
      <c r="P6248" s="56" t="n">
        <f aca="false">IF(OR(D6248=1,K6247=""),"",K6247)</f>
        <v>1022.6</v>
      </c>
      <c r="Q6248" s="56" t="n">
        <f aca="false">IF(OR(F6248&lt;&gt;0,AND(I6248&lt;&gt;"",E6248&lt;I6248)),1,0)</f>
        <v>0</v>
      </c>
      <c r="R6248" s="56" t="n">
        <f aca="false">IF(AND(D6248&gt;1,Q6248=0,ISNUMBER(O6248),ISNUMBER(P6248)),IF(Q6247=0,1,0),0)</f>
        <v>1</v>
      </c>
      <c r="S6248" s="56" t="n">
        <f aca="false">R6248*(B6248&gt;=Train_Start)*(B6248&lt;=Train_End)</f>
        <v>0</v>
      </c>
      <c r="T6248" s="84" t="n">
        <f aca="false">IF(AND(ISNUMBER(O6248),ISNUMBER(P6248)),Coef_A+Coef_B1*O6248+Coef_B2*P6248,"")</f>
        <v>21.4538866479133</v>
      </c>
      <c r="U6248" s="84" t="n">
        <f aca="false">IF(AND(R6248=1,ISNUMBER(T6248)),E6248-T6248,"")</f>
        <v>-2.75388664791333</v>
      </c>
      <c r="V6248" s="84" t="n">
        <f aca="false">IF(ISNUMBER(T6248),T6248,-99)</f>
        <v>21.4538866479133</v>
      </c>
      <c r="W6248" s="84" t="n">
        <f aca="false">IF(ISNUMBER(U6248),ABS(U6248),"")</f>
        <v>2.75388664791333</v>
      </c>
    </row>
    <row r="6249" customFormat="false" ht="15" hidden="false" customHeight="false" outlineLevel="0" collapsed="false">
      <c r="A6249" s="57" t="n">
        <v>43713</v>
      </c>
      <c r="B6249" s="56" t="n">
        <v>2019</v>
      </c>
      <c r="C6249" s="56" t="n">
        <v>9</v>
      </c>
      <c r="D6249" s="56" t="n">
        <v>128</v>
      </c>
      <c r="E6249" s="56" t="n">
        <v>18.8</v>
      </c>
      <c r="F6249" s="56" t="n">
        <v>0</v>
      </c>
      <c r="G6249" s="56" t="n">
        <v>11.9</v>
      </c>
      <c r="H6249" s="56" t="n">
        <v>0</v>
      </c>
      <c r="I6249" s="56" t="n">
        <v>15.3</v>
      </c>
      <c r="J6249" s="56" t="n">
        <v>0</v>
      </c>
      <c r="K6249" s="56" t="n">
        <v>1024.9</v>
      </c>
      <c r="L6249" s="56" t="n">
        <v>0</v>
      </c>
      <c r="M6249" s="56" t="n">
        <v>57</v>
      </c>
      <c r="N6249" s="56" t="n">
        <v>8.5</v>
      </c>
      <c r="O6249" s="56" t="n">
        <f aca="false">IF(D6249=1,"",E6248)</f>
        <v>18.7</v>
      </c>
      <c r="P6249" s="56" t="n">
        <f aca="false">IF(OR(D6249=1,K6248=""),"",K6248)</f>
        <v>1015.7</v>
      </c>
      <c r="Q6249" s="56" t="n">
        <f aca="false">IF(OR(F6249&lt;&gt;0,AND(I6249&lt;&gt;"",E6249&lt;I6249)),1,0)</f>
        <v>0</v>
      </c>
      <c r="R6249" s="56" t="n">
        <f aca="false">IF(AND(D6249&gt;1,Q6249=0,ISNUMBER(O6249),ISNUMBER(P6249)),IF(Q6248=0,1,0),0)</f>
        <v>1</v>
      </c>
      <c r="S6249" s="56" t="n">
        <f aca="false">R6249*(B6249&gt;=Train_Start)*(B6249&lt;=Train_End)</f>
        <v>0</v>
      </c>
      <c r="T6249" s="84" t="n">
        <f aca="false">IF(AND(ISNUMBER(O6249),ISNUMBER(P6249)),Coef_A+Coef_B1*O6249+Coef_B2*P6249,"")</f>
        <v>19.2710203116364</v>
      </c>
      <c r="U6249" s="84" t="n">
        <f aca="false">IF(AND(R6249=1,ISNUMBER(T6249)),E6249-T6249,"")</f>
        <v>-0.471020311636419</v>
      </c>
      <c r="V6249" s="84" t="n">
        <f aca="false">IF(ISNUMBER(T6249),T6249,-99)</f>
        <v>19.2710203116364</v>
      </c>
      <c r="W6249" s="84" t="n">
        <f aca="false">IF(ISNUMBER(U6249),ABS(U6249),"")</f>
        <v>0.471020311636419</v>
      </c>
    </row>
    <row r="6250" customFormat="false" ht="15" hidden="false" customHeight="false" outlineLevel="0" collapsed="false">
      <c r="A6250" s="57" t="n">
        <v>43714</v>
      </c>
      <c r="B6250" s="56" t="n">
        <v>2019</v>
      </c>
      <c r="C6250" s="56" t="n">
        <v>9</v>
      </c>
      <c r="D6250" s="56" t="n">
        <v>129</v>
      </c>
      <c r="E6250" s="56" t="n">
        <v>17.8</v>
      </c>
      <c r="F6250" s="56" t="n">
        <v>0</v>
      </c>
      <c r="G6250" s="56" t="n">
        <v>9.3</v>
      </c>
      <c r="H6250" s="56" t="n">
        <v>0</v>
      </c>
      <c r="I6250" s="56" t="n">
        <v>14.1</v>
      </c>
      <c r="J6250" s="56" t="n">
        <v>0</v>
      </c>
      <c r="K6250" s="56" t="n">
        <v>1022.3</v>
      </c>
      <c r="L6250" s="56" t="n">
        <v>0</v>
      </c>
      <c r="M6250" s="56" t="n">
        <v>78</v>
      </c>
      <c r="N6250" s="56" t="n">
        <v>0.7</v>
      </c>
      <c r="O6250" s="56" t="n">
        <f aca="false">IF(D6250=1,"",E6249)</f>
        <v>18.8</v>
      </c>
      <c r="P6250" s="56" t="n">
        <f aca="false">IF(OR(D6250=1,K6249=""),"",K6249)</f>
        <v>1024.9</v>
      </c>
      <c r="Q6250" s="56" t="n">
        <f aca="false">IF(OR(F6250&lt;&gt;0,AND(I6250&lt;&gt;"",E6250&lt;I6250)),1,0)</f>
        <v>0</v>
      </c>
      <c r="R6250" s="56" t="n">
        <f aca="false">IF(AND(D6250&gt;1,Q6250=0,ISNUMBER(O6250),ISNUMBER(P6250)),IF(Q6249=0,1,0),0)</f>
        <v>1</v>
      </c>
      <c r="S6250" s="56" t="n">
        <f aca="false">R6250*(B6250&gt;=Train_Start)*(B6250&lt;=Train_End)</f>
        <v>0</v>
      </c>
      <c r="T6250" s="84" t="n">
        <f aca="false">IF(AND(ISNUMBER(O6250),ISNUMBER(P6250)),Coef_A+Coef_B1*O6250+Coef_B2*P6250,"")</f>
        <v>19.6415572615734</v>
      </c>
      <c r="U6250" s="84" t="n">
        <f aca="false">IF(AND(R6250=1,ISNUMBER(T6250)),E6250-T6250,"")</f>
        <v>-1.84155726157339</v>
      </c>
      <c r="V6250" s="84" t="n">
        <f aca="false">IF(ISNUMBER(T6250),T6250,-99)</f>
        <v>19.6415572615734</v>
      </c>
      <c r="W6250" s="84" t="n">
        <f aca="false">IF(ISNUMBER(U6250),ABS(U6250),"")</f>
        <v>1.84155726157339</v>
      </c>
    </row>
    <row r="6251" customFormat="false" ht="15" hidden="false" customHeight="false" outlineLevel="0" collapsed="false">
      <c r="A6251" s="57" t="n">
        <v>43715</v>
      </c>
      <c r="B6251" s="56" t="n">
        <v>2019</v>
      </c>
      <c r="C6251" s="56" t="n">
        <v>9</v>
      </c>
      <c r="D6251" s="56" t="n">
        <v>130</v>
      </c>
      <c r="E6251" s="56" t="n">
        <v>18.6</v>
      </c>
      <c r="F6251" s="56" t="n">
        <v>0</v>
      </c>
      <c r="G6251" s="56" t="n">
        <v>11.3</v>
      </c>
      <c r="H6251" s="56" t="n">
        <v>0</v>
      </c>
      <c r="I6251" s="56" t="n">
        <v>14.6</v>
      </c>
      <c r="J6251" s="56" t="n">
        <v>0</v>
      </c>
      <c r="K6251" s="56" t="n">
        <v>1023.4</v>
      </c>
      <c r="L6251" s="56" t="n">
        <v>0</v>
      </c>
      <c r="M6251" s="56" t="n">
        <v>65</v>
      </c>
      <c r="N6251" s="56" t="n">
        <v>2.8</v>
      </c>
      <c r="O6251" s="56" t="n">
        <f aca="false">IF(D6251=1,"",E6250)</f>
        <v>17.8</v>
      </c>
      <c r="P6251" s="56" t="n">
        <f aca="false">IF(OR(D6251=1,K6250=""),"",K6250)</f>
        <v>1022.3</v>
      </c>
      <c r="Q6251" s="56" t="n">
        <f aca="false">IF(OR(F6251&lt;&gt;0,AND(I6251&lt;&gt;"",E6251&lt;I6251)),1,0)</f>
        <v>0</v>
      </c>
      <c r="R6251" s="56" t="n">
        <f aca="false">IF(AND(D6251&gt;1,Q6251=0,ISNUMBER(O6251),ISNUMBER(P6251)),IF(Q6250=0,1,0),0)</f>
        <v>1</v>
      </c>
      <c r="S6251" s="56" t="n">
        <f aca="false">R6251*(B6251&gt;=Train_Start)*(B6251&lt;=Train_End)</f>
        <v>0</v>
      </c>
      <c r="T6251" s="84" t="n">
        <f aca="false">IF(AND(ISNUMBER(O6251),ISNUMBER(P6251)),Coef_A+Coef_B1*O6251+Coef_B2*P6251,"")</f>
        <v>18.7406563424824</v>
      </c>
      <c r="U6251" s="84" t="n">
        <f aca="false">IF(AND(R6251=1,ISNUMBER(T6251)),E6251-T6251,"")</f>
        <v>-0.140656342482359</v>
      </c>
      <c r="V6251" s="84" t="n">
        <f aca="false">IF(ISNUMBER(T6251),T6251,-99)</f>
        <v>18.7406563424824</v>
      </c>
      <c r="W6251" s="84" t="n">
        <f aca="false">IF(ISNUMBER(U6251),ABS(U6251),"")</f>
        <v>0.140656342482359</v>
      </c>
    </row>
    <row r="6252" customFormat="false" ht="15" hidden="false" customHeight="false" outlineLevel="0" collapsed="false">
      <c r="A6252" s="57" t="n">
        <v>43716</v>
      </c>
      <c r="B6252" s="56" t="n">
        <v>2019</v>
      </c>
      <c r="C6252" s="56" t="n">
        <v>9</v>
      </c>
      <c r="D6252" s="56" t="n">
        <v>131</v>
      </c>
      <c r="E6252" s="56" t="n">
        <v>16.1</v>
      </c>
      <c r="F6252" s="56" t="n">
        <v>0</v>
      </c>
      <c r="G6252" s="56" t="n">
        <v>6.1</v>
      </c>
      <c r="H6252" s="56" t="n">
        <v>0</v>
      </c>
      <c r="I6252" s="56" t="n">
        <v>12.3</v>
      </c>
      <c r="J6252" s="56" t="n">
        <v>0</v>
      </c>
      <c r="K6252" s="56" t="n">
        <v>1023.4</v>
      </c>
      <c r="L6252" s="56" t="n">
        <v>0</v>
      </c>
      <c r="M6252" s="56" t="n">
        <v>61</v>
      </c>
      <c r="N6252" s="56" t="n">
        <v>8.6</v>
      </c>
      <c r="O6252" s="56" t="n">
        <f aca="false">IF(D6252=1,"",E6251)</f>
        <v>18.6</v>
      </c>
      <c r="P6252" s="56" t="n">
        <f aca="false">IF(OR(D6252=1,K6251=""),"",K6251)</f>
        <v>1023.4</v>
      </c>
      <c r="Q6252" s="56" t="n">
        <f aca="false">IF(OR(F6252&lt;&gt;0,AND(I6252&lt;&gt;"",E6252&lt;I6252)),1,0)</f>
        <v>0</v>
      </c>
      <c r="R6252" s="56" t="n">
        <f aca="false">IF(AND(D6252&gt;1,Q6252=0,ISNUMBER(O6252),ISNUMBER(P6252)),IF(Q6251=0,1,0),0)</f>
        <v>1</v>
      </c>
      <c r="S6252" s="56" t="n">
        <f aca="false">R6252*(B6252&gt;=Train_Start)*(B6252&lt;=Train_End)</f>
        <v>0</v>
      </c>
      <c r="T6252" s="84" t="n">
        <f aca="false">IF(AND(ISNUMBER(O6252),ISNUMBER(P6252)),Coef_A+Coef_B1*O6252+Coef_B2*P6252,"")</f>
        <v>19.4306345810139</v>
      </c>
      <c r="U6252" s="84" t="n">
        <f aca="false">IF(AND(R6252=1,ISNUMBER(T6252)),E6252-T6252,"")</f>
        <v>-3.33063458101388</v>
      </c>
      <c r="V6252" s="84" t="n">
        <f aca="false">IF(ISNUMBER(T6252),T6252,-99)</f>
        <v>19.4306345810139</v>
      </c>
      <c r="W6252" s="84" t="n">
        <f aca="false">IF(ISNUMBER(U6252),ABS(U6252),"")</f>
        <v>3.33063458101388</v>
      </c>
    </row>
    <row r="6253" customFormat="false" ht="15" hidden="false" customHeight="false" outlineLevel="0" collapsed="false">
      <c r="A6253" s="57" t="n">
        <v>43717</v>
      </c>
      <c r="B6253" s="56" t="n">
        <v>2019</v>
      </c>
      <c r="C6253" s="56" t="n">
        <v>9</v>
      </c>
      <c r="D6253" s="56" t="n">
        <v>132</v>
      </c>
      <c r="E6253" s="56" t="n">
        <v>21.9</v>
      </c>
      <c r="F6253" s="56" t="n">
        <v>0</v>
      </c>
      <c r="G6253" s="56" t="n">
        <v>11.8</v>
      </c>
      <c r="H6253" s="56" t="n">
        <v>0</v>
      </c>
      <c r="I6253" s="56" t="n">
        <v>13.9</v>
      </c>
      <c r="J6253" s="56" t="n">
        <v>0</v>
      </c>
      <c r="K6253" s="56" t="n">
        <v>1013.6</v>
      </c>
      <c r="L6253" s="56" t="n">
        <v>0</v>
      </c>
      <c r="M6253" s="56" t="n">
        <v>78</v>
      </c>
      <c r="N6253" s="56" t="n">
        <v>0</v>
      </c>
      <c r="O6253" s="56" t="n">
        <f aca="false">IF(D6253=1,"",E6252)</f>
        <v>16.1</v>
      </c>
      <c r="P6253" s="56" t="n">
        <f aca="false">IF(OR(D6253=1,K6252=""),"",K6252)</f>
        <v>1023.4</v>
      </c>
      <c r="Q6253" s="56" t="n">
        <f aca="false">IF(OR(F6253&lt;&gt;0,AND(I6253&lt;&gt;"",E6253&lt;I6253)),1,0)</f>
        <v>0</v>
      </c>
      <c r="R6253" s="56" t="n">
        <f aca="false">IF(AND(D6253&gt;1,Q6253=0,ISNUMBER(O6253),ISNUMBER(P6253)),IF(Q6252=0,1,0),0)</f>
        <v>1</v>
      </c>
      <c r="S6253" s="56" t="n">
        <f aca="false">R6253*(B6253&gt;=Train_Start)*(B6253&lt;=Train_End)</f>
        <v>0</v>
      </c>
      <c r="T6253" s="84" t="n">
        <f aca="false">IF(AND(ISNUMBER(O6253),ISNUMBER(P6253)),Coef_A+Coef_B1*O6253+Coef_B2*P6253,"")</f>
        <v>17.3822865984072</v>
      </c>
      <c r="U6253" s="84" t="n">
        <f aca="false">IF(AND(R6253=1,ISNUMBER(T6253)),E6253-T6253,"")</f>
        <v>4.51771340159277</v>
      </c>
      <c r="V6253" s="84" t="n">
        <f aca="false">IF(ISNUMBER(T6253),T6253,-99)</f>
        <v>17.3822865984072</v>
      </c>
      <c r="W6253" s="84" t="n">
        <f aca="false">IF(ISNUMBER(U6253),ABS(U6253),"")</f>
        <v>4.51771340159277</v>
      </c>
    </row>
    <row r="6254" customFormat="false" ht="15" hidden="false" customHeight="false" outlineLevel="0" collapsed="false">
      <c r="A6254" s="57" t="n">
        <v>43718</v>
      </c>
      <c r="B6254" s="56" t="n">
        <v>2019</v>
      </c>
      <c r="C6254" s="56" t="n">
        <v>9</v>
      </c>
      <c r="D6254" s="56" t="n">
        <v>133</v>
      </c>
      <c r="E6254" s="56" t="n">
        <v>21.8</v>
      </c>
      <c r="F6254" s="56" t="n">
        <v>0</v>
      </c>
      <c r="G6254" s="56" t="n">
        <v>9.9</v>
      </c>
      <c r="H6254" s="56" t="n">
        <v>0</v>
      </c>
      <c r="I6254" s="56" t="n">
        <v>15.9</v>
      </c>
      <c r="J6254" s="56" t="n">
        <v>0</v>
      </c>
      <c r="K6254" s="56" t="n">
        <v>1018.7</v>
      </c>
      <c r="L6254" s="56" t="n">
        <v>0</v>
      </c>
      <c r="M6254" s="56" t="n">
        <v>72</v>
      </c>
      <c r="N6254" s="56" t="n">
        <v>5.4</v>
      </c>
      <c r="O6254" s="56" t="n">
        <f aca="false">IF(D6254=1,"",E6253)</f>
        <v>21.9</v>
      </c>
      <c r="P6254" s="56" t="n">
        <f aca="false">IF(OR(D6254=1,K6253=""),"",K6253)</f>
        <v>1013.6</v>
      </c>
      <c r="Q6254" s="56" t="n">
        <f aca="false">IF(OR(F6254&lt;&gt;0,AND(I6254&lt;&gt;"",E6254&lt;I6254)),1,0)</f>
        <v>0</v>
      </c>
      <c r="R6254" s="56" t="n">
        <f aca="false">IF(AND(D6254&gt;1,Q6254=0,ISNUMBER(O6254),ISNUMBER(P6254)),IF(Q6253=0,1,0),0)</f>
        <v>1</v>
      </c>
      <c r="S6254" s="56" t="n">
        <f aca="false">R6254*(B6254&gt;=Train_Start)*(B6254&lt;=Train_End)</f>
        <v>0</v>
      </c>
      <c r="T6254" s="84" t="n">
        <f aca="false">IF(AND(ISNUMBER(O6254),ISNUMBER(P6254)),Coef_A+Coef_B1*O6254+Coef_B2*P6254,"")</f>
        <v>21.8270289506415</v>
      </c>
      <c r="U6254" s="84" t="n">
        <f aca="false">IF(AND(R6254=1,ISNUMBER(T6254)),E6254-T6254,"")</f>
        <v>-0.0270289506415473</v>
      </c>
      <c r="V6254" s="84" t="n">
        <f aca="false">IF(ISNUMBER(T6254),T6254,-99)</f>
        <v>21.8270289506415</v>
      </c>
      <c r="W6254" s="84" t="n">
        <f aca="false">IF(ISNUMBER(U6254),ABS(U6254),"")</f>
        <v>0.0270289506415473</v>
      </c>
    </row>
    <row r="6255" customFormat="false" ht="15" hidden="false" customHeight="false" outlineLevel="0" collapsed="false">
      <c r="A6255" s="57" t="n">
        <v>43719</v>
      </c>
      <c r="B6255" s="56" t="n">
        <v>2019</v>
      </c>
      <c r="C6255" s="56" t="n">
        <v>9</v>
      </c>
      <c r="D6255" s="56" t="n">
        <v>134</v>
      </c>
      <c r="E6255" s="56" t="n">
        <v>25.7</v>
      </c>
      <c r="F6255" s="56" t="n">
        <v>0</v>
      </c>
      <c r="G6255" s="56" t="n">
        <v>13.5</v>
      </c>
      <c r="H6255" s="56" t="n">
        <v>0</v>
      </c>
      <c r="I6255" s="56" t="n">
        <v>17.6</v>
      </c>
      <c r="J6255" s="56" t="n">
        <v>0</v>
      </c>
      <c r="K6255" s="56" t="n">
        <v>1020.2</v>
      </c>
      <c r="L6255" s="56" t="n">
        <v>0</v>
      </c>
      <c r="M6255" s="56" t="n">
        <v>75</v>
      </c>
      <c r="N6255" s="56" t="n">
        <v>0.5</v>
      </c>
      <c r="O6255" s="56" t="n">
        <f aca="false">IF(D6255=1,"",E6254)</f>
        <v>21.8</v>
      </c>
      <c r="P6255" s="56" t="n">
        <f aca="false">IF(OR(D6255=1,K6254=""),"",K6254)</f>
        <v>1018.7</v>
      </c>
      <c r="Q6255" s="56" t="n">
        <f aca="false">IF(OR(F6255&lt;&gt;0,AND(I6255&lt;&gt;"",E6255&lt;I6255)),1,0)</f>
        <v>0</v>
      </c>
      <c r="R6255" s="56" t="n">
        <f aca="false">IF(AND(D6255&gt;1,Q6255=0,ISNUMBER(O6255),ISNUMBER(P6255)),IF(Q6254=0,1,0),0)</f>
        <v>1</v>
      </c>
      <c r="S6255" s="56" t="n">
        <f aca="false">R6255*(B6255&gt;=Train_Start)*(B6255&lt;=Train_End)</f>
        <v>0</v>
      </c>
      <c r="T6255" s="84" t="n">
        <f aca="false">IF(AND(ISNUMBER(O6255),ISNUMBER(P6255)),Coef_A+Coef_B1*O6255+Coef_B2*P6255,"")</f>
        <v>21.9050814939706</v>
      </c>
      <c r="U6255" s="84" t="n">
        <f aca="false">IF(AND(R6255=1,ISNUMBER(T6255)),E6255-T6255,"")</f>
        <v>3.79491850602937</v>
      </c>
      <c r="V6255" s="84" t="n">
        <f aca="false">IF(ISNUMBER(T6255),T6255,-99)</f>
        <v>21.9050814939706</v>
      </c>
      <c r="W6255" s="84" t="n">
        <f aca="false">IF(ISNUMBER(U6255),ABS(U6255),"")</f>
        <v>3.79491850602937</v>
      </c>
    </row>
    <row r="6256" customFormat="false" ht="15" hidden="false" customHeight="false" outlineLevel="0" collapsed="false">
      <c r="A6256" s="57" t="n">
        <v>43720</v>
      </c>
      <c r="B6256" s="56" t="n">
        <v>2019</v>
      </c>
      <c r="C6256" s="56" t="n">
        <v>9</v>
      </c>
      <c r="D6256" s="56" t="n">
        <v>135</v>
      </c>
      <c r="E6256" s="56" t="n">
        <v>22.6</v>
      </c>
      <c r="F6256" s="56" t="n">
        <v>0</v>
      </c>
      <c r="G6256" s="56" t="n">
        <v>12</v>
      </c>
      <c r="H6256" s="56" t="n">
        <v>0</v>
      </c>
      <c r="I6256" s="56" t="n">
        <v>18.9</v>
      </c>
      <c r="J6256" s="56" t="n">
        <v>0</v>
      </c>
      <c r="K6256" s="56" t="n">
        <v>1027</v>
      </c>
      <c r="L6256" s="56" t="n">
        <v>0</v>
      </c>
      <c r="M6256" s="56" t="n">
        <v>77</v>
      </c>
      <c r="N6256" s="56" t="n">
        <v>3.3</v>
      </c>
      <c r="O6256" s="56" t="n">
        <f aca="false">IF(D6256=1,"",E6255)</f>
        <v>25.7</v>
      </c>
      <c r="P6256" s="56" t="n">
        <f aca="false">IF(OR(D6256=1,K6255=""),"",K6255)</f>
        <v>1020.2</v>
      </c>
      <c r="Q6256" s="56" t="n">
        <f aca="false">IF(OR(F6256&lt;&gt;0,AND(I6256&lt;&gt;"",E6256&lt;I6256)),1,0)</f>
        <v>0</v>
      </c>
      <c r="R6256" s="56" t="n">
        <f aca="false">IF(AND(D6256&gt;1,Q6256=0,ISNUMBER(O6256),ISNUMBER(P6256)),IF(Q6255=0,1,0),0)</f>
        <v>1</v>
      </c>
      <c r="S6256" s="56" t="n">
        <f aca="false">R6256*(B6256&gt;=Train_Start)*(B6256&lt;=Train_End)</f>
        <v>0</v>
      </c>
      <c r="T6256" s="84" t="n">
        <f aca="false">IF(AND(ISNUMBER(O6256),ISNUMBER(P6256)),Coef_A+Coef_B1*O6256+Coef_B2*P6256,"")</f>
        <v>25.147559188788</v>
      </c>
      <c r="U6256" s="84" t="n">
        <f aca="false">IF(AND(R6256=1,ISNUMBER(T6256)),E6256-T6256,"")</f>
        <v>-2.54755918878798</v>
      </c>
      <c r="V6256" s="84" t="n">
        <f aca="false">IF(ISNUMBER(T6256),T6256,-99)</f>
        <v>25.147559188788</v>
      </c>
      <c r="W6256" s="84" t="n">
        <f aca="false">IF(ISNUMBER(U6256),ABS(U6256),"")</f>
        <v>2.54755918878798</v>
      </c>
    </row>
    <row r="6257" customFormat="false" ht="15" hidden="false" customHeight="false" outlineLevel="0" collapsed="false">
      <c r="A6257" s="57" t="n">
        <v>43721</v>
      </c>
      <c r="B6257" s="56" t="n">
        <v>2019</v>
      </c>
      <c r="C6257" s="56" t="n">
        <v>9</v>
      </c>
      <c r="D6257" s="56" t="n">
        <v>136</v>
      </c>
      <c r="E6257" s="56" t="n">
        <v>24</v>
      </c>
      <c r="F6257" s="56" t="n">
        <v>0</v>
      </c>
      <c r="G6257" s="56" t="n">
        <v>13.5</v>
      </c>
      <c r="H6257" s="56" t="n">
        <v>0</v>
      </c>
      <c r="I6257" s="56" t="n">
        <v>18.1</v>
      </c>
      <c r="J6257" s="56" t="n">
        <v>0</v>
      </c>
      <c r="K6257" s="56" t="n">
        <v>1033.9</v>
      </c>
      <c r="L6257" s="56" t="n">
        <v>0</v>
      </c>
      <c r="M6257" s="56" t="n">
        <v>58</v>
      </c>
      <c r="N6257" s="56" t="n">
        <v>11.8</v>
      </c>
      <c r="O6257" s="56" t="n">
        <f aca="false">IF(D6257=1,"",E6256)</f>
        <v>22.6</v>
      </c>
      <c r="P6257" s="56" t="n">
        <f aca="false">IF(OR(D6257=1,K6256=""),"",K6256)</f>
        <v>1027</v>
      </c>
      <c r="Q6257" s="56" t="n">
        <f aca="false">IF(OR(F6257&lt;&gt;0,AND(I6257&lt;&gt;"",E6257&lt;I6257)),1,0)</f>
        <v>0</v>
      </c>
      <c r="R6257" s="56" t="n">
        <f aca="false">IF(AND(D6257&gt;1,Q6257=0,ISNUMBER(O6257),ISNUMBER(P6257)),IF(Q6256=0,1,0),0)</f>
        <v>1</v>
      </c>
      <c r="S6257" s="56" t="n">
        <f aca="false">R6257*(B6257&gt;=Train_Start)*(B6257&lt;=Train_End)</f>
        <v>0</v>
      </c>
      <c r="T6257" s="84" t="n">
        <f aca="false">IF(AND(ISNUMBER(O6257),ISNUMBER(P6257)),Coef_A+Coef_B1*O6257+Coef_B2*P6257,"")</f>
        <v>22.8209229738669</v>
      </c>
      <c r="U6257" s="84" t="n">
        <f aca="false">IF(AND(R6257=1,ISNUMBER(T6257)),E6257-T6257,"")</f>
        <v>1.17907702613313</v>
      </c>
      <c r="V6257" s="84" t="n">
        <f aca="false">IF(ISNUMBER(T6257),T6257,-99)</f>
        <v>22.8209229738669</v>
      </c>
      <c r="W6257" s="84" t="n">
        <f aca="false">IF(ISNUMBER(U6257),ABS(U6257),"")</f>
        <v>1.17907702613313</v>
      </c>
    </row>
    <row r="6258" customFormat="false" ht="15" hidden="false" customHeight="false" outlineLevel="0" collapsed="false">
      <c r="A6258" s="57" t="n">
        <v>43722</v>
      </c>
      <c r="B6258" s="56" t="n">
        <v>2019</v>
      </c>
      <c r="C6258" s="56" t="n">
        <v>9</v>
      </c>
      <c r="D6258" s="56" t="n">
        <v>137</v>
      </c>
      <c r="E6258" s="56" t="n">
        <v>26.6</v>
      </c>
      <c r="F6258" s="56" t="n">
        <v>0</v>
      </c>
      <c r="G6258" s="56" t="n">
        <v>9.1</v>
      </c>
      <c r="H6258" s="56" t="n">
        <v>0</v>
      </c>
      <c r="I6258" s="56" t="n">
        <v>16.6</v>
      </c>
      <c r="J6258" s="56" t="n">
        <v>0</v>
      </c>
      <c r="K6258" s="56" t="n">
        <v>1032.1</v>
      </c>
      <c r="L6258" s="56" t="n">
        <v>0</v>
      </c>
      <c r="M6258" s="56" t="n">
        <v>58</v>
      </c>
      <c r="N6258" s="56" t="n">
        <v>10.9</v>
      </c>
      <c r="O6258" s="56" t="n">
        <f aca="false">IF(D6258=1,"",E6257)</f>
        <v>24</v>
      </c>
      <c r="P6258" s="56" t="n">
        <f aca="false">IF(OR(D6258=1,K6257=""),"",K6257)</f>
        <v>1033.9</v>
      </c>
      <c r="Q6258" s="56" t="n">
        <f aca="false">IF(OR(F6258&lt;&gt;0,AND(I6258&lt;&gt;"",E6258&lt;I6258)),1,0)</f>
        <v>0</v>
      </c>
      <c r="R6258" s="56" t="n">
        <f aca="false">IF(AND(D6258&gt;1,Q6258=0,ISNUMBER(O6258),ISNUMBER(P6258)),IF(Q6257=0,1,0),0)</f>
        <v>1</v>
      </c>
      <c r="S6258" s="56" t="n">
        <f aca="false">R6258*(B6258&gt;=Train_Start)*(B6258&lt;=Train_End)</f>
        <v>0</v>
      </c>
      <c r="T6258" s="84" t="n">
        <f aca="false">IF(AND(ISNUMBER(O6258),ISNUMBER(P6258)),Coef_A+Coef_B1*O6258+Coef_B2*P6258,"")</f>
        <v>24.1844501171011</v>
      </c>
      <c r="U6258" s="84" t="n">
        <f aca="false">IF(AND(R6258=1,ISNUMBER(T6258)),E6258-T6258,"")</f>
        <v>2.41554988289889</v>
      </c>
      <c r="V6258" s="84" t="n">
        <f aca="false">IF(ISNUMBER(T6258),T6258,-99)</f>
        <v>24.1844501171011</v>
      </c>
      <c r="W6258" s="84" t="n">
        <f aca="false">IF(ISNUMBER(U6258),ABS(U6258),"")</f>
        <v>2.41554988289889</v>
      </c>
    </row>
    <row r="6259" customFormat="false" ht="15" hidden="false" customHeight="false" outlineLevel="0" collapsed="false">
      <c r="A6259" s="57" t="n">
        <v>43723</v>
      </c>
      <c r="B6259" s="56" t="n">
        <v>2019</v>
      </c>
      <c r="C6259" s="56" t="n">
        <v>9</v>
      </c>
      <c r="D6259" s="56" t="n">
        <v>138</v>
      </c>
      <c r="E6259" s="56" t="n">
        <v>20.6</v>
      </c>
      <c r="F6259" s="56" t="n">
        <v>0</v>
      </c>
      <c r="G6259" s="56" t="n">
        <v>9.8</v>
      </c>
      <c r="H6259" s="56" t="n">
        <v>0</v>
      </c>
      <c r="I6259" s="56" t="n">
        <v>18.2</v>
      </c>
      <c r="J6259" s="56" t="n">
        <v>0</v>
      </c>
      <c r="K6259" s="56" t="n">
        <v>1024.3</v>
      </c>
      <c r="L6259" s="56" t="n">
        <v>0</v>
      </c>
      <c r="M6259" s="56" t="n">
        <v>68</v>
      </c>
      <c r="N6259" s="56" t="n">
        <v>10</v>
      </c>
      <c r="O6259" s="56" t="n">
        <f aca="false">IF(D6259=1,"",E6258)</f>
        <v>26.6</v>
      </c>
      <c r="P6259" s="56" t="n">
        <f aca="false">IF(OR(D6259=1,K6258=""),"",K6258)</f>
        <v>1032.1</v>
      </c>
      <c r="Q6259" s="56" t="n">
        <f aca="false">IF(OR(F6259&lt;&gt;0,AND(I6259&lt;&gt;"",E6259&lt;I6259)),1,0)</f>
        <v>0</v>
      </c>
      <c r="R6259" s="56" t="n">
        <f aca="false">IF(AND(D6259&gt;1,Q6259=0,ISNUMBER(O6259),ISNUMBER(P6259)),IF(Q6258=0,1,0),0)</f>
        <v>1</v>
      </c>
      <c r="S6259" s="56" t="n">
        <f aca="false">R6259*(B6259&gt;=Train_Start)*(B6259&lt;=Train_End)</f>
        <v>0</v>
      </c>
      <c r="T6259" s="84" t="n">
        <f aca="false">IF(AND(ISNUMBER(O6259),ISNUMBER(P6259)),Coef_A+Coef_B1*O6259+Coef_B2*P6259,"")</f>
        <v>26.2582662086708</v>
      </c>
      <c r="U6259" s="84" t="n">
        <f aca="false">IF(AND(R6259=1,ISNUMBER(T6259)),E6259-T6259,"")</f>
        <v>-5.65826620867084</v>
      </c>
      <c r="V6259" s="84" t="n">
        <f aca="false">IF(ISNUMBER(T6259),T6259,-99)</f>
        <v>26.2582662086708</v>
      </c>
      <c r="W6259" s="84" t="n">
        <f aca="false">IF(ISNUMBER(U6259),ABS(U6259),"")</f>
        <v>5.65826620867084</v>
      </c>
    </row>
    <row r="6260" customFormat="false" ht="15" hidden="false" customHeight="false" outlineLevel="0" collapsed="false">
      <c r="A6260" s="57" t="n">
        <v>43724</v>
      </c>
      <c r="B6260" s="56" t="n">
        <v>2019</v>
      </c>
      <c r="C6260" s="56" t="n">
        <v>9</v>
      </c>
      <c r="D6260" s="56" t="n">
        <v>139</v>
      </c>
      <c r="E6260" s="56" t="n">
        <v>20</v>
      </c>
      <c r="F6260" s="56" t="n">
        <v>0</v>
      </c>
      <c r="G6260" s="56" t="n">
        <v>15.4</v>
      </c>
      <c r="H6260" s="56" t="n">
        <v>0</v>
      </c>
      <c r="I6260" s="56" t="n">
        <v>18</v>
      </c>
      <c r="J6260" s="56" t="n">
        <v>0</v>
      </c>
      <c r="K6260" s="56" t="n">
        <v>1022.1</v>
      </c>
      <c r="L6260" s="56" t="n">
        <v>0</v>
      </c>
      <c r="M6260" s="56" t="n">
        <v>83</v>
      </c>
      <c r="N6260" s="56" t="n">
        <v>0</v>
      </c>
      <c r="O6260" s="56" t="n">
        <f aca="false">IF(D6260=1,"",E6259)</f>
        <v>20.6</v>
      </c>
      <c r="P6260" s="56" t="n">
        <f aca="false">IF(OR(D6260=1,K6259=""),"",K6259)</f>
        <v>1024.3</v>
      </c>
      <c r="Q6260" s="56" t="n">
        <f aca="false">IF(OR(F6260&lt;&gt;0,AND(I6260&lt;&gt;"",E6260&lt;I6260)),1,0)</f>
        <v>0</v>
      </c>
      <c r="R6260" s="56" t="n">
        <f aca="false">IF(AND(D6260&gt;1,Q6260=0,ISNUMBER(O6260),ISNUMBER(P6260)),IF(Q6259=0,1,0),0)</f>
        <v>1</v>
      </c>
      <c r="S6260" s="56" t="n">
        <f aca="false">R6260*(B6260&gt;=Train_Start)*(B6260&lt;=Train_End)</f>
        <v>0</v>
      </c>
      <c r="T6260" s="84" t="n">
        <f aca="false">IF(AND(ISNUMBER(O6260),ISNUMBER(P6260)),Coef_A+Coef_B1*O6260+Coef_B2*P6260,"")</f>
        <v>21.0975458722698</v>
      </c>
      <c r="U6260" s="84" t="n">
        <f aca="false">IF(AND(R6260=1,ISNUMBER(T6260)),E6260-T6260,"")</f>
        <v>-1.09754587226978</v>
      </c>
      <c r="V6260" s="84" t="n">
        <f aca="false">IF(ISNUMBER(T6260),T6260,-99)</f>
        <v>21.0975458722698</v>
      </c>
      <c r="W6260" s="84" t="n">
        <f aca="false">IF(ISNUMBER(U6260),ABS(U6260),"")</f>
        <v>1.09754587226978</v>
      </c>
    </row>
    <row r="6261" customFormat="false" ht="15" hidden="false" customHeight="false" outlineLevel="0" collapsed="false">
      <c r="A6261" s="57" t="n">
        <v>43725</v>
      </c>
      <c r="B6261" s="56" t="n">
        <v>2019</v>
      </c>
      <c r="C6261" s="56" t="n">
        <v>9</v>
      </c>
      <c r="D6261" s="56" t="n">
        <v>140</v>
      </c>
      <c r="E6261" s="56" t="n">
        <v>20</v>
      </c>
      <c r="F6261" s="56" t="n">
        <v>0</v>
      </c>
      <c r="G6261" s="56" t="n">
        <v>9.6</v>
      </c>
      <c r="H6261" s="56" t="n">
        <v>0</v>
      </c>
      <c r="I6261" s="56" t="n">
        <v>14.8</v>
      </c>
      <c r="J6261" s="56" t="n">
        <v>0</v>
      </c>
      <c r="K6261" s="56" t="n">
        <v>1025.4</v>
      </c>
      <c r="L6261" s="56" t="n">
        <v>0</v>
      </c>
      <c r="M6261" s="56" t="n">
        <v>61</v>
      </c>
      <c r="N6261" s="56" t="n">
        <v>11.4</v>
      </c>
      <c r="O6261" s="56" t="n">
        <f aca="false">IF(D6261=1,"",E6260)</f>
        <v>20</v>
      </c>
      <c r="P6261" s="56" t="n">
        <f aca="false">IF(OR(D6261=1,K6260=""),"",K6260)</f>
        <v>1022.1</v>
      </c>
      <c r="Q6261" s="56" t="n">
        <f aca="false">IF(OR(F6261&lt;&gt;0,AND(I6261&lt;&gt;"",E6261&lt;I6261)),1,0)</f>
        <v>0</v>
      </c>
      <c r="R6261" s="56" t="n">
        <f aca="false">IF(AND(D6261&gt;1,Q6261=0,ISNUMBER(O6261),ISNUMBER(P6261)),IF(Q6260=0,1,0),0)</f>
        <v>1</v>
      </c>
      <c r="S6261" s="56" t="n">
        <f aca="false">R6261*(B6261&gt;=Train_Start)*(B6261&lt;=Train_End)</f>
        <v>0</v>
      </c>
      <c r="T6261" s="84" t="n">
        <f aca="false">IF(AND(ISNUMBER(O6261),ISNUMBER(P6261)),Coef_A+Coef_B1*O6261+Coef_B2*P6261,"")</f>
        <v>20.5369285882494</v>
      </c>
      <c r="U6261" s="84" t="n">
        <f aca="false">IF(AND(R6261=1,ISNUMBER(T6261)),E6261-T6261,"")</f>
        <v>-0.536928588249406</v>
      </c>
      <c r="V6261" s="84" t="n">
        <f aca="false">IF(ISNUMBER(T6261),T6261,-99)</f>
        <v>20.5369285882494</v>
      </c>
      <c r="W6261" s="84" t="n">
        <f aca="false">IF(ISNUMBER(U6261),ABS(U6261),"")</f>
        <v>0.536928588249406</v>
      </c>
    </row>
    <row r="6262" customFormat="false" ht="15" hidden="false" customHeight="false" outlineLevel="0" collapsed="false">
      <c r="A6262" s="57" t="n">
        <v>43726</v>
      </c>
      <c r="B6262" s="56" t="n">
        <v>2019</v>
      </c>
      <c r="C6262" s="56" t="n">
        <v>9</v>
      </c>
      <c r="D6262" s="56" t="n">
        <v>141</v>
      </c>
      <c r="E6262" s="56" t="n">
        <v>22.2</v>
      </c>
      <c r="F6262" s="56" t="n">
        <v>0</v>
      </c>
      <c r="G6262" s="56" t="n">
        <v>7.8</v>
      </c>
      <c r="H6262" s="56" t="n">
        <v>0</v>
      </c>
      <c r="I6262" s="56" t="n">
        <v>13.9</v>
      </c>
      <c r="J6262" s="56" t="n">
        <v>0</v>
      </c>
      <c r="K6262" s="56" t="n">
        <v>1029.6</v>
      </c>
      <c r="L6262" s="56" t="n">
        <v>0</v>
      </c>
      <c r="M6262" s="56" t="n">
        <v>59</v>
      </c>
      <c r="N6262" s="56" t="n">
        <v>11.1</v>
      </c>
      <c r="O6262" s="56" t="n">
        <f aca="false">IF(D6262=1,"",E6261)</f>
        <v>20</v>
      </c>
      <c r="P6262" s="56" t="n">
        <f aca="false">IF(OR(D6262=1,K6261=""),"",K6261)</f>
        <v>1025.4</v>
      </c>
      <c r="Q6262" s="56" t="n">
        <f aca="false">IF(OR(F6262&lt;&gt;0,AND(I6262&lt;&gt;"",E6262&lt;I6262)),1,0)</f>
        <v>0</v>
      </c>
      <c r="R6262" s="56" t="n">
        <f aca="false">IF(AND(D6262&gt;1,Q6262=0,ISNUMBER(O6262),ISNUMBER(P6262)),IF(Q6261=0,1,0),0)</f>
        <v>1</v>
      </c>
      <c r="S6262" s="56" t="n">
        <f aca="false">R6262*(B6262&gt;=Train_Start)*(B6262&lt;=Train_End)</f>
        <v>0</v>
      </c>
      <c r="T6262" s="84" t="n">
        <f aca="false">IF(AND(ISNUMBER(O6262),ISNUMBER(P6262)),Coef_A+Coef_B1*O6262+Coef_B2*P6262,"")</f>
        <v>20.6404492405416</v>
      </c>
      <c r="U6262" s="84" t="n">
        <f aca="false">IF(AND(R6262=1,ISNUMBER(T6262)),E6262-T6262,"")</f>
        <v>1.55955075945842</v>
      </c>
      <c r="V6262" s="84" t="n">
        <f aca="false">IF(ISNUMBER(T6262),T6262,-99)</f>
        <v>20.6404492405416</v>
      </c>
      <c r="W6262" s="84" t="n">
        <f aca="false">IF(ISNUMBER(U6262),ABS(U6262),"")</f>
        <v>1.55955075945842</v>
      </c>
    </row>
    <row r="6263" customFormat="false" ht="15" hidden="false" customHeight="false" outlineLevel="0" collapsed="false">
      <c r="A6263" s="57" t="n">
        <v>43727</v>
      </c>
      <c r="B6263" s="56" t="n">
        <v>2019</v>
      </c>
      <c r="C6263" s="56" t="n">
        <v>9</v>
      </c>
      <c r="D6263" s="56" t="n">
        <v>142</v>
      </c>
      <c r="E6263" s="56" t="n">
        <v>22.4</v>
      </c>
      <c r="F6263" s="56" t="n">
        <v>0</v>
      </c>
      <c r="G6263" s="56" t="n">
        <v>7.9</v>
      </c>
      <c r="H6263" s="56" t="n">
        <v>0</v>
      </c>
      <c r="I6263" s="56" t="n">
        <v>15.1</v>
      </c>
      <c r="J6263" s="56" t="n">
        <v>0</v>
      </c>
      <c r="K6263" s="56" t="n">
        <v>1030.8</v>
      </c>
      <c r="L6263" s="56" t="n">
        <v>0</v>
      </c>
      <c r="M6263" s="56" t="n">
        <v>65</v>
      </c>
      <c r="N6263" s="56" t="n">
        <v>10.5</v>
      </c>
      <c r="O6263" s="56" t="n">
        <f aca="false">IF(D6263=1,"",E6262)</f>
        <v>22.2</v>
      </c>
      <c r="P6263" s="56" t="n">
        <f aca="false">IF(OR(D6263=1,K6262=""),"",K6262)</f>
        <v>1029.6</v>
      </c>
      <c r="Q6263" s="56" t="n">
        <f aca="false">IF(OR(F6263&lt;&gt;0,AND(I6263&lt;&gt;"",E6263&lt;I6263)),1,0)</f>
        <v>0</v>
      </c>
      <c r="R6263" s="56" t="n">
        <f aca="false">IF(AND(D6263&gt;1,Q6263=0,ISNUMBER(O6263),ISNUMBER(P6263)),IF(Q6262=0,1,0),0)</f>
        <v>1</v>
      </c>
      <c r="S6263" s="56" t="n">
        <f aca="false">R6263*(B6263&gt;=Train_Start)*(B6263&lt;=Train_End)</f>
        <v>0</v>
      </c>
      <c r="T6263" s="84" t="n">
        <f aca="false">IF(AND(ISNUMBER(O6263),ISNUMBER(P6263)),Coef_A+Coef_B1*O6263+Coef_B2*P6263,"")</f>
        <v>22.5747490226982</v>
      </c>
      <c r="U6263" s="84" t="n">
        <f aca="false">IF(AND(R6263=1,ISNUMBER(T6263)),E6263-T6263,"")</f>
        <v>-0.174749022698176</v>
      </c>
      <c r="V6263" s="84" t="n">
        <f aca="false">IF(ISNUMBER(T6263),T6263,-99)</f>
        <v>22.5747490226982</v>
      </c>
      <c r="W6263" s="84" t="n">
        <f aca="false">IF(ISNUMBER(U6263),ABS(U6263),"")</f>
        <v>0.174749022698176</v>
      </c>
    </row>
    <row r="6264" customFormat="false" ht="15" hidden="false" customHeight="false" outlineLevel="0" collapsed="false">
      <c r="A6264" s="57" t="n">
        <v>43728</v>
      </c>
      <c r="B6264" s="56" t="n">
        <v>2019</v>
      </c>
      <c r="C6264" s="56" t="n">
        <v>9</v>
      </c>
      <c r="D6264" s="56" t="n">
        <v>143</v>
      </c>
      <c r="E6264" s="56" t="n">
        <v>26.4</v>
      </c>
      <c r="F6264" s="56" t="n">
        <v>0</v>
      </c>
      <c r="G6264" s="56" t="n">
        <v>9.3</v>
      </c>
      <c r="H6264" s="56" t="n">
        <v>0</v>
      </c>
      <c r="I6264" s="56" t="n">
        <v>15.8</v>
      </c>
      <c r="J6264" s="56" t="n">
        <v>0</v>
      </c>
      <c r="K6264" s="56" t="n">
        <v>1025.1</v>
      </c>
      <c r="L6264" s="56" t="n">
        <v>0</v>
      </c>
      <c r="M6264" s="56" t="n">
        <v>66</v>
      </c>
      <c r="N6264" s="56" t="n">
        <v>10.8</v>
      </c>
      <c r="O6264" s="56" t="n">
        <f aca="false">IF(D6264=1,"",E6263)</f>
        <v>22.4</v>
      </c>
      <c r="P6264" s="56" t="n">
        <f aca="false">IF(OR(D6264=1,K6263=""),"",K6263)</f>
        <v>1030.8</v>
      </c>
      <c r="Q6264" s="56" t="n">
        <f aca="false">IF(OR(F6264&lt;&gt;0,AND(I6264&lt;&gt;"",E6264&lt;I6264)),1,0)</f>
        <v>0</v>
      </c>
      <c r="R6264" s="56" t="n">
        <f aca="false">IF(AND(D6264&gt;1,Q6264=0,ISNUMBER(O6264),ISNUMBER(P6264)),IF(Q6263=0,1,0),0)</f>
        <v>1</v>
      </c>
      <c r="S6264" s="56" t="n">
        <f aca="false">R6264*(B6264&gt;=Train_Start)*(B6264&lt;=Train_End)</f>
        <v>0</v>
      </c>
      <c r="T6264" s="84" t="n">
        <f aca="false">IF(AND(ISNUMBER(O6264),ISNUMBER(P6264)),Coef_A+Coef_B1*O6264+Coef_B2*P6264,"")</f>
        <v>22.7762607348675</v>
      </c>
      <c r="U6264" s="84" t="n">
        <f aca="false">IF(AND(R6264=1,ISNUMBER(T6264)),E6264-T6264,"")</f>
        <v>3.62373926513251</v>
      </c>
      <c r="V6264" s="84" t="n">
        <f aca="false">IF(ISNUMBER(T6264),T6264,-99)</f>
        <v>22.7762607348675</v>
      </c>
      <c r="W6264" s="84" t="n">
        <f aca="false">IF(ISNUMBER(U6264),ABS(U6264),"")</f>
        <v>3.62373926513251</v>
      </c>
    </row>
    <row r="6265" customFormat="false" ht="15" hidden="false" customHeight="false" outlineLevel="0" collapsed="false">
      <c r="A6265" s="57" t="n">
        <v>43729</v>
      </c>
      <c r="B6265" s="56" t="n">
        <v>2019</v>
      </c>
      <c r="C6265" s="56" t="n">
        <v>9</v>
      </c>
      <c r="D6265" s="56" t="n">
        <v>144</v>
      </c>
      <c r="E6265" s="56" t="n">
        <v>23.9</v>
      </c>
      <c r="F6265" s="56" t="n">
        <v>0</v>
      </c>
      <c r="G6265" s="56" t="n">
        <v>11.8</v>
      </c>
      <c r="H6265" s="56" t="n">
        <v>0</v>
      </c>
      <c r="I6265" s="56" t="n">
        <v>19.1</v>
      </c>
      <c r="J6265" s="56" t="n">
        <v>0</v>
      </c>
      <c r="K6265" s="56" t="n">
        <v>1012.2</v>
      </c>
      <c r="L6265" s="56" t="n">
        <v>0</v>
      </c>
      <c r="M6265" s="56" t="n">
        <v>55</v>
      </c>
      <c r="N6265" s="56" t="n">
        <v>10.6</v>
      </c>
      <c r="O6265" s="56" t="n">
        <f aca="false">IF(D6265=1,"",E6264)</f>
        <v>26.4</v>
      </c>
      <c r="P6265" s="56" t="n">
        <f aca="false">IF(OR(D6265=1,K6264=""),"",K6264)</f>
        <v>1025.1</v>
      </c>
      <c r="Q6265" s="56" t="n">
        <f aca="false">IF(OR(F6265&lt;&gt;0,AND(I6265&lt;&gt;"",E6265&lt;I6265)),1,0)</f>
        <v>0</v>
      </c>
      <c r="R6265" s="56" t="n">
        <f aca="false">IF(AND(D6265&gt;1,Q6265=0,ISNUMBER(O6265),ISNUMBER(P6265)),IF(Q6264=0,1,0),0)</f>
        <v>1</v>
      </c>
      <c r="S6265" s="56" t="n">
        <f aca="false">R6265*(B6265&gt;=Train_Start)*(B6265&lt;=Train_End)</f>
        <v>0</v>
      </c>
      <c r="T6265" s="84" t="n">
        <f aca="false">IF(AND(ISNUMBER(O6265),ISNUMBER(P6265)),Coef_A+Coef_B1*O6265+Coef_B2*P6265,"")</f>
        <v>25.8748091076244</v>
      </c>
      <c r="U6265" s="84" t="n">
        <f aca="false">IF(AND(R6265=1,ISNUMBER(T6265)),E6265-T6265,"")</f>
        <v>-1.97480910762438</v>
      </c>
      <c r="V6265" s="84" t="n">
        <f aca="false">IF(ISNUMBER(T6265),T6265,-99)</f>
        <v>25.8748091076244</v>
      </c>
      <c r="W6265" s="84" t="n">
        <f aca="false">IF(ISNUMBER(U6265),ABS(U6265),"")</f>
        <v>1.97480910762438</v>
      </c>
    </row>
    <row r="6266" customFormat="false" ht="15" hidden="false" customHeight="false" outlineLevel="0" collapsed="false">
      <c r="A6266" s="57" t="n">
        <v>43730</v>
      </c>
      <c r="B6266" s="56" t="n">
        <v>2019</v>
      </c>
      <c r="C6266" s="56" t="n">
        <v>9</v>
      </c>
      <c r="D6266" s="56" t="n">
        <v>145</v>
      </c>
      <c r="E6266" s="56" t="n">
        <v>20.1</v>
      </c>
      <c r="F6266" s="56" t="n">
        <v>1</v>
      </c>
      <c r="G6266" s="56" t="n">
        <v>17.3</v>
      </c>
      <c r="H6266" s="56" t="n">
        <v>0</v>
      </c>
      <c r="I6266" s="56" t="n">
        <v>20.6</v>
      </c>
      <c r="J6266" s="56" t="n">
        <v>1</v>
      </c>
      <c r="K6266" s="56" t="n">
        <v>1004.4</v>
      </c>
      <c r="L6266" s="56" t="n">
        <v>0</v>
      </c>
      <c r="M6266" s="56" t="n">
        <v>80</v>
      </c>
      <c r="N6266" s="56" t="n">
        <v>0.4</v>
      </c>
      <c r="O6266" s="56" t="n">
        <f aca="false">IF(D6266=1,"",E6265)</f>
        <v>23.9</v>
      </c>
      <c r="P6266" s="56" t="n">
        <f aca="false">IF(OR(D6266=1,K6265=""),"",K6265)</f>
        <v>1012.2</v>
      </c>
      <c r="Q6266" s="56" t="n">
        <f aca="false">IF(OR(F6266&lt;&gt;0,AND(I6266&lt;&gt;"",E6266&lt;I6266)),1,0)</f>
        <v>1</v>
      </c>
      <c r="R6266" s="56" t="n">
        <f aca="false">IF(AND(D6266&gt;1,Q6266=0,ISNUMBER(O6266),ISNUMBER(P6266)),IF(Q6265=0,1,0),0)</f>
        <v>0</v>
      </c>
      <c r="S6266" s="56" t="n">
        <f aca="false">R6266*(B6266&gt;=Train_Start)*(B6266&lt;=Train_End)</f>
        <v>0</v>
      </c>
      <c r="T6266" s="84" t="n">
        <f aca="false">IF(AND(ISNUMBER(O6266),ISNUMBER(P6266)),Coef_A+Coef_B1*O6266+Coef_B2*P6266,"")</f>
        <v>23.4217894842393</v>
      </c>
      <c r="U6266" s="84" t="str">
        <f aca="false">IF(AND(R6266=1,ISNUMBER(T6266)),E6266-T6266,"")</f>
        <v/>
      </c>
      <c r="V6266" s="84" t="n">
        <f aca="false">IF(ISNUMBER(T6266),T6266,-99)</f>
        <v>23.4217894842393</v>
      </c>
      <c r="W6266" s="84" t="str">
        <f aca="false">IF(ISNUMBER(U6266),ABS(U6266),"")</f>
        <v/>
      </c>
    </row>
    <row r="6267" customFormat="false" ht="15" hidden="false" customHeight="false" outlineLevel="0" collapsed="false">
      <c r="A6267" s="57" t="n">
        <v>43731</v>
      </c>
      <c r="B6267" s="56" t="n">
        <v>2019</v>
      </c>
      <c r="C6267" s="56" t="n">
        <v>9</v>
      </c>
      <c r="D6267" s="56" t="n">
        <v>146</v>
      </c>
      <c r="E6267" s="56" t="n">
        <v>20.5</v>
      </c>
      <c r="F6267" s="56" t="n">
        <v>0</v>
      </c>
      <c r="G6267" s="56" t="n">
        <v>13.5</v>
      </c>
      <c r="H6267" s="56" t="n">
        <v>0</v>
      </c>
      <c r="I6267" s="56" t="n">
        <v>16.8</v>
      </c>
      <c r="J6267" s="56" t="n">
        <v>0</v>
      </c>
      <c r="K6267" s="56" t="n">
        <v>1009.7</v>
      </c>
      <c r="L6267" s="56" t="n">
        <v>0</v>
      </c>
      <c r="M6267" s="56" t="n">
        <v>84</v>
      </c>
      <c r="N6267" s="56" t="n">
        <v>3.3</v>
      </c>
      <c r="O6267" s="56" t="n">
        <f aca="false">IF(D6267=1,"",E6266)</f>
        <v>20.1</v>
      </c>
      <c r="P6267" s="56" t="n">
        <f aca="false">IF(OR(D6267=1,K6266=""),"",K6266)</f>
        <v>1004.4</v>
      </c>
      <c r="Q6267" s="56" t="n">
        <f aca="false">IF(OR(F6267&lt;&gt;0,AND(I6267&lt;&gt;"",E6267&lt;I6267)),1,0)</f>
        <v>0</v>
      </c>
      <c r="R6267" s="56" t="n">
        <f aca="false">IF(AND(D6267&gt;1,Q6267=0,ISNUMBER(O6267),ISNUMBER(P6267)),IF(Q6266=0,1,0),0)</f>
        <v>0</v>
      </c>
      <c r="S6267" s="56" t="n">
        <f aca="false">R6267*(B6267&gt;=Train_Start)*(B6267&lt;=Train_End)</f>
        <v>0</v>
      </c>
      <c r="T6267" s="84" t="n">
        <f aca="false">IF(AND(ISNUMBER(O6267),ISNUMBER(P6267)),Coef_A+Coef_B1*O6267+Coef_B2*P6267,"")</f>
        <v>20.0636153725321</v>
      </c>
      <c r="U6267" s="84" t="str">
        <f aca="false">IF(AND(R6267=1,ISNUMBER(T6267)),E6267-T6267,"")</f>
        <v/>
      </c>
      <c r="V6267" s="84" t="n">
        <f aca="false">IF(ISNUMBER(T6267),T6267,-99)</f>
        <v>20.0636153725321</v>
      </c>
      <c r="W6267" s="84" t="str">
        <f aca="false">IF(ISNUMBER(U6267),ABS(U6267),"")</f>
        <v/>
      </c>
    </row>
    <row r="6268" customFormat="false" ht="15" hidden="false" customHeight="false" outlineLevel="0" collapsed="false">
      <c r="A6268" s="57" t="n">
        <v>43732</v>
      </c>
      <c r="B6268" s="56" t="n">
        <v>2019</v>
      </c>
      <c r="C6268" s="56" t="n">
        <v>9</v>
      </c>
      <c r="D6268" s="56" t="n">
        <v>147</v>
      </c>
      <c r="E6268" s="56" t="n">
        <v>22.2</v>
      </c>
      <c r="F6268" s="56" t="n">
        <v>0</v>
      </c>
      <c r="G6268" s="56" t="n">
        <v>15.2</v>
      </c>
      <c r="H6268" s="56" t="n">
        <v>0</v>
      </c>
      <c r="I6268" s="56" t="n">
        <v>17.9</v>
      </c>
      <c r="J6268" s="56" t="n">
        <v>0</v>
      </c>
      <c r="K6268" s="56" t="n">
        <v>1001.7</v>
      </c>
      <c r="L6268" s="56" t="n">
        <v>0</v>
      </c>
      <c r="M6268" s="56" t="n">
        <v>91</v>
      </c>
      <c r="N6268" s="56" t="n">
        <v>1.8</v>
      </c>
      <c r="O6268" s="56" t="n">
        <f aca="false">IF(D6268=1,"",E6267)</f>
        <v>20.5</v>
      </c>
      <c r="P6268" s="56" t="n">
        <f aca="false">IF(OR(D6268=1,K6267=""),"",K6267)</f>
        <v>1009.7</v>
      </c>
      <c r="Q6268" s="56" t="n">
        <f aca="false">IF(OR(F6268&lt;&gt;0,AND(I6268&lt;&gt;"",E6268&lt;I6268)),1,0)</f>
        <v>0</v>
      </c>
      <c r="R6268" s="56" t="n">
        <f aca="false">IF(AND(D6268&gt;1,Q6268=0,ISNUMBER(O6268),ISNUMBER(P6268)),IF(Q6267=0,1,0),0)</f>
        <v>1</v>
      </c>
      <c r="S6268" s="56" t="n">
        <f aca="false">R6268*(B6268&gt;=Train_Start)*(B6268&lt;=Train_End)</f>
        <v>0</v>
      </c>
      <c r="T6268" s="84" t="n">
        <f aca="false">IF(AND(ISNUMBER(O6268),ISNUMBER(P6268)),Coef_A+Coef_B1*O6268+Coef_B2*P6268,"")</f>
        <v>20.5576114913093</v>
      </c>
      <c r="U6268" s="84" t="n">
        <f aca="false">IF(AND(R6268=1,ISNUMBER(T6268)),E6268-T6268,"")</f>
        <v>1.64238850869073</v>
      </c>
      <c r="V6268" s="84" t="n">
        <f aca="false">IF(ISNUMBER(T6268),T6268,-99)</f>
        <v>20.5576114913093</v>
      </c>
      <c r="W6268" s="84" t="n">
        <f aca="false">IF(ISNUMBER(U6268),ABS(U6268),"")</f>
        <v>1.64238850869073</v>
      </c>
    </row>
    <row r="6269" customFormat="false" ht="15" hidden="false" customHeight="false" outlineLevel="0" collapsed="false">
      <c r="A6269" s="57" t="n">
        <v>43733</v>
      </c>
      <c r="B6269" s="56" t="n">
        <v>2019</v>
      </c>
      <c r="C6269" s="56" t="n">
        <v>9</v>
      </c>
      <c r="D6269" s="56" t="n">
        <v>148</v>
      </c>
      <c r="E6269" s="56" t="n">
        <v>20.9</v>
      </c>
      <c r="F6269" s="56" t="n">
        <v>0</v>
      </c>
      <c r="G6269" s="56" t="n">
        <v>14.6</v>
      </c>
      <c r="H6269" s="56" t="n">
        <v>0</v>
      </c>
      <c r="I6269" s="56" t="n">
        <v>18.4</v>
      </c>
      <c r="J6269" s="56" t="n">
        <v>0</v>
      </c>
      <c r="K6269" s="56" t="n">
        <v>1000.5</v>
      </c>
      <c r="L6269" s="56" t="n">
        <v>0</v>
      </c>
      <c r="M6269" s="56" t="n">
        <v>83</v>
      </c>
      <c r="N6269" s="56" t="n">
        <v>2.6</v>
      </c>
      <c r="O6269" s="56" t="n">
        <f aca="false">IF(D6269=1,"",E6268)</f>
        <v>22.2</v>
      </c>
      <c r="P6269" s="56" t="n">
        <f aca="false">IF(OR(D6269=1,K6268=""),"",K6268)</f>
        <v>1001.7</v>
      </c>
      <c r="Q6269" s="56" t="n">
        <f aca="false">IF(OR(F6269&lt;&gt;0,AND(I6269&lt;&gt;"",E6269&lt;I6269)),1,0)</f>
        <v>0</v>
      </c>
      <c r="R6269" s="56" t="n">
        <f aca="false">IF(AND(D6269&gt;1,Q6269=0,ISNUMBER(O6269),ISNUMBER(P6269)),IF(Q6268=0,1,0),0)</f>
        <v>1</v>
      </c>
      <c r="S6269" s="56" t="n">
        <f aca="false">R6269*(B6269&gt;=Train_Start)*(B6269&lt;=Train_End)</f>
        <v>0</v>
      </c>
      <c r="T6269" s="84" t="n">
        <f aca="false">IF(AND(ISNUMBER(O6269),ISNUMBER(P6269)),Coef_A+Coef_B1*O6269+Coef_B2*P6269,"")</f>
        <v>21.6995289624099</v>
      </c>
      <c r="U6269" s="84" t="n">
        <f aca="false">IF(AND(R6269=1,ISNUMBER(T6269)),E6269-T6269,"")</f>
        <v>-0.799528962409873</v>
      </c>
      <c r="V6269" s="84" t="n">
        <f aca="false">IF(ISNUMBER(T6269),T6269,-99)</f>
        <v>21.6995289624099</v>
      </c>
      <c r="W6269" s="84" t="n">
        <f aca="false">IF(ISNUMBER(U6269),ABS(U6269),"")</f>
        <v>0.799528962409873</v>
      </c>
    </row>
    <row r="6270" customFormat="false" ht="15" hidden="false" customHeight="false" outlineLevel="0" collapsed="false">
      <c r="A6270" s="57" t="n">
        <v>43734</v>
      </c>
      <c r="B6270" s="56" t="n">
        <v>2019</v>
      </c>
      <c r="C6270" s="56" t="n">
        <v>9</v>
      </c>
      <c r="D6270" s="56" t="n">
        <v>149</v>
      </c>
      <c r="E6270" s="56" t="n">
        <v>19</v>
      </c>
      <c r="F6270" s="56" t="n">
        <v>0</v>
      </c>
      <c r="G6270" s="56" t="n">
        <v>15.5</v>
      </c>
      <c r="H6270" s="56" t="n">
        <v>0</v>
      </c>
      <c r="I6270" s="56" t="n">
        <v>18.2</v>
      </c>
      <c r="J6270" s="56" t="n">
        <v>0</v>
      </c>
      <c r="K6270" s="56" t="n">
        <v>1002.9</v>
      </c>
      <c r="L6270" s="56" t="n">
        <v>0</v>
      </c>
      <c r="M6270" s="56" t="n">
        <v>83</v>
      </c>
      <c r="N6270" s="56" t="n">
        <v>1.7</v>
      </c>
      <c r="O6270" s="56" t="n">
        <f aca="false">IF(D6270=1,"",E6269)</f>
        <v>20.9</v>
      </c>
      <c r="P6270" s="56" t="n">
        <f aca="false">IF(OR(D6270=1,K6269=""),"",K6269)</f>
        <v>1000.5</v>
      </c>
      <c r="Q6270" s="56" t="n">
        <f aca="false">IF(OR(F6270&lt;&gt;0,AND(I6270&lt;&gt;"",E6270&lt;I6270)),1,0)</f>
        <v>0</v>
      </c>
      <c r="R6270" s="56" t="n">
        <f aca="false">IF(AND(D6270&gt;1,Q6270=0,ISNUMBER(O6270),ISNUMBER(P6270)),IF(Q6269=0,1,0),0)</f>
        <v>1</v>
      </c>
      <c r="S6270" s="56" t="n">
        <f aca="false">R6270*(B6270&gt;=Train_Start)*(B6270&lt;=Train_End)</f>
        <v>0</v>
      </c>
      <c r="T6270" s="84" t="n">
        <f aca="false">IF(AND(ISNUMBER(O6270),ISNUMBER(P6270)),Coef_A+Coef_B1*O6270+Coef_B2*P6270,"")</f>
        <v>20.5967441378936</v>
      </c>
      <c r="U6270" s="84" t="n">
        <f aca="false">IF(AND(R6270=1,ISNUMBER(T6270)),E6270-T6270,"")</f>
        <v>-1.59674413789363</v>
      </c>
      <c r="V6270" s="84" t="n">
        <f aca="false">IF(ISNUMBER(T6270),T6270,-99)</f>
        <v>20.5967441378936</v>
      </c>
      <c r="W6270" s="84" t="n">
        <f aca="false">IF(ISNUMBER(U6270),ABS(U6270),"")</f>
        <v>1.59674413789363</v>
      </c>
    </row>
    <row r="6271" customFormat="false" ht="15" hidden="false" customHeight="false" outlineLevel="0" collapsed="false">
      <c r="A6271" s="57" t="n">
        <v>43735</v>
      </c>
      <c r="B6271" s="56" t="n">
        <v>2019</v>
      </c>
      <c r="C6271" s="56" t="n">
        <v>9</v>
      </c>
      <c r="D6271" s="56" t="n">
        <v>150</v>
      </c>
      <c r="E6271" s="56" t="n">
        <v>19.7</v>
      </c>
      <c r="F6271" s="56" t="n">
        <v>0</v>
      </c>
      <c r="G6271" s="56" t="n">
        <v>13.2</v>
      </c>
      <c r="H6271" s="56" t="n">
        <v>0</v>
      </c>
      <c r="I6271" s="56" t="n">
        <v>16.1</v>
      </c>
      <c r="J6271" s="56" t="n">
        <v>0</v>
      </c>
      <c r="K6271" s="56" t="n">
        <v>1004.1</v>
      </c>
      <c r="L6271" s="56" t="n">
        <v>0</v>
      </c>
      <c r="M6271" s="56" t="n">
        <v>80</v>
      </c>
      <c r="N6271" s="56" t="n">
        <v>4.1</v>
      </c>
      <c r="O6271" s="56" t="n">
        <f aca="false">IF(D6271=1,"",E6270)</f>
        <v>19</v>
      </c>
      <c r="P6271" s="56" t="n">
        <f aca="false">IF(OR(D6271=1,K6270=""),"",K6270)</f>
        <v>1002.9</v>
      </c>
      <c r="Q6271" s="56" t="n">
        <f aca="false">IF(OR(F6271&lt;&gt;0,AND(I6271&lt;&gt;"",E6271&lt;I6271)),1,0)</f>
        <v>0</v>
      </c>
      <c r="R6271" s="56" t="n">
        <f aca="false">IF(AND(D6271&gt;1,Q6271=0,ISNUMBER(O6271),ISNUMBER(P6271)),IF(Q6270=0,1,0),0)</f>
        <v>1</v>
      </c>
      <c r="S6271" s="56" t="n">
        <f aca="false">R6271*(B6271&gt;=Train_Start)*(B6271&lt;=Train_End)</f>
        <v>0</v>
      </c>
      <c r="T6271" s="84" t="n">
        <f aca="false">IF(AND(ISNUMBER(O6271),ISNUMBER(P6271)),Coef_A+Coef_B1*O6271+Coef_B2*P6271,"")</f>
        <v>19.1152874182342</v>
      </c>
      <c r="U6271" s="84" t="n">
        <f aca="false">IF(AND(R6271=1,ISNUMBER(T6271)),E6271-T6271,"")</f>
        <v>0.584712581765846</v>
      </c>
      <c r="V6271" s="84" t="n">
        <f aca="false">IF(ISNUMBER(T6271),T6271,-99)</f>
        <v>19.1152874182342</v>
      </c>
      <c r="W6271" s="84" t="n">
        <f aca="false">IF(ISNUMBER(U6271),ABS(U6271),"")</f>
        <v>0.584712581765846</v>
      </c>
    </row>
    <row r="6272" customFormat="false" ht="15" hidden="false" customHeight="false" outlineLevel="0" collapsed="false">
      <c r="A6272" s="57" t="n">
        <v>43736</v>
      </c>
      <c r="B6272" s="56" t="n">
        <v>2019</v>
      </c>
      <c r="C6272" s="56" t="n">
        <v>9</v>
      </c>
      <c r="D6272" s="56" t="n">
        <v>151</v>
      </c>
      <c r="E6272" s="56" t="n">
        <v>19.8</v>
      </c>
      <c r="F6272" s="56" t="n">
        <v>0</v>
      </c>
      <c r="G6272" s="56" t="n">
        <v>12</v>
      </c>
      <c r="H6272" s="56" t="n">
        <v>0</v>
      </c>
      <c r="I6272" s="56" t="n">
        <v>15.8</v>
      </c>
      <c r="J6272" s="56" t="n">
        <v>0</v>
      </c>
      <c r="K6272" s="56" t="n">
        <v>1008</v>
      </c>
      <c r="L6272" s="56" t="n">
        <v>0</v>
      </c>
      <c r="M6272" s="56" t="n">
        <v>78</v>
      </c>
      <c r="N6272" s="56" t="n">
        <v>0.3</v>
      </c>
      <c r="O6272" s="56" t="n">
        <f aca="false">IF(D6272=1,"",E6271)</f>
        <v>19.7</v>
      </c>
      <c r="P6272" s="56" t="n">
        <f aca="false">IF(OR(D6272=1,K6271=""),"",K6271)</f>
        <v>1004.1</v>
      </c>
      <c r="Q6272" s="56" t="n">
        <f aca="false">IF(OR(F6272&lt;&gt;0,AND(I6272&lt;&gt;"",E6272&lt;I6272)),1,0)</f>
        <v>0</v>
      </c>
      <c r="R6272" s="56" t="n">
        <f aca="false">IF(AND(D6272&gt;1,Q6272=0,ISNUMBER(O6272),ISNUMBER(P6272)),IF(Q6271=0,1,0),0)</f>
        <v>1</v>
      </c>
      <c r="S6272" s="56" t="n">
        <f aca="false">R6272*(B6272&gt;=Train_Start)*(B6272&lt;=Train_End)</f>
        <v>0</v>
      </c>
      <c r="T6272" s="84" t="n">
        <f aca="false">IF(AND(ISNUMBER(O6272),ISNUMBER(P6272)),Coef_A+Coef_B1*O6272+Coef_B2*P6272,"")</f>
        <v>19.7264687269248</v>
      </c>
      <c r="U6272" s="84" t="n">
        <f aca="false">IF(AND(R6272=1,ISNUMBER(T6272)),E6272-T6272,"")</f>
        <v>0.0735312730752007</v>
      </c>
      <c r="V6272" s="84" t="n">
        <f aca="false">IF(ISNUMBER(T6272),T6272,-99)</f>
        <v>19.7264687269248</v>
      </c>
      <c r="W6272" s="84" t="n">
        <f aca="false">IF(ISNUMBER(U6272),ABS(U6272),"")</f>
        <v>0.0735312730752007</v>
      </c>
    </row>
    <row r="6273" customFormat="false" ht="15" hidden="false" customHeight="false" outlineLevel="0" collapsed="false">
      <c r="A6273" s="57" t="n">
        <v>43737</v>
      </c>
      <c r="B6273" s="56" t="n">
        <v>2019</v>
      </c>
      <c r="C6273" s="56" t="n">
        <v>9</v>
      </c>
      <c r="D6273" s="56" t="n">
        <v>152</v>
      </c>
      <c r="E6273" s="56" t="n">
        <v>17.8</v>
      </c>
      <c r="F6273" s="56" t="n">
        <v>0</v>
      </c>
      <c r="G6273" s="56" t="n">
        <v>13.9</v>
      </c>
      <c r="H6273" s="56" t="n">
        <v>0</v>
      </c>
      <c r="I6273" s="56" t="n">
        <v>16.9</v>
      </c>
      <c r="J6273" s="56" t="n">
        <v>0</v>
      </c>
      <c r="K6273" s="56" t="n">
        <v>998</v>
      </c>
      <c r="L6273" s="56" t="n">
        <v>0</v>
      </c>
      <c r="M6273" s="56" t="n">
        <v>88</v>
      </c>
      <c r="N6273" s="56" t="n">
        <v>0.3</v>
      </c>
      <c r="O6273" s="56" t="n">
        <f aca="false">IF(D6273=1,"",E6272)</f>
        <v>19.8</v>
      </c>
      <c r="P6273" s="56" t="n">
        <f aca="false">IF(OR(D6273=1,K6272=""),"",K6272)</f>
        <v>1008</v>
      </c>
      <c r="Q6273" s="56" t="n">
        <f aca="false">IF(OR(F6273&lt;&gt;0,AND(I6273&lt;&gt;"",E6273&lt;I6273)),1,0)</f>
        <v>0</v>
      </c>
      <c r="R6273" s="56" t="n">
        <f aca="false">IF(AND(D6273&gt;1,Q6273=0,ISNUMBER(O6273),ISNUMBER(P6273)),IF(Q6272=0,1,0),0)</f>
        <v>1</v>
      </c>
      <c r="S6273" s="56" t="n">
        <f aca="false">R6273*(B6273&gt;=Train_Start)*(B6273&lt;=Train_End)</f>
        <v>0</v>
      </c>
      <c r="T6273" s="84" t="n">
        <f aca="false">IF(AND(ISNUMBER(O6273),ISNUMBER(P6273)),Coef_A+Coef_B1*O6273+Coef_B2*P6273,"")</f>
        <v>19.9307452353016</v>
      </c>
      <c r="U6273" s="84" t="n">
        <f aca="false">IF(AND(R6273=1,ISNUMBER(T6273)),E6273-T6273,"")</f>
        <v>-2.13074523530163</v>
      </c>
      <c r="V6273" s="84" t="n">
        <f aca="false">IF(ISNUMBER(T6273),T6273,-99)</f>
        <v>19.9307452353016</v>
      </c>
      <c r="W6273" s="84" t="n">
        <f aca="false">IF(ISNUMBER(U6273),ABS(U6273),"")</f>
        <v>2.13074523530163</v>
      </c>
    </row>
    <row r="6274" customFormat="false" ht="15" hidden="false" customHeight="false" outlineLevel="0" collapsed="false">
      <c r="A6274" s="57" t="n">
        <v>43738</v>
      </c>
      <c r="B6274" s="56" t="n">
        <v>2019</v>
      </c>
      <c r="C6274" s="56" t="n">
        <v>9</v>
      </c>
      <c r="D6274" s="56" t="n">
        <v>153</v>
      </c>
      <c r="E6274" s="56" t="n">
        <v>21.1</v>
      </c>
      <c r="F6274" s="56" t="n">
        <v>0</v>
      </c>
      <c r="G6274" s="56" t="n">
        <v>9.7</v>
      </c>
      <c r="H6274" s="56" t="n">
        <v>0</v>
      </c>
      <c r="I6274" s="56" t="n">
        <v>13.8</v>
      </c>
      <c r="J6274" s="56" t="n">
        <v>0</v>
      </c>
      <c r="K6274" s="56" t="n">
        <v>1008.6</v>
      </c>
      <c r="L6274" s="56" t="n">
        <v>0</v>
      </c>
      <c r="M6274" s="56" t="n">
        <v>87</v>
      </c>
      <c r="N6274" s="56" t="n">
        <v>0.2</v>
      </c>
      <c r="O6274" s="56" t="n">
        <f aca="false">IF(D6274=1,"",E6273)</f>
        <v>17.8</v>
      </c>
      <c r="P6274" s="56" t="n">
        <f aca="false">IF(OR(D6274=1,K6273=""),"",K6273)</f>
        <v>998</v>
      </c>
      <c r="Q6274" s="56" t="n">
        <f aca="false">IF(OR(F6274&lt;&gt;0,AND(I6274&lt;&gt;"",E6274&lt;I6274)),1,0)</f>
        <v>0</v>
      </c>
      <c r="R6274" s="56" t="n">
        <f aca="false">IF(AND(D6274&gt;1,Q6274=0,ISNUMBER(O6274),ISNUMBER(P6274)),IF(Q6273=0,1,0),0)</f>
        <v>1</v>
      </c>
      <c r="S6274" s="56" t="n">
        <f aca="false">R6274*(B6274&gt;=Train_Start)*(B6274&lt;=Train_End)</f>
        <v>0</v>
      </c>
      <c r="T6274" s="84" t="n">
        <f aca="false">IF(AND(ISNUMBER(O6274),ISNUMBER(P6274)),Coef_A+Coef_B1*O6274+Coef_B2*P6274,"")</f>
        <v>17.9783679028764</v>
      </c>
      <c r="U6274" s="84" t="n">
        <f aca="false">IF(AND(R6274=1,ISNUMBER(T6274)),E6274-T6274,"")</f>
        <v>3.12163209712358</v>
      </c>
      <c r="V6274" s="84" t="n">
        <f aca="false">IF(ISNUMBER(T6274),T6274,-99)</f>
        <v>17.9783679028764</v>
      </c>
      <c r="W6274" s="84" t="n">
        <f aca="false">IF(ISNUMBER(U6274),ABS(U6274),"")</f>
        <v>3.12163209712358</v>
      </c>
    </row>
    <row r="6275" customFormat="false" ht="15" hidden="false" customHeight="false" outlineLevel="0" collapsed="false">
      <c r="A6275" s="57" t="n">
        <v>43952</v>
      </c>
      <c r="B6275" s="56" t="n">
        <v>2020</v>
      </c>
      <c r="C6275" s="56" t="n">
        <v>5</v>
      </c>
      <c r="D6275" s="56" t="n">
        <v>1</v>
      </c>
      <c r="E6275" s="56" t="n">
        <v>17.6</v>
      </c>
      <c r="F6275" s="56" t="n">
        <v>0</v>
      </c>
      <c r="G6275" s="56" t="n">
        <v>7.4</v>
      </c>
      <c r="H6275" s="56" t="n">
        <v>0</v>
      </c>
      <c r="I6275" s="56" t="n">
        <v>11.4</v>
      </c>
      <c r="J6275" s="56" t="n">
        <v>0</v>
      </c>
      <c r="K6275" s="56" t="n">
        <v>999.6</v>
      </c>
      <c r="L6275" s="56" t="n">
        <v>0</v>
      </c>
      <c r="M6275" s="56" t="n">
        <v>73</v>
      </c>
      <c r="N6275" s="56" t="n">
        <v>6</v>
      </c>
      <c r="O6275" s="56" t="str">
        <f aca="false">IF(D6275=1,"",E6274)</f>
        <v/>
      </c>
      <c r="P6275" s="56" t="str">
        <f aca="false">IF(OR(D6275=1,K6274=""),"",K6274)</f>
        <v/>
      </c>
      <c r="Q6275" s="56" t="n">
        <f aca="false">IF(OR(F6275&lt;&gt;0,AND(I6275&lt;&gt;"",E6275&lt;I6275)),1,0)</f>
        <v>0</v>
      </c>
      <c r="R6275" s="56" t="n">
        <f aca="false">IF(AND(D6275&gt;1,Q6275=0,ISNUMBER(O6275),ISNUMBER(P6275)),IF(Q6274=0,1,0),0)</f>
        <v>0</v>
      </c>
      <c r="S6275" s="56" t="n">
        <f aca="false">R6275*(B6275&gt;=Train_Start)*(B6275&lt;=Train_End)</f>
        <v>0</v>
      </c>
      <c r="T6275" s="84" t="str">
        <f aca="false">IF(AND(ISNUMBER(O6275),ISNUMBER(P6275)),Coef_A+Coef_B1*O6275+Coef_B2*P6275,"")</f>
        <v/>
      </c>
      <c r="U6275" s="84" t="str">
        <f aca="false">IF(AND(R6275=1,ISNUMBER(T6275)),E6275-T6275,"")</f>
        <v/>
      </c>
      <c r="V6275" s="84" t="n">
        <f aca="false">IF(ISNUMBER(T6275),T6275,-99)</f>
        <v>-99</v>
      </c>
      <c r="W6275" s="84" t="str">
        <f aca="false">IF(ISNUMBER(U6275),ABS(U6275),"")</f>
        <v/>
      </c>
    </row>
    <row r="6276" customFormat="false" ht="15" hidden="false" customHeight="false" outlineLevel="0" collapsed="false">
      <c r="A6276" s="57" t="n">
        <v>43953</v>
      </c>
      <c r="B6276" s="56" t="n">
        <v>2020</v>
      </c>
      <c r="C6276" s="56" t="n">
        <v>5</v>
      </c>
      <c r="D6276" s="56" t="n">
        <v>2</v>
      </c>
      <c r="E6276" s="56" t="n">
        <v>15.2</v>
      </c>
      <c r="F6276" s="56" t="n">
        <v>0</v>
      </c>
      <c r="G6276" s="56" t="n">
        <v>5.7</v>
      </c>
      <c r="H6276" s="56" t="n">
        <v>0</v>
      </c>
      <c r="I6276" s="56" t="n">
        <v>11.7</v>
      </c>
      <c r="J6276" s="56" t="n">
        <v>0</v>
      </c>
      <c r="K6276" s="56" t="n">
        <v>1010.7</v>
      </c>
      <c r="L6276" s="56" t="n">
        <v>0</v>
      </c>
      <c r="M6276" s="56" t="n">
        <v>62</v>
      </c>
      <c r="N6276" s="56" t="n">
        <v>12</v>
      </c>
      <c r="O6276" s="56" t="n">
        <f aca="false">IF(D6276=1,"",E6275)</f>
        <v>17.6</v>
      </c>
      <c r="P6276" s="56" t="n">
        <f aca="false">IF(OR(D6276=1,K6275=""),"",K6275)</f>
        <v>999.6</v>
      </c>
      <c r="Q6276" s="56" t="n">
        <f aca="false">IF(OR(F6276&lt;&gt;0,AND(I6276&lt;&gt;"",E6276&lt;I6276)),1,0)</f>
        <v>0</v>
      </c>
      <c r="R6276" s="56" t="n">
        <f aca="false">IF(AND(D6276&gt;1,Q6276=0,ISNUMBER(O6276),ISNUMBER(P6276)),IF(Q6275=0,1,0),0)</f>
        <v>1</v>
      </c>
      <c r="S6276" s="56" t="n">
        <f aca="false">R6276*(B6276&gt;=Train_Start)*(B6276&lt;=Train_End)</f>
        <v>0</v>
      </c>
      <c r="T6276" s="84" t="n">
        <f aca="false">IF(AND(ISNUMBER(O6276),ISNUMBER(P6276)),Coef_A+Coef_B1*O6276+Coef_B2*P6276,"")</f>
        <v>17.8646918956823</v>
      </c>
      <c r="U6276" s="84" t="n">
        <f aca="false">IF(AND(R6276=1,ISNUMBER(T6276)),E6276-T6276,"")</f>
        <v>-2.66469189568227</v>
      </c>
      <c r="V6276" s="84" t="n">
        <f aca="false">IF(ISNUMBER(T6276),T6276,-99)</f>
        <v>17.8646918956823</v>
      </c>
      <c r="W6276" s="84" t="n">
        <f aca="false">IF(ISNUMBER(U6276),ABS(U6276),"")</f>
        <v>2.66469189568227</v>
      </c>
    </row>
    <row r="6277" customFormat="false" ht="15" hidden="false" customHeight="false" outlineLevel="0" collapsed="false">
      <c r="A6277" s="57" t="n">
        <v>43954</v>
      </c>
      <c r="B6277" s="56" t="n">
        <v>2020</v>
      </c>
      <c r="C6277" s="56" t="n">
        <v>5</v>
      </c>
      <c r="D6277" s="56" t="n">
        <v>3</v>
      </c>
      <c r="E6277" s="56" t="n">
        <v>17.8</v>
      </c>
      <c r="F6277" s="56" t="n">
        <v>0</v>
      </c>
      <c r="G6277" s="56" t="n">
        <v>8.6</v>
      </c>
      <c r="H6277" s="56" t="n">
        <v>0</v>
      </c>
      <c r="I6277" s="56" t="n">
        <v>11.9</v>
      </c>
      <c r="J6277" s="56" t="n">
        <v>0</v>
      </c>
      <c r="K6277" s="56" t="n">
        <v>1015.9</v>
      </c>
      <c r="L6277" s="56" t="n">
        <v>0</v>
      </c>
      <c r="M6277" s="56" t="n">
        <v>70</v>
      </c>
      <c r="N6277" s="56" t="n">
        <v>0</v>
      </c>
      <c r="O6277" s="56" t="n">
        <f aca="false">IF(D6277=1,"",E6276)</f>
        <v>15.2</v>
      </c>
      <c r="P6277" s="56" t="n">
        <f aca="false">IF(OR(D6277=1,K6276=""),"",K6276)</f>
        <v>1010.7</v>
      </c>
      <c r="Q6277" s="56" t="n">
        <f aca="false">IF(OR(F6277&lt;&gt;0,AND(I6277&lt;&gt;"",E6277&lt;I6277)),1,0)</f>
        <v>0</v>
      </c>
      <c r="R6277" s="56" t="n">
        <f aca="false">IF(AND(D6277&gt;1,Q6277=0,ISNUMBER(O6277),ISNUMBER(P6277)),IF(Q6276=0,1,0),0)</f>
        <v>1</v>
      </c>
      <c r="S6277" s="56" t="n">
        <f aca="false">R6277*(B6277&gt;=Train_Start)*(B6277&lt;=Train_End)</f>
        <v>0</v>
      </c>
      <c r="T6277" s="84" t="n">
        <f aca="false">IF(AND(ISNUMBER(O6277),ISNUMBER(P6277)),Coef_A+Coef_B1*O6277+Coef_B2*P6277,"")</f>
        <v>16.2464836628172</v>
      </c>
      <c r="U6277" s="84" t="n">
        <f aca="false">IF(AND(R6277=1,ISNUMBER(T6277)),E6277-T6277,"")</f>
        <v>1.55351633718283</v>
      </c>
      <c r="V6277" s="84" t="n">
        <f aca="false">IF(ISNUMBER(T6277),T6277,-99)</f>
        <v>16.2464836628172</v>
      </c>
      <c r="W6277" s="84" t="n">
        <f aca="false">IF(ISNUMBER(U6277),ABS(U6277),"")</f>
        <v>1.55351633718283</v>
      </c>
    </row>
    <row r="6278" customFormat="false" ht="15" hidden="false" customHeight="false" outlineLevel="0" collapsed="false">
      <c r="A6278" s="57" t="n">
        <v>43955</v>
      </c>
      <c r="B6278" s="56" t="n">
        <v>2020</v>
      </c>
      <c r="C6278" s="56" t="n">
        <v>5</v>
      </c>
      <c r="D6278" s="56" t="n">
        <v>4</v>
      </c>
      <c r="E6278" s="56" t="n">
        <v>15.4</v>
      </c>
      <c r="F6278" s="56" t="n">
        <v>0</v>
      </c>
      <c r="G6278" s="56" t="n">
        <v>9.7</v>
      </c>
      <c r="H6278" s="56" t="n">
        <v>0</v>
      </c>
      <c r="I6278" s="56" t="n">
        <v>13.8</v>
      </c>
      <c r="J6278" s="56" t="n">
        <v>0</v>
      </c>
      <c r="K6278" s="56" t="n">
        <v>1019.3</v>
      </c>
      <c r="L6278" s="56" t="n">
        <v>0</v>
      </c>
      <c r="M6278" s="56" t="n">
        <v>64</v>
      </c>
      <c r="N6278" s="56" t="n">
        <v>7.3</v>
      </c>
      <c r="O6278" s="56" t="n">
        <f aca="false">IF(D6278=1,"",E6277)</f>
        <v>17.8</v>
      </c>
      <c r="P6278" s="56" t="n">
        <f aca="false">IF(OR(D6278=1,K6277=""),"",K6277)</f>
        <v>1015.9</v>
      </c>
      <c r="Q6278" s="56" t="n">
        <f aca="false">IF(OR(F6278&lt;&gt;0,AND(I6278&lt;&gt;"",E6278&lt;I6278)),1,0)</f>
        <v>0</v>
      </c>
      <c r="R6278" s="56" t="n">
        <f aca="false">IF(AND(D6278&gt;1,Q6278=0,ISNUMBER(O6278),ISNUMBER(P6278)),IF(Q6277=0,1,0),0)</f>
        <v>1</v>
      </c>
      <c r="S6278" s="56" t="n">
        <f aca="false">R6278*(B6278&gt;=Train_Start)*(B6278&lt;=Train_End)</f>
        <v>0</v>
      </c>
      <c r="T6278" s="84" t="n">
        <f aca="false">IF(AND(ISNUMBER(O6278),ISNUMBER(P6278)),Coef_A+Coef_B1*O6278+Coef_B2*P6278,"")</f>
        <v>18.5398890168248</v>
      </c>
      <c r="U6278" s="84" t="n">
        <f aca="false">IF(AND(R6278=1,ISNUMBER(T6278)),E6278-T6278,"")</f>
        <v>-3.13988901682483</v>
      </c>
      <c r="V6278" s="84" t="n">
        <f aca="false">IF(ISNUMBER(T6278),T6278,-99)</f>
        <v>18.5398890168248</v>
      </c>
      <c r="W6278" s="84" t="n">
        <f aca="false">IF(ISNUMBER(U6278),ABS(U6278),"")</f>
        <v>3.13988901682483</v>
      </c>
    </row>
    <row r="6279" customFormat="false" ht="15" hidden="false" customHeight="false" outlineLevel="0" collapsed="false">
      <c r="A6279" s="57" t="n">
        <v>43956</v>
      </c>
      <c r="B6279" s="56" t="n">
        <v>2020</v>
      </c>
      <c r="C6279" s="56" t="n">
        <v>5</v>
      </c>
      <c r="D6279" s="56" t="n">
        <v>5</v>
      </c>
      <c r="E6279" s="56" t="n">
        <v>18.7</v>
      </c>
      <c r="F6279" s="56" t="n">
        <v>0</v>
      </c>
      <c r="G6279" s="56" t="n">
        <v>7.9</v>
      </c>
      <c r="H6279" s="56" t="n">
        <v>0</v>
      </c>
      <c r="I6279" s="56" t="n">
        <v>11.7</v>
      </c>
      <c r="J6279" s="56" t="n">
        <v>0</v>
      </c>
      <c r="K6279" s="56" t="n">
        <v>1021.3</v>
      </c>
      <c r="L6279" s="56" t="n">
        <v>0</v>
      </c>
      <c r="M6279" s="56" t="n">
        <v>59</v>
      </c>
      <c r="N6279" s="56" t="n">
        <v>11.6</v>
      </c>
      <c r="O6279" s="56" t="n">
        <f aca="false">IF(D6279=1,"",E6278)</f>
        <v>15.4</v>
      </c>
      <c r="P6279" s="56" t="n">
        <f aca="false">IF(OR(D6279=1,K6278=""),"",K6278)</f>
        <v>1019.3</v>
      </c>
      <c r="Q6279" s="56" t="n">
        <f aca="false">IF(OR(F6279&lt;&gt;0,AND(I6279&lt;&gt;"",E6279&lt;I6279)),1,0)</f>
        <v>0</v>
      </c>
      <c r="R6279" s="56" t="n">
        <f aca="false">IF(AND(D6279&gt;1,Q6279=0,ISNUMBER(O6279),ISNUMBER(P6279)),IF(Q6278=0,1,0),0)</f>
        <v>1</v>
      </c>
      <c r="S6279" s="56" t="n">
        <f aca="false">R6279*(B6279&gt;=Train_Start)*(B6279&lt;=Train_End)</f>
        <v>0</v>
      </c>
      <c r="T6279" s="84" t="n">
        <f aca="false">IF(AND(ISNUMBER(O6279),ISNUMBER(P6279)),Coef_A+Coef_B1*O6279+Coef_B2*P6279,"")</f>
        <v>16.680132595278</v>
      </c>
      <c r="U6279" s="84" t="n">
        <f aca="false">IF(AND(R6279=1,ISNUMBER(T6279)),E6279-T6279,"")</f>
        <v>2.01986740472199</v>
      </c>
      <c r="V6279" s="84" t="n">
        <f aca="false">IF(ISNUMBER(T6279),T6279,-99)</f>
        <v>16.680132595278</v>
      </c>
      <c r="W6279" s="84" t="n">
        <f aca="false">IF(ISNUMBER(U6279),ABS(U6279),"")</f>
        <v>2.01986740472199</v>
      </c>
    </row>
    <row r="6280" customFormat="false" ht="15" hidden="false" customHeight="false" outlineLevel="0" collapsed="false">
      <c r="A6280" s="57" t="n">
        <v>43957</v>
      </c>
      <c r="B6280" s="56" t="n">
        <v>2020</v>
      </c>
      <c r="C6280" s="56" t="n">
        <v>5</v>
      </c>
      <c r="D6280" s="56" t="n">
        <v>6</v>
      </c>
      <c r="E6280" s="56" t="n">
        <v>23.1</v>
      </c>
      <c r="F6280" s="56" t="n">
        <v>0</v>
      </c>
      <c r="G6280" s="56" t="n">
        <v>5</v>
      </c>
      <c r="H6280" s="56" t="n">
        <v>0</v>
      </c>
      <c r="I6280" s="56" t="n">
        <v>11.8</v>
      </c>
      <c r="J6280" s="56" t="n">
        <v>0</v>
      </c>
      <c r="K6280" s="56" t="n">
        <v>1025.3</v>
      </c>
      <c r="L6280" s="56" t="n">
        <v>0</v>
      </c>
      <c r="M6280" s="56" t="n">
        <v>60</v>
      </c>
      <c r="N6280" s="56" t="n">
        <v>13.4</v>
      </c>
      <c r="O6280" s="56" t="n">
        <f aca="false">IF(D6280=1,"",E6279)</f>
        <v>18.7</v>
      </c>
      <c r="P6280" s="56" t="n">
        <f aca="false">IF(OR(D6280=1,K6279=""),"",K6279)</f>
        <v>1021.3</v>
      </c>
      <c r="Q6280" s="56" t="n">
        <f aca="false">IF(OR(F6280&lt;&gt;0,AND(I6280&lt;&gt;"",E6280&lt;I6280)),1,0)</f>
        <v>0</v>
      </c>
      <c r="R6280" s="56" t="n">
        <f aca="false">IF(AND(D6280&gt;1,Q6280=0,ISNUMBER(O6280),ISNUMBER(P6280)),IF(Q6279=0,1,0),0)</f>
        <v>1</v>
      </c>
      <c r="S6280" s="56" t="n">
        <f aca="false">R6280*(B6280&gt;=Train_Start)*(B6280&lt;=Train_End)</f>
        <v>0</v>
      </c>
      <c r="T6280" s="84" t="n">
        <f aca="false">IF(AND(ISNUMBER(O6280),ISNUMBER(P6280)),Coef_A+Coef_B1*O6280+Coef_B2*P6280,"")</f>
        <v>19.4466917215868</v>
      </c>
      <c r="U6280" s="84" t="n">
        <f aca="false">IF(AND(R6280=1,ISNUMBER(T6280)),E6280-T6280,"")</f>
        <v>3.65330827841324</v>
      </c>
      <c r="V6280" s="84" t="n">
        <f aca="false">IF(ISNUMBER(T6280),T6280,-99)</f>
        <v>19.4466917215868</v>
      </c>
      <c r="W6280" s="84" t="n">
        <f aca="false">IF(ISNUMBER(U6280),ABS(U6280),"")</f>
        <v>3.65330827841324</v>
      </c>
    </row>
    <row r="6281" customFormat="false" ht="15" hidden="false" customHeight="false" outlineLevel="0" collapsed="false">
      <c r="A6281" s="57" t="n">
        <v>43958</v>
      </c>
      <c r="B6281" s="56" t="n">
        <v>2020</v>
      </c>
      <c r="C6281" s="56" t="n">
        <v>5</v>
      </c>
      <c r="D6281" s="56" t="n">
        <v>7</v>
      </c>
      <c r="E6281" s="56" t="n">
        <v>24.2</v>
      </c>
      <c r="F6281" s="56" t="n">
        <v>0</v>
      </c>
      <c r="G6281" s="56" t="n">
        <v>5.9</v>
      </c>
      <c r="H6281" s="56" t="n">
        <v>0</v>
      </c>
      <c r="I6281" s="56" t="n">
        <v>14.5</v>
      </c>
      <c r="J6281" s="56" t="n">
        <v>0</v>
      </c>
      <c r="K6281" s="56" t="n">
        <v>1022.5</v>
      </c>
      <c r="L6281" s="56" t="n">
        <v>0</v>
      </c>
      <c r="M6281" s="56" t="n">
        <v>61</v>
      </c>
      <c r="N6281" s="56" t="n">
        <v>12.6</v>
      </c>
      <c r="O6281" s="56" t="n">
        <f aca="false">IF(D6281=1,"",E6280)</f>
        <v>23.1</v>
      </c>
      <c r="P6281" s="56" t="n">
        <f aca="false">IF(OR(D6281=1,K6280=""),"",K6280)</f>
        <v>1025.3</v>
      </c>
      <c r="Q6281" s="56" t="n">
        <f aca="false">IF(OR(F6281&lt;&gt;0,AND(I6281&lt;&gt;"",E6281&lt;I6281)),1,0)</f>
        <v>0</v>
      </c>
      <c r="R6281" s="56" t="n">
        <f aca="false">IF(AND(D6281&gt;1,Q6281=0,ISNUMBER(O6281),ISNUMBER(P6281)),IF(Q6280=0,1,0),0)</f>
        <v>1</v>
      </c>
      <c r="S6281" s="56" t="n">
        <f aca="false">R6281*(B6281&gt;=Train_Start)*(B6281&lt;=Train_End)</f>
        <v>0</v>
      </c>
      <c r="T6281" s="84" t="n">
        <f aca="false">IF(AND(ISNUMBER(O6281),ISNUMBER(P6281)),Coef_A+Coef_B1*O6281+Coef_B2*P6281,"")</f>
        <v>23.1772637495104</v>
      </c>
      <c r="U6281" s="84" t="n">
        <f aca="false">IF(AND(R6281=1,ISNUMBER(T6281)),E6281-T6281,"")</f>
        <v>1.02273625048959</v>
      </c>
      <c r="V6281" s="84" t="n">
        <f aca="false">IF(ISNUMBER(T6281),T6281,-99)</f>
        <v>23.1772637495104</v>
      </c>
      <c r="W6281" s="84" t="n">
        <f aca="false">IF(ISNUMBER(U6281),ABS(U6281),"")</f>
        <v>1.02273625048959</v>
      </c>
    </row>
    <row r="6282" customFormat="false" ht="15" hidden="false" customHeight="false" outlineLevel="0" collapsed="false">
      <c r="A6282" s="57" t="n">
        <v>43959</v>
      </c>
      <c r="B6282" s="56" t="n">
        <v>2020</v>
      </c>
      <c r="C6282" s="56" t="n">
        <v>5</v>
      </c>
      <c r="D6282" s="56" t="n">
        <v>8</v>
      </c>
      <c r="E6282" s="56" t="n">
        <v>24.9</v>
      </c>
      <c r="F6282" s="56" t="n">
        <v>0</v>
      </c>
      <c r="G6282" s="56" t="n">
        <v>10</v>
      </c>
      <c r="H6282" s="56" t="n">
        <v>0</v>
      </c>
      <c r="I6282" s="56" t="n">
        <v>17.1</v>
      </c>
      <c r="J6282" s="56" t="n">
        <v>0</v>
      </c>
      <c r="K6282" s="56" t="n">
        <v>1017.7</v>
      </c>
      <c r="L6282" s="56" t="n">
        <v>0</v>
      </c>
      <c r="M6282" s="56" t="n">
        <v>52</v>
      </c>
      <c r="N6282" s="56" t="n">
        <v>12</v>
      </c>
      <c r="O6282" s="56" t="n">
        <f aca="false">IF(D6282=1,"",E6281)</f>
        <v>24.2</v>
      </c>
      <c r="P6282" s="56" t="n">
        <f aca="false">IF(OR(D6282=1,K6281=""),"",K6281)</f>
        <v>1022.5</v>
      </c>
      <c r="Q6282" s="56" t="n">
        <f aca="false">IF(OR(F6282&lt;&gt;0,AND(I6282&lt;&gt;"",E6282&lt;I6282)),1,0)</f>
        <v>0</v>
      </c>
      <c r="R6282" s="56" t="n">
        <f aca="false">IF(AND(D6282&gt;1,Q6282=0,ISNUMBER(O6282),ISNUMBER(P6282)),IF(Q6281=0,1,0),0)</f>
        <v>1</v>
      </c>
      <c r="S6282" s="56" t="n">
        <f aca="false">R6282*(B6282&gt;=Train_Start)*(B6282&lt;=Train_End)</f>
        <v>0</v>
      </c>
      <c r="T6282" s="84" t="n">
        <f aca="false">IF(AND(ISNUMBER(O6282),ISNUMBER(P6282)),Coef_A+Coef_B1*O6282+Coef_B2*P6282,"")</f>
        <v>23.9907011568822</v>
      </c>
      <c r="U6282" s="84" t="n">
        <f aca="false">IF(AND(R6282=1,ISNUMBER(T6282)),E6282-T6282,"")</f>
        <v>0.909298843117831</v>
      </c>
      <c r="V6282" s="84" t="n">
        <f aca="false">IF(ISNUMBER(T6282),T6282,-99)</f>
        <v>23.9907011568822</v>
      </c>
      <c r="W6282" s="84" t="n">
        <f aca="false">IF(ISNUMBER(U6282),ABS(U6282),"")</f>
        <v>0.909298843117831</v>
      </c>
    </row>
    <row r="6283" customFormat="false" ht="15" hidden="false" customHeight="false" outlineLevel="0" collapsed="false">
      <c r="A6283" s="57" t="n">
        <v>43960</v>
      </c>
      <c r="B6283" s="56" t="n">
        <v>2020</v>
      </c>
      <c r="C6283" s="56" t="n">
        <v>5</v>
      </c>
      <c r="D6283" s="56" t="n">
        <v>9</v>
      </c>
      <c r="E6283" s="56" t="n">
        <v>17.9</v>
      </c>
      <c r="F6283" s="56" t="n">
        <v>0</v>
      </c>
      <c r="G6283" s="56" t="n">
        <v>10.5</v>
      </c>
      <c r="H6283" s="56" t="n">
        <v>0</v>
      </c>
      <c r="I6283" s="56" t="n">
        <v>17.7</v>
      </c>
      <c r="J6283" s="56" t="n">
        <v>0</v>
      </c>
      <c r="K6283" s="56" t="n">
        <v>1012.4</v>
      </c>
      <c r="L6283" s="56" t="n">
        <v>0</v>
      </c>
      <c r="M6283" s="56" t="n">
        <v>50</v>
      </c>
      <c r="N6283" s="56" t="n">
        <v>12.4</v>
      </c>
      <c r="O6283" s="56" t="n">
        <f aca="false">IF(D6283=1,"",E6282)</f>
        <v>24.9</v>
      </c>
      <c r="P6283" s="56" t="n">
        <f aca="false">IF(OR(D6283=1,K6282=""),"",K6282)</f>
        <v>1017.7</v>
      </c>
      <c r="Q6283" s="56" t="n">
        <f aca="false">IF(OR(F6283&lt;&gt;0,AND(I6283&lt;&gt;"",E6283&lt;I6283)),1,0)</f>
        <v>0</v>
      </c>
      <c r="R6283" s="56" t="n">
        <f aca="false">IF(AND(D6283&gt;1,Q6283=0,ISNUMBER(O6283),ISNUMBER(P6283)),IF(Q6282=0,1,0),0)</f>
        <v>1</v>
      </c>
      <c r="S6283" s="56" t="n">
        <f aca="false">R6283*(B6283&gt;=Train_Start)*(B6283&lt;=Train_End)</f>
        <v>0</v>
      </c>
      <c r="T6283" s="84" t="n">
        <f aca="false">IF(AND(ISNUMBER(O6283),ISNUMBER(P6283)),Coef_A+Coef_B1*O6283+Coef_B2*P6283,"")</f>
        <v>24.4136630977689</v>
      </c>
      <c r="U6283" s="84" t="n">
        <f aca="false">IF(AND(R6283=1,ISNUMBER(T6283)),E6283-T6283,"")</f>
        <v>-6.51366309776888</v>
      </c>
      <c r="V6283" s="84" t="n">
        <f aca="false">IF(ISNUMBER(T6283),T6283,-99)</f>
        <v>24.4136630977689</v>
      </c>
      <c r="W6283" s="84" t="n">
        <f aca="false">IF(ISNUMBER(U6283),ABS(U6283),"")</f>
        <v>6.51366309776888</v>
      </c>
    </row>
    <row r="6284" customFormat="false" ht="15" hidden="false" customHeight="false" outlineLevel="0" collapsed="false">
      <c r="A6284" s="57" t="n">
        <v>43961</v>
      </c>
      <c r="B6284" s="56" t="n">
        <v>2020</v>
      </c>
      <c r="C6284" s="56" t="n">
        <v>5</v>
      </c>
      <c r="D6284" s="56" t="n">
        <v>10</v>
      </c>
      <c r="E6284" s="56" t="n">
        <v>12.6</v>
      </c>
      <c r="F6284" s="56" t="n">
        <v>1</v>
      </c>
      <c r="G6284" s="56" t="n">
        <v>11.6</v>
      </c>
      <c r="H6284" s="56" t="n">
        <v>0</v>
      </c>
      <c r="I6284" s="56" t="n">
        <v>14.8</v>
      </c>
      <c r="J6284" s="56" t="n">
        <v>1</v>
      </c>
      <c r="K6284" s="56" t="n">
        <v>1010.9</v>
      </c>
      <c r="L6284" s="56" t="n">
        <v>0</v>
      </c>
      <c r="M6284" s="56" t="n">
        <v>65</v>
      </c>
      <c r="N6284" s="56" t="n">
        <v>3.3</v>
      </c>
      <c r="O6284" s="56" t="n">
        <f aca="false">IF(D6284=1,"",E6283)</f>
        <v>17.9</v>
      </c>
      <c r="P6284" s="56" t="n">
        <f aca="false">IF(OR(D6284=1,K6283=""),"",K6283)</f>
        <v>1012.4</v>
      </c>
      <c r="Q6284" s="56" t="n">
        <f aca="false">IF(OR(F6284&lt;&gt;0,AND(I6284&lt;&gt;"",E6284&lt;I6284)),1,0)</f>
        <v>1</v>
      </c>
      <c r="R6284" s="56" t="n">
        <f aca="false">IF(AND(D6284&gt;1,Q6284=0,ISNUMBER(O6284),ISNUMBER(P6284)),IF(Q6283=0,1,0),0)</f>
        <v>0</v>
      </c>
      <c r="S6284" s="56" t="n">
        <f aca="false">R6284*(B6284&gt;=Train_Start)*(B6284&lt;=Train_End)</f>
        <v>0</v>
      </c>
      <c r="T6284" s="84" t="n">
        <f aca="false">IF(AND(ISNUMBER(O6284),ISNUMBER(P6284)),Coef_A+Coef_B1*O6284+Coef_B2*P6284,"")</f>
        <v>18.5120283049101</v>
      </c>
      <c r="U6284" s="84" t="str">
        <f aca="false">IF(AND(R6284=1,ISNUMBER(T6284)),E6284-T6284,"")</f>
        <v/>
      </c>
      <c r="V6284" s="84" t="n">
        <f aca="false">IF(ISNUMBER(T6284),T6284,-99)</f>
        <v>18.5120283049101</v>
      </c>
      <c r="W6284" s="84" t="str">
        <f aca="false">IF(ISNUMBER(U6284),ABS(U6284),"")</f>
        <v/>
      </c>
    </row>
    <row r="6285" customFormat="false" ht="15" hidden="false" customHeight="false" outlineLevel="0" collapsed="false">
      <c r="A6285" s="57" t="n">
        <v>43962</v>
      </c>
      <c r="B6285" s="56" t="n">
        <v>2020</v>
      </c>
      <c r="C6285" s="56" t="n">
        <v>5</v>
      </c>
      <c r="D6285" s="56" t="n">
        <v>11</v>
      </c>
      <c r="E6285" s="56" t="n">
        <v>16.2</v>
      </c>
      <c r="F6285" s="56" t="n">
        <v>0</v>
      </c>
      <c r="G6285" s="56" t="n">
        <v>4.7</v>
      </c>
      <c r="H6285" s="56" t="n">
        <v>0</v>
      </c>
      <c r="I6285" s="56" t="n">
        <v>8.7</v>
      </c>
      <c r="J6285" s="56" t="n">
        <v>0</v>
      </c>
      <c r="K6285" s="56" t="n">
        <v>1019.9</v>
      </c>
      <c r="L6285" s="56" t="n">
        <v>0</v>
      </c>
      <c r="M6285" s="56" t="n">
        <v>50</v>
      </c>
      <c r="N6285" s="56" t="n">
        <v>7</v>
      </c>
      <c r="O6285" s="56" t="n">
        <f aca="false">IF(D6285=1,"",E6284)</f>
        <v>12.6</v>
      </c>
      <c r="P6285" s="56" t="n">
        <f aca="false">IF(OR(D6285=1,K6284=""),"",K6284)</f>
        <v>1010.9</v>
      </c>
      <c r="Q6285" s="56" t="n">
        <f aca="false">IF(OR(F6285&lt;&gt;0,AND(I6285&lt;&gt;"",E6285&lt;I6285)),1,0)</f>
        <v>0</v>
      </c>
      <c r="R6285" s="56" t="n">
        <f aca="false">IF(AND(D6285&gt;1,Q6285=0,ISNUMBER(O6285),ISNUMBER(P6285)),IF(Q6284=0,1,0),0)</f>
        <v>0</v>
      </c>
      <c r="S6285" s="56" t="n">
        <f aca="false">R6285*(B6285&gt;=Train_Start)*(B6285&lt;=Train_End)</f>
        <v>0</v>
      </c>
      <c r="T6285" s="84" t="n">
        <f aca="false">IF(AND(ISNUMBER(O6285),ISNUMBER(P6285)),Coef_A+Coef_B1*O6285+Coef_B2*P6285,"")</f>
        <v>14.1224757398331</v>
      </c>
      <c r="U6285" s="84" t="str">
        <f aca="false">IF(AND(R6285=1,ISNUMBER(T6285)),E6285-T6285,"")</f>
        <v/>
      </c>
      <c r="V6285" s="84" t="n">
        <f aca="false">IF(ISNUMBER(T6285),T6285,-99)</f>
        <v>14.1224757398331</v>
      </c>
      <c r="W6285" s="84" t="str">
        <f aca="false">IF(ISNUMBER(U6285),ABS(U6285),"")</f>
        <v/>
      </c>
    </row>
    <row r="6286" customFormat="false" ht="15" hidden="false" customHeight="false" outlineLevel="0" collapsed="false">
      <c r="A6286" s="57" t="n">
        <v>43963</v>
      </c>
      <c r="B6286" s="56" t="n">
        <v>2020</v>
      </c>
      <c r="C6286" s="56" t="n">
        <v>5</v>
      </c>
      <c r="D6286" s="56" t="n">
        <v>12</v>
      </c>
      <c r="E6286" s="56" t="n">
        <v>13.3</v>
      </c>
      <c r="F6286" s="56" t="n">
        <v>0</v>
      </c>
      <c r="G6286" s="56" t="n">
        <v>2.3</v>
      </c>
      <c r="H6286" s="56" t="n">
        <v>0</v>
      </c>
      <c r="I6286" s="56" t="n">
        <v>9.2</v>
      </c>
      <c r="J6286" s="56" t="n">
        <v>0</v>
      </c>
      <c r="K6286" s="56" t="n">
        <v>1020.7</v>
      </c>
      <c r="L6286" s="56" t="n">
        <v>0</v>
      </c>
      <c r="M6286" s="56" t="n">
        <v>54</v>
      </c>
      <c r="N6286" s="56" t="n">
        <v>8.4</v>
      </c>
      <c r="O6286" s="56" t="n">
        <f aca="false">IF(D6286=1,"",E6285)</f>
        <v>16.2</v>
      </c>
      <c r="P6286" s="56" t="n">
        <f aca="false">IF(OR(D6286=1,K6285=""),"",K6285)</f>
        <v>1019.9</v>
      </c>
      <c r="Q6286" s="56" t="n">
        <f aca="false">IF(OR(F6286&lt;&gt;0,AND(I6286&lt;&gt;"",E6286&lt;I6286)),1,0)</f>
        <v>0</v>
      </c>
      <c r="R6286" s="56" t="n">
        <f aca="false">IF(AND(D6286&gt;1,Q6286=0,ISNUMBER(O6286),ISNUMBER(P6286)),IF(Q6285=0,1,0),0)</f>
        <v>1</v>
      </c>
      <c r="S6286" s="56" t="n">
        <f aca="false">R6286*(B6286&gt;=Train_Start)*(B6286&lt;=Train_End)</f>
        <v>0</v>
      </c>
      <c r="T6286" s="84" t="n">
        <f aca="false">IF(AND(ISNUMBER(O6286),ISNUMBER(P6286)),Coef_A+Coef_B1*O6286+Coef_B2*P6286,"")</f>
        <v>17.3544258864925</v>
      </c>
      <c r="U6286" s="84" t="n">
        <f aca="false">IF(AND(R6286=1,ISNUMBER(T6286)),E6286-T6286,"")</f>
        <v>-4.05442588649253</v>
      </c>
      <c r="V6286" s="84" t="n">
        <f aca="false">IF(ISNUMBER(T6286),T6286,-99)</f>
        <v>17.3544258864925</v>
      </c>
      <c r="W6286" s="84" t="n">
        <f aca="false">IF(ISNUMBER(U6286),ABS(U6286),"")</f>
        <v>4.05442588649253</v>
      </c>
    </row>
    <row r="6287" customFormat="false" ht="15" hidden="false" customHeight="false" outlineLevel="0" collapsed="false">
      <c r="A6287" s="57" t="n">
        <v>43964</v>
      </c>
      <c r="B6287" s="56" t="n">
        <v>2020</v>
      </c>
      <c r="C6287" s="56" t="n">
        <v>5</v>
      </c>
      <c r="D6287" s="56" t="n">
        <v>13</v>
      </c>
      <c r="E6287" s="56" t="n">
        <v>14.7</v>
      </c>
      <c r="F6287" s="56" t="n">
        <v>0</v>
      </c>
      <c r="G6287" s="56" t="n">
        <v>6.1</v>
      </c>
      <c r="H6287" s="56" t="n">
        <v>0</v>
      </c>
      <c r="I6287" s="56" t="n">
        <v>9.7</v>
      </c>
      <c r="J6287" s="56" t="n">
        <v>0</v>
      </c>
      <c r="K6287" s="56" t="n">
        <v>1017.7</v>
      </c>
      <c r="L6287" s="56" t="n">
        <v>0</v>
      </c>
      <c r="M6287" s="56" t="n">
        <v>55</v>
      </c>
      <c r="N6287" s="56" t="n">
        <v>4.1</v>
      </c>
      <c r="O6287" s="56" t="n">
        <f aca="false">IF(D6287=1,"",E6286)</f>
        <v>13.3</v>
      </c>
      <c r="P6287" s="56" t="n">
        <f aca="false">IF(OR(D6287=1,K6286=""),"",K6286)</f>
        <v>1020.7</v>
      </c>
      <c r="Q6287" s="56" t="n">
        <f aca="false">IF(OR(F6287&lt;&gt;0,AND(I6287&lt;&gt;"",E6287&lt;I6287)),1,0)</f>
        <v>0</v>
      </c>
      <c r="R6287" s="56" t="n">
        <f aca="false">IF(AND(D6287&gt;1,Q6287=0,ISNUMBER(O6287),ISNUMBER(P6287)),IF(Q6286=0,1,0),0)</f>
        <v>1</v>
      </c>
      <c r="S6287" s="56" t="n">
        <f aca="false">R6287*(B6287&gt;=Train_Start)*(B6287&lt;=Train_End)</f>
        <v>0</v>
      </c>
      <c r="T6287" s="84" t="n">
        <f aca="false">IF(AND(ISNUMBER(O6287),ISNUMBER(P6287)),Coef_A+Coef_B1*O6287+Coef_B2*P6287,"")</f>
        <v>15.003438142376</v>
      </c>
      <c r="U6287" s="84" t="n">
        <f aca="false">IF(AND(R6287=1,ISNUMBER(T6287)),E6287-T6287,"")</f>
        <v>-0.30343814237602</v>
      </c>
      <c r="V6287" s="84" t="n">
        <f aca="false">IF(ISNUMBER(T6287),T6287,-99)</f>
        <v>15.003438142376</v>
      </c>
      <c r="W6287" s="84" t="n">
        <f aca="false">IF(ISNUMBER(U6287),ABS(U6287),"")</f>
        <v>0.30343814237602</v>
      </c>
    </row>
    <row r="6288" customFormat="false" ht="15" hidden="false" customHeight="false" outlineLevel="0" collapsed="false">
      <c r="A6288" s="57" t="n">
        <v>43965</v>
      </c>
      <c r="B6288" s="56" t="n">
        <v>2020</v>
      </c>
      <c r="C6288" s="56" t="n">
        <v>5</v>
      </c>
      <c r="D6288" s="56" t="n">
        <v>14</v>
      </c>
      <c r="E6288" s="56" t="n">
        <v>19.6</v>
      </c>
      <c r="F6288" s="56" t="n">
        <v>0</v>
      </c>
      <c r="G6288" s="56" t="n">
        <v>3</v>
      </c>
      <c r="H6288" s="56" t="n">
        <v>0</v>
      </c>
      <c r="I6288" s="56" t="n">
        <v>8.8</v>
      </c>
      <c r="J6288" s="56" t="n">
        <v>0</v>
      </c>
      <c r="K6288" s="56" t="n">
        <v>1022.8</v>
      </c>
      <c r="L6288" s="56" t="n">
        <v>0</v>
      </c>
      <c r="M6288" s="56" t="n">
        <v>56</v>
      </c>
      <c r="N6288" s="56" t="n">
        <v>11.6</v>
      </c>
      <c r="O6288" s="56" t="n">
        <f aca="false">IF(D6288=1,"",E6287)</f>
        <v>14.7</v>
      </c>
      <c r="P6288" s="56" t="n">
        <f aca="false">IF(OR(D6288=1,K6287=""),"",K6287)</f>
        <v>1017.7</v>
      </c>
      <c r="Q6288" s="56" t="n">
        <f aca="false">IF(OR(F6288&lt;&gt;0,AND(I6288&lt;&gt;"",E6288&lt;I6288)),1,0)</f>
        <v>0</v>
      </c>
      <c r="R6288" s="56" t="n">
        <f aca="false">IF(AND(D6288&gt;1,Q6288=0,ISNUMBER(O6288),ISNUMBER(P6288)),IF(Q6287=0,1,0),0)</f>
        <v>1</v>
      </c>
      <c r="S6288" s="56" t="n">
        <f aca="false">R6288*(B6288&gt;=Train_Start)*(B6288&lt;=Train_End)</f>
        <v>0</v>
      </c>
      <c r="T6288" s="84" t="n">
        <f aca="false">IF(AND(ISNUMBER(O6288),ISNUMBER(P6288)),Coef_A+Coef_B1*O6288+Coef_B2*P6288,"")</f>
        <v>16.0564033287338</v>
      </c>
      <c r="U6288" s="84" t="n">
        <f aca="false">IF(AND(R6288=1,ISNUMBER(T6288)),E6288-T6288,"")</f>
        <v>3.54359667126623</v>
      </c>
      <c r="V6288" s="84" t="n">
        <f aca="false">IF(ISNUMBER(T6288),T6288,-99)</f>
        <v>16.0564033287338</v>
      </c>
      <c r="W6288" s="84" t="n">
        <f aca="false">IF(ISNUMBER(U6288),ABS(U6288),"")</f>
        <v>3.54359667126623</v>
      </c>
    </row>
    <row r="6289" customFormat="false" ht="15" hidden="false" customHeight="false" outlineLevel="0" collapsed="false">
      <c r="A6289" s="57" t="n">
        <v>43966</v>
      </c>
      <c r="B6289" s="56" t="n">
        <v>2020</v>
      </c>
      <c r="C6289" s="56" t="n">
        <v>5</v>
      </c>
      <c r="D6289" s="56" t="n">
        <v>15</v>
      </c>
      <c r="E6289" s="56" t="n">
        <v>19</v>
      </c>
      <c r="F6289" s="56" t="n">
        <v>0</v>
      </c>
      <c r="G6289" s="56" t="n">
        <v>3.1</v>
      </c>
      <c r="H6289" s="56" t="n">
        <v>0</v>
      </c>
      <c r="I6289" s="56" t="n">
        <v>11.3</v>
      </c>
      <c r="J6289" s="56" t="n">
        <v>0</v>
      </c>
      <c r="K6289" s="56" t="n">
        <v>1024</v>
      </c>
      <c r="L6289" s="56" t="n">
        <v>0</v>
      </c>
      <c r="M6289" s="56" t="n">
        <v>57</v>
      </c>
      <c r="N6289" s="56" t="n">
        <v>11</v>
      </c>
      <c r="O6289" s="56" t="n">
        <f aca="false">IF(D6289=1,"",E6288)</f>
        <v>19.6</v>
      </c>
      <c r="P6289" s="56" t="n">
        <f aca="false">IF(OR(D6289=1,K6288=""),"",K6288)</f>
        <v>1022.8</v>
      </c>
      <c r="Q6289" s="56" t="n">
        <f aca="false">IF(OR(F6289&lt;&gt;0,AND(I6289&lt;&gt;"",E6289&lt;I6289)),1,0)</f>
        <v>0</v>
      </c>
      <c r="R6289" s="56" t="n">
        <f aca="false">IF(AND(D6289&gt;1,Q6289=0,ISNUMBER(O6289),ISNUMBER(P6289)),IF(Q6288=0,1,0),0)</f>
        <v>1</v>
      </c>
      <c r="S6289" s="56" t="n">
        <f aca="false">R6289*(B6289&gt;=Train_Start)*(B6289&lt;=Train_End)</f>
        <v>0</v>
      </c>
      <c r="T6289" s="84" t="n">
        <f aca="false">IF(AND(ISNUMBER(O6289),ISNUMBER(P6289)),Coef_A+Coef_B1*O6289+Coef_B2*P6289,"")</f>
        <v>20.2311518372761</v>
      </c>
      <c r="U6289" s="84" t="n">
        <f aca="false">IF(AND(R6289=1,ISNUMBER(T6289)),E6289-T6289,"")</f>
        <v>-1.23115183727614</v>
      </c>
      <c r="V6289" s="84" t="n">
        <f aca="false">IF(ISNUMBER(T6289),T6289,-99)</f>
        <v>20.2311518372761</v>
      </c>
      <c r="W6289" s="84" t="n">
        <f aca="false">IF(ISNUMBER(U6289),ABS(U6289),"")</f>
        <v>1.23115183727614</v>
      </c>
    </row>
    <row r="6290" customFormat="false" ht="15" hidden="false" customHeight="false" outlineLevel="0" collapsed="false">
      <c r="A6290" s="57" t="n">
        <v>43967</v>
      </c>
      <c r="B6290" s="56" t="n">
        <v>2020</v>
      </c>
      <c r="C6290" s="56" t="n">
        <v>5</v>
      </c>
      <c r="D6290" s="56" t="n">
        <v>16</v>
      </c>
      <c r="E6290" s="56" t="n">
        <v>21.1</v>
      </c>
      <c r="F6290" s="56" t="n">
        <v>0</v>
      </c>
      <c r="G6290" s="56" t="n">
        <v>7.6</v>
      </c>
      <c r="H6290" s="56" t="n">
        <v>0</v>
      </c>
      <c r="I6290" s="56" t="n">
        <v>13.3</v>
      </c>
      <c r="J6290" s="56" t="n">
        <v>0</v>
      </c>
      <c r="K6290" s="56" t="n">
        <v>1024.4</v>
      </c>
      <c r="L6290" s="56" t="n">
        <v>0</v>
      </c>
      <c r="M6290" s="56" t="n">
        <v>53</v>
      </c>
      <c r="N6290" s="56" t="n">
        <v>5.7</v>
      </c>
      <c r="O6290" s="56" t="n">
        <f aca="false">IF(D6290=1,"",E6289)</f>
        <v>19</v>
      </c>
      <c r="P6290" s="56" t="n">
        <f aca="false">IF(OR(D6290=1,K6289=""),"",K6289)</f>
        <v>1024</v>
      </c>
      <c r="Q6290" s="56" t="n">
        <f aca="false">IF(OR(F6290&lt;&gt;0,AND(I6290&lt;&gt;"",E6290&lt;I6290)),1,0)</f>
        <v>0</v>
      </c>
      <c r="R6290" s="56" t="n">
        <f aca="false">IF(AND(D6290&gt;1,Q6290=0,ISNUMBER(O6290),ISNUMBER(P6290)),IF(Q6289=0,1,0),0)</f>
        <v>1</v>
      </c>
      <c r="S6290" s="56" t="n">
        <f aca="false">R6290*(B6290&gt;=Train_Start)*(B6290&lt;=Train_End)</f>
        <v>0</v>
      </c>
      <c r="T6290" s="84" t="n">
        <f aca="false">IF(AND(ISNUMBER(O6290),ISNUMBER(P6290)),Coef_A+Coef_B1*O6290+Coef_B2*P6290,"")</f>
        <v>19.7771921950113</v>
      </c>
      <c r="U6290" s="84" t="n">
        <f aca="false">IF(AND(R6290=1,ISNUMBER(T6290)),E6290-T6290,"")</f>
        <v>1.32280780498867</v>
      </c>
      <c r="V6290" s="84" t="n">
        <f aca="false">IF(ISNUMBER(T6290),T6290,-99)</f>
        <v>19.7771921950113</v>
      </c>
      <c r="W6290" s="84" t="n">
        <f aca="false">IF(ISNUMBER(U6290),ABS(U6290),"")</f>
        <v>1.32280780498867</v>
      </c>
    </row>
    <row r="6291" customFormat="false" ht="15" hidden="false" customHeight="false" outlineLevel="0" collapsed="false">
      <c r="A6291" s="57" t="n">
        <v>43968</v>
      </c>
      <c r="B6291" s="56" t="n">
        <v>2020</v>
      </c>
      <c r="C6291" s="56" t="n">
        <v>5</v>
      </c>
      <c r="D6291" s="56" t="n">
        <v>17</v>
      </c>
      <c r="E6291" s="56" t="n">
        <v>23.9</v>
      </c>
      <c r="F6291" s="56" t="n">
        <v>0</v>
      </c>
      <c r="G6291" s="56" t="n">
        <v>7.7</v>
      </c>
      <c r="H6291" s="56" t="n">
        <v>0</v>
      </c>
      <c r="I6291" s="56" t="n">
        <v>14.4</v>
      </c>
      <c r="J6291" s="56" t="n">
        <v>0</v>
      </c>
      <c r="K6291" s="56" t="n">
        <v>1023.9</v>
      </c>
      <c r="L6291" s="56" t="n">
        <v>0</v>
      </c>
      <c r="M6291" s="56" t="n">
        <v>57</v>
      </c>
      <c r="N6291" s="56" t="n">
        <v>8.5</v>
      </c>
      <c r="O6291" s="56" t="n">
        <f aca="false">IF(D6291=1,"",E6290)</f>
        <v>21.1</v>
      </c>
      <c r="P6291" s="56" t="n">
        <f aca="false">IF(OR(D6291=1,K6290=""),"",K6290)</f>
        <v>1024.4</v>
      </c>
      <c r="Q6291" s="56" t="n">
        <f aca="false">IF(OR(F6291&lt;&gt;0,AND(I6291&lt;&gt;"",E6291&lt;I6291)),1,0)</f>
        <v>0</v>
      </c>
      <c r="R6291" s="56" t="n">
        <f aca="false">IF(AND(D6291&gt;1,Q6291=0,ISNUMBER(O6291),ISNUMBER(P6291)),IF(Q6290=0,1,0),0)</f>
        <v>1</v>
      </c>
      <c r="S6291" s="56" t="n">
        <f aca="false">R6291*(B6291&gt;=Train_Start)*(B6291&lt;=Train_End)</f>
        <v>0</v>
      </c>
      <c r="T6291" s="84" t="n">
        <f aca="false">IF(AND(ISNUMBER(O6291),ISNUMBER(P6291)),Coef_A+Coef_B1*O6291+Coef_B2*P6291,"")</f>
        <v>21.5103524582545</v>
      </c>
      <c r="U6291" s="84" t="n">
        <f aca="false">IF(AND(R6291=1,ISNUMBER(T6291)),E6291-T6291,"")</f>
        <v>2.38964754174549</v>
      </c>
      <c r="V6291" s="84" t="n">
        <f aca="false">IF(ISNUMBER(T6291),T6291,-99)</f>
        <v>21.5103524582545</v>
      </c>
      <c r="W6291" s="84" t="n">
        <f aca="false">IF(ISNUMBER(U6291),ABS(U6291),"")</f>
        <v>2.38964754174549</v>
      </c>
    </row>
    <row r="6292" customFormat="false" ht="15" hidden="false" customHeight="false" outlineLevel="0" collapsed="false">
      <c r="A6292" s="57" t="n">
        <v>43969</v>
      </c>
      <c r="B6292" s="56" t="n">
        <v>2020</v>
      </c>
      <c r="C6292" s="56" t="n">
        <v>5</v>
      </c>
      <c r="D6292" s="56" t="n">
        <v>18</v>
      </c>
      <c r="E6292" s="56" t="n">
        <v>26</v>
      </c>
      <c r="F6292" s="56" t="n">
        <v>0</v>
      </c>
      <c r="G6292" s="56" t="n">
        <v>10.2</v>
      </c>
      <c r="H6292" s="56" t="n">
        <v>0</v>
      </c>
      <c r="I6292" s="56" t="n">
        <v>17.1</v>
      </c>
      <c r="J6292" s="56" t="n">
        <v>0</v>
      </c>
      <c r="K6292" s="56" t="n">
        <v>1023.6</v>
      </c>
      <c r="L6292" s="56" t="n">
        <v>0</v>
      </c>
      <c r="M6292" s="56" t="n">
        <v>54</v>
      </c>
      <c r="N6292" s="56" t="n">
        <v>11.1</v>
      </c>
      <c r="O6292" s="56" t="n">
        <f aca="false">IF(D6292=1,"",E6291)</f>
        <v>23.9</v>
      </c>
      <c r="P6292" s="56" t="n">
        <f aca="false">IF(OR(D6292=1,K6291=""),"",K6291)</f>
        <v>1023.9</v>
      </c>
      <c r="Q6292" s="56" t="n">
        <f aca="false">IF(OR(F6292&lt;&gt;0,AND(I6292&lt;&gt;"",E6292&lt;I6292)),1,0)</f>
        <v>0</v>
      </c>
      <c r="R6292" s="56" t="n">
        <f aca="false">IF(AND(D6292&gt;1,Q6292=0,ISNUMBER(O6292),ISNUMBER(P6292)),IF(Q6291=0,1,0),0)</f>
        <v>1</v>
      </c>
      <c r="S6292" s="56" t="n">
        <f aca="false">R6292*(B6292&gt;=Train_Start)*(B6292&lt;=Train_End)</f>
        <v>0</v>
      </c>
      <c r="T6292" s="84" t="n">
        <f aca="false">IF(AND(ISNUMBER(O6292),ISNUMBER(P6292)),Coef_A+Coef_B1*O6292+Coef_B2*P6292,"")</f>
        <v>23.788817251457</v>
      </c>
      <c r="U6292" s="84" t="n">
        <f aca="false">IF(AND(R6292=1,ISNUMBER(T6292)),E6292-T6292,"")</f>
        <v>2.21118274854305</v>
      </c>
      <c r="V6292" s="84" t="n">
        <f aca="false">IF(ISNUMBER(T6292),T6292,-99)</f>
        <v>23.788817251457</v>
      </c>
      <c r="W6292" s="84" t="n">
        <f aca="false">IF(ISNUMBER(U6292),ABS(U6292),"")</f>
        <v>2.21118274854305</v>
      </c>
    </row>
    <row r="6293" customFormat="false" ht="15" hidden="false" customHeight="false" outlineLevel="0" collapsed="false">
      <c r="A6293" s="57" t="n">
        <v>43970</v>
      </c>
      <c r="B6293" s="56" t="n">
        <v>2020</v>
      </c>
      <c r="C6293" s="56" t="n">
        <v>5</v>
      </c>
      <c r="D6293" s="56" t="n">
        <v>19</v>
      </c>
      <c r="E6293" s="56" t="n">
        <v>27.8</v>
      </c>
      <c r="F6293" s="56" t="n">
        <v>0</v>
      </c>
      <c r="G6293" s="56" t="n">
        <v>11.6</v>
      </c>
      <c r="H6293" s="56" t="n">
        <v>0</v>
      </c>
      <c r="I6293" s="56" t="n">
        <v>18.8</v>
      </c>
      <c r="J6293" s="56" t="n">
        <v>0</v>
      </c>
      <c r="K6293" s="56" t="n">
        <v>1023.1</v>
      </c>
      <c r="L6293" s="56" t="n">
        <v>0</v>
      </c>
      <c r="M6293" s="56" t="n">
        <v>59</v>
      </c>
      <c r="N6293" s="56" t="n">
        <v>11.8</v>
      </c>
      <c r="O6293" s="56" t="n">
        <f aca="false">IF(D6293=1,"",E6292)</f>
        <v>26</v>
      </c>
      <c r="P6293" s="56" t="n">
        <f aca="false">IF(OR(D6293=1,K6292=""),"",K6292)</f>
        <v>1023.6</v>
      </c>
      <c r="Q6293" s="56" t="n">
        <f aca="false">IF(OR(F6293&lt;&gt;0,AND(I6293&lt;&gt;"",E6293&lt;I6293)),1,0)</f>
        <v>0</v>
      </c>
      <c r="R6293" s="56" t="n">
        <f aca="false">IF(AND(D6293&gt;1,Q6293=0,ISNUMBER(O6293),ISNUMBER(P6293)),IF(Q6292=0,1,0),0)</f>
        <v>1</v>
      </c>
      <c r="S6293" s="56" t="n">
        <f aca="false">R6293*(B6293&gt;=Train_Start)*(B6293&lt;=Train_End)</f>
        <v>0</v>
      </c>
      <c r="T6293" s="84" t="n">
        <f aca="false">IF(AND(ISNUMBER(O6293),ISNUMBER(P6293)),Coef_A+Coef_B1*O6293+Coef_B2*P6293,"")</f>
        <v>25.5000185884563</v>
      </c>
      <c r="U6293" s="84" t="n">
        <f aca="false">IF(AND(R6293=1,ISNUMBER(T6293)),E6293-T6293,"")</f>
        <v>2.29998141154366</v>
      </c>
      <c r="V6293" s="84" t="n">
        <f aca="false">IF(ISNUMBER(T6293),T6293,-99)</f>
        <v>25.5000185884563</v>
      </c>
      <c r="W6293" s="84" t="n">
        <f aca="false">IF(ISNUMBER(U6293),ABS(U6293),"")</f>
        <v>2.29998141154366</v>
      </c>
    </row>
    <row r="6294" customFormat="false" ht="15" hidden="false" customHeight="false" outlineLevel="0" collapsed="false">
      <c r="A6294" s="57" t="n">
        <v>43971</v>
      </c>
      <c r="B6294" s="56" t="n">
        <v>2020</v>
      </c>
      <c r="C6294" s="56" t="n">
        <v>5</v>
      </c>
      <c r="D6294" s="56" t="n">
        <v>20</v>
      </c>
      <c r="E6294" s="56" t="n">
        <v>27.4</v>
      </c>
      <c r="F6294" s="56" t="n">
        <v>0</v>
      </c>
      <c r="G6294" s="56" t="n">
        <v>13</v>
      </c>
      <c r="H6294" s="56" t="n">
        <v>0</v>
      </c>
      <c r="I6294" s="56" t="n">
        <v>20.4</v>
      </c>
      <c r="J6294" s="56" t="n">
        <v>0</v>
      </c>
      <c r="K6294" s="56" t="n">
        <v>1021.2</v>
      </c>
      <c r="L6294" s="56" t="n">
        <v>0</v>
      </c>
      <c r="M6294" s="56" t="n">
        <v>50</v>
      </c>
      <c r="N6294" s="56" t="n">
        <v>14</v>
      </c>
      <c r="O6294" s="56" t="n">
        <f aca="false">IF(D6294=1,"",E6293)</f>
        <v>27.8</v>
      </c>
      <c r="P6294" s="56" t="n">
        <f aca="false">IF(OR(D6294=1,K6293=""),"",K6293)</f>
        <v>1023.1</v>
      </c>
      <c r="Q6294" s="56" t="n">
        <f aca="false">IF(OR(F6294&lt;&gt;0,AND(I6294&lt;&gt;"",E6294&lt;I6294)),1,0)</f>
        <v>0</v>
      </c>
      <c r="R6294" s="56" t="n">
        <f aca="false">IF(AND(D6294&gt;1,Q6294=0,ISNUMBER(O6294),ISNUMBER(P6294)),IF(Q6293=0,1,0),0)</f>
        <v>1</v>
      </c>
      <c r="S6294" s="56" t="n">
        <f aca="false">R6294*(B6294&gt;=Train_Start)*(B6294&lt;=Train_End)</f>
        <v>0</v>
      </c>
      <c r="T6294" s="84" t="n">
        <f aca="false">IF(AND(ISNUMBER(O6294),ISNUMBER(P6294)),Coef_A+Coef_B1*O6294+Coef_B2*P6294,"")</f>
        <v>26.9591441886161</v>
      </c>
      <c r="U6294" s="84" t="n">
        <f aca="false">IF(AND(R6294=1,ISNUMBER(T6294)),E6294-T6294,"")</f>
        <v>0.440855811383873</v>
      </c>
      <c r="V6294" s="84" t="n">
        <f aca="false">IF(ISNUMBER(T6294),T6294,-99)</f>
        <v>26.9591441886161</v>
      </c>
      <c r="W6294" s="84" t="n">
        <f aca="false">IF(ISNUMBER(U6294),ABS(U6294),"")</f>
        <v>0.440855811383873</v>
      </c>
    </row>
    <row r="6295" customFormat="false" ht="15" hidden="false" customHeight="false" outlineLevel="0" collapsed="false">
      <c r="A6295" s="57" t="n">
        <v>43972</v>
      </c>
      <c r="B6295" s="56" t="n">
        <v>2020</v>
      </c>
      <c r="C6295" s="56" t="n">
        <v>5</v>
      </c>
      <c r="D6295" s="56" t="n">
        <v>21</v>
      </c>
      <c r="E6295" s="56" t="n">
        <v>23.2</v>
      </c>
      <c r="F6295" s="56" t="n">
        <v>0</v>
      </c>
      <c r="G6295" s="56" t="n">
        <v>13</v>
      </c>
      <c r="H6295" s="56" t="n">
        <v>0</v>
      </c>
      <c r="I6295" s="56" t="n">
        <v>20.2</v>
      </c>
      <c r="J6295" s="56" t="n">
        <v>0</v>
      </c>
      <c r="K6295" s="56" t="n">
        <v>1018.7</v>
      </c>
      <c r="L6295" s="56" t="n">
        <v>0</v>
      </c>
      <c r="M6295" s="56" t="n">
        <v>48</v>
      </c>
      <c r="N6295" s="56" t="n">
        <v>11.7</v>
      </c>
      <c r="O6295" s="56" t="n">
        <f aca="false">IF(D6295=1,"",E6294)</f>
        <v>27.4</v>
      </c>
      <c r="P6295" s="56" t="n">
        <f aca="false">IF(OR(D6295=1,K6294=""),"",K6294)</f>
        <v>1021.2</v>
      </c>
      <c r="Q6295" s="56" t="n">
        <f aca="false">IF(OR(F6295&lt;&gt;0,AND(I6295&lt;&gt;"",E6295&lt;I6295)),1,0)</f>
        <v>0</v>
      </c>
      <c r="R6295" s="56" t="n">
        <f aca="false">IF(AND(D6295&gt;1,Q6295=0,ISNUMBER(O6295),ISNUMBER(P6295)),IF(Q6294=0,1,0),0)</f>
        <v>1</v>
      </c>
      <c r="S6295" s="56" t="n">
        <f aca="false">R6295*(B6295&gt;=Train_Start)*(B6295&lt;=Train_End)</f>
        <v>0</v>
      </c>
      <c r="T6295" s="84" t="n">
        <f aca="false">IF(AND(ISNUMBER(O6295),ISNUMBER(P6295)),Coef_A+Coef_B1*O6295+Coef_B2*P6295,"")</f>
        <v>26.5718057115945</v>
      </c>
      <c r="U6295" s="84" t="n">
        <f aca="false">IF(AND(R6295=1,ISNUMBER(T6295)),E6295-T6295,"")</f>
        <v>-3.37180571159448</v>
      </c>
      <c r="V6295" s="84" t="n">
        <f aca="false">IF(ISNUMBER(T6295),T6295,-99)</f>
        <v>26.5718057115945</v>
      </c>
      <c r="W6295" s="84" t="n">
        <f aca="false">IF(ISNUMBER(U6295),ABS(U6295),"")</f>
        <v>3.37180571159448</v>
      </c>
    </row>
    <row r="6296" customFormat="false" ht="15" hidden="false" customHeight="false" outlineLevel="0" collapsed="false">
      <c r="A6296" s="57" t="n">
        <v>43973</v>
      </c>
      <c r="B6296" s="56" t="n">
        <v>2020</v>
      </c>
      <c r="C6296" s="56" t="n">
        <v>5</v>
      </c>
      <c r="D6296" s="56" t="n">
        <v>22</v>
      </c>
      <c r="E6296" s="56" t="n">
        <v>19.9</v>
      </c>
      <c r="F6296" s="56" t="n">
        <v>0</v>
      </c>
      <c r="G6296" s="56" t="n">
        <v>16.7</v>
      </c>
      <c r="H6296" s="56" t="n">
        <v>0</v>
      </c>
      <c r="I6296" s="56" t="n">
        <v>19.9</v>
      </c>
      <c r="J6296" s="56" t="n">
        <v>0</v>
      </c>
      <c r="K6296" s="56" t="n">
        <v>1015.3</v>
      </c>
      <c r="L6296" s="56" t="n">
        <v>0</v>
      </c>
      <c r="M6296" s="56" t="n">
        <v>51</v>
      </c>
      <c r="N6296" s="56" t="n">
        <v>7.5</v>
      </c>
      <c r="O6296" s="56" t="n">
        <f aca="false">IF(D6296=1,"",E6295)</f>
        <v>23.2</v>
      </c>
      <c r="P6296" s="56" t="n">
        <f aca="false">IF(OR(D6296=1,K6295=""),"",K6295)</f>
        <v>1018.7</v>
      </c>
      <c r="Q6296" s="56" t="n">
        <f aca="false">IF(OR(F6296&lt;&gt;0,AND(I6296&lt;&gt;"",E6296&lt;I6296)),1,0)</f>
        <v>0</v>
      </c>
      <c r="R6296" s="56" t="n">
        <f aca="false">IF(AND(D6296&gt;1,Q6296=0,ISNUMBER(O6296),ISNUMBER(P6296)),IF(Q6295=0,1,0),0)</f>
        <v>1</v>
      </c>
      <c r="S6296" s="56" t="n">
        <f aca="false">R6296*(B6296&gt;=Train_Start)*(B6296&lt;=Train_End)</f>
        <v>0</v>
      </c>
      <c r="T6296" s="84" t="n">
        <f aca="false">IF(AND(ISNUMBER(O6296),ISNUMBER(P6296)),Coef_A+Coef_B1*O6296+Coef_B2*P6296,"")</f>
        <v>23.0521563642304</v>
      </c>
      <c r="U6296" s="84" t="n">
        <f aca="false">IF(AND(R6296=1,ISNUMBER(T6296)),E6296-T6296,"")</f>
        <v>-3.15215636423035</v>
      </c>
      <c r="V6296" s="84" t="n">
        <f aca="false">IF(ISNUMBER(T6296),T6296,-99)</f>
        <v>23.0521563642304</v>
      </c>
      <c r="W6296" s="84" t="n">
        <f aca="false">IF(ISNUMBER(U6296),ABS(U6296),"")</f>
        <v>3.15215636423035</v>
      </c>
    </row>
    <row r="6297" customFormat="false" ht="15" hidden="false" customHeight="false" outlineLevel="0" collapsed="false">
      <c r="A6297" s="57" t="n">
        <v>43974</v>
      </c>
      <c r="B6297" s="56" t="n">
        <v>2020</v>
      </c>
      <c r="C6297" s="56" t="n">
        <v>5</v>
      </c>
      <c r="D6297" s="56" t="n">
        <v>23</v>
      </c>
      <c r="E6297" s="56" t="n">
        <v>22.5</v>
      </c>
      <c r="F6297" s="56" t="n">
        <v>0</v>
      </c>
      <c r="G6297" s="56" t="n">
        <v>11.2</v>
      </c>
      <c r="H6297" s="56" t="n">
        <v>0</v>
      </c>
      <c r="I6297" s="56" t="n">
        <v>15.6</v>
      </c>
      <c r="J6297" s="56" t="n">
        <v>0</v>
      </c>
      <c r="K6297" s="56" t="n">
        <v>1022.5</v>
      </c>
      <c r="L6297" s="56" t="n">
        <v>0</v>
      </c>
      <c r="M6297" s="56" t="n">
        <v>56</v>
      </c>
      <c r="N6297" s="56" t="n">
        <v>10.2</v>
      </c>
      <c r="O6297" s="56" t="n">
        <f aca="false">IF(D6297=1,"",E6296)</f>
        <v>19.9</v>
      </c>
      <c r="P6297" s="56" t="n">
        <f aca="false">IF(OR(D6297=1,K6296=""),"",K6296)</f>
        <v>1015.3</v>
      </c>
      <c r="Q6297" s="56" t="n">
        <f aca="false">IF(OR(F6297&lt;&gt;0,AND(I6297&lt;&gt;"",E6297&lt;I6297)),1,0)</f>
        <v>0</v>
      </c>
      <c r="R6297" s="56" t="n">
        <f aca="false">IF(AND(D6297&gt;1,Q6297=0,ISNUMBER(O6297),ISNUMBER(P6297)),IF(Q6296=0,1,0),0)</f>
        <v>1</v>
      </c>
      <c r="S6297" s="56" t="n">
        <f aca="false">R6297*(B6297&gt;=Train_Start)*(B6297&lt;=Train_End)</f>
        <v>0</v>
      </c>
      <c r="T6297" s="84" t="n">
        <f aca="false">IF(AND(ISNUMBER(O6297),ISNUMBER(P6297)),Coef_A+Coef_B1*O6297+Coef_B2*P6297,"")</f>
        <v>20.241679385434</v>
      </c>
      <c r="U6297" s="84" t="n">
        <f aca="false">IF(AND(R6297=1,ISNUMBER(T6297)),E6297-T6297,"")</f>
        <v>2.25832061456599</v>
      </c>
      <c r="V6297" s="84" t="n">
        <f aca="false">IF(ISNUMBER(T6297),T6297,-99)</f>
        <v>20.241679385434</v>
      </c>
      <c r="W6297" s="84" t="n">
        <f aca="false">IF(ISNUMBER(U6297),ABS(U6297),"")</f>
        <v>2.25832061456599</v>
      </c>
    </row>
    <row r="6298" customFormat="false" ht="15" hidden="false" customHeight="false" outlineLevel="0" collapsed="false">
      <c r="A6298" s="57" t="n">
        <v>43975</v>
      </c>
      <c r="B6298" s="56" t="n">
        <v>2020</v>
      </c>
      <c r="C6298" s="56" t="n">
        <v>5</v>
      </c>
      <c r="D6298" s="56" t="n">
        <v>24</v>
      </c>
      <c r="E6298" s="56" t="n">
        <v>26.1</v>
      </c>
      <c r="F6298" s="56" t="n">
        <v>0</v>
      </c>
      <c r="G6298" s="56" t="n">
        <v>10.4</v>
      </c>
      <c r="H6298" s="56" t="n">
        <v>0</v>
      </c>
      <c r="I6298" s="56" t="n">
        <v>16.4</v>
      </c>
      <c r="J6298" s="56" t="n">
        <v>0</v>
      </c>
      <c r="K6298" s="56" t="n">
        <v>1030.4</v>
      </c>
      <c r="L6298" s="56" t="n">
        <v>0</v>
      </c>
      <c r="M6298" s="56" t="n">
        <v>58</v>
      </c>
      <c r="N6298" s="56" t="n">
        <v>6.5</v>
      </c>
      <c r="O6298" s="56" t="n">
        <f aca="false">IF(D6298=1,"",E6297)</f>
        <v>22.5</v>
      </c>
      <c r="P6298" s="56" t="n">
        <f aca="false">IF(OR(D6298=1,K6297=""),"",K6297)</f>
        <v>1022.5</v>
      </c>
      <c r="Q6298" s="56" t="n">
        <f aca="false">IF(OR(F6298&lt;&gt;0,AND(I6298&lt;&gt;"",E6298&lt;I6298)),1,0)</f>
        <v>0</v>
      </c>
      <c r="R6298" s="56" t="n">
        <f aca="false">IF(AND(D6298&gt;1,Q6298=0,ISNUMBER(O6298),ISNUMBER(P6298)),IF(Q6297=0,1,0),0)</f>
        <v>1</v>
      </c>
      <c r="S6298" s="56" t="n">
        <f aca="false">R6298*(B6298&gt;=Train_Start)*(B6298&lt;=Train_End)</f>
        <v>0</v>
      </c>
      <c r="T6298" s="84" t="n">
        <f aca="false">IF(AND(ISNUMBER(O6298),ISNUMBER(P6298)),Coef_A+Coef_B1*O6298+Coef_B2*P6298,"")</f>
        <v>22.5978245287097</v>
      </c>
      <c r="U6298" s="84" t="n">
        <f aca="false">IF(AND(R6298=1,ISNUMBER(T6298)),E6298-T6298,"")</f>
        <v>3.50217547129035</v>
      </c>
      <c r="V6298" s="84" t="n">
        <f aca="false">IF(ISNUMBER(T6298),T6298,-99)</f>
        <v>22.5978245287097</v>
      </c>
      <c r="W6298" s="84" t="n">
        <f aca="false">IF(ISNUMBER(U6298),ABS(U6298),"")</f>
        <v>3.50217547129035</v>
      </c>
    </row>
    <row r="6299" customFormat="false" ht="15" hidden="false" customHeight="false" outlineLevel="0" collapsed="false">
      <c r="A6299" s="57" t="n">
        <v>43976</v>
      </c>
      <c r="B6299" s="56" t="n">
        <v>2020</v>
      </c>
      <c r="C6299" s="56" t="n">
        <v>5</v>
      </c>
      <c r="D6299" s="56" t="n">
        <v>25</v>
      </c>
      <c r="E6299" s="56" t="n">
        <v>26.5</v>
      </c>
      <c r="F6299" s="56" t="n">
        <v>0</v>
      </c>
      <c r="G6299" s="56" t="n">
        <v>10.1</v>
      </c>
      <c r="H6299" s="56" t="n">
        <v>0</v>
      </c>
      <c r="I6299" s="56" t="n">
        <v>18.1</v>
      </c>
      <c r="J6299" s="56" t="n">
        <v>0</v>
      </c>
      <c r="K6299" s="56" t="n">
        <v>1034.3</v>
      </c>
      <c r="L6299" s="56" t="n">
        <v>0</v>
      </c>
      <c r="M6299" s="56" t="n">
        <v>52</v>
      </c>
      <c r="N6299" s="56" t="n">
        <v>13.6</v>
      </c>
      <c r="O6299" s="56" t="n">
        <f aca="false">IF(D6299=1,"",E6298)</f>
        <v>26.1</v>
      </c>
      <c r="P6299" s="56" t="n">
        <f aca="false">IF(OR(D6299=1,K6298=""),"",K6298)</f>
        <v>1030.4</v>
      </c>
      <c r="Q6299" s="56" t="n">
        <f aca="false">IF(OR(F6299&lt;&gt;0,AND(I6299&lt;&gt;"",E6299&lt;I6299)),1,0)</f>
        <v>0</v>
      </c>
      <c r="R6299" s="56" t="n">
        <f aca="false">IF(AND(D6299&gt;1,Q6299=0,ISNUMBER(O6299),ISNUMBER(P6299)),IF(Q6298=0,1,0),0)</f>
        <v>1</v>
      </c>
      <c r="S6299" s="56" t="n">
        <f aca="false">R6299*(B6299&gt;=Train_Start)*(B6299&lt;=Train_End)</f>
        <v>0</v>
      </c>
      <c r="T6299" s="84" t="n">
        <f aca="false">IF(AND(ISNUMBER(O6299),ISNUMBER(P6299)),Coef_A+Coef_B1*O6299+Coef_B2*P6299,"")</f>
        <v>25.7952677912717</v>
      </c>
      <c r="U6299" s="84" t="n">
        <f aca="false">IF(AND(R6299=1,ISNUMBER(T6299)),E6299-T6299,"")</f>
        <v>0.704732208728263</v>
      </c>
      <c r="V6299" s="84" t="n">
        <f aca="false">IF(ISNUMBER(T6299),T6299,-99)</f>
        <v>25.7952677912717</v>
      </c>
      <c r="W6299" s="84" t="n">
        <f aca="false">IF(ISNUMBER(U6299),ABS(U6299),"")</f>
        <v>0.704732208728263</v>
      </c>
    </row>
    <row r="6300" customFormat="false" ht="15" hidden="false" customHeight="false" outlineLevel="0" collapsed="false">
      <c r="A6300" s="57" t="n">
        <v>43977</v>
      </c>
      <c r="B6300" s="56" t="n">
        <v>2020</v>
      </c>
      <c r="C6300" s="56" t="n">
        <v>5</v>
      </c>
      <c r="D6300" s="56" t="n">
        <v>26</v>
      </c>
      <c r="E6300" s="56" t="n">
        <v>26.3</v>
      </c>
      <c r="F6300" s="56" t="n">
        <v>0</v>
      </c>
      <c r="G6300" s="56" t="n">
        <v>11.6</v>
      </c>
      <c r="H6300" s="56" t="n">
        <v>0</v>
      </c>
      <c r="I6300" s="56" t="n">
        <v>19.1</v>
      </c>
      <c r="J6300" s="56" t="n">
        <v>0</v>
      </c>
      <c r="K6300" s="56" t="n">
        <v>1035.3</v>
      </c>
      <c r="L6300" s="56" t="n">
        <v>0</v>
      </c>
      <c r="M6300" s="56" t="n">
        <v>51</v>
      </c>
      <c r="N6300" s="56" t="n">
        <v>12</v>
      </c>
      <c r="O6300" s="56" t="n">
        <f aca="false">IF(D6300=1,"",E6299)</f>
        <v>26.5</v>
      </c>
      <c r="P6300" s="56" t="n">
        <f aca="false">IF(OR(D6300=1,K6299=""),"",K6299)</f>
        <v>1034.3</v>
      </c>
      <c r="Q6300" s="56" t="n">
        <f aca="false">IF(OR(F6300&lt;&gt;0,AND(I6300&lt;&gt;"",E6300&lt;I6300)),1,0)</f>
        <v>0</v>
      </c>
      <c r="R6300" s="56" t="n">
        <f aca="false">IF(AND(D6300&gt;1,Q6300=0,ISNUMBER(O6300),ISNUMBER(P6300)),IF(Q6299=0,1,0),0)</f>
        <v>1</v>
      </c>
      <c r="S6300" s="56" t="n">
        <f aca="false">R6300*(B6300&gt;=Train_Start)*(B6300&lt;=Train_End)</f>
        <v>0</v>
      </c>
      <c r="T6300" s="84" t="n">
        <f aca="false">IF(AND(ISNUMBER(O6300),ISNUMBER(P6300)),Coef_A+Coef_B1*O6300+Coef_B2*P6300,"")</f>
        <v>26.2453460575614</v>
      </c>
      <c r="U6300" s="84" t="n">
        <f aca="false">IF(AND(R6300=1,ISNUMBER(T6300)),E6300-T6300,"")</f>
        <v>0.0546539424386481</v>
      </c>
      <c r="V6300" s="84" t="n">
        <f aca="false">IF(ISNUMBER(T6300),T6300,-99)</f>
        <v>26.2453460575614</v>
      </c>
      <c r="W6300" s="84" t="n">
        <f aca="false">IF(ISNUMBER(U6300),ABS(U6300),"")</f>
        <v>0.0546539424386481</v>
      </c>
    </row>
    <row r="6301" customFormat="false" ht="15" hidden="false" customHeight="false" outlineLevel="0" collapsed="false">
      <c r="A6301" s="57" t="n">
        <v>43978</v>
      </c>
      <c r="B6301" s="56" t="n">
        <v>2020</v>
      </c>
      <c r="C6301" s="56" t="n">
        <v>5</v>
      </c>
      <c r="D6301" s="56" t="n">
        <v>27</v>
      </c>
      <c r="E6301" s="56" t="n">
        <v>22.6</v>
      </c>
      <c r="F6301" s="56" t="n">
        <v>0</v>
      </c>
      <c r="G6301" s="56" t="n">
        <v>13.7</v>
      </c>
      <c r="H6301" s="56" t="n">
        <v>0</v>
      </c>
      <c r="I6301" s="56" t="n">
        <v>20</v>
      </c>
      <c r="J6301" s="56" t="n">
        <v>0</v>
      </c>
      <c r="K6301" s="56" t="n">
        <v>1035.1</v>
      </c>
      <c r="L6301" s="56" t="n">
        <v>0</v>
      </c>
      <c r="M6301" s="56" t="n">
        <v>51</v>
      </c>
      <c r="N6301" s="56" t="n">
        <v>9.2</v>
      </c>
      <c r="O6301" s="56" t="n">
        <f aca="false">IF(D6301=1,"",E6300)</f>
        <v>26.3</v>
      </c>
      <c r="P6301" s="56" t="n">
        <f aca="false">IF(OR(D6301=1,K6300=""),"",K6300)</f>
        <v>1035.3</v>
      </c>
      <c r="Q6301" s="56" t="n">
        <f aca="false">IF(OR(F6301&lt;&gt;0,AND(I6301&lt;&gt;"",E6301&lt;I6301)),1,0)</f>
        <v>0</v>
      </c>
      <c r="R6301" s="56" t="n">
        <f aca="false">IF(AND(D6301&gt;1,Q6301=0,ISNUMBER(O6301),ISNUMBER(P6301)),IF(Q6300=0,1,0),0)</f>
        <v>1</v>
      </c>
      <c r="S6301" s="56" t="n">
        <f aca="false">R6301*(B6301&gt;=Train_Start)*(B6301&lt;=Train_End)</f>
        <v>0</v>
      </c>
      <c r="T6301" s="84" t="n">
        <f aca="false">IF(AND(ISNUMBER(O6301),ISNUMBER(P6301)),Coef_A+Coef_B1*O6301+Coef_B2*P6301,"")</f>
        <v>26.1128481135868</v>
      </c>
      <c r="U6301" s="84" t="n">
        <f aca="false">IF(AND(R6301=1,ISNUMBER(T6301)),E6301-T6301,"")</f>
        <v>-3.51284811358681</v>
      </c>
      <c r="V6301" s="84" t="n">
        <f aca="false">IF(ISNUMBER(T6301),T6301,-99)</f>
        <v>26.1128481135868</v>
      </c>
      <c r="W6301" s="84" t="n">
        <f aca="false">IF(ISNUMBER(U6301),ABS(U6301),"")</f>
        <v>3.51284811358681</v>
      </c>
    </row>
    <row r="6302" customFormat="false" ht="15" hidden="false" customHeight="false" outlineLevel="0" collapsed="false">
      <c r="A6302" s="57" t="n">
        <v>43979</v>
      </c>
      <c r="B6302" s="56" t="n">
        <v>2020</v>
      </c>
      <c r="C6302" s="56" t="n">
        <v>5</v>
      </c>
      <c r="D6302" s="56" t="n">
        <v>28</v>
      </c>
      <c r="E6302" s="56" t="n">
        <v>24.3</v>
      </c>
      <c r="F6302" s="56" t="n">
        <v>0</v>
      </c>
      <c r="G6302" s="56" t="n">
        <v>11.6</v>
      </c>
      <c r="H6302" s="56" t="n">
        <v>0</v>
      </c>
      <c r="I6302" s="56" t="n">
        <v>17.1</v>
      </c>
      <c r="J6302" s="56" t="n">
        <v>0</v>
      </c>
      <c r="K6302" s="56" t="n">
        <v>1033.7</v>
      </c>
      <c r="L6302" s="56" t="n">
        <v>0</v>
      </c>
      <c r="M6302" s="56" t="n">
        <v>50</v>
      </c>
      <c r="N6302" s="56" t="n">
        <v>13.4</v>
      </c>
      <c r="O6302" s="56" t="n">
        <f aca="false">IF(D6302=1,"",E6301)</f>
        <v>22.6</v>
      </c>
      <c r="P6302" s="56" t="n">
        <f aca="false">IF(OR(D6302=1,K6301=""),"",K6301)</f>
        <v>1035.1</v>
      </c>
      <c r="Q6302" s="56" t="n">
        <f aca="false">IF(OR(F6302&lt;&gt;0,AND(I6302&lt;&gt;"",E6302&lt;I6302)),1,0)</f>
        <v>0</v>
      </c>
      <c r="R6302" s="56" t="n">
        <f aca="false">IF(AND(D6302&gt;1,Q6302=0,ISNUMBER(O6302),ISNUMBER(P6302)),IF(Q6301=0,1,0),0)</f>
        <v>1</v>
      </c>
      <c r="S6302" s="56" t="n">
        <f aca="false">R6302*(B6302&gt;=Train_Start)*(B6302&lt;=Train_End)</f>
        <v>0</v>
      </c>
      <c r="T6302" s="84" t="n">
        <f aca="false">IF(AND(ISNUMBER(O6302),ISNUMBER(P6302)),Coef_A+Coef_B1*O6302+Coef_B2*P6302,"")</f>
        <v>23.0750191204022</v>
      </c>
      <c r="U6302" s="84" t="n">
        <f aca="false">IF(AND(R6302=1,ISNUMBER(T6302)),E6302-T6302,"")</f>
        <v>1.22498087959782</v>
      </c>
      <c r="V6302" s="84" t="n">
        <f aca="false">IF(ISNUMBER(T6302),T6302,-99)</f>
        <v>23.0750191204022</v>
      </c>
      <c r="W6302" s="84" t="n">
        <f aca="false">IF(ISNUMBER(U6302),ABS(U6302),"")</f>
        <v>1.22498087959782</v>
      </c>
    </row>
    <row r="6303" customFormat="false" ht="15" hidden="false" customHeight="false" outlineLevel="0" collapsed="false">
      <c r="A6303" s="57" t="n">
        <v>43980</v>
      </c>
      <c r="B6303" s="56" t="n">
        <v>2020</v>
      </c>
      <c r="C6303" s="56" t="n">
        <v>5</v>
      </c>
      <c r="D6303" s="56" t="n">
        <v>29</v>
      </c>
      <c r="E6303" s="56" t="n">
        <v>25.7</v>
      </c>
      <c r="F6303" s="56" t="n">
        <v>0</v>
      </c>
      <c r="G6303" s="56" t="n">
        <v>11</v>
      </c>
      <c r="H6303" s="56" t="n">
        <v>0</v>
      </c>
      <c r="I6303" s="56" t="n">
        <v>17.6</v>
      </c>
      <c r="J6303" s="56" t="n">
        <v>0</v>
      </c>
      <c r="K6303" s="56" t="n">
        <v>1027.6</v>
      </c>
      <c r="L6303" s="56" t="n">
        <v>0</v>
      </c>
      <c r="M6303" s="56" t="n">
        <v>44</v>
      </c>
      <c r="N6303" s="56" t="n">
        <v>13.7</v>
      </c>
      <c r="O6303" s="56" t="n">
        <f aca="false">IF(D6303=1,"",E6302)</f>
        <v>24.3</v>
      </c>
      <c r="P6303" s="56" t="n">
        <f aca="false">IF(OR(D6303=1,K6302=""),"",K6302)</f>
        <v>1033.7</v>
      </c>
      <c r="Q6303" s="56" t="n">
        <f aca="false">IF(OR(F6303&lt;&gt;0,AND(I6303&lt;&gt;"",E6303&lt;I6303)),1,0)</f>
        <v>0</v>
      </c>
      <c r="R6303" s="56" t="n">
        <f aca="false">IF(AND(D6303&gt;1,Q6303=0,ISNUMBER(O6303),ISNUMBER(P6303)),IF(Q6302=0,1,0),0)</f>
        <v>1</v>
      </c>
      <c r="S6303" s="56" t="n">
        <f aca="false">R6303*(B6303&gt;=Train_Start)*(B6303&lt;=Train_End)</f>
        <v>0</v>
      </c>
      <c r="T6303" s="84" t="n">
        <f aca="false">IF(AND(ISNUMBER(O6303),ISNUMBER(P6303)),Coef_A+Coef_B1*O6303+Coef_B2*P6303,"")</f>
        <v>24.4239778960871</v>
      </c>
      <c r="U6303" s="84" t="n">
        <f aca="false">IF(AND(R6303=1,ISNUMBER(T6303)),E6303-T6303,"")</f>
        <v>1.27602210391289</v>
      </c>
      <c r="V6303" s="84" t="n">
        <f aca="false">IF(ISNUMBER(T6303),T6303,-99)</f>
        <v>24.4239778960871</v>
      </c>
      <c r="W6303" s="84" t="n">
        <f aca="false">IF(ISNUMBER(U6303),ABS(U6303),"")</f>
        <v>1.27602210391289</v>
      </c>
    </row>
    <row r="6304" customFormat="false" ht="15" hidden="false" customHeight="false" outlineLevel="0" collapsed="false">
      <c r="A6304" s="57" t="n">
        <v>43981</v>
      </c>
      <c r="B6304" s="56" t="n">
        <v>2020</v>
      </c>
      <c r="C6304" s="56" t="n">
        <v>5</v>
      </c>
      <c r="D6304" s="56" t="n">
        <v>30</v>
      </c>
      <c r="E6304" s="56" t="n">
        <v>25.3</v>
      </c>
      <c r="F6304" s="56" t="n">
        <v>0</v>
      </c>
      <c r="G6304" s="56" t="n">
        <v>9.9</v>
      </c>
      <c r="H6304" s="56" t="n">
        <v>0</v>
      </c>
      <c r="I6304" s="56" t="n">
        <v>17.8</v>
      </c>
      <c r="J6304" s="56" t="n">
        <v>0</v>
      </c>
      <c r="K6304" s="56" t="n">
        <v>1023.1</v>
      </c>
      <c r="L6304" s="56" t="n">
        <v>0</v>
      </c>
      <c r="M6304" s="56" t="n">
        <v>49</v>
      </c>
      <c r="N6304" s="56" t="n">
        <v>13.3</v>
      </c>
      <c r="O6304" s="56" t="n">
        <f aca="false">IF(D6304=1,"",E6303)</f>
        <v>25.7</v>
      </c>
      <c r="P6304" s="56" t="n">
        <f aca="false">IF(OR(D6304=1,K6303=""),"",K6303)</f>
        <v>1027.6</v>
      </c>
      <c r="Q6304" s="56" t="n">
        <f aca="false">IF(OR(F6304&lt;&gt;0,AND(I6304&lt;&gt;"",E6304&lt;I6304)),1,0)</f>
        <v>0</v>
      </c>
      <c r="R6304" s="56" t="n">
        <f aca="false">IF(AND(D6304&gt;1,Q6304=0,ISNUMBER(O6304),ISNUMBER(P6304)),IF(Q6303=0,1,0),0)</f>
        <v>1</v>
      </c>
      <c r="S6304" s="56" t="n">
        <f aca="false">R6304*(B6304&gt;=Train_Start)*(B6304&lt;=Train_End)</f>
        <v>0</v>
      </c>
      <c r="T6304" s="84" t="n">
        <f aca="false">IF(AND(ISNUMBER(O6304),ISNUMBER(P6304)),Coef_A+Coef_B1*O6304+Coef_B2*P6304,"")</f>
        <v>25.3796964090795</v>
      </c>
      <c r="U6304" s="84" t="n">
        <f aca="false">IF(AND(R6304=1,ISNUMBER(T6304)),E6304-T6304,"")</f>
        <v>-0.0796964090794958</v>
      </c>
      <c r="V6304" s="84" t="n">
        <f aca="false">IF(ISNUMBER(T6304),T6304,-99)</f>
        <v>25.3796964090795</v>
      </c>
      <c r="W6304" s="84" t="n">
        <f aca="false">IF(ISNUMBER(U6304),ABS(U6304),"")</f>
        <v>0.0796964090794958</v>
      </c>
    </row>
    <row r="6305" customFormat="false" ht="15" hidden="false" customHeight="false" outlineLevel="0" collapsed="false">
      <c r="A6305" s="57" t="n">
        <v>43982</v>
      </c>
      <c r="B6305" s="56" t="n">
        <v>2020</v>
      </c>
      <c r="C6305" s="56" t="n">
        <v>5</v>
      </c>
      <c r="D6305" s="56" t="n">
        <v>31</v>
      </c>
      <c r="E6305" s="56" t="n">
        <v>26.8</v>
      </c>
      <c r="F6305" s="56" t="n">
        <v>0</v>
      </c>
      <c r="G6305" s="56" t="n">
        <v>12.4</v>
      </c>
      <c r="H6305" s="56" t="n">
        <v>0</v>
      </c>
      <c r="I6305" s="56" t="n">
        <v>18.9</v>
      </c>
      <c r="J6305" s="56" t="n">
        <v>0</v>
      </c>
      <c r="K6305" s="56" t="n">
        <v>1022.5</v>
      </c>
      <c r="L6305" s="56" t="n">
        <v>0</v>
      </c>
      <c r="M6305" s="56" t="n">
        <v>44</v>
      </c>
      <c r="N6305" s="56" t="n">
        <v>13.7</v>
      </c>
      <c r="O6305" s="56" t="n">
        <f aca="false">IF(D6305=1,"",E6304)</f>
        <v>25.3</v>
      </c>
      <c r="P6305" s="56" t="n">
        <f aca="false">IF(OR(D6305=1,K6304=""),"",K6304)</f>
        <v>1023.1</v>
      </c>
      <c r="Q6305" s="56" t="n">
        <f aca="false">IF(OR(F6305&lt;&gt;0,AND(I6305&lt;&gt;"",E6305&lt;I6305)),1,0)</f>
        <v>0</v>
      </c>
      <c r="R6305" s="56" t="n">
        <f aca="false">IF(AND(D6305&gt;1,Q6305=0,ISNUMBER(O6305),ISNUMBER(P6305)),IF(Q6304=0,1,0),0)</f>
        <v>1</v>
      </c>
      <c r="S6305" s="56" t="n">
        <f aca="false">R6305*(B6305&gt;=Train_Start)*(B6305&lt;=Train_End)</f>
        <v>0</v>
      </c>
      <c r="T6305" s="84" t="n">
        <f aca="false">IF(AND(ISNUMBER(O6305),ISNUMBER(P6305)),Coef_A+Coef_B1*O6305+Coef_B2*P6305,"")</f>
        <v>24.9107962060095</v>
      </c>
      <c r="U6305" s="84" t="n">
        <f aca="false">IF(AND(R6305=1,ISNUMBER(T6305)),E6305-T6305,"")</f>
        <v>1.88920379399052</v>
      </c>
      <c r="V6305" s="84" t="n">
        <f aca="false">IF(ISNUMBER(T6305),T6305,-99)</f>
        <v>24.9107962060095</v>
      </c>
      <c r="W6305" s="84" t="n">
        <f aca="false">IF(ISNUMBER(U6305),ABS(U6305),"")</f>
        <v>1.88920379399052</v>
      </c>
    </row>
    <row r="6306" customFormat="false" ht="15" hidden="false" customHeight="false" outlineLevel="0" collapsed="false">
      <c r="A6306" s="57" t="n">
        <v>43983</v>
      </c>
      <c r="B6306" s="56" t="n">
        <v>2020</v>
      </c>
      <c r="C6306" s="56" t="n">
        <v>6</v>
      </c>
      <c r="D6306" s="56" t="n">
        <v>32</v>
      </c>
      <c r="E6306" s="56" t="n">
        <v>25.4</v>
      </c>
      <c r="F6306" s="56" t="n">
        <v>0</v>
      </c>
      <c r="G6306" s="56" t="n">
        <v>11.3</v>
      </c>
      <c r="H6306" s="56" t="n">
        <v>0</v>
      </c>
      <c r="I6306" s="56" t="n">
        <v>19.1</v>
      </c>
      <c r="J6306" s="56" t="n">
        <v>0</v>
      </c>
      <c r="K6306" s="56" t="n">
        <v>1022.4</v>
      </c>
      <c r="L6306" s="56" t="n">
        <v>0</v>
      </c>
      <c r="M6306" s="56" t="n">
        <v>50</v>
      </c>
      <c r="N6306" s="56" t="n">
        <v>13.6</v>
      </c>
      <c r="O6306" s="56" t="n">
        <f aca="false">IF(D6306=1,"",E6305)</f>
        <v>26.8</v>
      </c>
      <c r="P6306" s="56" t="n">
        <f aca="false">IF(OR(D6306=1,K6305=""),"",K6305)</f>
        <v>1022.5</v>
      </c>
      <c r="Q6306" s="56" t="n">
        <f aca="false">IF(OR(F6306&lt;&gt;0,AND(I6306&lt;&gt;"",E6306&lt;I6306)),1,0)</f>
        <v>0</v>
      </c>
      <c r="R6306" s="56" t="n">
        <f aca="false">IF(AND(D6306&gt;1,Q6306=0,ISNUMBER(O6306),ISNUMBER(P6306)),IF(Q6305=0,1,0),0)</f>
        <v>1</v>
      </c>
      <c r="S6306" s="56" t="n">
        <f aca="false">R6306*(B6306&gt;=Train_Start)*(B6306&lt;=Train_End)</f>
        <v>0</v>
      </c>
      <c r="T6306" s="84" t="n">
        <f aca="false">IF(AND(ISNUMBER(O6306),ISNUMBER(P6306)),Coef_A+Coef_B1*O6306+Coef_B2*P6306,"")</f>
        <v>26.1209830587931</v>
      </c>
      <c r="U6306" s="84" t="n">
        <f aca="false">IF(AND(R6306=1,ISNUMBER(T6306)),E6306-T6306,"")</f>
        <v>-0.720983058793081</v>
      </c>
      <c r="V6306" s="84" t="n">
        <f aca="false">IF(ISNUMBER(T6306),T6306,-99)</f>
        <v>26.1209830587931</v>
      </c>
      <c r="W6306" s="84" t="n">
        <f aca="false">IF(ISNUMBER(U6306),ABS(U6306),"")</f>
        <v>0.720983058793081</v>
      </c>
    </row>
    <row r="6307" customFormat="false" ht="15" hidden="false" customHeight="false" outlineLevel="0" collapsed="false">
      <c r="A6307" s="57" t="n">
        <v>43984</v>
      </c>
      <c r="B6307" s="56" t="n">
        <v>2020</v>
      </c>
      <c r="C6307" s="56" t="n">
        <v>6</v>
      </c>
      <c r="D6307" s="56" t="n">
        <v>33</v>
      </c>
      <c r="E6307" s="56" t="n">
        <v>19.2</v>
      </c>
      <c r="F6307" s="56" t="n">
        <v>0</v>
      </c>
      <c r="G6307" s="56" t="n">
        <v>12.3</v>
      </c>
      <c r="H6307" s="56" t="n">
        <v>0</v>
      </c>
      <c r="I6307" s="56" t="n">
        <v>18.9</v>
      </c>
      <c r="J6307" s="56" t="n">
        <v>0</v>
      </c>
      <c r="K6307" s="56" t="n">
        <v>1018.6</v>
      </c>
      <c r="L6307" s="56" t="n">
        <v>0</v>
      </c>
      <c r="M6307" s="56" t="n">
        <v>46</v>
      </c>
      <c r="N6307" s="56" t="n">
        <v>13.1</v>
      </c>
      <c r="O6307" s="56" t="n">
        <f aca="false">IF(D6307=1,"",E6306)</f>
        <v>25.4</v>
      </c>
      <c r="P6307" s="56" t="n">
        <f aca="false">IF(OR(D6307=1,K6306=""),"",K6306)</f>
        <v>1022.4</v>
      </c>
      <c r="Q6307" s="56" t="n">
        <f aca="false">IF(OR(F6307&lt;&gt;0,AND(I6307&lt;&gt;"",E6307&lt;I6307)),1,0)</f>
        <v>0</v>
      </c>
      <c r="R6307" s="56" t="n">
        <f aca="false">IF(AND(D6307&gt;1,Q6307=0,ISNUMBER(O6307),ISNUMBER(P6307)),IF(Q6306=0,1,0),0)</f>
        <v>1</v>
      </c>
      <c r="S6307" s="56" t="n">
        <f aca="false">R6307*(B6307&gt;=Train_Start)*(B6307&lt;=Train_End)</f>
        <v>0</v>
      </c>
      <c r="T6307" s="84" t="n">
        <f aca="false">IF(AND(ISNUMBER(O6307),ISNUMBER(P6307)),Coef_A+Coef_B1*O6307+Coef_B2*P6307,"")</f>
        <v>24.97077119907</v>
      </c>
      <c r="U6307" s="84" t="n">
        <f aca="false">IF(AND(R6307=1,ISNUMBER(T6307)),E6307-T6307,"")</f>
        <v>-5.77077119906996</v>
      </c>
      <c r="V6307" s="84" t="n">
        <f aca="false">IF(ISNUMBER(T6307),T6307,-99)</f>
        <v>24.97077119907</v>
      </c>
      <c r="W6307" s="84" t="n">
        <f aca="false">IF(ISNUMBER(U6307),ABS(U6307),"")</f>
        <v>5.77077119906996</v>
      </c>
    </row>
    <row r="6308" customFormat="false" ht="15" hidden="false" customHeight="false" outlineLevel="0" collapsed="false">
      <c r="A6308" s="57" t="n">
        <v>43985</v>
      </c>
      <c r="B6308" s="56" t="n">
        <v>2020</v>
      </c>
      <c r="C6308" s="56" t="n">
        <v>6</v>
      </c>
      <c r="D6308" s="56" t="n">
        <v>34</v>
      </c>
      <c r="E6308" s="56" t="n">
        <v>16.6</v>
      </c>
      <c r="F6308" s="56" t="n">
        <v>0</v>
      </c>
      <c r="G6308" s="56" t="n">
        <v>13.6</v>
      </c>
      <c r="H6308" s="56" t="n">
        <v>0</v>
      </c>
      <c r="I6308" s="56" t="n">
        <v>16.4</v>
      </c>
      <c r="J6308" s="56" t="n">
        <v>0</v>
      </c>
      <c r="K6308" s="56" t="n">
        <v>1008.6</v>
      </c>
      <c r="L6308" s="56" t="n">
        <v>0</v>
      </c>
      <c r="M6308" s="56" t="n">
        <v>63</v>
      </c>
      <c r="N6308" s="56" t="n">
        <v>0</v>
      </c>
      <c r="O6308" s="56" t="n">
        <f aca="false">IF(D6308=1,"",E6307)</f>
        <v>19.2</v>
      </c>
      <c r="P6308" s="56" t="n">
        <f aca="false">IF(OR(D6308=1,K6307=""),"",K6307)</f>
        <v>1018.6</v>
      </c>
      <c r="Q6308" s="56" t="n">
        <f aca="false">IF(OR(F6308&lt;&gt;0,AND(I6308&lt;&gt;"",E6308&lt;I6308)),1,0)</f>
        <v>0</v>
      </c>
      <c r="R6308" s="56" t="n">
        <f aca="false">IF(AND(D6308&gt;1,Q6308=0,ISNUMBER(O6308),ISNUMBER(P6308)),IF(Q6307=0,1,0),0)</f>
        <v>1</v>
      </c>
      <c r="S6308" s="56" t="n">
        <f aca="false">R6308*(B6308&gt;=Train_Start)*(B6308&lt;=Train_End)</f>
        <v>0</v>
      </c>
      <c r="T6308" s="84" t="n">
        <f aca="false">IF(AND(ISNUMBER(O6308),ISNUMBER(P6308)),Coef_A+Coef_B1*O6308+Coef_B2*P6308,"")</f>
        <v>19.7716626025963</v>
      </c>
      <c r="U6308" s="84" t="n">
        <f aca="false">IF(AND(R6308=1,ISNUMBER(T6308)),E6308-T6308,"")</f>
        <v>-3.17166260259632</v>
      </c>
      <c r="V6308" s="84" t="n">
        <f aca="false">IF(ISNUMBER(T6308),T6308,-99)</f>
        <v>19.7716626025963</v>
      </c>
      <c r="W6308" s="84" t="n">
        <f aca="false">IF(ISNUMBER(U6308),ABS(U6308),"")</f>
        <v>3.17166260259632</v>
      </c>
    </row>
    <row r="6309" customFormat="false" ht="15" hidden="false" customHeight="false" outlineLevel="0" collapsed="false">
      <c r="A6309" s="57" t="n">
        <v>43986</v>
      </c>
      <c r="B6309" s="56" t="n">
        <v>2020</v>
      </c>
      <c r="C6309" s="56" t="n">
        <v>6</v>
      </c>
      <c r="D6309" s="56" t="n">
        <v>35</v>
      </c>
      <c r="E6309" s="56" t="n">
        <v>16.4</v>
      </c>
      <c r="F6309" s="56" t="n">
        <v>0</v>
      </c>
      <c r="G6309" s="56" t="n">
        <v>10.5</v>
      </c>
      <c r="H6309" s="56" t="n">
        <v>0</v>
      </c>
      <c r="I6309" s="56" t="n">
        <v>13.6</v>
      </c>
      <c r="J6309" s="56" t="n">
        <v>0</v>
      </c>
      <c r="K6309" s="56" t="n">
        <v>1003.4</v>
      </c>
      <c r="L6309" s="56" t="n">
        <v>0</v>
      </c>
      <c r="M6309" s="56" t="n">
        <v>67</v>
      </c>
      <c r="N6309" s="56" t="n">
        <v>1.1</v>
      </c>
      <c r="O6309" s="56" t="n">
        <f aca="false">IF(D6309=1,"",E6308)</f>
        <v>16.6</v>
      </c>
      <c r="P6309" s="56" t="n">
        <f aca="false">IF(OR(D6309=1,K6308=""),"",K6308)</f>
        <v>1008.6</v>
      </c>
      <c r="Q6309" s="56" t="n">
        <f aca="false">IF(OR(F6309&lt;&gt;0,AND(I6309&lt;&gt;"",E6309&lt;I6309)),1,0)</f>
        <v>0</v>
      </c>
      <c r="R6309" s="56" t="n">
        <f aca="false">IF(AND(D6309&gt;1,Q6309=0,ISNUMBER(O6309),ISNUMBER(P6309)),IF(Q6308=0,1,0),0)</f>
        <v>1</v>
      </c>
      <c r="S6309" s="56" t="n">
        <f aca="false">R6309*(B6309&gt;=Train_Start)*(B6309&lt;=Train_End)</f>
        <v>0</v>
      </c>
      <c r="T6309" s="84" t="n">
        <f aca="false">IF(AND(ISNUMBER(O6309),ISNUMBER(P6309)),Coef_A+Coef_B1*O6309+Coef_B2*P6309,"")</f>
        <v>17.3276817543455</v>
      </c>
      <c r="U6309" s="84" t="n">
        <f aca="false">IF(AND(R6309=1,ISNUMBER(T6309)),E6309-T6309,"")</f>
        <v>-0.927681754345521</v>
      </c>
      <c r="V6309" s="84" t="n">
        <f aca="false">IF(ISNUMBER(T6309),T6309,-99)</f>
        <v>17.3276817543455</v>
      </c>
      <c r="W6309" s="84" t="n">
        <f aca="false">IF(ISNUMBER(U6309),ABS(U6309),"")</f>
        <v>0.927681754345521</v>
      </c>
    </row>
    <row r="6310" customFormat="false" ht="15" hidden="false" customHeight="false" outlineLevel="0" collapsed="false">
      <c r="A6310" s="57" t="n">
        <v>43987</v>
      </c>
      <c r="B6310" s="56" t="n">
        <v>2020</v>
      </c>
      <c r="C6310" s="56" t="n">
        <v>6</v>
      </c>
      <c r="D6310" s="56" t="n">
        <v>36</v>
      </c>
      <c r="E6310" s="56" t="n">
        <v>14.5</v>
      </c>
      <c r="F6310" s="56" t="n">
        <v>0</v>
      </c>
      <c r="G6310" s="56" t="n">
        <v>11.2</v>
      </c>
      <c r="H6310" s="56" t="n">
        <v>0</v>
      </c>
      <c r="I6310" s="56" t="n">
        <v>13.8</v>
      </c>
      <c r="J6310" s="56" t="n">
        <v>0</v>
      </c>
      <c r="K6310" s="56" t="n">
        <v>997.1</v>
      </c>
      <c r="L6310" s="56" t="n">
        <v>0</v>
      </c>
      <c r="M6310" s="56" t="n">
        <v>58</v>
      </c>
      <c r="N6310" s="56" t="n">
        <v>5.3</v>
      </c>
      <c r="O6310" s="56" t="n">
        <f aca="false">IF(D6310=1,"",E6309)</f>
        <v>16.4</v>
      </c>
      <c r="P6310" s="56" t="n">
        <f aca="false">IF(OR(D6310=1,K6309=""),"",K6309)</f>
        <v>1003.4</v>
      </c>
      <c r="Q6310" s="56" t="n">
        <f aca="false">IF(OR(F6310&lt;&gt;0,AND(I6310&lt;&gt;"",E6310&lt;I6310)),1,0)</f>
        <v>0</v>
      </c>
      <c r="R6310" s="56" t="n">
        <f aca="false">IF(AND(D6310&gt;1,Q6310=0,ISNUMBER(O6310),ISNUMBER(P6310)),IF(Q6309=0,1,0),0)</f>
        <v>1</v>
      </c>
      <c r="S6310" s="56" t="n">
        <f aca="false">R6310*(B6310&gt;=Train_Start)*(B6310&lt;=Train_End)</f>
        <v>0</v>
      </c>
      <c r="T6310" s="84" t="n">
        <f aca="false">IF(AND(ISNUMBER(O6310),ISNUMBER(P6310)),Coef_A+Coef_B1*O6310+Coef_B2*P6310,"")</f>
        <v>17.0006904636402</v>
      </c>
      <c r="U6310" s="84" t="n">
        <f aca="false">IF(AND(R6310=1,ISNUMBER(T6310)),E6310-T6310,"")</f>
        <v>-2.50069046364024</v>
      </c>
      <c r="V6310" s="84" t="n">
        <f aca="false">IF(ISNUMBER(T6310),T6310,-99)</f>
        <v>17.0006904636402</v>
      </c>
      <c r="W6310" s="84" t="n">
        <f aca="false">IF(ISNUMBER(U6310),ABS(U6310),"")</f>
        <v>2.50069046364024</v>
      </c>
    </row>
    <row r="6311" customFormat="false" ht="15" hidden="false" customHeight="false" outlineLevel="0" collapsed="false">
      <c r="A6311" s="57" t="n">
        <v>43988</v>
      </c>
      <c r="B6311" s="56" t="n">
        <v>2020</v>
      </c>
      <c r="C6311" s="56" t="n">
        <v>6</v>
      </c>
      <c r="D6311" s="56" t="n">
        <v>37</v>
      </c>
      <c r="E6311" s="56" t="n">
        <v>18.7</v>
      </c>
      <c r="F6311" s="56" t="n">
        <v>0</v>
      </c>
      <c r="G6311" s="56" t="n">
        <v>7.2</v>
      </c>
      <c r="H6311" s="56" t="n">
        <v>0</v>
      </c>
      <c r="I6311" s="56" t="n">
        <v>10.8</v>
      </c>
      <c r="J6311" s="56" t="n">
        <v>0</v>
      </c>
      <c r="K6311" s="56" t="n">
        <v>999.4</v>
      </c>
      <c r="L6311" s="56" t="n">
        <v>0</v>
      </c>
      <c r="M6311" s="56" t="n">
        <v>75</v>
      </c>
      <c r="N6311" s="56" t="n">
        <v>3</v>
      </c>
      <c r="O6311" s="56" t="n">
        <f aca="false">IF(D6311=1,"",E6310)</f>
        <v>14.5</v>
      </c>
      <c r="P6311" s="56" t="n">
        <f aca="false">IF(OR(D6311=1,K6310=""),"",K6310)</f>
        <v>997.1</v>
      </c>
      <c r="Q6311" s="56" t="n">
        <f aca="false">IF(OR(F6311&lt;&gt;0,AND(I6311&lt;&gt;"",E6311&lt;I6311)),1,0)</f>
        <v>0</v>
      </c>
      <c r="R6311" s="56" t="n">
        <f aca="false">IF(AND(D6311&gt;1,Q6311=0,ISNUMBER(O6311),ISNUMBER(P6311)),IF(Q6310=0,1,0),0)</f>
        <v>1</v>
      </c>
      <c r="S6311" s="56" t="n">
        <f aca="false">R6311*(B6311&gt;=Train_Start)*(B6311&lt;=Train_End)</f>
        <v>0</v>
      </c>
      <c r="T6311" s="84" t="n">
        <f aca="false">IF(AND(ISNUMBER(O6311),ISNUMBER(P6311)),Coef_A+Coef_B1*O6311+Coef_B2*P6311,"")</f>
        <v>15.2463156606651</v>
      </c>
      <c r="U6311" s="84" t="n">
        <f aca="false">IF(AND(R6311=1,ISNUMBER(T6311)),E6311-T6311,"")</f>
        <v>3.45368433933494</v>
      </c>
      <c r="V6311" s="84" t="n">
        <f aca="false">IF(ISNUMBER(T6311),T6311,-99)</f>
        <v>15.2463156606651</v>
      </c>
      <c r="W6311" s="84" t="n">
        <f aca="false">IF(ISNUMBER(U6311),ABS(U6311),"")</f>
        <v>3.45368433933494</v>
      </c>
    </row>
    <row r="6312" customFormat="false" ht="15" hidden="false" customHeight="false" outlineLevel="0" collapsed="false">
      <c r="A6312" s="57" t="n">
        <v>43989</v>
      </c>
      <c r="B6312" s="56" t="n">
        <v>2020</v>
      </c>
      <c r="C6312" s="56" t="n">
        <v>6</v>
      </c>
      <c r="D6312" s="56" t="n">
        <v>38</v>
      </c>
      <c r="E6312" s="56" t="n">
        <v>16.6</v>
      </c>
      <c r="F6312" s="56" t="n">
        <v>0</v>
      </c>
      <c r="G6312" s="56" t="n">
        <v>8.1</v>
      </c>
      <c r="H6312" s="56" t="n">
        <v>0</v>
      </c>
      <c r="I6312" s="56" t="n">
        <v>13.4</v>
      </c>
      <c r="J6312" s="56" t="n">
        <v>0</v>
      </c>
      <c r="K6312" s="56" t="n">
        <v>1009.4</v>
      </c>
      <c r="L6312" s="56" t="n">
        <v>0</v>
      </c>
      <c r="M6312" s="56" t="n">
        <v>76</v>
      </c>
      <c r="N6312" s="56" t="n">
        <v>3.8</v>
      </c>
      <c r="O6312" s="56" t="n">
        <f aca="false">IF(D6312=1,"",E6311)</f>
        <v>18.7</v>
      </c>
      <c r="P6312" s="56" t="n">
        <f aca="false">IF(OR(D6312=1,K6311=""),"",K6311)</f>
        <v>999.4</v>
      </c>
      <c r="Q6312" s="56" t="n">
        <f aca="false">IF(OR(F6312&lt;&gt;0,AND(I6312&lt;&gt;"",E6312&lt;I6312)),1,0)</f>
        <v>0</v>
      </c>
      <c r="R6312" s="56" t="n">
        <f aca="false">IF(AND(D6312&gt;1,Q6312=0,ISNUMBER(O6312),ISNUMBER(P6312)),IF(Q6311=0,1,0),0)</f>
        <v>1</v>
      </c>
      <c r="S6312" s="56" t="n">
        <f aca="false">R6312*(B6312&gt;=Train_Start)*(B6312&lt;=Train_End)</f>
        <v>0</v>
      </c>
      <c r="T6312" s="84" t="n">
        <f aca="false">IF(AND(ISNUMBER(O6312),ISNUMBER(P6312)),Coef_A+Coef_B1*O6312+Coef_B2*P6312,"")</f>
        <v>18.7596910291024</v>
      </c>
      <c r="U6312" s="84" t="n">
        <f aca="false">IF(AND(R6312=1,ISNUMBER(T6312)),E6312-T6312,"")</f>
        <v>-2.15969102910239</v>
      </c>
      <c r="V6312" s="84" t="n">
        <f aca="false">IF(ISNUMBER(T6312),T6312,-99)</f>
        <v>18.7596910291024</v>
      </c>
      <c r="W6312" s="84" t="n">
        <f aca="false">IF(ISNUMBER(U6312),ABS(U6312),"")</f>
        <v>2.15969102910239</v>
      </c>
    </row>
    <row r="6313" customFormat="false" ht="15" hidden="false" customHeight="false" outlineLevel="0" collapsed="false">
      <c r="A6313" s="57" t="n">
        <v>43990</v>
      </c>
      <c r="B6313" s="56" t="n">
        <v>2020</v>
      </c>
      <c r="C6313" s="56" t="n">
        <v>6</v>
      </c>
      <c r="D6313" s="56" t="n">
        <v>39</v>
      </c>
      <c r="E6313" s="56" t="n">
        <v>20.1</v>
      </c>
      <c r="F6313" s="56" t="n">
        <v>0</v>
      </c>
      <c r="G6313" s="56" t="n">
        <v>10.4</v>
      </c>
      <c r="H6313" s="56" t="n">
        <v>0</v>
      </c>
      <c r="I6313" s="56" t="n">
        <v>13.5</v>
      </c>
      <c r="J6313" s="56" t="n">
        <v>0</v>
      </c>
      <c r="K6313" s="56" t="n">
        <v>1018.8</v>
      </c>
      <c r="L6313" s="56" t="n">
        <v>0</v>
      </c>
      <c r="M6313" s="56" t="n">
        <v>64</v>
      </c>
      <c r="N6313" s="56" t="n">
        <v>2.1</v>
      </c>
      <c r="O6313" s="56" t="n">
        <f aca="false">IF(D6313=1,"",E6312)</f>
        <v>16.6</v>
      </c>
      <c r="P6313" s="56" t="n">
        <f aca="false">IF(OR(D6313=1,K6312=""),"",K6312)</f>
        <v>1009.4</v>
      </c>
      <c r="Q6313" s="56" t="n">
        <f aca="false">IF(OR(F6313&lt;&gt;0,AND(I6313&lt;&gt;"",E6313&lt;I6313)),1,0)</f>
        <v>0</v>
      </c>
      <c r="R6313" s="56" t="n">
        <f aca="false">IF(AND(D6313&gt;1,Q6313=0,ISNUMBER(O6313),ISNUMBER(P6313)),IF(Q6312=0,1,0),0)</f>
        <v>1</v>
      </c>
      <c r="S6313" s="56" t="n">
        <f aca="false">R6313*(B6313&gt;=Train_Start)*(B6313&lt;=Train_End)</f>
        <v>0</v>
      </c>
      <c r="T6313" s="84" t="n">
        <f aca="false">IF(AND(ISNUMBER(O6313),ISNUMBER(P6313)),Coef_A+Coef_B1*O6313+Coef_B2*P6313,"")</f>
        <v>17.3527776700527</v>
      </c>
      <c r="U6313" s="84" t="n">
        <f aca="false">IF(AND(R6313=1,ISNUMBER(T6313)),E6313-T6313,"")</f>
        <v>2.7472223299473</v>
      </c>
      <c r="V6313" s="84" t="n">
        <f aca="false">IF(ISNUMBER(T6313),T6313,-99)</f>
        <v>17.3527776700527</v>
      </c>
      <c r="W6313" s="84" t="n">
        <f aca="false">IF(ISNUMBER(U6313),ABS(U6313),"")</f>
        <v>2.7472223299473</v>
      </c>
    </row>
    <row r="6314" customFormat="false" ht="15" hidden="false" customHeight="false" outlineLevel="0" collapsed="false">
      <c r="A6314" s="57" t="n">
        <v>43991</v>
      </c>
      <c r="B6314" s="56" t="n">
        <v>2020</v>
      </c>
      <c r="C6314" s="56" t="n">
        <v>6</v>
      </c>
      <c r="D6314" s="56" t="n">
        <v>40</v>
      </c>
      <c r="E6314" s="56" t="n">
        <v>16.4</v>
      </c>
      <c r="F6314" s="56" t="n">
        <v>0</v>
      </c>
      <c r="G6314" s="56" t="n">
        <v>10.6</v>
      </c>
      <c r="H6314" s="56" t="n">
        <v>0</v>
      </c>
      <c r="I6314" s="56" t="n">
        <v>15.3</v>
      </c>
      <c r="J6314" s="56" t="n">
        <v>0</v>
      </c>
      <c r="K6314" s="56" t="n">
        <v>1020</v>
      </c>
      <c r="L6314" s="56" t="n">
        <v>0</v>
      </c>
      <c r="M6314" s="56" t="n">
        <v>56</v>
      </c>
      <c r="N6314" s="56" t="n">
        <v>4.5</v>
      </c>
      <c r="O6314" s="56" t="n">
        <f aca="false">IF(D6314=1,"",E6313)</f>
        <v>20.1</v>
      </c>
      <c r="P6314" s="56" t="n">
        <f aca="false">IF(OR(D6314=1,K6313=""),"",K6313)</f>
        <v>1018.8</v>
      </c>
      <c r="Q6314" s="56" t="n">
        <f aca="false">IF(OR(F6314&lt;&gt;0,AND(I6314&lt;&gt;"",E6314&lt;I6314)),1,0)</f>
        <v>0</v>
      </c>
      <c r="R6314" s="56" t="n">
        <f aca="false">IF(AND(D6314&gt;1,Q6314=0,ISNUMBER(O6314),ISNUMBER(P6314)),IF(Q6313=0,1,0),0)</f>
        <v>1</v>
      </c>
      <c r="S6314" s="56" t="n">
        <f aca="false">R6314*(B6314&gt;=Train_Start)*(B6314&lt;=Train_End)</f>
        <v>0</v>
      </c>
      <c r="T6314" s="84" t="n">
        <f aca="false">IF(AND(ISNUMBER(O6314),ISNUMBER(P6314)),Coef_A+Coef_B1*O6314+Coef_B2*P6314,"")</f>
        <v>20.5153418552615</v>
      </c>
      <c r="U6314" s="84" t="n">
        <f aca="false">IF(AND(R6314=1,ISNUMBER(T6314)),E6314-T6314,"")</f>
        <v>-4.11534185526151</v>
      </c>
      <c r="V6314" s="84" t="n">
        <f aca="false">IF(ISNUMBER(T6314),T6314,-99)</f>
        <v>20.5153418552615</v>
      </c>
      <c r="W6314" s="84" t="n">
        <f aca="false">IF(ISNUMBER(U6314),ABS(U6314),"")</f>
        <v>4.11534185526151</v>
      </c>
    </row>
    <row r="6315" customFormat="false" ht="15" hidden="false" customHeight="false" outlineLevel="0" collapsed="false">
      <c r="A6315" s="57" t="n">
        <v>43992</v>
      </c>
      <c r="B6315" s="56" t="n">
        <v>2020</v>
      </c>
      <c r="C6315" s="56" t="n">
        <v>6</v>
      </c>
      <c r="D6315" s="56" t="n">
        <v>41</v>
      </c>
      <c r="E6315" s="56" t="n">
        <v>21.4</v>
      </c>
      <c r="F6315" s="56" t="n">
        <v>0</v>
      </c>
      <c r="G6315" s="56" t="n">
        <v>12.7</v>
      </c>
      <c r="H6315" s="56" t="n">
        <v>0</v>
      </c>
      <c r="I6315" s="56" t="n">
        <v>14.6</v>
      </c>
      <c r="J6315" s="56" t="n">
        <v>0</v>
      </c>
      <c r="K6315" s="56" t="n">
        <v>1015.1</v>
      </c>
      <c r="L6315" s="56" t="n">
        <v>0</v>
      </c>
      <c r="M6315" s="56" t="n">
        <v>83</v>
      </c>
      <c r="N6315" s="56" t="n">
        <v>0</v>
      </c>
      <c r="O6315" s="56" t="n">
        <f aca="false">IF(D6315=1,"",E6314)</f>
        <v>16.4</v>
      </c>
      <c r="P6315" s="56" t="n">
        <f aca="false">IF(OR(D6315=1,K6314=""),"",K6314)</f>
        <v>1020</v>
      </c>
      <c r="Q6315" s="56" t="n">
        <f aca="false">IF(OR(F6315&lt;&gt;0,AND(I6315&lt;&gt;"",E6315&lt;I6315)),1,0)</f>
        <v>0</v>
      </c>
      <c r="R6315" s="56" t="n">
        <f aca="false">IF(AND(D6315&gt;1,Q6315=0,ISNUMBER(O6315),ISNUMBER(P6315)),IF(Q6314=0,1,0),0)</f>
        <v>1</v>
      </c>
      <c r="S6315" s="56" t="n">
        <f aca="false">R6315*(B6315&gt;=Train_Start)*(B6315&lt;=Train_End)</f>
        <v>0</v>
      </c>
      <c r="T6315" s="84" t="n">
        <f aca="false">IF(AND(ISNUMBER(O6315),ISNUMBER(P6315)),Coef_A+Coef_B1*O6315+Coef_B2*P6315,"")</f>
        <v>17.5214307145645</v>
      </c>
      <c r="U6315" s="84" t="n">
        <f aca="false">IF(AND(R6315=1,ISNUMBER(T6315)),E6315-T6315,"")</f>
        <v>3.87856928543554</v>
      </c>
      <c r="V6315" s="84" t="n">
        <f aca="false">IF(ISNUMBER(T6315),T6315,-99)</f>
        <v>17.5214307145645</v>
      </c>
      <c r="W6315" s="84" t="n">
        <f aca="false">IF(ISNUMBER(U6315),ABS(U6315),"")</f>
        <v>3.87856928543554</v>
      </c>
    </row>
    <row r="6316" customFormat="false" ht="15" hidden="false" customHeight="false" outlineLevel="0" collapsed="false">
      <c r="A6316" s="57" t="n">
        <v>43993</v>
      </c>
      <c r="B6316" s="56" t="n">
        <v>2020</v>
      </c>
      <c r="C6316" s="56" t="n">
        <v>6</v>
      </c>
      <c r="D6316" s="56" t="n">
        <v>42</v>
      </c>
      <c r="E6316" s="56" t="n">
        <v>21.4</v>
      </c>
      <c r="F6316" s="56" t="n">
        <v>0</v>
      </c>
      <c r="G6316" s="56" t="n">
        <v>10.9</v>
      </c>
      <c r="H6316" s="56" t="n">
        <v>0</v>
      </c>
      <c r="I6316" s="56" t="n">
        <v>16.1</v>
      </c>
      <c r="J6316" s="56" t="n">
        <v>0</v>
      </c>
      <c r="K6316" s="56" t="n">
        <v>1011.4</v>
      </c>
      <c r="L6316" s="56" t="n">
        <v>0</v>
      </c>
      <c r="M6316" s="56" t="n">
        <v>80</v>
      </c>
      <c r="N6316" s="56" t="n">
        <v>1.7</v>
      </c>
      <c r="O6316" s="56" t="n">
        <f aca="false">IF(D6316=1,"",E6315)</f>
        <v>21.4</v>
      </c>
      <c r="P6316" s="56" t="n">
        <f aca="false">IF(OR(D6316=1,K6315=""),"",K6315)</f>
        <v>1015.1</v>
      </c>
      <c r="Q6316" s="56" t="n">
        <f aca="false">IF(OR(F6316&lt;&gt;0,AND(I6316&lt;&gt;"",E6316&lt;I6316)),1,0)</f>
        <v>0</v>
      </c>
      <c r="R6316" s="56" t="n">
        <f aca="false">IF(AND(D6316&gt;1,Q6316=0,ISNUMBER(O6316),ISNUMBER(P6316)),IF(Q6315=0,1,0),0)</f>
        <v>1</v>
      </c>
      <c r="S6316" s="56" t="n">
        <f aca="false">R6316*(B6316&gt;=Train_Start)*(B6316&lt;=Train_End)</f>
        <v>0</v>
      </c>
      <c r="T6316" s="84" t="n">
        <f aca="false">IF(AND(ISNUMBER(O6316),ISNUMBER(P6316)),Coef_A+Coef_B1*O6316+Coef_B2*P6316,"")</f>
        <v>21.4644141960712</v>
      </c>
      <c r="U6316" s="84" t="n">
        <f aca="false">IF(AND(R6316=1,ISNUMBER(T6316)),E6316-T6316,"")</f>
        <v>-0.0644141960712048</v>
      </c>
      <c r="V6316" s="84" t="n">
        <f aca="false">IF(ISNUMBER(T6316),T6316,-99)</f>
        <v>21.4644141960712</v>
      </c>
      <c r="W6316" s="84" t="n">
        <f aca="false">IF(ISNUMBER(U6316),ABS(U6316),"")</f>
        <v>0.0644141960712048</v>
      </c>
    </row>
    <row r="6317" customFormat="false" ht="15" hidden="false" customHeight="false" outlineLevel="0" collapsed="false">
      <c r="A6317" s="57" t="n">
        <v>43994</v>
      </c>
      <c r="B6317" s="56" t="n">
        <v>2020</v>
      </c>
      <c r="C6317" s="56" t="n">
        <v>6</v>
      </c>
      <c r="D6317" s="56" t="n">
        <v>43</v>
      </c>
      <c r="E6317" s="56" t="n">
        <v>25.1</v>
      </c>
      <c r="F6317" s="56" t="n">
        <v>0</v>
      </c>
      <c r="G6317" s="56" t="n">
        <v>13.7</v>
      </c>
      <c r="H6317" s="56" t="n">
        <v>0</v>
      </c>
      <c r="I6317" s="56" t="n">
        <v>17.6</v>
      </c>
      <c r="J6317" s="56" t="n">
        <v>0</v>
      </c>
      <c r="K6317" s="56" t="n">
        <v>1005.4</v>
      </c>
      <c r="L6317" s="56" t="n">
        <v>0</v>
      </c>
      <c r="M6317" s="56" t="n">
        <v>81</v>
      </c>
      <c r="N6317" s="56" t="n">
        <v>1.9</v>
      </c>
      <c r="O6317" s="56" t="n">
        <f aca="false">IF(D6317=1,"",E6316)</f>
        <v>21.4</v>
      </c>
      <c r="P6317" s="56" t="n">
        <f aca="false">IF(OR(D6317=1,K6316=""),"",K6316)</f>
        <v>1011.4</v>
      </c>
      <c r="Q6317" s="56" t="n">
        <f aca="false">IF(OR(F6317&lt;&gt;0,AND(I6317&lt;&gt;"",E6317&lt;I6317)),1,0)</f>
        <v>0</v>
      </c>
      <c r="R6317" s="56" t="n">
        <f aca="false">IF(AND(D6317&gt;1,Q6317=0,ISNUMBER(O6317),ISNUMBER(P6317)),IF(Q6316=0,1,0),0)</f>
        <v>1</v>
      </c>
      <c r="S6317" s="56" t="n">
        <f aca="false">R6317*(B6317&gt;=Train_Start)*(B6317&lt;=Train_End)</f>
        <v>0</v>
      </c>
      <c r="T6317" s="84" t="n">
        <f aca="false">IF(AND(ISNUMBER(O6317),ISNUMBER(P6317)),Coef_A+Coef_B1*O6317+Coef_B2*P6317,"")</f>
        <v>21.3483455859254</v>
      </c>
      <c r="U6317" s="84" t="n">
        <f aca="false">IF(AND(R6317=1,ISNUMBER(T6317)),E6317-T6317,"")</f>
        <v>3.75165441407456</v>
      </c>
      <c r="V6317" s="84" t="n">
        <f aca="false">IF(ISNUMBER(T6317),T6317,-99)</f>
        <v>21.3483455859254</v>
      </c>
      <c r="W6317" s="84" t="n">
        <f aca="false">IF(ISNUMBER(U6317),ABS(U6317),"")</f>
        <v>3.75165441407456</v>
      </c>
    </row>
    <row r="6318" customFormat="false" ht="15" hidden="false" customHeight="false" outlineLevel="0" collapsed="false">
      <c r="A6318" s="57" t="n">
        <v>43995</v>
      </c>
      <c r="B6318" s="56" t="n">
        <v>2020</v>
      </c>
      <c r="C6318" s="56" t="n">
        <v>6</v>
      </c>
      <c r="D6318" s="56" t="n">
        <v>44</v>
      </c>
      <c r="E6318" s="56" t="n">
        <v>22.9</v>
      </c>
      <c r="F6318" s="56" t="n">
        <v>0</v>
      </c>
      <c r="G6318" s="56" t="n">
        <v>12.3</v>
      </c>
      <c r="H6318" s="56" t="n">
        <v>0</v>
      </c>
      <c r="I6318" s="56" t="n">
        <v>18.7</v>
      </c>
      <c r="J6318" s="56" t="n">
        <v>0</v>
      </c>
      <c r="K6318" s="56" t="n">
        <v>1008.4</v>
      </c>
      <c r="L6318" s="56" t="n">
        <v>0</v>
      </c>
      <c r="M6318" s="56" t="n">
        <v>69</v>
      </c>
      <c r="N6318" s="56" t="n">
        <v>7.4</v>
      </c>
      <c r="O6318" s="56" t="n">
        <f aca="false">IF(D6318=1,"",E6317)</f>
        <v>25.1</v>
      </c>
      <c r="P6318" s="56" t="n">
        <f aca="false">IF(OR(D6318=1,K6317=""),"",K6317)</f>
        <v>1005.4</v>
      </c>
      <c r="Q6318" s="56" t="n">
        <f aca="false">IF(OR(F6318&lt;&gt;0,AND(I6318&lt;&gt;"",E6318&lt;I6318)),1,0)</f>
        <v>0</v>
      </c>
      <c r="R6318" s="56" t="n">
        <f aca="false">IF(AND(D6318&gt;1,Q6318=0,ISNUMBER(O6318),ISNUMBER(P6318)),IF(Q6317=0,1,0),0)</f>
        <v>1</v>
      </c>
      <c r="S6318" s="56" t="n">
        <f aca="false">R6318*(B6318&gt;=Train_Start)*(B6318&lt;=Train_End)</f>
        <v>0</v>
      </c>
      <c r="T6318" s="84" t="n">
        <f aca="false">IF(AND(ISNUMBER(O6318),ISNUMBER(P6318)),Coef_A+Coef_B1*O6318+Coef_B2*P6318,"")</f>
        <v>24.1916812323793</v>
      </c>
      <c r="U6318" s="84" t="n">
        <f aca="false">IF(AND(R6318=1,ISNUMBER(T6318)),E6318-T6318,"")</f>
        <v>-1.29168123237934</v>
      </c>
      <c r="V6318" s="84" t="n">
        <f aca="false">IF(ISNUMBER(T6318),T6318,-99)</f>
        <v>24.1916812323793</v>
      </c>
      <c r="W6318" s="84" t="n">
        <f aca="false">IF(ISNUMBER(U6318),ABS(U6318),"")</f>
        <v>1.29168123237934</v>
      </c>
    </row>
    <row r="6319" customFormat="false" ht="15" hidden="false" customHeight="false" outlineLevel="0" collapsed="false">
      <c r="A6319" s="57" t="n">
        <v>43996</v>
      </c>
      <c r="B6319" s="56" t="n">
        <v>2020</v>
      </c>
      <c r="C6319" s="56" t="n">
        <v>6</v>
      </c>
      <c r="D6319" s="56" t="n">
        <v>45</v>
      </c>
      <c r="E6319" s="56" t="n">
        <v>25.3</v>
      </c>
      <c r="F6319" s="56" t="n">
        <v>0</v>
      </c>
      <c r="G6319" s="56" t="n">
        <v>12.9</v>
      </c>
      <c r="H6319" s="56" t="n">
        <v>0</v>
      </c>
      <c r="I6319" s="56" t="n">
        <v>17.9</v>
      </c>
      <c r="J6319" s="56" t="n">
        <v>0</v>
      </c>
      <c r="K6319" s="56" t="n">
        <v>1014</v>
      </c>
      <c r="L6319" s="56" t="n">
        <v>0</v>
      </c>
      <c r="M6319" s="56" t="n">
        <v>70</v>
      </c>
      <c r="N6319" s="56" t="n">
        <v>8</v>
      </c>
      <c r="O6319" s="56" t="n">
        <f aca="false">IF(D6319=1,"",E6318)</f>
        <v>22.9</v>
      </c>
      <c r="P6319" s="56" t="n">
        <f aca="false">IF(OR(D6319=1,K6318=""),"",K6318)</f>
        <v>1008.4</v>
      </c>
      <c r="Q6319" s="56" t="n">
        <f aca="false">IF(OR(F6319&lt;&gt;0,AND(I6319&lt;&gt;"",E6319&lt;I6319)),1,0)</f>
        <v>0</v>
      </c>
      <c r="R6319" s="56" t="n">
        <f aca="false">IF(AND(D6319&gt;1,Q6319=0,ISNUMBER(O6319),ISNUMBER(P6319)),IF(Q6318=0,1,0),0)</f>
        <v>1</v>
      </c>
      <c r="S6319" s="56" t="n">
        <f aca="false">R6319*(B6319&gt;=Train_Start)*(B6319&lt;=Train_End)</f>
        <v>0</v>
      </c>
      <c r="T6319" s="84" t="n">
        <f aca="false">IF(AND(ISNUMBER(O6319),ISNUMBER(P6319)),Coef_A+Coef_B1*O6319+Coef_B2*P6319,"")</f>
        <v>22.4832446915875</v>
      </c>
      <c r="U6319" s="84" t="n">
        <f aca="false">IF(AND(R6319=1,ISNUMBER(T6319)),E6319-T6319,"")</f>
        <v>2.81675530841254</v>
      </c>
      <c r="V6319" s="84" t="n">
        <f aca="false">IF(ISNUMBER(T6319),T6319,-99)</f>
        <v>22.4832446915875</v>
      </c>
      <c r="W6319" s="84" t="n">
        <f aca="false">IF(ISNUMBER(U6319),ABS(U6319),"")</f>
        <v>2.81675530841254</v>
      </c>
    </row>
    <row r="6320" customFormat="false" ht="15" hidden="false" customHeight="false" outlineLevel="0" collapsed="false">
      <c r="A6320" s="57" t="n">
        <v>43997</v>
      </c>
      <c r="B6320" s="56" t="n">
        <v>2020</v>
      </c>
      <c r="C6320" s="56" t="n">
        <v>6</v>
      </c>
      <c r="D6320" s="56" t="n">
        <v>46</v>
      </c>
      <c r="E6320" s="56" t="n">
        <v>24.9</v>
      </c>
      <c r="F6320" s="56" t="n">
        <v>0</v>
      </c>
      <c r="G6320" s="56" t="n">
        <v>11.5</v>
      </c>
      <c r="H6320" s="56" t="n">
        <v>0</v>
      </c>
      <c r="I6320" s="56" t="n">
        <v>18.4</v>
      </c>
      <c r="J6320" s="56" t="n">
        <v>0</v>
      </c>
      <c r="K6320" s="56" t="n">
        <v>1016.1</v>
      </c>
      <c r="L6320" s="56" t="n">
        <v>0</v>
      </c>
      <c r="M6320" s="56" t="n">
        <v>73</v>
      </c>
      <c r="N6320" s="56" t="n">
        <v>7.7</v>
      </c>
      <c r="O6320" s="56" t="n">
        <f aca="false">IF(D6320=1,"",E6319)</f>
        <v>25.3</v>
      </c>
      <c r="P6320" s="56" t="n">
        <f aca="false">IF(OR(D6320=1,K6319=""),"",K6319)</f>
        <v>1014</v>
      </c>
      <c r="Q6320" s="56" t="n">
        <f aca="false">IF(OR(F6320&lt;&gt;0,AND(I6320&lt;&gt;"",E6320&lt;I6320)),1,0)</f>
        <v>0</v>
      </c>
      <c r="R6320" s="56" t="n">
        <f aca="false">IF(AND(D6320&gt;1,Q6320=0,ISNUMBER(O6320),ISNUMBER(P6320)),IF(Q6319=0,1,0),0)</f>
        <v>1</v>
      </c>
      <c r="S6320" s="56" t="n">
        <f aca="false">R6320*(B6320&gt;=Train_Start)*(B6320&lt;=Train_End)</f>
        <v>0</v>
      </c>
      <c r="T6320" s="84" t="n">
        <f aca="false">IF(AND(ISNUMBER(O6320),ISNUMBER(P6320)),Coef_A+Coef_B1*O6320+Coef_B2*P6320,"")</f>
        <v>24.6253301648402</v>
      </c>
      <c r="U6320" s="84" t="n">
        <f aca="false">IF(AND(R6320=1,ISNUMBER(T6320)),E6320-T6320,"")</f>
        <v>0.27466983515982</v>
      </c>
      <c r="V6320" s="84" t="n">
        <f aca="false">IF(ISNUMBER(T6320),T6320,-99)</f>
        <v>24.6253301648402</v>
      </c>
      <c r="W6320" s="84" t="n">
        <f aca="false">IF(ISNUMBER(U6320),ABS(U6320),"")</f>
        <v>0.27466983515982</v>
      </c>
    </row>
    <row r="6321" customFormat="false" ht="15" hidden="false" customHeight="false" outlineLevel="0" collapsed="false">
      <c r="A6321" s="57" t="n">
        <v>43998</v>
      </c>
      <c r="B6321" s="56" t="n">
        <v>2020</v>
      </c>
      <c r="C6321" s="56" t="n">
        <v>6</v>
      </c>
      <c r="D6321" s="56" t="n">
        <v>47</v>
      </c>
      <c r="E6321" s="56" t="n">
        <v>22.6</v>
      </c>
      <c r="F6321" s="56" t="n">
        <v>0</v>
      </c>
      <c r="G6321" s="56" t="n">
        <v>13.5</v>
      </c>
      <c r="H6321" s="56" t="n">
        <v>0</v>
      </c>
      <c r="I6321" s="56" t="n">
        <v>19.2</v>
      </c>
      <c r="J6321" s="56" t="n">
        <v>0</v>
      </c>
      <c r="K6321" s="56" t="n">
        <v>1014.1</v>
      </c>
      <c r="L6321" s="56" t="n">
        <v>0</v>
      </c>
      <c r="M6321" s="56" t="n">
        <v>68</v>
      </c>
      <c r="N6321" s="56" t="n">
        <v>8.9</v>
      </c>
      <c r="O6321" s="56" t="n">
        <f aca="false">IF(D6321=1,"",E6320)</f>
        <v>24.9</v>
      </c>
      <c r="P6321" s="56" t="n">
        <f aca="false">IF(OR(D6321=1,K6320=""),"",K6320)</f>
        <v>1016.1</v>
      </c>
      <c r="Q6321" s="56" t="n">
        <f aca="false">IF(OR(F6321&lt;&gt;0,AND(I6321&lt;&gt;"",E6321&lt;I6321)),1,0)</f>
        <v>0</v>
      </c>
      <c r="R6321" s="56" t="n">
        <f aca="false">IF(AND(D6321&gt;1,Q6321=0,ISNUMBER(O6321),ISNUMBER(P6321)),IF(Q6320=0,1,0),0)</f>
        <v>1</v>
      </c>
      <c r="S6321" s="56" t="n">
        <f aca="false">R6321*(B6321&gt;=Train_Start)*(B6321&lt;=Train_End)</f>
        <v>0</v>
      </c>
      <c r="T6321" s="84" t="n">
        <f aca="false">IF(AND(ISNUMBER(O6321),ISNUMBER(P6321)),Coef_A+Coef_B1*O6321+Coef_B2*P6321,"")</f>
        <v>24.3634712663545</v>
      </c>
      <c r="U6321" s="84" t="n">
        <f aca="false">IF(AND(R6321=1,ISNUMBER(T6321)),E6321-T6321,"")</f>
        <v>-1.76347126635449</v>
      </c>
      <c r="V6321" s="84" t="n">
        <f aca="false">IF(ISNUMBER(T6321),T6321,-99)</f>
        <v>24.3634712663545</v>
      </c>
      <c r="W6321" s="84" t="n">
        <f aca="false">IF(ISNUMBER(U6321),ABS(U6321),"")</f>
        <v>1.76347126635449</v>
      </c>
    </row>
    <row r="6322" customFormat="false" ht="15" hidden="false" customHeight="false" outlineLevel="0" collapsed="false">
      <c r="A6322" s="57" t="n">
        <v>43999</v>
      </c>
      <c r="B6322" s="56" t="n">
        <v>2020</v>
      </c>
      <c r="C6322" s="56" t="n">
        <v>6</v>
      </c>
      <c r="D6322" s="56" t="n">
        <v>48</v>
      </c>
      <c r="E6322" s="56" t="n">
        <v>19.1</v>
      </c>
      <c r="F6322" s="56" t="n">
        <v>0</v>
      </c>
      <c r="G6322" s="56" t="n">
        <v>12.8</v>
      </c>
      <c r="H6322" s="56" t="n">
        <v>0</v>
      </c>
      <c r="I6322" s="56" t="n">
        <v>17.7</v>
      </c>
      <c r="J6322" s="56" t="n">
        <v>0</v>
      </c>
      <c r="K6322" s="56" t="n">
        <v>1012.4</v>
      </c>
      <c r="L6322" s="56" t="n">
        <v>0</v>
      </c>
      <c r="M6322" s="56" t="n">
        <v>75</v>
      </c>
      <c r="N6322" s="56" t="n">
        <v>0.5</v>
      </c>
      <c r="O6322" s="56" t="n">
        <f aca="false">IF(D6322=1,"",E6321)</f>
        <v>22.6</v>
      </c>
      <c r="P6322" s="56" t="n">
        <f aca="false">IF(OR(D6322=1,K6321=""),"",K6321)</f>
        <v>1014.1</v>
      </c>
      <c r="Q6322" s="56" t="n">
        <f aca="false">IF(OR(F6322&lt;&gt;0,AND(I6322&lt;&gt;"",E6322&lt;I6322)),1,0)</f>
        <v>0</v>
      </c>
      <c r="R6322" s="56" t="n">
        <f aca="false">IF(AND(D6322&gt;1,Q6322=0,ISNUMBER(O6322),ISNUMBER(P6322)),IF(Q6321=0,1,0),0)</f>
        <v>1</v>
      </c>
      <c r="S6322" s="56" t="n">
        <f aca="false">R6322*(B6322&gt;=Train_Start)*(B6322&lt;=Train_End)</f>
        <v>0</v>
      </c>
      <c r="T6322" s="84" t="n">
        <f aca="false">IF(AND(ISNUMBER(O6322),ISNUMBER(P6322)),Coef_A+Coef_B1*O6322+Coef_B2*P6322,"")</f>
        <v>22.4162513330884</v>
      </c>
      <c r="U6322" s="84" t="n">
        <f aca="false">IF(AND(R6322=1,ISNUMBER(T6322)),E6322-T6322,"")</f>
        <v>-3.3162513330884</v>
      </c>
      <c r="V6322" s="84" t="n">
        <f aca="false">IF(ISNUMBER(T6322),T6322,-99)</f>
        <v>22.4162513330884</v>
      </c>
      <c r="W6322" s="84" t="n">
        <f aca="false">IF(ISNUMBER(U6322),ABS(U6322),"")</f>
        <v>3.3162513330884</v>
      </c>
    </row>
    <row r="6323" customFormat="false" ht="15" hidden="false" customHeight="false" outlineLevel="0" collapsed="false">
      <c r="A6323" s="57" t="n">
        <v>44000</v>
      </c>
      <c r="B6323" s="56" t="n">
        <v>2020</v>
      </c>
      <c r="C6323" s="56" t="n">
        <v>6</v>
      </c>
      <c r="D6323" s="56" t="n">
        <v>49</v>
      </c>
      <c r="E6323" s="56" t="n">
        <v>20.8</v>
      </c>
      <c r="F6323" s="56" t="n">
        <v>0</v>
      </c>
      <c r="G6323" s="56" t="n">
        <v>13.8</v>
      </c>
      <c r="H6323" s="56" t="n">
        <v>0</v>
      </c>
      <c r="I6323" s="56" t="n">
        <v>16.4</v>
      </c>
      <c r="J6323" s="56" t="n">
        <v>0</v>
      </c>
      <c r="K6323" s="56" t="n">
        <v>1010.3</v>
      </c>
      <c r="L6323" s="56" t="n">
        <v>0</v>
      </c>
      <c r="M6323" s="56" t="n">
        <v>87</v>
      </c>
      <c r="N6323" s="56" t="n">
        <v>2.8</v>
      </c>
      <c r="O6323" s="56" t="n">
        <f aca="false">IF(D6323=1,"",E6322)</f>
        <v>19.1</v>
      </c>
      <c r="P6323" s="56" t="n">
        <f aca="false">IF(OR(D6323=1,K6322=""),"",K6322)</f>
        <v>1012.4</v>
      </c>
      <c r="Q6323" s="56" t="n">
        <f aca="false">IF(OR(F6323&lt;&gt;0,AND(I6323&lt;&gt;"",E6323&lt;I6323)),1,0)</f>
        <v>0</v>
      </c>
      <c r="R6323" s="56" t="n">
        <f aca="false">IF(AND(D6323&gt;1,Q6323=0,ISNUMBER(O6323),ISNUMBER(P6323)),IF(Q6322=0,1,0),0)</f>
        <v>1</v>
      </c>
      <c r="S6323" s="56" t="n">
        <f aca="false">R6323*(B6323&gt;=Train_Start)*(B6323&lt;=Train_End)</f>
        <v>0</v>
      </c>
      <c r="T6323" s="84" t="n">
        <f aca="false">IF(AND(ISNUMBER(O6323),ISNUMBER(P6323)),Coef_A+Coef_B1*O6323+Coef_B2*P6323,"")</f>
        <v>19.4952353365613</v>
      </c>
      <c r="U6323" s="84" t="n">
        <f aca="false">IF(AND(R6323=1,ISNUMBER(T6323)),E6323-T6323,"")</f>
        <v>1.30476466343868</v>
      </c>
      <c r="V6323" s="84" t="n">
        <f aca="false">IF(ISNUMBER(T6323),T6323,-99)</f>
        <v>19.4952353365613</v>
      </c>
      <c r="W6323" s="84" t="n">
        <f aca="false">IF(ISNUMBER(U6323),ABS(U6323),"")</f>
        <v>1.30476466343868</v>
      </c>
    </row>
    <row r="6324" customFormat="false" ht="15" hidden="false" customHeight="false" outlineLevel="0" collapsed="false">
      <c r="A6324" s="57" t="n">
        <v>44001</v>
      </c>
      <c r="B6324" s="56" t="n">
        <v>2020</v>
      </c>
      <c r="C6324" s="56" t="n">
        <v>6</v>
      </c>
      <c r="D6324" s="56" t="n">
        <v>50</v>
      </c>
      <c r="E6324" s="56" t="n">
        <v>23</v>
      </c>
      <c r="F6324" s="56" t="n">
        <v>0</v>
      </c>
      <c r="G6324" s="56" t="n">
        <v>13.4</v>
      </c>
      <c r="H6324" s="56" t="n">
        <v>0</v>
      </c>
      <c r="I6324" s="56" t="n">
        <v>17.1</v>
      </c>
      <c r="J6324" s="56" t="n">
        <v>0</v>
      </c>
      <c r="K6324" s="56" t="n">
        <v>1014.3</v>
      </c>
      <c r="L6324" s="56" t="n">
        <v>0</v>
      </c>
      <c r="M6324" s="56" t="n">
        <v>81</v>
      </c>
      <c r="N6324" s="56" t="n">
        <v>0.9</v>
      </c>
      <c r="O6324" s="56" t="n">
        <f aca="false">IF(D6324=1,"",E6323)</f>
        <v>20.8</v>
      </c>
      <c r="P6324" s="56" t="n">
        <f aca="false">IF(OR(D6324=1,K6323=""),"",K6323)</f>
        <v>1010.3</v>
      </c>
      <c r="Q6324" s="56" t="n">
        <f aca="false">IF(OR(F6324&lt;&gt;0,AND(I6324&lt;&gt;"",E6324&lt;I6324)),1,0)</f>
        <v>0</v>
      </c>
      <c r="R6324" s="56" t="n">
        <f aca="false">IF(AND(D6324&gt;1,Q6324=0,ISNUMBER(O6324),ISNUMBER(P6324)),IF(Q6323=0,1,0),0)</f>
        <v>1</v>
      </c>
      <c r="S6324" s="56" t="n">
        <f aca="false">R6324*(B6324&gt;=Train_Start)*(B6324&lt;=Train_End)</f>
        <v>0</v>
      </c>
      <c r="T6324" s="84" t="n">
        <f aca="false">IF(AND(ISNUMBER(O6324),ISNUMBER(P6324)),Coef_A+Coef_B1*O6324+Coef_B2*P6324,"")</f>
        <v>20.8222351860025</v>
      </c>
      <c r="U6324" s="84" t="n">
        <f aca="false">IF(AND(R6324=1,ISNUMBER(T6324)),E6324-T6324,"")</f>
        <v>2.17776481399754</v>
      </c>
      <c r="V6324" s="84" t="n">
        <f aca="false">IF(ISNUMBER(T6324),T6324,-99)</f>
        <v>20.8222351860025</v>
      </c>
      <c r="W6324" s="84" t="n">
        <f aca="false">IF(ISNUMBER(U6324),ABS(U6324),"")</f>
        <v>2.17776481399754</v>
      </c>
    </row>
    <row r="6325" customFormat="false" ht="15" hidden="false" customHeight="false" outlineLevel="0" collapsed="false">
      <c r="A6325" s="57" t="n">
        <v>44002</v>
      </c>
      <c r="B6325" s="56" t="n">
        <v>2020</v>
      </c>
      <c r="C6325" s="56" t="n">
        <v>6</v>
      </c>
      <c r="D6325" s="56" t="n">
        <v>51</v>
      </c>
      <c r="E6325" s="56" t="n">
        <v>23.9</v>
      </c>
      <c r="F6325" s="56" t="n">
        <v>0</v>
      </c>
      <c r="G6325" s="56" t="n">
        <v>11.8</v>
      </c>
      <c r="H6325" s="56" t="n">
        <v>0</v>
      </c>
      <c r="I6325" s="56" t="n">
        <v>17.4</v>
      </c>
      <c r="J6325" s="56" t="n">
        <v>0</v>
      </c>
      <c r="K6325" s="56" t="n">
        <v>1019.3</v>
      </c>
      <c r="L6325" s="56" t="n">
        <v>0</v>
      </c>
      <c r="M6325" s="56" t="n">
        <v>73</v>
      </c>
      <c r="N6325" s="56" t="n">
        <v>5.9</v>
      </c>
      <c r="O6325" s="56" t="n">
        <f aca="false">IF(D6325=1,"",E6324)</f>
        <v>23</v>
      </c>
      <c r="P6325" s="56" t="n">
        <f aca="false">IF(OR(D6325=1,K6324=""),"",K6324)</f>
        <v>1014.3</v>
      </c>
      <c r="Q6325" s="56" t="n">
        <f aca="false">IF(OR(F6325&lt;&gt;0,AND(I6325&lt;&gt;"",E6325&lt;I6325)),1,0)</f>
        <v>0</v>
      </c>
      <c r="R6325" s="56" t="n">
        <f aca="false">IF(AND(D6325&gt;1,Q6325=0,ISNUMBER(O6325),ISNUMBER(P6325)),IF(Q6324=0,1,0),0)</f>
        <v>1</v>
      </c>
      <c r="S6325" s="56" t="n">
        <f aca="false">R6325*(B6325&gt;=Train_Start)*(B6325&lt;=Train_End)</f>
        <v>0</v>
      </c>
      <c r="T6325" s="84" t="n">
        <f aca="false">IF(AND(ISNUMBER(O6325),ISNUMBER(P6325)),Coef_A+Coef_B1*O6325+Coef_B2*P6325,"")</f>
        <v>22.7502609892323</v>
      </c>
      <c r="U6325" s="84" t="n">
        <f aca="false">IF(AND(R6325=1,ISNUMBER(T6325)),E6325-T6325,"")</f>
        <v>1.14973901076774</v>
      </c>
      <c r="V6325" s="84" t="n">
        <f aca="false">IF(ISNUMBER(T6325),T6325,-99)</f>
        <v>22.7502609892323</v>
      </c>
      <c r="W6325" s="84" t="n">
        <f aca="false">IF(ISNUMBER(U6325),ABS(U6325),"")</f>
        <v>1.14973901076774</v>
      </c>
    </row>
    <row r="6326" customFormat="false" ht="15" hidden="false" customHeight="false" outlineLevel="0" collapsed="false">
      <c r="A6326" s="57" t="n">
        <v>44003</v>
      </c>
      <c r="B6326" s="56" t="n">
        <v>2020</v>
      </c>
      <c r="C6326" s="56" t="n">
        <v>6</v>
      </c>
      <c r="D6326" s="56" t="n">
        <v>52</v>
      </c>
      <c r="E6326" s="56" t="n">
        <v>23.9</v>
      </c>
      <c r="F6326" s="56" t="n">
        <v>0</v>
      </c>
      <c r="G6326" s="56" t="n">
        <v>14.1</v>
      </c>
      <c r="H6326" s="56" t="n">
        <v>0</v>
      </c>
      <c r="I6326" s="56" t="n">
        <v>19</v>
      </c>
      <c r="J6326" s="56" t="n">
        <v>0</v>
      </c>
      <c r="K6326" s="56" t="n">
        <v>1017.1</v>
      </c>
      <c r="L6326" s="56" t="n">
        <v>0</v>
      </c>
      <c r="M6326" s="56" t="n">
        <v>67</v>
      </c>
      <c r="N6326" s="56" t="n">
        <v>5.7</v>
      </c>
      <c r="O6326" s="56" t="n">
        <f aca="false">IF(D6326=1,"",E6325)</f>
        <v>23.9</v>
      </c>
      <c r="P6326" s="56" t="n">
        <f aca="false">IF(OR(D6326=1,K6325=""),"",K6325)</f>
        <v>1019.3</v>
      </c>
      <c r="Q6326" s="56" t="n">
        <f aca="false">IF(OR(F6326&lt;&gt;0,AND(I6326&lt;&gt;"",E6326&lt;I6326)),1,0)</f>
        <v>0</v>
      </c>
      <c r="R6326" s="56" t="n">
        <f aca="false">IF(AND(D6326&gt;1,Q6326=0,ISNUMBER(O6326),ISNUMBER(P6326)),IF(Q6325=0,1,0),0)</f>
        <v>1</v>
      </c>
      <c r="S6326" s="56" t="n">
        <f aca="false">R6326*(B6326&gt;=Train_Start)*(B6326&lt;=Train_End)</f>
        <v>0</v>
      </c>
      <c r="T6326" s="84" t="n">
        <f aca="false">IF(AND(ISNUMBER(O6326),ISNUMBER(P6326)),Coef_A+Coef_B1*O6326+Coef_B2*P6326,"")</f>
        <v>23.6445157361406</v>
      </c>
      <c r="U6326" s="84" t="n">
        <f aca="false">IF(AND(R6326=1,ISNUMBER(T6326)),E6326-T6326,"")</f>
        <v>0.255484263859401</v>
      </c>
      <c r="V6326" s="84" t="n">
        <f aca="false">IF(ISNUMBER(T6326),T6326,-99)</f>
        <v>23.6445157361406</v>
      </c>
      <c r="W6326" s="84" t="n">
        <f aca="false">IF(ISNUMBER(U6326),ABS(U6326),"")</f>
        <v>0.255484263859401</v>
      </c>
    </row>
    <row r="6327" customFormat="false" ht="15" hidden="false" customHeight="false" outlineLevel="0" collapsed="false">
      <c r="A6327" s="57" t="n">
        <v>44004</v>
      </c>
      <c r="B6327" s="56" t="n">
        <v>2020</v>
      </c>
      <c r="C6327" s="56" t="n">
        <v>6</v>
      </c>
      <c r="D6327" s="56" t="n">
        <v>53</v>
      </c>
      <c r="E6327" s="56" t="n">
        <v>28.6</v>
      </c>
      <c r="F6327" s="56" t="n">
        <v>0</v>
      </c>
      <c r="G6327" s="56" t="n">
        <v>10.3</v>
      </c>
      <c r="H6327" s="56" t="n">
        <v>0</v>
      </c>
      <c r="I6327" s="56" t="n">
        <v>17.1</v>
      </c>
      <c r="J6327" s="56" t="n">
        <v>0</v>
      </c>
      <c r="K6327" s="56" t="n">
        <v>1024.6</v>
      </c>
      <c r="L6327" s="56" t="n">
        <v>0</v>
      </c>
      <c r="M6327" s="56" t="n">
        <v>60</v>
      </c>
      <c r="N6327" s="56" t="n">
        <v>14.1</v>
      </c>
      <c r="O6327" s="56" t="n">
        <f aca="false">IF(D6327=1,"",E6326)</f>
        <v>23.9</v>
      </c>
      <c r="P6327" s="56" t="n">
        <f aca="false">IF(OR(D6327=1,K6326=""),"",K6326)</f>
        <v>1017.1</v>
      </c>
      <c r="Q6327" s="56" t="n">
        <f aca="false">IF(OR(F6327&lt;&gt;0,AND(I6327&lt;&gt;"",E6327&lt;I6327)),1,0)</f>
        <v>0</v>
      </c>
      <c r="R6327" s="56" t="n">
        <f aca="false">IF(AND(D6327&gt;1,Q6327=0,ISNUMBER(O6327),ISNUMBER(P6327)),IF(Q6326=0,1,0),0)</f>
        <v>1</v>
      </c>
      <c r="S6327" s="56" t="n">
        <f aca="false">R6327*(B6327&gt;=Train_Start)*(B6327&lt;=Train_End)</f>
        <v>0</v>
      </c>
      <c r="T6327" s="84" t="n">
        <f aca="false">IF(AND(ISNUMBER(O6327),ISNUMBER(P6327)),Coef_A+Coef_B1*O6327+Coef_B2*P6327,"")</f>
        <v>23.5755019679458</v>
      </c>
      <c r="U6327" s="84" t="n">
        <f aca="false">IF(AND(R6327=1,ISNUMBER(T6327)),E6327-T6327,"")</f>
        <v>5.02449803205418</v>
      </c>
      <c r="V6327" s="84" t="n">
        <f aca="false">IF(ISNUMBER(T6327),T6327,-99)</f>
        <v>23.5755019679458</v>
      </c>
      <c r="W6327" s="84" t="n">
        <f aca="false">IF(ISNUMBER(U6327),ABS(U6327),"")</f>
        <v>5.02449803205418</v>
      </c>
    </row>
    <row r="6328" customFormat="false" ht="15" hidden="false" customHeight="false" outlineLevel="0" collapsed="false">
      <c r="A6328" s="57" t="n">
        <v>44005</v>
      </c>
      <c r="B6328" s="56" t="n">
        <v>2020</v>
      </c>
      <c r="C6328" s="56" t="n">
        <v>6</v>
      </c>
      <c r="D6328" s="56" t="n">
        <v>54</v>
      </c>
      <c r="E6328" s="56" t="n">
        <v>32.6</v>
      </c>
      <c r="F6328" s="56" t="n">
        <v>0</v>
      </c>
      <c r="G6328" s="56" t="n">
        <v>11.8</v>
      </c>
      <c r="H6328" s="56" t="n">
        <v>0</v>
      </c>
      <c r="I6328" s="56" t="n">
        <v>20.2</v>
      </c>
      <c r="J6328" s="56" t="n">
        <v>0</v>
      </c>
      <c r="K6328" s="56" t="n">
        <v>1023.4</v>
      </c>
      <c r="L6328" s="56" t="n">
        <v>0</v>
      </c>
      <c r="M6328" s="56" t="n">
        <v>58</v>
      </c>
      <c r="N6328" s="56" t="n">
        <v>13.7</v>
      </c>
      <c r="O6328" s="56" t="n">
        <f aca="false">IF(D6328=1,"",E6327)</f>
        <v>28.6</v>
      </c>
      <c r="P6328" s="56" t="n">
        <f aca="false">IF(OR(D6328=1,K6327=""),"",K6327)</f>
        <v>1024.6</v>
      </c>
      <c r="Q6328" s="56" t="n">
        <f aca="false">IF(OR(F6328&lt;&gt;0,AND(I6328&lt;&gt;"",E6328&lt;I6328)),1,0)</f>
        <v>0</v>
      </c>
      <c r="R6328" s="56" t="n">
        <f aca="false">IF(AND(D6328&gt;1,Q6328=0,ISNUMBER(O6328),ISNUMBER(P6328)),IF(Q6327=0,1,0),0)</f>
        <v>1</v>
      </c>
      <c r="S6328" s="56" t="n">
        <f aca="false">R6328*(B6328&gt;=Train_Start)*(B6328&lt;=Train_End)</f>
        <v>0</v>
      </c>
      <c r="T6328" s="84" t="n">
        <f aca="false">IF(AND(ISNUMBER(O6328),ISNUMBER(P6328)),Coef_A+Coef_B1*O6328+Coef_B2*P6328,"")</f>
        <v>27.6616703850012</v>
      </c>
      <c r="U6328" s="84" t="n">
        <f aca="false">IF(AND(R6328=1,ISNUMBER(T6328)),E6328-T6328,"")</f>
        <v>4.93832961499877</v>
      </c>
      <c r="V6328" s="84" t="n">
        <f aca="false">IF(ISNUMBER(T6328),T6328,-99)</f>
        <v>27.6616703850012</v>
      </c>
      <c r="W6328" s="84" t="n">
        <f aca="false">IF(ISNUMBER(U6328),ABS(U6328),"")</f>
        <v>4.93832961499877</v>
      </c>
    </row>
    <row r="6329" customFormat="false" ht="15" hidden="false" customHeight="false" outlineLevel="0" collapsed="false">
      <c r="A6329" s="57" t="n">
        <v>44006</v>
      </c>
      <c r="B6329" s="56" t="n">
        <v>2020</v>
      </c>
      <c r="C6329" s="56" t="n">
        <v>6</v>
      </c>
      <c r="D6329" s="56" t="n">
        <v>55</v>
      </c>
      <c r="E6329" s="56" t="n">
        <v>33.4</v>
      </c>
      <c r="F6329" s="56" t="n">
        <v>0</v>
      </c>
      <c r="G6329" s="56" t="n">
        <v>16.7</v>
      </c>
      <c r="H6329" s="56" t="n">
        <v>0</v>
      </c>
      <c r="I6329" s="56" t="n">
        <v>24.6</v>
      </c>
      <c r="J6329" s="56" t="n">
        <v>0</v>
      </c>
      <c r="K6329" s="56" t="n">
        <v>1019.9</v>
      </c>
      <c r="L6329" s="56" t="n">
        <v>0</v>
      </c>
      <c r="M6329" s="56" t="n">
        <v>50</v>
      </c>
      <c r="N6329" s="56" t="n">
        <v>13.7</v>
      </c>
      <c r="O6329" s="56" t="n">
        <f aca="false">IF(D6329=1,"",E6328)</f>
        <v>32.6</v>
      </c>
      <c r="P6329" s="56" t="n">
        <f aca="false">IF(OR(D6329=1,K6328=""),"",K6328)</f>
        <v>1023.4</v>
      </c>
      <c r="Q6329" s="56" t="n">
        <f aca="false">IF(OR(F6329&lt;&gt;0,AND(I6329&lt;&gt;"",E6329&lt;I6329)),1,0)</f>
        <v>0</v>
      </c>
      <c r="R6329" s="56" t="n">
        <f aca="false">IF(AND(D6329&gt;1,Q6329=0,ISNUMBER(O6329),ISNUMBER(P6329)),IF(Q6328=0,1,0),0)</f>
        <v>1</v>
      </c>
      <c r="S6329" s="56" t="n">
        <f aca="false">R6329*(B6329&gt;=Train_Start)*(B6329&lt;=Train_End)</f>
        <v>0</v>
      </c>
      <c r="T6329" s="84" t="n">
        <f aca="false">IF(AND(ISNUMBER(O6329),ISNUMBER(P6329)),Coef_A+Coef_B1*O6329+Coef_B2*P6329,"")</f>
        <v>30.9013832836111</v>
      </c>
      <c r="U6329" s="84" t="n">
        <f aca="false">IF(AND(R6329=1,ISNUMBER(T6329)),E6329-T6329,"")</f>
        <v>2.49861671638892</v>
      </c>
      <c r="V6329" s="84" t="n">
        <f aca="false">IF(ISNUMBER(T6329),T6329,-99)</f>
        <v>30.9013832836111</v>
      </c>
      <c r="W6329" s="84" t="n">
        <f aca="false">IF(ISNUMBER(U6329),ABS(U6329),"")</f>
        <v>2.49861671638892</v>
      </c>
    </row>
    <row r="6330" customFormat="false" ht="15" hidden="false" customHeight="false" outlineLevel="0" collapsed="false">
      <c r="A6330" s="57" t="n">
        <v>44007</v>
      </c>
      <c r="B6330" s="56" t="n">
        <v>2020</v>
      </c>
      <c r="C6330" s="56" t="n">
        <v>6</v>
      </c>
      <c r="D6330" s="56" t="n">
        <v>56</v>
      </c>
      <c r="E6330" s="56" t="n">
        <v>31</v>
      </c>
      <c r="F6330" s="56" t="n">
        <v>0</v>
      </c>
      <c r="G6330" s="56" t="n">
        <v>18.3</v>
      </c>
      <c r="H6330" s="56" t="n">
        <v>0</v>
      </c>
      <c r="I6330" s="56" t="n">
        <v>25.9</v>
      </c>
      <c r="J6330" s="56" t="n">
        <v>0</v>
      </c>
      <c r="K6330" s="56" t="n">
        <v>1015</v>
      </c>
      <c r="L6330" s="56" t="n">
        <v>0</v>
      </c>
      <c r="M6330" s="56" t="n">
        <v>48</v>
      </c>
      <c r="N6330" s="56" t="n">
        <v>13.7</v>
      </c>
      <c r="O6330" s="56" t="n">
        <f aca="false">IF(D6330=1,"",E6329)</f>
        <v>33.4</v>
      </c>
      <c r="P6330" s="56" t="n">
        <f aca="false">IF(OR(D6330=1,K6329=""),"",K6329)</f>
        <v>1019.9</v>
      </c>
      <c r="Q6330" s="56" t="n">
        <f aca="false">IF(OR(F6330&lt;&gt;0,AND(I6330&lt;&gt;"",E6330&lt;I6330)),1,0)</f>
        <v>0</v>
      </c>
      <c r="R6330" s="56" t="n">
        <f aca="false">IF(AND(D6330&gt;1,Q6330=0,ISNUMBER(O6330),ISNUMBER(P6330)),IF(Q6329=0,1,0),0)</f>
        <v>1</v>
      </c>
      <c r="S6330" s="56" t="n">
        <f aca="false">R6330*(B6330&gt;=Train_Start)*(B6330&lt;=Train_End)</f>
        <v>0</v>
      </c>
      <c r="T6330" s="84" t="n">
        <f aca="false">IF(AND(ISNUMBER(O6330),ISNUMBER(P6330)),Coef_A+Coef_B1*O6330+Coef_B2*P6330,"")</f>
        <v>31.4470600068262</v>
      </c>
      <c r="U6330" s="84" t="n">
        <f aca="false">IF(AND(R6330=1,ISNUMBER(T6330)),E6330-T6330,"")</f>
        <v>-0.447060006826238</v>
      </c>
      <c r="V6330" s="84" t="n">
        <f aca="false">IF(ISNUMBER(T6330),T6330,-99)</f>
        <v>31.4470600068262</v>
      </c>
      <c r="W6330" s="84" t="n">
        <f aca="false">IF(ISNUMBER(U6330),ABS(U6330),"")</f>
        <v>0.447060006826238</v>
      </c>
    </row>
    <row r="6331" customFormat="false" ht="15" hidden="false" customHeight="false" outlineLevel="0" collapsed="false">
      <c r="A6331" s="57" t="n">
        <v>44008</v>
      </c>
      <c r="B6331" s="56" t="n">
        <v>2020</v>
      </c>
      <c r="C6331" s="56" t="n">
        <v>6</v>
      </c>
      <c r="D6331" s="56" t="n">
        <v>57</v>
      </c>
      <c r="E6331" s="56" t="n">
        <v>21.4</v>
      </c>
      <c r="F6331" s="56" t="n">
        <v>1</v>
      </c>
      <c r="G6331" s="56" t="n">
        <v>19.4</v>
      </c>
      <c r="H6331" s="56" t="n">
        <v>0</v>
      </c>
      <c r="I6331" s="56" t="n">
        <v>25.2</v>
      </c>
      <c r="J6331" s="56" t="n">
        <v>1</v>
      </c>
      <c r="K6331" s="56" t="n">
        <v>1008.8</v>
      </c>
      <c r="L6331" s="56" t="n">
        <v>0</v>
      </c>
      <c r="M6331" s="56" t="n">
        <v>59</v>
      </c>
      <c r="N6331" s="56" t="n">
        <v>10.9</v>
      </c>
      <c r="O6331" s="56" t="n">
        <f aca="false">IF(D6331=1,"",E6330)</f>
        <v>31</v>
      </c>
      <c r="P6331" s="56" t="n">
        <f aca="false">IF(OR(D6331=1,K6330=""),"",K6330)</f>
        <v>1015</v>
      </c>
      <c r="Q6331" s="56" t="n">
        <f aca="false">IF(OR(F6331&lt;&gt;0,AND(I6331&lt;&gt;"",E6331&lt;I6331)),1,0)</f>
        <v>1</v>
      </c>
      <c r="R6331" s="56" t="n">
        <f aca="false">IF(AND(D6331&gt;1,Q6331=0,ISNUMBER(O6331),ISNUMBER(P6331)),IF(Q6330=0,1,0),0)</f>
        <v>0</v>
      </c>
      <c r="S6331" s="56" t="n">
        <f aca="false">R6331*(B6331&gt;=Train_Start)*(B6331&lt;=Train_End)</f>
        <v>0</v>
      </c>
      <c r="T6331" s="84" t="n">
        <f aca="false">IF(AND(ISNUMBER(O6331),ISNUMBER(P6331)),Coef_A+Coef_B1*O6331+Coef_B2*P6331,"")</f>
        <v>29.3269334598173</v>
      </c>
      <c r="U6331" s="84" t="str">
        <f aca="false">IF(AND(R6331=1,ISNUMBER(T6331)),E6331-T6331,"")</f>
        <v/>
      </c>
      <c r="V6331" s="84" t="n">
        <f aca="false">IF(ISNUMBER(T6331),T6331,-99)</f>
        <v>29.3269334598173</v>
      </c>
      <c r="W6331" s="84" t="str">
        <f aca="false">IF(ISNUMBER(U6331),ABS(U6331),"")</f>
        <v/>
      </c>
    </row>
    <row r="6332" customFormat="false" ht="15" hidden="false" customHeight="false" outlineLevel="0" collapsed="false">
      <c r="A6332" s="57" t="n">
        <v>44009</v>
      </c>
      <c r="B6332" s="56" t="n">
        <v>2020</v>
      </c>
      <c r="C6332" s="56" t="n">
        <v>6</v>
      </c>
      <c r="D6332" s="56" t="n">
        <v>58</v>
      </c>
      <c r="E6332" s="56" t="n">
        <v>22</v>
      </c>
      <c r="F6332" s="56" t="n">
        <v>0</v>
      </c>
      <c r="G6332" s="56" t="n">
        <v>15.3</v>
      </c>
      <c r="H6332" s="56" t="n">
        <v>0</v>
      </c>
      <c r="I6332" s="56" t="n">
        <v>18.4</v>
      </c>
      <c r="J6332" s="56" t="n">
        <v>0</v>
      </c>
      <c r="K6332" s="56" t="n">
        <v>1005.1</v>
      </c>
      <c r="L6332" s="56" t="n">
        <v>0</v>
      </c>
      <c r="M6332" s="56" t="n">
        <v>78</v>
      </c>
      <c r="N6332" s="56" t="n">
        <v>2.1</v>
      </c>
      <c r="O6332" s="56" t="n">
        <f aca="false">IF(D6332=1,"",E6331)</f>
        <v>21.4</v>
      </c>
      <c r="P6332" s="56" t="n">
        <f aca="false">IF(OR(D6332=1,K6331=""),"",K6331)</f>
        <v>1008.8</v>
      </c>
      <c r="Q6332" s="56" t="n">
        <f aca="false">IF(OR(F6332&lt;&gt;0,AND(I6332&lt;&gt;"",E6332&lt;I6332)),1,0)</f>
        <v>0</v>
      </c>
      <c r="R6332" s="56" t="n">
        <f aca="false">IF(AND(D6332&gt;1,Q6332=0,ISNUMBER(O6332),ISNUMBER(P6332)),IF(Q6331=0,1,0),0)</f>
        <v>0</v>
      </c>
      <c r="S6332" s="56" t="n">
        <f aca="false">R6332*(B6332&gt;=Train_Start)*(B6332&lt;=Train_End)</f>
        <v>0</v>
      </c>
      <c r="T6332" s="84" t="n">
        <f aca="false">IF(AND(ISNUMBER(O6332),ISNUMBER(P6332)),Coef_A+Coef_B1*O6332+Coef_B2*P6332,"")</f>
        <v>21.2667838598771</v>
      </c>
      <c r="U6332" s="84" t="str">
        <f aca="false">IF(AND(R6332=1,ISNUMBER(T6332)),E6332-T6332,"")</f>
        <v/>
      </c>
      <c r="V6332" s="84" t="n">
        <f aca="false">IF(ISNUMBER(T6332),T6332,-99)</f>
        <v>21.2667838598771</v>
      </c>
      <c r="W6332" s="84" t="str">
        <f aca="false">IF(ISNUMBER(U6332),ABS(U6332),"")</f>
        <v/>
      </c>
    </row>
    <row r="6333" customFormat="false" ht="15" hidden="false" customHeight="false" outlineLevel="0" collapsed="false">
      <c r="A6333" s="57" t="n">
        <v>44010</v>
      </c>
      <c r="B6333" s="56" t="n">
        <v>2020</v>
      </c>
      <c r="C6333" s="56" t="n">
        <v>6</v>
      </c>
      <c r="D6333" s="56" t="n">
        <v>59</v>
      </c>
      <c r="E6333" s="56" t="n">
        <v>21.7</v>
      </c>
      <c r="F6333" s="56" t="n">
        <v>0</v>
      </c>
      <c r="G6333" s="56" t="n">
        <v>12.3</v>
      </c>
      <c r="H6333" s="56" t="n">
        <v>0</v>
      </c>
      <c r="I6333" s="56" t="n">
        <v>17.1</v>
      </c>
      <c r="J6333" s="56" t="n">
        <v>0</v>
      </c>
      <c r="K6333" s="56" t="n">
        <v>1009.4</v>
      </c>
      <c r="L6333" s="56" t="n">
        <v>0</v>
      </c>
      <c r="M6333" s="56" t="n">
        <v>64</v>
      </c>
      <c r="N6333" s="56" t="n">
        <v>6.8</v>
      </c>
      <c r="O6333" s="56" t="n">
        <f aca="false">IF(D6333=1,"",E6332)</f>
        <v>22</v>
      </c>
      <c r="P6333" s="56" t="n">
        <f aca="false">IF(OR(D6333=1,K6332=""),"",K6332)</f>
        <v>1005.1</v>
      </c>
      <c r="Q6333" s="56" t="n">
        <f aca="false">IF(OR(F6333&lt;&gt;0,AND(I6333&lt;&gt;"",E6333&lt;I6333)),1,0)</f>
        <v>0</v>
      </c>
      <c r="R6333" s="56" t="n">
        <f aca="false">IF(AND(D6333&gt;1,Q6333=0,ISNUMBER(O6333),ISNUMBER(P6333)),IF(Q6332=0,1,0),0)</f>
        <v>1</v>
      </c>
      <c r="S6333" s="56" t="n">
        <f aca="false">R6333*(B6333&gt;=Train_Start)*(B6333&lt;=Train_End)</f>
        <v>0</v>
      </c>
      <c r="T6333" s="84" t="n">
        <f aca="false">IF(AND(ISNUMBER(O6333),ISNUMBER(P6333)),Coef_A+Coef_B1*O6333+Coef_B2*P6333,"")</f>
        <v>21.6423187655569</v>
      </c>
      <c r="U6333" s="84" t="n">
        <f aca="false">IF(AND(R6333=1,ISNUMBER(T6333)),E6333-T6333,"")</f>
        <v>0.0576812344430948</v>
      </c>
      <c r="V6333" s="84" t="n">
        <f aca="false">IF(ISNUMBER(T6333),T6333,-99)</f>
        <v>21.6423187655569</v>
      </c>
      <c r="W6333" s="84" t="n">
        <f aca="false">IF(ISNUMBER(U6333),ABS(U6333),"")</f>
        <v>0.0576812344430948</v>
      </c>
    </row>
    <row r="6334" customFormat="false" ht="15" hidden="false" customHeight="false" outlineLevel="0" collapsed="false">
      <c r="A6334" s="57" t="n">
        <v>44011</v>
      </c>
      <c r="B6334" s="56" t="n">
        <v>2020</v>
      </c>
      <c r="C6334" s="56" t="n">
        <v>6</v>
      </c>
      <c r="D6334" s="56" t="n">
        <v>60</v>
      </c>
      <c r="E6334" s="56" t="n">
        <v>20.1</v>
      </c>
      <c r="F6334" s="56" t="n">
        <v>0</v>
      </c>
      <c r="G6334" s="56" t="n">
        <v>12.2</v>
      </c>
      <c r="H6334" s="56" t="n">
        <v>0</v>
      </c>
      <c r="I6334" s="56" t="n">
        <v>16.9</v>
      </c>
      <c r="J6334" s="56" t="n">
        <v>0</v>
      </c>
      <c r="K6334" s="56" t="n">
        <v>1009.8</v>
      </c>
      <c r="L6334" s="56" t="n">
        <v>0</v>
      </c>
      <c r="M6334" s="56" t="n">
        <v>60</v>
      </c>
      <c r="N6334" s="56" t="n">
        <v>1.9</v>
      </c>
      <c r="O6334" s="56" t="n">
        <f aca="false">IF(D6334=1,"",E6333)</f>
        <v>21.7</v>
      </c>
      <c r="P6334" s="56" t="n">
        <f aca="false">IF(OR(D6334=1,K6333=""),"",K6333)</f>
        <v>1009.4</v>
      </c>
      <c r="Q6334" s="56" t="n">
        <f aca="false">IF(OR(F6334&lt;&gt;0,AND(I6334&lt;&gt;"",E6334&lt;I6334)),1,0)</f>
        <v>0</v>
      </c>
      <c r="R6334" s="56" t="n">
        <f aca="false">IF(AND(D6334&gt;1,Q6334=0,ISNUMBER(O6334),ISNUMBER(P6334)),IF(Q6333=0,1,0),0)</f>
        <v>1</v>
      </c>
      <c r="S6334" s="56" t="n">
        <f aca="false">R6334*(B6334&gt;=Train_Start)*(B6334&lt;=Train_End)</f>
        <v>0</v>
      </c>
      <c r="T6334" s="84" t="n">
        <f aca="false">IF(AND(ISNUMBER(O6334),ISNUMBER(P6334)),Coef_A+Coef_B1*O6334+Coef_B2*P6334,"")</f>
        <v>21.5314075545703</v>
      </c>
      <c r="U6334" s="84" t="n">
        <f aca="false">IF(AND(R6334=1,ISNUMBER(T6334)),E6334-T6334,"")</f>
        <v>-1.43140755457026</v>
      </c>
      <c r="V6334" s="84" t="n">
        <f aca="false">IF(ISNUMBER(T6334),T6334,-99)</f>
        <v>21.5314075545703</v>
      </c>
      <c r="W6334" s="84" t="n">
        <f aca="false">IF(ISNUMBER(U6334),ABS(U6334),"")</f>
        <v>1.43140755457026</v>
      </c>
    </row>
    <row r="6335" customFormat="false" ht="15" hidden="false" customHeight="false" outlineLevel="0" collapsed="false">
      <c r="A6335" s="57" t="n">
        <v>44012</v>
      </c>
      <c r="B6335" s="56" t="n">
        <v>2020</v>
      </c>
      <c r="C6335" s="56" t="n">
        <v>6</v>
      </c>
      <c r="D6335" s="56" t="n">
        <v>61</v>
      </c>
      <c r="E6335" s="56" t="n">
        <v>22.6</v>
      </c>
      <c r="F6335" s="56" t="n">
        <v>0</v>
      </c>
      <c r="G6335" s="56" t="n">
        <v>12.8</v>
      </c>
      <c r="H6335" s="56" t="n">
        <v>0</v>
      </c>
      <c r="I6335" s="56" t="n">
        <v>16.4</v>
      </c>
      <c r="J6335" s="56" t="n">
        <v>0</v>
      </c>
      <c r="K6335" s="56" t="n">
        <v>1007.2</v>
      </c>
      <c r="L6335" s="56" t="n">
        <v>0</v>
      </c>
      <c r="M6335" s="56" t="n">
        <v>77</v>
      </c>
      <c r="N6335" s="56" t="n">
        <v>0.1</v>
      </c>
      <c r="O6335" s="56" t="n">
        <f aca="false">IF(D6335=1,"",E6334)</f>
        <v>20.1</v>
      </c>
      <c r="P6335" s="56" t="n">
        <f aca="false">IF(OR(D6335=1,K6334=""),"",K6334)</f>
        <v>1009.8</v>
      </c>
      <c r="Q6335" s="56" t="n">
        <f aca="false">IF(OR(F6335&lt;&gt;0,AND(I6335&lt;&gt;"",E6335&lt;I6335)),1,0)</f>
        <v>0</v>
      </c>
      <c r="R6335" s="56" t="n">
        <f aca="false">IF(AND(D6335&gt;1,Q6335=0,ISNUMBER(O6335),ISNUMBER(P6335)),IF(Q6334=0,1,0),0)</f>
        <v>1</v>
      </c>
      <c r="S6335" s="56" t="n">
        <f aca="false">R6335*(B6335&gt;=Train_Start)*(B6335&lt;=Train_End)</f>
        <v>0</v>
      </c>
      <c r="T6335" s="84" t="n">
        <f aca="false">IF(AND(ISNUMBER(O6335),ISNUMBER(P6335)),Coef_A+Coef_B1*O6335+Coef_B2*P6335,"")</f>
        <v>20.2330128035556</v>
      </c>
      <c r="U6335" s="84" t="n">
        <f aca="false">IF(AND(R6335=1,ISNUMBER(T6335)),E6335-T6335,"")</f>
        <v>2.3669871964444</v>
      </c>
      <c r="V6335" s="84" t="n">
        <f aca="false">IF(ISNUMBER(T6335),T6335,-99)</f>
        <v>20.2330128035556</v>
      </c>
      <c r="W6335" s="84" t="n">
        <f aca="false">IF(ISNUMBER(U6335),ABS(U6335),"")</f>
        <v>2.3669871964444</v>
      </c>
    </row>
    <row r="6336" customFormat="false" ht="15" hidden="false" customHeight="false" outlineLevel="0" collapsed="false">
      <c r="A6336" s="57" t="n">
        <v>44013</v>
      </c>
      <c r="B6336" s="56" t="n">
        <v>2020</v>
      </c>
      <c r="C6336" s="56" t="n">
        <v>7</v>
      </c>
      <c r="D6336" s="56" t="n">
        <v>62</v>
      </c>
      <c r="E6336" s="56" t="n">
        <v>22.5</v>
      </c>
      <c r="F6336" s="56" t="n">
        <v>0</v>
      </c>
      <c r="G6336" s="56" t="n">
        <v>13.7</v>
      </c>
      <c r="H6336" s="56" t="n">
        <v>0</v>
      </c>
      <c r="I6336" s="56" t="n">
        <v>18.1</v>
      </c>
      <c r="J6336" s="56" t="n">
        <v>0</v>
      </c>
      <c r="K6336" s="56" t="n">
        <v>1005.8</v>
      </c>
      <c r="L6336" s="56" t="n">
        <v>0</v>
      </c>
      <c r="M6336" s="56" t="n">
        <v>76</v>
      </c>
      <c r="N6336" s="56" t="n">
        <v>3</v>
      </c>
      <c r="O6336" s="56" t="n">
        <f aca="false">IF(D6336=1,"",E6335)</f>
        <v>22.6</v>
      </c>
      <c r="P6336" s="56" t="n">
        <f aca="false">IF(OR(D6336=1,K6335=""),"",K6335)</f>
        <v>1007.2</v>
      </c>
      <c r="Q6336" s="56" t="n">
        <f aca="false">IF(OR(F6336&lt;&gt;0,AND(I6336&lt;&gt;"",E6336&lt;I6336)),1,0)</f>
        <v>0</v>
      </c>
      <c r="R6336" s="56" t="n">
        <f aca="false">IF(AND(D6336&gt;1,Q6336=0,ISNUMBER(O6336),ISNUMBER(P6336)),IF(Q6335=0,1,0),0)</f>
        <v>1</v>
      </c>
      <c r="S6336" s="56" t="n">
        <f aca="false">R6336*(B6336&gt;=Train_Start)*(B6336&lt;=Train_End)</f>
        <v>0</v>
      </c>
      <c r="T6336" s="84" t="n">
        <f aca="false">IF(AND(ISNUMBER(O6336),ISNUMBER(P6336)),Coef_A+Coef_B1*O6336+Coef_B2*P6336,"")</f>
        <v>22.1997990601139</v>
      </c>
      <c r="U6336" s="84" t="n">
        <f aca="false">IF(AND(R6336=1,ISNUMBER(T6336)),E6336-T6336,"")</f>
        <v>0.300200939886121</v>
      </c>
      <c r="V6336" s="84" t="n">
        <f aca="false">IF(ISNUMBER(T6336),T6336,-99)</f>
        <v>22.1997990601139</v>
      </c>
      <c r="W6336" s="84" t="n">
        <f aca="false">IF(ISNUMBER(U6336),ABS(U6336),"")</f>
        <v>0.300200939886121</v>
      </c>
    </row>
    <row r="6337" customFormat="false" ht="15" hidden="false" customHeight="false" outlineLevel="0" collapsed="false">
      <c r="A6337" s="57" t="n">
        <v>44014</v>
      </c>
      <c r="B6337" s="56" t="n">
        <v>2020</v>
      </c>
      <c r="C6337" s="56" t="n">
        <v>7</v>
      </c>
      <c r="D6337" s="56" t="n">
        <v>63</v>
      </c>
      <c r="E6337" s="56" t="n">
        <v>22.5</v>
      </c>
      <c r="F6337" s="56" t="n">
        <v>0</v>
      </c>
      <c r="G6337" s="56" t="n">
        <v>11.9</v>
      </c>
      <c r="H6337" s="56" t="n">
        <v>0</v>
      </c>
      <c r="I6337" s="56" t="n">
        <v>17.2</v>
      </c>
      <c r="J6337" s="56" t="n">
        <v>0</v>
      </c>
      <c r="K6337" s="56" t="n">
        <v>1011.4</v>
      </c>
      <c r="L6337" s="56" t="n">
        <v>0</v>
      </c>
      <c r="M6337" s="56" t="n">
        <v>75</v>
      </c>
      <c r="N6337" s="56" t="n">
        <v>5.3</v>
      </c>
      <c r="O6337" s="56" t="n">
        <f aca="false">IF(D6337=1,"",E6336)</f>
        <v>22.5</v>
      </c>
      <c r="P6337" s="56" t="n">
        <f aca="false">IF(OR(D6337=1,K6336=""),"",K6336)</f>
        <v>1005.8</v>
      </c>
      <c r="Q6337" s="56" t="n">
        <f aca="false">IF(OR(F6337&lt;&gt;0,AND(I6337&lt;&gt;"",E6337&lt;I6337)),1,0)</f>
        <v>0</v>
      </c>
      <c r="R6337" s="56" t="n">
        <f aca="false">IF(AND(D6337&gt;1,Q6337=0,ISNUMBER(O6337),ISNUMBER(P6337)),IF(Q6336=0,1,0),0)</f>
        <v>1</v>
      </c>
      <c r="S6337" s="56" t="n">
        <f aca="false">R6337*(B6337&gt;=Train_Start)*(B6337&lt;=Train_End)</f>
        <v>0</v>
      </c>
      <c r="T6337" s="84" t="n">
        <f aca="false">IF(AND(ISNUMBER(O6337),ISNUMBER(P6337)),Coef_A+Coef_B1*O6337+Coef_B2*P6337,"")</f>
        <v>22.073947288322</v>
      </c>
      <c r="U6337" s="84" t="n">
        <f aca="false">IF(AND(R6337=1,ISNUMBER(T6337)),E6337-T6337,"")</f>
        <v>0.426052711677976</v>
      </c>
      <c r="V6337" s="84" t="n">
        <f aca="false">IF(ISNUMBER(T6337),T6337,-99)</f>
        <v>22.073947288322</v>
      </c>
      <c r="W6337" s="84" t="n">
        <f aca="false">IF(ISNUMBER(U6337),ABS(U6337),"")</f>
        <v>0.426052711677976</v>
      </c>
    </row>
    <row r="6338" customFormat="false" ht="15" hidden="false" customHeight="false" outlineLevel="0" collapsed="false">
      <c r="A6338" s="57" t="n">
        <v>44015</v>
      </c>
      <c r="B6338" s="56" t="n">
        <v>2020</v>
      </c>
      <c r="C6338" s="56" t="n">
        <v>7</v>
      </c>
      <c r="D6338" s="56" t="n">
        <v>64</v>
      </c>
      <c r="E6338" s="56" t="n">
        <v>21.4</v>
      </c>
      <c r="F6338" s="56" t="n">
        <v>0</v>
      </c>
      <c r="G6338" s="56" t="n">
        <v>12.1</v>
      </c>
      <c r="H6338" s="56" t="n">
        <v>0</v>
      </c>
      <c r="I6338" s="56" t="n">
        <v>17.3</v>
      </c>
      <c r="J6338" s="56" t="n">
        <v>0</v>
      </c>
      <c r="K6338" s="56" t="n">
        <v>1015.7</v>
      </c>
      <c r="L6338" s="56" t="n">
        <v>0</v>
      </c>
      <c r="M6338" s="56" t="n">
        <v>72</v>
      </c>
      <c r="N6338" s="56" t="n">
        <v>5</v>
      </c>
      <c r="O6338" s="56" t="n">
        <f aca="false">IF(D6338=1,"",E6337)</f>
        <v>22.5</v>
      </c>
      <c r="P6338" s="56" t="n">
        <f aca="false">IF(OR(D6338=1,K6337=""),"",K6337)</f>
        <v>1011.4</v>
      </c>
      <c r="Q6338" s="56" t="n">
        <f aca="false">IF(OR(F6338&lt;&gt;0,AND(I6338&lt;&gt;"",E6338&lt;I6338)),1,0)</f>
        <v>0</v>
      </c>
      <c r="R6338" s="56" t="n">
        <f aca="false">IF(AND(D6338&gt;1,Q6338=0,ISNUMBER(O6338),ISNUMBER(P6338)),IF(Q6337=0,1,0),0)</f>
        <v>1</v>
      </c>
      <c r="S6338" s="56" t="n">
        <f aca="false">R6338*(B6338&gt;=Train_Start)*(B6338&lt;=Train_End)</f>
        <v>0</v>
      </c>
      <c r="T6338" s="84" t="n">
        <f aca="false">IF(AND(ISNUMBER(O6338),ISNUMBER(P6338)),Coef_A+Coef_B1*O6338+Coef_B2*P6338,"")</f>
        <v>22.2496186982724</v>
      </c>
      <c r="U6338" s="84" t="n">
        <f aca="false">IF(AND(R6338=1,ISNUMBER(T6338)),E6338-T6338,"")</f>
        <v>-0.849618698272366</v>
      </c>
      <c r="V6338" s="84" t="n">
        <f aca="false">IF(ISNUMBER(T6338),T6338,-99)</f>
        <v>22.2496186982724</v>
      </c>
      <c r="W6338" s="84" t="n">
        <f aca="false">IF(ISNUMBER(U6338),ABS(U6338),"")</f>
        <v>0.849618698272366</v>
      </c>
    </row>
    <row r="6339" customFormat="false" ht="15" hidden="false" customHeight="false" outlineLevel="0" collapsed="false">
      <c r="A6339" s="57" t="n">
        <v>44016</v>
      </c>
      <c r="B6339" s="56" t="n">
        <v>2020</v>
      </c>
      <c r="C6339" s="56" t="n">
        <v>7</v>
      </c>
      <c r="D6339" s="56" t="n">
        <v>65</v>
      </c>
      <c r="E6339" s="56" t="n">
        <v>23</v>
      </c>
      <c r="F6339" s="56" t="n">
        <v>0</v>
      </c>
      <c r="G6339" s="56" t="n">
        <v>14.5</v>
      </c>
      <c r="H6339" s="56" t="n">
        <v>0</v>
      </c>
      <c r="I6339" s="56" t="n">
        <v>17.9</v>
      </c>
      <c r="J6339" s="56" t="n">
        <v>0</v>
      </c>
      <c r="K6339" s="56" t="n">
        <v>1010.9</v>
      </c>
      <c r="L6339" s="56" t="n">
        <v>0</v>
      </c>
      <c r="M6339" s="56" t="n">
        <v>84</v>
      </c>
      <c r="N6339" s="56" t="n">
        <v>0.1</v>
      </c>
      <c r="O6339" s="56" t="n">
        <f aca="false">IF(D6339=1,"",E6338)</f>
        <v>21.4</v>
      </c>
      <c r="P6339" s="56" t="n">
        <f aca="false">IF(OR(D6339=1,K6338=""),"",K6338)</f>
        <v>1015.7</v>
      </c>
      <c r="Q6339" s="56" t="n">
        <f aca="false">IF(OR(F6339&lt;&gt;0,AND(I6339&lt;&gt;"",E6339&lt;I6339)),1,0)</f>
        <v>0</v>
      </c>
      <c r="R6339" s="56" t="n">
        <f aca="false">IF(AND(D6339&gt;1,Q6339=0,ISNUMBER(O6339),ISNUMBER(P6339)),IF(Q6338=0,1,0),0)</f>
        <v>1</v>
      </c>
      <c r="S6339" s="56" t="n">
        <f aca="false">R6339*(B6339&gt;=Train_Start)*(B6339&lt;=Train_End)</f>
        <v>0</v>
      </c>
      <c r="T6339" s="84" t="n">
        <f aca="false">IF(AND(ISNUMBER(O6339),ISNUMBER(P6339)),Coef_A+Coef_B1*O6339+Coef_B2*P6339,"")</f>
        <v>21.4832361328516</v>
      </c>
      <c r="U6339" s="84" t="n">
        <f aca="false">IF(AND(R6339=1,ISNUMBER(T6339)),E6339-T6339,"")</f>
        <v>1.5167638671484</v>
      </c>
      <c r="V6339" s="84" t="n">
        <f aca="false">IF(ISNUMBER(T6339),T6339,-99)</f>
        <v>21.4832361328516</v>
      </c>
      <c r="W6339" s="84" t="n">
        <f aca="false">IF(ISNUMBER(U6339),ABS(U6339),"")</f>
        <v>1.5167638671484</v>
      </c>
    </row>
    <row r="6340" customFormat="false" ht="15" hidden="false" customHeight="false" outlineLevel="0" collapsed="false">
      <c r="A6340" s="57" t="n">
        <v>44017</v>
      </c>
      <c r="B6340" s="56" t="n">
        <v>2020</v>
      </c>
      <c r="C6340" s="56" t="n">
        <v>7</v>
      </c>
      <c r="D6340" s="56" t="n">
        <v>66</v>
      </c>
      <c r="E6340" s="56" t="n">
        <v>20.5</v>
      </c>
      <c r="F6340" s="56" t="n">
        <v>0</v>
      </c>
      <c r="G6340" s="56" t="n">
        <v>16.8</v>
      </c>
      <c r="H6340" s="56" t="n">
        <v>0</v>
      </c>
      <c r="I6340" s="56" t="n">
        <v>19.9</v>
      </c>
      <c r="J6340" s="56" t="n">
        <v>0</v>
      </c>
      <c r="K6340" s="56" t="n">
        <v>1011</v>
      </c>
      <c r="L6340" s="56" t="n">
        <v>0</v>
      </c>
      <c r="M6340" s="56" t="n">
        <v>60</v>
      </c>
      <c r="N6340" s="56" t="n">
        <v>9.4</v>
      </c>
      <c r="O6340" s="56" t="n">
        <f aca="false">IF(D6340=1,"",E6339)</f>
        <v>23</v>
      </c>
      <c r="P6340" s="56" t="n">
        <f aca="false">IF(OR(D6340=1,K6339=""),"",K6339)</f>
        <v>1010.9</v>
      </c>
      <c r="Q6340" s="56" t="n">
        <f aca="false">IF(OR(F6340&lt;&gt;0,AND(I6340&lt;&gt;"",E6340&lt;I6340)),1,0)</f>
        <v>0</v>
      </c>
      <c r="R6340" s="56" t="n">
        <f aca="false">IF(AND(D6340&gt;1,Q6340=0,ISNUMBER(O6340),ISNUMBER(P6340)),IF(Q6339=0,1,0),0)</f>
        <v>1</v>
      </c>
      <c r="S6340" s="56" t="n">
        <f aca="false">R6340*(B6340&gt;=Train_Start)*(B6340&lt;=Train_End)</f>
        <v>0</v>
      </c>
      <c r="T6340" s="84" t="n">
        <f aca="false">IF(AND(ISNUMBER(O6340),ISNUMBER(P6340)),Coef_A+Coef_B1*O6340+Coef_B2*P6340,"")</f>
        <v>22.6436033474767</v>
      </c>
      <c r="U6340" s="84" t="n">
        <f aca="false">IF(AND(R6340=1,ISNUMBER(T6340)),E6340-T6340,"")</f>
        <v>-2.1436033474767</v>
      </c>
      <c r="V6340" s="84" t="n">
        <f aca="false">IF(ISNUMBER(T6340),T6340,-99)</f>
        <v>22.6436033474767</v>
      </c>
      <c r="W6340" s="84" t="n">
        <f aca="false">IF(ISNUMBER(U6340),ABS(U6340),"")</f>
        <v>2.1436033474767</v>
      </c>
    </row>
    <row r="6341" customFormat="false" ht="15" hidden="false" customHeight="false" outlineLevel="0" collapsed="false">
      <c r="A6341" s="57" t="n">
        <v>44018</v>
      </c>
      <c r="B6341" s="56" t="n">
        <v>2020</v>
      </c>
      <c r="C6341" s="56" t="n">
        <v>7</v>
      </c>
      <c r="D6341" s="56" t="n">
        <v>67</v>
      </c>
      <c r="E6341" s="56" t="n">
        <v>22.6</v>
      </c>
      <c r="F6341" s="56" t="n">
        <v>0</v>
      </c>
      <c r="G6341" s="56" t="n">
        <v>11.4</v>
      </c>
      <c r="H6341" s="56" t="n">
        <v>0</v>
      </c>
      <c r="I6341" s="56" t="n">
        <v>15.9</v>
      </c>
      <c r="J6341" s="56" t="n">
        <v>0</v>
      </c>
      <c r="K6341" s="56" t="n">
        <v>1019.4</v>
      </c>
      <c r="L6341" s="56" t="n">
        <v>0</v>
      </c>
      <c r="M6341" s="56" t="n">
        <v>59</v>
      </c>
      <c r="N6341" s="56" t="n">
        <v>4.1</v>
      </c>
      <c r="O6341" s="56" t="n">
        <f aca="false">IF(D6341=1,"",E6340)</f>
        <v>20.5</v>
      </c>
      <c r="P6341" s="56" t="n">
        <f aca="false">IF(OR(D6341=1,K6340=""),"",K6340)</f>
        <v>1011</v>
      </c>
      <c r="Q6341" s="56" t="n">
        <f aca="false">IF(OR(F6341&lt;&gt;0,AND(I6341&lt;&gt;"",E6341&lt;I6341)),1,0)</f>
        <v>0</v>
      </c>
      <c r="R6341" s="56" t="n">
        <f aca="false">IF(AND(D6341&gt;1,Q6341=0,ISNUMBER(O6341),ISNUMBER(P6341)),IF(Q6340=0,1,0),0)</f>
        <v>1</v>
      </c>
      <c r="S6341" s="56" t="n">
        <f aca="false">R6341*(B6341&gt;=Train_Start)*(B6341&lt;=Train_End)</f>
        <v>0</v>
      </c>
      <c r="T6341" s="84" t="n">
        <f aca="false">IF(AND(ISNUMBER(O6341),ISNUMBER(P6341)),Coef_A+Coef_B1*O6341+Coef_B2*P6341,"")</f>
        <v>20.5983923543335</v>
      </c>
      <c r="U6341" s="84" t="n">
        <f aca="false">IF(AND(R6341=1,ISNUMBER(T6341)),E6341-T6341,"")</f>
        <v>2.00160764566655</v>
      </c>
      <c r="V6341" s="84" t="n">
        <f aca="false">IF(ISNUMBER(T6341),T6341,-99)</f>
        <v>20.5983923543335</v>
      </c>
      <c r="W6341" s="84" t="n">
        <f aca="false">IF(ISNUMBER(U6341),ABS(U6341),"")</f>
        <v>2.00160764566655</v>
      </c>
    </row>
    <row r="6342" customFormat="false" ht="15" hidden="false" customHeight="false" outlineLevel="0" collapsed="false">
      <c r="A6342" s="57" t="n">
        <v>44019</v>
      </c>
      <c r="B6342" s="56" t="n">
        <v>2020</v>
      </c>
      <c r="C6342" s="56" t="n">
        <v>7</v>
      </c>
      <c r="D6342" s="56" t="n">
        <v>68</v>
      </c>
      <c r="E6342" s="56" t="n">
        <v>20.4</v>
      </c>
      <c r="F6342" s="56" t="n">
        <v>0</v>
      </c>
      <c r="G6342" s="56" t="n">
        <v>11.3</v>
      </c>
      <c r="H6342" s="56" t="n">
        <v>0</v>
      </c>
      <c r="I6342" s="56" t="n">
        <v>16.9</v>
      </c>
      <c r="J6342" s="56" t="n">
        <v>0</v>
      </c>
      <c r="K6342" s="56" t="n">
        <v>1020</v>
      </c>
      <c r="L6342" s="56" t="n">
        <v>0</v>
      </c>
      <c r="M6342" s="56" t="n">
        <v>66</v>
      </c>
      <c r="N6342" s="56" t="n">
        <v>3.8</v>
      </c>
      <c r="O6342" s="56" t="n">
        <f aca="false">IF(D6342=1,"",E6341)</f>
        <v>22.6</v>
      </c>
      <c r="P6342" s="56" t="n">
        <f aca="false">IF(OR(D6342=1,K6341=""),"",K6341)</f>
        <v>1019.4</v>
      </c>
      <c r="Q6342" s="56" t="n">
        <f aca="false">IF(OR(F6342&lt;&gt;0,AND(I6342&lt;&gt;"",E6342&lt;I6342)),1,0)</f>
        <v>0</v>
      </c>
      <c r="R6342" s="56" t="n">
        <f aca="false">IF(AND(D6342&gt;1,Q6342=0,ISNUMBER(O6342),ISNUMBER(P6342)),IF(Q6341=0,1,0),0)</f>
        <v>1</v>
      </c>
      <c r="S6342" s="56" t="n">
        <f aca="false">R6342*(B6342&gt;=Train_Start)*(B6342&lt;=Train_End)</f>
        <v>0</v>
      </c>
      <c r="T6342" s="84" t="n">
        <f aca="false">IF(AND(ISNUMBER(O6342),ISNUMBER(P6342)),Coef_A+Coef_B1*O6342+Coef_B2*P6342,"")</f>
        <v>22.5825117746485</v>
      </c>
      <c r="U6342" s="84" t="n">
        <f aca="false">IF(AND(R6342=1,ISNUMBER(T6342)),E6342-T6342,"")</f>
        <v>-2.18251177464855</v>
      </c>
      <c r="V6342" s="84" t="n">
        <f aca="false">IF(ISNUMBER(T6342),T6342,-99)</f>
        <v>22.5825117746485</v>
      </c>
      <c r="W6342" s="84" t="n">
        <f aca="false">IF(ISNUMBER(U6342),ABS(U6342),"")</f>
        <v>2.18251177464855</v>
      </c>
    </row>
    <row r="6343" customFormat="false" ht="15" hidden="false" customHeight="false" outlineLevel="0" collapsed="false">
      <c r="A6343" s="57" t="n">
        <v>44020</v>
      </c>
      <c r="B6343" s="56" t="n">
        <v>2020</v>
      </c>
      <c r="C6343" s="56" t="n">
        <v>7</v>
      </c>
      <c r="D6343" s="56" t="n">
        <v>69</v>
      </c>
      <c r="E6343" s="56" t="n">
        <v>20.6</v>
      </c>
      <c r="F6343" s="56" t="n">
        <v>0</v>
      </c>
      <c r="G6343" s="56" t="n">
        <v>13.2</v>
      </c>
      <c r="H6343" s="56" t="n">
        <v>0</v>
      </c>
      <c r="I6343" s="56" t="n">
        <v>16.8</v>
      </c>
      <c r="J6343" s="56" t="n">
        <v>0</v>
      </c>
      <c r="K6343" s="56" t="n">
        <v>1014.7</v>
      </c>
      <c r="L6343" s="56" t="n">
        <v>0</v>
      </c>
      <c r="M6343" s="56" t="n">
        <v>93</v>
      </c>
      <c r="N6343" s="56" t="n">
        <v>0.1</v>
      </c>
      <c r="O6343" s="56" t="n">
        <f aca="false">IF(D6343=1,"",E6342)</f>
        <v>20.4</v>
      </c>
      <c r="P6343" s="56" t="n">
        <f aca="false">IF(OR(D6343=1,K6342=""),"",K6342)</f>
        <v>1020</v>
      </c>
      <c r="Q6343" s="56" t="n">
        <f aca="false">IF(OR(F6343&lt;&gt;0,AND(I6343&lt;&gt;"",E6343&lt;I6343)),1,0)</f>
        <v>0</v>
      </c>
      <c r="R6343" s="56" t="n">
        <f aca="false">IF(AND(D6343&gt;1,Q6343=0,ISNUMBER(O6343),ISNUMBER(P6343)),IF(Q6342=0,1,0),0)</f>
        <v>1</v>
      </c>
      <c r="S6343" s="56" t="n">
        <f aca="false">R6343*(B6343&gt;=Train_Start)*(B6343&lt;=Train_End)</f>
        <v>0</v>
      </c>
      <c r="T6343" s="84" t="n">
        <f aca="false">IF(AND(ISNUMBER(O6343),ISNUMBER(P6343)),Coef_A+Coef_B1*O6343+Coef_B2*P6343,"")</f>
        <v>20.7987874867351</v>
      </c>
      <c r="U6343" s="84" t="n">
        <f aca="false">IF(AND(R6343=1,ISNUMBER(T6343)),E6343-T6343,"")</f>
        <v>-0.198787486735089</v>
      </c>
      <c r="V6343" s="84" t="n">
        <f aca="false">IF(ISNUMBER(T6343),T6343,-99)</f>
        <v>20.7987874867351</v>
      </c>
      <c r="W6343" s="84" t="n">
        <f aca="false">IF(ISNUMBER(U6343),ABS(U6343),"")</f>
        <v>0.198787486735089</v>
      </c>
    </row>
    <row r="6344" customFormat="false" ht="15" hidden="false" customHeight="false" outlineLevel="0" collapsed="false">
      <c r="A6344" s="57" t="n">
        <v>44021</v>
      </c>
      <c r="B6344" s="56" t="n">
        <v>2020</v>
      </c>
      <c r="C6344" s="56" t="n">
        <v>7</v>
      </c>
      <c r="D6344" s="56" t="n">
        <v>70</v>
      </c>
      <c r="E6344" s="56" t="n">
        <v>19.7</v>
      </c>
      <c r="F6344" s="56" t="n">
        <v>0</v>
      </c>
      <c r="G6344" s="56" t="n">
        <v>15.7</v>
      </c>
      <c r="H6344" s="56" t="n">
        <v>0</v>
      </c>
      <c r="I6344" s="56" t="n">
        <v>18.1</v>
      </c>
      <c r="J6344" s="56" t="n">
        <v>0</v>
      </c>
      <c r="K6344" s="56" t="n">
        <v>1011.7</v>
      </c>
      <c r="L6344" s="56" t="n">
        <v>0</v>
      </c>
      <c r="M6344" s="56" t="n">
        <v>89</v>
      </c>
      <c r="N6344" s="56" t="n">
        <v>0</v>
      </c>
      <c r="O6344" s="56" t="n">
        <f aca="false">IF(D6344=1,"",E6343)</f>
        <v>20.6</v>
      </c>
      <c r="P6344" s="56" t="n">
        <f aca="false">IF(OR(D6344=1,K6343=""),"",K6343)</f>
        <v>1014.7</v>
      </c>
      <c r="Q6344" s="56" t="n">
        <f aca="false">IF(OR(F6344&lt;&gt;0,AND(I6344&lt;&gt;"",E6344&lt;I6344)),1,0)</f>
        <v>0</v>
      </c>
      <c r="R6344" s="56" t="n">
        <f aca="false">IF(AND(D6344&gt;1,Q6344=0,ISNUMBER(O6344),ISNUMBER(P6344)),IF(Q6343=0,1,0),0)</f>
        <v>1</v>
      </c>
      <c r="S6344" s="56" t="n">
        <f aca="false">R6344*(B6344&gt;=Train_Start)*(B6344&lt;=Train_End)</f>
        <v>0</v>
      </c>
      <c r="T6344" s="84" t="n">
        <f aca="false">IF(AND(ISNUMBER(O6344),ISNUMBER(P6344)),Coef_A+Coef_B1*O6344+Coef_B2*P6344,"")</f>
        <v>20.7963948837835</v>
      </c>
      <c r="U6344" s="84" t="n">
        <f aca="false">IF(AND(R6344=1,ISNUMBER(T6344)),E6344-T6344,"")</f>
        <v>-1.09639488378349</v>
      </c>
      <c r="V6344" s="84" t="n">
        <f aca="false">IF(ISNUMBER(T6344),T6344,-99)</f>
        <v>20.7963948837835</v>
      </c>
      <c r="W6344" s="84" t="n">
        <f aca="false">IF(ISNUMBER(U6344),ABS(U6344),"")</f>
        <v>1.09639488378349</v>
      </c>
    </row>
    <row r="6345" customFormat="false" ht="15" hidden="false" customHeight="false" outlineLevel="0" collapsed="false">
      <c r="A6345" s="57" t="n">
        <v>44022</v>
      </c>
      <c r="B6345" s="56" t="n">
        <v>2020</v>
      </c>
      <c r="C6345" s="56" t="n">
        <v>7</v>
      </c>
      <c r="D6345" s="56" t="n">
        <v>71</v>
      </c>
      <c r="E6345" s="56" t="n">
        <v>21.5</v>
      </c>
      <c r="F6345" s="56" t="n">
        <v>0</v>
      </c>
      <c r="G6345" s="56" t="n">
        <v>12.3</v>
      </c>
      <c r="H6345" s="56" t="n">
        <v>0</v>
      </c>
      <c r="I6345" s="56" t="n">
        <v>16</v>
      </c>
      <c r="J6345" s="56" t="n">
        <v>0</v>
      </c>
      <c r="K6345" s="56" t="n">
        <v>1018</v>
      </c>
      <c r="L6345" s="56" t="n">
        <v>0</v>
      </c>
      <c r="M6345" s="56" t="n">
        <v>66</v>
      </c>
      <c r="N6345" s="56" t="n">
        <v>4.8</v>
      </c>
      <c r="O6345" s="56" t="n">
        <f aca="false">IF(D6345=1,"",E6344)</f>
        <v>19.7</v>
      </c>
      <c r="P6345" s="56" t="n">
        <f aca="false">IF(OR(D6345=1,K6344=""),"",K6344)</f>
        <v>1011.7</v>
      </c>
      <c r="Q6345" s="56" t="n">
        <f aca="false">IF(OR(F6345&lt;&gt;0,AND(I6345&lt;&gt;"",E6345&lt;I6345)),1,0)</f>
        <v>0</v>
      </c>
      <c r="R6345" s="56" t="n">
        <f aca="false">IF(AND(D6345&gt;1,Q6345=0,ISNUMBER(O6345),ISNUMBER(P6345)),IF(Q6344=0,1,0),0)</f>
        <v>1</v>
      </c>
      <c r="S6345" s="56" t="n">
        <f aca="false">R6345*(B6345&gt;=Train_Start)*(B6345&lt;=Train_End)</f>
        <v>0</v>
      </c>
      <c r="T6345" s="84" t="n">
        <f aca="false">IF(AND(ISNUMBER(O6345),ISNUMBER(P6345)),Coef_A+Coef_B1*O6345+Coef_B2*P6345,"")</f>
        <v>19.9648799261431</v>
      </c>
      <c r="U6345" s="84" t="n">
        <f aca="false">IF(AND(R6345=1,ISNUMBER(T6345)),E6345-T6345,"")</f>
        <v>1.53512007385688</v>
      </c>
      <c r="V6345" s="84" t="n">
        <f aca="false">IF(ISNUMBER(T6345),T6345,-99)</f>
        <v>19.9648799261431</v>
      </c>
      <c r="W6345" s="84" t="n">
        <f aca="false">IF(ISNUMBER(U6345),ABS(U6345),"")</f>
        <v>1.53512007385688</v>
      </c>
    </row>
    <row r="6346" customFormat="false" ht="15" hidden="false" customHeight="false" outlineLevel="0" collapsed="false">
      <c r="A6346" s="57" t="n">
        <v>44023</v>
      </c>
      <c r="B6346" s="56" t="n">
        <v>2020</v>
      </c>
      <c r="C6346" s="56" t="n">
        <v>7</v>
      </c>
      <c r="D6346" s="56" t="n">
        <v>72</v>
      </c>
      <c r="E6346" s="56" t="n">
        <v>25.2</v>
      </c>
      <c r="F6346" s="56" t="n">
        <v>0</v>
      </c>
      <c r="G6346" s="56" t="n">
        <v>8.7</v>
      </c>
      <c r="H6346" s="56" t="n">
        <v>0</v>
      </c>
      <c r="I6346" s="56" t="n">
        <v>15.1</v>
      </c>
      <c r="J6346" s="56" t="n">
        <v>0</v>
      </c>
      <c r="K6346" s="56" t="n">
        <v>1026.5</v>
      </c>
      <c r="L6346" s="56" t="n">
        <v>0</v>
      </c>
      <c r="M6346" s="56" t="n">
        <v>56</v>
      </c>
      <c r="N6346" s="56" t="n">
        <v>9.4</v>
      </c>
      <c r="O6346" s="56" t="n">
        <f aca="false">IF(D6346=1,"",E6345)</f>
        <v>21.5</v>
      </c>
      <c r="P6346" s="56" t="n">
        <f aca="false">IF(OR(D6346=1,K6345=""),"",K6345)</f>
        <v>1018</v>
      </c>
      <c r="Q6346" s="56" t="n">
        <f aca="false">IF(OR(F6346&lt;&gt;0,AND(I6346&lt;&gt;"",E6346&lt;I6346)),1,0)</f>
        <v>0</v>
      </c>
      <c r="R6346" s="56" t="n">
        <f aca="false">IF(AND(D6346&gt;1,Q6346=0,ISNUMBER(O6346),ISNUMBER(P6346)),IF(Q6345=0,1,0),0)</f>
        <v>1</v>
      </c>
      <c r="S6346" s="56" t="n">
        <f aca="false">R6346*(B6346&gt;=Train_Start)*(B6346&lt;=Train_End)</f>
        <v>0</v>
      </c>
      <c r="T6346" s="84" t="n">
        <f aca="false">IF(AND(ISNUMBER(O6346),ISNUMBER(P6346)),Coef_A+Coef_B1*O6346+Coef_B2*P6346,"")</f>
        <v>21.637320809814</v>
      </c>
      <c r="U6346" s="84" t="n">
        <f aca="false">IF(AND(R6346=1,ISNUMBER(T6346)),E6346-T6346,"")</f>
        <v>3.56267919018596</v>
      </c>
      <c r="V6346" s="84" t="n">
        <f aca="false">IF(ISNUMBER(T6346),T6346,-99)</f>
        <v>21.637320809814</v>
      </c>
      <c r="W6346" s="84" t="n">
        <f aca="false">IF(ISNUMBER(U6346),ABS(U6346),"")</f>
        <v>3.56267919018596</v>
      </c>
    </row>
    <row r="6347" customFormat="false" ht="15" hidden="false" customHeight="false" outlineLevel="0" collapsed="false">
      <c r="A6347" s="57" t="n">
        <v>44024</v>
      </c>
      <c r="B6347" s="56" t="n">
        <v>2020</v>
      </c>
      <c r="C6347" s="56" t="n">
        <v>7</v>
      </c>
      <c r="D6347" s="56" t="n">
        <v>73</v>
      </c>
      <c r="E6347" s="56" t="n">
        <v>26.2</v>
      </c>
      <c r="F6347" s="56" t="n">
        <v>0</v>
      </c>
      <c r="G6347" s="56" t="n">
        <v>9.9</v>
      </c>
      <c r="H6347" s="56" t="n">
        <v>0</v>
      </c>
      <c r="I6347" s="56" t="n">
        <v>17.6</v>
      </c>
      <c r="J6347" s="56" t="n">
        <v>0</v>
      </c>
      <c r="K6347" s="56" t="n">
        <v>1027.7</v>
      </c>
      <c r="L6347" s="56" t="n">
        <v>0</v>
      </c>
      <c r="M6347" s="56" t="n">
        <v>53</v>
      </c>
      <c r="N6347" s="56" t="n">
        <v>12.9</v>
      </c>
      <c r="O6347" s="56" t="n">
        <f aca="false">IF(D6347=1,"",E6346)</f>
        <v>25.2</v>
      </c>
      <c r="P6347" s="56" t="n">
        <f aca="false">IF(OR(D6347=1,K6346=""),"",K6346)</f>
        <v>1026.5</v>
      </c>
      <c r="Q6347" s="56" t="n">
        <f aca="false">IF(OR(F6347&lt;&gt;0,AND(I6347&lt;&gt;"",E6347&lt;I6347)),1,0)</f>
        <v>0</v>
      </c>
      <c r="R6347" s="56" t="n">
        <f aca="false">IF(AND(D6347&gt;1,Q6347=0,ISNUMBER(O6347),ISNUMBER(P6347)),IF(Q6346=0,1,0),0)</f>
        <v>1</v>
      </c>
      <c r="S6347" s="56" t="n">
        <f aca="false">R6347*(B6347&gt;=Train_Start)*(B6347&lt;=Train_End)</f>
        <v>0</v>
      </c>
      <c r="T6347" s="84" t="n">
        <f aca="false">IF(AND(ISNUMBER(O6347),ISNUMBER(P6347)),Coef_A+Coef_B1*O6347+Coef_B2*P6347,"")</f>
        <v>24.9355199284608</v>
      </c>
      <c r="U6347" s="84" t="n">
        <f aca="false">IF(AND(R6347=1,ISNUMBER(T6347)),E6347-T6347,"")</f>
        <v>1.26448007153922</v>
      </c>
      <c r="V6347" s="84" t="n">
        <f aca="false">IF(ISNUMBER(T6347),T6347,-99)</f>
        <v>24.9355199284608</v>
      </c>
      <c r="W6347" s="84" t="n">
        <f aca="false">IF(ISNUMBER(U6347),ABS(U6347),"")</f>
        <v>1.26448007153922</v>
      </c>
    </row>
    <row r="6348" customFormat="false" ht="15" hidden="false" customHeight="false" outlineLevel="0" collapsed="false">
      <c r="A6348" s="57" t="n">
        <v>44025</v>
      </c>
      <c r="B6348" s="56" t="n">
        <v>2020</v>
      </c>
      <c r="C6348" s="56" t="n">
        <v>7</v>
      </c>
      <c r="D6348" s="56" t="n">
        <v>74</v>
      </c>
      <c r="E6348" s="56" t="n">
        <v>23.1</v>
      </c>
      <c r="F6348" s="56" t="n">
        <v>0</v>
      </c>
      <c r="G6348" s="56" t="n">
        <v>12.7</v>
      </c>
      <c r="H6348" s="56" t="n">
        <v>0</v>
      </c>
      <c r="I6348" s="56" t="n">
        <v>19.4</v>
      </c>
      <c r="J6348" s="56" t="n">
        <v>0</v>
      </c>
      <c r="K6348" s="56" t="n">
        <v>1022.9</v>
      </c>
      <c r="L6348" s="56" t="n">
        <v>0</v>
      </c>
      <c r="M6348" s="56" t="n">
        <v>56</v>
      </c>
      <c r="N6348" s="56" t="n">
        <v>7</v>
      </c>
      <c r="O6348" s="56" t="n">
        <f aca="false">IF(D6348=1,"",E6347)</f>
        <v>26.2</v>
      </c>
      <c r="P6348" s="56" t="n">
        <f aca="false">IF(OR(D6348=1,K6347=""),"",K6347)</f>
        <v>1027.7</v>
      </c>
      <c r="Q6348" s="56" t="n">
        <f aca="false">IF(OR(F6348&lt;&gt;0,AND(I6348&lt;&gt;"",E6348&lt;I6348)),1,0)</f>
        <v>0</v>
      </c>
      <c r="R6348" s="56" t="n">
        <f aca="false">IF(AND(D6348&gt;1,Q6348=0,ISNUMBER(O6348),ISNUMBER(P6348)),IF(Q6347=0,1,0),0)</f>
        <v>1</v>
      </c>
      <c r="S6348" s="56" t="n">
        <f aca="false">R6348*(B6348&gt;=Train_Start)*(B6348&lt;=Train_End)</f>
        <v>0</v>
      </c>
      <c r="T6348" s="84" t="n">
        <f aca="false">IF(AND(ISNUMBER(O6348),ISNUMBER(P6348)),Coef_A+Coef_B1*O6348+Coef_B2*P6348,"")</f>
        <v>25.7925029950642</v>
      </c>
      <c r="U6348" s="84" t="n">
        <f aca="false">IF(AND(R6348=1,ISNUMBER(T6348)),E6348-T6348,"")</f>
        <v>-2.69250299506422</v>
      </c>
      <c r="V6348" s="84" t="n">
        <f aca="false">IF(ISNUMBER(T6348),T6348,-99)</f>
        <v>25.7925029950642</v>
      </c>
      <c r="W6348" s="84" t="n">
        <f aca="false">IF(ISNUMBER(U6348),ABS(U6348),"")</f>
        <v>2.69250299506422</v>
      </c>
    </row>
    <row r="6349" customFormat="false" ht="15" hidden="false" customHeight="false" outlineLevel="0" collapsed="false">
      <c r="A6349" s="57" t="n">
        <v>44026</v>
      </c>
      <c r="B6349" s="56" t="n">
        <v>2020</v>
      </c>
      <c r="C6349" s="56" t="n">
        <v>7</v>
      </c>
      <c r="D6349" s="56" t="n">
        <v>75</v>
      </c>
      <c r="E6349" s="56" t="n">
        <v>19.4</v>
      </c>
      <c r="F6349" s="56" t="n">
        <v>0</v>
      </c>
      <c r="G6349" s="56" t="n">
        <v>15.2</v>
      </c>
      <c r="H6349" s="56" t="n">
        <v>0</v>
      </c>
      <c r="I6349" s="56" t="n">
        <v>19.1</v>
      </c>
      <c r="J6349" s="56" t="n">
        <v>0</v>
      </c>
      <c r="K6349" s="56" t="n">
        <v>1016.4</v>
      </c>
      <c r="L6349" s="56" t="n">
        <v>0</v>
      </c>
      <c r="M6349" s="56" t="n">
        <v>71</v>
      </c>
      <c r="N6349" s="56" t="n">
        <v>1.5</v>
      </c>
      <c r="O6349" s="56" t="n">
        <f aca="false">IF(D6349=1,"",E6348)</f>
        <v>23.1</v>
      </c>
      <c r="P6349" s="56" t="n">
        <f aca="false">IF(OR(D6349=1,K6348=""),"",K6348)</f>
        <v>1022.9</v>
      </c>
      <c r="Q6349" s="56" t="n">
        <f aca="false">IF(OR(F6349&lt;&gt;0,AND(I6349&lt;&gt;"",E6349&lt;I6349)),1,0)</f>
        <v>0</v>
      </c>
      <c r="R6349" s="56" t="n">
        <f aca="false">IF(AND(D6349&gt;1,Q6349=0,ISNUMBER(O6349),ISNUMBER(P6349)),IF(Q6348=0,1,0),0)</f>
        <v>1</v>
      </c>
      <c r="S6349" s="56" t="n">
        <f aca="false">R6349*(B6349&gt;=Train_Start)*(B6349&lt;=Train_End)</f>
        <v>0</v>
      </c>
      <c r="T6349" s="84" t="n">
        <f aca="false">IF(AND(ISNUMBER(O6349),ISNUMBER(P6349)),Coef_A+Coef_B1*O6349+Coef_B2*P6349,"")</f>
        <v>23.1019760023888</v>
      </c>
      <c r="U6349" s="84" t="n">
        <f aca="false">IF(AND(R6349=1,ISNUMBER(T6349)),E6349-T6349,"")</f>
        <v>-3.70197600238884</v>
      </c>
      <c r="V6349" s="84" t="n">
        <f aca="false">IF(ISNUMBER(T6349),T6349,-99)</f>
        <v>23.1019760023888</v>
      </c>
      <c r="W6349" s="84" t="n">
        <f aca="false">IF(ISNUMBER(U6349),ABS(U6349),"")</f>
        <v>3.70197600238884</v>
      </c>
    </row>
    <row r="6350" customFormat="false" ht="15" hidden="false" customHeight="false" outlineLevel="0" collapsed="false">
      <c r="A6350" s="57" t="n">
        <v>44027</v>
      </c>
      <c r="B6350" s="56" t="n">
        <v>2020</v>
      </c>
      <c r="C6350" s="56" t="n">
        <v>7</v>
      </c>
      <c r="D6350" s="56" t="n">
        <v>76</v>
      </c>
      <c r="E6350" s="56" t="n">
        <v>24.1</v>
      </c>
      <c r="F6350" s="56" t="n">
        <v>0</v>
      </c>
      <c r="G6350" s="56" t="n">
        <v>13.5</v>
      </c>
      <c r="H6350" s="56" t="n">
        <v>0</v>
      </c>
      <c r="I6350" s="56" t="n">
        <v>16.4</v>
      </c>
      <c r="J6350" s="56" t="n">
        <v>0</v>
      </c>
      <c r="K6350" s="56" t="n">
        <v>1016.2</v>
      </c>
      <c r="L6350" s="56" t="n">
        <v>0</v>
      </c>
      <c r="M6350" s="56" t="n">
        <v>69</v>
      </c>
      <c r="N6350" s="56" t="n">
        <v>0.6</v>
      </c>
      <c r="O6350" s="56" t="n">
        <f aca="false">IF(D6350=1,"",E6349)</f>
        <v>19.4</v>
      </c>
      <c r="P6350" s="56" t="n">
        <f aca="false">IF(OR(D6350=1,K6349=""),"",K6349)</f>
        <v>1016.4</v>
      </c>
      <c r="Q6350" s="56" t="n">
        <f aca="false">IF(OR(F6350&lt;&gt;0,AND(I6350&lt;&gt;"",E6350&lt;I6350)),1,0)</f>
        <v>0</v>
      </c>
      <c r="R6350" s="56" t="n">
        <f aca="false">IF(AND(D6350&gt;1,Q6350=0,ISNUMBER(O6350),ISNUMBER(P6350)),IF(Q6349=0,1,0),0)</f>
        <v>1</v>
      </c>
      <c r="S6350" s="56" t="n">
        <f aca="false">R6350*(B6350&gt;=Train_Start)*(B6350&lt;=Train_End)</f>
        <v>0</v>
      </c>
      <c r="T6350" s="84" t="n">
        <f aca="false">IF(AND(ISNUMBER(O6350),ISNUMBER(P6350)),Coef_A+Coef_B1*O6350+Coef_B2*P6350,"")</f>
        <v>19.8665166730101</v>
      </c>
      <c r="U6350" s="84" t="n">
        <f aca="false">IF(AND(R6350=1,ISNUMBER(T6350)),E6350-T6350,"")</f>
        <v>4.23348332698993</v>
      </c>
      <c r="V6350" s="84" t="n">
        <f aca="false">IF(ISNUMBER(T6350),T6350,-99)</f>
        <v>19.8665166730101</v>
      </c>
      <c r="W6350" s="84" t="n">
        <f aca="false">IF(ISNUMBER(U6350),ABS(U6350),"")</f>
        <v>4.23348332698993</v>
      </c>
    </row>
    <row r="6351" customFormat="false" ht="15" hidden="false" customHeight="false" outlineLevel="0" collapsed="false">
      <c r="A6351" s="57" t="n">
        <v>44028</v>
      </c>
      <c r="B6351" s="56" t="n">
        <v>2020</v>
      </c>
      <c r="C6351" s="56" t="n">
        <v>7</v>
      </c>
      <c r="D6351" s="56" t="n">
        <v>77</v>
      </c>
      <c r="E6351" s="56" t="n">
        <v>28.5</v>
      </c>
      <c r="F6351" s="56" t="n">
        <v>0</v>
      </c>
      <c r="G6351" s="56" t="n">
        <v>16</v>
      </c>
      <c r="H6351" s="56" t="n">
        <v>0</v>
      </c>
      <c r="I6351" s="56" t="n">
        <v>20.1</v>
      </c>
      <c r="J6351" s="56" t="n">
        <v>0</v>
      </c>
      <c r="K6351" s="56" t="n">
        <v>1020.3</v>
      </c>
      <c r="L6351" s="56" t="n">
        <v>0</v>
      </c>
      <c r="M6351" s="56"/>
      <c r="N6351" s="56" t="n">
        <v>2.2</v>
      </c>
      <c r="O6351" s="56" t="n">
        <f aca="false">IF(D6351=1,"",E6350)</f>
        <v>24.1</v>
      </c>
      <c r="P6351" s="56" t="n">
        <f aca="false">IF(OR(D6351=1,K6350=""),"",K6350)</f>
        <v>1016.2</v>
      </c>
      <c r="Q6351" s="56" t="n">
        <f aca="false">IF(OR(F6351&lt;&gt;0,AND(I6351&lt;&gt;"",E6351&lt;I6351)),1,0)</f>
        <v>0</v>
      </c>
      <c r="R6351" s="56" t="n">
        <f aca="false">IF(AND(D6351&gt;1,Q6351=0,ISNUMBER(O6351),ISNUMBER(P6351)),IF(Q6350=0,1,0),0)</f>
        <v>1</v>
      </c>
      <c r="S6351" s="56" t="n">
        <f aca="false">R6351*(B6351&gt;=Train_Start)*(B6351&lt;=Train_End)</f>
        <v>0</v>
      </c>
      <c r="T6351" s="84" t="n">
        <f aca="false">IF(AND(ISNUMBER(O6351),ISNUMBER(P6351)),Coef_A+Coef_B1*O6351+Coef_B2*P6351,"")</f>
        <v>23.7111369013838</v>
      </c>
      <c r="U6351" s="84" t="n">
        <f aca="false">IF(AND(R6351=1,ISNUMBER(T6351)),E6351-T6351,"")</f>
        <v>4.78886309861623</v>
      </c>
      <c r="V6351" s="84" t="n">
        <f aca="false">IF(ISNUMBER(T6351),T6351,-99)</f>
        <v>23.7111369013838</v>
      </c>
      <c r="W6351" s="84" t="n">
        <f aca="false">IF(ISNUMBER(U6351),ABS(U6351),"")</f>
        <v>4.78886309861623</v>
      </c>
    </row>
    <row r="6352" customFormat="false" ht="15" hidden="false" customHeight="false" outlineLevel="0" collapsed="false">
      <c r="A6352" s="57" t="n">
        <v>44029</v>
      </c>
      <c r="B6352" s="56" t="n">
        <v>2020</v>
      </c>
      <c r="C6352" s="56" t="n">
        <v>7</v>
      </c>
      <c r="D6352" s="56" t="n">
        <v>78</v>
      </c>
      <c r="E6352" s="56" t="n">
        <v>26.3</v>
      </c>
      <c r="F6352" s="56" t="n">
        <v>0</v>
      </c>
      <c r="G6352" s="56" t="n">
        <v>16.9</v>
      </c>
      <c r="H6352" s="56" t="n">
        <v>0</v>
      </c>
      <c r="I6352" s="56" t="n">
        <v>22.7</v>
      </c>
      <c r="J6352" s="56" t="n">
        <v>0</v>
      </c>
      <c r="K6352" s="56" t="n">
        <v>1020.6</v>
      </c>
      <c r="L6352" s="56" t="n">
        <v>0</v>
      </c>
      <c r="M6352" s="56" t="n">
        <v>57</v>
      </c>
      <c r="N6352" s="56" t="n">
        <v>10.1</v>
      </c>
      <c r="O6352" s="56" t="n">
        <f aca="false">IF(D6352=1,"",E6351)</f>
        <v>28.5</v>
      </c>
      <c r="P6352" s="56" t="n">
        <f aca="false">IF(OR(D6352=1,K6351=""),"",K6351)</f>
        <v>1020.3</v>
      </c>
      <c r="Q6352" s="56" t="n">
        <f aca="false">IF(OR(F6352&lt;&gt;0,AND(I6352&lt;&gt;"",E6352&lt;I6352)),1,0)</f>
        <v>0</v>
      </c>
      <c r="R6352" s="56" t="n">
        <f aca="false">IF(AND(D6352&gt;1,Q6352=0,ISNUMBER(O6352),ISNUMBER(P6352)),IF(Q6351=0,1,0),0)</f>
        <v>1</v>
      </c>
      <c r="S6352" s="56" t="n">
        <f aca="false">R6352*(B6352&gt;=Train_Start)*(B6352&lt;=Train_End)</f>
        <v>0</v>
      </c>
      <c r="T6352" s="84" t="n">
        <f aca="false">IF(AND(ISNUMBER(O6352),ISNUMBER(P6352)),Coef_A+Coef_B1*O6352+Coef_B2*P6352,"")</f>
        <v>27.4448459187708</v>
      </c>
      <c r="U6352" s="84" t="n">
        <f aca="false">IF(AND(R6352=1,ISNUMBER(T6352)),E6352-T6352,"")</f>
        <v>-1.14484591877082</v>
      </c>
      <c r="V6352" s="84" t="n">
        <f aca="false">IF(ISNUMBER(T6352),T6352,-99)</f>
        <v>27.4448459187708</v>
      </c>
      <c r="W6352" s="84" t="n">
        <f aca="false">IF(ISNUMBER(U6352),ABS(U6352),"")</f>
        <v>1.14484591877082</v>
      </c>
    </row>
    <row r="6353" customFormat="false" ht="15" hidden="false" customHeight="false" outlineLevel="0" collapsed="false">
      <c r="A6353" s="57" t="n">
        <v>44030</v>
      </c>
      <c r="B6353" s="56" t="n">
        <v>2020</v>
      </c>
      <c r="C6353" s="56" t="n">
        <v>7</v>
      </c>
      <c r="D6353" s="56" t="n">
        <v>79</v>
      </c>
      <c r="E6353" s="56" t="n">
        <v>21.4</v>
      </c>
      <c r="F6353" s="56" t="n">
        <v>0</v>
      </c>
      <c r="G6353" s="56" t="n">
        <v>15</v>
      </c>
      <c r="H6353" s="56" t="n">
        <v>0</v>
      </c>
      <c r="I6353" s="56" t="n">
        <v>20.6</v>
      </c>
      <c r="J6353" s="56" t="n">
        <v>0</v>
      </c>
      <c r="K6353" s="56" t="n">
        <v>1018.2</v>
      </c>
      <c r="L6353" s="56" t="n">
        <v>0</v>
      </c>
      <c r="M6353" s="56" t="n">
        <v>61</v>
      </c>
      <c r="N6353" s="56" t="n">
        <v>7.5</v>
      </c>
      <c r="O6353" s="56" t="n">
        <f aca="false">IF(D6353=1,"",E6352)</f>
        <v>26.3</v>
      </c>
      <c r="P6353" s="56" t="n">
        <f aca="false">IF(OR(D6353=1,K6352=""),"",K6352)</f>
        <v>1020.6</v>
      </c>
      <c r="Q6353" s="56" t="n">
        <f aca="false">IF(OR(F6353&lt;&gt;0,AND(I6353&lt;&gt;"",E6353&lt;I6353)),1,0)</f>
        <v>0</v>
      </c>
      <c r="R6353" s="56" t="n">
        <f aca="false">IF(AND(D6353&gt;1,Q6353=0,ISNUMBER(O6353),ISNUMBER(P6353)),IF(Q6352=0,1,0),0)</f>
        <v>1</v>
      </c>
      <c r="S6353" s="56" t="n">
        <f aca="false">R6353*(B6353&gt;=Train_Start)*(B6353&lt;=Train_End)</f>
        <v>0</v>
      </c>
      <c r="T6353" s="84" t="n">
        <f aca="false">IF(AND(ISNUMBER(O6353),ISNUMBER(P6353)),Coef_A+Coef_B1*O6353+Coef_B2*P6353,"")</f>
        <v>25.6517106624672</v>
      </c>
      <c r="U6353" s="84" t="n">
        <f aca="false">IF(AND(R6353=1,ISNUMBER(T6353)),E6353-T6353,"")</f>
        <v>-4.25171066246717</v>
      </c>
      <c r="V6353" s="84" t="n">
        <f aca="false">IF(ISNUMBER(T6353),T6353,-99)</f>
        <v>25.6517106624672</v>
      </c>
      <c r="W6353" s="84" t="n">
        <f aca="false">IF(ISNUMBER(U6353),ABS(U6353),"")</f>
        <v>4.25171066246717</v>
      </c>
    </row>
    <row r="6354" customFormat="false" ht="15" hidden="false" customHeight="false" outlineLevel="0" collapsed="false">
      <c r="A6354" s="57" t="n">
        <v>44031</v>
      </c>
      <c r="B6354" s="56" t="n">
        <v>2020</v>
      </c>
      <c r="C6354" s="56" t="n">
        <v>7</v>
      </c>
      <c r="D6354" s="56" t="n">
        <v>80</v>
      </c>
      <c r="E6354" s="56" t="n">
        <v>22.6</v>
      </c>
      <c r="F6354" s="56" t="n">
        <v>0</v>
      </c>
      <c r="G6354" s="56" t="n">
        <v>14.1</v>
      </c>
      <c r="H6354" s="56" t="n">
        <v>0</v>
      </c>
      <c r="I6354" s="56" t="n">
        <v>17.8</v>
      </c>
      <c r="J6354" s="56" t="n">
        <v>0</v>
      </c>
      <c r="K6354" s="56" t="n">
        <v>1018</v>
      </c>
      <c r="L6354" s="56" t="n">
        <v>0</v>
      </c>
      <c r="M6354" s="56" t="n">
        <v>67</v>
      </c>
      <c r="N6354" s="56" t="n">
        <v>1.5</v>
      </c>
      <c r="O6354" s="56" t="n">
        <f aca="false">IF(D6354=1,"",E6353)</f>
        <v>21.4</v>
      </c>
      <c r="P6354" s="56" t="n">
        <f aca="false">IF(OR(D6354=1,K6353=""),"",K6353)</f>
        <v>1018.2</v>
      </c>
      <c r="Q6354" s="56" t="n">
        <f aca="false">IF(OR(F6354&lt;&gt;0,AND(I6354&lt;&gt;"",E6354&lt;I6354)),1,0)</f>
        <v>0</v>
      </c>
      <c r="R6354" s="56" t="n">
        <f aca="false">IF(AND(D6354&gt;1,Q6354=0,ISNUMBER(O6354),ISNUMBER(P6354)),IF(Q6353=0,1,0),0)</f>
        <v>1</v>
      </c>
      <c r="S6354" s="56" t="n">
        <f aca="false">R6354*(B6354&gt;=Train_Start)*(B6354&lt;=Train_End)</f>
        <v>0</v>
      </c>
      <c r="T6354" s="84" t="n">
        <f aca="false">IF(AND(ISNUMBER(O6354),ISNUMBER(P6354)),Coef_A+Coef_B1*O6354+Coef_B2*P6354,"")</f>
        <v>21.5616608694366</v>
      </c>
      <c r="U6354" s="84" t="n">
        <f aca="false">IF(AND(R6354=1,ISNUMBER(T6354)),E6354-T6354,"")</f>
        <v>1.03833913056343</v>
      </c>
      <c r="V6354" s="84" t="n">
        <f aca="false">IF(ISNUMBER(T6354),T6354,-99)</f>
        <v>21.5616608694366</v>
      </c>
      <c r="W6354" s="84" t="n">
        <f aca="false">IF(ISNUMBER(U6354),ABS(U6354),"")</f>
        <v>1.03833913056343</v>
      </c>
    </row>
    <row r="6355" customFormat="false" ht="15" hidden="false" customHeight="false" outlineLevel="0" collapsed="false">
      <c r="A6355" s="57" t="n">
        <v>44032</v>
      </c>
      <c r="B6355" s="56" t="n">
        <v>2020</v>
      </c>
      <c r="C6355" s="56" t="n">
        <v>7</v>
      </c>
      <c r="D6355" s="56" t="n">
        <v>81</v>
      </c>
      <c r="E6355" s="56" t="n">
        <v>22.7</v>
      </c>
      <c r="F6355" s="56" t="n">
        <v>0</v>
      </c>
      <c r="G6355" s="56" t="n">
        <v>10.5</v>
      </c>
      <c r="H6355" s="56" t="n">
        <v>0</v>
      </c>
      <c r="I6355" s="56" t="n">
        <v>16.6</v>
      </c>
      <c r="J6355" s="56" t="n">
        <v>0</v>
      </c>
      <c r="K6355" s="56" t="n">
        <v>1023.1</v>
      </c>
      <c r="L6355" s="56" t="n">
        <v>0</v>
      </c>
      <c r="M6355" s="56" t="n">
        <v>51</v>
      </c>
      <c r="N6355" s="56" t="n">
        <v>13.6</v>
      </c>
      <c r="O6355" s="56" t="n">
        <f aca="false">IF(D6355=1,"",E6354)</f>
        <v>22.6</v>
      </c>
      <c r="P6355" s="56" t="n">
        <f aca="false">IF(OR(D6355=1,K6354=""),"",K6354)</f>
        <v>1018</v>
      </c>
      <c r="Q6355" s="56" t="n">
        <f aca="false">IF(OR(F6355&lt;&gt;0,AND(I6355&lt;&gt;"",E6355&lt;I6355)),1,0)</f>
        <v>0</v>
      </c>
      <c r="R6355" s="56" t="n">
        <f aca="false">IF(AND(D6355&gt;1,Q6355=0,ISNUMBER(O6355),ISNUMBER(P6355)),IF(Q6354=0,1,0),0)</f>
        <v>1</v>
      </c>
      <c r="S6355" s="56" t="n">
        <f aca="false">R6355*(B6355&gt;=Train_Start)*(B6355&lt;=Train_End)</f>
        <v>0</v>
      </c>
      <c r="T6355" s="84" t="n">
        <f aca="false">IF(AND(ISNUMBER(O6355),ISNUMBER(P6355)),Coef_A+Coef_B1*O6355+Coef_B2*P6355,"")</f>
        <v>22.538593922161</v>
      </c>
      <c r="U6355" s="84" t="n">
        <f aca="false">IF(AND(R6355=1,ISNUMBER(T6355)),E6355-T6355,"")</f>
        <v>0.161406077839036</v>
      </c>
      <c r="V6355" s="84" t="n">
        <f aca="false">IF(ISNUMBER(T6355),T6355,-99)</f>
        <v>22.538593922161</v>
      </c>
      <c r="W6355" s="84" t="n">
        <f aca="false">IF(ISNUMBER(U6355),ABS(U6355),"")</f>
        <v>0.161406077839036</v>
      </c>
    </row>
    <row r="6356" customFormat="false" ht="15" hidden="false" customHeight="false" outlineLevel="0" collapsed="false">
      <c r="A6356" s="57" t="n">
        <v>44033</v>
      </c>
      <c r="B6356" s="56" t="n">
        <v>2020</v>
      </c>
      <c r="C6356" s="56" t="n">
        <v>7</v>
      </c>
      <c r="D6356" s="56" t="n">
        <v>82</v>
      </c>
      <c r="E6356" s="56" t="n">
        <v>26.3</v>
      </c>
      <c r="F6356" s="56" t="n">
        <v>0</v>
      </c>
      <c r="G6356" s="56" t="n">
        <v>10.2</v>
      </c>
      <c r="H6356" s="56" t="n">
        <v>0</v>
      </c>
      <c r="I6356" s="56" t="n">
        <v>16.4</v>
      </c>
      <c r="J6356" s="56" t="n">
        <v>0</v>
      </c>
      <c r="K6356" s="56" t="n">
        <v>1026</v>
      </c>
      <c r="L6356" s="56" t="n">
        <v>0</v>
      </c>
      <c r="M6356" s="56" t="n">
        <v>48</v>
      </c>
      <c r="N6356" s="56" t="n">
        <v>11.3</v>
      </c>
      <c r="O6356" s="56" t="n">
        <f aca="false">IF(D6356=1,"",E6355)</f>
        <v>22.7</v>
      </c>
      <c r="P6356" s="56" t="n">
        <f aca="false">IF(OR(D6356=1,K6355=""),"",K6355)</f>
        <v>1023.1</v>
      </c>
      <c r="Q6356" s="56" t="n">
        <f aca="false">IF(OR(F6356&lt;&gt;0,AND(I6356&lt;&gt;"",E6356&lt;I6356)),1,0)</f>
        <v>0</v>
      </c>
      <c r="R6356" s="56" t="n">
        <f aca="false">IF(AND(D6356&gt;1,Q6356=0,ISNUMBER(O6356),ISNUMBER(P6356)),IF(Q6355=0,1,0),0)</f>
        <v>1</v>
      </c>
      <c r="S6356" s="56" t="n">
        <f aca="false">R6356*(B6356&gt;=Train_Start)*(B6356&lt;=Train_End)</f>
        <v>0</v>
      </c>
      <c r="T6356" s="84" t="n">
        <f aca="false">IF(AND(ISNUMBER(O6356),ISNUMBER(P6356)),Coef_A+Coef_B1*O6356+Coef_B2*P6356,"")</f>
        <v>22.7805143040986</v>
      </c>
      <c r="U6356" s="84" t="n">
        <f aca="false">IF(AND(R6356=1,ISNUMBER(T6356)),E6356-T6356,"")</f>
        <v>3.51948569590143</v>
      </c>
      <c r="V6356" s="84" t="n">
        <f aca="false">IF(ISNUMBER(T6356),T6356,-99)</f>
        <v>22.7805143040986</v>
      </c>
      <c r="W6356" s="84" t="n">
        <f aca="false">IF(ISNUMBER(U6356),ABS(U6356),"")</f>
        <v>3.51948569590143</v>
      </c>
    </row>
    <row r="6357" customFormat="false" ht="15" hidden="false" customHeight="false" outlineLevel="0" collapsed="false">
      <c r="A6357" s="57" t="n">
        <v>44034</v>
      </c>
      <c r="B6357" s="56" t="n">
        <v>2020</v>
      </c>
      <c r="C6357" s="56" t="n">
        <v>7</v>
      </c>
      <c r="D6357" s="56" t="n">
        <v>83</v>
      </c>
      <c r="E6357" s="56" t="n">
        <v>26.6</v>
      </c>
      <c r="F6357" s="56" t="n">
        <v>0</v>
      </c>
      <c r="G6357" s="56" t="n">
        <v>13.6</v>
      </c>
      <c r="H6357" s="56" t="n">
        <v>0</v>
      </c>
      <c r="I6357" s="56" t="n">
        <v>19.9</v>
      </c>
      <c r="J6357" s="56" t="n">
        <v>0</v>
      </c>
      <c r="K6357" s="56" t="n">
        <v>1023.3</v>
      </c>
      <c r="L6357" s="56" t="n">
        <v>0</v>
      </c>
      <c r="M6357" s="56" t="n">
        <v>50</v>
      </c>
      <c r="N6357" s="56" t="n">
        <v>9.7</v>
      </c>
      <c r="O6357" s="56" t="n">
        <f aca="false">IF(D6357=1,"",E6356)</f>
        <v>26.3</v>
      </c>
      <c r="P6357" s="56" t="n">
        <f aca="false">IF(OR(D6357=1,K6356=""),"",K6356)</f>
        <v>1026</v>
      </c>
      <c r="Q6357" s="56" t="n">
        <f aca="false">IF(OR(F6357&lt;&gt;0,AND(I6357&lt;&gt;"",E6357&lt;I6357)),1,0)</f>
        <v>0</v>
      </c>
      <c r="R6357" s="56" t="n">
        <f aca="false">IF(AND(D6357&gt;1,Q6357=0,ISNUMBER(O6357),ISNUMBER(P6357)),IF(Q6356=0,1,0),0)</f>
        <v>1</v>
      </c>
      <c r="S6357" s="56" t="n">
        <f aca="false">R6357*(B6357&gt;=Train_Start)*(B6357&lt;=Train_End)</f>
        <v>0</v>
      </c>
      <c r="T6357" s="84" t="n">
        <f aca="false">IF(AND(ISNUMBER(O6357),ISNUMBER(P6357)),Coef_A+Coef_B1*O6357+Coef_B2*P6357,"")</f>
        <v>25.8211080934907</v>
      </c>
      <c r="U6357" s="84" t="n">
        <f aca="false">IF(AND(R6357=1,ISNUMBER(T6357)),E6357-T6357,"")</f>
        <v>0.778891906509291</v>
      </c>
      <c r="V6357" s="84" t="n">
        <f aca="false">IF(ISNUMBER(T6357),T6357,-99)</f>
        <v>25.8211080934907</v>
      </c>
      <c r="W6357" s="84" t="n">
        <f aca="false">IF(ISNUMBER(U6357),ABS(U6357),"")</f>
        <v>0.778891906509291</v>
      </c>
    </row>
    <row r="6358" customFormat="false" ht="15" hidden="false" customHeight="false" outlineLevel="0" collapsed="false">
      <c r="A6358" s="57" t="n">
        <v>44035</v>
      </c>
      <c r="B6358" s="56" t="n">
        <v>2020</v>
      </c>
      <c r="C6358" s="56" t="n">
        <v>7</v>
      </c>
      <c r="D6358" s="56" t="n">
        <v>84</v>
      </c>
      <c r="E6358" s="56" t="n">
        <v>25.6</v>
      </c>
      <c r="F6358" s="56" t="n">
        <v>0</v>
      </c>
      <c r="G6358" s="56" t="n">
        <v>13.3</v>
      </c>
      <c r="H6358" s="56" t="n">
        <v>0</v>
      </c>
      <c r="I6358" s="56" t="n">
        <v>19.9</v>
      </c>
      <c r="J6358" s="56" t="n">
        <v>0</v>
      </c>
      <c r="K6358" s="56" t="n">
        <v>1016</v>
      </c>
      <c r="L6358" s="56" t="n">
        <v>0</v>
      </c>
      <c r="M6358" s="56" t="n">
        <v>56</v>
      </c>
      <c r="N6358" s="56" t="n">
        <v>4</v>
      </c>
      <c r="O6358" s="56" t="n">
        <f aca="false">IF(D6358=1,"",E6357)</f>
        <v>26.6</v>
      </c>
      <c r="P6358" s="56" t="n">
        <f aca="false">IF(OR(D6358=1,K6357=""),"",K6357)</f>
        <v>1023.3</v>
      </c>
      <c r="Q6358" s="56" t="n">
        <f aca="false">IF(OR(F6358&lt;&gt;0,AND(I6358&lt;&gt;"",E6358&lt;I6358)),1,0)</f>
        <v>0</v>
      </c>
      <c r="R6358" s="56" t="n">
        <f aca="false">IF(AND(D6358&gt;1,Q6358=0,ISNUMBER(O6358),ISNUMBER(P6358)),IF(Q6357=0,1,0),0)</f>
        <v>1</v>
      </c>
      <c r="S6358" s="56" t="n">
        <f aca="false">R6358*(B6358&gt;=Train_Start)*(B6358&lt;=Train_End)</f>
        <v>0</v>
      </c>
      <c r="T6358" s="84" t="n">
        <f aca="false">IF(AND(ISNUMBER(O6358),ISNUMBER(P6358)),Coef_A+Coef_B1*O6358+Coef_B2*P6358,"")</f>
        <v>25.9822111358917</v>
      </c>
      <c r="U6358" s="84" t="n">
        <f aca="false">IF(AND(R6358=1,ISNUMBER(T6358)),E6358-T6358,"")</f>
        <v>-0.382211135891737</v>
      </c>
      <c r="V6358" s="84" t="n">
        <f aca="false">IF(ISNUMBER(T6358),T6358,-99)</f>
        <v>25.9822111358917</v>
      </c>
      <c r="W6358" s="84" t="n">
        <f aca="false">IF(ISNUMBER(U6358),ABS(U6358),"")</f>
        <v>0.382211135891737</v>
      </c>
    </row>
    <row r="6359" customFormat="false" ht="15" hidden="false" customHeight="false" outlineLevel="0" collapsed="false">
      <c r="A6359" s="57" t="n">
        <v>44036</v>
      </c>
      <c r="B6359" s="56" t="n">
        <v>2020</v>
      </c>
      <c r="C6359" s="56" t="n">
        <v>7</v>
      </c>
      <c r="D6359" s="56" t="n">
        <v>85</v>
      </c>
      <c r="E6359" s="56" t="n">
        <v>23</v>
      </c>
      <c r="F6359" s="56" t="n">
        <v>0</v>
      </c>
      <c r="G6359" s="56" t="n">
        <v>16.1</v>
      </c>
      <c r="H6359" s="56" t="n">
        <v>0</v>
      </c>
      <c r="I6359" s="56" t="n">
        <v>20.9</v>
      </c>
      <c r="J6359" s="56" t="n">
        <v>0</v>
      </c>
      <c r="K6359" s="56" t="n">
        <v>1012.3</v>
      </c>
      <c r="L6359" s="56" t="n">
        <v>0</v>
      </c>
      <c r="M6359" s="56" t="n">
        <v>68</v>
      </c>
      <c r="N6359" s="56" t="n">
        <v>1.1</v>
      </c>
      <c r="O6359" s="56" t="n">
        <f aca="false">IF(D6359=1,"",E6358)</f>
        <v>25.6</v>
      </c>
      <c r="P6359" s="56" t="n">
        <f aca="false">IF(OR(D6359=1,K6358=""),"",K6358)</f>
        <v>1016</v>
      </c>
      <c r="Q6359" s="56" t="n">
        <f aca="false">IF(OR(F6359&lt;&gt;0,AND(I6359&lt;&gt;"",E6359&lt;I6359)),1,0)</f>
        <v>0</v>
      </c>
      <c r="R6359" s="56" t="n">
        <f aca="false">IF(AND(D6359&gt;1,Q6359=0,ISNUMBER(O6359),ISNUMBER(P6359)),IF(Q6358=0,1,0),0)</f>
        <v>1</v>
      </c>
      <c r="S6359" s="56" t="n">
        <f aca="false">R6359*(B6359&gt;=Train_Start)*(B6359&lt;=Train_End)</f>
        <v>0</v>
      </c>
      <c r="T6359" s="84" t="n">
        <f aca="false">IF(AND(ISNUMBER(O6359),ISNUMBER(P6359)),Coef_A+Coef_B1*O6359+Coef_B2*P6359,"")</f>
        <v>24.933871712021</v>
      </c>
      <c r="U6359" s="84" t="n">
        <f aca="false">IF(AND(R6359=1,ISNUMBER(T6359)),E6359-T6359,"")</f>
        <v>-1.93387171202096</v>
      </c>
      <c r="V6359" s="84" t="n">
        <f aca="false">IF(ISNUMBER(T6359),T6359,-99)</f>
        <v>24.933871712021</v>
      </c>
      <c r="W6359" s="84" t="n">
        <f aca="false">IF(ISNUMBER(U6359),ABS(U6359),"")</f>
        <v>1.93387171202096</v>
      </c>
    </row>
    <row r="6360" customFormat="false" ht="15" hidden="false" customHeight="false" outlineLevel="0" collapsed="false">
      <c r="A6360" s="57" t="n">
        <v>44037</v>
      </c>
      <c r="B6360" s="56" t="n">
        <v>2020</v>
      </c>
      <c r="C6360" s="56" t="n">
        <v>7</v>
      </c>
      <c r="D6360" s="56" t="n">
        <v>86</v>
      </c>
      <c r="E6360" s="56" t="n">
        <v>23.7</v>
      </c>
      <c r="F6360" s="56" t="n">
        <v>0</v>
      </c>
      <c r="G6360" s="56" t="n">
        <v>17.4</v>
      </c>
      <c r="H6360" s="56" t="n">
        <v>0</v>
      </c>
      <c r="I6360" s="56" t="n">
        <v>20.2</v>
      </c>
      <c r="J6360" s="56" t="n">
        <v>0</v>
      </c>
      <c r="K6360" s="56" t="n">
        <v>1007.6</v>
      </c>
      <c r="L6360" s="56" t="n">
        <v>0</v>
      </c>
      <c r="M6360" s="56" t="n">
        <v>83</v>
      </c>
      <c r="N6360" s="56" t="n">
        <v>0</v>
      </c>
      <c r="O6360" s="56" t="n">
        <f aca="false">IF(D6360=1,"",E6359)</f>
        <v>23</v>
      </c>
      <c r="P6360" s="56" t="n">
        <f aca="false">IF(OR(D6360=1,K6359=""),"",K6359)</f>
        <v>1012.3</v>
      </c>
      <c r="Q6360" s="56" t="n">
        <f aca="false">IF(OR(F6360&lt;&gt;0,AND(I6360&lt;&gt;"",E6360&lt;I6360)),1,0)</f>
        <v>0</v>
      </c>
      <c r="R6360" s="56" t="n">
        <f aca="false">IF(AND(D6360&gt;1,Q6360=0,ISNUMBER(O6360),ISNUMBER(P6360)),IF(Q6359=0,1,0),0)</f>
        <v>1</v>
      </c>
      <c r="S6360" s="56" t="n">
        <f aca="false">R6360*(B6360&gt;=Train_Start)*(B6360&lt;=Train_End)</f>
        <v>0</v>
      </c>
      <c r="T6360" s="84" t="n">
        <f aca="false">IF(AND(ISNUMBER(O6360),ISNUMBER(P6360)),Coef_A+Coef_B1*O6360+Coef_B2*P6360,"")</f>
        <v>22.6875211999643</v>
      </c>
      <c r="U6360" s="84" t="n">
        <f aca="false">IF(AND(R6360=1,ISNUMBER(T6360)),E6360-T6360,"")</f>
        <v>1.01247880003572</v>
      </c>
      <c r="V6360" s="84" t="n">
        <f aca="false">IF(ISNUMBER(T6360),T6360,-99)</f>
        <v>22.6875211999643</v>
      </c>
      <c r="W6360" s="84" t="n">
        <f aca="false">IF(ISNUMBER(U6360),ABS(U6360),"")</f>
        <v>1.01247880003572</v>
      </c>
    </row>
    <row r="6361" customFormat="false" ht="15" hidden="false" customHeight="false" outlineLevel="0" collapsed="false">
      <c r="A6361" s="57" t="n">
        <v>44038</v>
      </c>
      <c r="B6361" s="56" t="n">
        <v>2020</v>
      </c>
      <c r="C6361" s="56" t="n">
        <v>7</v>
      </c>
      <c r="D6361" s="56" t="n">
        <v>87</v>
      </c>
      <c r="E6361" s="56" t="n">
        <v>21.6</v>
      </c>
      <c r="F6361" s="56" t="n">
        <v>0</v>
      </c>
      <c r="G6361" s="56" t="n">
        <v>12.5</v>
      </c>
      <c r="H6361" s="56" t="n">
        <v>0</v>
      </c>
      <c r="I6361" s="56" t="n">
        <v>18.1</v>
      </c>
      <c r="J6361" s="56" t="n">
        <v>0</v>
      </c>
      <c r="K6361" s="56" t="n">
        <v>1010.7</v>
      </c>
      <c r="L6361" s="56" t="n">
        <v>0</v>
      </c>
      <c r="M6361" s="56" t="n">
        <v>77</v>
      </c>
      <c r="N6361" s="56" t="n">
        <v>3.3</v>
      </c>
      <c r="O6361" s="56" t="n">
        <f aca="false">IF(D6361=1,"",E6360)</f>
        <v>23.7</v>
      </c>
      <c r="P6361" s="56" t="n">
        <f aca="false">IF(OR(D6361=1,K6360=""),"",K6360)</f>
        <v>1007.6</v>
      </c>
      <c r="Q6361" s="56" t="n">
        <f aca="false">IF(OR(F6361&lt;&gt;0,AND(I6361&lt;&gt;"",E6361&lt;I6361)),1,0)</f>
        <v>0</v>
      </c>
      <c r="R6361" s="56" t="n">
        <f aca="false">IF(AND(D6361&gt;1,Q6361=0,ISNUMBER(O6361),ISNUMBER(P6361)),IF(Q6360=0,1,0),0)</f>
        <v>1</v>
      </c>
      <c r="S6361" s="56" t="n">
        <f aca="false">R6361*(B6361&gt;=Train_Start)*(B6361&lt;=Train_End)</f>
        <v>0</v>
      </c>
      <c r="T6361" s="84" t="n">
        <f aca="false">IF(AND(ISNUMBER(O6361),ISNUMBER(P6361)),Coef_A+Coef_B1*O6361+Coef_B2*P6361,"")</f>
        <v>23.1136201303144</v>
      </c>
      <c r="U6361" s="84" t="n">
        <f aca="false">IF(AND(R6361=1,ISNUMBER(T6361)),E6361-T6361,"")</f>
        <v>-1.51362013031439</v>
      </c>
      <c r="V6361" s="84" t="n">
        <f aca="false">IF(ISNUMBER(T6361),T6361,-99)</f>
        <v>23.1136201303144</v>
      </c>
      <c r="W6361" s="84" t="n">
        <f aca="false">IF(ISNUMBER(U6361),ABS(U6361),"")</f>
        <v>1.51362013031439</v>
      </c>
    </row>
    <row r="6362" customFormat="false" ht="15" hidden="false" customHeight="false" outlineLevel="0" collapsed="false">
      <c r="A6362" s="57" t="n">
        <v>44039</v>
      </c>
      <c r="B6362" s="56" t="n">
        <v>2020</v>
      </c>
      <c r="C6362" s="56" t="n">
        <v>7</v>
      </c>
      <c r="D6362" s="56" t="n">
        <v>88</v>
      </c>
      <c r="E6362" s="56" t="n">
        <v>21.6</v>
      </c>
      <c r="F6362" s="56" t="n">
        <v>0</v>
      </c>
      <c r="G6362" s="56" t="n">
        <v>15.5</v>
      </c>
      <c r="H6362" s="56" t="n">
        <v>0</v>
      </c>
      <c r="I6362" s="56" t="n">
        <v>18.6</v>
      </c>
      <c r="J6362" s="56" t="n">
        <v>0</v>
      </c>
      <c r="K6362" s="56" t="n">
        <v>1007.6</v>
      </c>
      <c r="L6362" s="56" t="n">
        <v>0</v>
      </c>
      <c r="M6362" s="56" t="n">
        <v>85</v>
      </c>
      <c r="N6362" s="56" t="n">
        <v>0.4</v>
      </c>
      <c r="O6362" s="56" t="n">
        <f aca="false">IF(D6362=1,"",E6361)</f>
        <v>21.6</v>
      </c>
      <c r="P6362" s="56" t="n">
        <f aca="false">IF(OR(D6362=1,K6361=""),"",K6361)</f>
        <v>1010.7</v>
      </c>
      <c r="Q6362" s="56" t="n">
        <f aca="false">IF(OR(F6362&lt;&gt;0,AND(I6362&lt;&gt;"",E6362&lt;I6362)),1,0)</f>
        <v>0</v>
      </c>
      <c r="R6362" s="56" t="n">
        <f aca="false">IF(AND(D6362&gt;1,Q6362=0,ISNUMBER(O6362),ISNUMBER(P6362)),IF(Q6361=0,1,0),0)</f>
        <v>1</v>
      </c>
      <c r="S6362" s="56" t="n">
        <f aca="false">R6362*(B6362&gt;=Train_Start)*(B6362&lt;=Train_End)</f>
        <v>0</v>
      </c>
      <c r="T6362" s="84" t="n">
        <f aca="false">IF(AND(ISNUMBER(O6362),ISNUMBER(P6362)),Coef_A+Coef_B1*O6362+Coef_B2*P6362,"")</f>
        <v>21.4902544982902</v>
      </c>
      <c r="U6362" s="84" t="n">
        <f aca="false">IF(AND(R6362=1,ISNUMBER(T6362)),E6362-T6362,"")</f>
        <v>0.109745501709821</v>
      </c>
      <c r="V6362" s="84" t="n">
        <f aca="false">IF(ISNUMBER(T6362),T6362,-99)</f>
        <v>21.4902544982902</v>
      </c>
      <c r="W6362" s="84" t="n">
        <f aca="false">IF(ISNUMBER(U6362),ABS(U6362),"")</f>
        <v>0.109745501709821</v>
      </c>
    </row>
    <row r="6363" customFormat="false" ht="15" hidden="false" customHeight="false" outlineLevel="0" collapsed="false">
      <c r="A6363" s="57" t="n">
        <v>44040</v>
      </c>
      <c r="B6363" s="56" t="n">
        <v>2020</v>
      </c>
      <c r="C6363" s="56" t="n">
        <v>7</v>
      </c>
      <c r="D6363" s="56" t="n">
        <v>89</v>
      </c>
      <c r="E6363" s="56" t="n">
        <v>24.5</v>
      </c>
      <c r="F6363" s="56" t="n">
        <v>0</v>
      </c>
      <c r="G6363" s="56" t="n">
        <v>12.4</v>
      </c>
      <c r="H6363" s="56" t="n">
        <v>0</v>
      </c>
      <c r="I6363" s="56" t="n">
        <v>17</v>
      </c>
      <c r="J6363" s="56" t="n">
        <v>0</v>
      </c>
      <c r="K6363" s="56" t="n">
        <v>1014.4</v>
      </c>
      <c r="L6363" s="56" t="n">
        <v>0</v>
      </c>
      <c r="M6363" s="56" t="n">
        <v>60</v>
      </c>
      <c r="N6363" s="56" t="n">
        <v>6.1</v>
      </c>
      <c r="O6363" s="56" t="n">
        <f aca="false">IF(D6363=1,"",E6362)</f>
        <v>21.6</v>
      </c>
      <c r="P6363" s="56" t="n">
        <f aca="false">IF(OR(D6363=1,K6362=""),"",K6362)</f>
        <v>1007.6</v>
      </c>
      <c r="Q6363" s="56" t="n">
        <f aca="false">IF(OR(F6363&lt;&gt;0,AND(I6363&lt;&gt;"",E6363&lt;I6363)),1,0)</f>
        <v>0</v>
      </c>
      <c r="R6363" s="56" t="n">
        <f aca="false">IF(AND(D6363&gt;1,Q6363=0,ISNUMBER(O6363),ISNUMBER(P6363)),IF(Q6362=0,1,0),0)</f>
        <v>1</v>
      </c>
      <c r="S6363" s="56" t="n">
        <f aca="false">R6363*(B6363&gt;=Train_Start)*(B6363&lt;=Train_End)</f>
        <v>0</v>
      </c>
      <c r="T6363" s="84" t="n">
        <f aca="false">IF(AND(ISNUMBER(O6363),ISNUMBER(P6363)),Coef_A+Coef_B1*O6363+Coef_B2*P6363,"")</f>
        <v>21.3930078249248</v>
      </c>
      <c r="U6363" s="84" t="n">
        <f aca="false">IF(AND(R6363=1,ISNUMBER(T6363)),E6363-T6363,"")</f>
        <v>3.10699217507518</v>
      </c>
      <c r="V6363" s="84" t="n">
        <f aca="false">IF(ISNUMBER(T6363),T6363,-99)</f>
        <v>21.3930078249248</v>
      </c>
      <c r="W6363" s="84" t="n">
        <f aca="false">IF(ISNUMBER(U6363),ABS(U6363),"")</f>
        <v>3.10699217507518</v>
      </c>
    </row>
    <row r="6364" customFormat="false" ht="15" hidden="false" customHeight="false" outlineLevel="0" collapsed="false">
      <c r="A6364" s="57" t="n">
        <v>44041</v>
      </c>
      <c r="B6364" s="56" t="n">
        <v>2020</v>
      </c>
      <c r="C6364" s="56" t="n">
        <v>7</v>
      </c>
      <c r="D6364" s="56" t="n">
        <v>90</v>
      </c>
      <c r="E6364" s="56" t="n">
        <v>29.8</v>
      </c>
      <c r="F6364" s="56" t="n">
        <v>0</v>
      </c>
      <c r="G6364" s="56" t="n">
        <v>9.5</v>
      </c>
      <c r="H6364" s="56" t="n">
        <v>0</v>
      </c>
      <c r="I6364" s="56" t="n">
        <v>17</v>
      </c>
      <c r="J6364" s="56" t="n">
        <v>0</v>
      </c>
      <c r="K6364" s="56" t="n">
        <v>1020</v>
      </c>
      <c r="L6364" s="56" t="n">
        <v>0</v>
      </c>
      <c r="M6364" s="56" t="n">
        <v>57</v>
      </c>
      <c r="N6364" s="56" t="n">
        <v>10.1</v>
      </c>
      <c r="O6364" s="56" t="n">
        <f aca="false">IF(D6364=1,"",E6363)</f>
        <v>24.5</v>
      </c>
      <c r="P6364" s="56" t="n">
        <f aca="false">IF(OR(D6364=1,K6363=""),"",K6363)</f>
        <v>1014.4</v>
      </c>
      <c r="Q6364" s="56" t="n">
        <f aca="false">IF(OR(F6364&lt;&gt;0,AND(I6364&lt;&gt;"",E6364&lt;I6364)),1,0)</f>
        <v>0</v>
      </c>
      <c r="R6364" s="56" t="n">
        <f aca="false">IF(AND(D6364&gt;1,Q6364=0,ISNUMBER(O6364),ISNUMBER(P6364)),IF(Q6363=0,1,0),0)</f>
        <v>1</v>
      </c>
      <c r="S6364" s="56" t="n">
        <f aca="false">R6364*(B6364&gt;=Train_Start)*(B6364&lt;=Train_End)</f>
        <v>0</v>
      </c>
      <c r="T6364" s="84" t="n">
        <f aca="false">IF(AND(ISNUMBER(O6364),ISNUMBER(P6364)),Coef_A+Coef_B1*O6364+Coef_B2*P6364,"")</f>
        <v>23.9824067682596</v>
      </c>
      <c r="U6364" s="84" t="n">
        <f aca="false">IF(AND(R6364=1,ISNUMBER(T6364)),E6364-T6364,"")</f>
        <v>5.81759323174035</v>
      </c>
      <c r="V6364" s="84" t="n">
        <f aca="false">IF(ISNUMBER(T6364),T6364,-99)</f>
        <v>23.9824067682596</v>
      </c>
      <c r="W6364" s="84" t="n">
        <f aca="false">IF(ISNUMBER(U6364),ABS(U6364),"")</f>
        <v>5.81759323174035</v>
      </c>
    </row>
    <row r="6365" customFormat="false" ht="15" hidden="false" customHeight="false" outlineLevel="0" collapsed="false">
      <c r="A6365" s="57" t="n">
        <v>44042</v>
      </c>
      <c r="B6365" s="56" t="n">
        <v>2020</v>
      </c>
      <c r="C6365" s="56" t="n">
        <v>7</v>
      </c>
      <c r="D6365" s="56" t="n">
        <v>91</v>
      </c>
      <c r="E6365" s="56" t="n">
        <v>37.8</v>
      </c>
      <c r="F6365" s="56" t="n">
        <v>0</v>
      </c>
      <c r="G6365" s="56" t="n">
        <v>12.9</v>
      </c>
      <c r="H6365" s="56" t="n">
        <v>0</v>
      </c>
      <c r="I6365" s="56" t="n">
        <v>21.4</v>
      </c>
      <c r="J6365" s="56" t="n">
        <v>0</v>
      </c>
      <c r="K6365" s="56" t="n">
        <v>1018</v>
      </c>
      <c r="L6365" s="56" t="n">
        <v>0</v>
      </c>
      <c r="M6365" s="56" t="n">
        <v>47</v>
      </c>
      <c r="N6365" s="56" t="n">
        <v>13.7</v>
      </c>
      <c r="O6365" s="56" t="n">
        <f aca="false">IF(D6365=1,"",E6364)</f>
        <v>29.8</v>
      </c>
      <c r="P6365" s="56" t="n">
        <f aca="false">IF(OR(D6365=1,K6364=""),"",K6364)</f>
        <v>1020</v>
      </c>
      <c r="Q6365" s="56" t="n">
        <f aca="false">IF(OR(F6365&lt;&gt;0,AND(I6365&lt;&gt;"",E6365&lt;I6365)),1,0)</f>
        <v>0</v>
      </c>
      <c r="R6365" s="56" t="n">
        <f aca="false">IF(AND(D6365&gt;1,Q6365=0,ISNUMBER(O6365),ISNUMBER(P6365)),IF(Q6364=0,1,0),0)</f>
        <v>1</v>
      </c>
      <c r="S6365" s="56" t="n">
        <f aca="false">R6365*(B6365&gt;=Train_Start)*(B6365&lt;=Train_End)</f>
        <v>0</v>
      </c>
      <c r="T6365" s="84" t="n">
        <f aca="false">IF(AND(ISNUMBER(O6365),ISNUMBER(P6365)),Coef_A+Coef_B1*O6365+Coef_B2*P6365,"")</f>
        <v>28.5005759013361</v>
      </c>
      <c r="U6365" s="84" t="n">
        <f aca="false">IF(AND(R6365=1,ISNUMBER(T6365)),E6365-T6365,"")</f>
        <v>9.29942409866392</v>
      </c>
      <c r="V6365" s="84" t="n">
        <f aca="false">IF(ISNUMBER(T6365),T6365,-99)</f>
        <v>28.5005759013361</v>
      </c>
      <c r="W6365" s="84" t="n">
        <f aca="false">IF(ISNUMBER(U6365),ABS(U6365),"")</f>
        <v>9.29942409866392</v>
      </c>
    </row>
    <row r="6366" customFormat="false" ht="15" hidden="false" customHeight="false" outlineLevel="0" collapsed="false">
      <c r="A6366" s="57" t="n">
        <v>44043</v>
      </c>
      <c r="B6366" s="56" t="n">
        <v>2020</v>
      </c>
      <c r="C6366" s="56" t="n">
        <v>7</v>
      </c>
      <c r="D6366" s="56" t="n">
        <v>92</v>
      </c>
      <c r="E6366" s="56" t="n">
        <v>27.7</v>
      </c>
      <c r="F6366" s="56" t="n">
        <v>0</v>
      </c>
      <c r="G6366" s="56" t="n">
        <v>16.5</v>
      </c>
      <c r="H6366" s="56" t="n">
        <v>0</v>
      </c>
      <c r="I6366" s="56" t="n">
        <v>27.1</v>
      </c>
      <c r="J6366" s="56" t="n">
        <v>0</v>
      </c>
      <c r="K6366" s="56" t="n">
        <v>1011.6</v>
      </c>
      <c r="L6366" s="56" t="n">
        <v>0</v>
      </c>
      <c r="M6366" s="56" t="n">
        <v>47</v>
      </c>
      <c r="N6366" s="56" t="n">
        <v>9.6</v>
      </c>
      <c r="O6366" s="56" t="n">
        <f aca="false">IF(D6366=1,"",E6365)</f>
        <v>37.8</v>
      </c>
      <c r="P6366" s="56" t="n">
        <f aca="false">IF(OR(D6366=1,K6365=""),"",K6365)</f>
        <v>1018</v>
      </c>
      <c r="Q6366" s="56" t="n">
        <f aca="false">IF(OR(F6366&lt;&gt;0,AND(I6366&lt;&gt;"",E6366&lt;I6366)),1,0)</f>
        <v>0</v>
      </c>
      <c r="R6366" s="56" t="n">
        <f aca="false">IF(AND(D6366&gt;1,Q6366=0,ISNUMBER(O6366),ISNUMBER(P6366)),IF(Q6365=0,1,0),0)</f>
        <v>1</v>
      </c>
      <c r="S6366" s="56" t="n">
        <f aca="false">R6366*(B6366&gt;=Train_Start)*(B6366&lt;=Train_End)</f>
        <v>0</v>
      </c>
      <c r="T6366" s="84" t="n">
        <f aca="false">IF(AND(ISNUMBER(O6366),ISNUMBER(P6366)),Coef_A+Coef_B1*O6366+Coef_B2*P6366,"")</f>
        <v>34.9925496564094</v>
      </c>
      <c r="U6366" s="84" t="n">
        <f aca="false">IF(AND(R6366=1,ISNUMBER(T6366)),E6366-T6366,"")</f>
        <v>-7.29254965640935</v>
      </c>
      <c r="V6366" s="84" t="n">
        <f aca="false">IF(ISNUMBER(T6366),T6366,-99)</f>
        <v>34.9925496564094</v>
      </c>
      <c r="W6366" s="84" t="n">
        <f aca="false">IF(ISNUMBER(U6366),ABS(U6366),"")</f>
        <v>7.29254965640935</v>
      </c>
    </row>
    <row r="6367" customFormat="false" ht="15" hidden="false" customHeight="false" outlineLevel="0" collapsed="false">
      <c r="A6367" s="57" t="n">
        <v>44044</v>
      </c>
      <c r="B6367" s="56" t="n">
        <v>2020</v>
      </c>
      <c r="C6367" s="56" t="n">
        <v>8</v>
      </c>
      <c r="D6367" s="56" t="n">
        <v>93</v>
      </c>
      <c r="E6367" s="56" t="n">
        <v>25.4</v>
      </c>
      <c r="F6367" s="56" t="n">
        <v>0</v>
      </c>
      <c r="G6367" s="56" t="n">
        <v>15.7</v>
      </c>
      <c r="H6367" s="56" t="n">
        <v>0</v>
      </c>
      <c r="I6367" s="56" t="n">
        <v>21.7</v>
      </c>
      <c r="J6367" s="56" t="n">
        <v>0</v>
      </c>
      <c r="K6367" s="56" t="n">
        <v>1015</v>
      </c>
      <c r="L6367" s="56" t="n">
        <v>0</v>
      </c>
      <c r="M6367" s="56" t="n">
        <v>60</v>
      </c>
      <c r="N6367" s="56" t="n">
        <v>9.4</v>
      </c>
      <c r="O6367" s="56" t="n">
        <f aca="false">IF(D6367=1,"",E6366)</f>
        <v>27.7</v>
      </c>
      <c r="P6367" s="56" t="n">
        <f aca="false">IF(OR(D6367=1,K6366=""),"",K6366)</f>
        <v>1011.6</v>
      </c>
      <c r="Q6367" s="56" t="n">
        <f aca="false">IF(OR(F6367&lt;&gt;0,AND(I6367&lt;&gt;"",E6367&lt;I6367)),1,0)</f>
        <v>0</v>
      </c>
      <c r="R6367" s="56" t="n">
        <f aca="false">IF(AND(D6367&gt;1,Q6367=0,ISNUMBER(O6367),ISNUMBER(P6367)),IF(Q6366=0,1,0),0)</f>
        <v>1</v>
      </c>
      <c r="S6367" s="56" t="n">
        <f aca="false">R6367*(B6367&gt;=Train_Start)*(B6367&lt;=Train_End)</f>
        <v>0</v>
      </c>
      <c r="T6367" s="84" t="n">
        <f aca="false">IF(AND(ISNUMBER(O6367),ISNUMBER(P6367)),Coef_A+Coef_B1*O6367+Coef_B2*P6367,"")</f>
        <v>26.516456481021</v>
      </c>
      <c r="U6367" s="84" t="n">
        <f aca="false">IF(AND(R6367=1,ISNUMBER(T6367)),E6367-T6367,"")</f>
        <v>-1.11645648102098</v>
      </c>
      <c r="V6367" s="84" t="n">
        <f aca="false">IF(ISNUMBER(T6367),T6367,-99)</f>
        <v>26.516456481021</v>
      </c>
      <c r="W6367" s="84" t="n">
        <f aca="false">IF(ISNUMBER(U6367),ABS(U6367),"")</f>
        <v>1.11645648102098</v>
      </c>
    </row>
    <row r="6368" customFormat="false" ht="15" hidden="false" customHeight="false" outlineLevel="0" collapsed="false">
      <c r="A6368" s="57" t="n">
        <v>44045</v>
      </c>
      <c r="B6368" s="56" t="n">
        <v>2020</v>
      </c>
      <c r="C6368" s="56" t="n">
        <v>8</v>
      </c>
      <c r="D6368" s="56" t="n">
        <v>94</v>
      </c>
      <c r="E6368" s="56" t="n">
        <v>23.5</v>
      </c>
      <c r="F6368" s="56" t="n">
        <v>0</v>
      </c>
      <c r="G6368" s="56" t="n">
        <v>11.6</v>
      </c>
      <c r="H6368" s="56" t="n">
        <v>0</v>
      </c>
      <c r="I6368" s="56" t="n">
        <v>18.5</v>
      </c>
      <c r="J6368" s="56" t="n">
        <v>0</v>
      </c>
      <c r="K6368" s="56" t="n">
        <v>1016.4</v>
      </c>
      <c r="L6368" s="56" t="n">
        <v>0</v>
      </c>
      <c r="M6368" s="56" t="n">
        <v>57</v>
      </c>
      <c r="N6368" s="56" t="n">
        <v>8.8</v>
      </c>
      <c r="O6368" s="56" t="n">
        <f aca="false">IF(D6368=1,"",E6367)</f>
        <v>25.4</v>
      </c>
      <c r="P6368" s="56" t="n">
        <f aca="false">IF(OR(D6368=1,K6367=""),"",K6367)</f>
        <v>1015</v>
      </c>
      <c r="Q6368" s="56" t="n">
        <f aca="false">IF(OR(F6368&lt;&gt;0,AND(I6368&lt;&gt;"",E6368&lt;I6368)),1,0)</f>
        <v>0</v>
      </c>
      <c r="R6368" s="56" t="n">
        <f aca="false">IF(AND(D6368&gt;1,Q6368=0,ISNUMBER(O6368),ISNUMBER(P6368)),IF(Q6367=0,1,0),0)</f>
        <v>1</v>
      </c>
      <c r="S6368" s="56" t="n">
        <f aca="false">R6368*(B6368&gt;=Train_Start)*(B6368&lt;=Train_End)</f>
        <v>0</v>
      </c>
      <c r="T6368" s="84" t="n">
        <f aca="false">IF(AND(ISNUMBER(O6368),ISNUMBER(P6368)),Coef_A+Coef_B1*O6368+Coef_B2*P6368,"")</f>
        <v>24.7386339787784</v>
      </c>
      <c r="U6368" s="84" t="n">
        <f aca="false">IF(AND(R6368=1,ISNUMBER(T6368)),E6368-T6368,"")</f>
        <v>-1.23863397877843</v>
      </c>
      <c r="V6368" s="84" t="n">
        <f aca="false">IF(ISNUMBER(T6368),T6368,-99)</f>
        <v>24.7386339787784</v>
      </c>
      <c r="W6368" s="84" t="n">
        <f aca="false">IF(ISNUMBER(U6368),ABS(U6368),"")</f>
        <v>1.23863397877843</v>
      </c>
    </row>
    <row r="6369" customFormat="false" ht="15" hidden="false" customHeight="false" outlineLevel="0" collapsed="false">
      <c r="A6369" s="57" t="n">
        <v>44046</v>
      </c>
      <c r="B6369" s="56" t="n">
        <v>2020</v>
      </c>
      <c r="C6369" s="56" t="n">
        <v>8</v>
      </c>
      <c r="D6369" s="56" t="n">
        <v>95</v>
      </c>
      <c r="E6369" s="56" t="n">
        <v>24.9</v>
      </c>
      <c r="F6369" s="56" t="n">
        <v>0</v>
      </c>
      <c r="G6369" s="56" t="n">
        <v>13.8</v>
      </c>
      <c r="H6369" s="56" t="n">
        <v>0</v>
      </c>
      <c r="I6369" s="56" t="n">
        <v>18.6</v>
      </c>
      <c r="J6369" s="56" t="n">
        <v>0</v>
      </c>
      <c r="K6369" s="56" t="n">
        <v>1015.9</v>
      </c>
      <c r="L6369" s="56" t="n">
        <v>0</v>
      </c>
      <c r="M6369" s="56" t="n">
        <v>52</v>
      </c>
      <c r="N6369" s="56" t="n">
        <v>9.1</v>
      </c>
      <c r="O6369" s="56" t="n">
        <f aca="false">IF(D6369=1,"",E6368)</f>
        <v>23.5</v>
      </c>
      <c r="P6369" s="56" t="n">
        <f aca="false">IF(OR(D6369=1,K6368=""),"",K6368)</f>
        <v>1016.4</v>
      </c>
      <c r="Q6369" s="56" t="n">
        <f aca="false">IF(OR(F6369&lt;&gt;0,AND(I6369&lt;&gt;"",E6369&lt;I6369)),1,0)</f>
        <v>0</v>
      </c>
      <c r="R6369" s="56" t="n">
        <f aca="false">IF(AND(D6369&gt;1,Q6369=0,ISNUMBER(O6369),ISNUMBER(P6369)),IF(Q6368=0,1,0),0)</f>
        <v>1</v>
      </c>
      <c r="S6369" s="56" t="n">
        <f aca="false">R6369*(B6369&gt;=Train_Start)*(B6369&lt;=Train_End)</f>
        <v>0</v>
      </c>
      <c r="T6369" s="84" t="n">
        <f aca="false">IF(AND(ISNUMBER(O6369),ISNUMBER(P6369)),Coef_A+Coef_B1*O6369+Coef_B2*P6369,"")</f>
        <v>23.225807364485</v>
      </c>
      <c r="U6369" s="84" t="n">
        <f aca="false">IF(AND(R6369=1,ISNUMBER(T6369)),E6369-T6369,"")</f>
        <v>1.67419263551503</v>
      </c>
      <c r="V6369" s="84" t="n">
        <f aca="false">IF(ISNUMBER(T6369),T6369,-99)</f>
        <v>23.225807364485</v>
      </c>
      <c r="W6369" s="84" t="n">
        <f aca="false">IF(ISNUMBER(U6369),ABS(U6369),"")</f>
        <v>1.67419263551503</v>
      </c>
    </row>
    <row r="6370" customFormat="false" ht="15" hidden="false" customHeight="false" outlineLevel="0" collapsed="false">
      <c r="A6370" s="57" t="n">
        <v>44047</v>
      </c>
      <c r="B6370" s="56" t="n">
        <v>2020</v>
      </c>
      <c r="C6370" s="56" t="n">
        <v>8</v>
      </c>
      <c r="D6370" s="56" t="n">
        <v>96</v>
      </c>
      <c r="E6370" s="56" t="n">
        <v>26.8</v>
      </c>
      <c r="F6370" s="56" t="n">
        <v>0</v>
      </c>
      <c r="G6370" s="56" t="n">
        <v>11</v>
      </c>
      <c r="H6370" s="56" t="n">
        <v>0</v>
      </c>
      <c r="I6370" s="56" t="n">
        <v>17.9</v>
      </c>
      <c r="J6370" s="56" t="n">
        <v>0</v>
      </c>
      <c r="K6370" s="56" t="n">
        <v>1015.9</v>
      </c>
      <c r="L6370" s="56" t="n">
        <v>0</v>
      </c>
      <c r="M6370" s="56" t="n">
        <v>58</v>
      </c>
      <c r="N6370" s="56" t="n">
        <v>8.7</v>
      </c>
      <c r="O6370" s="56" t="n">
        <f aca="false">IF(D6370=1,"",E6369)</f>
        <v>24.9</v>
      </c>
      <c r="P6370" s="56" t="n">
        <f aca="false">IF(OR(D6370=1,K6369=""),"",K6369)</f>
        <v>1015.9</v>
      </c>
      <c r="Q6370" s="56" t="n">
        <f aca="false">IF(OR(F6370&lt;&gt;0,AND(I6370&lt;&gt;"",E6370&lt;I6370)),1,0)</f>
        <v>0</v>
      </c>
      <c r="R6370" s="56" t="n">
        <f aca="false">IF(AND(D6370&gt;1,Q6370=0,ISNUMBER(O6370),ISNUMBER(P6370)),IF(Q6369=0,1,0),0)</f>
        <v>1</v>
      </c>
      <c r="S6370" s="56" t="n">
        <f aca="false">R6370*(B6370&gt;=Train_Start)*(B6370&lt;=Train_End)</f>
        <v>0</v>
      </c>
      <c r="T6370" s="84" t="n">
        <f aca="false">IF(AND(ISNUMBER(O6370),ISNUMBER(P6370)),Coef_A+Coef_B1*O6370+Coef_B2*P6370,"")</f>
        <v>24.3571972874277</v>
      </c>
      <c r="U6370" s="84" t="n">
        <f aca="false">IF(AND(R6370=1,ISNUMBER(T6370)),E6370-T6370,"")</f>
        <v>2.44280271257231</v>
      </c>
      <c r="V6370" s="84" t="n">
        <f aca="false">IF(ISNUMBER(T6370),T6370,-99)</f>
        <v>24.3571972874277</v>
      </c>
      <c r="W6370" s="84" t="n">
        <f aca="false">IF(ISNUMBER(U6370),ABS(U6370),"")</f>
        <v>2.44280271257231</v>
      </c>
    </row>
    <row r="6371" customFormat="false" ht="15" hidden="false" customHeight="false" outlineLevel="0" collapsed="false">
      <c r="A6371" s="57" t="n">
        <v>44048</v>
      </c>
      <c r="B6371" s="56" t="n">
        <v>2020</v>
      </c>
      <c r="C6371" s="56" t="n">
        <v>8</v>
      </c>
      <c r="D6371" s="56" t="n">
        <v>97</v>
      </c>
      <c r="E6371" s="56" t="n">
        <v>29.7</v>
      </c>
      <c r="F6371" s="56" t="n">
        <v>0</v>
      </c>
      <c r="G6371" s="56" t="n">
        <v>15.6</v>
      </c>
      <c r="H6371" s="56" t="n">
        <v>0</v>
      </c>
      <c r="I6371" s="56" t="n">
        <v>21.2</v>
      </c>
      <c r="J6371" s="56" t="n">
        <v>0</v>
      </c>
      <c r="K6371" s="56" t="n">
        <v>1013</v>
      </c>
      <c r="L6371" s="56" t="n">
        <v>0</v>
      </c>
      <c r="M6371" s="56" t="n">
        <v>61</v>
      </c>
      <c r="N6371" s="56" t="n">
        <v>5.8</v>
      </c>
      <c r="O6371" s="56" t="n">
        <f aca="false">IF(D6371=1,"",E6370)</f>
        <v>26.8</v>
      </c>
      <c r="P6371" s="56" t="n">
        <f aca="false">IF(OR(D6371=1,K6370=""),"",K6370)</f>
        <v>1015.9</v>
      </c>
      <c r="Q6371" s="56" t="n">
        <f aca="false">IF(OR(F6371&lt;&gt;0,AND(I6371&lt;&gt;"",E6371&lt;I6371)),1,0)</f>
        <v>0</v>
      </c>
      <c r="R6371" s="56" t="n">
        <f aca="false">IF(AND(D6371&gt;1,Q6371=0,ISNUMBER(O6371),ISNUMBER(P6371)),IF(Q6370=0,1,0),0)</f>
        <v>1</v>
      </c>
      <c r="S6371" s="56" t="n">
        <f aca="false">R6371*(B6371&gt;=Train_Start)*(B6371&lt;=Train_End)</f>
        <v>0</v>
      </c>
      <c r="T6371" s="84" t="n">
        <f aca="false">IF(AND(ISNUMBER(O6371),ISNUMBER(P6371)),Coef_A+Coef_B1*O6371+Coef_B2*P6371,"")</f>
        <v>25.9139417542087</v>
      </c>
      <c r="U6371" s="84" t="n">
        <f aca="false">IF(AND(R6371=1,ISNUMBER(T6371)),E6371-T6371,"")</f>
        <v>3.78605824579125</v>
      </c>
      <c r="V6371" s="84" t="n">
        <f aca="false">IF(ISNUMBER(T6371),T6371,-99)</f>
        <v>25.9139417542087</v>
      </c>
      <c r="W6371" s="84" t="n">
        <f aca="false">IF(ISNUMBER(U6371),ABS(U6371),"")</f>
        <v>3.78605824579125</v>
      </c>
    </row>
    <row r="6372" customFormat="false" ht="15" hidden="false" customHeight="false" outlineLevel="0" collapsed="false">
      <c r="A6372" s="57" t="n">
        <v>44049</v>
      </c>
      <c r="B6372" s="56" t="n">
        <v>2020</v>
      </c>
      <c r="C6372" s="56" t="n">
        <v>8</v>
      </c>
      <c r="D6372" s="56" t="n">
        <v>98</v>
      </c>
      <c r="E6372" s="56" t="n">
        <v>36.4</v>
      </c>
      <c r="F6372" s="56" t="n">
        <v>0</v>
      </c>
      <c r="G6372" s="56" t="n">
        <v>18.2</v>
      </c>
      <c r="H6372" s="56" t="n">
        <v>0</v>
      </c>
      <c r="I6372" s="56" t="n">
        <v>23.9</v>
      </c>
      <c r="J6372" s="56" t="n">
        <v>0</v>
      </c>
      <c r="K6372" s="56" t="n">
        <v>1016.9</v>
      </c>
      <c r="L6372" s="56" t="n">
        <v>0</v>
      </c>
      <c r="M6372" s="56" t="n">
        <v>66</v>
      </c>
      <c r="N6372" s="56" t="n">
        <v>5.2</v>
      </c>
      <c r="O6372" s="56" t="n">
        <f aca="false">IF(D6372=1,"",E6371)</f>
        <v>29.7</v>
      </c>
      <c r="P6372" s="56" t="n">
        <f aca="false">IF(OR(D6372=1,K6371=""),"",K6371)</f>
        <v>1013</v>
      </c>
      <c r="Q6372" s="56" t="n">
        <f aca="false">IF(OR(F6372&lt;&gt;0,AND(I6372&lt;&gt;"",E6372&lt;I6372)),1,0)</f>
        <v>0</v>
      </c>
      <c r="R6372" s="56" t="n">
        <f aca="false">IF(AND(D6372&gt;1,Q6372=0,ISNUMBER(O6372),ISNUMBER(P6372)),IF(Q6371=0,1,0),0)</f>
        <v>1</v>
      </c>
      <c r="S6372" s="56" t="n">
        <f aca="false">R6372*(B6372&gt;=Train_Start)*(B6372&lt;=Train_End)</f>
        <v>0</v>
      </c>
      <c r="T6372" s="84" t="n">
        <f aca="false">IF(AND(ISNUMBER(O6372),ISNUMBER(P6372)),Coef_A+Coef_B1*O6372+Coef_B2*P6372,"")</f>
        <v>28.1990527195939</v>
      </c>
      <c r="U6372" s="84" t="n">
        <f aca="false">IF(AND(R6372=1,ISNUMBER(T6372)),E6372-T6372,"")</f>
        <v>8.20094728040612</v>
      </c>
      <c r="V6372" s="84" t="n">
        <f aca="false">IF(ISNUMBER(T6372),T6372,-99)</f>
        <v>28.1990527195939</v>
      </c>
      <c r="W6372" s="84" t="n">
        <f aca="false">IF(ISNUMBER(U6372),ABS(U6372),"")</f>
        <v>8.20094728040612</v>
      </c>
    </row>
    <row r="6373" customFormat="false" ht="15" hidden="false" customHeight="false" outlineLevel="0" collapsed="false">
      <c r="A6373" s="57" t="n">
        <v>44050</v>
      </c>
      <c r="B6373" s="56" t="n">
        <v>2020</v>
      </c>
      <c r="C6373" s="56" t="n">
        <v>8</v>
      </c>
      <c r="D6373" s="56" t="n">
        <v>99</v>
      </c>
      <c r="E6373" s="56" t="n">
        <v>33.4</v>
      </c>
      <c r="F6373" s="56" t="n">
        <v>0</v>
      </c>
      <c r="G6373" s="56" t="n">
        <v>15.9</v>
      </c>
      <c r="H6373" s="56" t="n">
        <v>0</v>
      </c>
      <c r="I6373" s="56" t="n">
        <v>26.1</v>
      </c>
      <c r="J6373" s="56" t="n">
        <v>0</v>
      </c>
      <c r="K6373" s="56" t="n">
        <v>1017.8</v>
      </c>
      <c r="L6373" s="56" t="n">
        <v>0</v>
      </c>
      <c r="M6373" s="56" t="n">
        <v>46</v>
      </c>
      <c r="N6373" s="56" t="n">
        <v>9.5</v>
      </c>
      <c r="O6373" s="56" t="n">
        <f aca="false">IF(D6373=1,"",E6372)</f>
        <v>36.4</v>
      </c>
      <c r="P6373" s="56" t="n">
        <f aca="false">IF(OR(D6373=1,K6372=""),"",K6372)</f>
        <v>1016.9</v>
      </c>
      <c r="Q6373" s="56" t="n">
        <f aca="false">IF(OR(F6373&lt;&gt;0,AND(I6373&lt;&gt;"",E6373&lt;I6373)),1,0)</f>
        <v>0</v>
      </c>
      <c r="R6373" s="56" t="n">
        <f aca="false">IF(AND(D6373&gt;1,Q6373=0,ISNUMBER(O6373),ISNUMBER(P6373)),IF(Q6372=0,1,0),0)</f>
        <v>1</v>
      </c>
      <c r="S6373" s="56" t="n">
        <f aca="false">R6373*(B6373&gt;=Train_Start)*(B6373&lt;=Train_End)</f>
        <v>0</v>
      </c>
      <c r="T6373" s="84" t="n">
        <f aca="false">IF(AND(ISNUMBER(O6373),ISNUMBER(P6373)),Coef_A+Coef_B1*O6373+Coef_B2*P6373,"")</f>
        <v>33.8109679020522</v>
      </c>
      <c r="U6373" s="84" t="n">
        <f aca="false">IF(AND(R6373=1,ISNUMBER(T6373)),E6373-T6373,"")</f>
        <v>-0.410967902052242</v>
      </c>
      <c r="V6373" s="84" t="n">
        <f aca="false">IF(ISNUMBER(T6373),T6373,-99)</f>
        <v>33.8109679020522</v>
      </c>
      <c r="W6373" s="84" t="n">
        <f aca="false">IF(ISNUMBER(U6373),ABS(U6373),"")</f>
        <v>0.410967902052242</v>
      </c>
    </row>
    <row r="6374" customFormat="false" ht="15" hidden="false" customHeight="false" outlineLevel="0" collapsed="false">
      <c r="A6374" s="57" t="n">
        <v>44051</v>
      </c>
      <c r="B6374" s="56" t="n">
        <v>2020</v>
      </c>
      <c r="C6374" s="56" t="n">
        <v>8</v>
      </c>
      <c r="D6374" s="56" t="n">
        <v>100</v>
      </c>
      <c r="E6374" s="56" t="n">
        <v>33.8</v>
      </c>
      <c r="F6374" s="56" t="n">
        <v>0</v>
      </c>
      <c r="G6374" s="56" t="n">
        <v>20.7</v>
      </c>
      <c r="H6374" s="56" t="n">
        <v>0</v>
      </c>
      <c r="I6374" s="56" t="n">
        <v>27.1</v>
      </c>
      <c r="J6374" s="56" t="n">
        <v>0</v>
      </c>
      <c r="K6374" s="56" t="n">
        <v>1018.9</v>
      </c>
      <c r="L6374" s="56" t="n">
        <v>0</v>
      </c>
      <c r="M6374" s="56" t="n">
        <v>56</v>
      </c>
      <c r="N6374" s="56" t="n">
        <v>5.4</v>
      </c>
      <c r="O6374" s="56" t="n">
        <f aca="false">IF(D6374=1,"",E6373)</f>
        <v>33.4</v>
      </c>
      <c r="P6374" s="56" t="n">
        <f aca="false">IF(OR(D6374=1,K6373=""),"",K6373)</f>
        <v>1017.8</v>
      </c>
      <c r="Q6374" s="56" t="n">
        <f aca="false">IF(OR(F6374&lt;&gt;0,AND(I6374&lt;&gt;"",E6374&lt;I6374)),1,0)</f>
        <v>0</v>
      </c>
      <c r="R6374" s="56" t="n">
        <f aca="false">IF(AND(D6374&gt;1,Q6374=0,ISNUMBER(O6374),ISNUMBER(P6374)),IF(Q6373=0,1,0),0)</f>
        <v>1</v>
      </c>
      <c r="S6374" s="56" t="n">
        <f aca="false">R6374*(B6374&gt;=Train_Start)*(B6374&lt;=Train_End)</f>
        <v>0</v>
      </c>
      <c r="T6374" s="84" t="n">
        <f aca="false">IF(AND(ISNUMBER(O6374),ISNUMBER(P6374)),Coef_A+Coef_B1*O6374+Coef_B2*P6374,"")</f>
        <v>31.3811832280949</v>
      </c>
      <c r="U6374" s="84" t="n">
        <f aca="false">IF(AND(R6374=1,ISNUMBER(T6374)),E6374-T6374,"")</f>
        <v>2.41881677190514</v>
      </c>
      <c r="V6374" s="84" t="n">
        <f aca="false">IF(ISNUMBER(T6374),T6374,-99)</f>
        <v>31.3811832280949</v>
      </c>
      <c r="W6374" s="84" t="n">
        <f aca="false">IF(ISNUMBER(U6374),ABS(U6374),"")</f>
        <v>2.41881677190514</v>
      </c>
    </row>
    <row r="6375" customFormat="false" ht="15" hidden="false" customHeight="false" outlineLevel="0" collapsed="false">
      <c r="A6375" s="57" t="n">
        <v>44052</v>
      </c>
      <c r="B6375" s="56" t="n">
        <v>2020</v>
      </c>
      <c r="C6375" s="56" t="n">
        <v>8</v>
      </c>
      <c r="D6375" s="56" t="n">
        <v>101</v>
      </c>
      <c r="E6375" s="56" t="n">
        <v>35.5</v>
      </c>
      <c r="F6375" s="56" t="n">
        <v>0</v>
      </c>
      <c r="G6375" s="56" t="n">
        <v>17.3</v>
      </c>
      <c r="H6375" s="56" t="n">
        <v>0</v>
      </c>
      <c r="I6375" s="56" t="n">
        <v>25.6</v>
      </c>
      <c r="J6375" s="56" t="n">
        <v>0</v>
      </c>
      <c r="K6375" s="56" t="n">
        <v>1017.6</v>
      </c>
      <c r="L6375" s="56" t="n">
        <v>0</v>
      </c>
      <c r="M6375" s="56" t="n">
        <v>61</v>
      </c>
      <c r="N6375" s="56" t="n">
        <v>9.9</v>
      </c>
      <c r="O6375" s="56" t="n">
        <f aca="false">IF(D6375=1,"",E6374)</f>
        <v>33.8</v>
      </c>
      <c r="P6375" s="56" t="n">
        <f aca="false">IF(OR(D6375=1,K6374=""),"",K6374)</f>
        <v>1018.9</v>
      </c>
      <c r="Q6375" s="56" t="n">
        <f aca="false">IF(OR(F6375&lt;&gt;0,AND(I6375&lt;&gt;"",E6375&lt;I6375)),1,0)</f>
        <v>0</v>
      </c>
      <c r="R6375" s="56" t="n">
        <f aca="false">IF(AND(D6375&gt;1,Q6375=0,ISNUMBER(O6375),ISNUMBER(P6375)),IF(Q6374=0,1,0),0)</f>
        <v>1</v>
      </c>
      <c r="S6375" s="56" t="n">
        <f aca="false">R6375*(B6375&gt;=Train_Start)*(B6375&lt;=Train_End)</f>
        <v>0</v>
      </c>
      <c r="T6375" s="84" t="n">
        <f aca="false">IF(AND(ISNUMBER(O6375),ISNUMBER(P6375)),Coef_A+Coef_B1*O6375+Coef_B2*P6375,"")</f>
        <v>31.7434257894093</v>
      </c>
      <c r="U6375" s="84" t="n">
        <f aca="false">IF(AND(R6375=1,ISNUMBER(T6375)),E6375-T6375,"")</f>
        <v>3.75657421059069</v>
      </c>
      <c r="V6375" s="84" t="n">
        <f aca="false">IF(ISNUMBER(T6375),T6375,-99)</f>
        <v>31.7434257894093</v>
      </c>
      <c r="W6375" s="84" t="n">
        <f aca="false">IF(ISNUMBER(U6375),ABS(U6375),"")</f>
        <v>3.75657421059069</v>
      </c>
    </row>
    <row r="6376" customFormat="false" ht="15" hidden="false" customHeight="false" outlineLevel="0" collapsed="false">
      <c r="A6376" s="57" t="n">
        <v>44053</v>
      </c>
      <c r="B6376" s="56" t="n">
        <v>2020</v>
      </c>
      <c r="C6376" s="56" t="n">
        <v>8</v>
      </c>
      <c r="D6376" s="56" t="n">
        <v>102</v>
      </c>
      <c r="E6376" s="56" t="n">
        <v>35.7</v>
      </c>
      <c r="F6376" s="56" t="n">
        <v>0</v>
      </c>
      <c r="G6376" s="56" t="n">
        <v>18.7</v>
      </c>
      <c r="H6376" s="56" t="n">
        <v>0</v>
      </c>
      <c r="I6376" s="56" t="n">
        <v>27.1</v>
      </c>
      <c r="J6376" s="56" t="n">
        <v>0</v>
      </c>
      <c r="K6376" s="56" t="n">
        <v>1013.9</v>
      </c>
      <c r="L6376" s="56" t="n">
        <v>0</v>
      </c>
      <c r="M6376" s="56" t="n">
        <v>56</v>
      </c>
      <c r="N6376" s="56" t="n">
        <v>11.3</v>
      </c>
      <c r="O6376" s="56" t="n">
        <f aca="false">IF(D6376=1,"",E6375)</f>
        <v>35.5</v>
      </c>
      <c r="P6376" s="56" t="n">
        <f aca="false">IF(OR(D6376=1,K6375=""),"",K6375)</f>
        <v>1017.6</v>
      </c>
      <c r="Q6376" s="56" t="n">
        <f aca="false">IF(OR(F6376&lt;&gt;0,AND(I6376&lt;&gt;"",E6376&lt;I6376)),1,0)</f>
        <v>0</v>
      </c>
      <c r="R6376" s="56" t="n">
        <f aca="false">IF(AND(D6376&gt;1,Q6376=0,ISNUMBER(O6376),ISNUMBER(P6376)),IF(Q6375=0,1,0),0)</f>
        <v>1</v>
      </c>
      <c r="S6376" s="56" t="n">
        <f aca="false">R6376*(B6376&gt;=Train_Start)*(B6376&lt;=Train_End)</f>
        <v>0</v>
      </c>
      <c r="T6376" s="84" t="n">
        <f aca="false">IF(AND(ISNUMBER(O6376),ISNUMBER(P6376)),Coef_A+Coef_B1*O6376+Coef_B2*P6376,"")</f>
        <v>33.0955215545577</v>
      </c>
      <c r="U6376" s="84" t="n">
        <f aca="false">IF(AND(R6376=1,ISNUMBER(T6376)),E6376-T6376,"")</f>
        <v>2.60447844544235</v>
      </c>
      <c r="V6376" s="84" t="n">
        <f aca="false">IF(ISNUMBER(T6376),T6376,-99)</f>
        <v>33.0955215545577</v>
      </c>
      <c r="W6376" s="84" t="n">
        <f aca="false">IF(ISNUMBER(U6376),ABS(U6376),"")</f>
        <v>2.60447844544235</v>
      </c>
    </row>
    <row r="6377" customFormat="false" ht="15" hidden="false" customHeight="false" outlineLevel="0" collapsed="false">
      <c r="A6377" s="57" t="n">
        <v>44054</v>
      </c>
      <c r="B6377" s="56" t="n">
        <v>2020</v>
      </c>
      <c r="C6377" s="56" t="n">
        <v>8</v>
      </c>
      <c r="D6377" s="56" t="n">
        <v>103</v>
      </c>
      <c r="E6377" s="56" t="n">
        <v>35.4</v>
      </c>
      <c r="F6377" s="56" t="n">
        <v>0</v>
      </c>
      <c r="G6377" s="56" t="n">
        <v>21.2</v>
      </c>
      <c r="H6377" s="56" t="n">
        <v>0</v>
      </c>
      <c r="I6377" s="56" t="n">
        <v>28.4</v>
      </c>
      <c r="J6377" s="56" t="n">
        <v>0</v>
      </c>
      <c r="K6377" s="56" t="n">
        <v>1014</v>
      </c>
      <c r="L6377" s="56" t="n">
        <v>0</v>
      </c>
      <c r="M6377" s="56" t="n">
        <v>50</v>
      </c>
      <c r="N6377" s="56" t="n">
        <v>9.1</v>
      </c>
      <c r="O6377" s="56" t="n">
        <f aca="false">IF(D6377=1,"",E6376)</f>
        <v>35.7</v>
      </c>
      <c r="P6377" s="56" t="n">
        <f aca="false">IF(OR(D6377=1,K6376=""),"",K6376)</f>
        <v>1013.9</v>
      </c>
      <c r="Q6377" s="56" t="n">
        <f aca="false">IF(OR(F6377&lt;&gt;0,AND(I6377&lt;&gt;"",E6377&lt;I6377)),1,0)</f>
        <v>0</v>
      </c>
      <c r="R6377" s="56" t="n">
        <f aca="false">IF(AND(D6377&gt;1,Q6377=0,ISNUMBER(O6377),ISNUMBER(P6377)),IF(Q6376=0,1,0),0)</f>
        <v>1</v>
      </c>
      <c r="S6377" s="56" t="n">
        <f aca="false">R6377*(B6377&gt;=Train_Start)*(B6377&lt;=Train_End)</f>
        <v>0</v>
      </c>
      <c r="T6377" s="84" t="n">
        <f aca="false">IF(AND(ISNUMBER(O6377),ISNUMBER(P6377)),Coef_A+Coef_B1*O6377+Coef_B2*P6377,"")</f>
        <v>33.1433207830204</v>
      </c>
      <c r="U6377" s="84" t="n">
        <f aca="false">IF(AND(R6377=1,ISNUMBER(T6377)),E6377-T6377,"")</f>
        <v>2.25667921697958</v>
      </c>
      <c r="V6377" s="84" t="n">
        <f aca="false">IF(ISNUMBER(T6377),T6377,-99)</f>
        <v>33.1433207830204</v>
      </c>
      <c r="W6377" s="84" t="n">
        <f aca="false">IF(ISNUMBER(U6377),ABS(U6377),"")</f>
        <v>2.25667921697958</v>
      </c>
    </row>
    <row r="6378" customFormat="false" ht="15" hidden="false" customHeight="false" outlineLevel="0" collapsed="false">
      <c r="A6378" s="57" t="n">
        <v>44055</v>
      </c>
      <c r="B6378" s="56" t="n">
        <v>2020</v>
      </c>
      <c r="C6378" s="56" t="n">
        <v>8</v>
      </c>
      <c r="D6378" s="56" t="n">
        <v>104</v>
      </c>
      <c r="E6378" s="56" t="n">
        <v>28.4</v>
      </c>
      <c r="F6378" s="56" t="n">
        <v>1</v>
      </c>
      <c r="G6378" s="56" t="n">
        <v>21.7</v>
      </c>
      <c r="H6378" s="56" t="n">
        <v>0</v>
      </c>
      <c r="I6378" s="56" t="n">
        <v>28.6</v>
      </c>
      <c r="J6378" s="56" t="n">
        <v>1</v>
      </c>
      <c r="K6378" s="56" t="n">
        <v>1012.9</v>
      </c>
      <c r="L6378" s="56" t="n">
        <v>0</v>
      </c>
      <c r="M6378" s="56" t="n">
        <v>57</v>
      </c>
      <c r="N6378" s="56" t="n">
        <v>7.2</v>
      </c>
      <c r="O6378" s="56" t="n">
        <f aca="false">IF(D6378=1,"",E6377)</f>
        <v>35.4</v>
      </c>
      <c r="P6378" s="56" t="n">
        <f aca="false">IF(OR(D6378=1,K6377=""),"",K6377)</f>
        <v>1014</v>
      </c>
      <c r="Q6378" s="56" t="n">
        <f aca="false">IF(OR(F6378&lt;&gt;0,AND(I6378&lt;&gt;"",E6378&lt;I6378)),1,0)</f>
        <v>1</v>
      </c>
      <c r="R6378" s="56" t="n">
        <f aca="false">IF(AND(D6378&gt;1,Q6378=0,ISNUMBER(O6378),ISNUMBER(P6378)),IF(Q6377=0,1,0),0)</f>
        <v>0</v>
      </c>
      <c r="S6378" s="56" t="n">
        <f aca="false">R6378*(B6378&gt;=Train_Start)*(B6378&lt;=Train_End)</f>
        <v>0</v>
      </c>
      <c r="T6378" s="84" t="n">
        <f aca="false">IF(AND(ISNUMBER(O6378),ISNUMBER(P6378)),Coef_A+Coef_B1*O6378+Coef_B2*P6378,"")</f>
        <v>32.900656014571</v>
      </c>
      <c r="U6378" s="84" t="str">
        <f aca="false">IF(AND(R6378=1,ISNUMBER(T6378)),E6378-T6378,"")</f>
        <v/>
      </c>
      <c r="V6378" s="84" t="n">
        <f aca="false">IF(ISNUMBER(T6378),T6378,-99)</f>
        <v>32.900656014571</v>
      </c>
      <c r="W6378" s="84" t="str">
        <f aca="false">IF(ISNUMBER(U6378),ABS(U6378),"")</f>
        <v/>
      </c>
    </row>
    <row r="6379" customFormat="false" ht="15" hidden="false" customHeight="false" outlineLevel="0" collapsed="false">
      <c r="A6379" s="57" t="n">
        <v>44056</v>
      </c>
      <c r="B6379" s="56" t="n">
        <v>2020</v>
      </c>
      <c r="C6379" s="56" t="n">
        <v>8</v>
      </c>
      <c r="D6379" s="56" t="n">
        <v>105</v>
      </c>
      <c r="E6379" s="56" t="n">
        <v>20.2</v>
      </c>
      <c r="F6379" s="56" t="n">
        <v>1</v>
      </c>
      <c r="G6379" s="56" t="n">
        <v>19.3</v>
      </c>
      <c r="H6379" s="56" t="n">
        <v>0</v>
      </c>
      <c r="I6379" s="56" t="n">
        <v>23.9</v>
      </c>
      <c r="J6379" s="56" t="n">
        <v>1</v>
      </c>
      <c r="K6379" s="56" t="n">
        <v>1012.3</v>
      </c>
      <c r="L6379" s="56" t="n">
        <v>0</v>
      </c>
      <c r="M6379" s="56" t="n">
        <v>76</v>
      </c>
      <c r="N6379" s="56" t="n">
        <v>3.4</v>
      </c>
      <c r="O6379" s="56" t="n">
        <f aca="false">IF(D6379=1,"",E6378)</f>
        <v>28.4</v>
      </c>
      <c r="P6379" s="56" t="n">
        <f aca="false">IF(OR(D6379=1,K6378=""),"",K6378)</f>
        <v>1012.9</v>
      </c>
      <c r="Q6379" s="56" t="n">
        <f aca="false">IF(OR(F6379&lt;&gt;0,AND(I6379&lt;&gt;"",E6379&lt;I6379)),1,0)</f>
        <v>1</v>
      </c>
      <c r="R6379" s="56" t="n">
        <f aca="false">IF(AND(D6379&gt;1,Q6379=0,ISNUMBER(O6379),ISNUMBER(P6379)),IF(Q6378=0,1,0),0)</f>
        <v>0</v>
      </c>
      <c r="S6379" s="56" t="n">
        <f aca="false">R6379*(B6379&gt;=Train_Start)*(B6379&lt;=Train_End)</f>
        <v>0</v>
      </c>
      <c r="T6379" s="84" t="n">
        <f aca="false">IF(AND(ISNUMBER(O6379),ISNUMBER(P6379)),Coef_A+Coef_B1*O6379+Coef_B2*P6379,"")</f>
        <v>27.130774779175</v>
      </c>
      <c r="U6379" s="84" t="str">
        <f aca="false">IF(AND(R6379=1,ISNUMBER(T6379)),E6379-T6379,"")</f>
        <v/>
      </c>
      <c r="V6379" s="84" t="n">
        <f aca="false">IF(ISNUMBER(T6379),T6379,-99)</f>
        <v>27.130774779175</v>
      </c>
      <c r="W6379" s="84" t="str">
        <f aca="false">IF(ISNUMBER(U6379),ABS(U6379),"")</f>
        <v/>
      </c>
    </row>
    <row r="6380" customFormat="false" ht="15" hidden="false" customHeight="false" outlineLevel="0" collapsed="false">
      <c r="A6380" s="57" t="n">
        <v>44057</v>
      </c>
      <c r="B6380" s="56" t="n">
        <v>2020</v>
      </c>
      <c r="C6380" s="56" t="n">
        <v>8</v>
      </c>
      <c r="D6380" s="56" t="n">
        <v>106</v>
      </c>
      <c r="E6380" s="56" t="n">
        <v>21.1</v>
      </c>
      <c r="F6380" s="56" t="n">
        <v>0</v>
      </c>
      <c r="G6380" s="56" t="n">
        <v>17.2</v>
      </c>
      <c r="H6380" s="56" t="n">
        <v>0</v>
      </c>
      <c r="I6380" s="56" t="n">
        <v>18.7</v>
      </c>
      <c r="J6380" s="56" t="n">
        <v>0</v>
      </c>
      <c r="K6380" s="56" t="n">
        <v>1013.8</v>
      </c>
      <c r="L6380" s="56" t="n">
        <v>0</v>
      </c>
      <c r="M6380" s="56" t="n">
        <v>89</v>
      </c>
      <c r="N6380" s="56" t="n">
        <v>0</v>
      </c>
      <c r="O6380" s="56" t="n">
        <f aca="false">IF(D6380=1,"",E6379)</f>
        <v>20.2</v>
      </c>
      <c r="P6380" s="56" t="n">
        <f aca="false">IF(OR(D6380=1,K6379=""),"",K6379)</f>
        <v>1012.3</v>
      </c>
      <c r="Q6380" s="56" t="n">
        <f aca="false">IF(OR(F6380&lt;&gt;0,AND(I6380&lt;&gt;"",E6380&lt;I6380)),1,0)</f>
        <v>0</v>
      </c>
      <c r="R6380" s="56" t="n">
        <f aca="false">IF(AND(D6380&gt;1,Q6380=0,ISNUMBER(O6380),ISNUMBER(P6380)),IF(Q6379=0,1,0),0)</f>
        <v>0</v>
      </c>
      <c r="S6380" s="56" t="n">
        <f aca="false">R6380*(B6380&gt;=Train_Start)*(B6380&lt;=Train_End)</f>
        <v>0</v>
      </c>
      <c r="T6380" s="84" t="n">
        <f aca="false">IF(AND(ISNUMBER(O6380),ISNUMBER(P6380)),Coef_A+Coef_B1*O6380+Coef_B2*P6380,"")</f>
        <v>20.3933714594448</v>
      </c>
      <c r="U6380" s="84" t="str">
        <f aca="false">IF(AND(R6380=1,ISNUMBER(T6380)),E6380-T6380,"")</f>
        <v/>
      </c>
      <c r="V6380" s="84" t="n">
        <f aca="false">IF(ISNUMBER(T6380),T6380,-99)</f>
        <v>20.3933714594448</v>
      </c>
      <c r="W6380" s="84" t="str">
        <f aca="false">IF(ISNUMBER(U6380),ABS(U6380),"")</f>
        <v/>
      </c>
    </row>
    <row r="6381" customFormat="false" ht="15" hidden="false" customHeight="false" outlineLevel="0" collapsed="false">
      <c r="A6381" s="57" t="n">
        <v>44058</v>
      </c>
      <c r="B6381" s="56" t="n">
        <v>2020</v>
      </c>
      <c r="C6381" s="56" t="n">
        <v>8</v>
      </c>
      <c r="D6381" s="56" t="n">
        <v>107</v>
      </c>
      <c r="E6381" s="56" t="n">
        <v>24.8</v>
      </c>
      <c r="F6381" s="56" t="n">
        <v>0</v>
      </c>
      <c r="G6381" s="56" t="n">
        <v>16.5</v>
      </c>
      <c r="H6381" s="56" t="n">
        <v>0</v>
      </c>
      <c r="I6381" s="56" t="n">
        <v>18.8</v>
      </c>
      <c r="J6381" s="56" t="n">
        <v>0</v>
      </c>
      <c r="K6381" s="56" t="n">
        <v>1014.5</v>
      </c>
      <c r="L6381" s="56" t="n">
        <v>0</v>
      </c>
      <c r="M6381" s="56" t="n">
        <v>93</v>
      </c>
      <c r="N6381" s="56" t="n">
        <v>0</v>
      </c>
      <c r="O6381" s="56" t="n">
        <f aca="false">IF(D6381=1,"",E6380)</f>
        <v>21.1</v>
      </c>
      <c r="P6381" s="56" t="n">
        <f aca="false">IF(OR(D6381=1,K6380=""),"",K6380)</f>
        <v>1013.8</v>
      </c>
      <c r="Q6381" s="56" t="n">
        <f aca="false">IF(OR(F6381&lt;&gt;0,AND(I6381&lt;&gt;"",E6381&lt;I6381)),1,0)</f>
        <v>0</v>
      </c>
      <c r="R6381" s="56" t="n">
        <f aca="false">IF(AND(D6381&gt;1,Q6381=0,ISNUMBER(O6381),ISNUMBER(P6381)),IF(Q6380=0,1,0),0)</f>
        <v>1</v>
      </c>
      <c r="S6381" s="56" t="n">
        <f aca="false">R6381*(B6381&gt;=Train_Start)*(B6381&lt;=Train_End)</f>
        <v>0</v>
      </c>
      <c r="T6381" s="84" t="n">
        <f aca="false">IF(AND(ISNUMBER(O6381),ISNUMBER(P6381)),Coef_A+Coef_B1*O6381+Coef_B2*P6381,"")</f>
        <v>21.1778315751342</v>
      </c>
      <c r="U6381" s="84" t="n">
        <f aca="false">IF(AND(R6381=1,ISNUMBER(T6381)),E6381-T6381,"")</f>
        <v>3.62216842486578</v>
      </c>
      <c r="V6381" s="84" t="n">
        <f aca="false">IF(ISNUMBER(T6381),T6381,-99)</f>
        <v>21.1778315751342</v>
      </c>
      <c r="W6381" s="84" t="n">
        <f aca="false">IF(ISNUMBER(U6381),ABS(U6381),"")</f>
        <v>3.62216842486578</v>
      </c>
    </row>
    <row r="6382" customFormat="false" ht="15" hidden="false" customHeight="false" outlineLevel="0" collapsed="false">
      <c r="A6382" s="57" t="n">
        <v>44059</v>
      </c>
      <c r="B6382" s="56" t="n">
        <v>2020</v>
      </c>
      <c r="C6382" s="56" t="n">
        <v>8</v>
      </c>
      <c r="D6382" s="56" t="n">
        <v>108</v>
      </c>
      <c r="E6382" s="56" t="n">
        <v>25.1</v>
      </c>
      <c r="F6382" s="56" t="n">
        <v>0</v>
      </c>
      <c r="G6382" s="56" t="n">
        <v>17.3</v>
      </c>
      <c r="H6382" s="56" t="n">
        <v>0</v>
      </c>
      <c r="I6382" s="56" t="n">
        <v>21.1</v>
      </c>
      <c r="J6382" s="56" t="n">
        <v>0</v>
      </c>
      <c r="K6382" s="56" t="n">
        <v>1010.6</v>
      </c>
      <c r="L6382" s="56" t="n">
        <v>0</v>
      </c>
      <c r="M6382" s="56" t="n">
        <v>78</v>
      </c>
      <c r="N6382" s="56" t="n">
        <v>1.3</v>
      </c>
      <c r="O6382" s="56" t="n">
        <f aca="false">IF(D6382=1,"",E6381)</f>
        <v>24.8</v>
      </c>
      <c r="P6382" s="56" t="n">
        <f aca="false">IF(OR(D6382=1,K6381=""),"",K6381)</f>
        <v>1014.5</v>
      </c>
      <c r="Q6382" s="56" t="n">
        <f aca="false">IF(OR(F6382&lt;&gt;0,AND(I6382&lt;&gt;"",E6382&lt;I6382)),1,0)</f>
        <v>0</v>
      </c>
      <c r="R6382" s="56" t="n">
        <f aca="false">IF(AND(D6382&gt;1,Q6382=0,ISNUMBER(O6382),ISNUMBER(P6382)),IF(Q6381=0,1,0),0)</f>
        <v>1</v>
      </c>
      <c r="S6382" s="56" t="n">
        <f aca="false">R6382*(B6382&gt;=Train_Start)*(B6382&lt;=Train_End)</f>
        <v>0</v>
      </c>
      <c r="T6382" s="84" t="n">
        <f aca="false">IF(AND(ISNUMBER(O6382),ISNUMBER(P6382)),Coef_A+Coef_B1*O6382+Coef_B2*P6382,"")</f>
        <v>24.2313455156358</v>
      </c>
      <c r="U6382" s="84" t="n">
        <f aca="false">IF(AND(R6382=1,ISNUMBER(T6382)),E6382-T6382,"")</f>
        <v>0.868654484364157</v>
      </c>
      <c r="V6382" s="84" t="n">
        <f aca="false">IF(ISNUMBER(T6382),T6382,-99)</f>
        <v>24.2313455156358</v>
      </c>
      <c r="W6382" s="84" t="n">
        <f aca="false">IF(ISNUMBER(U6382),ABS(U6382),"")</f>
        <v>0.868654484364157</v>
      </c>
    </row>
    <row r="6383" customFormat="false" ht="15" hidden="false" customHeight="false" outlineLevel="0" collapsed="false">
      <c r="A6383" s="57" t="n">
        <v>44060</v>
      </c>
      <c r="B6383" s="56" t="n">
        <v>2020</v>
      </c>
      <c r="C6383" s="56" t="n">
        <v>8</v>
      </c>
      <c r="D6383" s="56" t="n">
        <v>109</v>
      </c>
      <c r="E6383" s="56" t="n">
        <v>25</v>
      </c>
      <c r="F6383" s="56" t="n">
        <v>0</v>
      </c>
      <c r="G6383" s="56" t="n">
        <v>15</v>
      </c>
      <c r="H6383" s="56" t="n">
        <v>0</v>
      </c>
      <c r="I6383" s="56" t="n">
        <v>20.1</v>
      </c>
      <c r="J6383" s="56" t="n">
        <v>0</v>
      </c>
      <c r="K6383" s="56" t="n">
        <v>1007.9</v>
      </c>
      <c r="L6383" s="56" t="n">
        <v>0</v>
      </c>
      <c r="M6383" s="56" t="n">
        <v>77</v>
      </c>
      <c r="N6383" s="56" t="n">
        <v>5.9</v>
      </c>
      <c r="O6383" s="56" t="n">
        <f aca="false">IF(D6383=1,"",E6382)</f>
        <v>25.1</v>
      </c>
      <c r="P6383" s="56" t="n">
        <f aca="false">IF(OR(D6383=1,K6382=""),"",K6382)</f>
        <v>1010.6</v>
      </c>
      <c r="Q6383" s="56" t="n">
        <f aca="false">IF(OR(F6383&lt;&gt;0,AND(I6383&lt;&gt;"",E6383&lt;I6383)),1,0)</f>
        <v>0</v>
      </c>
      <c r="R6383" s="56" t="n">
        <f aca="false">IF(AND(D6383&gt;1,Q6383=0,ISNUMBER(O6383),ISNUMBER(P6383)),IF(Q6382=0,1,0),0)</f>
        <v>1</v>
      </c>
      <c r="S6383" s="56" t="n">
        <f aca="false">R6383*(B6383&gt;=Train_Start)*(B6383&lt;=Train_End)</f>
        <v>0</v>
      </c>
      <c r="T6383" s="84" t="n">
        <f aca="false">IF(AND(ISNUMBER(O6383),ISNUMBER(P6383)),Coef_A+Coef_B1*O6383+Coef_B2*P6383,"")</f>
        <v>24.3548046844761</v>
      </c>
      <c r="U6383" s="84" t="n">
        <f aca="false">IF(AND(R6383=1,ISNUMBER(T6383)),E6383-T6383,"")</f>
        <v>0.645195315523917</v>
      </c>
      <c r="V6383" s="84" t="n">
        <f aca="false">IF(ISNUMBER(T6383),T6383,-99)</f>
        <v>24.3548046844761</v>
      </c>
      <c r="W6383" s="84" t="n">
        <f aca="false">IF(ISNUMBER(U6383),ABS(U6383),"")</f>
        <v>0.645195315523917</v>
      </c>
    </row>
    <row r="6384" customFormat="false" ht="15" hidden="false" customHeight="false" outlineLevel="0" collapsed="false">
      <c r="A6384" s="57" t="n">
        <v>44061</v>
      </c>
      <c r="B6384" s="56" t="n">
        <v>2020</v>
      </c>
      <c r="C6384" s="56" t="n">
        <v>8</v>
      </c>
      <c r="D6384" s="56" t="n">
        <v>110</v>
      </c>
      <c r="E6384" s="56" t="n">
        <v>20.6</v>
      </c>
      <c r="F6384" s="56" t="n">
        <v>0</v>
      </c>
      <c r="G6384" s="56" t="n">
        <v>16.2</v>
      </c>
      <c r="H6384" s="56" t="n">
        <v>0</v>
      </c>
      <c r="I6384" s="56" t="n">
        <v>20.6</v>
      </c>
      <c r="J6384" s="56" t="n">
        <v>0</v>
      </c>
      <c r="K6384" s="56" t="n">
        <v>1008.9</v>
      </c>
      <c r="L6384" s="56" t="n">
        <v>0</v>
      </c>
      <c r="M6384" s="56" t="n">
        <v>73</v>
      </c>
      <c r="N6384" s="56" t="n">
        <v>5.2</v>
      </c>
      <c r="O6384" s="56" t="n">
        <f aca="false">IF(D6384=1,"",E6383)</f>
        <v>25</v>
      </c>
      <c r="P6384" s="56" t="n">
        <f aca="false">IF(OR(D6384=1,K6383=""),"",K6383)</f>
        <v>1007.9</v>
      </c>
      <c r="Q6384" s="56" t="n">
        <f aca="false">IF(OR(F6384&lt;&gt;0,AND(I6384&lt;&gt;"",E6384&lt;I6384)),1,0)</f>
        <v>0</v>
      </c>
      <c r="R6384" s="56" t="n">
        <f aca="false">IF(AND(D6384&gt;1,Q6384=0,ISNUMBER(O6384),ISNUMBER(P6384)),IF(Q6383=0,1,0),0)</f>
        <v>1</v>
      </c>
      <c r="S6384" s="56" t="n">
        <f aca="false">R6384*(B6384&gt;=Train_Start)*(B6384&lt;=Train_End)</f>
        <v>0</v>
      </c>
      <c r="T6384" s="84" t="n">
        <f aca="false">IF(AND(ISNUMBER(O6384),ISNUMBER(P6384)),Coef_A+Coef_B1*O6384+Coef_B2*P6384,"")</f>
        <v>24.18817204966</v>
      </c>
      <c r="U6384" s="84" t="n">
        <f aca="false">IF(AND(R6384=1,ISNUMBER(T6384)),E6384-T6384,"")</f>
        <v>-3.58817204966005</v>
      </c>
      <c r="V6384" s="84" t="n">
        <f aca="false">IF(ISNUMBER(T6384),T6384,-99)</f>
        <v>24.18817204966</v>
      </c>
      <c r="W6384" s="84" t="n">
        <f aca="false">IF(ISNUMBER(U6384),ABS(U6384),"")</f>
        <v>3.58817204966005</v>
      </c>
    </row>
    <row r="6385" customFormat="false" ht="15" hidden="false" customHeight="false" outlineLevel="0" collapsed="false">
      <c r="A6385" s="57" t="n">
        <v>44062</v>
      </c>
      <c r="B6385" s="56" t="n">
        <v>2020</v>
      </c>
      <c r="C6385" s="56" t="n">
        <v>8</v>
      </c>
      <c r="D6385" s="56" t="n">
        <v>111</v>
      </c>
      <c r="E6385" s="56" t="n">
        <v>25.8</v>
      </c>
      <c r="F6385" s="56" t="n">
        <v>0</v>
      </c>
      <c r="G6385" s="56" t="n">
        <v>14.8</v>
      </c>
      <c r="H6385" s="56" t="n">
        <v>0</v>
      </c>
      <c r="I6385" s="56" t="n">
        <v>17.7</v>
      </c>
      <c r="J6385" s="56" t="n">
        <v>0</v>
      </c>
      <c r="K6385" s="56" t="n">
        <v>1003.3</v>
      </c>
      <c r="L6385" s="56" t="n">
        <v>0</v>
      </c>
      <c r="M6385" s="56" t="n">
        <v>95</v>
      </c>
      <c r="N6385" s="56" t="n">
        <v>0</v>
      </c>
      <c r="O6385" s="56" t="n">
        <f aca="false">IF(D6385=1,"",E6384)</f>
        <v>20.6</v>
      </c>
      <c r="P6385" s="56" t="n">
        <f aca="false">IF(OR(D6385=1,K6384=""),"",K6384)</f>
        <v>1008.9</v>
      </c>
      <c r="Q6385" s="56" t="n">
        <f aca="false">IF(OR(F6385&lt;&gt;0,AND(I6385&lt;&gt;"",E6385&lt;I6385)),1,0)</f>
        <v>0</v>
      </c>
      <c r="R6385" s="56" t="n">
        <f aca="false">IF(AND(D6385&gt;1,Q6385=0,ISNUMBER(O6385),ISNUMBER(P6385)),IF(Q6384=0,1,0),0)</f>
        <v>1</v>
      </c>
      <c r="S6385" s="56" t="n">
        <f aca="false">R6385*(B6385&gt;=Train_Start)*(B6385&lt;=Train_End)</f>
        <v>0</v>
      </c>
      <c r="T6385" s="84" t="n">
        <f aca="false">IF(AND(ISNUMBER(O6385),ISNUMBER(P6385)),Coef_A+Coef_B1*O6385+Coef_B2*P6385,"")</f>
        <v>20.6144494949063</v>
      </c>
      <c r="U6385" s="84" t="n">
        <f aca="false">IF(AND(R6385=1,ISNUMBER(T6385)),E6385-T6385,"")</f>
        <v>5.18555050509366</v>
      </c>
      <c r="V6385" s="84" t="n">
        <f aca="false">IF(ISNUMBER(T6385),T6385,-99)</f>
        <v>20.6144494949063</v>
      </c>
      <c r="W6385" s="84" t="n">
        <f aca="false">IF(ISNUMBER(U6385),ABS(U6385),"")</f>
        <v>5.18555050509366</v>
      </c>
    </row>
    <row r="6386" customFormat="false" ht="15" hidden="false" customHeight="false" outlineLevel="0" collapsed="false">
      <c r="A6386" s="57" t="n">
        <v>44063</v>
      </c>
      <c r="B6386" s="56" t="n">
        <v>2020</v>
      </c>
      <c r="C6386" s="56" t="n">
        <v>8</v>
      </c>
      <c r="D6386" s="56" t="n">
        <v>112</v>
      </c>
      <c r="E6386" s="56" t="n">
        <v>23.9</v>
      </c>
      <c r="F6386" s="56" t="n">
        <v>0</v>
      </c>
      <c r="G6386" s="56" t="n">
        <v>16</v>
      </c>
      <c r="H6386" s="56" t="n">
        <v>0</v>
      </c>
      <c r="I6386" s="56" t="n">
        <v>20.9</v>
      </c>
      <c r="J6386" s="56" t="n">
        <v>0</v>
      </c>
      <c r="K6386" s="56" t="n">
        <v>1002.7</v>
      </c>
      <c r="L6386" s="56" t="n">
        <v>0</v>
      </c>
      <c r="M6386" s="56" t="n">
        <v>64</v>
      </c>
      <c r="N6386" s="56" t="n">
        <v>11.6</v>
      </c>
      <c r="O6386" s="56" t="n">
        <f aca="false">IF(D6386=1,"",E6385)</f>
        <v>25.8</v>
      </c>
      <c r="P6386" s="56" t="n">
        <f aca="false">IF(OR(D6386=1,K6385=""),"",K6385)</f>
        <v>1003.3</v>
      </c>
      <c r="Q6386" s="56" t="n">
        <f aca="false">IF(OR(F6386&lt;&gt;0,AND(I6386&lt;&gt;"",E6386&lt;I6386)),1,0)</f>
        <v>0</v>
      </c>
      <c r="R6386" s="56" t="n">
        <f aca="false">IF(AND(D6386&gt;1,Q6386=0,ISNUMBER(O6386),ISNUMBER(P6386)),IF(Q6385=0,1,0),0)</f>
        <v>1</v>
      </c>
      <c r="S6386" s="56" t="n">
        <f aca="false">R6386*(B6386&gt;=Train_Start)*(B6386&lt;=Train_End)</f>
        <v>0</v>
      </c>
      <c r="T6386" s="84" t="n">
        <f aca="false">IF(AND(ISNUMBER(O6386),ISNUMBER(P6386)),Coef_A+Coef_B1*O6386+Coef_B2*P6386,"")</f>
        <v>24.6993418887778</v>
      </c>
      <c r="U6386" s="84" t="n">
        <f aca="false">IF(AND(R6386=1,ISNUMBER(T6386)),E6386-T6386,"")</f>
        <v>-0.799341888777821</v>
      </c>
      <c r="V6386" s="84" t="n">
        <f aca="false">IF(ISNUMBER(T6386),T6386,-99)</f>
        <v>24.6993418887778</v>
      </c>
      <c r="W6386" s="84" t="n">
        <f aca="false">IF(ISNUMBER(U6386),ABS(U6386),"")</f>
        <v>0.799341888777821</v>
      </c>
    </row>
    <row r="6387" customFormat="false" ht="15" hidden="false" customHeight="false" outlineLevel="0" collapsed="false">
      <c r="A6387" s="57" t="n">
        <v>44064</v>
      </c>
      <c r="B6387" s="56" t="n">
        <v>2020</v>
      </c>
      <c r="C6387" s="56" t="n">
        <v>8</v>
      </c>
      <c r="D6387" s="56" t="n">
        <v>113</v>
      </c>
      <c r="E6387" s="56" t="n">
        <v>24.4</v>
      </c>
      <c r="F6387" s="56" t="n">
        <v>0</v>
      </c>
      <c r="G6387" s="56" t="n">
        <v>17.5</v>
      </c>
      <c r="H6387" s="56" t="n">
        <v>0</v>
      </c>
      <c r="I6387" s="56" t="n">
        <v>20.7</v>
      </c>
      <c r="J6387" s="56" t="n">
        <v>0</v>
      </c>
      <c r="K6387" s="56" t="n">
        <v>1003.5</v>
      </c>
      <c r="L6387" s="56" t="n">
        <v>0</v>
      </c>
      <c r="M6387" s="56" t="n">
        <v>65</v>
      </c>
      <c r="N6387" s="56" t="n">
        <v>4.2</v>
      </c>
      <c r="O6387" s="56" t="n">
        <f aca="false">IF(D6387=1,"",E6386)</f>
        <v>23.9</v>
      </c>
      <c r="P6387" s="56" t="n">
        <f aca="false">IF(OR(D6387=1,K6386=""),"",K6386)</f>
        <v>1002.7</v>
      </c>
      <c r="Q6387" s="56" t="n">
        <f aca="false">IF(OR(F6387&lt;&gt;0,AND(I6387&lt;&gt;"",E6387&lt;I6387)),1,0)</f>
        <v>0</v>
      </c>
      <c r="R6387" s="56" t="n">
        <f aca="false">IF(AND(D6387&gt;1,Q6387=0,ISNUMBER(O6387),ISNUMBER(P6387)),IF(Q6386=0,1,0),0)</f>
        <v>1</v>
      </c>
      <c r="S6387" s="56" t="n">
        <f aca="false">R6387*(B6387&gt;=Train_Start)*(B6387&lt;=Train_End)</f>
        <v>0</v>
      </c>
      <c r="T6387" s="84" t="n">
        <f aca="false">IF(AND(ISNUMBER(O6387),ISNUMBER(P6387)),Coef_A+Coef_B1*O6387+Coef_B2*P6387,"")</f>
        <v>23.1237754852164</v>
      </c>
      <c r="U6387" s="84" t="n">
        <f aca="false">IF(AND(R6387=1,ISNUMBER(T6387)),E6387-T6387,"")</f>
        <v>1.27622451478362</v>
      </c>
      <c r="V6387" s="84" t="n">
        <f aca="false">IF(ISNUMBER(T6387),T6387,-99)</f>
        <v>23.1237754852164</v>
      </c>
      <c r="W6387" s="84" t="n">
        <f aca="false">IF(ISNUMBER(U6387),ABS(U6387),"")</f>
        <v>1.27622451478362</v>
      </c>
    </row>
    <row r="6388" customFormat="false" ht="15" hidden="false" customHeight="false" outlineLevel="0" collapsed="false">
      <c r="A6388" s="57" t="n">
        <v>44065</v>
      </c>
      <c r="B6388" s="56" t="n">
        <v>2020</v>
      </c>
      <c r="C6388" s="56" t="n">
        <v>8</v>
      </c>
      <c r="D6388" s="56" t="n">
        <v>114</v>
      </c>
      <c r="E6388" s="56" t="n">
        <v>23.6</v>
      </c>
      <c r="F6388" s="56" t="n">
        <v>0</v>
      </c>
      <c r="G6388" s="56" t="n">
        <v>16.3</v>
      </c>
      <c r="H6388" s="56" t="n">
        <v>0</v>
      </c>
      <c r="I6388" s="56" t="n">
        <v>20.4</v>
      </c>
      <c r="J6388" s="56" t="n">
        <v>0</v>
      </c>
      <c r="K6388" s="56" t="n">
        <v>1011.8</v>
      </c>
      <c r="L6388" s="56" t="n">
        <v>0</v>
      </c>
      <c r="M6388" s="56" t="n">
        <v>64</v>
      </c>
      <c r="N6388" s="56" t="n">
        <v>8.4</v>
      </c>
      <c r="O6388" s="56" t="n">
        <f aca="false">IF(D6388=1,"",E6387)</f>
        <v>24.4</v>
      </c>
      <c r="P6388" s="56" t="n">
        <f aca="false">IF(OR(D6388=1,K6387=""),"",K6387)</f>
        <v>1003.5</v>
      </c>
      <c r="Q6388" s="56" t="n">
        <f aca="false">IF(OR(F6388&lt;&gt;0,AND(I6388&lt;&gt;"",E6388&lt;I6388)),1,0)</f>
        <v>0</v>
      </c>
      <c r="R6388" s="56" t="n">
        <f aca="false">IF(AND(D6388&gt;1,Q6388=0,ISNUMBER(O6388),ISNUMBER(P6388)),IF(Q6387=0,1,0),0)</f>
        <v>1</v>
      </c>
      <c r="S6388" s="56" t="n">
        <f aca="false">R6388*(B6388&gt;=Train_Start)*(B6388&lt;=Train_End)</f>
        <v>0</v>
      </c>
      <c r="T6388" s="84" t="n">
        <f aca="false">IF(AND(ISNUMBER(O6388),ISNUMBER(P6388)),Coef_A+Coef_B1*O6388+Coef_B2*P6388,"")</f>
        <v>23.5585409974449</v>
      </c>
      <c r="U6388" s="84" t="n">
        <f aca="false">IF(AND(R6388=1,ISNUMBER(T6388)),E6388-T6388,"")</f>
        <v>0.0414590025551043</v>
      </c>
      <c r="V6388" s="84" t="n">
        <f aca="false">IF(ISNUMBER(T6388),T6388,-99)</f>
        <v>23.5585409974449</v>
      </c>
      <c r="W6388" s="84" t="n">
        <f aca="false">IF(ISNUMBER(U6388),ABS(U6388),"")</f>
        <v>0.0414590025551043</v>
      </c>
    </row>
    <row r="6389" customFormat="false" ht="15" hidden="false" customHeight="false" outlineLevel="0" collapsed="false">
      <c r="A6389" s="57" t="n">
        <v>44066</v>
      </c>
      <c r="B6389" s="56" t="n">
        <v>2020</v>
      </c>
      <c r="C6389" s="56" t="n">
        <v>8</v>
      </c>
      <c r="D6389" s="56" t="n">
        <v>115</v>
      </c>
      <c r="E6389" s="56" t="n">
        <v>23.7</v>
      </c>
      <c r="F6389" s="56" t="n">
        <v>0</v>
      </c>
      <c r="G6389" s="56" t="n">
        <v>14.7</v>
      </c>
      <c r="H6389" s="56" t="n">
        <v>0</v>
      </c>
      <c r="I6389" s="56" t="n">
        <v>19.1</v>
      </c>
      <c r="J6389" s="56" t="n">
        <v>0</v>
      </c>
      <c r="K6389" s="56" t="n">
        <v>1016.3</v>
      </c>
      <c r="L6389" s="56" t="n">
        <v>0</v>
      </c>
      <c r="M6389" s="56" t="n">
        <v>67</v>
      </c>
      <c r="N6389" s="56" t="n">
        <v>4.4</v>
      </c>
      <c r="O6389" s="56" t="n">
        <f aca="false">IF(D6389=1,"",E6388)</f>
        <v>23.6</v>
      </c>
      <c r="P6389" s="56" t="n">
        <f aca="false">IF(OR(D6389=1,K6388=""),"",K6388)</f>
        <v>1011.8</v>
      </c>
      <c r="Q6389" s="56" t="n">
        <f aca="false">IF(OR(F6389&lt;&gt;0,AND(I6389&lt;&gt;"",E6389&lt;I6389)),1,0)</f>
        <v>0</v>
      </c>
      <c r="R6389" s="56" t="n">
        <f aca="false">IF(AND(D6389&gt;1,Q6389=0,ISNUMBER(O6389),ISNUMBER(P6389)),IF(Q6388=0,1,0),0)</f>
        <v>1</v>
      </c>
      <c r="S6389" s="56" t="n">
        <f aca="false">R6389*(B6389&gt;=Train_Start)*(B6389&lt;=Train_End)</f>
        <v>0</v>
      </c>
      <c r="T6389" s="84" t="n">
        <f aca="false">IF(AND(ISNUMBER(O6389),ISNUMBER(P6389)),Coef_A+Coef_B1*O6389+Coef_B2*P6389,"")</f>
        <v>23.1634397684729</v>
      </c>
      <c r="U6389" s="84" t="n">
        <f aca="false">IF(AND(R6389=1,ISNUMBER(T6389)),E6389-T6389,"")</f>
        <v>0.536560231527115</v>
      </c>
      <c r="V6389" s="84" t="n">
        <f aca="false">IF(ISNUMBER(T6389),T6389,-99)</f>
        <v>23.1634397684729</v>
      </c>
      <c r="W6389" s="84" t="n">
        <f aca="false">IF(ISNUMBER(U6389),ABS(U6389),"")</f>
        <v>0.536560231527115</v>
      </c>
    </row>
    <row r="6390" customFormat="false" ht="15" hidden="false" customHeight="false" outlineLevel="0" collapsed="false">
      <c r="A6390" s="57" t="n">
        <v>44067</v>
      </c>
      <c r="B6390" s="56" t="n">
        <v>2020</v>
      </c>
      <c r="C6390" s="56" t="n">
        <v>8</v>
      </c>
      <c r="D6390" s="56" t="n">
        <v>116</v>
      </c>
      <c r="E6390" s="56" t="n">
        <v>22.4</v>
      </c>
      <c r="F6390" s="56" t="n">
        <v>0</v>
      </c>
      <c r="G6390" s="56" t="n">
        <v>13.5</v>
      </c>
      <c r="H6390" s="56" t="n">
        <v>0</v>
      </c>
      <c r="I6390" s="56" t="n">
        <v>18.6</v>
      </c>
      <c r="J6390" s="56" t="n">
        <v>0</v>
      </c>
      <c r="K6390" s="56" t="n">
        <v>1015.2</v>
      </c>
      <c r="L6390" s="56" t="n">
        <v>0</v>
      </c>
      <c r="M6390" s="56" t="n">
        <v>77</v>
      </c>
      <c r="N6390" s="56" t="n">
        <v>2.1</v>
      </c>
      <c r="O6390" s="56" t="n">
        <f aca="false">IF(D6390=1,"",E6389)</f>
        <v>23.7</v>
      </c>
      <c r="P6390" s="56" t="n">
        <f aca="false">IF(OR(D6390=1,K6389=""),"",K6389)</f>
        <v>1016.3</v>
      </c>
      <c r="Q6390" s="56" t="n">
        <f aca="false">IF(OR(F6390&lt;&gt;0,AND(I6390&lt;&gt;"",E6390&lt;I6390)),1,0)</f>
        <v>0</v>
      </c>
      <c r="R6390" s="56" t="n">
        <f aca="false">IF(AND(D6390&gt;1,Q6390=0,ISNUMBER(O6390),ISNUMBER(P6390)),IF(Q6389=0,1,0),0)</f>
        <v>1</v>
      </c>
      <c r="S6390" s="56" t="n">
        <f aca="false">R6390*(B6390&gt;=Train_Start)*(B6390&lt;=Train_End)</f>
        <v>0</v>
      </c>
      <c r="T6390" s="84" t="n">
        <f aca="false">IF(AND(ISNUMBER(O6390),ISNUMBER(P6390)),Coef_A+Coef_B1*O6390+Coef_B2*P6390,"")</f>
        <v>23.3865382136301</v>
      </c>
      <c r="U6390" s="84" t="n">
        <f aca="false">IF(AND(R6390=1,ISNUMBER(T6390)),E6390-T6390,"")</f>
        <v>-0.986538213630102</v>
      </c>
      <c r="V6390" s="84" t="n">
        <f aca="false">IF(ISNUMBER(T6390),T6390,-99)</f>
        <v>23.3865382136301</v>
      </c>
      <c r="W6390" s="84" t="n">
        <f aca="false">IF(ISNUMBER(U6390),ABS(U6390),"")</f>
        <v>0.986538213630102</v>
      </c>
    </row>
    <row r="6391" customFormat="false" ht="15" hidden="false" customHeight="false" outlineLevel="0" collapsed="false">
      <c r="A6391" s="57" t="n">
        <v>44068</v>
      </c>
      <c r="B6391" s="56" t="n">
        <v>2020</v>
      </c>
      <c r="C6391" s="56" t="n">
        <v>8</v>
      </c>
      <c r="D6391" s="56" t="n">
        <v>117</v>
      </c>
      <c r="E6391" s="56" t="n">
        <v>23.6</v>
      </c>
      <c r="F6391" s="56" t="n">
        <v>0</v>
      </c>
      <c r="G6391" s="56" t="n">
        <v>15.5</v>
      </c>
      <c r="H6391" s="56" t="n">
        <v>0</v>
      </c>
      <c r="I6391" s="56" t="n">
        <v>18.9</v>
      </c>
      <c r="J6391" s="56" t="n">
        <v>0</v>
      </c>
      <c r="K6391" s="56" t="n">
        <v>1001.6</v>
      </c>
      <c r="L6391" s="56" t="n">
        <v>0</v>
      </c>
      <c r="M6391" s="56" t="n">
        <v>83</v>
      </c>
      <c r="N6391" s="56" t="n">
        <v>0.9</v>
      </c>
      <c r="O6391" s="56" t="n">
        <f aca="false">IF(D6391=1,"",E6390)</f>
        <v>22.4</v>
      </c>
      <c r="P6391" s="56" t="n">
        <f aca="false">IF(OR(D6391=1,K6390=""),"",K6390)</f>
        <v>1015.2</v>
      </c>
      <c r="Q6391" s="56" t="n">
        <f aca="false">IF(OR(F6391&lt;&gt;0,AND(I6391&lt;&gt;"",E6391&lt;I6391)),1,0)</f>
        <v>0</v>
      </c>
      <c r="R6391" s="56" t="n">
        <f aca="false">IF(AND(D6391&gt;1,Q6391=0,ISNUMBER(O6391),ISNUMBER(P6391)),IF(Q6390=0,1,0),0)</f>
        <v>1</v>
      </c>
      <c r="S6391" s="56" t="n">
        <f aca="false">R6391*(B6391&gt;=Train_Start)*(B6391&lt;=Train_End)</f>
        <v>0</v>
      </c>
      <c r="T6391" s="84" t="n">
        <f aca="false">IF(AND(ISNUMBER(O6391),ISNUMBER(P6391)),Coef_A+Coef_B1*O6391+Coef_B2*P6391,"")</f>
        <v>22.2868903785773</v>
      </c>
      <c r="U6391" s="84" t="n">
        <f aca="false">IF(AND(R6391=1,ISNUMBER(T6391)),E6391-T6391,"")</f>
        <v>1.31310962142274</v>
      </c>
      <c r="V6391" s="84" t="n">
        <f aca="false">IF(ISNUMBER(T6391),T6391,-99)</f>
        <v>22.2868903785773</v>
      </c>
      <c r="W6391" s="84" t="n">
        <f aca="false">IF(ISNUMBER(U6391),ABS(U6391),"")</f>
        <v>1.31310962142274</v>
      </c>
    </row>
    <row r="6392" customFormat="false" ht="15" hidden="false" customHeight="false" outlineLevel="0" collapsed="false">
      <c r="A6392" s="57" t="n">
        <v>44069</v>
      </c>
      <c r="B6392" s="56" t="n">
        <v>2020</v>
      </c>
      <c r="C6392" s="56" t="n">
        <v>8</v>
      </c>
      <c r="D6392" s="56" t="n">
        <v>118</v>
      </c>
      <c r="E6392" s="56" t="n">
        <v>18.3</v>
      </c>
      <c r="F6392" s="56" t="n">
        <v>1</v>
      </c>
      <c r="G6392" s="56" t="n">
        <v>15.2</v>
      </c>
      <c r="H6392" s="56" t="n">
        <v>0</v>
      </c>
      <c r="I6392" s="56" t="n">
        <v>19.4</v>
      </c>
      <c r="J6392" s="56" t="n">
        <v>1</v>
      </c>
      <c r="K6392" s="56" t="n">
        <v>1012.2</v>
      </c>
      <c r="L6392" s="56" t="n">
        <v>0</v>
      </c>
      <c r="M6392" s="56" t="n">
        <v>62</v>
      </c>
      <c r="N6392" s="56" t="n">
        <v>4.8</v>
      </c>
      <c r="O6392" s="56" t="n">
        <f aca="false">IF(D6392=1,"",E6391)</f>
        <v>23.6</v>
      </c>
      <c r="P6392" s="56" t="n">
        <f aca="false">IF(OR(D6392=1,K6391=""),"",K6391)</f>
        <v>1001.6</v>
      </c>
      <c r="Q6392" s="56" t="n">
        <f aca="false">IF(OR(F6392&lt;&gt;0,AND(I6392&lt;&gt;"",E6392&lt;I6392)),1,0)</f>
        <v>1</v>
      </c>
      <c r="R6392" s="56" t="n">
        <f aca="false">IF(AND(D6392&gt;1,Q6392=0,ISNUMBER(O6392),ISNUMBER(P6392)),IF(Q6391=0,1,0),0)</f>
        <v>0</v>
      </c>
      <c r="S6392" s="56" t="n">
        <f aca="false">R6392*(B6392&gt;=Train_Start)*(B6392&lt;=Train_End)</f>
        <v>0</v>
      </c>
      <c r="T6392" s="84" t="n">
        <f aca="false">IF(AND(ISNUMBER(O6392),ISNUMBER(P6392)),Coef_A+Coef_B1*O6392+Coef_B2*P6392,"")</f>
        <v>22.8434668432062</v>
      </c>
      <c r="U6392" s="84" t="str">
        <f aca="false">IF(AND(R6392=1,ISNUMBER(T6392)),E6392-T6392,"")</f>
        <v/>
      </c>
      <c r="V6392" s="84" t="n">
        <f aca="false">IF(ISNUMBER(T6392),T6392,-99)</f>
        <v>22.8434668432062</v>
      </c>
      <c r="W6392" s="84" t="str">
        <f aca="false">IF(ISNUMBER(U6392),ABS(U6392),"")</f>
        <v/>
      </c>
    </row>
    <row r="6393" customFormat="false" ht="15" hidden="false" customHeight="false" outlineLevel="0" collapsed="false">
      <c r="A6393" s="57" t="n">
        <v>44070</v>
      </c>
      <c r="B6393" s="56" t="n">
        <v>2020</v>
      </c>
      <c r="C6393" s="56" t="n">
        <v>8</v>
      </c>
      <c r="D6393" s="56" t="n">
        <v>119</v>
      </c>
      <c r="E6393" s="56" t="n">
        <v>20.3</v>
      </c>
      <c r="F6393" s="56" t="n">
        <v>0</v>
      </c>
      <c r="G6393" s="56" t="n">
        <v>12.9</v>
      </c>
      <c r="H6393" s="56" t="n">
        <v>0</v>
      </c>
      <c r="I6393" s="56" t="n">
        <v>15.6</v>
      </c>
      <c r="J6393" s="56" t="n">
        <v>0</v>
      </c>
      <c r="K6393" s="56" t="n">
        <v>1010.5</v>
      </c>
      <c r="L6393" s="56" t="n">
        <v>0</v>
      </c>
      <c r="M6393" s="56" t="n">
        <v>83</v>
      </c>
      <c r="N6393" s="56" t="n">
        <v>0.9</v>
      </c>
      <c r="O6393" s="56" t="n">
        <f aca="false">IF(D6393=1,"",E6392)</f>
        <v>18.3</v>
      </c>
      <c r="P6393" s="56" t="n">
        <f aca="false">IF(OR(D6393=1,K6392=""),"",K6392)</f>
        <v>1012.2</v>
      </c>
      <c r="Q6393" s="56" t="n">
        <f aca="false">IF(OR(F6393&lt;&gt;0,AND(I6393&lt;&gt;"",E6393&lt;I6393)),1,0)</f>
        <v>0</v>
      </c>
      <c r="R6393" s="56" t="n">
        <f aca="false">IF(AND(D6393&gt;1,Q6393=0,ISNUMBER(O6393),ISNUMBER(P6393)),IF(Q6392=0,1,0),0)</f>
        <v>0</v>
      </c>
      <c r="S6393" s="56" t="n">
        <f aca="false">R6393*(B6393&gt;=Train_Start)*(B6393&lt;=Train_End)</f>
        <v>0</v>
      </c>
      <c r="T6393" s="84" t="n">
        <f aca="false">IF(AND(ISNUMBER(O6393),ISNUMBER(P6393)),Coef_A+Coef_B1*O6393+Coef_B2*P6393,"")</f>
        <v>18.8334900032004</v>
      </c>
      <c r="U6393" s="84" t="str">
        <f aca="false">IF(AND(R6393=1,ISNUMBER(T6393)),E6393-T6393,"")</f>
        <v/>
      </c>
      <c r="V6393" s="84" t="n">
        <f aca="false">IF(ISNUMBER(T6393),T6393,-99)</f>
        <v>18.8334900032004</v>
      </c>
      <c r="W6393" s="84" t="str">
        <f aca="false">IF(ISNUMBER(U6393),ABS(U6393),"")</f>
        <v/>
      </c>
    </row>
    <row r="6394" customFormat="false" ht="15" hidden="false" customHeight="false" outlineLevel="0" collapsed="false">
      <c r="A6394" s="57" t="n">
        <v>44071</v>
      </c>
      <c r="B6394" s="56" t="n">
        <v>2020</v>
      </c>
      <c r="C6394" s="56" t="n">
        <v>8</v>
      </c>
      <c r="D6394" s="56" t="n">
        <v>120</v>
      </c>
      <c r="E6394" s="56" t="n">
        <v>16.3</v>
      </c>
      <c r="F6394" s="56" t="n">
        <v>1</v>
      </c>
      <c r="G6394" s="56" t="n">
        <v>12.9</v>
      </c>
      <c r="H6394" s="56" t="n">
        <v>0</v>
      </c>
      <c r="I6394" s="56" t="n">
        <v>16.6</v>
      </c>
      <c r="J6394" s="56" t="n">
        <v>1</v>
      </c>
      <c r="K6394" s="56" t="n">
        <v>1001.1</v>
      </c>
      <c r="L6394" s="56" t="n">
        <v>0</v>
      </c>
      <c r="M6394" s="56" t="n">
        <v>84</v>
      </c>
      <c r="N6394" s="56" t="n">
        <v>3.6</v>
      </c>
      <c r="O6394" s="56" t="n">
        <f aca="false">IF(D6394=1,"",E6393)</f>
        <v>20.3</v>
      </c>
      <c r="P6394" s="56" t="n">
        <f aca="false">IF(OR(D6394=1,K6393=""),"",K6393)</f>
        <v>1010.5</v>
      </c>
      <c r="Q6394" s="56" t="n">
        <f aca="false">IF(OR(F6394&lt;&gt;0,AND(I6394&lt;&gt;"",E6394&lt;I6394)),1,0)</f>
        <v>1</v>
      </c>
      <c r="R6394" s="56" t="n">
        <f aca="false">IF(AND(D6394&gt;1,Q6394=0,ISNUMBER(O6394),ISNUMBER(P6394)),IF(Q6393=0,1,0),0)</f>
        <v>0</v>
      </c>
      <c r="S6394" s="56" t="n">
        <f aca="false">R6394*(B6394&gt;=Train_Start)*(B6394&lt;=Train_End)</f>
        <v>0</v>
      </c>
      <c r="T6394" s="84" t="n">
        <f aca="false">IF(AND(ISNUMBER(O6394),ISNUMBER(P6394)),Coef_A+Coef_B1*O6394+Coef_B2*P6394,"")</f>
        <v>20.4188395684079</v>
      </c>
      <c r="U6394" s="84" t="str">
        <f aca="false">IF(AND(R6394=1,ISNUMBER(T6394)),E6394-T6394,"")</f>
        <v/>
      </c>
      <c r="V6394" s="84" t="n">
        <f aca="false">IF(ISNUMBER(T6394),T6394,-99)</f>
        <v>20.4188395684079</v>
      </c>
      <c r="W6394" s="84" t="str">
        <f aca="false">IF(ISNUMBER(U6394),ABS(U6394),"")</f>
        <v/>
      </c>
    </row>
    <row r="6395" customFormat="false" ht="15" hidden="false" customHeight="false" outlineLevel="0" collapsed="false">
      <c r="A6395" s="57" t="n">
        <v>44072</v>
      </c>
      <c r="B6395" s="56" t="n">
        <v>2020</v>
      </c>
      <c r="C6395" s="56" t="n">
        <v>8</v>
      </c>
      <c r="D6395" s="56" t="n">
        <v>121</v>
      </c>
      <c r="E6395" s="56" t="n">
        <v>17.9</v>
      </c>
      <c r="F6395" s="56" t="n">
        <v>0</v>
      </c>
      <c r="G6395" s="56" t="n">
        <v>11.2</v>
      </c>
      <c r="H6395" s="56" t="n">
        <v>0</v>
      </c>
      <c r="I6395" s="56" t="n">
        <v>13.8</v>
      </c>
      <c r="J6395" s="56" t="n">
        <v>0</v>
      </c>
      <c r="K6395" s="56" t="n">
        <v>1008.8</v>
      </c>
      <c r="L6395" s="56" t="n">
        <v>0</v>
      </c>
      <c r="M6395" s="56" t="n">
        <v>78</v>
      </c>
      <c r="N6395" s="56" t="n">
        <v>0.6</v>
      </c>
      <c r="O6395" s="56" t="n">
        <f aca="false">IF(D6395=1,"",E6394)</f>
        <v>16.3</v>
      </c>
      <c r="P6395" s="56" t="n">
        <f aca="false">IF(OR(D6395=1,K6394=""),"",K6394)</f>
        <v>1001.1</v>
      </c>
      <c r="Q6395" s="56" t="n">
        <f aca="false">IF(OR(F6395&lt;&gt;0,AND(I6395&lt;&gt;"",E6395&lt;I6395)),1,0)</f>
        <v>0</v>
      </c>
      <c r="R6395" s="56" t="n">
        <f aca="false">IF(AND(D6395&gt;1,Q6395=0,ISNUMBER(O6395),ISNUMBER(P6395)),IF(Q6394=0,1,0),0)</f>
        <v>0</v>
      </c>
      <c r="S6395" s="56" t="n">
        <f aca="false">R6395*(B6395&gt;=Train_Start)*(B6395&lt;=Train_End)</f>
        <v>0</v>
      </c>
      <c r="T6395" s="84" t="n">
        <f aca="false">IF(AND(ISNUMBER(O6395),ISNUMBER(P6395)),Coef_A+Coef_B1*O6395+Coef_B2*P6395,"")</f>
        <v>16.8466057866778</v>
      </c>
      <c r="U6395" s="84" t="str">
        <f aca="false">IF(AND(R6395=1,ISNUMBER(T6395)),E6395-T6395,"")</f>
        <v/>
      </c>
      <c r="V6395" s="84" t="n">
        <f aca="false">IF(ISNUMBER(T6395),T6395,-99)</f>
        <v>16.8466057866778</v>
      </c>
      <c r="W6395" s="84" t="str">
        <f aca="false">IF(ISNUMBER(U6395),ABS(U6395),"")</f>
        <v/>
      </c>
    </row>
    <row r="6396" customFormat="false" ht="15" hidden="false" customHeight="false" outlineLevel="0" collapsed="false">
      <c r="A6396" s="57" t="n">
        <v>44073</v>
      </c>
      <c r="B6396" s="56" t="n">
        <v>2020</v>
      </c>
      <c r="C6396" s="56" t="n">
        <v>8</v>
      </c>
      <c r="D6396" s="56" t="n">
        <v>122</v>
      </c>
      <c r="E6396" s="56" t="n">
        <v>18.4</v>
      </c>
      <c r="F6396" s="56" t="n">
        <v>0</v>
      </c>
      <c r="G6396" s="56" t="n">
        <v>11.6</v>
      </c>
      <c r="H6396" s="56" t="n">
        <v>0</v>
      </c>
      <c r="I6396" s="56" t="n">
        <v>14.8</v>
      </c>
      <c r="J6396" s="56" t="n">
        <v>0</v>
      </c>
      <c r="K6396" s="56" t="n">
        <v>1017.7</v>
      </c>
      <c r="L6396" s="56" t="n">
        <v>0</v>
      </c>
      <c r="M6396" s="56" t="n">
        <v>67</v>
      </c>
      <c r="N6396" s="56" t="n">
        <v>2.2</v>
      </c>
      <c r="O6396" s="56" t="n">
        <f aca="false">IF(D6396=1,"",E6395)</f>
        <v>17.9</v>
      </c>
      <c r="P6396" s="56" t="n">
        <f aca="false">IF(OR(D6396=1,K6395=""),"",K6395)</f>
        <v>1008.8</v>
      </c>
      <c r="Q6396" s="56" t="n">
        <f aca="false">IF(OR(F6396&lt;&gt;0,AND(I6396&lt;&gt;"",E6396&lt;I6396)),1,0)</f>
        <v>0</v>
      </c>
      <c r="R6396" s="56" t="n">
        <f aca="false">IF(AND(D6396&gt;1,Q6396=0,ISNUMBER(O6396),ISNUMBER(P6396)),IF(Q6395=0,1,0),0)</f>
        <v>1</v>
      </c>
      <c r="S6396" s="56" t="n">
        <f aca="false">R6396*(B6396&gt;=Train_Start)*(B6396&lt;=Train_End)</f>
        <v>0</v>
      </c>
      <c r="T6396" s="84" t="n">
        <f aca="false">IF(AND(ISNUMBER(O6396),ISNUMBER(P6396)),Coef_A+Coef_B1*O6396+Coef_B2*P6396,"")</f>
        <v>18.3990966842278</v>
      </c>
      <c r="U6396" s="84" t="n">
        <f aca="false">IF(AND(R6396=1,ISNUMBER(T6396)),E6396-T6396,"")</f>
        <v>0.000903315772234237</v>
      </c>
      <c r="V6396" s="84" t="n">
        <f aca="false">IF(ISNUMBER(T6396),T6396,-99)</f>
        <v>18.3990966842278</v>
      </c>
      <c r="W6396" s="84" t="n">
        <f aca="false">IF(ISNUMBER(U6396),ABS(U6396),"")</f>
        <v>0.000903315772234237</v>
      </c>
    </row>
    <row r="6397" customFormat="false" ht="15" hidden="false" customHeight="false" outlineLevel="0" collapsed="false">
      <c r="A6397" s="57" t="n">
        <v>44074</v>
      </c>
      <c r="B6397" s="56" t="n">
        <v>2020</v>
      </c>
      <c r="C6397" s="56" t="n">
        <v>8</v>
      </c>
      <c r="D6397" s="56" t="n">
        <v>123</v>
      </c>
      <c r="E6397" s="56" t="n">
        <v>20.9</v>
      </c>
      <c r="F6397" s="56" t="n">
        <v>0</v>
      </c>
      <c r="G6397" s="56" t="n">
        <v>8.1</v>
      </c>
      <c r="H6397" s="56" t="n">
        <v>0</v>
      </c>
      <c r="I6397" s="56" t="n">
        <v>13.2</v>
      </c>
      <c r="J6397" s="56" t="n">
        <v>0</v>
      </c>
      <c r="K6397" s="56" t="n">
        <v>1021.9</v>
      </c>
      <c r="L6397" s="56" t="n">
        <v>0</v>
      </c>
      <c r="M6397" s="56" t="n">
        <v>64</v>
      </c>
      <c r="N6397" s="56" t="n">
        <v>2.9</v>
      </c>
      <c r="O6397" s="56" t="n">
        <f aca="false">IF(D6397=1,"",E6396)</f>
        <v>18.4</v>
      </c>
      <c r="P6397" s="56" t="n">
        <f aca="false">IF(OR(D6397=1,K6396=""),"",K6396)</f>
        <v>1017.7</v>
      </c>
      <c r="Q6397" s="56" t="n">
        <f aca="false">IF(OR(F6397&lt;&gt;0,AND(I6397&lt;&gt;"",E6397&lt;I6397)),1,0)</f>
        <v>0</v>
      </c>
      <c r="R6397" s="56" t="n">
        <f aca="false">IF(AND(D6397&gt;1,Q6397=0,ISNUMBER(O6397),ISNUMBER(P6397)),IF(Q6396=0,1,0),0)</f>
        <v>1</v>
      </c>
      <c r="S6397" s="56" t="n">
        <f aca="false">R6397*(B6397&gt;=Train_Start)*(B6397&lt;=Train_End)</f>
        <v>0</v>
      </c>
      <c r="T6397" s="84" t="n">
        <f aca="false">IF(AND(ISNUMBER(O6397),ISNUMBER(P6397)),Coef_A+Coef_B1*O6397+Coef_B2*P6397,"")</f>
        <v>19.0879583429916</v>
      </c>
      <c r="U6397" s="84" t="n">
        <f aca="false">IF(AND(R6397=1,ISNUMBER(T6397)),E6397-T6397,"")</f>
        <v>1.81204165700839</v>
      </c>
      <c r="V6397" s="84" t="n">
        <f aca="false">IF(ISNUMBER(T6397),T6397,-99)</f>
        <v>19.0879583429916</v>
      </c>
      <c r="W6397" s="84" t="n">
        <f aca="false">IF(ISNUMBER(U6397),ABS(U6397),"")</f>
        <v>1.81204165700839</v>
      </c>
    </row>
    <row r="6398" customFormat="false" ht="15" hidden="false" customHeight="false" outlineLevel="0" collapsed="false">
      <c r="A6398" s="57" t="n">
        <v>44075</v>
      </c>
      <c r="B6398" s="56" t="n">
        <v>2020</v>
      </c>
      <c r="C6398" s="56" t="n">
        <v>9</v>
      </c>
      <c r="D6398" s="56" t="n">
        <v>124</v>
      </c>
      <c r="E6398" s="56" t="n">
        <v>20.4</v>
      </c>
      <c r="F6398" s="56" t="n">
        <v>0</v>
      </c>
      <c r="G6398" s="56" t="n">
        <v>6.6</v>
      </c>
      <c r="H6398" s="56" t="n">
        <v>0</v>
      </c>
      <c r="I6398" s="56" t="n">
        <v>13.8</v>
      </c>
      <c r="J6398" s="56" t="n">
        <v>0</v>
      </c>
      <c r="K6398" s="56" t="n">
        <v>1020.8</v>
      </c>
      <c r="L6398" s="56" t="n">
        <v>0</v>
      </c>
      <c r="M6398" s="56" t="n">
        <v>63</v>
      </c>
      <c r="N6398" s="56" t="n">
        <v>10.6</v>
      </c>
      <c r="O6398" s="56" t="n">
        <f aca="false">IF(D6398=1,"",E6397)</f>
        <v>20.9</v>
      </c>
      <c r="P6398" s="56" t="n">
        <f aca="false">IF(OR(D6398=1,K6397=""),"",K6397)</f>
        <v>1021.9</v>
      </c>
      <c r="Q6398" s="56" t="n">
        <f aca="false">IF(OR(F6398&lt;&gt;0,AND(I6398&lt;&gt;"",E6398&lt;I6398)),1,0)</f>
        <v>0</v>
      </c>
      <c r="R6398" s="56" t="n">
        <f aca="false">IF(AND(D6398&gt;1,Q6398=0,ISNUMBER(O6398),ISNUMBER(P6398)),IF(Q6397=0,1,0),0)</f>
        <v>1</v>
      </c>
      <c r="S6398" s="56" t="n">
        <f aca="false">R6398*(B6398&gt;=Train_Start)*(B6398&lt;=Train_End)</f>
        <v>0</v>
      </c>
      <c r="T6398" s="84" t="n">
        <f aca="false">IF(AND(ISNUMBER(O6398),ISNUMBER(P6398)),Coef_A+Coef_B1*O6398+Coef_B2*P6398,"")</f>
        <v>21.268059883061</v>
      </c>
      <c r="U6398" s="84" t="n">
        <f aca="false">IF(AND(R6398=1,ISNUMBER(T6398)),E6398-T6398,"")</f>
        <v>-0.868059883061001</v>
      </c>
      <c r="V6398" s="84" t="n">
        <f aca="false">IF(ISNUMBER(T6398),T6398,-99)</f>
        <v>21.268059883061</v>
      </c>
      <c r="W6398" s="84" t="n">
        <f aca="false">IF(ISNUMBER(U6398),ABS(U6398),"")</f>
        <v>0.868059883061001</v>
      </c>
    </row>
    <row r="6399" customFormat="false" ht="15" hidden="false" customHeight="false" outlineLevel="0" collapsed="false">
      <c r="A6399" s="57" t="n">
        <v>44076</v>
      </c>
      <c r="B6399" s="56" t="n">
        <v>2020</v>
      </c>
      <c r="C6399" s="56" t="n">
        <v>9</v>
      </c>
      <c r="D6399" s="56" t="n">
        <v>125</v>
      </c>
      <c r="E6399" s="56" t="n">
        <v>22.4</v>
      </c>
      <c r="F6399" s="56" t="n">
        <v>0</v>
      </c>
      <c r="G6399" s="56" t="n">
        <v>9.1</v>
      </c>
      <c r="H6399" s="56" t="n">
        <v>0</v>
      </c>
      <c r="I6399" s="56" t="n">
        <v>14.8</v>
      </c>
      <c r="J6399" s="56" t="n">
        <v>0</v>
      </c>
      <c r="K6399" s="56" t="n">
        <v>1019</v>
      </c>
      <c r="L6399" s="56" t="n">
        <v>0</v>
      </c>
      <c r="M6399" s="56" t="n">
        <v>76</v>
      </c>
      <c r="N6399" s="56" t="n">
        <v>3.6</v>
      </c>
      <c r="O6399" s="56" t="n">
        <f aca="false">IF(D6399=1,"",E6398)</f>
        <v>20.4</v>
      </c>
      <c r="P6399" s="56" t="n">
        <f aca="false">IF(OR(D6399=1,K6398=""),"",K6398)</f>
        <v>1020.8</v>
      </c>
      <c r="Q6399" s="56" t="n">
        <f aca="false">IF(OR(F6399&lt;&gt;0,AND(I6399&lt;&gt;"",E6399&lt;I6399)),1,0)</f>
        <v>0</v>
      </c>
      <c r="R6399" s="56" t="n">
        <f aca="false">IF(AND(D6399&gt;1,Q6399=0,ISNUMBER(O6399),ISNUMBER(P6399)),IF(Q6398=0,1,0),0)</f>
        <v>1</v>
      </c>
      <c r="S6399" s="56" t="n">
        <f aca="false">R6399*(B6399&gt;=Train_Start)*(B6399&lt;=Train_End)</f>
        <v>0</v>
      </c>
      <c r="T6399" s="84" t="n">
        <f aca="false">IF(AND(ISNUMBER(O6399),ISNUMBER(P6399)),Coef_A+Coef_B1*O6399+Coef_B2*P6399,"")</f>
        <v>20.8238834024423</v>
      </c>
      <c r="U6399" s="84" t="n">
        <f aca="false">IF(AND(R6399=1,ISNUMBER(T6399)),E6399-T6399,"")</f>
        <v>1.57611659755772</v>
      </c>
      <c r="V6399" s="84" t="n">
        <f aca="false">IF(ISNUMBER(T6399),T6399,-99)</f>
        <v>20.8238834024423</v>
      </c>
      <c r="W6399" s="84" t="n">
        <f aca="false">IF(ISNUMBER(U6399),ABS(U6399),"")</f>
        <v>1.57611659755772</v>
      </c>
    </row>
    <row r="6400" customFormat="false" ht="15" hidden="false" customHeight="false" outlineLevel="0" collapsed="false">
      <c r="A6400" s="57" t="n">
        <v>44077</v>
      </c>
      <c r="B6400" s="56" t="n">
        <v>2020</v>
      </c>
      <c r="C6400" s="56" t="n">
        <v>9</v>
      </c>
      <c r="D6400" s="56" t="n">
        <v>126</v>
      </c>
      <c r="E6400" s="56" t="n">
        <v>20.8</v>
      </c>
      <c r="F6400" s="56" t="n">
        <v>0</v>
      </c>
      <c r="G6400" s="56" t="n">
        <v>15.4</v>
      </c>
      <c r="H6400" s="56" t="n">
        <v>0</v>
      </c>
      <c r="I6400" s="56" t="n">
        <v>18.9</v>
      </c>
      <c r="J6400" s="56" t="n">
        <v>0</v>
      </c>
      <c r="K6400" s="56" t="n">
        <v>1015.9</v>
      </c>
      <c r="L6400" s="56" t="n">
        <v>0</v>
      </c>
      <c r="M6400" s="56" t="n">
        <v>83</v>
      </c>
      <c r="N6400" s="56" t="n">
        <v>0</v>
      </c>
      <c r="O6400" s="56" t="n">
        <f aca="false">IF(D6400=1,"",E6399)</f>
        <v>22.4</v>
      </c>
      <c r="P6400" s="56" t="n">
        <f aca="false">IF(OR(D6400=1,K6399=""),"",K6399)</f>
        <v>1019</v>
      </c>
      <c r="Q6400" s="56" t="n">
        <f aca="false">IF(OR(F6400&lt;&gt;0,AND(I6400&lt;&gt;"",E6400&lt;I6400)),1,0)</f>
        <v>0</v>
      </c>
      <c r="R6400" s="56" t="n">
        <f aca="false">IF(AND(D6400&gt;1,Q6400=0,ISNUMBER(O6400),ISNUMBER(P6400)),IF(Q6399=0,1,0),0)</f>
        <v>1</v>
      </c>
      <c r="S6400" s="56" t="n">
        <f aca="false">R6400*(B6400&gt;=Train_Start)*(B6400&lt;=Train_End)</f>
        <v>0</v>
      </c>
      <c r="T6400" s="84" t="n">
        <f aca="false">IF(AND(ISNUMBER(O6400),ISNUMBER(P6400)),Coef_A+Coef_B1*O6400+Coef_B2*P6400,"")</f>
        <v>22.4060959781864</v>
      </c>
      <c r="U6400" s="84" t="n">
        <f aca="false">IF(AND(R6400=1,ISNUMBER(T6400)),E6400-T6400,"")</f>
        <v>-1.60609597818642</v>
      </c>
      <c r="V6400" s="84" t="n">
        <f aca="false">IF(ISNUMBER(T6400),T6400,-99)</f>
        <v>22.4060959781864</v>
      </c>
      <c r="W6400" s="84" t="n">
        <f aca="false">IF(ISNUMBER(U6400),ABS(U6400),"")</f>
        <v>1.60609597818642</v>
      </c>
    </row>
    <row r="6401" customFormat="false" ht="15" hidden="false" customHeight="false" outlineLevel="0" collapsed="false">
      <c r="A6401" s="57" t="n">
        <v>44078</v>
      </c>
      <c r="B6401" s="56" t="n">
        <v>2020</v>
      </c>
      <c r="C6401" s="56" t="n">
        <v>9</v>
      </c>
      <c r="D6401" s="56" t="n">
        <v>127</v>
      </c>
      <c r="E6401" s="56" t="n">
        <v>20.1</v>
      </c>
      <c r="F6401" s="56" t="n">
        <v>0</v>
      </c>
      <c r="G6401" s="56" t="n">
        <v>12.4</v>
      </c>
      <c r="H6401" s="56" t="n">
        <v>0</v>
      </c>
      <c r="I6401" s="56" t="n">
        <v>16.6</v>
      </c>
      <c r="J6401" s="56" t="n">
        <v>0</v>
      </c>
      <c r="K6401" s="56" t="n">
        <v>1020.8</v>
      </c>
      <c r="L6401" s="56" t="n">
        <v>0</v>
      </c>
      <c r="M6401" s="56" t="n">
        <v>73</v>
      </c>
      <c r="N6401" s="56" t="n">
        <v>2.4</v>
      </c>
      <c r="O6401" s="56" t="n">
        <f aca="false">IF(D6401=1,"",E6400)</f>
        <v>20.8</v>
      </c>
      <c r="P6401" s="56" t="n">
        <f aca="false">IF(OR(D6401=1,K6400=""),"",K6400)</f>
        <v>1015.9</v>
      </c>
      <c r="Q6401" s="56" t="n">
        <f aca="false">IF(OR(F6401&lt;&gt;0,AND(I6401&lt;&gt;"",E6401&lt;I6401)),1,0)</f>
        <v>0</v>
      </c>
      <c r="R6401" s="56" t="n">
        <f aca="false">IF(AND(D6401&gt;1,Q6401=0,ISNUMBER(O6401),ISNUMBER(P6401)),IF(Q6400=0,1,0),0)</f>
        <v>1</v>
      </c>
      <c r="S6401" s="56" t="n">
        <f aca="false">R6401*(B6401&gt;=Train_Start)*(B6401&lt;=Train_End)</f>
        <v>0</v>
      </c>
      <c r="T6401" s="84" t="n">
        <f aca="false">IF(AND(ISNUMBER(O6401),ISNUMBER(P6401)),Coef_A+Coef_B1*O6401+Coef_B2*P6401,"")</f>
        <v>20.9979065959528</v>
      </c>
      <c r="U6401" s="84" t="n">
        <f aca="false">IF(AND(R6401=1,ISNUMBER(T6401)),E6401-T6401,"")</f>
        <v>-0.897906595952797</v>
      </c>
      <c r="V6401" s="84" t="n">
        <f aca="false">IF(ISNUMBER(T6401),T6401,-99)</f>
        <v>20.9979065959528</v>
      </c>
      <c r="W6401" s="84" t="n">
        <f aca="false">IF(ISNUMBER(U6401),ABS(U6401),"")</f>
        <v>0.897906595952797</v>
      </c>
    </row>
    <row r="6402" customFormat="false" ht="15" hidden="false" customHeight="false" outlineLevel="0" collapsed="false">
      <c r="A6402" s="57" t="n">
        <v>44079</v>
      </c>
      <c r="B6402" s="56" t="n">
        <v>2020</v>
      </c>
      <c r="C6402" s="56" t="n">
        <v>9</v>
      </c>
      <c r="D6402" s="56" t="n">
        <v>128</v>
      </c>
      <c r="E6402" s="56" t="n">
        <v>20.5</v>
      </c>
      <c r="F6402" s="56" t="n">
        <v>0</v>
      </c>
      <c r="G6402" s="56" t="n">
        <v>9.5</v>
      </c>
      <c r="H6402" s="56" t="n">
        <v>0</v>
      </c>
      <c r="I6402" s="56" t="n">
        <v>14.8</v>
      </c>
      <c r="J6402" s="56" t="n">
        <v>0</v>
      </c>
      <c r="K6402" s="56" t="n">
        <v>1021.2</v>
      </c>
      <c r="L6402" s="56" t="n">
        <v>0</v>
      </c>
      <c r="M6402" s="56" t="n">
        <v>68</v>
      </c>
      <c r="N6402" s="56" t="n">
        <v>8</v>
      </c>
      <c r="O6402" s="56" t="n">
        <f aca="false">IF(D6402=1,"",E6401)</f>
        <v>20.1</v>
      </c>
      <c r="P6402" s="56" t="n">
        <f aca="false">IF(OR(D6402=1,K6401=""),"",K6401)</f>
        <v>1020.8</v>
      </c>
      <c r="Q6402" s="56" t="n">
        <f aca="false">IF(OR(F6402&lt;&gt;0,AND(I6402&lt;&gt;"",E6402&lt;I6402)),1,0)</f>
        <v>0</v>
      </c>
      <c r="R6402" s="56" t="n">
        <f aca="false">IF(AND(D6402&gt;1,Q6402=0,ISNUMBER(O6402),ISNUMBER(P6402)),IF(Q6401=0,1,0),0)</f>
        <v>1</v>
      </c>
      <c r="S6402" s="56" t="n">
        <f aca="false">R6402*(B6402&gt;=Train_Start)*(B6402&lt;=Train_End)</f>
        <v>0</v>
      </c>
      <c r="T6402" s="84" t="n">
        <f aca="false">IF(AND(ISNUMBER(O6402),ISNUMBER(P6402)),Coef_A+Coef_B1*O6402+Coef_B2*P6402,"")</f>
        <v>20.5780816445295</v>
      </c>
      <c r="U6402" s="84" t="n">
        <f aca="false">IF(AND(R6402=1,ISNUMBER(T6402)),E6402-T6402,"")</f>
        <v>-0.0780816445294867</v>
      </c>
      <c r="V6402" s="84" t="n">
        <f aca="false">IF(ISNUMBER(T6402),T6402,-99)</f>
        <v>20.5780816445295</v>
      </c>
      <c r="W6402" s="84" t="n">
        <f aca="false">IF(ISNUMBER(U6402),ABS(U6402),"")</f>
        <v>0.0780816445294867</v>
      </c>
    </row>
    <row r="6403" customFormat="false" ht="15" hidden="false" customHeight="false" outlineLevel="0" collapsed="false">
      <c r="A6403" s="57" t="n">
        <v>44080</v>
      </c>
      <c r="B6403" s="56" t="n">
        <v>2020</v>
      </c>
      <c r="C6403" s="56" t="n">
        <v>9</v>
      </c>
      <c r="D6403" s="56" t="n">
        <v>129</v>
      </c>
      <c r="E6403" s="56" t="n">
        <v>21.9</v>
      </c>
      <c r="F6403" s="56" t="n">
        <v>0</v>
      </c>
      <c r="G6403" s="56" t="n">
        <v>10.1</v>
      </c>
      <c r="H6403" s="56" t="n">
        <v>0</v>
      </c>
      <c r="I6403" s="56" t="n">
        <v>15.3</v>
      </c>
      <c r="J6403" s="56" t="n">
        <v>0</v>
      </c>
      <c r="K6403" s="56" t="n">
        <v>1021</v>
      </c>
      <c r="L6403" s="56" t="n">
        <v>0</v>
      </c>
      <c r="M6403" s="56" t="n">
        <v>70</v>
      </c>
      <c r="N6403" s="56" t="n">
        <v>4.4</v>
      </c>
      <c r="O6403" s="56" t="n">
        <f aca="false">IF(D6403=1,"",E6402)</f>
        <v>20.5</v>
      </c>
      <c r="P6403" s="56" t="n">
        <f aca="false">IF(OR(D6403=1,K6402=""),"",K6402)</f>
        <v>1021.2</v>
      </c>
      <c r="Q6403" s="56" t="n">
        <f aca="false">IF(OR(F6403&lt;&gt;0,AND(I6403&lt;&gt;"",E6403&lt;I6403)),1,0)</f>
        <v>0</v>
      </c>
      <c r="R6403" s="56" t="n">
        <f aca="false">IF(AND(D6403&gt;1,Q6403=0,ISNUMBER(O6403),ISNUMBER(P6403)),IF(Q6402=0,1,0),0)</f>
        <v>1</v>
      </c>
      <c r="S6403" s="56" t="n">
        <f aca="false">R6403*(B6403&gt;=Train_Start)*(B6403&lt;=Train_End)</f>
        <v>0</v>
      </c>
      <c r="T6403" s="84" t="n">
        <f aca="false">IF(AND(ISNUMBER(O6403),ISNUMBER(P6403)),Coef_A+Coef_B1*O6403+Coef_B2*P6403,"")</f>
        <v>20.9183652796001</v>
      </c>
      <c r="U6403" s="84" t="n">
        <f aca="false">IF(AND(R6403=1,ISNUMBER(T6403)),E6403-T6403,"")</f>
        <v>0.981634720399853</v>
      </c>
      <c r="V6403" s="84" t="n">
        <f aca="false">IF(ISNUMBER(T6403),T6403,-99)</f>
        <v>20.9183652796001</v>
      </c>
      <c r="W6403" s="84" t="n">
        <f aca="false">IF(ISNUMBER(U6403),ABS(U6403),"")</f>
        <v>0.981634720399853</v>
      </c>
    </row>
    <row r="6404" customFormat="false" ht="15" hidden="false" customHeight="false" outlineLevel="0" collapsed="false">
      <c r="A6404" s="57" t="n">
        <v>44081</v>
      </c>
      <c r="B6404" s="56" t="n">
        <v>2020</v>
      </c>
      <c r="C6404" s="56" t="n">
        <v>9</v>
      </c>
      <c r="D6404" s="56" t="n">
        <v>130</v>
      </c>
      <c r="E6404" s="56" t="n">
        <v>25.7</v>
      </c>
      <c r="F6404" s="56" t="n">
        <v>0</v>
      </c>
      <c r="G6404" s="56" t="n">
        <v>9.9</v>
      </c>
      <c r="H6404" s="56" t="n">
        <v>0</v>
      </c>
      <c r="I6404" s="56" t="n">
        <v>15.9</v>
      </c>
      <c r="J6404" s="56" t="n">
        <v>0</v>
      </c>
      <c r="K6404" s="56" t="n">
        <v>1023.2</v>
      </c>
      <c r="L6404" s="56" t="n">
        <v>0</v>
      </c>
      <c r="M6404" s="56" t="n">
        <v>77</v>
      </c>
      <c r="N6404" s="56" t="n">
        <v>1</v>
      </c>
      <c r="O6404" s="56" t="n">
        <f aca="false">IF(D6404=1,"",E6403)</f>
        <v>21.9</v>
      </c>
      <c r="P6404" s="56" t="n">
        <f aca="false">IF(OR(D6404=1,K6403=""),"",K6403)</f>
        <v>1021</v>
      </c>
      <c r="Q6404" s="56" t="n">
        <f aca="false">IF(OR(F6404&lt;&gt;0,AND(I6404&lt;&gt;"",E6404&lt;I6404)),1,0)</f>
        <v>0</v>
      </c>
      <c r="R6404" s="56" t="n">
        <f aca="false">IF(AND(D6404&gt;1,Q6404=0,ISNUMBER(O6404),ISNUMBER(P6404)),IF(Q6403=0,1,0),0)</f>
        <v>1</v>
      </c>
      <c r="S6404" s="56" t="n">
        <f aca="false">R6404*(B6404&gt;=Train_Start)*(B6404&lt;=Train_End)</f>
        <v>0</v>
      </c>
      <c r="T6404" s="84" t="n">
        <f aca="false">IF(AND(ISNUMBER(O6404),ISNUMBER(P6404)),Coef_A+Coef_B1*O6404+Coef_B2*P6404,"")</f>
        <v>22.0591661709331</v>
      </c>
      <c r="U6404" s="84" t="n">
        <f aca="false">IF(AND(R6404=1,ISNUMBER(T6404)),E6404-T6404,"")</f>
        <v>3.64083382906693</v>
      </c>
      <c r="V6404" s="84" t="n">
        <f aca="false">IF(ISNUMBER(T6404),T6404,-99)</f>
        <v>22.0591661709331</v>
      </c>
      <c r="W6404" s="84" t="n">
        <f aca="false">IF(ISNUMBER(U6404),ABS(U6404),"")</f>
        <v>3.64083382906693</v>
      </c>
    </row>
    <row r="6405" customFormat="false" ht="15" hidden="false" customHeight="false" outlineLevel="0" collapsed="false">
      <c r="A6405" s="57" t="n">
        <v>44082</v>
      </c>
      <c r="B6405" s="56" t="n">
        <v>2020</v>
      </c>
      <c r="C6405" s="56" t="n">
        <v>9</v>
      </c>
      <c r="D6405" s="56" t="n">
        <v>131</v>
      </c>
      <c r="E6405" s="56" t="n">
        <v>22.3</v>
      </c>
      <c r="F6405" s="56" t="n">
        <v>0</v>
      </c>
      <c r="G6405" s="56" t="n">
        <v>13.7</v>
      </c>
      <c r="H6405" s="56" t="n">
        <v>0</v>
      </c>
      <c r="I6405" s="56" t="n">
        <v>19.7</v>
      </c>
      <c r="J6405" s="56" t="n">
        <v>0</v>
      </c>
      <c r="K6405" s="56" t="n">
        <v>1024.2</v>
      </c>
      <c r="L6405" s="56" t="n">
        <v>0</v>
      </c>
      <c r="M6405" s="56" t="n">
        <v>79</v>
      </c>
      <c r="N6405" s="56" t="n">
        <v>2.9</v>
      </c>
      <c r="O6405" s="56" t="n">
        <f aca="false">IF(D6405=1,"",E6404)</f>
        <v>25.7</v>
      </c>
      <c r="P6405" s="56" t="n">
        <f aca="false">IF(OR(D6405=1,K6404=""),"",K6404)</f>
        <v>1023.2</v>
      </c>
      <c r="Q6405" s="56" t="n">
        <f aca="false">IF(OR(F6405&lt;&gt;0,AND(I6405&lt;&gt;"",E6405&lt;I6405)),1,0)</f>
        <v>0</v>
      </c>
      <c r="R6405" s="56" t="n">
        <f aca="false">IF(AND(D6405&gt;1,Q6405=0,ISNUMBER(O6405),ISNUMBER(P6405)),IF(Q6404=0,1,0),0)</f>
        <v>1</v>
      </c>
      <c r="S6405" s="56" t="n">
        <f aca="false">R6405*(B6405&gt;=Train_Start)*(B6405&lt;=Train_End)</f>
        <v>0</v>
      </c>
      <c r="T6405" s="84" t="n">
        <f aca="false">IF(AND(ISNUMBER(O6405),ISNUMBER(P6405)),Coef_A+Coef_B1*O6405+Coef_B2*P6405,"")</f>
        <v>25.2416688726899</v>
      </c>
      <c r="U6405" s="84" t="n">
        <f aca="false">IF(AND(R6405=1,ISNUMBER(T6405)),E6405-T6405,"")</f>
        <v>-2.94166887268995</v>
      </c>
      <c r="V6405" s="84" t="n">
        <f aca="false">IF(ISNUMBER(T6405),T6405,-99)</f>
        <v>25.2416688726899</v>
      </c>
      <c r="W6405" s="84" t="n">
        <f aca="false">IF(ISNUMBER(U6405),ABS(U6405),"")</f>
        <v>2.94166887268995</v>
      </c>
    </row>
    <row r="6406" customFormat="false" ht="15" hidden="false" customHeight="false" outlineLevel="0" collapsed="false">
      <c r="A6406" s="57" t="n">
        <v>44083</v>
      </c>
      <c r="B6406" s="56" t="n">
        <v>2020</v>
      </c>
      <c r="C6406" s="56" t="n">
        <v>9</v>
      </c>
      <c r="D6406" s="56" t="n">
        <v>132</v>
      </c>
      <c r="E6406" s="56" t="n">
        <v>20.3</v>
      </c>
      <c r="F6406" s="56" t="n">
        <v>0</v>
      </c>
      <c r="G6406" s="56" t="n">
        <v>14.3</v>
      </c>
      <c r="H6406" s="56" t="n">
        <v>0</v>
      </c>
      <c r="I6406" s="56" t="n">
        <v>18.3</v>
      </c>
      <c r="J6406" s="56" t="n">
        <v>0</v>
      </c>
      <c r="K6406" s="56" t="n">
        <v>1023.3</v>
      </c>
      <c r="L6406" s="56" t="n">
        <v>0</v>
      </c>
      <c r="M6406" s="56" t="n">
        <v>75</v>
      </c>
      <c r="N6406" s="56" t="n">
        <v>1.1</v>
      </c>
      <c r="O6406" s="56" t="n">
        <f aca="false">IF(D6406=1,"",E6405)</f>
        <v>22.3</v>
      </c>
      <c r="P6406" s="56" t="n">
        <f aca="false">IF(OR(D6406=1,K6405=""),"",K6405)</f>
        <v>1024.2</v>
      </c>
      <c r="Q6406" s="56" t="n">
        <f aca="false">IF(OR(F6406&lt;&gt;0,AND(I6406&lt;&gt;"",E6406&lt;I6406)),1,0)</f>
        <v>0</v>
      </c>
      <c r="R6406" s="56" t="n">
        <f aca="false">IF(AND(D6406&gt;1,Q6406=0,ISNUMBER(O6406),ISNUMBER(P6406)),IF(Q6405=0,1,0),0)</f>
        <v>1</v>
      </c>
      <c r="S6406" s="56" t="n">
        <f aca="false">R6406*(B6406&gt;=Train_Start)*(B6406&lt;=Train_End)</f>
        <v>0</v>
      </c>
      <c r="T6406" s="84" t="n">
        <f aca="false">IF(AND(ISNUMBER(O6406),ISNUMBER(P6406)),Coef_A+Coef_B1*O6406+Coef_B2*P6406,"")</f>
        <v>22.4872855109789</v>
      </c>
      <c r="U6406" s="84" t="n">
        <f aca="false">IF(AND(R6406=1,ISNUMBER(T6406)),E6406-T6406,"")</f>
        <v>-2.1872855109789</v>
      </c>
      <c r="V6406" s="84" t="n">
        <f aca="false">IF(ISNUMBER(T6406),T6406,-99)</f>
        <v>22.4872855109789</v>
      </c>
      <c r="W6406" s="84" t="n">
        <f aca="false">IF(ISNUMBER(U6406),ABS(U6406),"")</f>
        <v>2.1872855109789</v>
      </c>
    </row>
    <row r="6407" customFormat="false" ht="15" hidden="false" customHeight="false" outlineLevel="0" collapsed="false">
      <c r="A6407" s="57" t="n">
        <v>44084</v>
      </c>
      <c r="B6407" s="56" t="n">
        <v>2020</v>
      </c>
      <c r="C6407" s="56" t="n">
        <v>9</v>
      </c>
      <c r="D6407" s="56" t="n">
        <v>133</v>
      </c>
      <c r="E6407" s="56" t="n">
        <v>20.3</v>
      </c>
      <c r="F6407" s="56" t="n">
        <v>0</v>
      </c>
      <c r="G6407" s="56" t="n">
        <v>9.1</v>
      </c>
      <c r="H6407" s="56" t="n">
        <v>0</v>
      </c>
      <c r="I6407" s="56" t="n">
        <v>14.7</v>
      </c>
      <c r="J6407" s="56" t="n">
        <v>0</v>
      </c>
      <c r="K6407" s="56" t="n">
        <v>1023.2</v>
      </c>
      <c r="L6407" s="56" t="n">
        <v>0</v>
      </c>
      <c r="M6407" s="56" t="n">
        <v>60</v>
      </c>
      <c r="N6407" s="56" t="n">
        <v>8.4</v>
      </c>
      <c r="O6407" s="56" t="n">
        <f aca="false">IF(D6407=1,"",E6406)</f>
        <v>20.3</v>
      </c>
      <c r="P6407" s="56" t="n">
        <f aca="false">IF(OR(D6407=1,K6406=""),"",K6406)</f>
        <v>1023.3</v>
      </c>
      <c r="Q6407" s="56" t="n">
        <f aca="false">IF(OR(F6407&lt;&gt;0,AND(I6407&lt;&gt;"",E6407&lt;I6407)),1,0)</f>
        <v>0</v>
      </c>
      <c r="R6407" s="56" t="n">
        <f aca="false">IF(AND(D6407&gt;1,Q6407=0,ISNUMBER(O6407),ISNUMBER(P6407)),IF(Q6406=0,1,0),0)</f>
        <v>1</v>
      </c>
      <c r="S6407" s="56" t="n">
        <f aca="false">R6407*(B6407&gt;=Train_Start)*(B6407&lt;=Train_End)</f>
        <v>0</v>
      </c>
      <c r="T6407" s="84" t="n">
        <f aca="false">IF(AND(ISNUMBER(O6407),ISNUMBER(P6407)),Coef_A+Coef_B1*O6407+Coef_B2*P6407,"")</f>
        <v>20.820374219723</v>
      </c>
      <c r="U6407" s="84" t="n">
        <f aca="false">IF(AND(R6407=1,ISNUMBER(T6407)),E6407-T6407,"")</f>
        <v>-0.520374219722992</v>
      </c>
      <c r="V6407" s="84" t="n">
        <f aca="false">IF(ISNUMBER(T6407),T6407,-99)</f>
        <v>20.820374219723</v>
      </c>
      <c r="W6407" s="84" t="n">
        <f aca="false">IF(ISNUMBER(U6407),ABS(U6407),"")</f>
        <v>0.520374219722992</v>
      </c>
    </row>
    <row r="6408" customFormat="false" ht="15" hidden="false" customHeight="false" outlineLevel="0" collapsed="false">
      <c r="A6408" s="57" t="n">
        <v>44085</v>
      </c>
      <c r="B6408" s="56" t="n">
        <v>2020</v>
      </c>
      <c r="C6408" s="56" t="n">
        <v>9</v>
      </c>
      <c r="D6408" s="56" t="n">
        <v>134</v>
      </c>
      <c r="E6408" s="56" t="n">
        <v>22.7</v>
      </c>
      <c r="F6408" s="56" t="n">
        <v>0</v>
      </c>
      <c r="G6408" s="56" t="n">
        <v>8.7</v>
      </c>
      <c r="H6408" s="56" t="n">
        <v>0</v>
      </c>
      <c r="I6408" s="56" t="n">
        <v>14.5</v>
      </c>
      <c r="J6408" s="56" t="n">
        <v>0</v>
      </c>
      <c r="K6408" s="56" t="n">
        <v>1017.3</v>
      </c>
      <c r="L6408" s="56" t="n">
        <v>0</v>
      </c>
      <c r="M6408" s="56" t="n">
        <v>67</v>
      </c>
      <c r="N6408" s="56" t="n">
        <v>4.2</v>
      </c>
      <c r="O6408" s="56" t="n">
        <f aca="false">IF(D6408=1,"",E6407)</f>
        <v>20.3</v>
      </c>
      <c r="P6408" s="56" t="n">
        <f aca="false">IF(OR(D6408=1,K6407=""),"",K6407)</f>
        <v>1023.2</v>
      </c>
      <c r="Q6408" s="56" t="n">
        <f aca="false">IF(OR(F6408&lt;&gt;0,AND(I6408&lt;&gt;"",E6408&lt;I6408)),1,0)</f>
        <v>0</v>
      </c>
      <c r="R6408" s="56" t="n">
        <f aca="false">IF(AND(D6408&gt;1,Q6408=0,ISNUMBER(O6408),ISNUMBER(P6408)),IF(Q6407=0,1,0),0)</f>
        <v>1</v>
      </c>
      <c r="S6408" s="56" t="n">
        <f aca="false">R6408*(B6408&gt;=Train_Start)*(B6408&lt;=Train_End)</f>
        <v>0</v>
      </c>
      <c r="T6408" s="84" t="n">
        <f aca="false">IF(AND(ISNUMBER(O6408),ISNUMBER(P6408)),Coef_A+Coef_B1*O6408+Coef_B2*P6408,"")</f>
        <v>20.8172372302596</v>
      </c>
      <c r="U6408" s="84" t="n">
        <f aca="false">IF(AND(R6408=1,ISNUMBER(T6408)),E6408-T6408,"")</f>
        <v>1.88276276974041</v>
      </c>
      <c r="V6408" s="84" t="n">
        <f aca="false">IF(ISNUMBER(T6408),T6408,-99)</f>
        <v>20.8172372302596</v>
      </c>
      <c r="W6408" s="84" t="n">
        <f aca="false">IF(ISNUMBER(U6408),ABS(U6408),"")</f>
        <v>1.88276276974041</v>
      </c>
    </row>
    <row r="6409" customFormat="false" ht="15" hidden="false" customHeight="false" outlineLevel="0" collapsed="false">
      <c r="A6409" s="57" t="n">
        <v>44086</v>
      </c>
      <c r="B6409" s="56" t="n">
        <v>2020</v>
      </c>
      <c r="C6409" s="56" t="n">
        <v>9</v>
      </c>
      <c r="D6409" s="56" t="n">
        <v>135</v>
      </c>
      <c r="E6409" s="56" t="n">
        <v>25.5</v>
      </c>
      <c r="F6409" s="56" t="n">
        <v>0</v>
      </c>
      <c r="G6409" s="56" t="n">
        <v>12.3</v>
      </c>
      <c r="H6409" s="56" t="n">
        <v>0</v>
      </c>
      <c r="I6409" s="56" t="n">
        <v>17.5</v>
      </c>
      <c r="J6409" s="56" t="n">
        <v>0</v>
      </c>
      <c r="K6409" s="56" t="n">
        <v>1019.5</v>
      </c>
      <c r="L6409" s="56" t="n">
        <v>0</v>
      </c>
      <c r="M6409" s="56" t="n">
        <v>65</v>
      </c>
      <c r="N6409" s="56" t="n">
        <v>7.8</v>
      </c>
      <c r="O6409" s="56" t="n">
        <f aca="false">IF(D6409=1,"",E6408)</f>
        <v>22.7</v>
      </c>
      <c r="P6409" s="56" t="n">
        <f aca="false">IF(OR(D6409=1,K6408=""),"",K6408)</f>
        <v>1017.3</v>
      </c>
      <c r="Q6409" s="56" t="n">
        <f aca="false">IF(OR(F6409&lt;&gt;0,AND(I6409&lt;&gt;"",E6409&lt;I6409)),1,0)</f>
        <v>0</v>
      </c>
      <c r="R6409" s="56" t="n">
        <f aca="false">IF(AND(D6409&gt;1,Q6409=0,ISNUMBER(O6409),ISNUMBER(P6409)),IF(Q6408=0,1,0),0)</f>
        <v>1</v>
      </c>
      <c r="S6409" s="56" t="n">
        <f aca="false">R6409*(B6409&gt;=Train_Start)*(B6409&lt;=Train_End)</f>
        <v>0</v>
      </c>
      <c r="T6409" s="84" t="n">
        <f aca="false">IF(AND(ISNUMBER(O6409),ISNUMBER(P6409)),Coef_A+Coef_B1*O6409+Coef_B2*P6409,"")</f>
        <v>22.5985689152214</v>
      </c>
      <c r="U6409" s="84" t="n">
        <f aca="false">IF(AND(R6409=1,ISNUMBER(T6409)),E6409-T6409,"")</f>
        <v>2.90143108477857</v>
      </c>
      <c r="V6409" s="84" t="n">
        <f aca="false">IF(ISNUMBER(T6409),T6409,-99)</f>
        <v>22.5985689152214</v>
      </c>
      <c r="W6409" s="84" t="n">
        <f aca="false">IF(ISNUMBER(U6409),ABS(U6409),"")</f>
        <v>2.90143108477857</v>
      </c>
    </row>
    <row r="6410" customFormat="false" ht="15" hidden="false" customHeight="false" outlineLevel="0" collapsed="false">
      <c r="A6410" s="57" t="n">
        <v>44087</v>
      </c>
      <c r="B6410" s="56" t="n">
        <v>2020</v>
      </c>
      <c r="C6410" s="56" t="n">
        <v>9</v>
      </c>
      <c r="D6410" s="56" t="n">
        <v>136</v>
      </c>
      <c r="E6410" s="56" t="n">
        <v>29.5</v>
      </c>
      <c r="F6410" s="56" t="n">
        <v>0</v>
      </c>
      <c r="G6410" s="56" t="n">
        <v>12.8</v>
      </c>
      <c r="H6410" s="56" t="n">
        <v>0</v>
      </c>
      <c r="I6410" s="56" t="n">
        <v>19.1</v>
      </c>
      <c r="J6410" s="56" t="n">
        <v>0</v>
      </c>
      <c r="K6410" s="56" t="n">
        <v>1023.4</v>
      </c>
      <c r="L6410" s="56" t="n">
        <v>0</v>
      </c>
      <c r="M6410" s="56" t="n">
        <v>72</v>
      </c>
      <c r="N6410" s="56" t="n">
        <v>10.9</v>
      </c>
      <c r="O6410" s="56" t="n">
        <f aca="false">IF(D6410=1,"",E6409)</f>
        <v>25.5</v>
      </c>
      <c r="P6410" s="56" t="n">
        <f aca="false">IF(OR(D6410=1,K6409=""),"",K6409)</f>
        <v>1019.5</v>
      </c>
      <c r="Q6410" s="56" t="n">
        <f aca="false">IF(OR(F6410&lt;&gt;0,AND(I6410&lt;&gt;"",E6410&lt;I6410)),1,0)</f>
        <v>0</v>
      </c>
      <c r="R6410" s="56" t="n">
        <f aca="false">IF(AND(D6410&gt;1,Q6410=0,ISNUMBER(O6410),ISNUMBER(P6410)),IF(Q6409=0,1,0),0)</f>
        <v>1</v>
      </c>
      <c r="S6410" s="56" t="n">
        <f aca="false">R6410*(B6410&gt;=Train_Start)*(B6410&lt;=Train_End)</f>
        <v>0</v>
      </c>
      <c r="T6410" s="84" t="n">
        <f aca="false">IF(AND(ISNUMBER(O6410),ISNUMBER(P6410)),Coef_A+Coef_B1*O6410+Coef_B2*P6410,"")</f>
        <v>24.9617324239357</v>
      </c>
      <c r="U6410" s="84" t="n">
        <f aca="false">IF(AND(R6410=1,ISNUMBER(T6410)),E6410-T6410,"")</f>
        <v>4.53826757606435</v>
      </c>
      <c r="V6410" s="84" t="n">
        <f aca="false">IF(ISNUMBER(T6410),T6410,-99)</f>
        <v>24.9617324239357</v>
      </c>
      <c r="W6410" s="84" t="n">
        <f aca="false">IF(ISNUMBER(U6410),ABS(U6410),"")</f>
        <v>4.53826757606435</v>
      </c>
    </row>
    <row r="6411" customFormat="false" ht="15" hidden="false" customHeight="false" outlineLevel="0" collapsed="false">
      <c r="A6411" s="57" t="n">
        <v>44088</v>
      </c>
      <c r="B6411" s="56" t="n">
        <v>2020</v>
      </c>
      <c r="C6411" s="56" t="n">
        <v>9</v>
      </c>
      <c r="D6411" s="56" t="n">
        <v>137</v>
      </c>
      <c r="E6411" s="56" t="n">
        <v>29.4</v>
      </c>
      <c r="F6411" s="56" t="n">
        <v>0</v>
      </c>
      <c r="G6411" s="56" t="n">
        <v>11.3</v>
      </c>
      <c r="H6411" s="56" t="n">
        <v>0</v>
      </c>
      <c r="I6411" s="56" t="n">
        <v>20.4</v>
      </c>
      <c r="J6411" s="56" t="n">
        <v>0</v>
      </c>
      <c r="K6411" s="56" t="n">
        <v>1021.4</v>
      </c>
      <c r="L6411" s="56" t="n">
        <v>0</v>
      </c>
      <c r="M6411" s="56" t="n">
        <v>65</v>
      </c>
      <c r="N6411" s="56" t="n">
        <v>10.8</v>
      </c>
      <c r="O6411" s="56" t="n">
        <f aca="false">IF(D6411=1,"",E6410)</f>
        <v>29.5</v>
      </c>
      <c r="P6411" s="56" t="n">
        <f aca="false">IF(OR(D6411=1,K6410=""),"",K6410)</f>
        <v>1023.4</v>
      </c>
      <c r="Q6411" s="56" t="n">
        <f aca="false">IF(OR(F6411&lt;&gt;0,AND(I6411&lt;&gt;"",E6411&lt;I6411)),1,0)</f>
        <v>0</v>
      </c>
      <c r="R6411" s="56" t="n">
        <f aca="false">IF(AND(D6411&gt;1,Q6411=0,ISNUMBER(O6411),ISNUMBER(P6411)),IF(Q6410=0,1,0),0)</f>
        <v>1</v>
      </c>
      <c r="S6411" s="56" t="n">
        <f aca="false">R6411*(B6411&gt;=Train_Start)*(B6411&lt;=Train_End)</f>
        <v>0</v>
      </c>
      <c r="T6411" s="84" t="n">
        <f aca="false">IF(AND(ISNUMBER(O6411),ISNUMBER(P6411)),Coef_A+Coef_B1*O6411+Coef_B2*P6411,"")</f>
        <v>28.3614317851788</v>
      </c>
      <c r="U6411" s="84" t="n">
        <f aca="false">IF(AND(R6411=1,ISNUMBER(T6411)),E6411-T6411,"")</f>
        <v>1.03856821482115</v>
      </c>
      <c r="V6411" s="84" t="n">
        <f aca="false">IF(ISNUMBER(T6411),T6411,-99)</f>
        <v>28.3614317851788</v>
      </c>
      <c r="W6411" s="84" t="n">
        <f aca="false">IF(ISNUMBER(U6411),ABS(U6411),"")</f>
        <v>1.03856821482115</v>
      </c>
    </row>
    <row r="6412" customFormat="false" ht="15" hidden="false" customHeight="false" outlineLevel="0" collapsed="false">
      <c r="A6412" s="57" t="n">
        <v>44089</v>
      </c>
      <c r="B6412" s="56" t="n">
        <v>2020</v>
      </c>
      <c r="C6412" s="56" t="n">
        <v>9</v>
      </c>
      <c r="D6412" s="56" t="n">
        <v>138</v>
      </c>
      <c r="E6412" s="56" t="n">
        <v>26.5</v>
      </c>
      <c r="F6412" s="56" t="n">
        <v>0</v>
      </c>
      <c r="G6412" s="56" t="n">
        <v>14.8</v>
      </c>
      <c r="H6412" s="56" t="n">
        <v>0</v>
      </c>
      <c r="I6412" s="56" t="n">
        <v>22.1</v>
      </c>
      <c r="J6412" s="56" t="n">
        <v>0</v>
      </c>
      <c r="K6412" s="56" t="n">
        <v>1018</v>
      </c>
      <c r="L6412" s="56" t="n">
        <v>0</v>
      </c>
      <c r="M6412" s="56" t="n">
        <v>66</v>
      </c>
      <c r="N6412" s="56" t="n">
        <v>8.3</v>
      </c>
      <c r="O6412" s="56" t="n">
        <f aca="false">IF(D6412=1,"",E6411)</f>
        <v>29.4</v>
      </c>
      <c r="P6412" s="56" t="n">
        <f aca="false">IF(OR(D6412=1,K6411=""),"",K6411)</f>
        <v>1021.4</v>
      </c>
      <c r="Q6412" s="56" t="n">
        <f aca="false">IF(OR(F6412&lt;&gt;0,AND(I6412&lt;&gt;"",E6412&lt;I6412)),1,0)</f>
        <v>0</v>
      </c>
      <c r="R6412" s="56" t="n">
        <f aca="false">IF(AND(D6412&gt;1,Q6412=0,ISNUMBER(O6412),ISNUMBER(P6412)),IF(Q6411=0,1,0),0)</f>
        <v>1</v>
      </c>
      <c r="S6412" s="56" t="n">
        <f aca="false">R6412*(B6412&gt;=Train_Start)*(B6412&lt;=Train_End)</f>
        <v>0</v>
      </c>
      <c r="T6412" s="84" t="n">
        <f aca="false">IF(AND(ISNUMBER(O6412),ISNUMBER(P6412)),Coef_A+Coef_B1*O6412+Coef_B2*P6412,"")</f>
        <v>28.2167580766066</v>
      </c>
      <c r="U6412" s="84" t="n">
        <f aca="false">IF(AND(R6412=1,ISNUMBER(T6412)),E6412-T6412,"")</f>
        <v>-1.7167580766066</v>
      </c>
      <c r="V6412" s="84" t="n">
        <f aca="false">IF(ISNUMBER(T6412),T6412,-99)</f>
        <v>28.2167580766066</v>
      </c>
      <c r="W6412" s="84" t="n">
        <f aca="false">IF(ISNUMBER(U6412),ABS(U6412),"")</f>
        <v>1.7167580766066</v>
      </c>
    </row>
    <row r="6413" customFormat="false" ht="15" hidden="false" customHeight="false" outlineLevel="0" collapsed="false">
      <c r="A6413" s="57" t="n">
        <v>44090</v>
      </c>
      <c r="B6413" s="56" t="n">
        <v>2020</v>
      </c>
      <c r="C6413" s="56" t="n">
        <v>9</v>
      </c>
      <c r="D6413" s="56" t="n">
        <v>139</v>
      </c>
      <c r="E6413" s="56" t="n">
        <v>22.5</v>
      </c>
      <c r="F6413" s="56" t="n">
        <v>0</v>
      </c>
      <c r="G6413" s="56" t="n">
        <v>18.5</v>
      </c>
      <c r="H6413" s="56" t="n">
        <v>0</v>
      </c>
      <c r="I6413" s="56" t="n">
        <v>22.5</v>
      </c>
      <c r="J6413" s="56" t="n">
        <v>0</v>
      </c>
      <c r="K6413" s="56" t="n">
        <v>1023.7</v>
      </c>
      <c r="L6413" s="56" t="n">
        <v>0</v>
      </c>
      <c r="M6413" s="56" t="n">
        <v>65</v>
      </c>
      <c r="N6413" s="56" t="n">
        <v>5.9</v>
      </c>
      <c r="O6413" s="56" t="n">
        <f aca="false">IF(D6413=1,"",E6412)</f>
        <v>26.5</v>
      </c>
      <c r="P6413" s="56" t="n">
        <f aca="false">IF(OR(D6413=1,K6412=""),"",K6412)</f>
        <v>1018</v>
      </c>
      <c r="Q6413" s="56" t="n">
        <f aca="false">IF(OR(F6413&lt;&gt;0,AND(I6413&lt;&gt;"",E6413&lt;I6413)),1,0)</f>
        <v>0</v>
      </c>
      <c r="R6413" s="56" t="n">
        <f aca="false">IF(AND(D6413&gt;1,Q6413=0,ISNUMBER(O6413),ISNUMBER(P6413)),IF(Q6412=0,1,0),0)</f>
        <v>1</v>
      </c>
      <c r="S6413" s="56" t="n">
        <f aca="false">R6413*(B6413&gt;=Train_Start)*(B6413&lt;=Train_End)</f>
        <v>0</v>
      </c>
      <c r="T6413" s="84" t="n">
        <f aca="false">IF(AND(ISNUMBER(O6413),ISNUMBER(P6413)),Coef_A+Coef_B1*O6413+Coef_B2*P6413,"")</f>
        <v>25.7340167750273</v>
      </c>
      <c r="U6413" s="84" t="n">
        <f aca="false">IF(AND(R6413=1,ISNUMBER(T6413)),E6413-T6413,"")</f>
        <v>-3.23401677502733</v>
      </c>
      <c r="V6413" s="84" t="n">
        <f aca="false">IF(ISNUMBER(T6413),T6413,-99)</f>
        <v>25.7340167750273</v>
      </c>
      <c r="W6413" s="84" t="n">
        <f aca="false">IF(ISNUMBER(U6413),ABS(U6413),"")</f>
        <v>3.23401677502733</v>
      </c>
    </row>
    <row r="6414" customFormat="false" ht="15" hidden="false" customHeight="false" outlineLevel="0" collapsed="false">
      <c r="A6414" s="57" t="n">
        <v>44091</v>
      </c>
      <c r="B6414" s="56" t="n">
        <v>2020</v>
      </c>
      <c r="C6414" s="56" t="n">
        <v>9</v>
      </c>
      <c r="D6414" s="56" t="n">
        <v>140</v>
      </c>
      <c r="E6414" s="56" t="n">
        <v>21.9</v>
      </c>
      <c r="F6414" s="56" t="n">
        <v>0</v>
      </c>
      <c r="G6414" s="56" t="n">
        <v>12.8</v>
      </c>
      <c r="H6414" s="56" t="n">
        <v>0</v>
      </c>
      <c r="I6414" s="56" t="n">
        <v>17.6</v>
      </c>
      <c r="J6414" s="56" t="n">
        <v>0</v>
      </c>
      <c r="K6414" s="56" t="n">
        <v>1028.1</v>
      </c>
      <c r="L6414" s="56" t="n">
        <v>0</v>
      </c>
      <c r="M6414" s="56" t="n">
        <v>62</v>
      </c>
      <c r="N6414" s="56" t="n">
        <v>10.4</v>
      </c>
      <c r="O6414" s="56" t="n">
        <f aca="false">IF(D6414=1,"",E6413)</f>
        <v>22.5</v>
      </c>
      <c r="P6414" s="56" t="n">
        <f aca="false">IF(OR(D6414=1,K6413=""),"",K6413)</f>
        <v>1023.7</v>
      </c>
      <c r="Q6414" s="56" t="n">
        <f aca="false">IF(OR(F6414&lt;&gt;0,AND(I6414&lt;&gt;"",E6414&lt;I6414)),1,0)</f>
        <v>0</v>
      </c>
      <c r="R6414" s="56" t="n">
        <f aca="false">IF(AND(D6414&gt;1,Q6414=0,ISNUMBER(O6414),ISNUMBER(P6414)),IF(Q6413=0,1,0),0)</f>
        <v>1</v>
      </c>
      <c r="S6414" s="56" t="n">
        <f aca="false">R6414*(B6414&gt;=Train_Start)*(B6414&lt;=Train_End)</f>
        <v>0</v>
      </c>
      <c r="T6414" s="84" t="n">
        <f aca="false">IF(AND(ISNUMBER(O6414),ISNUMBER(P6414)),Coef_A+Coef_B1*O6414+Coef_B2*P6414,"")</f>
        <v>22.6354684022704</v>
      </c>
      <c r="U6414" s="84" t="n">
        <f aca="false">IF(AND(R6414=1,ISNUMBER(T6414)),E6414-T6414,"")</f>
        <v>-0.735468402270442</v>
      </c>
      <c r="V6414" s="84" t="n">
        <f aca="false">IF(ISNUMBER(T6414),T6414,-99)</f>
        <v>22.6354684022704</v>
      </c>
      <c r="W6414" s="84" t="n">
        <f aca="false">IF(ISNUMBER(U6414),ABS(U6414),"")</f>
        <v>0.735468402270442</v>
      </c>
    </row>
    <row r="6415" customFormat="false" ht="15" hidden="false" customHeight="false" outlineLevel="0" collapsed="false">
      <c r="A6415" s="57" t="n">
        <v>44092</v>
      </c>
      <c r="B6415" s="56" t="n">
        <v>2020</v>
      </c>
      <c r="C6415" s="56" t="n">
        <v>9</v>
      </c>
      <c r="D6415" s="56" t="n">
        <v>141</v>
      </c>
      <c r="E6415" s="56" t="n">
        <v>25.2</v>
      </c>
      <c r="F6415" s="56" t="n">
        <v>0</v>
      </c>
      <c r="G6415" s="56" t="n">
        <v>9.7</v>
      </c>
      <c r="H6415" s="56" t="n">
        <v>0</v>
      </c>
      <c r="I6415" s="56" t="n">
        <v>15.8</v>
      </c>
      <c r="J6415" s="56" t="n">
        <v>0</v>
      </c>
      <c r="K6415" s="56" t="n">
        <v>1022.6</v>
      </c>
      <c r="L6415" s="56" t="n">
        <v>0</v>
      </c>
      <c r="M6415" s="56" t="n">
        <v>63</v>
      </c>
      <c r="N6415" s="56" t="n">
        <v>9.8</v>
      </c>
      <c r="O6415" s="56" t="n">
        <f aca="false">IF(D6415=1,"",E6414)</f>
        <v>21.9</v>
      </c>
      <c r="P6415" s="56" t="n">
        <f aca="false">IF(OR(D6415=1,K6414=""),"",K6414)</f>
        <v>1028.1</v>
      </c>
      <c r="Q6415" s="56" t="n">
        <f aca="false">IF(OR(F6415&lt;&gt;0,AND(I6415&lt;&gt;"",E6415&lt;I6415)),1,0)</f>
        <v>0</v>
      </c>
      <c r="R6415" s="56" t="n">
        <f aca="false">IF(AND(D6415&gt;1,Q6415=0,ISNUMBER(O6415),ISNUMBER(P6415)),IF(Q6414=0,1,0),0)</f>
        <v>1</v>
      </c>
      <c r="S6415" s="56" t="n">
        <f aca="false">R6415*(B6415&gt;=Train_Start)*(B6415&lt;=Train_End)</f>
        <v>0</v>
      </c>
      <c r="T6415" s="84" t="n">
        <f aca="false">IF(AND(ISNUMBER(O6415),ISNUMBER(P6415)),Coef_A+Coef_B1*O6415+Coef_B2*P6415,"")</f>
        <v>22.2818924228344</v>
      </c>
      <c r="U6415" s="84" t="n">
        <f aca="false">IF(AND(R6415=1,ISNUMBER(T6415)),E6415-T6415,"")</f>
        <v>2.91810757716561</v>
      </c>
      <c r="V6415" s="84" t="n">
        <f aca="false">IF(ISNUMBER(T6415),T6415,-99)</f>
        <v>22.2818924228344</v>
      </c>
      <c r="W6415" s="84" t="n">
        <f aca="false">IF(ISNUMBER(U6415),ABS(U6415),"")</f>
        <v>2.91810757716561</v>
      </c>
    </row>
    <row r="6416" customFormat="false" ht="15" hidden="false" customHeight="false" outlineLevel="0" collapsed="false">
      <c r="A6416" s="57" t="n">
        <v>44093</v>
      </c>
      <c r="B6416" s="56" t="n">
        <v>2020</v>
      </c>
      <c r="C6416" s="56" t="n">
        <v>9</v>
      </c>
      <c r="D6416" s="56" t="n">
        <v>142</v>
      </c>
      <c r="E6416" s="56" t="n">
        <v>25.2</v>
      </c>
      <c r="F6416" s="56" t="n">
        <v>0</v>
      </c>
      <c r="G6416" s="56" t="n">
        <v>12.6</v>
      </c>
      <c r="H6416" s="56" t="n">
        <v>0</v>
      </c>
      <c r="I6416" s="56" t="n">
        <v>18.9</v>
      </c>
      <c r="J6416" s="56" t="n">
        <v>0</v>
      </c>
      <c r="K6416" s="56" t="n">
        <v>1017.4</v>
      </c>
      <c r="L6416" s="56" t="n">
        <v>0</v>
      </c>
      <c r="M6416" s="56" t="n">
        <v>61</v>
      </c>
      <c r="N6416" s="56" t="n">
        <v>9.6</v>
      </c>
      <c r="O6416" s="56" t="n">
        <f aca="false">IF(D6416=1,"",E6415)</f>
        <v>25.2</v>
      </c>
      <c r="P6416" s="56" t="n">
        <f aca="false">IF(OR(D6416=1,K6415=""),"",K6415)</f>
        <v>1022.6</v>
      </c>
      <c r="Q6416" s="56" t="n">
        <f aca="false">IF(OR(F6416&lt;&gt;0,AND(I6416&lt;&gt;"",E6416&lt;I6416)),1,0)</f>
        <v>0</v>
      </c>
      <c r="R6416" s="56" t="n">
        <f aca="false">IF(AND(D6416&gt;1,Q6416=0,ISNUMBER(O6416),ISNUMBER(P6416)),IF(Q6415=0,1,0),0)</f>
        <v>1</v>
      </c>
      <c r="S6416" s="56" t="n">
        <f aca="false">R6416*(B6416&gt;=Train_Start)*(B6416&lt;=Train_End)</f>
        <v>0</v>
      </c>
      <c r="T6416" s="84" t="n">
        <f aca="false">IF(AND(ISNUMBER(O6416),ISNUMBER(P6416)),Coef_A+Coef_B1*O6416+Coef_B2*P6416,"")</f>
        <v>24.8131773393882</v>
      </c>
      <c r="U6416" s="84" t="n">
        <f aca="false">IF(AND(R6416=1,ISNUMBER(T6416)),E6416-T6416,"")</f>
        <v>0.386822660611774</v>
      </c>
      <c r="V6416" s="84" t="n">
        <f aca="false">IF(ISNUMBER(T6416),T6416,-99)</f>
        <v>24.8131773393882</v>
      </c>
      <c r="W6416" s="84" t="n">
        <f aca="false">IF(ISNUMBER(U6416),ABS(U6416),"")</f>
        <v>0.386822660611774</v>
      </c>
    </row>
    <row r="6417" customFormat="false" ht="15" hidden="false" customHeight="false" outlineLevel="0" collapsed="false">
      <c r="A6417" s="57" t="n">
        <v>44094</v>
      </c>
      <c r="B6417" s="56" t="n">
        <v>2020</v>
      </c>
      <c r="C6417" s="56" t="n">
        <v>9</v>
      </c>
      <c r="D6417" s="56" t="n">
        <v>143</v>
      </c>
      <c r="E6417" s="56" t="n">
        <v>24.8</v>
      </c>
      <c r="F6417" s="56" t="n">
        <v>0</v>
      </c>
      <c r="G6417" s="56" t="n">
        <v>13.7</v>
      </c>
      <c r="H6417" s="56" t="n">
        <v>0</v>
      </c>
      <c r="I6417" s="56" t="n">
        <v>19.4</v>
      </c>
      <c r="J6417" s="56" t="n">
        <v>0</v>
      </c>
      <c r="K6417" s="56" t="n">
        <v>1018.6</v>
      </c>
      <c r="L6417" s="56" t="n">
        <v>0</v>
      </c>
      <c r="M6417" s="56" t="n">
        <v>65</v>
      </c>
      <c r="N6417" s="56" t="n">
        <v>9.4</v>
      </c>
      <c r="O6417" s="56" t="n">
        <f aca="false">IF(D6417=1,"",E6416)</f>
        <v>25.2</v>
      </c>
      <c r="P6417" s="56" t="n">
        <f aca="false">IF(OR(D6417=1,K6416=""),"",K6416)</f>
        <v>1017.4</v>
      </c>
      <c r="Q6417" s="56" t="n">
        <f aca="false">IF(OR(F6417&lt;&gt;0,AND(I6417&lt;&gt;"",E6417&lt;I6417)),1,0)</f>
        <v>0</v>
      </c>
      <c r="R6417" s="56" t="n">
        <f aca="false">IF(AND(D6417&gt;1,Q6417=0,ISNUMBER(O6417),ISNUMBER(P6417)),IF(Q6416=0,1,0),0)</f>
        <v>1</v>
      </c>
      <c r="S6417" s="56" t="n">
        <f aca="false">R6417*(B6417&gt;=Train_Start)*(B6417&lt;=Train_End)</f>
        <v>0</v>
      </c>
      <c r="T6417" s="84" t="n">
        <f aca="false">IF(AND(ISNUMBER(O6417),ISNUMBER(P6417)),Coef_A+Coef_B1*O6417+Coef_B2*P6417,"")</f>
        <v>24.6500538872915</v>
      </c>
      <c r="U6417" s="84" t="n">
        <f aca="false">IF(AND(R6417=1,ISNUMBER(T6417)),E6417-T6417,"")</f>
        <v>0.149946112708523</v>
      </c>
      <c r="V6417" s="84" t="n">
        <f aca="false">IF(ISNUMBER(T6417),T6417,-99)</f>
        <v>24.6500538872915</v>
      </c>
      <c r="W6417" s="84" t="n">
        <f aca="false">IF(ISNUMBER(U6417),ABS(U6417),"")</f>
        <v>0.149946112708523</v>
      </c>
    </row>
    <row r="6418" customFormat="false" ht="15" hidden="false" customHeight="false" outlineLevel="0" collapsed="false">
      <c r="A6418" s="57" t="n">
        <v>44095</v>
      </c>
      <c r="B6418" s="56" t="n">
        <v>2020</v>
      </c>
      <c r="C6418" s="56" t="n">
        <v>9</v>
      </c>
      <c r="D6418" s="56" t="n">
        <v>144</v>
      </c>
      <c r="E6418" s="56" t="n">
        <v>25.7</v>
      </c>
      <c r="F6418" s="56" t="n">
        <v>0</v>
      </c>
      <c r="G6418" s="56" t="n">
        <v>13.8</v>
      </c>
      <c r="H6418" s="56" t="n">
        <v>0</v>
      </c>
      <c r="I6418" s="56" t="n">
        <v>19.3</v>
      </c>
      <c r="J6418" s="56" t="n">
        <v>0</v>
      </c>
      <c r="K6418" s="56" t="n">
        <v>1017.4</v>
      </c>
      <c r="L6418" s="56" t="n">
        <v>0</v>
      </c>
      <c r="M6418" s="56" t="n">
        <v>70</v>
      </c>
      <c r="N6418" s="56" t="n">
        <v>7.3</v>
      </c>
      <c r="O6418" s="56" t="n">
        <f aca="false">IF(D6418=1,"",E6417)</f>
        <v>24.8</v>
      </c>
      <c r="P6418" s="56" t="n">
        <f aca="false">IF(OR(D6418=1,K6417=""),"",K6417)</f>
        <v>1018.6</v>
      </c>
      <c r="Q6418" s="56" t="n">
        <f aca="false">IF(OR(F6418&lt;&gt;0,AND(I6418&lt;&gt;"",E6418&lt;I6418)),1,0)</f>
        <v>0</v>
      </c>
      <c r="R6418" s="56" t="n">
        <f aca="false">IF(AND(D6418&gt;1,Q6418=0,ISNUMBER(O6418),ISNUMBER(P6418)),IF(Q6417=0,1,0),0)</f>
        <v>1</v>
      </c>
      <c r="S6418" s="56" t="n">
        <f aca="false">R6418*(B6418&gt;=Train_Start)*(B6418&lt;=Train_End)</f>
        <v>0</v>
      </c>
      <c r="T6418" s="84" t="n">
        <f aca="false">IF(AND(ISNUMBER(O6418),ISNUMBER(P6418)),Coef_A+Coef_B1*O6418+Coef_B2*P6418,"")</f>
        <v>24.3599620836352</v>
      </c>
      <c r="U6418" s="84" t="n">
        <f aca="false">IF(AND(R6418=1,ISNUMBER(T6418)),E6418-T6418,"")</f>
        <v>1.3400379163648</v>
      </c>
      <c r="V6418" s="84" t="n">
        <f aca="false">IF(ISNUMBER(T6418),T6418,-99)</f>
        <v>24.3599620836352</v>
      </c>
      <c r="W6418" s="84" t="n">
        <f aca="false">IF(ISNUMBER(U6418),ABS(U6418),"")</f>
        <v>1.3400379163648</v>
      </c>
    </row>
    <row r="6419" customFormat="false" ht="15" hidden="false" customHeight="false" outlineLevel="0" collapsed="false">
      <c r="A6419" s="57" t="n">
        <v>44096</v>
      </c>
      <c r="B6419" s="56" t="n">
        <v>2020</v>
      </c>
      <c r="C6419" s="56" t="n">
        <v>9</v>
      </c>
      <c r="D6419" s="56" t="n">
        <v>145</v>
      </c>
      <c r="E6419" s="56" t="n">
        <v>18.6</v>
      </c>
      <c r="F6419" s="56" t="n">
        <v>1</v>
      </c>
      <c r="G6419" s="56" t="n">
        <v>12.2</v>
      </c>
      <c r="H6419" s="56" t="n">
        <v>0</v>
      </c>
      <c r="I6419" s="56" t="n">
        <v>18.9</v>
      </c>
      <c r="J6419" s="56" t="n">
        <v>1</v>
      </c>
      <c r="K6419" s="56" t="n">
        <v>1009.5</v>
      </c>
      <c r="L6419" s="56" t="n">
        <v>0</v>
      </c>
      <c r="M6419" s="56" t="n">
        <v>71</v>
      </c>
      <c r="N6419" s="56" t="n">
        <v>8.4</v>
      </c>
      <c r="O6419" s="56" t="n">
        <f aca="false">IF(D6419=1,"",E6418)</f>
        <v>25.7</v>
      </c>
      <c r="P6419" s="56" t="n">
        <f aca="false">IF(OR(D6419=1,K6418=""),"",K6418)</f>
        <v>1017.4</v>
      </c>
      <c r="Q6419" s="56" t="n">
        <f aca="false">IF(OR(F6419&lt;&gt;0,AND(I6419&lt;&gt;"",E6419&lt;I6419)),1,0)</f>
        <v>1</v>
      </c>
      <c r="R6419" s="56" t="n">
        <f aca="false">IF(AND(D6419&gt;1,Q6419=0,ISNUMBER(O6419),ISNUMBER(P6419)),IF(Q6418=0,1,0),0)</f>
        <v>0</v>
      </c>
      <c r="S6419" s="56" t="n">
        <f aca="false">R6419*(B6419&gt;=Train_Start)*(B6419&lt;=Train_End)</f>
        <v>0</v>
      </c>
      <c r="T6419" s="84" t="n">
        <f aca="false">IF(AND(ISNUMBER(O6419),ISNUMBER(P6419)),Coef_A+Coef_B1*O6419+Coef_B2*P6419,"")</f>
        <v>25.0597234838128</v>
      </c>
      <c r="U6419" s="84" t="str">
        <f aca="false">IF(AND(R6419=1,ISNUMBER(T6419)),E6419-T6419,"")</f>
        <v/>
      </c>
      <c r="V6419" s="84" t="n">
        <f aca="false">IF(ISNUMBER(T6419),T6419,-99)</f>
        <v>25.0597234838128</v>
      </c>
      <c r="W6419" s="84" t="str">
        <f aca="false">IF(ISNUMBER(U6419),ABS(U6419),"")</f>
        <v/>
      </c>
    </row>
    <row r="6420" customFormat="false" ht="15" hidden="false" customHeight="false" outlineLevel="0" collapsed="false">
      <c r="A6420" s="57" t="n">
        <v>44097</v>
      </c>
      <c r="B6420" s="56" t="n">
        <v>2020</v>
      </c>
      <c r="C6420" s="56" t="n">
        <v>9</v>
      </c>
      <c r="D6420" s="56" t="n">
        <v>146</v>
      </c>
      <c r="E6420" s="56" t="n">
        <v>16.8</v>
      </c>
      <c r="F6420" s="56" t="n">
        <v>1</v>
      </c>
      <c r="G6420" s="56" t="n">
        <v>15.2</v>
      </c>
      <c r="H6420" s="56" t="n">
        <v>0</v>
      </c>
      <c r="I6420" s="56" t="n">
        <v>16.9</v>
      </c>
      <c r="J6420" s="56" t="n">
        <v>1</v>
      </c>
      <c r="K6420" s="56" t="n">
        <v>1000.3</v>
      </c>
      <c r="L6420" s="56" t="n">
        <v>0</v>
      </c>
      <c r="M6420" s="56" t="n">
        <v>86</v>
      </c>
      <c r="N6420" s="56" t="n">
        <v>0.1</v>
      </c>
      <c r="O6420" s="56" t="n">
        <f aca="false">IF(D6420=1,"",E6419)</f>
        <v>18.6</v>
      </c>
      <c r="P6420" s="56" t="n">
        <f aca="false">IF(OR(D6420=1,K6419=""),"",K6419)</f>
        <v>1009.5</v>
      </c>
      <c r="Q6420" s="56" t="n">
        <f aca="false">IF(OR(F6420&lt;&gt;0,AND(I6420&lt;&gt;"",E6420&lt;I6420)),1,0)</f>
        <v>1</v>
      </c>
      <c r="R6420" s="56" t="n">
        <f aca="false">IF(AND(D6420&gt;1,Q6420=0,ISNUMBER(O6420),ISNUMBER(P6420)),IF(Q6419=0,1,0),0)</f>
        <v>0</v>
      </c>
      <c r="S6420" s="56" t="n">
        <f aca="false">R6420*(B6420&gt;=Train_Start)*(B6420&lt;=Train_End)</f>
        <v>0</v>
      </c>
      <c r="T6420" s="84" t="n">
        <f aca="false">IF(AND(ISNUMBER(O6420),ISNUMBER(P6420)),Coef_A+Coef_B1*O6420+Coef_B2*P6420,"")</f>
        <v>18.9945930456014</v>
      </c>
      <c r="U6420" s="84" t="str">
        <f aca="false">IF(AND(R6420=1,ISNUMBER(T6420)),E6420-T6420,"")</f>
        <v/>
      </c>
      <c r="V6420" s="84" t="n">
        <f aca="false">IF(ISNUMBER(T6420),T6420,-99)</f>
        <v>18.9945930456014</v>
      </c>
      <c r="W6420" s="84" t="str">
        <f aca="false">IF(ISNUMBER(U6420),ABS(U6420),"")</f>
        <v/>
      </c>
    </row>
    <row r="6421" customFormat="false" ht="15" hidden="false" customHeight="false" outlineLevel="0" collapsed="false">
      <c r="A6421" s="57" t="n">
        <v>44098</v>
      </c>
      <c r="B6421" s="56" t="n">
        <v>2020</v>
      </c>
      <c r="C6421" s="56" t="n">
        <v>9</v>
      </c>
      <c r="D6421" s="56" t="n">
        <v>147</v>
      </c>
      <c r="E6421" s="56" t="n">
        <v>15</v>
      </c>
      <c r="F6421" s="56" t="n">
        <v>0</v>
      </c>
      <c r="G6421" s="56" t="n">
        <v>8.1</v>
      </c>
      <c r="H6421" s="56" t="n">
        <v>0</v>
      </c>
      <c r="I6421" s="56" t="n">
        <v>12.4</v>
      </c>
      <c r="J6421" s="56" t="n">
        <v>0</v>
      </c>
      <c r="K6421" s="56" t="n">
        <v>996.1</v>
      </c>
      <c r="L6421" s="56" t="n">
        <v>0</v>
      </c>
      <c r="M6421" s="56" t="n">
        <v>81</v>
      </c>
      <c r="N6421" s="56" t="n">
        <v>2.7</v>
      </c>
      <c r="O6421" s="56" t="n">
        <f aca="false">IF(D6421=1,"",E6420)</f>
        <v>16.8</v>
      </c>
      <c r="P6421" s="56" t="n">
        <f aca="false">IF(OR(D6421=1,K6420=""),"",K6420)</f>
        <v>1000.3</v>
      </c>
      <c r="Q6421" s="56" t="n">
        <f aca="false">IF(OR(F6421&lt;&gt;0,AND(I6421&lt;&gt;"",E6421&lt;I6421)),1,0)</f>
        <v>0</v>
      </c>
      <c r="R6421" s="56" t="n">
        <f aca="false">IF(AND(D6421&gt;1,Q6421=0,ISNUMBER(O6421),ISNUMBER(P6421)),IF(Q6420=0,1,0),0)</f>
        <v>0</v>
      </c>
      <c r="S6421" s="56" t="n">
        <f aca="false">R6421*(B6421&gt;=Train_Start)*(B6421&lt;=Train_End)</f>
        <v>0</v>
      </c>
      <c r="T6421" s="84" t="n">
        <f aca="false">IF(AND(ISNUMBER(O6421),ISNUMBER(P6421)),Coef_A+Coef_B1*O6421+Coef_B2*P6421,"")</f>
        <v>17.2311794674919</v>
      </c>
      <c r="U6421" s="84" t="str">
        <f aca="false">IF(AND(R6421=1,ISNUMBER(T6421)),E6421-T6421,"")</f>
        <v/>
      </c>
      <c r="V6421" s="84" t="n">
        <f aca="false">IF(ISNUMBER(T6421),T6421,-99)</f>
        <v>17.2311794674919</v>
      </c>
      <c r="W6421" s="84" t="str">
        <f aca="false">IF(ISNUMBER(U6421),ABS(U6421),"")</f>
        <v/>
      </c>
    </row>
    <row r="6422" customFormat="false" ht="15" hidden="false" customHeight="false" outlineLevel="0" collapsed="false">
      <c r="A6422" s="57" t="n">
        <v>44099</v>
      </c>
      <c r="B6422" s="56" t="n">
        <v>2020</v>
      </c>
      <c r="C6422" s="56" t="n">
        <v>9</v>
      </c>
      <c r="D6422" s="56" t="n">
        <v>148</v>
      </c>
      <c r="E6422" s="56" t="n">
        <v>13.6</v>
      </c>
      <c r="F6422" s="56" t="n">
        <v>0</v>
      </c>
      <c r="G6422" s="56" t="n">
        <v>6.4</v>
      </c>
      <c r="H6422" s="56" t="n">
        <v>0</v>
      </c>
      <c r="I6422" s="56" t="n">
        <v>10.7</v>
      </c>
      <c r="J6422" s="56" t="n">
        <v>0</v>
      </c>
      <c r="K6422" s="56" t="n">
        <v>1002.5</v>
      </c>
      <c r="L6422" s="56" t="n">
        <v>0</v>
      </c>
      <c r="M6422" s="56" t="n">
        <v>67</v>
      </c>
      <c r="N6422" s="56" t="n">
        <v>5.4</v>
      </c>
      <c r="O6422" s="56" t="n">
        <f aca="false">IF(D6422=1,"",E6421)</f>
        <v>15</v>
      </c>
      <c r="P6422" s="56" t="n">
        <f aca="false">IF(OR(D6422=1,K6421=""),"",K6421)</f>
        <v>996.1</v>
      </c>
      <c r="Q6422" s="56" t="n">
        <f aca="false">IF(OR(F6422&lt;&gt;0,AND(I6422&lt;&gt;"",E6422&lt;I6422)),1,0)</f>
        <v>0</v>
      </c>
      <c r="R6422" s="56" t="n">
        <f aca="false">IF(AND(D6422&gt;1,Q6422=0,ISNUMBER(O6422),ISNUMBER(P6422)),IF(Q6421=0,1,0),0)</f>
        <v>1</v>
      </c>
      <c r="S6422" s="56" t="n">
        <f aca="false">R6422*(B6422&gt;=Train_Start)*(B6422&lt;=Train_End)</f>
        <v>0</v>
      </c>
      <c r="T6422" s="84" t="n">
        <f aca="false">IF(AND(ISNUMBER(O6422),ISNUMBER(P6422)),Coef_A+Coef_B1*O6422+Coef_B2*P6422,"")</f>
        <v>15.6246153625524</v>
      </c>
      <c r="U6422" s="84" t="n">
        <f aca="false">IF(AND(R6422=1,ISNUMBER(T6422)),E6422-T6422,"")</f>
        <v>-2.0246153625524</v>
      </c>
      <c r="V6422" s="84" t="n">
        <f aca="false">IF(ISNUMBER(T6422),T6422,-99)</f>
        <v>15.6246153625524</v>
      </c>
      <c r="W6422" s="84" t="n">
        <f aca="false">IF(ISNUMBER(U6422),ABS(U6422),"")</f>
        <v>2.0246153625524</v>
      </c>
    </row>
    <row r="6423" customFormat="false" ht="15" hidden="false" customHeight="false" outlineLevel="0" collapsed="false">
      <c r="A6423" s="57" t="n">
        <v>44100</v>
      </c>
      <c r="B6423" s="56" t="n">
        <v>2020</v>
      </c>
      <c r="C6423" s="56" t="n">
        <v>9</v>
      </c>
      <c r="D6423" s="56" t="n">
        <v>149</v>
      </c>
      <c r="E6423" s="56" t="n">
        <v>14.5</v>
      </c>
      <c r="F6423" s="56" t="n">
        <v>0</v>
      </c>
      <c r="G6423" s="56" t="n">
        <v>6.6</v>
      </c>
      <c r="H6423" s="56" t="n">
        <v>0</v>
      </c>
      <c r="I6423" s="56" t="n">
        <v>10.1</v>
      </c>
      <c r="J6423" s="56" t="n">
        <v>0</v>
      </c>
      <c r="K6423" s="56" t="n">
        <v>1011.5</v>
      </c>
      <c r="L6423" s="56" t="n">
        <v>0</v>
      </c>
      <c r="M6423" s="56" t="n">
        <v>65</v>
      </c>
      <c r="N6423" s="56" t="n">
        <v>4.8</v>
      </c>
      <c r="O6423" s="56" t="n">
        <f aca="false">IF(D6423=1,"",E6422)</f>
        <v>13.6</v>
      </c>
      <c r="P6423" s="56" t="n">
        <f aca="false">IF(OR(D6423=1,K6422=""),"",K6422)</f>
        <v>1002.5</v>
      </c>
      <c r="Q6423" s="56" t="n">
        <f aca="false">IF(OR(F6423&lt;&gt;0,AND(I6423&lt;&gt;"",E6423&lt;I6423)),1,0)</f>
        <v>0</v>
      </c>
      <c r="R6423" s="56" t="n">
        <f aca="false">IF(AND(D6423&gt;1,Q6423=0,ISNUMBER(O6423),ISNUMBER(P6423)),IF(Q6422=0,1,0),0)</f>
        <v>1</v>
      </c>
      <c r="S6423" s="56" t="n">
        <f aca="false">R6423*(B6423&gt;=Train_Start)*(B6423&lt;=Train_End)</f>
        <v>0</v>
      </c>
      <c r="T6423" s="84" t="n">
        <f aca="false">IF(AND(ISNUMBER(O6423),ISNUMBER(P6423)),Coef_A+Coef_B1*O6423+Coef_B2*P6423,"")</f>
        <v>14.6783078179502</v>
      </c>
      <c r="U6423" s="84" t="n">
        <f aca="false">IF(AND(R6423=1,ISNUMBER(T6423)),E6423-T6423,"")</f>
        <v>-0.178307817950206</v>
      </c>
      <c r="V6423" s="84" t="n">
        <f aca="false">IF(ISNUMBER(T6423),T6423,-99)</f>
        <v>14.6783078179502</v>
      </c>
      <c r="W6423" s="84" t="n">
        <f aca="false">IF(ISNUMBER(U6423),ABS(U6423),"")</f>
        <v>0.178307817950206</v>
      </c>
    </row>
    <row r="6424" customFormat="false" ht="15" hidden="false" customHeight="false" outlineLevel="0" collapsed="false">
      <c r="A6424" s="57" t="n">
        <v>44101</v>
      </c>
      <c r="B6424" s="56" t="n">
        <v>2020</v>
      </c>
      <c r="C6424" s="56" t="n">
        <v>9</v>
      </c>
      <c r="D6424" s="56" t="n">
        <v>150</v>
      </c>
      <c r="E6424" s="56" t="n">
        <v>18.2</v>
      </c>
      <c r="F6424" s="56" t="n">
        <v>0</v>
      </c>
      <c r="G6424" s="56" t="n">
        <v>9.5</v>
      </c>
      <c r="H6424" s="56" t="n">
        <v>0</v>
      </c>
      <c r="I6424" s="56" t="n">
        <v>12</v>
      </c>
      <c r="J6424" s="56" t="n">
        <v>0</v>
      </c>
      <c r="K6424" s="56" t="n">
        <v>1012.8</v>
      </c>
      <c r="L6424" s="56" t="n">
        <v>0</v>
      </c>
      <c r="M6424" s="56" t="n">
        <v>66</v>
      </c>
      <c r="N6424" s="56" t="n">
        <v>0.6</v>
      </c>
      <c r="O6424" s="56" t="n">
        <f aca="false">IF(D6424=1,"",E6423)</f>
        <v>14.5</v>
      </c>
      <c r="P6424" s="56" t="n">
        <f aca="false">IF(OR(D6424=1,K6423=""),"",K6423)</f>
        <v>1011.5</v>
      </c>
      <c r="Q6424" s="56" t="n">
        <f aca="false">IF(OR(F6424&lt;&gt;0,AND(I6424&lt;&gt;"",E6424&lt;I6424)),1,0)</f>
        <v>0</v>
      </c>
      <c r="R6424" s="56" t="n">
        <f aca="false">IF(AND(D6424&gt;1,Q6424=0,ISNUMBER(O6424),ISNUMBER(P6424)),IF(Q6423=0,1,0),0)</f>
        <v>1</v>
      </c>
      <c r="S6424" s="56" t="n">
        <f aca="false">R6424*(B6424&gt;=Train_Start)*(B6424&lt;=Train_End)</f>
        <v>0</v>
      </c>
      <c r="T6424" s="84" t="n">
        <f aca="false">IF(AND(ISNUMBER(O6424),ISNUMBER(P6424)),Coef_A+Coef_B1*O6424+Coef_B2*P6424,"")</f>
        <v>15.6980421433945</v>
      </c>
      <c r="U6424" s="84" t="n">
        <f aca="false">IF(AND(R6424=1,ISNUMBER(T6424)),E6424-T6424,"")</f>
        <v>2.5019578566055</v>
      </c>
      <c r="V6424" s="84" t="n">
        <f aca="false">IF(ISNUMBER(T6424),T6424,-99)</f>
        <v>15.6980421433945</v>
      </c>
      <c r="W6424" s="84" t="n">
        <f aca="false">IF(ISNUMBER(U6424),ABS(U6424),"")</f>
        <v>2.5019578566055</v>
      </c>
    </row>
    <row r="6425" customFormat="false" ht="15" hidden="false" customHeight="false" outlineLevel="0" collapsed="false">
      <c r="A6425" s="57" t="n">
        <v>44102</v>
      </c>
      <c r="B6425" s="56" t="n">
        <v>2020</v>
      </c>
      <c r="C6425" s="56" t="n">
        <v>9</v>
      </c>
      <c r="D6425" s="56" t="n">
        <v>151</v>
      </c>
      <c r="E6425" s="56" t="n">
        <v>19.6</v>
      </c>
      <c r="F6425" s="56" t="n">
        <v>0</v>
      </c>
      <c r="G6425" s="56" t="n">
        <v>7.7</v>
      </c>
      <c r="H6425" s="56" t="n">
        <v>0</v>
      </c>
      <c r="I6425" s="56" t="n">
        <v>12.9</v>
      </c>
      <c r="J6425" s="56" t="n">
        <v>0</v>
      </c>
      <c r="K6425" s="56" t="n">
        <v>1013.6</v>
      </c>
      <c r="L6425" s="56" t="n">
        <v>0</v>
      </c>
      <c r="M6425" s="56" t="n">
        <v>73</v>
      </c>
      <c r="N6425" s="56" t="n">
        <v>5.6</v>
      </c>
      <c r="O6425" s="56" t="n">
        <f aca="false">IF(D6425=1,"",E6424)</f>
        <v>18.2</v>
      </c>
      <c r="P6425" s="56" t="n">
        <f aca="false">IF(OR(D6425=1,K6424=""),"",K6424)</f>
        <v>1012.8</v>
      </c>
      <c r="Q6425" s="56" t="n">
        <f aca="false">IF(OR(F6425&lt;&gt;0,AND(I6425&lt;&gt;"",E6425&lt;I6425)),1,0)</f>
        <v>0</v>
      </c>
      <c r="R6425" s="56" t="n">
        <f aca="false">IF(AND(D6425&gt;1,Q6425=0,ISNUMBER(O6425),ISNUMBER(P6425)),IF(Q6424=0,1,0),0)</f>
        <v>1</v>
      </c>
      <c r="S6425" s="56" t="n">
        <f aca="false">R6425*(B6425&gt;=Train_Start)*(B6425&lt;=Train_End)</f>
        <v>0</v>
      </c>
      <c r="T6425" s="84" t="n">
        <f aca="false">IF(AND(ISNUMBER(O6425),ISNUMBER(P6425)),Coef_A+Coef_B1*O6425+Coef_B2*P6425,"")</f>
        <v>18.7703780206765</v>
      </c>
      <c r="U6425" s="84" t="n">
        <f aca="false">IF(AND(R6425=1,ISNUMBER(T6425)),E6425-T6425,"")</f>
        <v>0.829621979323484</v>
      </c>
      <c r="V6425" s="84" t="n">
        <f aca="false">IF(ISNUMBER(T6425),T6425,-99)</f>
        <v>18.7703780206765</v>
      </c>
      <c r="W6425" s="84" t="n">
        <f aca="false">IF(ISNUMBER(U6425),ABS(U6425),"")</f>
        <v>0.829621979323484</v>
      </c>
    </row>
    <row r="6426" customFormat="false" ht="15" hidden="false" customHeight="false" outlineLevel="0" collapsed="false">
      <c r="A6426" s="57" t="n">
        <v>44103</v>
      </c>
      <c r="B6426" s="56" t="n">
        <v>2020</v>
      </c>
      <c r="C6426" s="56" t="n">
        <v>9</v>
      </c>
      <c r="D6426" s="56" t="n">
        <v>152</v>
      </c>
      <c r="E6426" s="56" t="n">
        <v>18</v>
      </c>
      <c r="F6426" s="56" t="n">
        <v>0</v>
      </c>
      <c r="G6426" s="56" t="n">
        <v>10.8</v>
      </c>
      <c r="H6426" s="56" t="n">
        <v>0</v>
      </c>
      <c r="I6426" s="56" t="n">
        <v>15.2</v>
      </c>
      <c r="J6426" s="56" t="n">
        <v>0</v>
      </c>
      <c r="K6426" s="56" t="n">
        <v>1015</v>
      </c>
      <c r="L6426" s="56" t="n">
        <v>0</v>
      </c>
      <c r="M6426" s="56" t="n">
        <v>81</v>
      </c>
      <c r="N6426" s="56" t="n">
        <v>4</v>
      </c>
      <c r="O6426" s="56" t="n">
        <f aca="false">IF(D6426=1,"",E6425)</f>
        <v>19.6</v>
      </c>
      <c r="P6426" s="56" t="n">
        <f aca="false">IF(OR(D6426=1,K6425=""),"",K6425)</f>
        <v>1013.6</v>
      </c>
      <c r="Q6426" s="56" t="n">
        <f aca="false">IF(OR(F6426&lt;&gt;0,AND(I6426&lt;&gt;"",E6426&lt;I6426)),1,0)</f>
        <v>0</v>
      </c>
      <c r="R6426" s="56" t="n">
        <f aca="false">IF(AND(D6426&gt;1,Q6426=0,ISNUMBER(O6426),ISNUMBER(P6426)),IF(Q6425=0,1,0),0)</f>
        <v>1</v>
      </c>
      <c r="S6426" s="56" t="n">
        <f aca="false">R6426*(B6426&gt;=Train_Start)*(B6426&lt;=Train_End)</f>
        <v>0</v>
      </c>
      <c r="T6426" s="84" t="n">
        <f aca="false">IF(AND(ISNUMBER(O6426),ISNUMBER(P6426)),Coef_A+Coef_B1*O6426+Coef_B2*P6426,"")</f>
        <v>19.9425488066434</v>
      </c>
      <c r="U6426" s="84" t="n">
        <f aca="false">IF(AND(R6426=1,ISNUMBER(T6426)),E6426-T6426,"")</f>
        <v>-1.94254880664344</v>
      </c>
      <c r="V6426" s="84" t="n">
        <f aca="false">IF(ISNUMBER(T6426),T6426,-99)</f>
        <v>19.9425488066434</v>
      </c>
      <c r="W6426" s="84" t="n">
        <f aca="false">IF(ISNUMBER(U6426),ABS(U6426),"")</f>
        <v>1.94254880664344</v>
      </c>
    </row>
    <row r="6427" customFormat="false" ht="15" hidden="false" customHeight="false" outlineLevel="0" collapsed="false">
      <c r="A6427" s="57" t="n">
        <v>44104</v>
      </c>
      <c r="B6427" s="56" t="n">
        <v>2020</v>
      </c>
      <c r="C6427" s="56" t="n">
        <v>9</v>
      </c>
      <c r="D6427" s="56" t="n">
        <v>153</v>
      </c>
      <c r="E6427" s="56" t="n">
        <v>16.3</v>
      </c>
      <c r="F6427" s="56" t="n">
        <v>0</v>
      </c>
      <c r="G6427" s="56" t="n">
        <v>9.9</v>
      </c>
      <c r="H6427" s="56" t="n">
        <v>0</v>
      </c>
      <c r="I6427" s="56" t="n">
        <v>13.9</v>
      </c>
      <c r="J6427" s="56" t="n">
        <v>0</v>
      </c>
      <c r="K6427" s="56" t="n">
        <v>1007.2</v>
      </c>
      <c r="L6427" s="56" t="n">
        <v>0</v>
      </c>
      <c r="M6427" s="56" t="n">
        <v>88</v>
      </c>
      <c r="N6427" s="56" t="n">
        <v>0.5</v>
      </c>
      <c r="O6427" s="56" t="n">
        <f aca="false">IF(D6427=1,"",E6426)</f>
        <v>18</v>
      </c>
      <c r="P6427" s="56" t="n">
        <f aca="false">IF(OR(D6427=1,K6426=""),"",K6426)</f>
        <v>1015</v>
      </c>
      <c r="Q6427" s="56" t="n">
        <f aca="false">IF(OR(F6427&lt;&gt;0,AND(I6427&lt;&gt;"",E6427&lt;I6427)),1,0)</f>
        <v>0</v>
      </c>
      <c r="R6427" s="56" t="n">
        <f aca="false">IF(AND(D6427&gt;1,Q6427=0,ISNUMBER(O6427),ISNUMBER(P6427)),IF(Q6426=0,1,0),0)</f>
        <v>1</v>
      </c>
      <c r="S6427" s="56" t="n">
        <f aca="false">R6427*(B6427&gt;=Train_Start)*(B6427&lt;=Train_End)</f>
        <v>0</v>
      </c>
      <c r="T6427" s="84" t="n">
        <f aca="false">IF(AND(ISNUMBER(O6427),ISNUMBER(P6427)),Coef_A+Coef_B1*O6427+Coef_B2*P6427,"")</f>
        <v>18.6755239502628</v>
      </c>
      <c r="U6427" s="84" t="n">
        <f aca="false">IF(AND(R6427=1,ISNUMBER(T6427)),E6427-T6427,"")</f>
        <v>-2.37552395026277</v>
      </c>
      <c r="V6427" s="84" t="n">
        <f aca="false">IF(ISNUMBER(T6427),T6427,-99)</f>
        <v>18.6755239502628</v>
      </c>
      <c r="W6427" s="84" t="n">
        <f aca="false">IF(ISNUMBER(U6427),ABS(U6427),"")</f>
        <v>2.37552395026277</v>
      </c>
    </row>
    <row r="6428" customFormat="false" ht="15" hidden="false" customHeight="false" outlineLevel="0" collapsed="false">
      <c r="A6428" s="57" t="n">
        <v>44317</v>
      </c>
      <c r="B6428" s="56" t="n">
        <v>2021</v>
      </c>
      <c r="C6428" s="56" t="n">
        <v>5</v>
      </c>
      <c r="D6428" s="56" t="n">
        <v>1</v>
      </c>
      <c r="E6428" s="56" t="n">
        <v>15.3</v>
      </c>
      <c r="F6428" s="56" t="n">
        <v>0</v>
      </c>
      <c r="G6428" s="56" t="n">
        <v>3</v>
      </c>
      <c r="H6428" s="56" t="n">
        <v>0</v>
      </c>
      <c r="I6428" s="56" t="n">
        <v>8.2</v>
      </c>
      <c r="J6428" s="56" t="n">
        <v>0</v>
      </c>
      <c r="K6428" s="56" t="n">
        <v>1016.5</v>
      </c>
      <c r="L6428" s="56" t="n">
        <v>0</v>
      </c>
      <c r="M6428" s="56" t="n">
        <v>62</v>
      </c>
      <c r="N6428" s="56" t="n">
        <v>6.3</v>
      </c>
      <c r="O6428" s="56" t="str">
        <f aca="false">IF(D6428=1,"",E6427)</f>
        <v/>
      </c>
      <c r="P6428" s="56" t="str">
        <f aca="false">IF(OR(D6428=1,K6427=""),"",K6427)</f>
        <v/>
      </c>
      <c r="Q6428" s="56" t="n">
        <f aca="false">IF(OR(F6428&lt;&gt;0,AND(I6428&lt;&gt;"",E6428&lt;I6428)),1,0)</f>
        <v>0</v>
      </c>
      <c r="R6428" s="56" t="n">
        <f aca="false">IF(AND(D6428&gt;1,Q6428=0,ISNUMBER(O6428),ISNUMBER(P6428)),IF(Q6427=0,1,0),0)</f>
        <v>0</v>
      </c>
      <c r="S6428" s="56" t="n">
        <f aca="false">R6428*(B6428&gt;=Train_Start)*(B6428&lt;=Train_End)</f>
        <v>0</v>
      </c>
      <c r="T6428" s="84" t="str">
        <f aca="false">IF(AND(ISNUMBER(O6428),ISNUMBER(P6428)),Coef_A+Coef_B1*O6428+Coef_B2*P6428,"")</f>
        <v/>
      </c>
      <c r="U6428" s="84" t="str">
        <f aca="false">IF(AND(R6428=1,ISNUMBER(T6428)),E6428-T6428,"")</f>
        <v/>
      </c>
      <c r="V6428" s="84" t="n">
        <f aca="false">IF(ISNUMBER(T6428),T6428,-99)</f>
        <v>-99</v>
      </c>
      <c r="W6428" s="84" t="str">
        <f aca="false">IF(ISNUMBER(U6428),ABS(U6428),"")</f>
        <v/>
      </c>
    </row>
    <row r="6429" customFormat="false" ht="15" hidden="false" customHeight="false" outlineLevel="0" collapsed="false">
      <c r="A6429" s="57" t="n">
        <v>44318</v>
      </c>
      <c r="B6429" s="56" t="n">
        <v>2021</v>
      </c>
      <c r="C6429" s="56" t="n">
        <v>5</v>
      </c>
      <c r="D6429" s="56" t="n">
        <v>2</v>
      </c>
      <c r="E6429" s="56" t="n">
        <v>14</v>
      </c>
      <c r="F6429" s="56" t="n">
        <v>0</v>
      </c>
      <c r="G6429" s="56" t="n">
        <v>4.4</v>
      </c>
      <c r="H6429" s="56" t="n">
        <v>0</v>
      </c>
      <c r="I6429" s="56" t="n">
        <v>9.8</v>
      </c>
      <c r="J6429" s="56" t="n">
        <v>0</v>
      </c>
      <c r="K6429" s="56" t="n">
        <v>1020.4</v>
      </c>
      <c r="L6429" s="56" t="n">
        <v>0</v>
      </c>
      <c r="M6429" s="56" t="n">
        <v>60</v>
      </c>
      <c r="N6429" s="56" t="n">
        <v>5</v>
      </c>
      <c r="O6429" s="56" t="n">
        <f aca="false">IF(D6429=1,"",E6428)</f>
        <v>15.3</v>
      </c>
      <c r="P6429" s="56" t="n">
        <f aca="false">IF(OR(D6429=1,K6428=""),"",K6428)</f>
        <v>1016.5</v>
      </c>
      <c r="Q6429" s="56" t="n">
        <f aca="false">IF(OR(F6429&lt;&gt;0,AND(I6429&lt;&gt;"",E6429&lt;I6429)),1,0)</f>
        <v>0</v>
      </c>
      <c r="R6429" s="56" t="n">
        <f aca="false">IF(AND(D6429&gt;1,Q6429=0,ISNUMBER(O6429),ISNUMBER(P6429)),IF(Q6428=0,1,0),0)</f>
        <v>1</v>
      </c>
      <c r="S6429" s="56" t="n">
        <f aca="false">R6429*(B6429&gt;=Train_Start)*(B6429&lt;=Train_End)</f>
        <v>0</v>
      </c>
      <c r="T6429" s="84" t="n">
        <f aca="false">IF(AND(ISNUMBER(O6429),ISNUMBER(P6429)),Coef_A+Coef_B1*O6429+Coef_B2*P6429,"")</f>
        <v>16.5103629709986</v>
      </c>
      <c r="U6429" s="84" t="n">
        <f aca="false">IF(AND(R6429=1,ISNUMBER(T6429)),E6429-T6429,"")</f>
        <v>-2.51036297099858</v>
      </c>
      <c r="V6429" s="84" t="n">
        <f aca="false">IF(ISNUMBER(T6429),T6429,-99)</f>
        <v>16.5103629709986</v>
      </c>
      <c r="W6429" s="84" t="n">
        <f aca="false">IF(ISNUMBER(U6429),ABS(U6429),"")</f>
        <v>2.51036297099858</v>
      </c>
    </row>
    <row r="6430" customFormat="false" ht="15" hidden="false" customHeight="false" outlineLevel="0" collapsed="false">
      <c r="A6430" s="57" t="n">
        <v>44319</v>
      </c>
      <c r="B6430" s="56" t="n">
        <v>2021</v>
      </c>
      <c r="C6430" s="56" t="n">
        <v>5</v>
      </c>
      <c r="D6430" s="56" t="n">
        <v>3</v>
      </c>
      <c r="E6430" s="56" t="n">
        <v>15.1</v>
      </c>
      <c r="F6430" s="56" t="n">
        <v>0</v>
      </c>
      <c r="G6430" s="56" t="n">
        <v>5.7</v>
      </c>
      <c r="H6430" s="56" t="n">
        <v>0</v>
      </c>
      <c r="I6430" s="56" t="n">
        <v>9.8</v>
      </c>
      <c r="J6430" s="56" t="n">
        <v>0</v>
      </c>
      <c r="K6430" s="56" t="n">
        <v>1012</v>
      </c>
      <c r="L6430" s="56" t="n">
        <v>0</v>
      </c>
      <c r="M6430" s="56" t="n">
        <v>70</v>
      </c>
      <c r="N6430" s="56" t="n">
        <v>1.6</v>
      </c>
      <c r="O6430" s="56" t="n">
        <f aca="false">IF(D6430=1,"",E6429)</f>
        <v>14</v>
      </c>
      <c r="P6430" s="56" t="n">
        <f aca="false">IF(OR(D6430=1,K6429=""),"",K6429)</f>
        <v>1020.4</v>
      </c>
      <c r="Q6430" s="56" t="n">
        <f aca="false">IF(OR(F6430&lt;&gt;0,AND(I6430&lt;&gt;"",E6430&lt;I6430)),1,0)</f>
        <v>0</v>
      </c>
      <c r="R6430" s="56" t="n">
        <f aca="false">IF(AND(D6430&gt;1,Q6430=0,ISNUMBER(O6430),ISNUMBER(P6430)),IF(Q6429=0,1,0),0)</f>
        <v>1</v>
      </c>
      <c r="S6430" s="56" t="n">
        <f aca="false">R6430*(B6430&gt;=Train_Start)*(B6430&lt;=Train_End)</f>
        <v>0</v>
      </c>
      <c r="T6430" s="84" t="n">
        <f aca="false">IF(AND(ISNUMBER(O6430),ISNUMBER(P6430)),Coef_A+Coef_B1*O6430+Coef_B2*P6430,"")</f>
        <v>15.5675646091157</v>
      </c>
      <c r="U6430" s="84" t="n">
        <f aca="false">IF(AND(R6430=1,ISNUMBER(T6430)),E6430-T6430,"")</f>
        <v>-0.467564609115682</v>
      </c>
      <c r="V6430" s="84" t="n">
        <f aca="false">IF(ISNUMBER(T6430),T6430,-99)</f>
        <v>15.5675646091157</v>
      </c>
      <c r="W6430" s="84" t="n">
        <f aca="false">IF(ISNUMBER(U6430),ABS(U6430),"")</f>
        <v>0.467564609115682</v>
      </c>
    </row>
    <row r="6431" customFormat="false" ht="15" hidden="false" customHeight="false" outlineLevel="0" collapsed="false">
      <c r="A6431" s="57" t="n">
        <v>44320</v>
      </c>
      <c r="B6431" s="56" t="n">
        <v>2021</v>
      </c>
      <c r="C6431" s="56" t="n">
        <v>5</v>
      </c>
      <c r="D6431" s="56" t="n">
        <v>4</v>
      </c>
      <c r="E6431" s="56" t="n">
        <v>14.4</v>
      </c>
      <c r="F6431" s="56" t="n">
        <v>0</v>
      </c>
      <c r="G6431" s="56" t="n">
        <v>7.7</v>
      </c>
      <c r="H6431" s="56" t="n">
        <v>0</v>
      </c>
      <c r="I6431" s="56" t="n">
        <v>11.4</v>
      </c>
      <c r="J6431" s="56" t="n">
        <v>0</v>
      </c>
      <c r="K6431" s="56" t="n">
        <v>1000.2</v>
      </c>
      <c r="L6431" s="56" t="n">
        <v>0</v>
      </c>
      <c r="M6431" s="56" t="n">
        <v>61</v>
      </c>
      <c r="N6431" s="56" t="n">
        <v>7.7</v>
      </c>
      <c r="O6431" s="56" t="n">
        <f aca="false">IF(D6431=1,"",E6430)</f>
        <v>15.1</v>
      </c>
      <c r="P6431" s="56" t="n">
        <f aca="false">IF(OR(D6431=1,K6430=""),"",K6430)</f>
        <v>1012</v>
      </c>
      <c r="Q6431" s="56" t="n">
        <f aca="false">IF(OR(F6431&lt;&gt;0,AND(I6431&lt;&gt;"",E6431&lt;I6431)),1,0)</f>
        <v>0</v>
      </c>
      <c r="R6431" s="56" t="n">
        <f aca="false">IF(AND(D6431&gt;1,Q6431=0,ISNUMBER(O6431),ISNUMBER(P6431)),IF(Q6430=0,1,0),0)</f>
        <v>1</v>
      </c>
      <c r="S6431" s="56" t="n">
        <f aca="false">R6431*(B6431&gt;=Train_Start)*(B6431&lt;=Train_End)</f>
        <v>0</v>
      </c>
      <c r="T6431" s="84" t="n">
        <f aca="false">IF(AND(ISNUMBER(O6431),ISNUMBER(P6431)),Coef_A+Coef_B1*O6431+Coef_B2*P6431,"")</f>
        <v>16.2053306065371</v>
      </c>
      <c r="U6431" s="84" t="n">
        <f aca="false">IF(AND(R6431=1,ISNUMBER(T6431)),E6431-T6431,"")</f>
        <v>-1.80533060653709</v>
      </c>
      <c r="V6431" s="84" t="n">
        <f aca="false">IF(ISNUMBER(T6431),T6431,-99)</f>
        <v>16.2053306065371</v>
      </c>
      <c r="W6431" s="84" t="n">
        <f aca="false">IF(ISNUMBER(U6431),ABS(U6431),"")</f>
        <v>1.80533060653709</v>
      </c>
    </row>
    <row r="6432" customFormat="false" ht="15" hidden="false" customHeight="false" outlineLevel="0" collapsed="false">
      <c r="A6432" s="57" t="n">
        <v>44321</v>
      </c>
      <c r="B6432" s="56" t="n">
        <v>2021</v>
      </c>
      <c r="C6432" s="56" t="n">
        <v>5</v>
      </c>
      <c r="D6432" s="56" t="n">
        <v>5</v>
      </c>
      <c r="E6432" s="56" t="n">
        <v>12.8</v>
      </c>
      <c r="F6432" s="56" t="n">
        <v>0</v>
      </c>
      <c r="G6432" s="56" t="n">
        <v>3</v>
      </c>
      <c r="H6432" s="56" t="n">
        <v>0</v>
      </c>
      <c r="I6432" s="56" t="n">
        <v>8.7</v>
      </c>
      <c r="J6432" s="56" t="n">
        <v>0</v>
      </c>
      <c r="K6432" s="56" t="n">
        <v>1008.9</v>
      </c>
      <c r="L6432" s="56" t="n">
        <v>0</v>
      </c>
      <c r="M6432" s="56" t="n">
        <v>71</v>
      </c>
      <c r="N6432" s="56" t="n">
        <v>7.7</v>
      </c>
      <c r="O6432" s="56" t="n">
        <f aca="false">IF(D6432=1,"",E6431)</f>
        <v>14.4</v>
      </c>
      <c r="P6432" s="56" t="n">
        <f aca="false">IF(OR(D6432=1,K6431=""),"",K6431)</f>
        <v>1000.2</v>
      </c>
      <c r="Q6432" s="56" t="n">
        <f aca="false">IF(OR(F6432&lt;&gt;0,AND(I6432&lt;&gt;"",E6432&lt;I6432)),1,0)</f>
        <v>0</v>
      </c>
      <c r="R6432" s="56" t="n">
        <f aca="false">IF(AND(D6432&gt;1,Q6432=0,ISNUMBER(O6432),ISNUMBER(P6432)),IF(Q6431=0,1,0),0)</f>
        <v>1</v>
      </c>
      <c r="S6432" s="56" t="n">
        <f aca="false">R6432*(B6432&gt;=Train_Start)*(B6432&lt;=Train_End)</f>
        <v>0</v>
      </c>
      <c r="T6432" s="84" t="n">
        <f aca="false">IF(AND(ISNUMBER(O6432),ISNUMBER(P6432)),Coef_A+Coef_B1*O6432+Coef_B2*P6432,"")</f>
        <v>15.2616284147262</v>
      </c>
      <c r="U6432" s="84" t="n">
        <f aca="false">IF(AND(R6432=1,ISNUMBER(T6432)),E6432-T6432,"")</f>
        <v>-2.46162841472616</v>
      </c>
      <c r="V6432" s="84" t="n">
        <f aca="false">IF(ISNUMBER(T6432),T6432,-99)</f>
        <v>15.2616284147262</v>
      </c>
      <c r="W6432" s="84" t="n">
        <f aca="false">IF(ISNUMBER(U6432),ABS(U6432),"")</f>
        <v>2.46162841472616</v>
      </c>
    </row>
    <row r="6433" customFormat="false" ht="15" hidden="false" customHeight="false" outlineLevel="0" collapsed="false">
      <c r="A6433" s="57" t="n">
        <v>44322</v>
      </c>
      <c r="B6433" s="56" t="n">
        <v>2021</v>
      </c>
      <c r="C6433" s="56" t="n">
        <v>5</v>
      </c>
      <c r="D6433" s="56" t="n">
        <v>6</v>
      </c>
      <c r="E6433" s="56" t="n">
        <v>15.7</v>
      </c>
      <c r="F6433" s="56" t="n">
        <v>0</v>
      </c>
      <c r="G6433" s="56" t="n">
        <v>1.6</v>
      </c>
      <c r="H6433" s="56" t="n">
        <v>0</v>
      </c>
      <c r="I6433" s="56" t="n">
        <v>7.2</v>
      </c>
      <c r="J6433" s="56" t="n">
        <v>0</v>
      </c>
      <c r="K6433" s="56" t="n">
        <v>1007.4</v>
      </c>
      <c r="L6433" s="56" t="n">
        <v>0</v>
      </c>
      <c r="M6433" s="56" t="n">
        <v>65</v>
      </c>
      <c r="N6433" s="56" t="n">
        <v>6.8</v>
      </c>
      <c r="O6433" s="56" t="n">
        <f aca="false">IF(D6433=1,"",E6432)</f>
        <v>12.8</v>
      </c>
      <c r="P6433" s="56" t="n">
        <f aca="false">IF(OR(D6433=1,K6432=""),"",K6432)</f>
        <v>1008.9</v>
      </c>
      <c r="Q6433" s="56" t="n">
        <f aca="false">IF(OR(F6433&lt;&gt;0,AND(I6433&lt;&gt;"",E6433&lt;I6433)),1,0)</f>
        <v>0</v>
      </c>
      <c r="R6433" s="56" t="n">
        <f aca="false">IF(AND(D6433&gt;1,Q6433=0,ISNUMBER(O6433),ISNUMBER(P6433)),IF(Q6432=0,1,0),0)</f>
        <v>1</v>
      </c>
      <c r="S6433" s="56" t="n">
        <f aca="false">R6433*(B6433&gt;=Train_Start)*(B6433&lt;=Train_End)</f>
        <v>0</v>
      </c>
      <c r="T6433" s="84" t="n">
        <f aca="false">IF(AND(ISNUMBER(O6433),ISNUMBER(P6433)),Coef_A+Coef_B1*O6433+Coef_B2*P6433,"")</f>
        <v>14.2236037891736</v>
      </c>
      <c r="U6433" s="84" t="n">
        <f aca="false">IF(AND(R6433=1,ISNUMBER(T6433)),E6433-T6433,"")</f>
        <v>1.47639621082638</v>
      </c>
      <c r="V6433" s="84" t="n">
        <f aca="false">IF(ISNUMBER(T6433),T6433,-99)</f>
        <v>14.2236037891736</v>
      </c>
      <c r="W6433" s="84" t="n">
        <f aca="false">IF(ISNUMBER(U6433),ABS(U6433),"")</f>
        <v>1.47639621082638</v>
      </c>
    </row>
    <row r="6434" customFormat="false" ht="15" hidden="false" customHeight="false" outlineLevel="0" collapsed="false">
      <c r="A6434" s="57" t="n">
        <v>44323</v>
      </c>
      <c r="B6434" s="56" t="n">
        <v>2021</v>
      </c>
      <c r="C6434" s="56" t="n">
        <v>5</v>
      </c>
      <c r="D6434" s="56" t="n">
        <v>7</v>
      </c>
      <c r="E6434" s="56" t="n">
        <v>17.5</v>
      </c>
      <c r="F6434" s="56" t="n">
        <v>0</v>
      </c>
      <c r="G6434" s="56" t="n">
        <v>4.1</v>
      </c>
      <c r="H6434" s="56" t="n">
        <v>0</v>
      </c>
      <c r="I6434" s="56" t="n">
        <v>9.9</v>
      </c>
      <c r="J6434" s="56" t="n">
        <v>0</v>
      </c>
      <c r="K6434" s="56" t="n">
        <v>1015.4</v>
      </c>
      <c r="L6434" s="56" t="n">
        <v>0</v>
      </c>
      <c r="M6434" s="56" t="n">
        <v>50</v>
      </c>
      <c r="N6434" s="56" t="n">
        <v>7.5</v>
      </c>
      <c r="O6434" s="56" t="n">
        <f aca="false">IF(D6434=1,"",E6433)</f>
        <v>15.7</v>
      </c>
      <c r="P6434" s="56" t="n">
        <f aca="false">IF(OR(D6434=1,K6433=""),"",K6433)</f>
        <v>1007.4</v>
      </c>
      <c r="Q6434" s="56" t="n">
        <f aca="false">IF(OR(F6434&lt;&gt;0,AND(I6434&lt;&gt;"",E6434&lt;I6434)),1,0)</f>
        <v>0</v>
      </c>
      <c r="R6434" s="56" t="n">
        <f aca="false">IF(AND(D6434&gt;1,Q6434=0,ISNUMBER(O6434),ISNUMBER(P6434)),IF(Q6433=0,1,0),0)</f>
        <v>1</v>
      </c>
      <c r="S6434" s="56" t="n">
        <f aca="false">R6434*(B6434&gt;=Train_Start)*(B6434&lt;=Train_End)</f>
        <v>0</v>
      </c>
      <c r="T6434" s="84" t="n">
        <f aca="false">IF(AND(ISNUMBER(O6434),ISNUMBER(P6434)),Coef_A+Coef_B1*O6434+Coef_B2*P6434,"")</f>
        <v>16.5526326070463</v>
      </c>
      <c r="U6434" s="84" t="n">
        <f aca="false">IF(AND(R6434=1,ISNUMBER(T6434)),E6434-T6434,"")</f>
        <v>0.947367392953666</v>
      </c>
      <c r="V6434" s="84" t="n">
        <f aca="false">IF(ISNUMBER(T6434),T6434,-99)</f>
        <v>16.5526326070463</v>
      </c>
      <c r="W6434" s="84" t="n">
        <f aca="false">IF(ISNUMBER(U6434),ABS(U6434),"")</f>
        <v>0.947367392953666</v>
      </c>
    </row>
    <row r="6435" customFormat="false" ht="15" hidden="false" customHeight="false" outlineLevel="0" collapsed="false">
      <c r="A6435" s="57" t="n">
        <v>44324</v>
      </c>
      <c r="B6435" s="56" t="n">
        <v>2021</v>
      </c>
      <c r="C6435" s="56" t="n">
        <v>5</v>
      </c>
      <c r="D6435" s="56" t="n">
        <v>8</v>
      </c>
      <c r="E6435" s="56" t="n">
        <v>20.4</v>
      </c>
      <c r="F6435" s="56" t="n">
        <v>0</v>
      </c>
      <c r="G6435" s="56" t="n">
        <v>6.5</v>
      </c>
      <c r="H6435" s="56" t="n">
        <v>0</v>
      </c>
      <c r="I6435" s="56" t="n">
        <v>12</v>
      </c>
      <c r="J6435" s="56" t="n">
        <v>0</v>
      </c>
      <c r="K6435" s="56" t="n">
        <v>1005.2</v>
      </c>
      <c r="L6435" s="56" t="n">
        <v>0</v>
      </c>
      <c r="M6435" s="56" t="n">
        <v>77</v>
      </c>
      <c r="N6435" s="56" t="n">
        <v>0</v>
      </c>
      <c r="O6435" s="56" t="n">
        <f aca="false">IF(D6435=1,"",E6434)</f>
        <v>17.5</v>
      </c>
      <c r="P6435" s="56" t="n">
        <f aca="false">IF(OR(D6435=1,K6434=""),"",K6434)</f>
        <v>1015.4</v>
      </c>
      <c r="Q6435" s="56" t="n">
        <f aca="false">IF(OR(F6435&lt;&gt;0,AND(I6435&lt;&gt;"",E6435&lt;I6435)),1,0)</f>
        <v>0</v>
      </c>
      <c r="R6435" s="56" t="n">
        <f aca="false">IF(AND(D6435&gt;1,Q6435=0,ISNUMBER(O6435),ISNUMBER(P6435)),IF(Q6434=0,1,0),0)</f>
        <v>1</v>
      </c>
      <c r="S6435" s="56" t="n">
        <f aca="false">R6435*(B6435&gt;=Train_Start)*(B6435&lt;=Train_End)</f>
        <v>0</v>
      </c>
      <c r="T6435" s="84" t="n">
        <f aca="false">IF(AND(ISNUMBER(O6435),ISNUMBER(P6435)),Coef_A+Coef_B1*O6435+Coef_B2*P6435,"")</f>
        <v>18.278402311595</v>
      </c>
      <c r="U6435" s="84" t="n">
        <f aca="false">IF(AND(R6435=1,ISNUMBER(T6435)),E6435-T6435,"")</f>
        <v>2.12159768840496</v>
      </c>
      <c r="V6435" s="84" t="n">
        <f aca="false">IF(ISNUMBER(T6435),T6435,-99)</f>
        <v>18.278402311595</v>
      </c>
      <c r="W6435" s="84" t="n">
        <f aca="false">IF(ISNUMBER(U6435),ABS(U6435),"")</f>
        <v>2.12159768840496</v>
      </c>
    </row>
    <row r="6436" customFormat="false" ht="15" hidden="false" customHeight="false" outlineLevel="0" collapsed="false">
      <c r="A6436" s="57" t="n">
        <v>44325</v>
      </c>
      <c r="B6436" s="56" t="n">
        <v>2021</v>
      </c>
      <c r="C6436" s="56" t="n">
        <v>5</v>
      </c>
      <c r="D6436" s="56" t="n">
        <v>9</v>
      </c>
      <c r="E6436" s="56" t="n">
        <v>17.1</v>
      </c>
      <c r="F6436" s="56" t="n">
        <v>0</v>
      </c>
      <c r="G6436" s="56" t="n">
        <v>11.5</v>
      </c>
      <c r="H6436" s="56" t="n">
        <v>0</v>
      </c>
      <c r="I6436" s="56" t="n">
        <v>15.9</v>
      </c>
      <c r="J6436" s="56" t="n">
        <v>0</v>
      </c>
      <c r="K6436" s="56" t="n">
        <v>997.1</v>
      </c>
      <c r="L6436" s="56" t="n">
        <v>0</v>
      </c>
      <c r="M6436" s="56" t="n">
        <v>72</v>
      </c>
      <c r="N6436" s="56" t="n">
        <v>2.5</v>
      </c>
      <c r="O6436" s="56" t="n">
        <f aca="false">IF(D6436=1,"",E6435)</f>
        <v>20.4</v>
      </c>
      <c r="P6436" s="56" t="n">
        <f aca="false">IF(OR(D6436=1,K6435=""),"",K6435)</f>
        <v>1005.2</v>
      </c>
      <c r="Q6436" s="56" t="n">
        <f aca="false">IF(OR(F6436&lt;&gt;0,AND(I6436&lt;&gt;"",E6436&lt;I6436)),1,0)</f>
        <v>0</v>
      </c>
      <c r="R6436" s="56" t="n">
        <f aca="false">IF(AND(D6436&gt;1,Q6436=0,ISNUMBER(O6436),ISNUMBER(P6436)),IF(Q6435=0,1,0),0)</f>
        <v>1</v>
      </c>
      <c r="S6436" s="56" t="n">
        <f aca="false">R6436*(B6436&gt;=Train_Start)*(B6436&lt;=Train_End)</f>
        <v>0</v>
      </c>
      <c r="T6436" s="84" t="n">
        <f aca="false">IF(AND(ISNUMBER(O6436),ISNUMBER(P6436)),Coef_A+Coef_B1*O6436+Coef_B2*P6436,"")</f>
        <v>20.3345130461521</v>
      </c>
      <c r="U6436" s="84" t="n">
        <f aca="false">IF(AND(R6436=1,ISNUMBER(T6436)),E6436-T6436,"")</f>
        <v>-3.23451304615205</v>
      </c>
      <c r="V6436" s="84" t="n">
        <f aca="false">IF(ISNUMBER(T6436),T6436,-99)</f>
        <v>20.3345130461521</v>
      </c>
      <c r="W6436" s="84" t="n">
        <f aca="false">IF(ISNUMBER(U6436),ABS(U6436),"")</f>
        <v>3.23451304615205</v>
      </c>
    </row>
    <row r="6437" customFormat="false" ht="15" hidden="false" customHeight="false" outlineLevel="0" collapsed="false">
      <c r="A6437" s="57" t="n">
        <v>44326</v>
      </c>
      <c r="B6437" s="56" t="n">
        <v>2021</v>
      </c>
      <c r="C6437" s="56" t="n">
        <v>5</v>
      </c>
      <c r="D6437" s="56" t="n">
        <v>10</v>
      </c>
      <c r="E6437" s="56" t="n">
        <v>17.8</v>
      </c>
      <c r="F6437" s="56" t="n">
        <v>0</v>
      </c>
      <c r="G6437" s="56" t="n">
        <v>10.2</v>
      </c>
      <c r="H6437" s="56" t="n">
        <v>0</v>
      </c>
      <c r="I6437" s="56" t="n">
        <v>13.7</v>
      </c>
      <c r="J6437" s="56" t="n">
        <v>0</v>
      </c>
      <c r="K6437" s="56" t="n">
        <v>1000.6</v>
      </c>
      <c r="L6437" s="56" t="n">
        <v>0</v>
      </c>
      <c r="M6437" s="56" t="n">
        <v>73</v>
      </c>
      <c r="N6437" s="56" t="n">
        <v>6</v>
      </c>
      <c r="O6437" s="56" t="n">
        <f aca="false">IF(D6437=1,"",E6436)</f>
        <v>17.1</v>
      </c>
      <c r="P6437" s="56" t="n">
        <f aca="false">IF(OR(D6437=1,K6436=""),"",K6436)</f>
        <v>997.1</v>
      </c>
      <c r="Q6437" s="56" t="n">
        <f aca="false">IF(OR(F6437&lt;&gt;0,AND(I6437&lt;&gt;"",E6437&lt;I6437)),1,0)</f>
        <v>0</v>
      </c>
      <c r="R6437" s="56" t="n">
        <f aca="false">IF(AND(D6437&gt;1,Q6437=0,ISNUMBER(O6437),ISNUMBER(P6437)),IF(Q6436=0,1,0),0)</f>
        <v>1</v>
      </c>
      <c r="S6437" s="56" t="n">
        <f aca="false">R6437*(B6437&gt;=Train_Start)*(B6437&lt;=Train_End)</f>
        <v>0</v>
      </c>
      <c r="T6437" s="84" t="n">
        <f aca="false">IF(AND(ISNUMBER(O6437),ISNUMBER(P6437)),Coef_A+Coef_B1*O6437+Coef_B2*P6437,"")</f>
        <v>17.376597562576</v>
      </c>
      <c r="U6437" s="84" t="n">
        <f aca="false">IF(AND(R6437=1,ISNUMBER(T6437)),E6437-T6437,"")</f>
        <v>0.423402437424034</v>
      </c>
      <c r="V6437" s="84" t="n">
        <f aca="false">IF(ISNUMBER(T6437),T6437,-99)</f>
        <v>17.376597562576</v>
      </c>
      <c r="W6437" s="84" t="n">
        <f aca="false">IF(ISNUMBER(U6437),ABS(U6437),"")</f>
        <v>0.423402437424034</v>
      </c>
    </row>
    <row r="6438" customFormat="false" ht="15" hidden="false" customHeight="false" outlineLevel="0" collapsed="false">
      <c r="A6438" s="57" t="n">
        <v>44327</v>
      </c>
      <c r="B6438" s="56" t="n">
        <v>2021</v>
      </c>
      <c r="C6438" s="56" t="n">
        <v>5</v>
      </c>
      <c r="D6438" s="56" t="n">
        <v>11</v>
      </c>
      <c r="E6438" s="56" t="n">
        <v>17.5</v>
      </c>
      <c r="F6438" s="56" t="n">
        <v>0</v>
      </c>
      <c r="G6438" s="56" t="n">
        <v>5.5</v>
      </c>
      <c r="H6438" s="56" t="n">
        <v>0</v>
      </c>
      <c r="I6438" s="56" t="n">
        <v>11.7</v>
      </c>
      <c r="J6438" s="56" t="n">
        <v>0</v>
      </c>
      <c r="K6438" s="56" t="n">
        <v>1007.1</v>
      </c>
      <c r="L6438" s="56" t="n">
        <v>0</v>
      </c>
      <c r="M6438" s="56" t="n">
        <v>69</v>
      </c>
      <c r="N6438" s="56" t="n">
        <v>5</v>
      </c>
      <c r="O6438" s="56" t="n">
        <f aca="false">IF(D6438=1,"",E6437)</f>
        <v>17.8</v>
      </c>
      <c r="P6438" s="56" t="n">
        <f aca="false">IF(OR(D6438=1,K6437=""),"",K6437)</f>
        <v>1000.6</v>
      </c>
      <c r="Q6438" s="56" t="n">
        <f aca="false">IF(OR(F6438&lt;&gt;0,AND(I6438&lt;&gt;"",E6438&lt;I6438)),1,0)</f>
        <v>0</v>
      </c>
      <c r="R6438" s="56" t="n">
        <f aca="false">IF(AND(D6438&gt;1,Q6438=0,ISNUMBER(O6438),ISNUMBER(P6438)),IF(Q6437=0,1,0),0)</f>
        <v>1</v>
      </c>
      <c r="S6438" s="56" t="n">
        <f aca="false">R6438*(B6438&gt;=Train_Start)*(B6438&lt;=Train_End)</f>
        <v>0</v>
      </c>
      <c r="T6438" s="84" t="n">
        <f aca="false">IF(AND(ISNUMBER(O6438),ISNUMBER(P6438)),Coef_A+Coef_B1*O6438+Coef_B2*P6438,"")</f>
        <v>18.0599296289248</v>
      </c>
      <c r="U6438" s="84" t="n">
        <f aca="false">IF(AND(R6438=1,ISNUMBER(T6438)),E6438-T6438,"")</f>
        <v>-0.559929628924788</v>
      </c>
      <c r="V6438" s="84" t="n">
        <f aca="false">IF(ISNUMBER(T6438),T6438,-99)</f>
        <v>18.0599296289248</v>
      </c>
      <c r="W6438" s="84" t="n">
        <f aca="false">IF(ISNUMBER(U6438),ABS(U6438),"")</f>
        <v>0.559929628924788</v>
      </c>
    </row>
    <row r="6439" customFormat="false" ht="15" hidden="false" customHeight="false" outlineLevel="0" collapsed="false">
      <c r="A6439" s="57" t="n">
        <v>44328</v>
      </c>
      <c r="B6439" s="56" t="n">
        <v>2021</v>
      </c>
      <c r="C6439" s="56" t="n">
        <v>5</v>
      </c>
      <c r="D6439" s="56" t="n">
        <v>12</v>
      </c>
      <c r="E6439" s="56" t="n">
        <v>14.5</v>
      </c>
      <c r="F6439" s="56" t="n">
        <v>0</v>
      </c>
      <c r="G6439" s="56" t="n">
        <v>8.9</v>
      </c>
      <c r="H6439" s="56" t="n">
        <v>0</v>
      </c>
      <c r="I6439" s="56" t="n">
        <v>13.2</v>
      </c>
      <c r="J6439" s="56" t="n">
        <v>0</v>
      </c>
      <c r="K6439" s="56" t="n">
        <v>1008.5</v>
      </c>
      <c r="L6439" s="56" t="n">
        <v>0</v>
      </c>
      <c r="M6439" s="56" t="n">
        <v>63</v>
      </c>
      <c r="N6439" s="56" t="n">
        <v>6.4</v>
      </c>
      <c r="O6439" s="56" t="n">
        <f aca="false">IF(D6439=1,"",E6438)</f>
        <v>17.5</v>
      </c>
      <c r="P6439" s="56" t="n">
        <f aca="false">IF(OR(D6439=1,K6438=""),"",K6438)</f>
        <v>1007.1</v>
      </c>
      <c r="Q6439" s="56" t="n">
        <f aca="false">IF(OR(F6439&lt;&gt;0,AND(I6439&lt;&gt;"",E6439&lt;I6439)),1,0)</f>
        <v>0</v>
      </c>
      <c r="R6439" s="56" t="n">
        <f aca="false">IF(AND(D6439&gt;1,Q6439=0,ISNUMBER(O6439),ISNUMBER(P6439)),IF(Q6438=0,1,0),0)</f>
        <v>1</v>
      </c>
      <c r="S6439" s="56" t="n">
        <f aca="false">R6439*(B6439&gt;=Train_Start)*(B6439&lt;=Train_End)</f>
        <v>0</v>
      </c>
      <c r="T6439" s="84" t="n">
        <f aca="false">IF(AND(ISNUMBER(O6439),ISNUMBER(P6439)),Coef_A+Coef_B1*O6439+Coef_B2*P6439,"")</f>
        <v>18.0180321861329</v>
      </c>
      <c r="U6439" s="84" t="n">
        <f aca="false">IF(AND(R6439=1,ISNUMBER(T6439)),E6439-T6439,"")</f>
        <v>-3.51803218613292</v>
      </c>
      <c r="V6439" s="84" t="n">
        <f aca="false">IF(ISNUMBER(T6439),T6439,-99)</f>
        <v>18.0180321861329</v>
      </c>
      <c r="W6439" s="84" t="n">
        <f aca="false">IF(ISNUMBER(U6439),ABS(U6439),"")</f>
        <v>3.51803218613292</v>
      </c>
    </row>
    <row r="6440" customFormat="false" ht="15" hidden="false" customHeight="false" outlineLevel="0" collapsed="false">
      <c r="A6440" s="57" t="n">
        <v>44329</v>
      </c>
      <c r="B6440" s="56" t="n">
        <v>2021</v>
      </c>
      <c r="C6440" s="56" t="n">
        <v>5</v>
      </c>
      <c r="D6440" s="56" t="n">
        <v>13</v>
      </c>
      <c r="E6440" s="56" t="n">
        <v>13.4</v>
      </c>
      <c r="F6440" s="56" t="n">
        <v>0</v>
      </c>
      <c r="G6440" s="56" t="n">
        <v>9.7</v>
      </c>
      <c r="H6440" s="56" t="n">
        <v>0</v>
      </c>
      <c r="I6440" s="56" t="n">
        <v>12.1</v>
      </c>
      <c r="J6440" s="56" t="n">
        <v>0</v>
      </c>
      <c r="K6440" s="56" t="n">
        <v>1006.1</v>
      </c>
      <c r="L6440" s="56" t="n">
        <v>0</v>
      </c>
      <c r="M6440" s="56" t="n">
        <v>82</v>
      </c>
      <c r="N6440" s="56" t="n">
        <v>0.8</v>
      </c>
      <c r="O6440" s="56" t="n">
        <f aca="false">IF(D6440=1,"",E6439)</f>
        <v>14.5</v>
      </c>
      <c r="P6440" s="56" t="n">
        <f aca="false">IF(OR(D6440=1,K6439=""),"",K6439)</f>
        <v>1008.5</v>
      </c>
      <c r="Q6440" s="56" t="n">
        <f aca="false">IF(OR(F6440&lt;&gt;0,AND(I6440&lt;&gt;"",E6440&lt;I6440)),1,0)</f>
        <v>0</v>
      </c>
      <c r="R6440" s="56" t="n">
        <f aca="false">IF(AND(D6440&gt;1,Q6440=0,ISNUMBER(O6440),ISNUMBER(P6440)),IF(Q6439=0,1,0),0)</f>
        <v>1</v>
      </c>
      <c r="S6440" s="56" t="n">
        <f aca="false">R6440*(B6440&gt;=Train_Start)*(B6440&lt;=Train_End)</f>
        <v>0</v>
      </c>
      <c r="T6440" s="84" t="n">
        <f aca="false">IF(AND(ISNUMBER(O6440),ISNUMBER(P6440)),Coef_A+Coef_B1*O6440+Coef_B2*P6440,"")</f>
        <v>15.6039324594925</v>
      </c>
      <c r="U6440" s="84" t="n">
        <f aca="false">IF(AND(R6440=1,ISNUMBER(T6440)),E6440-T6440,"")</f>
        <v>-2.20393245949254</v>
      </c>
      <c r="V6440" s="84" t="n">
        <f aca="false">IF(ISNUMBER(T6440),T6440,-99)</f>
        <v>15.6039324594925</v>
      </c>
      <c r="W6440" s="84" t="n">
        <f aca="false">IF(ISNUMBER(U6440),ABS(U6440),"")</f>
        <v>2.20393245949254</v>
      </c>
    </row>
    <row r="6441" customFormat="false" ht="15" hidden="false" customHeight="false" outlineLevel="0" collapsed="false">
      <c r="A6441" s="57" t="n">
        <v>44330</v>
      </c>
      <c r="B6441" s="56" t="n">
        <v>2021</v>
      </c>
      <c r="C6441" s="56" t="n">
        <v>5</v>
      </c>
      <c r="D6441" s="56" t="n">
        <v>14</v>
      </c>
      <c r="E6441" s="56" t="n">
        <v>15</v>
      </c>
      <c r="F6441" s="56" t="n">
        <v>0</v>
      </c>
      <c r="G6441" s="56" t="n">
        <v>8.1</v>
      </c>
      <c r="H6441" s="56" t="n">
        <v>0</v>
      </c>
      <c r="I6441" s="56" t="n">
        <v>10.8</v>
      </c>
      <c r="J6441" s="56" t="n">
        <v>0</v>
      </c>
      <c r="K6441" s="56" t="n">
        <v>1009.1</v>
      </c>
      <c r="L6441" s="56" t="n">
        <v>0</v>
      </c>
      <c r="M6441" s="56" t="n">
        <v>78</v>
      </c>
      <c r="N6441" s="56" t="n">
        <v>0.4</v>
      </c>
      <c r="O6441" s="56" t="n">
        <f aca="false">IF(D6441=1,"",E6440)</f>
        <v>13.4</v>
      </c>
      <c r="P6441" s="56" t="n">
        <f aca="false">IF(OR(D6441=1,K6440=""),"",K6440)</f>
        <v>1006.1</v>
      </c>
      <c r="Q6441" s="56" t="n">
        <f aca="false">IF(OR(F6441&lt;&gt;0,AND(I6441&lt;&gt;"",E6441&lt;I6441)),1,0)</f>
        <v>0</v>
      </c>
      <c r="R6441" s="56" t="n">
        <f aca="false">IF(AND(D6441&gt;1,Q6441=0,ISNUMBER(O6441),ISNUMBER(P6441)),IF(Q6440=0,1,0),0)</f>
        <v>1</v>
      </c>
      <c r="S6441" s="56" t="n">
        <f aca="false">R6441*(B6441&gt;=Train_Start)*(B6441&lt;=Train_End)</f>
        <v>0</v>
      </c>
      <c r="T6441" s="84" t="n">
        <f aca="false">IF(AND(ISNUMBER(O6441),ISNUMBER(P6441)),Coef_A+Coef_B1*O6441+Coef_B2*P6441,"")</f>
        <v>14.627371600024</v>
      </c>
      <c r="U6441" s="84" t="n">
        <f aca="false">IF(AND(R6441=1,ISNUMBER(T6441)),E6441-T6441,"")</f>
        <v>0.372628399975959</v>
      </c>
      <c r="V6441" s="84" t="n">
        <f aca="false">IF(ISNUMBER(T6441),T6441,-99)</f>
        <v>14.627371600024</v>
      </c>
      <c r="W6441" s="84" t="n">
        <f aca="false">IF(ISNUMBER(U6441),ABS(U6441),"")</f>
        <v>0.372628399975959</v>
      </c>
    </row>
    <row r="6442" customFormat="false" ht="15" hidden="false" customHeight="false" outlineLevel="0" collapsed="false">
      <c r="A6442" s="57" t="n">
        <v>44331</v>
      </c>
      <c r="B6442" s="56" t="n">
        <v>2021</v>
      </c>
      <c r="C6442" s="56" t="n">
        <v>5</v>
      </c>
      <c r="D6442" s="56" t="n">
        <v>15</v>
      </c>
      <c r="E6442" s="56" t="n">
        <v>15</v>
      </c>
      <c r="F6442" s="56" t="n">
        <v>0</v>
      </c>
      <c r="G6442" s="56" t="n">
        <v>8.5</v>
      </c>
      <c r="H6442" s="56" t="n">
        <v>0</v>
      </c>
      <c r="I6442" s="56" t="n">
        <v>11.8</v>
      </c>
      <c r="J6442" s="56" t="n">
        <v>0</v>
      </c>
      <c r="K6442" s="56" t="n">
        <v>1000.9</v>
      </c>
      <c r="L6442" s="56" t="n">
        <v>0</v>
      </c>
      <c r="M6442" s="56" t="n">
        <v>83</v>
      </c>
      <c r="N6442" s="56" t="n">
        <v>2.2</v>
      </c>
      <c r="O6442" s="56" t="n">
        <f aca="false">IF(D6442=1,"",E6441)</f>
        <v>15</v>
      </c>
      <c r="P6442" s="56" t="n">
        <f aca="false">IF(OR(D6442=1,K6441=""),"",K6441)</f>
        <v>1009.1</v>
      </c>
      <c r="Q6442" s="56" t="n">
        <f aca="false">IF(OR(F6442&lt;&gt;0,AND(I6442&lt;&gt;"",E6442&lt;I6442)),1,0)</f>
        <v>0</v>
      </c>
      <c r="R6442" s="56" t="n">
        <f aca="false">IF(AND(D6442&gt;1,Q6442=0,ISNUMBER(O6442),ISNUMBER(P6442)),IF(Q6441=0,1,0),0)</f>
        <v>1</v>
      </c>
      <c r="S6442" s="56" t="n">
        <f aca="false">R6442*(B6442&gt;=Train_Start)*(B6442&lt;=Train_End)</f>
        <v>0</v>
      </c>
      <c r="T6442" s="84" t="n">
        <f aca="false">IF(AND(ISNUMBER(O6442),ISNUMBER(P6442)),Coef_A+Coef_B1*O6442+Coef_B2*P6442,"")</f>
        <v>16.0324239927943</v>
      </c>
      <c r="U6442" s="84" t="n">
        <f aca="false">IF(AND(R6442=1,ISNUMBER(T6442)),E6442-T6442,"")</f>
        <v>-1.03242399279426</v>
      </c>
      <c r="V6442" s="84" t="n">
        <f aca="false">IF(ISNUMBER(T6442),T6442,-99)</f>
        <v>16.0324239927943</v>
      </c>
      <c r="W6442" s="84" t="n">
        <f aca="false">IF(ISNUMBER(U6442),ABS(U6442),"")</f>
        <v>1.03242399279426</v>
      </c>
    </row>
    <row r="6443" customFormat="false" ht="15" hidden="false" customHeight="false" outlineLevel="0" collapsed="false">
      <c r="A6443" s="57" t="n">
        <v>44332</v>
      </c>
      <c r="B6443" s="56" t="n">
        <v>2021</v>
      </c>
      <c r="C6443" s="56" t="n">
        <v>5</v>
      </c>
      <c r="D6443" s="56" t="n">
        <v>16</v>
      </c>
      <c r="E6443" s="56" t="n">
        <v>16.5</v>
      </c>
      <c r="F6443" s="56" t="n">
        <v>0</v>
      </c>
      <c r="G6443" s="56" t="n">
        <v>7.5</v>
      </c>
      <c r="H6443" s="56" t="n">
        <v>0</v>
      </c>
      <c r="I6443" s="56" t="n">
        <v>11.2</v>
      </c>
      <c r="J6443" s="56" t="n">
        <v>0</v>
      </c>
      <c r="K6443" s="56" t="n">
        <v>997.9</v>
      </c>
      <c r="L6443" s="56" t="n">
        <v>0</v>
      </c>
      <c r="M6443" s="56" t="n">
        <v>87</v>
      </c>
      <c r="N6443" s="56" t="n">
        <v>2.5</v>
      </c>
      <c r="O6443" s="56" t="n">
        <f aca="false">IF(D6443=1,"",E6442)</f>
        <v>15</v>
      </c>
      <c r="P6443" s="56" t="n">
        <f aca="false">IF(OR(D6443=1,K6442=""),"",K6442)</f>
        <v>1000.9</v>
      </c>
      <c r="Q6443" s="56" t="n">
        <f aca="false">IF(OR(F6443&lt;&gt;0,AND(I6443&lt;&gt;"",E6443&lt;I6443)),1,0)</f>
        <v>0</v>
      </c>
      <c r="R6443" s="56" t="n">
        <f aca="false">IF(AND(D6443&gt;1,Q6443=0,ISNUMBER(O6443),ISNUMBER(P6443)),IF(Q6442=0,1,0),0)</f>
        <v>1</v>
      </c>
      <c r="S6443" s="56" t="n">
        <f aca="false">R6443*(B6443&gt;=Train_Start)*(B6443&lt;=Train_End)</f>
        <v>0</v>
      </c>
      <c r="T6443" s="84" t="n">
        <f aca="false">IF(AND(ISNUMBER(O6443),ISNUMBER(P6443)),Coef_A+Coef_B1*O6443+Coef_B2*P6443,"")</f>
        <v>15.7751908567955</v>
      </c>
      <c r="U6443" s="84" t="n">
        <f aca="false">IF(AND(R6443=1,ISNUMBER(T6443)),E6443-T6443,"")</f>
        <v>0.724809143204457</v>
      </c>
      <c r="V6443" s="84" t="n">
        <f aca="false">IF(ISNUMBER(T6443),T6443,-99)</f>
        <v>15.7751908567955</v>
      </c>
      <c r="W6443" s="84" t="n">
        <f aca="false">IF(ISNUMBER(U6443),ABS(U6443),"")</f>
        <v>0.724809143204457</v>
      </c>
    </row>
    <row r="6444" customFormat="false" ht="15" hidden="false" customHeight="false" outlineLevel="0" collapsed="false">
      <c r="A6444" s="57" t="n">
        <v>44333</v>
      </c>
      <c r="B6444" s="56" t="n">
        <v>2021</v>
      </c>
      <c r="C6444" s="56" t="n">
        <v>5</v>
      </c>
      <c r="D6444" s="56" t="n">
        <v>17</v>
      </c>
      <c r="E6444" s="56" t="n">
        <v>17.1</v>
      </c>
      <c r="F6444" s="56" t="n">
        <v>0</v>
      </c>
      <c r="G6444" s="56" t="n">
        <v>9.9</v>
      </c>
      <c r="H6444" s="56" t="n">
        <v>0</v>
      </c>
      <c r="I6444" s="56" t="n">
        <v>13.2</v>
      </c>
      <c r="J6444" s="56" t="n">
        <v>0</v>
      </c>
      <c r="K6444" s="56" t="n">
        <v>1005.3</v>
      </c>
      <c r="L6444" s="56" t="n">
        <v>0</v>
      </c>
      <c r="M6444" s="56" t="n">
        <v>83</v>
      </c>
      <c r="N6444" s="56" t="n">
        <v>2.5</v>
      </c>
      <c r="O6444" s="56" t="n">
        <f aca="false">IF(D6444=1,"",E6443)</f>
        <v>16.5</v>
      </c>
      <c r="P6444" s="56" t="n">
        <f aca="false">IF(OR(D6444=1,K6443=""),"",K6443)</f>
        <v>997.9</v>
      </c>
      <c r="Q6444" s="56" t="n">
        <f aca="false">IF(OR(F6444&lt;&gt;0,AND(I6444&lt;&gt;"",E6444&lt;I6444)),1,0)</f>
        <v>0</v>
      </c>
      <c r="R6444" s="56" t="n">
        <f aca="false">IF(AND(D6444&gt;1,Q6444=0,ISNUMBER(O6444),ISNUMBER(P6444)),IF(Q6443=0,1,0),0)</f>
        <v>1</v>
      </c>
      <c r="S6444" s="56" t="n">
        <f aca="false">R6444*(B6444&gt;=Train_Start)*(B6444&lt;=Train_End)</f>
        <v>0</v>
      </c>
      <c r="T6444" s="84" t="n">
        <f aca="false">IF(AND(ISNUMBER(O6444),ISNUMBER(P6444)),Coef_A+Coef_B1*O6444+Coef_B2*P6444,"")</f>
        <v>16.9100899624576</v>
      </c>
      <c r="U6444" s="84" t="n">
        <f aca="false">IF(AND(R6444=1,ISNUMBER(T6444)),E6444-T6444,"")</f>
        <v>0.18991003754244</v>
      </c>
      <c r="V6444" s="84" t="n">
        <f aca="false">IF(ISNUMBER(T6444),T6444,-99)</f>
        <v>16.9100899624576</v>
      </c>
      <c r="W6444" s="84" t="n">
        <f aca="false">IF(ISNUMBER(U6444),ABS(U6444),"")</f>
        <v>0.18991003754244</v>
      </c>
    </row>
    <row r="6445" customFormat="false" ht="15" hidden="false" customHeight="false" outlineLevel="0" collapsed="false">
      <c r="A6445" s="57" t="n">
        <v>44334</v>
      </c>
      <c r="B6445" s="56" t="n">
        <v>2021</v>
      </c>
      <c r="C6445" s="56" t="n">
        <v>5</v>
      </c>
      <c r="D6445" s="56" t="n">
        <v>18</v>
      </c>
      <c r="E6445" s="56" t="n">
        <v>18.3</v>
      </c>
      <c r="F6445" s="56" t="n">
        <v>0</v>
      </c>
      <c r="G6445" s="56" t="n">
        <v>5.5</v>
      </c>
      <c r="H6445" s="56" t="n">
        <v>0</v>
      </c>
      <c r="I6445" s="56" t="n">
        <v>11.3</v>
      </c>
      <c r="J6445" s="56" t="n">
        <v>0</v>
      </c>
      <c r="K6445" s="56" t="n">
        <v>1013.4</v>
      </c>
      <c r="L6445" s="56" t="n">
        <v>0</v>
      </c>
      <c r="M6445" s="56" t="n">
        <v>82</v>
      </c>
      <c r="N6445" s="56" t="n">
        <v>5.5</v>
      </c>
      <c r="O6445" s="56" t="n">
        <f aca="false">IF(D6445=1,"",E6444)</f>
        <v>17.1</v>
      </c>
      <c r="P6445" s="56" t="n">
        <f aca="false">IF(OR(D6445=1,K6444=""),"",K6444)</f>
        <v>1005.3</v>
      </c>
      <c r="Q6445" s="56" t="n">
        <f aca="false">IF(OR(F6445&lt;&gt;0,AND(I6445&lt;&gt;"",E6445&lt;I6445)),1,0)</f>
        <v>0</v>
      </c>
      <c r="R6445" s="56" t="n">
        <f aca="false">IF(AND(D6445&gt;1,Q6445=0,ISNUMBER(O6445),ISNUMBER(P6445)),IF(Q6444=0,1,0),0)</f>
        <v>1</v>
      </c>
      <c r="S6445" s="56" t="n">
        <f aca="false">R6445*(B6445&gt;=Train_Start)*(B6445&lt;=Train_End)</f>
        <v>0</v>
      </c>
      <c r="T6445" s="84" t="n">
        <f aca="false">IF(AND(ISNUMBER(O6445),ISNUMBER(P6445)),Coef_A+Coef_B1*O6445+Coef_B2*P6445,"")</f>
        <v>17.6338306985747</v>
      </c>
      <c r="U6445" s="84" t="n">
        <f aca="false">IF(AND(R6445=1,ISNUMBER(T6445)),E6445-T6445,"")</f>
        <v>0.666169301425324</v>
      </c>
      <c r="V6445" s="84" t="n">
        <f aca="false">IF(ISNUMBER(T6445),T6445,-99)</f>
        <v>17.6338306985747</v>
      </c>
      <c r="W6445" s="84" t="n">
        <f aca="false">IF(ISNUMBER(U6445),ABS(U6445),"")</f>
        <v>0.666169301425324</v>
      </c>
    </row>
    <row r="6446" customFormat="false" ht="15" hidden="false" customHeight="false" outlineLevel="0" collapsed="false">
      <c r="A6446" s="57" t="n">
        <v>44335</v>
      </c>
      <c r="B6446" s="56" t="n">
        <v>2021</v>
      </c>
      <c r="C6446" s="56" t="n">
        <v>5</v>
      </c>
      <c r="D6446" s="56" t="n">
        <v>19</v>
      </c>
      <c r="E6446" s="56" t="n">
        <v>14.1</v>
      </c>
      <c r="F6446" s="56" t="n">
        <v>0</v>
      </c>
      <c r="G6446" s="56" t="n">
        <v>8.6</v>
      </c>
      <c r="H6446" s="56" t="n">
        <v>0</v>
      </c>
      <c r="I6446" s="56" t="n">
        <v>13.4</v>
      </c>
      <c r="J6446" s="56" t="n">
        <v>0</v>
      </c>
      <c r="K6446" s="56" t="n">
        <v>1017.7</v>
      </c>
      <c r="L6446" s="56" t="n">
        <v>0</v>
      </c>
      <c r="M6446" s="56" t="n">
        <v>69</v>
      </c>
      <c r="N6446" s="56" t="n">
        <v>6.7</v>
      </c>
      <c r="O6446" s="56" t="n">
        <f aca="false">IF(D6446=1,"",E6445)</f>
        <v>18.3</v>
      </c>
      <c r="P6446" s="56" t="n">
        <f aca="false">IF(OR(D6446=1,K6445=""),"",K6445)</f>
        <v>1013.4</v>
      </c>
      <c r="Q6446" s="56" t="n">
        <f aca="false">IF(OR(F6446&lt;&gt;0,AND(I6446&lt;&gt;"",E6446&lt;I6446)),1,0)</f>
        <v>0</v>
      </c>
      <c r="R6446" s="56" t="n">
        <f aca="false">IF(AND(D6446&gt;1,Q6446=0,ISNUMBER(O6446),ISNUMBER(P6446)),IF(Q6445=0,1,0),0)</f>
        <v>1</v>
      </c>
      <c r="S6446" s="56" t="n">
        <f aca="false">R6446*(B6446&gt;=Train_Start)*(B6446&lt;=Train_End)</f>
        <v>0</v>
      </c>
      <c r="T6446" s="84" t="n">
        <f aca="false">IF(AND(ISNUMBER(O6446),ISNUMBER(P6446)),Coef_A+Coef_B1*O6446+Coef_B2*P6446,"")</f>
        <v>18.8711338767612</v>
      </c>
      <c r="U6446" s="84" t="n">
        <f aca="false">IF(AND(R6446=1,ISNUMBER(T6446)),E6446-T6446,"")</f>
        <v>-4.77113387676118</v>
      </c>
      <c r="V6446" s="84" t="n">
        <f aca="false">IF(ISNUMBER(T6446),T6446,-99)</f>
        <v>18.8711338767612</v>
      </c>
      <c r="W6446" s="84" t="n">
        <f aca="false">IF(ISNUMBER(U6446),ABS(U6446),"")</f>
        <v>4.77113387676118</v>
      </c>
    </row>
    <row r="6447" customFormat="false" ht="15" hidden="false" customHeight="false" outlineLevel="0" collapsed="false">
      <c r="A6447" s="57" t="n">
        <v>44336</v>
      </c>
      <c r="B6447" s="56" t="n">
        <v>2021</v>
      </c>
      <c r="C6447" s="56" t="n">
        <v>5</v>
      </c>
      <c r="D6447" s="56" t="n">
        <v>20</v>
      </c>
      <c r="E6447" s="56" t="n">
        <v>13.3</v>
      </c>
      <c r="F6447" s="56" t="n">
        <v>0</v>
      </c>
      <c r="G6447" s="56" t="n">
        <v>6.5</v>
      </c>
      <c r="H6447" s="56" t="n">
        <v>0</v>
      </c>
      <c r="I6447" s="56" t="n">
        <v>10.3</v>
      </c>
      <c r="J6447" s="56" t="n">
        <v>0</v>
      </c>
      <c r="K6447" s="56" t="n">
        <v>1012.5</v>
      </c>
      <c r="L6447" s="56" t="n">
        <v>0</v>
      </c>
      <c r="M6447" s="56" t="n">
        <v>77</v>
      </c>
      <c r="N6447" s="56" t="n">
        <v>0.1</v>
      </c>
      <c r="O6447" s="56" t="n">
        <f aca="false">IF(D6447=1,"",E6446)</f>
        <v>14.1</v>
      </c>
      <c r="P6447" s="56" t="n">
        <f aca="false">IF(OR(D6447=1,K6446=""),"",K6446)</f>
        <v>1017.7</v>
      </c>
      <c r="Q6447" s="56" t="n">
        <f aca="false">IF(OR(F6447&lt;&gt;0,AND(I6447&lt;&gt;"",E6447&lt;I6447)),1,0)</f>
        <v>0</v>
      </c>
      <c r="R6447" s="56" t="n">
        <f aca="false">IF(AND(D6447&gt;1,Q6447=0,ISNUMBER(O6447),ISNUMBER(P6447)),IF(Q6446=0,1,0),0)</f>
        <v>1</v>
      </c>
      <c r="S6447" s="56" t="n">
        <f aca="false">R6447*(B6447&gt;=Train_Start)*(B6447&lt;=Train_End)</f>
        <v>0</v>
      </c>
      <c r="T6447" s="84" t="n">
        <f aca="false">IF(AND(ISNUMBER(O6447),ISNUMBER(P6447)),Coef_A+Coef_B1*O6447+Coef_B2*P6447,"")</f>
        <v>15.5647998129082</v>
      </c>
      <c r="U6447" s="84" t="n">
        <f aca="false">IF(AND(R6447=1,ISNUMBER(T6447)),E6447-T6447,"")</f>
        <v>-2.26479981290818</v>
      </c>
      <c r="V6447" s="84" t="n">
        <f aca="false">IF(ISNUMBER(T6447),T6447,-99)</f>
        <v>15.5647998129082</v>
      </c>
      <c r="W6447" s="84" t="n">
        <f aca="false">IF(ISNUMBER(U6447),ABS(U6447),"")</f>
        <v>2.26479981290818</v>
      </c>
    </row>
    <row r="6448" customFormat="false" ht="15" hidden="false" customHeight="false" outlineLevel="0" collapsed="false">
      <c r="A6448" s="57" t="n">
        <v>44337</v>
      </c>
      <c r="B6448" s="56" t="n">
        <v>2021</v>
      </c>
      <c r="C6448" s="56" t="n">
        <v>5</v>
      </c>
      <c r="D6448" s="56" t="n">
        <v>21</v>
      </c>
      <c r="E6448" s="56" t="n">
        <v>14.9</v>
      </c>
      <c r="F6448" s="56" t="n">
        <v>0</v>
      </c>
      <c r="G6448" s="56" t="n">
        <v>10.3</v>
      </c>
      <c r="H6448" s="56" t="n">
        <v>0</v>
      </c>
      <c r="I6448" s="56" t="n">
        <v>11.8</v>
      </c>
      <c r="J6448" s="56" t="n">
        <v>0</v>
      </c>
      <c r="K6448" s="56" t="n">
        <v>996.7</v>
      </c>
      <c r="L6448" s="56" t="n">
        <v>0</v>
      </c>
      <c r="M6448" s="56" t="n">
        <v>78</v>
      </c>
      <c r="N6448" s="56" t="n">
        <v>0.3</v>
      </c>
      <c r="O6448" s="56" t="n">
        <f aca="false">IF(D6448=1,"",E6447)</f>
        <v>13.3</v>
      </c>
      <c r="P6448" s="56" t="n">
        <f aca="false">IF(OR(D6448=1,K6447=""),"",K6447)</f>
        <v>1012.5</v>
      </c>
      <c r="Q6448" s="56" t="n">
        <f aca="false">IF(OR(F6448&lt;&gt;0,AND(I6448&lt;&gt;"",E6448&lt;I6448)),1,0)</f>
        <v>0</v>
      </c>
      <c r="R6448" s="56" t="n">
        <f aca="false">IF(AND(D6448&gt;1,Q6448=0,ISNUMBER(O6448),ISNUMBER(P6448)),IF(Q6447=0,1,0),0)</f>
        <v>1</v>
      </c>
      <c r="S6448" s="56" t="n">
        <f aca="false">R6448*(B6448&gt;=Train_Start)*(B6448&lt;=Train_End)</f>
        <v>0</v>
      </c>
      <c r="T6448" s="84" t="n">
        <f aca="false">IF(AND(ISNUMBER(O6448),ISNUMBER(P6448)),Coef_A+Coef_B1*O6448+Coef_B2*P6448,"")</f>
        <v>14.7462050063773</v>
      </c>
      <c r="U6448" s="84" t="n">
        <f aca="false">IF(AND(R6448=1,ISNUMBER(T6448)),E6448-T6448,"")</f>
        <v>0.153794993622698</v>
      </c>
      <c r="V6448" s="84" t="n">
        <f aca="false">IF(ISNUMBER(T6448),T6448,-99)</f>
        <v>14.7462050063773</v>
      </c>
      <c r="W6448" s="84" t="n">
        <f aca="false">IF(ISNUMBER(U6448),ABS(U6448),"")</f>
        <v>0.153794993622698</v>
      </c>
    </row>
    <row r="6449" customFormat="false" ht="15" hidden="false" customHeight="false" outlineLevel="0" collapsed="false">
      <c r="A6449" s="57" t="n">
        <v>44338</v>
      </c>
      <c r="B6449" s="56" t="n">
        <v>2021</v>
      </c>
      <c r="C6449" s="56" t="n">
        <v>5</v>
      </c>
      <c r="D6449" s="56" t="n">
        <v>22</v>
      </c>
      <c r="E6449" s="56" t="n">
        <v>13.6</v>
      </c>
      <c r="F6449" s="56" t="n">
        <v>0</v>
      </c>
      <c r="G6449" s="56" t="n">
        <v>9.2</v>
      </c>
      <c r="H6449" s="56" t="n">
        <v>0</v>
      </c>
      <c r="I6449" s="56" t="n">
        <v>12.1</v>
      </c>
      <c r="J6449" s="56" t="n">
        <v>0</v>
      </c>
      <c r="K6449" s="56" t="n">
        <v>1003.3</v>
      </c>
      <c r="L6449" s="56" t="n">
        <v>0</v>
      </c>
      <c r="M6449" s="56" t="n">
        <v>80</v>
      </c>
      <c r="N6449" s="56" t="n">
        <v>1.7</v>
      </c>
      <c r="O6449" s="56" t="n">
        <f aca="false">IF(D6449=1,"",E6448)</f>
        <v>14.9</v>
      </c>
      <c r="P6449" s="56" t="n">
        <f aca="false">IF(OR(D6449=1,K6448=""),"",K6448)</f>
        <v>996.7</v>
      </c>
      <c r="Q6449" s="56" t="n">
        <f aca="false">IF(OR(F6449&lt;&gt;0,AND(I6449&lt;&gt;"",E6449&lt;I6449)),1,0)</f>
        <v>0</v>
      </c>
      <c r="R6449" s="56" t="n">
        <f aca="false">IF(AND(D6449&gt;1,Q6449=0,ISNUMBER(O6449),ISNUMBER(P6449)),IF(Q6448=0,1,0),0)</f>
        <v>1</v>
      </c>
      <c r="S6449" s="56" t="n">
        <f aca="false">R6449*(B6449&gt;=Train_Start)*(B6449&lt;=Train_End)</f>
        <v>0</v>
      </c>
      <c r="T6449" s="84" t="n">
        <f aca="false">IF(AND(ISNUMBER(O6449),ISNUMBER(P6449)),Coef_A+Coef_B1*O6449+Coef_B2*P6449,"")</f>
        <v>15.5615033800285</v>
      </c>
      <c r="U6449" s="84" t="n">
        <f aca="false">IF(AND(R6449=1,ISNUMBER(T6449)),E6449-T6449,"")</f>
        <v>-1.96150338002853</v>
      </c>
      <c r="V6449" s="84" t="n">
        <f aca="false">IF(ISNUMBER(T6449),T6449,-99)</f>
        <v>15.5615033800285</v>
      </c>
      <c r="W6449" s="84" t="n">
        <f aca="false">IF(ISNUMBER(U6449),ABS(U6449),"")</f>
        <v>1.96150338002853</v>
      </c>
    </row>
    <row r="6450" customFormat="false" ht="15" hidden="false" customHeight="false" outlineLevel="0" collapsed="false">
      <c r="A6450" s="57" t="n">
        <v>44339</v>
      </c>
      <c r="B6450" s="56" t="n">
        <v>2021</v>
      </c>
      <c r="C6450" s="56" t="n">
        <v>5</v>
      </c>
      <c r="D6450" s="56" t="n">
        <v>23</v>
      </c>
      <c r="E6450" s="56" t="n">
        <v>14.1</v>
      </c>
      <c r="F6450" s="56" t="n">
        <v>0</v>
      </c>
      <c r="G6450" s="56" t="n">
        <v>4</v>
      </c>
      <c r="H6450" s="56" t="n">
        <v>0</v>
      </c>
      <c r="I6450" s="56" t="n">
        <v>8.8</v>
      </c>
      <c r="J6450" s="56" t="n">
        <v>0</v>
      </c>
      <c r="K6450" s="56" t="n">
        <v>1007.9</v>
      </c>
      <c r="L6450" s="56" t="n">
        <v>0</v>
      </c>
      <c r="M6450" s="56" t="n">
        <v>80</v>
      </c>
      <c r="N6450" s="56" t="n">
        <v>1.9</v>
      </c>
      <c r="O6450" s="56" t="n">
        <f aca="false">IF(D6450=1,"",E6449)</f>
        <v>13.6</v>
      </c>
      <c r="P6450" s="56" t="n">
        <f aca="false">IF(OR(D6450=1,K6449=""),"",K6449)</f>
        <v>1003.3</v>
      </c>
      <c r="Q6450" s="56" t="n">
        <f aca="false">IF(OR(F6450&lt;&gt;0,AND(I6450&lt;&gt;"",E6450&lt;I6450)),1,0)</f>
        <v>0</v>
      </c>
      <c r="R6450" s="56" t="n">
        <f aca="false">IF(AND(D6450&gt;1,Q6450=0,ISNUMBER(O6450),ISNUMBER(P6450)),IF(Q6449=0,1,0),0)</f>
        <v>1</v>
      </c>
      <c r="S6450" s="56" t="n">
        <f aca="false">R6450*(B6450&gt;=Train_Start)*(B6450&lt;=Train_End)</f>
        <v>0</v>
      </c>
      <c r="T6450" s="84" t="n">
        <f aca="false">IF(AND(ISNUMBER(O6450),ISNUMBER(P6450)),Coef_A+Coef_B1*O6450+Coef_B2*P6450,"")</f>
        <v>14.7034037336574</v>
      </c>
      <c r="U6450" s="84" t="n">
        <f aca="false">IF(AND(R6450=1,ISNUMBER(T6450)),E6450-T6450,"")</f>
        <v>-0.603403733657396</v>
      </c>
      <c r="V6450" s="84" t="n">
        <f aca="false">IF(ISNUMBER(T6450),T6450,-99)</f>
        <v>14.7034037336574</v>
      </c>
      <c r="W6450" s="84" t="n">
        <f aca="false">IF(ISNUMBER(U6450),ABS(U6450),"")</f>
        <v>0.603403733657396</v>
      </c>
    </row>
    <row r="6451" customFormat="false" ht="15" hidden="false" customHeight="false" outlineLevel="0" collapsed="false">
      <c r="A6451" s="57" t="n">
        <v>44340</v>
      </c>
      <c r="B6451" s="56" t="n">
        <v>2021</v>
      </c>
      <c r="C6451" s="56" t="n">
        <v>5</v>
      </c>
      <c r="D6451" s="56" t="n">
        <v>24</v>
      </c>
      <c r="E6451" s="56" t="n">
        <v>15.9</v>
      </c>
      <c r="F6451" s="56" t="n">
        <v>0</v>
      </c>
      <c r="G6451" s="56" t="n">
        <v>6.8</v>
      </c>
      <c r="H6451" s="56" t="n">
        <v>0</v>
      </c>
      <c r="I6451" s="56" t="n">
        <v>10.4</v>
      </c>
      <c r="J6451" s="56" t="n">
        <v>0</v>
      </c>
      <c r="K6451" s="56" t="n">
        <v>1003.4</v>
      </c>
      <c r="L6451" s="56" t="n">
        <v>0</v>
      </c>
      <c r="M6451" s="56" t="n">
        <v>83</v>
      </c>
      <c r="N6451" s="56" t="n">
        <v>5.5</v>
      </c>
      <c r="O6451" s="56" t="n">
        <f aca="false">IF(D6451=1,"",E6450)</f>
        <v>14.1</v>
      </c>
      <c r="P6451" s="56" t="n">
        <f aca="false">IF(OR(D6451=1,K6450=""),"",K6450)</f>
        <v>1007.9</v>
      </c>
      <c r="Q6451" s="56" t="n">
        <f aca="false">IF(OR(F6451&lt;&gt;0,AND(I6451&lt;&gt;"",E6451&lt;I6451)),1,0)</f>
        <v>0</v>
      </c>
      <c r="R6451" s="56" t="n">
        <f aca="false">IF(AND(D6451&gt;1,Q6451=0,ISNUMBER(O6451),ISNUMBER(P6451)),IF(Q6450=0,1,0),0)</f>
        <v>1</v>
      </c>
      <c r="S6451" s="56" t="n">
        <f aca="false">R6451*(B6451&gt;=Train_Start)*(B6451&lt;=Train_End)</f>
        <v>0</v>
      </c>
      <c r="T6451" s="84" t="n">
        <f aca="false">IF(AND(ISNUMBER(O6451),ISNUMBER(P6451)),Coef_A+Coef_B1*O6451+Coef_B2*P6451,"")</f>
        <v>15.2573748454951</v>
      </c>
      <c r="U6451" s="84" t="n">
        <f aca="false">IF(AND(R6451=1,ISNUMBER(T6451)),E6451-T6451,"")</f>
        <v>0.642625154504922</v>
      </c>
      <c r="V6451" s="84" t="n">
        <f aca="false">IF(ISNUMBER(T6451),T6451,-99)</f>
        <v>15.2573748454951</v>
      </c>
      <c r="W6451" s="84" t="n">
        <f aca="false">IF(ISNUMBER(U6451),ABS(U6451),"")</f>
        <v>0.642625154504922</v>
      </c>
    </row>
    <row r="6452" customFormat="false" ht="15" hidden="false" customHeight="false" outlineLevel="0" collapsed="false">
      <c r="A6452" s="57" t="n">
        <v>44341</v>
      </c>
      <c r="B6452" s="56" t="n">
        <v>2021</v>
      </c>
      <c r="C6452" s="56" t="n">
        <v>5</v>
      </c>
      <c r="D6452" s="56" t="n">
        <v>25</v>
      </c>
      <c r="E6452" s="56" t="n">
        <v>17.7</v>
      </c>
      <c r="F6452" s="56" t="n">
        <v>0</v>
      </c>
      <c r="G6452" s="56" t="n">
        <v>6.1</v>
      </c>
      <c r="H6452" s="56" t="n">
        <v>0</v>
      </c>
      <c r="I6452" s="56" t="n">
        <v>11</v>
      </c>
      <c r="J6452" s="56" t="n">
        <v>0</v>
      </c>
      <c r="K6452" s="56" t="n">
        <v>1013.6</v>
      </c>
      <c r="L6452" s="56" t="n">
        <v>0</v>
      </c>
      <c r="M6452" s="56" t="n">
        <v>76</v>
      </c>
      <c r="N6452" s="56" t="n">
        <v>0.9</v>
      </c>
      <c r="O6452" s="56" t="n">
        <f aca="false">IF(D6452=1,"",E6451)</f>
        <v>15.9</v>
      </c>
      <c r="P6452" s="56" t="n">
        <f aca="false">IF(OR(D6452=1,K6451=""),"",K6451)</f>
        <v>1003.4</v>
      </c>
      <c r="Q6452" s="56" t="n">
        <f aca="false">IF(OR(F6452&lt;&gt;0,AND(I6452&lt;&gt;"",E6452&lt;I6452)),1,0)</f>
        <v>0</v>
      </c>
      <c r="R6452" s="56" t="n">
        <f aca="false">IF(AND(D6452&gt;1,Q6452=0,ISNUMBER(O6452),ISNUMBER(P6452)),IF(Q6451=0,1,0),0)</f>
        <v>1</v>
      </c>
      <c r="S6452" s="56" t="n">
        <f aca="false">R6452*(B6452&gt;=Train_Start)*(B6452&lt;=Train_End)</f>
        <v>0</v>
      </c>
      <c r="T6452" s="84" t="n">
        <f aca="false">IF(AND(ISNUMBER(O6452),ISNUMBER(P6452)),Coef_A+Coef_B1*O6452+Coef_B2*P6452,"")</f>
        <v>16.5910208671189</v>
      </c>
      <c r="U6452" s="84" t="n">
        <f aca="false">IF(AND(R6452=1,ISNUMBER(T6452)),E6452-T6452,"")</f>
        <v>1.10897913288109</v>
      </c>
      <c r="V6452" s="84" t="n">
        <f aca="false">IF(ISNUMBER(T6452),T6452,-99)</f>
        <v>16.5910208671189</v>
      </c>
      <c r="W6452" s="84" t="n">
        <f aca="false">IF(ISNUMBER(U6452),ABS(U6452),"")</f>
        <v>1.10897913288109</v>
      </c>
    </row>
    <row r="6453" customFormat="false" ht="15" hidden="false" customHeight="false" outlineLevel="0" collapsed="false">
      <c r="A6453" s="57" t="n">
        <v>44342</v>
      </c>
      <c r="B6453" s="56" t="n">
        <v>2021</v>
      </c>
      <c r="C6453" s="56" t="n">
        <v>5</v>
      </c>
      <c r="D6453" s="56" t="n">
        <v>26</v>
      </c>
      <c r="E6453" s="56" t="n">
        <v>21.2</v>
      </c>
      <c r="F6453" s="56" t="n">
        <v>0</v>
      </c>
      <c r="G6453" s="56" t="n">
        <v>5.3</v>
      </c>
      <c r="H6453" s="56" t="n">
        <v>0</v>
      </c>
      <c r="I6453" s="56" t="n">
        <v>11.5</v>
      </c>
      <c r="J6453" s="56" t="n">
        <v>0</v>
      </c>
      <c r="K6453" s="56" t="n">
        <v>1014.9</v>
      </c>
      <c r="L6453" s="56" t="n">
        <v>0</v>
      </c>
      <c r="M6453" s="56" t="n">
        <v>70</v>
      </c>
      <c r="N6453" s="56" t="n">
        <v>3.7</v>
      </c>
      <c r="O6453" s="56" t="n">
        <f aca="false">IF(D6453=1,"",E6452)</f>
        <v>17.7</v>
      </c>
      <c r="P6453" s="56" t="n">
        <f aca="false">IF(OR(D6453=1,K6452=""),"",K6452)</f>
        <v>1013.6</v>
      </c>
      <c r="Q6453" s="56" t="n">
        <f aca="false">IF(OR(F6453&lt;&gt;0,AND(I6453&lt;&gt;"",E6453&lt;I6453)),1,0)</f>
        <v>0</v>
      </c>
      <c r="R6453" s="56" t="n">
        <f aca="false">IF(AND(D6453&gt;1,Q6453=0,ISNUMBER(O6453),ISNUMBER(P6453)),IF(Q6452=0,1,0),0)</f>
        <v>1</v>
      </c>
      <c r="S6453" s="56" t="n">
        <f aca="false">R6453*(B6453&gt;=Train_Start)*(B6453&lt;=Train_End)</f>
        <v>0</v>
      </c>
      <c r="T6453" s="84" t="n">
        <f aca="false">IF(AND(ISNUMBER(O6453),ISNUMBER(P6453)),Coef_A+Coef_B1*O6453+Coef_B2*P6453,"")</f>
        <v>18.3858043398624</v>
      </c>
      <c r="U6453" s="84" t="n">
        <f aca="false">IF(AND(R6453=1,ISNUMBER(T6453)),E6453-T6453,"")</f>
        <v>2.81419566013761</v>
      </c>
      <c r="V6453" s="84" t="n">
        <f aca="false">IF(ISNUMBER(T6453),T6453,-99)</f>
        <v>18.3858043398624</v>
      </c>
      <c r="W6453" s="84" t="n">
        <f aca="false">IF(ISNUMBER(U6453),ABS(U6453),"")</f>
        <v>2.81419566013761</v>
      </c>
    </row>
    <row r="6454" customFormat="false" ht="15" hidden="false" customHeight="false" outlineLevel="0" collapsed="false">
      <c r="A6454" s="57" t="n">
        <v>44343</v>
      </c>
      <c r="B6454" s="56" t="n">
        <v>2021</v>
      </c>
      <c r="C6454" s="56" t="n">
        <v>5</v>
      </c>
      <c r="D6454" s="56" t="n">
        <v>27</v>
      </c>
      <c r="E6454" s="56" t="n">
        <v>19.7</v>
      </c>
      <c r="F6454" s="56" t="n">
        <v>0</v>
      </c>
      <c r="G6454" s="56" t="n">
        <v>7.4</v>
      </c>
      <c r="H6454" s="56" t="n">
        <v>0</v>
      </c>
      <c r="I6454" s="56" t="n">
        <v>14.3</v>
      </c>
      <c r="J6454" s="56" t="n">
        <v>0</v>
      </c>
      <c r="K6454" s="56" t="n">
        <v>1020.2</v>
      </c>
      <c r="L6454" s="56" t="n">
        <v>0</v>
      </c>
      <c r="M6454" s="56" t="n">
        <v>62</v>
      </c>
      <c r="N6454" s="56" t="n">
        <v>8.6</v>
      </c>
      <c r="O6454" s="56" t="n">
        <f aca="false">IF(D6454=1,"",E6453)</f>
        <v>21.2</v>
      </c>
      <c r="P6454" s="56" t="n">
        <f aca="false">IF(OR(D6454=1,K6453=""),"",K6453)</f>
        <v>1014.9</v>
      </c>
      <c r="Q6454" s="56" t="n">
        <f aca="false">IF(OR(F6454&lt;&gt;0,AND(I6454&lt;&gt;"",E6454&lt;I6454)),1,0)</f>
        <v>0</v>
      </c>
      <c r="R6454" s="56" t="n">
        <f aca="false">IF(AND(D6454&gt;1,Q6454=0,ISNUMBER(O6454),ISNUMBER(P6454)),IF(Q6453=0,1,0),0)</f>
        <v>1</v>
      </c>
      <c r="S6454" s="56" t="n">
        <f aca="false">R6454*(B6454&gt;=Train_Start)*(B6454&lt;=Train_End)</f>
        <v>0</v>
      </c>
      <c r="T6454" s="84" t="n">
        <f aca="false">IF(AND(ISNUMBER(O6454),ISNUMBER(P6454)),Coef_A+Coef_B1*O6454+Coef_B2*P6454,"")</f>
        <v>21.2942723785359</v>
      </c>
      <c r="U6454" s="84" t="n">
        <f aca="false">IF(AND(R6454=1,ISNUMBER(T6454)),E6454-T6454,"")</f>
        <v>-1.59427237853587</v>
      </c>
      <c r="V6454" s="84" t="n">
        <f aca="false">IF(ISNUMBER(T6454),T6454,-99)</f>
        <v>21.2942723785359</v>
      </c>
      <c r="W6454" s="84" t="n">
        <f aca="false">IF(ISNUMBER(U6454),ABS(U6454),"")</f>
        <v>1.59427237853587</v>
      </c>
    </row>
    <row r="6455" customFormat="false" ht="15" hidden="false" customHeight="false" outlineLevel="0" collapsed="false">
      <c r="A6455" s="57" t="n">
        <v>44344</v>
      </c>
      <c r="B6455" s="56" t="n">
        <v>2021</v>
      </c>
      <c r="C6455" s="56" t="n">
        <v>5</v>
      </c>
      <c r="D6455" s="56" t="n">
        <v>28</v>
      </c>
      <c r="E6455" s="56" t="n">
        <v>21.6</v>
      </c>
      <c r="F6455" s="56" t="n">
        <v>0</v>
      </c>
      <c r="G6455" s="56" t="n">
        <v>10.1</v>
      </c>
      <c r="H6455" s="56" t="n">
        <v>0</v>
      </c>
      <c r="I6455" s="56" t="n">
        <v>14.9</v>
      </c>
      <c r="J6455" s="56" t="n">
        <v>0</v>
      </c>
      <c r="K6455" s="56" t="n">
        <v>1023.3</v>
      </c>
      <c r="L6455" s="56" t="n">
        <v>0</v>
      </c>
      <c r="M6455" s="56" t="n">
        <v>70</v>
      </c>
      <c r="N6455" s="56" t="n">
        <v>2.4</v>
      </c>
      <c r="O6455" s="56" t="n">
        <f aca="false">IF(D6455=1,"",E6454)</f>
        <v>19.7</v>
      </c>
      <c r="P6455" s="56" t="n">
        <f aca="false">IF(OR(D6455=1,K6454=""),"",K6454)</f>
        <v>1020.2</v>
      </c>
      <c r="Q6455" s="56" t="n">
        <f aca="false">IF(OR(F6455&lt;&gt;0,AND(I6455&lt;&gt;"",E6455&lt;I6455)),1,0)</f>
        <v>0</v>
      </c>
      <c r="R6455" s="56" t="n">
        <f aca="false">IF(AND(D6455&gt;1,Q6455=0,ISNUMBER(O6455),ISNUMBER(P6455)),IF(Q6454=0,1,0),0)</f>
        <v>1</v>
      </c>
      <c r="S6455" s="56" t="n">
        <f aca="false">R6455*(B6455&gt;=Train_Start)*(B6455&lt;=Train_End)</f>
        <v>0</v>
      </c>
      <c r="T6455" s="84" t="n">
        <f aca="false">IF(AND(ISNUMBER(O6455),ISNUMBER(P6455)),Coef_A+Coef_B1*O6455+Coef_B2*P6455,"")</f>
        <v>20.231524030532</v>
      </c>
      <c r="U6455" s="84" t="n">
        <f aca="false">IF(AND(R6455=1,ISNUMBER(T6455)),E6455-T6455,"")</f>
        <v>1.36847596946797</v>
      </c>
      <c r="V6455" s="84" t="n">
        <f aca="false">IF(ISNUMBER(T6455),T6455,-99)</f>
        <v>20.231524030532</v>
      </c>
      <c r="W6455" s="84" t="n">
        <f aca="false">IF(ISNUMBER(U6455),ABS(U6455),"")</f>
        <v>1.36847596946797</v>
      </c>
    </row>
    <row r="6456" customFormat="false" ht="15" hidden="false" customHeight="false" outlineLevel="0" collapsed="false">
      <c r="A6456" s="57" t="n">
        <v>44345</v>
      </c>
      <c r="B6456" s="56" t="n">
        <v>2021</v>
      </c>
      <c r="C6456" s="56" t="n">
        <v>5</v>
      </c>
      <c r="D6456" s="56" t="n">
        <v>29</v>
      </c>
      <c r="E6456" s="56" t="n">
        <v>21.5</v>
      </c>
      <c r="F6456" s="56" t="n">
        <v>0</v>
      </c>
      <c r="G6456" s="56" t="n">
        <v>11.7</v>
      </c>
      <c r="H6456" s="56" t="n">
        <v>0</v>
      </c>
      <c r="I6456" s="56" t="n">
        <v>16.6</v>
      </c>
      <c r="J6456" s="56" t="n">
        <v>0</v>
      </c>
      <c r="K6456" s="56" t="n">
        <v>1026.7</v>
      </c>
      <c r="L6456" s="56" t="n">
        <v>0</v>
      </c>
      <c r="M6456" s="56" t="n">
        <v>62</v>
      </c>
      <c r="N6456" s="56" t="n">
        <v>4.7</v>
      </c>
      <c r="O6456" s="56" t="n">
        <f aca="false">IF(D6456=1,"",E6455)</f>
        <v>21.6</v>
      </c>
      <c r="P6456" s="56" t="n">
        <f aca="false">IF(OR(D6456=1,K6455=""),"",K6455)</f>
        <v>1023.3</v>
      </c>
      <c r="Q6456" s="56" t="n">
        <f aca="false">IF(OR(F6456&lt;&gt;0,AND(I6456&lt;&gt;"",E6456&lt;I6456)),1,0)</f>
        <v>0</v>
      </c>
      <c r="R6456" s="56" t="n">
        <f aca="false">IF(AND(D6456&gt;1,Q6456=0,ISNUMBER(O6456),ISNUMBER(P6456)),IF(Q6455=0,1,0),0)</f>
        <v>1</v>
      </c>
      <c r="S6456" s="56" t="n">
        <f aca="false">R6456*(B6456&gt;=Train_Start)*(B6456&lt;=Train_End)</f>
        <v>0</v>
      </c>
      <c r="T6456" s="84" t="n">
        <f aca="false">IF(AND(ISNUMBER(O6456),ISNUMBER(P6456)),Coef_A+Coef_B1*O6456+Coef_B2*P6456,"")</f>
        <v>21.8855151706785</v>
      </c>
      <c r="U6456" s="84" t="n">
        <f aca="false">IF(AND(R6456=1,ISNUMBER(T6456)),E6456-T6456,"")</f>
        <v>-0.385515170678449</v>
      </c>
      <c r="V6456" s="84" t="n">
        <f aca="false">IF(ISNUMBER(T6456),T6456,-99)</f>
        <v>21.8855151706785</v>
      </c>
      <c r="W6456" s="84" t="n">
        <f aca="false">IF(ISNUMBER(U6456),ABS(U6456),"")</f>
        <v>0.385515170678449</v>
      </c>
    </row>
    <row r="6457" customFormat="false" ht="15" hidden="false" customHeight="false" outlineLevel="0" collapsed="false">
      <c r="A6457" s="57" t="n">
        <v>44346</v>
      </c>
      <c r="B6457" s="56" t="n">
        <v>2021</v>
      </c>
      <c r="C6457" s="56" t="n">
        <v>5</v>
      </c>
      <c r="D6457" s="56" t="n">
        <v>30</v>
      </c>
      <c r="E6457" s="56" t="n">
        <v>24.1</v>
      </c>
      <c r="F6457" s="56" t="n">
        <v>0</v>
      </c>
      <c r="G6457" s="56" t="n">
        <v>8.6</v>
      </c>
      <c r="H6457" s="56" t="n">
        <v>0</v>
      </c>
      <c r="I6457" s="56" t="n">
        <v>15.1</v>
      </c>
      <c r="J6457" s="56" t="n">
        <v>0</v>
      </c>
      <c r="K6457" s="56" t="n">
        <v>1027.4</v>
      </c>
      <c r="L6457" s="56" t="n">
        <v>0</v>
      </c>
      <c r="M6457" s="56" t="n">
        <v>73</v>
      </c>
      <c r="N6457" s="56" t="n">
        <v>9</v>
      </c>
      <c r="O6457" s="56" t="n">
        <f aca="false">IF(D6457=1,"",E6456)</f>
        <v>21.5</v>
      </c>
      <c r="P6457" s="56" t="n">
        <f aca="false">IF(OR(D6457=1,K6456=""),"",K6456)</f>
        <v>1026.7</v>
      </c>
      <c r="Q6457" s="56" t="n">
        <f aca="false">IF(OR(F6457&lt;&gt;0,AND(I6457&lt;&gt;"",E6457&lt;I6457)),1,0)</f>
        <v>0</v>
      </c>
      <c r="R6457" s="56" t="n">
        <f aca="false">IF(AND(D6457&gt;1,Q6457=0,ISNUMBER(O6457),ISNUMBER(P6457)),IF(Q6456=0,1,0),0)</f>
        <v>1</v>
      </c>
      <c r="S6457" s="56" t="n">
        <f aca="false">R6457*(B6457&gt;=Train_Start)*(B6457&lt;=Train_End)</f>
        <v>0</v>
      </c>
      <c r="T6457" s="84" t="n">
        <f aca="false">IF(AND(ISNUMBER(O6457),ISNUMBER(P6457)),Coef_A+Coef_B1*O6457+Coef_B2*P6457,"")</f>
        <v>21.9102388931297</v>
      </c>
      <c r="U6457" s="84" t="n">
        <f aca="false">IF(AND(R6457=1,ISNUMBER(T6457)),E6457-T6457,"")</f>
        <v>2.18976110687026</v>
      </c>
      <c r="V6457" s="84" t="n">
        <f aca="false">IF(ISNUMBER(T6457),T6457,-99)</f>
        <v>21.9102388931297</v>
      </c>
      <c r="W6457" s="84" t="n">
        <f aca="false">IF(ISNUMBER(U6457),ABS(U6457),"")</f>
        <v>2.18976110687026</v>
      </c>
    </row>
    <row r="6458" customFormat="false" ht="15" hidden="false" customHeight="false" outlineLevel="0" collapsed="false">
      <c r="A6458" s="57" t="n">
        <v>44347</v>
      </c>
      <c r="B6458" s="56" t="n">
        <v>2021</v>
      </c>
      <c r="C6458" s="56" t="n">
        <v>5</v>
      </c>
      <c r="D6458" s="56" t="n">
        <v>31</v>
      </c>
      <c r="E6458" s="56" t="n">
        <v>25.7</v>
      </c>
      <c r="F6458" s="56" t="n">
        <v>0</v>
      </c>
      <c r="G6458" s="56" t="n">
        <v>9</v>
      </c>
      <c r="H6458" s="56" t="n">
        <v>0</v>
      </c>
      <c r="I6458" s="56" t="n">
        <v>16.6</v>
      </c>
      <c r="J6458" s="56" t="n">
        <v>0</v>
      </c>
      <c r="K6458" s="56" t="n">
        <v>1021.3</v>
      </c>
      <c r="L6458" s="56" t="n">
        <v>0</v>
      </c>
      <c r="M6458" s="56" t="n">
        <v>66</v>
      </c>
      <c r="N6458" s="56" t="n">
        <v>10</v>
      </c>
      <c r="O6458" s="56" t="n">
        <f aca="false">IF(D6458=1,"",E6457)</f>
        <v>24.1</v>
      </c>
      <c r="P6458" s="56" t="n">
        <f aca="false">IF(OR(D6458=1,K6457=""),"",K6457)</f>
        <v>1027.4</v>
      </c>
      <c r="Q6458" s="56" t="n">
        <f aca="false">IF(OR(F6458&lt;&gt;0,AND(I6458&lt;&gt;"",E6458&lt;I6458)),1,0)</f>
        <v>0</v>
      </c>
      <c r="R6458" s="56" t="n">
        <f aca="false">IF(AND(D6458&gt;1,Q6458=0,ISNUMBER(O6458),ISNUMBER(P6458)),IF(Q6457=0,1,0),0)</f>
        <v>1</v>
      </c>
      <c r="S6458" s="56" t="n">
        <f aca="false">R6458*(B6458&gt;=Train_Start)*(B6458&lt;=Train_End)</f>
        <v>0</v>
      </c>
      <c r="T6458" s="84" t="n">
        <f aca="false">IF(AND(ISNUMBER(O6458),ISNUMBER(P6458)),Coef_A+Coef_B1*O6458+Coef_B2*P6458,"")</f>
        <v>24.0624797212845</v>
      </c>
      <c r="U6458" s="84" t="n">
        <f aca="false">IF(AND(R6458=1,ISNUMBER(T6458)),E6458-T6458,"")</f>
        <v>1.63752027871555</v>
      </c>
      <c r="V6458" s="84" t="n">
        <f aca="false">IF(ISNUMBER(T6458),T6458,-99)</f>
        <v>24.0624797212845</v>
      </c>
      <c r="W6458" s="84" t="n">
        <f aca="false">IF(ISNUMBER(U6458),ABS(U6458),"")</f>
        <v>1.63752027871555</v>
      </c>
    </row>
    <row r="6459" customFormat="false" ht="15" hidden="false" customHeight="false" outlineLevel="0" collapsed="false">
      <c r="A6459" s="57" t="n">
        <v>44348</v>
      </c>
      <c r="B6459" s="56" t="n">
        <v>2021</v>
      </c>
      <c r="C6459" s="56" t="n">
        <v>6</v>
      </c>
      <c r="D6459" s="56" t="n">
        <v>32</v>
      </c>
      <c r="E6459" s="56" t="n">
        <v>27.9</v>
      </c>
      <c r="F6459" s="56" t="n">
        <v>0</v>
      </c>
      <c r="G6459" s="56" t="n">
        <v>10.8</v>
      </c>
      <c r="H6459" s="56" t="n">
        <v>0</v>
      </c>
      <c r="I6459" s="56" t="n">
        <v>18.2</v>
      </c>
      <c r="J6459" s="56" t="n">
        <v>0</v>
      </c>
      <c r="K6459" s="56" t="n">
        <v>1015</v>
      </c>
      <c r="L6459" s="56" t="n">
        <v>0</v>
      </c>
      <c r="M6459" s="56" t="n">
        <v>52</v>
      </c>
      <c r="N6459" s="56" t="n">
        <v>13.2</v>
      </c>
      <c r="O6459" s="56" t="n">
        <f aca="false">IF(D6459=1,"",E6458)</f>
        <v>25.7</v>
      </c>
      <c r="P6459" s="56" t="n">
        <f aca="false">IF(OR(D6459=1,K6458=""),"",K6458)</f>
        <v>1021.3</v>
      </c>
      <c r="Q6459" s="56" t="n">
        <f aca="false">IF(OR(F6459&lt;&gt;0,AND(I6459&lt;&gt;"",E6459&lt;I6459)),1,0)</f>
        <v>0</v>
      </c>
      <c r="R6459" s="56" t="n">
        <f aca="false">IF(AND(D6459&gt;1,Q6459=0,ISNUMBER(O6459),ISNUMBER(P6459)),IF(Q6458=0,1,0),0)</f>
        <v>1</v>
      </c>
      <c r="S6459" s="56" t="n">
        <f aca="false">R6459*(B6459&gt;=Train_Start)*(B6459&lt;=Train_End)</f>
        <v>0</v>
      </c>
      <c r="T6459" s="84" t="n">
        <f aca="false">IF(AND(ISNUMBER(O6459),ISNUMBER(P6459)),Coef_A+Coef_B1*O6459+Coef_B2*P6459,"")</f>
        <v>25.1820660728854</v>
      </c>
      <c r="U6459" s="84" t="n">
        <f aca="false">IF(AND(R6459=1,ISNUMBER(T6459)),E6459-T6459,"")</f>
        <v>2.71793392711463</v>
      </c>
      <c r="V6459" s="84" t="n">
        <f aca="false">IF(ISNUMBER(T6459),T6459,-99)</f>
        <v>25.1820660728854</v>
      </c>
      <c r="W6459" s="84" t="n">
        <f aca="false">IF(ISNUMBER(U6459),ABS(U6459),"")</f>
        <v>2.71793392711463</v>
      </c>
    </row>
    <row r="6460" customFormat="false" ht="15" hidden="false" customHeight="false" outlineLevel="0" collapsed="false">
      <c r="A6460" s="57" t="n">
        <v>44349</v>
      </c>
      <c r="B6460" s="56" t="n">
        <v>2021</v>
      </c>
      <c r="C6460" s="56" t="n">
        <v>6</v>
      </c>
      <c r="D6460" s="56" t="n">
        <v>33</v>
      </c>
      <c r="E6460" s="56" t="n">
        <v>23.8</v>
      </c>
      <c r="F6460" s="56" t="n">
        <v>0</v>
      </c>
      <c r="G6460" s="56" t="n">
        <v>12.9</v>
      </c>
      <c r="H6460" s="56" t="n">
        <v>0</v>
      </c>
      <c r="I6460" s="56" t="n">
        <v>20.4</v>
      </c>
      <c r="J6460" s="56" t="n">
        <v>0</v>
      </c>
      <c r="K6460" s="56" t="n">
        <v>1012.6</v>
      </c>
      <c r="L6460" s="56" t="n">
        <v>0</v>
      </c>
      <c r="M6460" s="56" t="n">
        <v>55</v>
      </c>
      <c r="N6460" s="56" t="n">
        <v>7.3</v>
      </c>
      <c r="O6460" s="56" t="n">
        <f aca="false">IF(D6460=1,"",E6459)</f>
        <v>27.9</v>
      </c>
      <c r="P6460" s="56" t="n">
        <f aca="false">IF(OR(D6460=1,K6459=""),"",K6459)</f>
        <v>1015</v>
      </c>
      <c r="Q6460" s="56" t="n">
        <f aca="false">IF(OR(F6460&lt;&gt;0,AND(I6460&lt;&gt;"",E6460&lt;I6460)),1,0)</f>
        <v>0</v>
      </c>
      <c r="R6460" s="56" t="n">
        <f aca="false">IF(AND(D6460&gt;1,Q6460=0,ISNUMBER(O6460),ISNUMBER(P6460)),IF(Q6459=0,1,0),0)</f>
        <v>1</v>
      </c>
      <c r="S6460" s="56" t="n">
        <f aca="false">R6460*(B6460&gt;=Train_Start)*(B6460&lt;=Train_End)</f>
        <v>0</v>
      </c>
      <c r="T6460" s="84" t="n">
        <f aca="false">IF(AND(ISNUMBER(O6460),ISNUMBER(P6460)),Coef_A+Coef_B1*O6460+Coef_B2*P6460,"")</f>
        <v>26.7869819613851</v>
      </c>
      <c r="U6460" s="84" t="n">
        <f aca="false">IF(AND(R6460=1,ISNUMBER(T6460)),E6460-T6460,"")</f>
        <v>-2.98698196138508</v>
      </c>
      <c r="V6460" s="84" t="n">
        <f aca="false">IF(ISNUMBER(T6460),T6460,-99)</f>
        <v>26.7869819613851</v>
      </c>
      <c r="W6460" s="84" t="n">
        <f aca="false">IF(ISNUMBER(U6460),ABS(U6460),"")</f>
        <v>2.98698196138508</v>
      </c>
    </row>
    <row r="6461" customFormat="false" ht="15" hidden="false" customHeight="false" outlineLevel="0" collapsed="false">
      <c r="A6461" s="57" t="n">
        <v>44350</v>
      </c>
      <c r="B6461" s="56" t="n">
        <v>2021</v>
      </c>
      <c r="C6461" s="56" t="n">
        <v>6</v>
      </c>
      <c r="D6461" s="56" t="n">
        <v>34</v>
      </c>
      <c r="E6461" s="56" t="n">
        <v>17.5</v>
      </c>
      <c r="F6461" s="56" t="n">
        <v>1</v>
      </c>
      <c r="G6461" s="56" t="n">
        <v>16.8</v>
      </c>
      <c r="H6461" s="56" t="n">
        <v>0</v>
      </c>
      <c r="I6461" s="56" t="n">
        <v>20.3</v>
      </c>
      <c r="J6461" s="56" t="n">
        <v>1</v>
      </c>
      <c r="K6461" s="56" t="n">
        <v>1018.4</v>
      </c>
      <c r="L6461" s="56" t="n">
        <v>0</v>
      </c>
      <c r="M6461" s="56" t="n">
        <v>70</v>
      </c>
      <c r="N6461" s="56" t="n">
        <v>6.6</v>
      </c>
      <c r="O6461" s="56" t="n">
        <f aca="false">IF(D6461=1,"",E6460)</f>
        <v>23.8</v>
      </c>
      <c r="P6461" s="56" t="n">
        <f aca="false">IF(OR(D6461=1,K6460=""),"",K6460)</f>
        <v>1012.6</v>
      </c>
      <c r="Q6461" s="56" t="n">
        <f aca="false">IF(OR(F6461&lt;&gt;0,AND(I6461&lt;&gt;"",E6461&lt;I6461)),1,0)</f>
        <v>1</v>
      </c>
      <c r="R6461" s="56" t="n">
        <f aca="false">IF(AND(D6461&gt;1,Q6461=0,ISNUMBER(O6461),ISNUMBER(P6461)),IF(Q6460=0,1,0),0)</f>
        <v>0</v>
      </c>
      <c r="S6461" s="56" t="n">
        <f aca="false">R6461*(B6461&gt;=Train_Start)*(B6461&lt;=Train_End)</f>
        <v>0</v>
      </c>
      <c r="T6461" s="84" t="n">
        <f aca="false">IF(AND(ISNUMBER(O6461),ISNUMBER(P6461)),Coef_A+Coef_B1*O6461+Coef_B2*P6461,"")</f>
        <v>23.3524035227886</v>
      </c>
      <c r="U6461" s="84" t="str">
        <f aca="false">IF(AND(R6461=1,ISNUMBER(T6461)),E6461-T6461,"")</f>
        <v/>
      </c>
      <c r="V6461" s="84" t="n">
        <f aca="false">IF(ISNUMBER(T6461),T6461,-99)</f>
        <v>23.3524035227886</v>
      </c>
      <c r="W6461" s="84" t="str">
        <f aca="false">IF(ISNUMBER(U6461),ABS(U6461),"")</f>
        <v/>
      </c>
    </row>
    <row r="6462" customFormat="false" ht="15" hidden="false" customHeight="false" outlineLevel="0" collapsed="false">
      <c r="A6462" s="57" t="n">
        <v>44351</v>
      </c>
      <c r="B6462" s="56" t="n">
        <v>2021</v>
      </c>
      <c r="C6462" s="56" t="n">
        <v>6</v>
      </c>
      <c r="D6462" s="56" t="n">
        <v>35</v>
      </c>
      <c r="E6462" s="56" t="n">
        <v>23.5</v>
      </c>
      <c r="F6462" s="56" t="n">
        <v>0</v>
      </c>
      <c r="G6462" s="56" t="n">
        <v>12.6</v>
      </c>
      <c r="H6462" s="56" t="n">
        <v>0</v>
      </c>
      <c r="I6462" s="56" t="n">
        <v>15.1</v>
      </c>
      <c r="J6462" s="56" t="n">
        <v>0</v>
      </c>
      <c r="K6462" s="56" t="n">
        <v>1022.9</v>
      </c>
      <c r="L6462" s="56" t="n">
        <v>0</v>
      </c>
      <c r="M6462" s="56" t="n">
        <v>84</v>
      </c>
      <c r="N6462" s="56" t="n">
        <v>0.3</v>
      </c>
      <c r="O6462" s="56" t="n">
        <f aca="false">IF(D6462=1,"",E6461)</f>
        <v>17.5</v>
      </c>
      <c r="P6462" s="56" t="n">
        <f aca="false">IF(OR(D6462=1,K6461=""),"",K6461)</f>
        <v>1018.4</v>
      </c>
      <c r="Q6462" s="56" t="n">
        <f aca="false">IF(OR(F6462&lt;&gt;0,AND(I6462&lt;&gt;"",E6462&lt;I6462)),1,0)</f>
        <v>0</v>
      </c>
      <c r="R6462" s="56" t="n">
        <f aca="false">IF(AND(D6462&gt;1,Q6462=0,ISNUMBER(O6462),ISNUMBER(P6462)),IF(Q6461=0,1,0),0)</f>
        <v>0</v>
      </c>
      <c r="S6462" s="56" t="n">
        <f aca="false">R6462*(B6462&gt;=Train_Start)*(B6462&lt;=Train_End)</f>
        <v>0</v>
      </c>
      <c r="T6462" s="84" t="n">
        <f aca="false">IF(AND(ISNUMBER(O6462),ISNUMBER(P6462)),Coef_A+Coef_B1*O6462+Coef_B2*P6462,"")</f>
        <v>18.372511995497</v>
      </c>
      <c r="U6462" s="84" t="str">
        <f aca="false">IF(AND(R6462=1,ISNUMBER(T6462)),E6462-T6462,"")</f>
        <v/>
      </c>
      <c r="V6462" s="84" t="n">
        <f aca="false">IF(ISNUMBER(T6462),T6462,-99)</f>
        <v>18.372511995497</v>
      </c>
      <c r="W6462" s="84" t="str">
        <f aca="false">IF(ISNUMBER(U6462),ABS(U6462),"")</f>
        <v/>
      </c>
    </row>
    <row r="6463" customFormat="false" ht="15" hidden="false" customHeight="false" outlineLevel="0" collapsed="false">
      <c r="A6463" s="57" t="n">
        <v>44352</v>
      </c>
      <c r="B6463" s="56" t="n">
        <v>2021</v>
      </c>
      <c r="C6463" s="56" t="n">
        <v>6</v>
      </c>
      <c r="D6463" s="56" t="n">
        <v>36</v>
      </c>
      <c r="E6463" s="56" t="n">
        <v>23.2</v>
      </c>
      <c r="F6463" s="56" t="n">
        <v>0</v>
      </c>
      <c r="G6463" s="56" t="n">
        <v>9.8</v>
      </c>
      <c r="H6463" s="56" t="n">
        <v>0</v>
      </c>
      <c r="I6463" s="56" t="n">
        <v>16.6</v>
      </c>
      <c r="J6463" s="56" t="n">
        <v>0</v>
      </c>
      <c r="K6463" s="56" t="n">
        <v>1024.3</v>
      </c>
      <c r="L6463" s="56" t="n">
        <v>0</v>
      </c>
      <c r="M6463" s="56" t="n">
        <v>67</v>
      </c>
      <c r="N6463" s="56" t="n">
        <v>10.7</v>
      </c>
      <c r="O6463" s="56" t="n">
        <f aca="false">IF(D6463=1,"",E6462)</f>
        <v>23.5</v>
      </c>
      <c r="P6463" s="56" t="n">
        <f aca="false">IF(OR(D6463=1,K6462=""),"",K6462)</f>
        <v>1022.9</v>
      </c>
      <c r="Q6463" s="56" t="n">
        <f aca="false">IF(OR(F6463&lt;&gt;0,AND(I6463&lt;&gt;"",E6463&lt;I6463)),1,0)</f>
        <v>0</v>
      </c>
      <c r="R6463" s="56" t="n">
        <f aca="false">IF(AND(D6463&gt;1,Q6463=0,ISNUMBER(O6463),ISNUMBER(P6463)),IF(Q6462=0,1,0),0)</f>
        <v>1</v>
      </c>
      <c r="S6463" s="56" t="n">
        <f aca="false">R6463*(B6463&gt;=Train_Start)*(B6463&lt;=Train_End)</f>
        <v>0</v>
      </c>
      <c r="T6463" s="84" t="n">
        <f aca="false">IF(AND(ISNUMBER(O6463),ISNUMBER(P6463)),Coef_A+Coef_B1*O6463+Coef_B2*P6463,"")</f>
        <v>23.4297116796059</v>
      </c>
      <c r="U6463" s="84" t="n">
        <f aca="false">IF(AND(R6463=1,ISNUMBER(T6463)),E6463-T6463,"")</f>
        <v>-0.229711679605899</v>
      </c>
      <c r="V6463" s="84" t="n">
        <f aca="false">IF(ISNUMBER(T6463),T6463,-99)</f>
        <v>23.4297116796059</v>
      </c>
      <c r="W6463" s="84" t="n">
        <f aca="false">IF(ISNUMBER(U6463),ABS(U6463),"")</f>
        <v>0.229711679605899</v>
      </c>
    </row>
    <row r="6464" customFormat="false" ht="15" hidden="false" customHeight="false" outlineLevel="0" collapsed="false">
      <c r="A6464" s="57" t="n">
        <v>44353</v>
      </c>
      <c r="B6464" s="56" t="n">
        <v>2021</v>
      </c>
      <c r="C6464" s="56" t="n">
        <v>6</v>
      </c>
      <c r="D6464" s="56" t="n">
        <v>37</v>
      </c>
      <c r="E6464" s="56" t="n">
        <v>23.3</v>
      </c>
      <c r="F6464" s="56" t="n">
        <v>0</v>
      </c>
      <c r="G6464" s="56" t="n">
        <v>13.1</v>
      </c>
      <c r="H6464" s="56" t="n">
        <v>0</v>
      </c>
      <c r="I6464" s="56" t="n">
        <v>18.1</v>
      </c>
      <c r="J6464" s="56" t="n">
        <v>0</v>
      </c>
      <c r="K6464" s="56" t="n">
        <v>1024.5</v>
      </c>
      <c r="L6464" s="56" t="n">
        <v>0</v>
      </c>
      <c r="M6464" s="56" t="n">
        <v>73</v>
      </c>
      <c r="N6464" s="56" t="n">
        <v>3.6</v>
      </c>
      <c r="O6464" s="56" t="n">
        <f aca="false">IF(D6464=1,"",E6463)</f>
        <v>23.2</v>
      </c>
      <c r="P6464" s="56" t="n">
        <f aca="false">IF(OR(D6464=1,K6463=""),"",K6463)</f>
        <v>1024.3</v>
      </c>
      <c r="Q6464" s="56" t="n">
        <f aca="false">IF(OR(F6464&lt;&gt;0,AND(I6464&lt;&gt;"",E6464&lt;I6464)),1,0)</f>
        <v>0</v>
      </c>
      <c r="R6464" s="56" t="n">
        <f aca="false">IF(AND(D6464&gt;1,Q6464=0,ISNUMBER(O6464),ISNUMBER(P6464)),IF(Q6463=0,1,0),0)</f>
        <v>1</v>
      </c>
      <c r="S6464" s="56" t="n">
        <f aca="false">R6464*(B6464&gt;=Train_Start)*(B6464&lt;=Train_End)</f>
        <v>0</v>
      </c>
      <c r="T6464" s="84" t="n">
        <f aca="false">IF(AND(ISNUMBER(O6464),ISNUMBER(P6464)),Coef_A+Coef_B1*O6464+Coef_B2*P6464,"")</f>
        <v>23.2278277741807</v>
      </c>
      <c r="U6464" s="84" t="n">
        <f aca="false">IF(AND(R6464=1,ISNUMBER(T6464)),E6464-T6464,"")</f>
        <v>0.0721722258193189</v>
      </c>
      <c r="V6464" s="84" t="n">
        <f aca="false">IF(ISNUMBER(T6464),T6464,-99)</f>
        <v>23.2278277741807</v>
      </c>
      <c r="W6464" s="84" t="n">
        <f aca="false">IF(ISNUMBER(U6464),ABS(U6464),"")</f>
        <v>0.0721722258193189</v>
      </c>
    </row>
    <row r="6465" customFormat="false" ht="15" hidden="false" customHeight="false" outlineLevel="0" collapsed="false">
      <c r="A6465" s="57" t="n">
        <v>44354</v>
      </c>
      <c r="B6465" s="56" t="n">
        <v>2021</v>
      </c>
      <c r="C6465" s="56" t="n">
        <v>6</v>
      </c>
      <c r="D6465" s="56" t="n">
        <v>38</v>
      </c>
      <c r="E6465" s="56" t="n">
        <v>24.7</v>
      </c>
      <c r="F6465" s="56" t="n">
        <v>0</v>
      </c>
      <c r="G6465" s="56" t="n">
        <v>13.7</v>
      </c>
      <c r="H6465" s="56" t="n">
        <v>0</v>
      </c>
      <c r="I6465" s="56" t="n">
        <v>18.5</v>
      </c>
      <c r="J6465" s="56" t="n">
        <v>0</v>
      </c>
      <c r="K6465" s="56" t="n">
        <v>1023.8</v>
      </c>
      <c r="L6465" s="56" t="n">
        <v>0</v>
      </c>
      <c r="M6465" s="56" t="n">
        <v>73</v>
      </c>
      <c r="N6465" s="56" t="n">
        <v>4.5</v>
      </c>
      <c r="O6465" s="56" t="n">
        <f aca="false">IF(D6465=1,"",E6464)</f>
        <v>23.3</v>
      </c>
      <c r="P6465" s="56" t="n">
        <f aca="false">IF(OR(D6465=1,K6464=""),"",K6464)</f>
        <v>1024.5</v>
      </c>
      <c r="Q6465" s="56" t="n">
        <f aca="false">IF(OR(F6465&lt;&gt;0,AND(I6465&lt;&gt;"",E6465&lt;I6465)),1,0)</f>
        <v>0</v>
      </c>
      <c r="R6465" s="56" t="n">
        <f aca="false">IF(AND(D6465&gt;1,Q6465=0,ISNUMBER(O6465),ISNUMBER(P6465)),IF(Q6464=0,1,0),0)</f>
        <v>1</v>
      </c>
      <c r="S6465" s="56" t="n">
        <f aca="false">R6465*(B6465&gt;=Train_Start)*(B6465&lt;=Train_End)</f>
        <v>0</v>
      </c>
      <c r="T6465" s="84" t="n">
        <f aca="false">IF(AND(ISNUMBER(O6465),ISNUMBER(P6465)),Coef_A+Coef_B1*O6465+Coef_B2*P6465,"")</f>
        <v>23.3160356724118</v>
      </c>
      <c r="U6465" s="84" t="n">
        <f aca="false">IF(AND(R6465=1,ISNUMBER(T6465)),E6465-T6465,"")</f>
        <v>1.38396432758825</v>
      </c>
      <c r="V6465" s="84" t="n">
        <f aca="false">IF(ISNUMBER(T6465),T6465,-99)</f>
        <v>23.3160356724118</v>
      </c>
      <c r="W6465" s="84" t="n">
        <f aca="false">IF(ISNUMBER(U6465),ABS(U6465),"")</f>
        <v>1.38396432758825</v>
      </c>
    </row>
    <row r="6466" customFormat="false" ht="15" hidden="false" customHeight="false" outlineLevel="0" collapsed="false">
      <c r="A6466" s="57" t="n">
        <v>44355</v>
      </c>
      <c r="B6466" s="56" t="n">
        <v>2021</v>
      </c>
      <c r="C6466" s="56" t="n">
        <v>6</v>
      </c>
      <c r="D6466" s="56" t="n">
        <v>39</v>
      </c>
      <c r="E6466" s="56" t="n">
        <v>26.3</v>
      </c>
      <c r="F6466" s="56" t="n">
        <v>0</v>
      </c>
      <c r="G6466" s="56" t="n">
        <v>11.5</v>
      </c>
      <c r="H6466" s="56" t="n">
        <v>0</v>
      </c>
      <c r="I6466" s="56" t="n">
        <v>18.1</v>
      </c>
      <c r="J6466" s="56" t="n">
        <v>0</v>
      </c>
      <c r="K6466" s="56" t="n">
        <v>1023.1</v>
      </c>
      <c r="L6466" s="56" t="n">
        <v>0</v>
      </c>
      <c r="M6466" s="56" t="n">
        <v>63</v>
      </c>
      <c r="N6466" s="56" t="n">
        <v>13.6</v>
      </c>
      <c r="O6466" s="56" t="n">
        <f aca="false">IF(D6466=1,"",E6465)</f>
        <v>24.7</v>
      </c>
      <c r="P6466" s="56" t="n">
        <f aca="false">IF(OR(D6466=1,K6465=""),"",K6465)</f>
        <v>1023.8</v>
      </c>
      <c r="Q6466" s="56" t="n">
        <f aca="false">IF(OR(F6466&lt;&gt;0,AND(I6466&lt;&gt;"",E6466&lt;I6466)),1,0)</f>
        <v>0</v>
      </c>
      <c r="R6466" s="56" t="n">
        <f aca="false">IF(AND(D6466&gt;1,Q6466=0,ISNUMBER(O6466),ISNUMBER(P6466)),IF(Q6465=0,1,0),0)</f>
        <v>1</v>
      </c>
      <c r="S6466" s="56" t="n">
        <f aca="false">R6466*(B6466&gt;=Train_Start)*(B6466&lt;=Train_End)</f>
        <v>0</v>
      </c>
      <c r="T6466" s="84" t="n">
        <f aca="false">IF(AND(ISNUMBER(O6466),ISNUMBER(P6466)),Coef_A+Coef_B1*O6466+Coef_B2*P6466,"")</f>
        <v>24.4411516164277</v>
      </c>
      <c r="U6466" s="84" t="n">
        <f aca="false">IF(AND(R6466=1,ISNUMBER(T6466)),E6466-T6466,"")</f>
        <v>1.85884838357232</v>
      </c>
      <c r="V6466" s="84" t="n">
        <f aca="false">IF(ISNUMBER(T6466),T6466,-99)</f>
        <v>24.4411516164277</v>
      </c>
      <c r="W6466" s="84" t="n">
        <f aca="false">IF(ISNUMBER(U6466),ABS(U6466),"")</f>
        <v>1.85884838357232</v>
      </c>
    </row>
    <row r="6467" customFormat="false" ht="15" hidden="false" customHeight="false" outlineLevel="0" collapsed="false">
      <c r="A6467" s="57" t="n">
        <v>44356</v>
      </c>
      <c r="B6467" s="56" t="n">
        <v>2021</v>
      </c>
      <c r="C6467" s="56" t="n">
        <v>6</v>
      </c>
      <c r="D6467" s="56" t="n">
        <v>40</v>
      </c>
      <c r="E6467" s="56" t="n">
        <v>24.7</v>
      </c>
      <c r="F6467" s="56" t="n">
        <v>0</v>
      </c>
      <c r="G6467" s="56" t="n">
        <v>11.4</v>
      </c>
      <c r="H6467" s="56" t="n">
        <v>0</v>
      </c>
      <c r="I6467" s="56" t="n">
        <v>18.9</v>
      </c>
      <c r="J6467" s="56" t="n">
        <v>0</v>
      </c>
      <c r="K6467" s="56" t="n">
        <v>1021.7</v>
      </c>
      <c r="L6467" s="56" t="n">
        <v>0</v>
      </c>
      <c r="M6467" s="56" t="n">
        <v>60</v>
      </c>
      <c r="N6467" s="56" t="n">
        <v>12.3</v>
      </c>
      <c r="O6467" s="56" t="n">
        <f aca="false">IF(D6467=1,"",E6466)</f>
        <v>26.3</v>
      </c>
      <c r="P6467" s="56" t="n">
        <f aca="false">IF(OR(D6467=1,K6466=""),"",K6466)</f>
        <v>1023.1</v>
      </c>
      <c r="Q6467" s="56" t="n">
        <f aca="false">IF(OR(F6467&lt;&gt;0,AND(I6467&lt;&gt;"",E6467&lt;I6467)),1,0)</f>
        <v>0</v>
      </c>
      <c r="R6467" s="56" t="n">
        <f aca="false">IF(AND(D6467&gt;1,Q6467=0,ISNUMBER(O6467),ISNUMBER(P6467)),IF(Q6466=0,1,0),0)</f>
        <v>1</v>
      </c>
      <c r="S6467" s="56" t="n">
        <f aca="false">R6467*(B6467&gt;=Train_Start)*(B6467&lt;=Train_End)</f>
        <v>0</v>
      </c>
      <c r="T6467" s="84" t="n">
        <f aca="false">IF(AND(ISNUMBER(O6467),ISNUMBER(P6467)),Coef_A+Coef_B1*O6467+Coef_B2*P6467,"")</f>
        <v>25.7301353990521</v>
      </c>
      <c r="U6467" s="84" t="n">
        <f aca="false">IF(AND(R6467=1,ISNUMBER(T6467)),E6467-T6467,"")</f>
        <v>-1.03013539905214</v>
      </c>
      <c r="V6467" s="84" t="n">
        <f aca="false">IF(ISNUMBER(T6467),T6467,-99)</f>
        <v>25.7301353990521</v>
      </c>
      <c r="W6467" s="84" t="n">
        <f aca="false">IF(ISNUMBER(U6467),ABS(U6467),"")</f>
        <v>1.03013539905214</v>
      </c>
    </row>
    <row r="6468" customFormat="false" ht="15" hidden="false" customHeight="false" outlineLevel="0" collapsed="false">
      <c r="A6468" s="57" t="n">
        <v>44357</v>
      </c>
      <c r="B6468" s="56" t="n">
        <v>2021</v>
      </c>
      <c r="C6468" s="56" t="n">
        <v>6</v>
      </c>
      <c r="D6468" s="56" t="n">
        <v>41</v>
      </c>
      <c r="E6468" s="56" t="n">
        <v>25.6</v>
      </c>
      <c r="F6468" s="56" t="n">
        <v>0</v>
      </c>
      <c r="G6468" s="56" t="n">
        <v>15.6</v>
      </c>
      <c r="H6468" s="56" t="n">
        <v>0</v>
      </c>
      <c r="I6468" s="56" t="n">
        <v>20.1</v>
      </c>
      <c r="J6468" s="56" t="n">
        <v>0</v>
      </c>
      <c r="K6468" s="56" t="n">
        <v>1020.8</v>
      </c>
      <c r="L6468" s="56" t="n">
        <v>0</v>
      </c>
      <c r="M6468" s="56" t="n">
        <v>75</v>
      </c>
      <c r="N6468" s="56" t="n">
        <v>4.2</v>
      </c>
      <c r="O6468" s="56" t="n">
        <f aca="false">IF(D6468=1,"",E6467)</f>
        <v>24.7</v>
      </c>
      <c r="P6468" s="56" t="n">
        <f aca="false">IF(OR(D6468=1,K6467=""),"",K6467)</f>
        <v>1021.7</v>
      </c>
      <c r="Q6468" s="56" t="n">
        <f aca="false">IF(OR(F6468&lt;&gt;0,AND(I6468&lt;&gt;"",E6468&lt;I6468)),1,0)</f>
        <v>0</v>
      </c>
      <c r="R6468" s="56" t="n">
        <f aca="false">IF(AND(D6468&gt;1,Q6468=0,ISNUMBER(O6468),ISNUMBER(P6468)),IF(Q6467=0,1,0),0)</f>
        <v>1</v>
      </c>
      <c r="S6468" s="56" t="n">
        <f aca="false">R6468*(B6468&gt;=Train_Start)*(B6468&lt;=Train_End)</f>
        <v>0</v>
      </c>
      <c r="T6468" s="84" t="n">
        <f aca="false">IF(AND(ISNUMBER(O6468),ISNUMBER(P6468)),Coef_A+Coef_B1*O6468+Coef_B2*P6468,"")</f>
        <v>24.3752748376963</v>
      </c>
      <c r="U6468" s="84" t="n">
        <f aca="false">IF(AND(R6468=1,ISNUMBER(T6468)),E6468-T6468,"")</f>
        <v>1.2247251623037</v>
      </c>
      <c r="V6468" s="84" t="n">
        <f aca="false">IF(ISNUMBER(T6468),T6468,-99)</f>
        <v>24.3752748376963</v>
      </c>
      <c r="W6468" s="84" t="n">
        <f aca="false">IF(ISNUMBER(U6468),ABS(U6468),"")</f>
        <v>1.2247251623037</v>
      </c>
    </row>
    <row r="6469" customFormat="false" ht="15" hidden="false" customHeight="false" outlineLevel="0" collapsed="false">
      <c r="A6469" s="57" t="n">
        <v>44358</v>
      </c>
      <c r="B6469" s="56" t="n">
        <v>2021</v>
      </c>
      <c r="C6469" s="56" t="n">
        <v>6</v>
      </c>
      <c r="D6469" s="56" t="n">
        <v>42</v>
      </c>
      <c r="E6469" s="56" t="n">
        <v>24.6</v>
      </c>
      <c r="F6469" s="56" t="n">
        <v>0</v>
      </c>
      <c r="G6469" s="56" t="n">
        <v>16.4</v>
      </c>
      <c r="H6469" s="56" t="n">
        <v>0</v>
      </c>
      <c r="I6469" s="56" t="n">
        <v>21</v>
      </c>
      <c r="J6469" s="56" t="n">
        <v>0</v>
      </c>
      <c r="K6469" s="56" t="n">
        <v>1019.9</v>
      </c>
      <c r="L6469" s="56" t="n">
        <v>0</v>
      </c>
      <c r="M6469" s="56" t="n">
        <v>71</v>
      </c>
      <c r="N6469" s="56" t="n">
        <v>3</v>
      </c>
      <c r="O6469" s="56" t="n">
        <f aca="false">IF(D6469=1,"",E6468)</f>
        <v>25.6</v>
      </c>
      <c r="P6469" s="56" t="n">
        <f aca="false">IF(OR(D6469=1,K6468=""),"",K6468)</f>
        <v>1020.8</v>
      </c>
      <c r="Q6469" s="56" t="n">
        <f aca="false">IF(OR(F6469&lt;&gt;0,AND(I6469&lt;&gt;"",E6469&lt;I6469)),1,0)</f>
        <v>0</v>
      </c>
      <c r="R6469" s="56" t="n">
        <f aca="false">IF(AND(D6469&gt;1,Q6469=0,ISNUMBER(O6469),ISNUMBER(P6469)),IF(Q6468=0,1,0),0)</f>
        <v>1</v>
      </c>
      <c r="S6469" s="56" t="n">
        <f aca="false">R6469*(B6469&gt;=Train_Start)*(B6469&lt;=Train_End)</f>
        <v>0</v>
      </c>
      <c r="T6469" s="84" t="n">
        <f aca="false">IF(AND(ISNUMBER(O6469),ISNUMBER(P6469)),Coef_A+Coef_B1*O6469+Coef_B2*P6469,"")</f>
        <v>25.0844472062641</v>
      </c>
      <c r="U6469" s="84" t="n">
        <f aca="false">IF(AND(R6469=1,ISNUMBER(T6469)),E6469-T6469,"")</f>
        <v>-0.4844472062641</v>
      </c>
      <c r="V6469" s="84" t="n">
        <f aca="false">IF(ISNUMBER(T6469),T6469,-99)</f>
        <v>25.0844472062641</v>
      </c>
      <c r="W6469" s="84" t="n">
        <f aca="false">IF(ISNUMBER(U6469),ABS(U6469),"")</f>
        <v>0.4844472062641</v>
      </c>
    </row>
    <row r="6470" customFormat="false" ht="15" hidden="false" customHeight="false" outlineLevel="0" collapsed="false">
      <c r="A6470" s="57" t="n">
        <v>44359</v>
      </c>
      <c r="B6470" s="56" t="n">
        <v>2021</v>
      </c>
      <c r="C6470" s="56" t="n">
        <v>6</v>
      </c>
      <c r="D6470" s="56" t="n">
        <v>43</v>
      </c>
      <c r="E6470" s="56" t="n">
        <v>28</v>
      </c>
      <c r="F6470" s="56" t="n">
        <v>0</v>
      </c>
      <c r="G6470" s="56" t="n">
        <v>13.3</v>
      </c>
      <c r="H6470" s="56" t="n">
        <v>0</v>
      </c>
      <c r="I6470" s="56" t="n">
        <v>18.9</v>
      </c>
      <c r="J6470" s="56" t="n">
        <v>0</v>
      </c>
      <c r="K6470" s="56" t="n">
        <v>1023.5</v>
      </c>
      <c r="L6470" s="56" t="n">
        <v>0</v>
      </c>
      <c r="M6470" s="56" t="n">
        <v>60</v>
      </c>
      <c r="N6470" s="56" t="n">
        <v>12.1</v>
      </c>
      <c r="O6470" s="56" t="n">
        <f aca="false">IF(D6470=1,"",E6469)</f>
        <v>24.6</v>
      </c>
      <c r="P6470" s="56" t="n">
        <f aca="false">IF(OR(D6470=1,K6469=""),"",K6469)</f>
        <v>1019.9</v>
      </c>
      <c r="Q6470" s="56" t="n">
        <f aca="false">IF(OR(F6470&lt;&gt;0,AND(I6470&lt;&gt;"",E6470&lt;I6470)),1,0)</f>
        <v>0</v>
      </c>
      <c r="R6470" s="56" t="n">
        <f aca="false">IF(AND(D6470&gt;1,Q6470=0,ISNUMBER(O6470),ISNUMBER(P6470)),IF(Q6469=0,1,0),0)</f>
        <v>1</v>
      </c>
      <c r="S6470" s="56" t="n">
        <f aca="false">R6470*(B6470&gt;=Train_Start)*(B6470&lt;=Train_End)</f>
        <v>0</v>
      </c>
      <c r="T6470" s="84" t="n">
        <f aca="false">IF(AND(ISNUMBER(O6470),ISNUMBER(P6470)),Coef_A+Coef_B1*O6470+Coef_B2*P6470,"")</f>
        <v>24.2368751080509</v>
      </c>
      <c r="U6470" s="84" t="n">
        <f aca="false">IF(AND(R6470=1,ISNUMBER(T6470)),E6470-T6470,"")</f>
        <v>3.76312489194915</v>
      </c>
      <c r="V6470" s="84" t="n">
        <f aca="false">IF(ISNUMBER(T6470),T6470,-99)</f>
        <v>24.2368751080509</v>
      </c>
      <c r="W6470" s="84" t="n">
        <f aca="false">IF(ISNUMBER(U6470),ABS(U6470),"")</f>
        <v>3.76312489194915</v>
      </c>
    </row>
    <row r="6471" customFormat="false" ht="15" hidden="false" customHeight="false" outlineLevel="0" collapsed="false">
      <c r="A6471" s="57" t="n">
        <v>44360</v>
      </c>
      <c r="B6471" s="56" t="n">
        <v>2021</v>
      </c>
      <c r="C6471" s="56" t="n">
        <v>6</v>
      </c>
      <c r="D6471" s="56" t="n">
        <v>44</v>
      </c>
      <c r="E6471" s="56" t="n">
        <v>28.8</v>
      </c>
      <c r="F6471" s="56" t="n">
        <v>0</v>
      </c>
      <c r="G6471" s="56" t="n">
        <v>14.5</v>
      </c>
      <c r="H6471" s="56" t="n">
        <v>0</v>
      </c>
      <c r="I6471" s="56" t="n">
        <v>21.2</v>
      </c>
      <c r="J6471" s="56" t="n">
        <v>0</v>
      </c>
      <c r="K6471" s="56" t="n">
        <v>1025.9</v>
      </c>
      <c r="L6471" s="56" t="n">
        <v>0</v>
      </c>
      <c r="M6471" s="56" t="n">
        <v>55</v>
      </c>
      <c r="N6471" s="56" t="n">
        <v>13.8</v>
      </c>
      <c r="O6471" s="56" t="n">
        <f aca="false">IF(D6471=1,"",E6470)</f>
        <v>28</v>
      </c>
      <c r="P6471" s="56" t="n">
        <f aca="false">IF(OR(D6471=1,K6470=""),"",K6470)</f>
        <v>1023.5</v>
      </c>
      <c r="Q6471" s="56" t="n">
        <f aca="false">IF(OR(F6471&lt;&gt;0,AND(I6471&lt;&gt;"",E6471&lt;I6471)),1,0)</f>
        <v>0</v>
      </c>
      <c r="R6471" s="56" t="n">
        <f aca="false">IF(AND(D6471&gt;1,Q6471=0,ISNUMBER(O6471),ISNUMBER(P6471)),IF(Q6470=0,1,0),0)</f>
        <v>1</v>
      </c>
      <c r="S6471" s="56" t="n">
        <f aca="false">R6471*(B6471&gt;=Train_Start)*(B6471&lt;=Train_End)</f>
        <v>0</v>
      </c>
      <c r="T6471" s="84" t="n">
        <f aca="false">IF(AND(ISNUMBER(O6471),ISNUMBER(P6471)),Coef_A+Coef_B1*O6471+Coef_B2*P6471,"")</f>
        <v>27.1355599850783</v>
      </c>
      <c r="U6471" s="84" t="n">
        <f aca="false">IF(AND(R6471=1,ISNUMBER(T6471)),E6471-T6471,"")</f>
        <v>1.66444001492174</v>
      </c>
      <c r="V6471" s="84" t="n">
        <f aca="false">IF(ISNUMBER(T6471),T6471,-99)</f>
        <v>27.1355599850783</v>
      </c>
      <c r="W6471" s="84" t="n">
        <f aca="false">IF(ISNUMBER(U6471),ABS(U6471),"")</f>
        <v>1.66444001492174</v>
      </c>
    </row>
    <row r="6472" customFormat="false" ht="15" hidden="false" customHeight="false" outlineLevel="0" collapsed="false">
      <c r="A6472" s="57" t="n">
        <v>44361</v>
      </c>
      <c r="B6472" s="56" t="n">
        <v>2021</v>
      </c>
      <c r="C6472" s="56" t="n">
        <v>6</v>
      </c>
      <c r="D6472" s="56" t="n">
        <v>45</v>
      </c>
      <c r="E6472" s="56" t="n">
        <v>26.6</v>
      </c>
      <c r="F6472" s="56" t="n">
        <v>0</v>
      </c>
      <c r="G6472" s="56" t="n">
        <v>15.4</v>
      </c>
      <c r="H6472" s="56" t="n">
        <v>0</v>
      </c>
      <c r="I6472" s="56" t="n">
        <v>22.1</v>
      </c>
      <c r="J6472" s="56" t="n">
        <v>0</v>
      </c>
      <c r="K6472" s="56" t="n">
        <v>1020.8</v>
      </c>
      <c r="L6472" s="56" t="n">
        <v>0</v>
      </c>
      <c r="M6472" s="56" t="n">
        <v>58</v>
      </c>
      <c r="N6472" s="56" t="n">
        <v>8.7</v>
      </c>
      <c r="O6472" s="56" t="n">
        <f aca="false">IF(D6472=1,"",E6471)</f>
        <v>28.8</v>
      </c>
      <c r="P6472" s="56" t="n">
        <f aca="false">IF(OR(D6472=1,K6471=""),"",K6471)</f>
        <v>1025.9</v>
      </c>
      <c r="Q6472" s="56" t="n">
        <f aca="false">IF(OR(F6472&lt;&gt;0,AND(I6472&lt;&gt;"",E6472&lt;I6472)),1,0)</f>
        <v>0</v>
      </c>
      <c r="R6472" s="56" t="n">
        <f aca="false">IF(AND(D6472&gt;1,Q6472=0,ISNUMBER(O6472),ISNUMBER(P6472)),IF(Q6471=0,1,0),0)</f>
        <v>1</v>
      </c>
      <c r="S6472" s="56" t="n">
        <f aca="false">R6472*(B6472&gt;=Train_Start)*(B6472&lt;=Train_End)</f>
        <v>0</v>
      </c>
      <c r="T6472" s="84" t="n">
        <f aca="false">IF(AND(ISNUMBER(O6472),ISNUMBER(P6472)),Coef_A+Coef_B1*O6472+Coef_B2*P6472,"")</f>
        <v>27.866319086634</v>
      </c>
      <c r="U6472" s="84" t="n">
        <f aca="false">IF(AND(R6472=1,ISNUMBER(T6472)),E6472-T6472,"")</f>
        <v>-1.26631908663395</v>
      </c>
      <c r="V6472" s="84" t="n">
        <f aca="false">IF(ISNUMBER(T6472),T6472,-99)</f>
        <v>27.866319086634</v>
      </c>
      <c r="W6472" s="84" t="n">
        <f aca="false">IF(ISNUMBER(U6472),ABS(U6472),"")</f>
        <v>1.26631908663395</v>
      </c>
    </row>
    <row r="6473" customFormat="false" ht="15" hidden="false" customHeight="false" outlineLevel="0" collapsed="false">
      <c r="A6473" s="57" t="n">
        <v>44362</v>
      </c>
      <c r="B6473" s="56" t="n">
        <v>2021</v>
      </c>
      <c r="C6473" s="56" t="n">
        <v>6</v>
      </c>
      <c r="D6473" s="56" t="n">
        <v>46</v>
      </c>
      <c r="E6473" s="56" t="n">
        <v>29.2</v>
      </c>
      <c r="F6473" s="56" t="n">
        <v>0</v>
      </c>
      <c r="G6473" s="56" t="n">
        <v>14.8</v>
      </c>
      <c r="H6473" s="56" t="n">
        <v>0</v>
      </c>
      <c r="I6473" s="56" t="n">
        <v>20.7</v>
      </c>
      <c r="J6473" s="56" t="n">
        <v>0</v>
      </c>
      <c r="K6473" s="56" t="n">
        <v>1020.5</v>
      </c>
      <c r="L6473" s="56" t="n">
        <v>0</v>
      </c>
      <c r="M6473" s="56" t="n">
        <v>53</v>
      </c>
      <c r="N6473" s="56" t="n">
        <v>11.2</v>
      </c>
      <c r="O6473" s="56" t="n">
        <f aca="false">IF(D6473=1,"",E6472)</f>
        <v>26.6</v>
      </c>
      <c r="P6473" s="56" t="n">
        <f aca="false">IF(OR(D6473=1,K6472=""),"",K6472)</f>
        <v>1020.8</v>
      </c>
      <c r="Q6473" s="56" t="n">
        <f aca="false">IF(OR(F6473&lt;&gt;0,AND(I6473&lt;&gt;"",E6473&lt;I6473)),1,0)</f>
        <v>0</v>
      </c>
      <c r="R6473" s="56" t="n">
        <f aca="false">IF(AND(D6473&gt;1,Q6473=0,ISNUMBER(O6473),ISNUMBER(P6473)),IF(Q6472=0,1,0),0)</f>
        <v>1</v>
      </c>
      <c r="S6473" s="56" t="n">
        <f aca="false">R6473*(B6473&gt;=Train_Start)*(B6473&lt;=Train_End)</f>
        <v>0</v>
      </c>
      <c r="T6473" s="84" t="n">
        <f aca="false">IF(AND(ISNUMBER(O6473),ISNUMBER(P6473)),Coef_A+Coef_B1*O6473+Coef_B2*P6473,"")</f>
        <v>25.9037863993068</v>
      </c>
      <c r="U6473" s="84" t="n">
        <f aca="false">IF(AND(R6473=1,ISNUMBER(T6473)),E6473-T6473,"")</f>
        <v>3.29621360069324</v>
      </c>
      <c r="V6473" s="84" t="n">
        <f aca="false">IF(ISNUMBER(T6473),T6473,-99)</f>
        <v>25.9037863993068</v>
      </c>
      <c r="W6473" s="84" t="n">
        <f aca="false">IF(ISNUMBER(U6473),ABS(U6473),"")</f>
        <v>3.29621360069324</v>
      </c>
    </row>
    <row r="6474" customFormat="false" ht="15" hidden="false" customHeight="false" outlineLevel="0" collapsed="false">
      <c r="A6474" s="57" t="n">
        <v>44363</v>
      </c>
      <c r="B6474" s="56" t="n">
        <v>2021</v>
      </c>
      <c r="C6474" s="56" t="n">
        <v>6</v>
      </c>
      <c r="D6474" s="56" t="n">
        <v>47</v>
      </c>
      <c r="E6474" s="56" t="n">
        <v>21.4</v>
      </c>
      <c r="F6474" s="56" t="n">
        <v>1</v>
      </c>
      <c r="G6474" s="56" t="n">
        <v>14.8</v>
      </c>
      <c r="H6474" s="56" t="n">
        <v>0</v>
      </c>
      <c r="I6474" s="56" t="n">
        <v>22</v>
      </c>
      <c r="J6474" s="56" t="n">
        <v>1</v>
      </c>
      <c r="K6474" s="56" t="n">
        <v>1011.9</v>
      </c>
      <c r="L6474" s="56" t="n">
        <v>0</v>
      </c>
      <c r="M6474" s="56" t="n">
        <v>66</v>
      </c>
      <c r="N6474" s="56" t="n">
        <v>9.1</v>
      </c>
      <c r="O6474" s="56" t="n">
        <f aca="false">IF(D6474=1,"",E6473)</f>
        <v>29.2</v>
      </c>
      <c r="P6474" s="56" t="n">
        <f aca="false">IF(OR(D6474=1,K6473=""),"",K6473)</f>
        <v>1020.5</v>
      </c>
      <c r="Q6474" s="56" t="n">
        <f aca="false">IF(OR(F6474&lt;&gt;0,AND(I6474&lt;&gt;"",E6474&lt;I6474)),1,0)</f>
        <v>1</v>
      </c>
      <c r="R6474" s="56" t="n">
        <f aca="false">IF(AND(D6474&gt;1,Q6474=0,ISNUMBER(O6474),ISNUMBER(P6474)),IF(Q6473=0,1,0),0)</f>
        <v>0</v>
      </c>
      <c r="S6474" s="56" t="n">
        <f aca="false">R6474*(B6474&gt;=Train_Start)*(B6474&lt;=Train_End)</f>
        <v>0</v>
      </c>
      <c r="T6474" s="84" t="n">
        <f aca="false">IF(AND(ISNUMBER(O6474),ISNUMBER(P6474)),Coef_A+Coef_B1*O6474+Coef_B2*P6474,"")</f>
        <v>28.0246573328275</v>
      </c>
      <c r="U6474" s="84" t="str">
        <f aca="false">IF(AND(R6474=1,ISNUMBER(T6474)),E6474-T6474,"")</f>
        <v/>
      </c>
      <c r="V6474" s="84" t="n">
        <f aca="false">IF(ISNUMBER(T6474),T6474,-99)</f>
        <v>28.0246573328275</v>
      </c>
      <c r="W6474" s="84" t="str">
        <f aca="false">IF(ISNUMBER(U6474),ABS(U6474),"")</f>
        <v/>
      </c>
    </row>
    <row r="6475" customFormat="false" ht="15" hidden="false" customHeight="false" outlineLevel="0" collapsed="false">
      <c r="A6475" s="57" t="n">
        <v>44364</v>
      </c>
      <c r="B6475" s="56" t="n">
        <v>2021</v>
      </c>
      <c r="C6475" s="56" t="n">
        <v>6</v>
      </c>
      <c r="D6475" s="56" t="n">
        <v>48</v>
      </c>
      <c r="E6475" s="56" t="n">
        <v>14.3</v>
      </c>
      <c r="F6475" s="56" t="n">
        <v>1</v>
      </c>
      <c r="G6475" s="56" t="n">
        <v>17.7</v>
      </c>
      <c r="H6475" s="56" t="n">
        <v>1</v>
      </c>
      <c r="I6475" s="56" t="n">
        <v>19.6</v>
      </c>
      <c r="J6475" s="56" t="n">
        <v>1</v>
      </c>
      <c r="K6475" s="56" t="n">
        <v>1010.7</v>
      </c>
      <c r="L6475" s="56" t="n">
        <v>0</v>
      </c>
      <c r="M6475" s="56" t="n">
        <v>85</v>
      </c>
      <c r="N6475" s="56" t="n">
        <v>0</v>
      </c>
      <c r="O6475" s="56" t="n">
        <f aca="false">IF(D6475=1,"",E6474)</f>
        <v>21.4</v>
      </c>
      <c r="P6475" s="56" t="n">
        <f aca="false">IF(OR(D6475=1,K6474=""),"",K6474)</f>
        <v>1011.9</v>
      </c>
      <c r="Q6475" s="56" t="n">
        <f aca="false">IF(OR(F6475&lt;&gt;0,AND(I6475&lt;&gt;"",E6475&lt;I6475)),1,0)</f>
        <v>1</v>
      </c>
      <c r="R6475" s="56" t="n">
        <f aca="false">IF(AND(D6475&gt;1,Q6475=0,ISNUMBER(O6475),ISNUMBER(P6475)),IF(Q6474=0,1,0),0)</f>
        <v>0</v>
      </c>
      <c r="S6475" s="56" t="n">
        <f aca="false">R6475*(B6475&gt;=Train_Start)*(B6475&lt;=Train_End)</f>
        <v>0</v>
      </c>
      <c r="T6475" s="84" t="n">
        <f aca="false">IF(AND(ISNUMBER(O6475),ISNUMBER(P6475)),Coef_A+Coef_B1*O6475+Coef_B2*P6475,"")</f>
        <v>21.3640305332424</v>
      </c>
      <c r="U6475" s="84" t="str">
        <f aca="false">IF(AND(R6475=1,ISNUMBER(T6475)),E6475-T6475,"")</f>
        <v/>
      </c>
      <c r="V6475" s="84" t="n">
        <f aca="false">IF(ISNUMBER(T6475),T6475,-99)</f>
        <v>21.3640305332424</v>
      </c>
      <c r="W6475" s="84" t="str">
        <f aca="false">IF(ISNUMBER(U6475),ABS(U6475),"")</f>
        <v/>
      </c>
    </row>
    <row r="6476" customFormat="false" ht="15" hidden="false" customHeight="false" outlineLevel="0" collapsed="false">
      <c r="A6476" s="57" t="n">
        <v>44365</v>
      </c>
      <c r="B6476" s="56" t="n">
        <v>2021</v>
      </c>
      <c r="C6476" s="56" t="n">
        <v>6</v>
      </c>
      <c r="D6476" s="56" t="n">
        <v>49</v>
      </c>
      <c r="E6476" s="56" t="n">
        <v>16.4</v>
      </c>
      <c r="F6476" s="56" t="n">
        <v>0</v>
      </c>
      <c r="G6476" s="56" t="n">
        <v>13.6</v>
      </c>
      <c r="H6476" s="56" t="n">
        <v>0</v>
      </c>
      <c r="I6476" s="56" t="n">
        <v>13.9</v>
      </c>
      <c r="J6476" s="56" t="n">
        <v>0</v>
      </c>
      <c r="K6476" s="56" t="n">
        <v>1013.2</v>
      </c>
      <c r="L6476" s="56" t="n">
        <v>0</v>
      </c>
      <c r="M6476" s="56" t="n">
        <v>94</v>
      </c>
      <c r="N6476" s="56" t="n">
        <v>0</v>
      </c>
      <c r="O6476" s="56" t="n">
        <f aca="false">IF(D6476=1,"",E6475)</f>
        <v>14.3</v>
      </c>
      <c r="P6476" s="56" t="n">
        <f aca="false">IF(OR(D6476=1,K6475=""),"",K6475)</f>
        <v>1010.7</v>
      </c>
      <c r="Q6476" s="56" t="n">
        <f aca="false">IF(OR(F6476&lt;&gt;0,AND(I6476&lt;&gt;"",E6476&lt;I6476)),1,0)</f>
        <v>0</v>
      </c>
      <c r="R6476" s="56" t="n">
        <f aca="false">IF(AND(D6476&gt;1,Q6476=0,ISNUMBER(O6476),ISNUMBER(P6476)),IF(Q6475=0,1,0),0)</f>
        <v>0</v>
      </c>
      <c r="S6476" s="56" t="n">
        <f aca="false">R6476*(B6476&gt;=Train_Start)*(B6476&lt;=Train_End)</f>
        <v>0</v>
      </c>
      <c r="T6476" s="84" t="n">
        <f aca="false">IF(AND(ISNUMBER(O6476),ISNUMBER(P6476)),Coef_A+Coef_B1*O6476+Coef_B2*P6476,"")</f>
        <v>15.5090783890788</v>
      </c>
      <c r="U6476" s="84" t="str">
        <f aca="false">IF(AND(R6476=1,ISNUMBER(T6476)),E6476-T6476,"")</f>
        <v/>
      </c>
      <c r="V6476" s="84" t="n">
        <f aca="false">IF(ISNUMBER(T6476),T6476,-99)</f>
        <v>15.5090783890788</v>
      </c>
      <c r="W6476" s="84" t="str">
        <f aca="false">IF(ISNUMBER(U6476),ABS(U6476),"")</f>
        <v/>
      </c>
    </row>
    <row r="6477" customFormat="false" ht="15" hidden="false" customHeight="false" outlineLevel="0" collapsed="false">
      <c r="A6477" s="57" t="n">
        <v>44366</v>
      </c>
      <c r="B6477" s="56" t="n">
        <v>2021</v>
      </c>
      <c r="C6477" s="56" t="n">
        <v>6</v>
      </c>
      <c r="D6477" s="56" t="n">
        <v>50</v>
      </c>
      <c r="E6477" s="56" t="n">
        <v>18.4</v>
      </c>
      <c r="F6477" s="56" t="n">
        <v>0</v>
      </c>
      <c r="G6477" s="56" t="n">
        <v>11.9</v>
      </c>
      <c r="H6477" s="56" t="n">
        <v>0</v>
      </c>
      <c r="I6477" s="56" t="n">
        <v>14.2</v>
      </c>
      <c r="J6477" s="56" t="n">
        <v>0</v>
      </c>
      <c r="K6477" s="56" t="n">
        <v>1013.9</v>
      </c>
      <c r="L6477" s="56" t="n">
        <v>0</v>
      </c>
      <c r="M6477" s="56" t="n">
        <v>85</v>
      </c>
      <c r="N6477" s="56" t="n">
        <v>0</v>
      </c>
      <c r="O6477" s="56" t="n">
        <f aca="false">IF(D6477=1,"",E6476)</f>
        <v>16.4</v>
      </c>
      <c r="P6477" s="56" t="n">
        <f aca="false">IF(OR(D6477=1,K6476=""),"",K6476)</f>
        <v>1013.2</v>
      </c>
      <c r="Q6477" s="56" t="n">
        <f aca="false">IF(OR(F6477&lt;&gt;0,AND(I6477&lt;&gt;"",E6477&lt;I6477)),1,0)</f>
        <v>0</v>
      </c>
      <c r="R6477" s="56" t="n">
        <f aca="false">IF(AND(D6477&gt;1,Q6477=0,ISNUMBER(O6477),ISNUMBER(P6477)),IF(Q6476=0,1,0),0)</f>
        <v>1</v>
      </c>
      <c r="S6477" s="56" t="n">
        <f aca="false">R6477*(B6477&gt;=Train_Start)*(B6477&lt;=Train_End)</f>
        <v>0</v>
      </c>
      <c r="T6477" s="84" t="n">
        <f aca="false">IF(AND(ISNUMBER(O6477),ISNUMBER(P6477)),Coef_A+Coef_B1*O6477+Coef_B2*P6477,"")</f>
        <v>17.3081154310533</v>
      </c>
      <c r="U6477" s="84" t="n">
        <f aca="false">IF(AND(R6477=1,ISNUMBER(T6477)),E6477-T6477,"")</f>
        <v>1.09188456894666</v>
      </c>
      <c r="V6477" s="84" t="n">
        <f aca="false">IF(ISNUMBER(T6477),T6477,-99)</f>
        <v>17.3081154310533</v>
      </c>
      <c r="W6477" s="84" t="n">
        <f aca="false">IF(ISNUMBER(U6477),ABS(U6477),"")</f>
        <v>1.09188456894666</v>
      </c>
    </row>
    <row r="6478" customFormat="false" ht="15" hidden="false" customHeight="false" outlineLevel="0" collapsed="false">
      <c r="A6478" s="57" t="n">
        <v>44367</v>
      </c>
      <c r="B6478" s="56" t="n">
        <v>2021</v>
      </c>
      <c r="C6478" s="56" t="n">
        <v>6</v>
      </c>
      <c r="D6478" s="56" t="n">
        <v>51</v>
      </c>
      <c r="E6478" s="56" t="n">
        <v>14.3</v>
      </c>
      <c r="F6478" s="56" t="n">
        <v>1</v>
      </c>
      <c r="G6478" s="56" t="n">
        <v>12.9</v>
      </c>
      <c r="H6478" s="56" t="n">
        <v>0</v>
      </c>
      <c r="I6478" s="56" t="n">
        <v>15.7</v>
      </c>
      <c r="J6478" s="56" t="n">
        <v>1</v>
      </c>
      <c r="K6478" s="56" t="n">
        <v>1008.9</v>
      </c>
      <c r="L6478" s="56" t="n">
        <v>0</v>
      </c>
      <c r="M6478" s="56" t="n">
        <v>85</v>
      </c>
      <c r="N6478" s="56" t="n">
        <v>0</v>
      </c>
      <c r="O6478" s="56" t="n">
        <f aca="false">IF(D6478=1,"",E6477)</f>
        <v>18.4</v>
      </c>
      <c r="P6478" s="56" t="n">
        <f aca="false">IF(OR(D6478=1,K6477=""),"",K6477)</f>
        <v>1013.9</v>
      </c>
      <c r="Q6478" s="56" t="n">
        <f aca="false">IF(OR(F6478&lt;&gt;0,AND(I6478&lt;&gt;"",E6478&lt;I6478)),1,0)</f>
        <v>1</v>
      </c>
      <c r="R6478" s="56" t="n">
        <f aca="false">IF(AND(D6478&gt;1,Q6478=0,ISNUMBER(O6478),ISNUMBER(P6478)),IF(Q6477=0,1,0),0)</f>
        <v>0</v>
      </c>
      <c r="S6478" s="56" t="n">
        <f aca="false">R6478*(B6478&gt;=Train_Start)*(B6478&lt;=Train_End)</f>
        <v>0</v>
      </c>
      <c r="T6478" s="84" t="n">
        <f aca="false">IF(AND(ISNUMBER(O6478),ISNUMBER(P6478)),Coef_A+Coef_B1*O6478+Coef_B2*P6478,"")</f>
        <v>18.9687527433824</v>
      </c>
      <c r="U6478" s="84" t="str">
        <f aca="false">IF(AND(R6478=1,ISNUMBER(T6478)),E6478-T6478,"")</f>
        <v/>
      </c>
      <c r="V6478" s="84" t="n">
        <f aca="false">IF(ISNUMBER(T6478),T6478,-99)</f>
        <v>18.9687527433824</v>
      </c>
      <c r="W6478" s="84" t="str">
        <f aca="false">IF(ISNUMBER(U6478),ABS(U6478),"")</f>
        <v/>
      </c>
    </row>
    <row r="6479" customFormat="false" ht="15" hidden="false" customHeight="false" outlineLevel="0" collapsed="false">
      <c r="A6479" s="57" t="n">
        <v>44368</v>
      </c>
      <c r="B6479" s="56" t="n">
        <v>2021</v>
      </c>
      <c r="C6479" s="56" t="n">
        <v>6</v>
      </c>
      <c r="D6479" s="56" t="n">
        <v>52</v>
      </c>
      <c r="E6479" s="56" t="n">
        <v>18</v>
      </c>
      <c r="F6479" s="56" t="n">
        <v>0</v>
      </c>
      <c r="G6479" s="56" t="n">
        <v>11.9</v>
      </c>
      <c r="H6479" s="56" t="n">
        <v>0</v>
      </c>
      <c r="I6479" s="56" t="n">
        <v>13.1</v>
      </c>
      <c r="J6479" s="56" t="n">
        <v>0</v>
      </c>
      <c r="K6479" s="56" t="n">
        <v>1012.8</v>
      </c>
      <c r="L6479" s="56" t="n">
        <v>0</v>
      </c>
      <c r="M6479" s="56" t="n">
        <v>83</v>
      </c>
      <c r="N6479" s="56" t="n">
        <v>0</v>
      </c>
      <c r="O6479" s="56" t="n">
        <f aca="false">IF(D6479=1,"",E6478)</f>
        <v>14.3</v>
      </c>
      <c r="P6479" s="56" t="n">
        <f aca="false">IF(OR(D6479=1,K6478=""),"",K6478)</f>
        <v>1008.9</v>
      </c>
      <c r="Q6479" s="56" t="n">
        <f aca="false">IF(OR(F6479&lt;&gt;0,AND(I6479&lt;&gt;"",E6479&lt;I6479)),1,0)</f>
        <v>0</v>
      </c>
      <c r="R6479" s="56" t="n">
        <f aca="false">IF(AND(D6479&gt;1,Q6479=0,ISNUMBER(O6479),ISNUMBER(P6479)),IF(Q6478=0,1,0),0)</f>
        <v>0</v>
      </c>
      <c r="S6479" s="56" t="n">
        <f aca="false">R6479*(B6479&gt;=Train_Start)*(B6479&lt;=Train_End)</f>
        <v>0</v>
      </c>
      <c r="T6479" s="84" t="n">
        <f aca="false">IF(AND(ISNUMBER(O6479),ISNUMBER(P6479)),Coef_A+Coef_B1*O6479+Coef_B2*P6479,"")</f>
        <v>15.4526125787376</v>
      </c>
      <c r="U6479" s="84" t="str">
        <f aca="false">IF(AND(R6479=1,ISNUMBER(T6479)),E6479-T6479,"")</f>
        <v/>
      </c>
      <c r="V6479" s="84" t="n">
        <f aca="false">IF(ISNUMBER(T6479),T6479,-99)</f>
        <v>15.4526125787376</v>
      </c>
      <c r="W6479" s="84" t="str">
        <f aca="false">IF(ISNUMBER(U6479),ABS(U6479),"")</f>
        <v/>
      </c>
    </row>
    <row r="6480" customFormat="false" ht="15" hidden="false" customHeight="false" outlineLevel="0" collapsed="false">
      <c r="A6480" s="57" t="n">
        <v>44369</v>
      </c>
      <c r="B6480" s="56" t="n">
        <v>2021</v>
      </c>
      <c r="C6480" s="56" t="n">
        <v>6</v>
      </c>
      <c r="D6480" s="56" t="n">
        <v>53</v>
      </c>
      <c r="E6480" s="56" t="n">
        <v>22.3</v>
      </c>
      <c r="F6480" s="56" t="n">
        <v>0</v>
      </c>
      <c r="G6480" s="56" t="n">
        <v>11.3</v>
      </c>
      <c r="H6480" s="56" t="n">
        <v>0</v>
      </c>
      <c r="I6480" s="56" t="n">
        <v>14.7</v>
      </c>
      <c r="J6480" s="56" t="n">
        <v>0</v>
      </c>
      <c r="K6480" s="56" t="n">
        <v>1020.5</v>
      </c>
      <c r="L6480" s="56" t="n">
        <v>0</v>
      </c>
      <c r="M6480" s="56" t="n">
        <v>63</v>
      </c>
      <c r="N6480" s="56" t="n">
        <v>1.9</v>
      </c>
      <c r="O6480" s="56" t="n">
        <f aca="false">IF(D6480=1,"",E6479)</f>
        <v>18</v>
      </c>
      <c r="P6480" s="56" t="n">
        <f aca="false">IF(OR(D6480=1,K6479=""),"",K6479)</f>
        <v>1012.8</v>
      </c>
      <c r="Q6480" s="56" t="n">
        <f aca="false">IF(OR(F6480&lt;&gt;0,AND(I6480&lt;&gt;"",E6480&lt;I6480)),1,0)</f>
        <v>0</v>
      </c>
      <c r="R6480" s="56" t="n">
        <f aca="false">IF(AND(D6480&gt;1,Q6480=0,ISNUMBER(O6480),ISNUMBER(P6480)),IF(Q6479=0,1,0),0)</f>
        <v>1</v>
      </c>
      <c r="S6480" s="56" t="n">
        <f aca="false">R6480*(B6480&gt;=Train_Start)*(B6480&lt;=Train_End)</f>
        <v>0</v>
      </c>
      <c r="T6480" s="84" t="n">
        <f aca="false">IF(AND(ISNUMBER(O6480),ISNUMBER(P6480)),Coef_A+Coef_B1*O6480+Coef_B2*P6480,"")</f>
        <v>18.606510182068</v>
      </c>
      <c r="U6480" s="84" t="n">
        <f aca="false">IF(AND(R6480=1,ISNUMBER(T6480)),E6480-T6480,"")</f>
        <v>3.69348981793201</v>
      </c>
      <c r="V6480" s="84" t="n">
        <f aca="false">IF(ISNUMBER(T6480),T6480,-99)</f>
        <v>18.606510182068</v>
      </c>
      <c r="W6480" s="84" t="n">
        <f aca="false">IF(ISNUMBER(U6480),ABS(U6480),"")</f>
        <v>3.69348981793201</v>
      </c>
    </row>
    <row r="6481" customFormat="false" ht="15" hidden="false" customHeight="false" outlineLevel="0" collapsed="false">
      <c r="A6481" s="57" t="n">
        <v>44370</v>
      </c>
      <c r="B6481" s="56" t="n">
        <v>2021</v>
      </c>
      <c r="C6481" s="56" t="n">
        <v>6</v>
      </c>
      <c r="D6481" s="56" t="n">
        <v>54</v>
      </c>
      <c r="E6481" s="56" t="n">
        <v>20.3</v>
      </c>
      <c r="F6481" s="56" t="n">
        <v>0</v>
      </c>
      <c r="G6481" s="56" t="n">
        <v>8</v>
      </c>
      <c r="H6481" s="56" t="n">
        <v>0</v>
      </c>
      <c r="I6481" s="56" t="n">
        <v>15.2</v>
      </c>
      <c r="J6481" s="56" t="n">
        <v>0</v>
      </c>
      <c r="K6481" s="56" t="n">
        <v>1023.4</v>
      </c>
      <c r="L6481" s="56" t="n">
        <v>0</v>
      </c>
      <c r="M6481" s="56" t="n">
        <v>59</v>
      </c>
      <c r="N6481" s="56" t="n">
        <v>9.6</v>
      </c>
      <c r="O6481" s="56" t="n">
        <f aca="false">IF(D6481=1,"",E6480)</f>
        <v>22.3</v>
      </c>
      <c r="P6481" s="56" t="n">
        <f aca="false">IF(OR(D6481=1,K6480=""),"",K6480)</f>
        <v>1020.5</v>
      </c>
      <c r="Q6481" s="56" t="n">
        <f aca="false">IF(OR(F6481&lt;&gt;0,AND(I6481&lt;&gt;"",E6481&lt;I6481)),1,0)</f>
        <v>0</v>
      </c>
      <c r="R6481" s="56" t="n">
        <f aca="false">IF(AND(D6481&gt;1,Q6481=0,ISNUMBER(O6481),ISNUMBER(P6481)),IF(Q6480=0,1,0),0)</f>
        <v>1</v>
      </c>
      <c r="S6481" s="56" t="n">
        <f aca="false">R6481*(B6481&gt;=Train_Start)*(B6481&lt;=Train_End)</f>
        <v>0</v>
      </c>
      <c r="T6481" s="84" t="n">
        <f aca="false">IF(AND(ISNUMBER(O6481),ISNUMBER(P6481)),Coef_A+Coef_B1*O6481+Coef_B2*P6481,"")</f>
        <v>22.3712169008331</v>
      </c>
      <c r="U6481" s="84" t="n">
        <f aca="false">IF(AND(R6481=1,ISNUMBER(T6481)),E6481-T6481,"")</f>
        <v>-2.07121690083314</v>
      </c>
      <c r="V6481" s="84" t="n">
        <f aca="false">IF(ISNUMBER(T6481),T6481,-99)</f>
        <v>22.3712169008331</v>
      </c>
      <c r="W6481" s="84" t="n">
        <f aca="false">IF(ISNUMBER(U6481),ABS(U6481),"")</f>
        <v>2.07121690083314</v>
      </c>
    </row>
    <row r="6482" customFormat="false" ht="15" hidden="false" customHeight="false" outlineLevel="0" collapsed="false">
      <c r="A6482" s="57" t="n">
        <v>44371</v>
      </c>
      <c r="B6482" s="56" t="n">
        <v>2021</v>
      </c>
      <c r="C6482" s="56" t="n">
        <v>6</v>
      </c>
      <c r="D6482" s="56" t="n">
        <v>55</v>
      </c>
      <c r="E6482" s="56" t="n">
        <v>23</v>
      </c>
      <c r="F6482" s="56" t="n">
        <v>0</v>
      </c>
      <c r="G6482" s="56" t="n">
        <v>9.5</v>
      </c>
      <c r="H6482" s="56" t="n">
        <v>0</v>
      </c>
      <c r="I6482" s="56" t="n">
        <v>14.9</v>
      </c>
      <c r="J6482" s="56" t="n">
        <v>0</v>
      </c>
      <c r="K6482" s="56" t="n">
        <v>1021.5</v>
      </c>
      <c r="L6482" s="56" t="n">
        <v>0</v>
      </c>
      <c r="M6482" s="56" t="n">
        <v>74</v>
      </c>
      <c r="N6482" s="56" t="n">
        <v>3.4</v>
      </c>
      <c r="O6482" s="56" t="n">
        <f aca="false">IF(D6482=1,"",E6481)</f>
        <v>20.3</v>
      </c>
      <c r="P6482" s="56" t="n">
        <f aca="false">IF(OR(D6482=1,K6481=""),"",K6481)</f>
        <v>1023.4</v>
      </c>
      <c r="Q6482" s="56" t="n">
        <f aca="false">IF(OR(F6482&lt;&gt;0,AND(I6482&lt;&gt;"",E6482&lt;I6482)),1,0)</f>
        <v>0</v>
      </c>
      <c r="R6482" s="56" t="n">
        <f aca="false">IF(AND(D6482&gt;1,Q6482=0,ISNUMBER(O6482),ISNUMBER(P6482)),IF(Q6481=0,1,0),0)</f>
        <v>1</v>
      </c>
      <c r="S6482" s="56" t="n">
        <f aca="false">R6482*(B6482&gt;=Train_Start)*(B6482&lt;=Train_End)</f>
        <v>0</v>
      </c>
      <c r="T6482" s="84" t="n">
        <f aca="false">IF(AND(ISNUMBER(O6482),ISNUMBER(P6482)),Coef_A+Coef_B1*O6482+Coef_B2*P6482,"")</f>
        <v>20.8235112091864</v>
      </c>
      <c r="U6482" s="84" t="n">
        <f aca="false">IF(AND(R6482=1,ISNUMBER(T6482)),E6482-T6482,"")</f>
        <v>2.17648879081361</v>
      </c>
      <c r="V6482" s="84" t="n">
        <f aca="false">IF(ISNUMBER(T6482),T6482,-99)</f>
        <v>20.8235112091864</v>
      </c>
      <c r="W6482" s="84" t="n">
        <f aca="false">IF(ISNUMBER(U6482),ABS(U6482),"")</f>
        <v>2.17648879081361</v>
      </c>
    </row>
    <row r="6483" customFormat="false" ht="15" hidden="false" customHeight="false" outlineLevel="0" collapsed="false">
      <c r="A6483" s="57" t="n">
        <v>44372</v>
      </c>
      <c r="B6483" s="56" t="n">
        <v>2021</v>
      </c>
      <c r="C6483" s="56" t="n">
        <v>6</v>
      </c>
      <c r="D6483" s="56" t="n">
        <v>56</v>
      </c>
      <c r="E6483" s="56" t="n">
        <v>23.6</v>
      </c>
      <c r="F6483" s="56" t="n">
        <v>0</v>
      </c>
      <c r="G6483" s="56" t="n">
        <v>13.6</v>
      </c>
      <c r="H6483" s="56" t="n">
        <v>0</v>
      </c>
      <c r="I6483" s="56" t="n">
        <v>18.3</v>
      </c>
      <c r="J6483" s="56" t="n">
        <v>0</v>
      </c>
      <c r="K6483" s="56" t="n">
        <v>1016.2</v>
      </c>
      <c r="L6483" s="56" t="n">
        <v>0</v>
      </c>
      <c r="M6483" s="56" t="n">
        <v>67</v>
      </c>
      <c r="N6483" s="56" t="n">
        <v>4</v>
      </c>
      <c r="O6483" s="56" t="n">
        <f aca="false">IF(D6483=1,"",E6482)</f>
        <v>23</v>
      </c>
      <c r="P6483" s="56" t="n">
        <f aca="false">IF(OR(D6483=1,K6482=""),"",K6482)</f>
        <v>1021.5</v>
      </c>
      <c r="Q6483" s="56" t="n">
        <f aca="false">IF(OR(F6483&lt;&gt;0,AND(I6483&lt;&gt;"",E6483&lt;I6483)),1,0)</f>
        <v>0</v>
      </c>
      <c r="R6483" s="56" t="n">
        <f aca="false">IF(AND(D6483&gt;1,Q6483=0,ISNUMBER(O6483),ISNUMBER(P6483)),IF(Q6482=0,1,0),0)</f>
        <v>1</v>
      </c>
      <c r="S6483" s="56" t="n">
        <f aca="false">R6483*(B6483&gt;=Train_Start)*(B6483&lt;=Train_End)</f>
        <v>0</v>
      </c>
      <c r="T6483" s="84" t="n">
        <f aca="false">IF(AND(ISNUMBER(O6483),ISNUMBER(P6483)),Coef_A+Coef_B1*O6483+Coef_B2*P6483,"")</f>
        <v>22.976124230597</v>
      </c>
      <c r="U6483" s="84" t="n">
        <f aca="false">IF(AND(R6483=1,ISNUMBER(T6483)),E6483-T6483,"")</f>
        <v>0.623875769403011</v>
      </c>
      <c r="V6483" s="84" t="n">
        <f aca="false">IF(ISNUMBER(T6483),T6483,-99)</f>
        <v>22.976124230597</v>
      </c>
      <c r="W6483" s="84" t="n">
        <f aca="false">IF(ISNUMBER(U6483),ABS(U6483),"")</f>
        <v>0.623875769403011</v>
      </c>
    </row>
    <row r="6484" customFormat="false" ht="15" hidden="false" customHeight="false" outlineLevel="0" collapsed="false">
      <c r="A6484" s="57" t="n">
        <v>44373</v>
      </c>
      <c r="B6484" s="56" t="n">
        <v>2021</v>
      </c>
      <c r="C6484" s="56" t="n">
        <v>6</v>
      </c>
      <c r="D6484" s="56" t="n">
        <v>57</v>
      </c>
      <c r="E6484" s="56" t="n">
        <v>20.5</v>
      </c>
      <c r="F6484" s="56" t="n">
        <v>0</v>
      </c>
      <c r="G6484" s="56" t="n">
        <v>13.9</v>
      </c>
      <c r="H6484" s="56" t="n">
        <v>0</v>
      </c>
      <c r="I6484" s="56" t="n">
        <v>18.8</v>
      </c>
      <c r="J6484" s="56" t="n">
        <v>0</v>
      </c>
      <c r="K6484" s="56" t="n">
        <v>1017.4</v>
      </c>
      <c r="L6484" s="56" t="n">
        <v>0</v>
      </c>
      <c r="M6484" s="56" t="n">
        <v>65</v>
      </c>
      <c r="N6484" s="56" t="n">
        <v>4.8</v>
      </c>
      <c r="O6484" s="56" t="n">
        <f aca="false">IF(D6484=1,"",E6483)</f>
        <v>23.6</v>
      </c>
      <c r="P6484" s="56" t="n">
        <f aca="false">IF(OR(D6484=1,K6483=""),"",K6483)</f>
        <v>1016.2</v>
      </c>
      <c r="Q6484" s="56" t="n">
        <f aca="false">IF(OR(F6484&lt;&gt;0,AND(I6484&lt;&gt;"",E6484&lt;I6484)),1,0)</f>
        <v>0</v>
      </c>
      <c r="R6484" s="56" t="n">
        <f aca="false">IF(AND(D6484&gt;1,Q6484=0,ISNUMBER(O6484),ISNUMBER(P6484)),IF(Q6483=0,1,0),0)</f>
        <v>1</v>
      </c>
      <c r="S6484" s="56" t="n">
        <f aca="false">R6484*(B6484&gt;=Train_Start)*(B6484&lt;=Train_End)</f>
        <v>0</v>
      </c>
      <c r="T6484" s="84" t="n">
        <f aca="false">IF(AND(ISNUMBER(O6484),ISNUMBER(P6484)),Coef_A+Coef_B1*O6484+Coef_B2*P6484,"")</f>
        <v>23.3014673048624</v>
      </c>
      <c r="U6484" s="84" t="n">
        <f aca="false">IF(AND(R6484=1,ISNUMBER(T6484)),E6484-T6484,"")</f>
        <v>-2.80146730486244</v>
      </c>
      <c r="V6484" s="84" t="n">
        <f aca="false">IF(ISNUMBER(T6484),T6484,-99)</f>
        <v>23.3014673048624</v>
      </c>
      <c r="W6484" s="84" t="n">
        <f aca="false">IF(ISNUMBER(U6484),ABS(U6484),"")</f>
        <v>2.80146730486244</v>
      </c>
    </row>
    <row r="6485" customFormat="false" ht="15" hidden="false" customHeight="false" outlineLevel="0" collapsed="false">
      <c r="A6485" s="57" t="n">
        <v>44374</v>
      </c>
      <c r="B6485" s="56" t="n">
        <v>2021</v>
      </c>
      <c r="C6485" s="56" t="n">
        <v>6</v>
      </c>
      <c r="D6485" s="56" t="n">
        <v>58</v>
      </c>
      <c r="E6485" s="56" t="n">
        <v>20.2</v>
      </c>
      <c r="F6485" s="56" t="n">
        <v>0</v>
      </c>
      <c r="G6485" s="56" t="n">
        <v>15.2</v>
      </c>
      <c r="H6485" s="56" t="n">
        <v>0</v>
      </c>
      <c r="I6485" s="56" t="n">
        <v>17.9</v>
      </c>
      <c r="J6485" s="56" t="n">
        <v>0</v>
      </c>
      <c r="K6485" s="56" t="n">
        <v>1015.5</v>
      </c>
      <c r="L6485" s="56" t="n">
        <v>0</v>
      </c>
      <c r="M6485" s="56" t="n">
        <v>84</v>
      </c>
      <c r="N6485" s="56" t="n">
        <v>0</v>
      </c>
      <c r="O6485" s="56" t="n">
        <f aca="false">IF(D6485=1,"",E6484)</f>
        <v>20.5</v>
      </c>
      <c r="P6485" s="56" t="n">
        <f aca="false">IF(OR(D6485=1,K6484=""),"",K6484)</f>
        <v>1017.4</v>
      </c>
      <c r="Q6485" s="56" t="n">
        <f aca="false">IF(OR(F6485&lt;&gt;0,AND(I6485&lt;&gt;"",E6485&lt;I6485)),1,0)</f>
        <v>0</v>
      </c>
      <c r="R6485" s="56" t="n">
        <f aca="false">IF(AND(D6485&gt;1,Q6485=0,ISNUMBER(O6485),ISNUMBER(P6485)),IF(Q6484=0,1,0),0)</f>
        <v>1</v>
      </c>
      <c r="S6485" s="56" t="n">
        <f aca="false">R6485*(B6485&gt;=Train_Start)*(B6485&lt;=Train_End)</f>
        <v>0</v>
      </c>
      <c r="T6485" s="84" t="n">
        <f aca="false">IF(AND(ISNUMBER(O6485),ISNUMBER(P6485)),Coef_A+Coef_B1*O6485+Coef_B2*P6485,"")</f>
        <v>20.799159679991</v>
      </c>
      <c r="U6485" s="84" t="n">
        <f aca="false">IF(AND(R6485=1,ISNUMBER(T6485)),E6485-T6485,"")</f>
        <v>-0.599159679990986</v>
      </c>
      <c r="V6485" s="84" t="n">
        <f aca="false">IF(ISNUMBER(T6485),T6485,-99)</f>
        <v>20.799159679991</v>
      </c>
      <c r="W6485" s="84" t="n">
        <f aca="false">IF(ISNUMBER(U6485),ABS(U6485),"")</f>
        <v>0.599159679990986</v>
      </c>
    </row>
    <row r="6486" customFormat="false" ht="15" hidden="false" customHeight="false" outlineLevel="0" collapsed="false">
      <c r="A6486" s="57" t="n">
        <v>44375</v>
      </c>
      <c r="B6486" s="56" t="n">
        <v>2021</v>
      </c>
      <c r="C6486" s="56" t="n">
        <v>6</v>
      </c>
      <c r="D6486" s="56" t="n">
        <v>59</v>
      </c>
      <c r="E6486" s="56" t="n">
        <v>19.5</v>
      </c>
      <c r="F6486" s="56" t="n">
        <v>0</v>
      </c>
      <c r="G6486" s="56" t="n">
        <v>15.1</v>
      </c>
      <c r="H6486" s="56" t="n">
        <v>0</v>
      </c>
      <c r="I6486" s="56" t="n">
        <v>17.6</v>
      </c>
      <c r="J6486" s="56" t="n">
        <v>0</v>
      </c>
      <c r="K6486" s="56" t="n">
        <v>1014.4</v>
      </c>
      <c r="L6486" s="56" t="n">
        <v>0</v>
      </c>
      <c r="M6486" s="56" t="n">
        <v>90</v>
      </c>
      <c r="N6486" s="56" t="n">
        <v>1</v>
      </c>
      <c r="O6486" s="56" t="n">
        <f aca="false">IF(D6486=1,"",E6485)</f>
        <v>20.2</v>
      </c>
      <c r="P6486" s="56" t="n">
        <f aca="false">IF(OR(D6486=1,K6485=""),"",K6485)</f>
        <v>1015.5</v>
      </c>
      <c r="Q6486" s="56" t="n">
        <f aca="false">IF(OR(F6486&lt;&gt;0,AND(I6486&lt;&gt;"",E6486&lt;I6486)),1,0)</f>
        <v>0</v>
      </c>
      <c r="R6486" s="56" t="n">
        <f aca="false">IF(AND(D6486&gt;1,Q6486=0,ISNUMBER(O6486),ISNUMBER(P6486)),IF(Q6485=0,1,0),0)</f>
        <v>1</v>
      </c>
      <c r="S6486" s="56" t="n">
        <f aca="false">R6486*(B6486&gt;=Train_Start)*(B6486&lt;=Train_End)</f>
        <v>0</v>
      </c>
      <c r="T6486" s="84" t="n">
        <f aca="false">IF(AND(ISNUMBER(O6486),ISNUMBER(P6486)),Coef_A+Coef_B1*O6486+Coef_B2*P6486,"")</f>
        <v>20.4937551222736</v>
      </c>
      <c r="U6486" s="84" t="n">
        <f aca="false">IF(AND(R6486=1,ISNUMBER(T6486)),E6486-T6486,"")</f>
        <v>-0.993755122273608</v>
      </c>
      <c r="V6486" s="84" t="n">
        <f aca="false">IF(ISNUMBER(T6486),T6486,-99)</f>
        <v>20.4937551222736</v>
      </c>
      <c r="W6486" s="84" t="n">
        <f aca="false">IF(ISNUMBER(U6486),ABS(U6486),"")</f>
        <v>0.993755122273608</v>
      </c>
    </row>
    <row r="6487" customFormat="false" ht="15" hidden="false" customHeight="false" outlineLevel="0" collapsed="false">
      <c r="A6487" s="57" t="n">
        <v>44376</v>
      </c>
      <c r="B6487" s="56" t="n">
        <v>2021</v>
      </c>
      <c r="C6487" s="56" t="n">
        <v>6</v>
      </c>
      <c r="D6487" s="56" t="n">
        <v>60</v>
      </c>
      <c r="E6487" s="56" t="n">
        <v>18.7</v>
      </c>
      <c r="F6487" s="56" t="n">
        <v>0</v>
      </c>
      <c r="G6487" s="56" t="n">
        <v>14.5</v>
      </c>
      <c r="H6487" s="56" t="n">
        <v>0</v>
      </c>
      <c r="I6487" s="56" t="n">
        <v>17</v>
      </c>
      <c r="J6487" s="56" t="n">
        <v>0</v>
      </c>
      <c r="K6487" s="56" t="n">
        <v>1015.4</v>
      </c>
      <c r="L6487" s="56" t="n">
        <v>0</v>
      </c>
      <c r="M6487" s="56" t="n">
        <v>82</v>
      </c>
      <c r="N6487" s="56" t="n">
        <v>0.2</v>
      </c>
      <c r="O6487" s="56" t="n">
        <f aca="false">IF(D6487=1,"",E6486)</f>
        <v>19.5</v>
      </c>
      <c r="P6487" s="56" t="n">
        <f aca="false">IF(OR(D6487=1,K6486=""),"",K6486)</f>
        <v>1014.4</v>
      </c>
      <c r="Q6487" s="56" t="n">
        <f aca="false">IF(OR(F6487&lt;&gt;0,AND(I6487&lt;&gt;"",E6487&lt;I6487)),1,0)</f>
        <v>0</v>
      </c>
      <c r="R6487" s="56" t="n">
        <f aca="false">IF(AND(D6487&gt;1,Q6487=0,ISNUMBER(O6487),ISNUMBER(P6487)),IF(Q6486=0,1,0),0)</f>
        <v>1</v>
      </c>
      <c r="S6487" s="56" t="n">
        <f aca="false">R6487*(B6487&gt;=Train_Start)*(B6487&lt;=Train_End)</f>
        <v>0</v>
      </c>
      <c r="T6487" s="84" t="n">
        <f aca="false">IF(AND(ISNUMBER(O6487),ISNUMBER(P6487)),Coef_A+Coef_B1*O6487+Coef_B2*P6487,"")</f>
        <v>19.8857108030464</v>
      </c>
      <c r="U6487" s="84" t="n">
        <f aca="false">IF(AND(R6487=1,ISNUMBER(T6487)),E6487-T6487,"")</f>
        <v>-1.18571080304636</v>
      </c>
      <c r="V6487" s="84" t="n">
        <f aca="false">IF(ISNUMBER(T6487),T6487,-99)</f>
        <v>19.8857108030464</v>
      </c>
      <c r="W6487" s="84" t="n">
        <f aca="false">IF(ISNUMBER(U6487),ABS(U6487),"")</f>
        <v>1.18571080304636</v>
      </c>
    </row>
    <row r="6488" customFormat="false" ht="15" hidden="false" customHeight="false" outlineLevel="0" collapsed="false">
      <c r="A6488" s="57" t="n">
        <v>44377</v>
      </c>
      <c r="B6488" s="56" t="n">
        <v>2021</v>
      </c>
      <c r="C6488" s="56" t="n">
        <v>6</v>
      </c>
      <c r="D6488" s="56" t="n">
        <v>61</v>
      </c>
      <c r="E6488" s="56" t="n">
        <v>22.4</v>
      </c>
      <c r="F6488" s="56" t="n">
        <v>0</v>
      </c>
      <c r="G6488" s="56" t="n">
        <v>13.3</v>
      </c>
      <c r="H6488" s="56" t="n">
        <v>0</v>
      </c>
      <c r="I6488" s="56" t="n">
        <v>16</v>
      </c>
      <c r="J6488" s="56" t="n">
        <v>0</v>
      </c>
      <c r="K6488" s="56" t="n">
        <v>1017.5</v>
      </c>
      <c r="L6488" s="56" t="n">
        <v>0</v>
      </c>
      <c r="M6488" s="56" t="n">
        <v>74</v>
      </c>
      <c r="N6488" s="56" t="n">
        <v>0.5</v>
      </c>
      <c r="O6488" s="56" t="n">
        <f aca="false">IF(D6488=1,"",E6487)</f>
        <v>18.7</v>
      </c>
      <c r="P6488" s="56" t="n">
        <f aca="false">IF(OR(D6488=1,K6487=""),"",K6487)</f>
        <v>1015.4</v>
      </c>
      <c r="Q6488" s="56" t="n">
        <f aca="false">IF(OR(F6488&lt;&gt;0,AND(I6488&lt;&gt;"",E6488&lt;I6488)),1,0)</f>
        <v>0</v>
      </c>
      <c r="R6488" s="56" t="n">
        <f aca="false">IF(AND(D6488&gt;1,Q6488=0,ISNUMBER(O6488),ISNUMBER(P6488)),IF(Q6487=0,1,0),0)</f>
        <v>1</v>
      </c>
      <c r="S6488" s="56" t="n">
        <f aca="false">R6488*(B6488&gt;=Train_Start)*(B6488&lt;=Train_End)</f>
        <v>0</v>
      </c>
      <c r="T6488" s="84" t="n">
        <f aca="false">IF(AND(ISNUMBER(O6488),ISNUMBER(P6488)),Coef_A+Coef_B1*O6488+Coef_B2*P6488,"")</f>
        <v>19.2616093432462</v>
      </c>
      <c r="U6488" s="84" t="n">
        <f aca="false">IF(AND(R6488=1,ISNUMBER(T6488)),E6488-T6488,"")</f>
        <v>3.13839065675378</v>
      </c>
      <c r="V6488" s="84" t="n">
        <f aca="false">IF(ISNUMBER(T6488),T6488,-99)</f>
        <v>19.2616093432462</v>
      </c>
      <c r="W6488" s="84" t="n">
        <f aca="false">IF(ISNUMBER(U6488),ABS(U6488),"")</f>
        <v>3.13839065675378</v>
      </c>
    </row>
    <row r="6489" customFormat="false" ht="15" hidden="false" customHeight="false" outlineLevel="0" collapsed="false">
      <c r="A6489" s="57" t="n">
        <v>44378</v>
      </c>
      <c r="B6489" s="56" t="n">
        <v>2021</v>
      </c>
      <c r="C6489" s="56" t="n">
        <v>7</v>
      </c>
      <c r="D6489" s="56" t="n">
        <v>62</v>
      </c>
      <c r="E6489" s="56" t="n">
        <v>24.5</v>
      </c>
      <c r="F6489" s="56" t="n">
        <v>0</v>
      </c>
      <c r="G6489" s="56" t="n">
        <v>12.5</v>
      </c>
      <c r="H6489" s="56" t="n">
        <v>0</v>
      </c>
      <c r="I6489" s="56" t="n">
        <v>17.4</v>
      </c>
      <c r="J6489" s="56" t="n">
        <v>0</v>
      </c>
      <c r="K6489" s="56" t="n">
        <v>1017.8</v>
      </c>
      <c r="L6489" s="56" t="n">
        <v>0</v>
      </c>
      <c r="M6489" s="56" t="n">
        <v>70</v>
      </c>
      <c r="N6489" s="56" t="n">
        <v>6.1</v>
      </c>
      <c r="O6489" s="56" t="n">
        <f aca="false">IF(D6489=1,"",E6488)</f>
        <v>22.4</v>
      </c>
      <c r="P6489" s="56" t="n">
        <f aca="false">IF(OR(D6489=1,K6488=""),"",K6488)</f>
        <v>1017.5</v>
      </c>
      <c r="Q6489" s="56" t="n">
        <f aca="false">IF(OR(F6489&lt;&gt;0,AND(I6489&lt;&gt;"",E6489&lt;I6489)),1,0)</f>
        <v>0</v>
      </c>
      <c r="R6489" s="56" t="n">
        <f aca="false">IF(AND(D6489&gt;1,Q6489=0,ISNUMBER(O6489),ISNUMBER(P6489)),IF(Q6488=0,1,0),0)</f>
        <v>1</v>
      </c>
      <c r="S6489" s="56" t="n">
        <f aca="false">R6489*(B6489&gt;=Train_Start)*(B6489&lt;=Train_End)</f>
        <v>0</v>
      </c>
      <c r="T6489" s="84" t="n">
        <f aca="false">IF(AND(ISNUMBER(O6489),ISNUMBER(P6489)),Coef_A+Coef_B1*O6489+Coef_B2*P6489,"")</f>
        <v>22.3590411362354</v>
      </c>
      <c r="U6489" s="84" t="n">
        <f aca="false">IF(AND(R6489=1,ISNUMBER(T6489)),E6489-T6489,"")</f>
        <v>2.14095886376457</v>
      </c>
      <c r="V6489" s="84" t="n">
        <f aca="false">IF(ISNUMBER(T6489),T6489,-99)</f>
        <v>22.3590411362354</v>
      </c>
      <c r="W6489" s="84" t="n">
        <f aca="false">IF(ISNUMBER(U6489),ABS(U6489),"")</f>
        <v>2.14095886376457</v>
      </c>
    </row>
    <row r="6490" customFormat="false" ht="15" hidden="false" customHeight="false" outlineLevel="0" collapsed="false">
      <c r="A6490" s="57" t="n">
        <v>44379</v>
      </c>
      <c r="B6490" s="56" t="n">
        <v>2021</v>
      </c>
      <c r="C6490" s="56" t="n">
        <v>7</v>
      </c>
      <c r="D6490" s="56" t="n">
        <v>63</v>
      </c>
      <c r="E6490" s="56" t="n">
        <v>22.4</v>
      </c>
      <c r="F6490" s="56" t="n">
        <v>0</v>
      </c>
      <c r="G6490" s="56" t="n">
        <v>15.2</v>
      </c>
      <c r="H6490" s="56" t="n">
        <v>0</v>
      </c>
      <c r="I6490" s="56" t="n">
        <v>19.9</v>
      </c>
      <c r="J6490" s="56" t="n">
        <v>0</v>
      </c>
      <c r="K6490" s="56" t="n">
        <v>1015.9</v>
      </c>
      <c r="L6490" s="56" t="n">
        <v>0</v>
      </c>
      <c r="M6490" s="56" t="n">
        <v>73</v>
      </c>
      <c r="N6490" s="56" t="n">
        <v>3.6</v>
      </c>
      <c r="O6490" s="56" t="n">
        <f aca="false">IF(D6490=1,"",E6489)</f>
        <v>24.5</v>
      </c>
      <c r="P6490" s="56" t="n">
        <f aca="false">IF(OR(D6490=1,K6489=""),"",K6489)</f>
        <v>1017.8</v>
      </c>
      <c r="Q6490" s="56" t="n">
        <f aca="false">IF(OR(F6490&lt;&gt;0,AND(I6490&lt;&gt;"",E6490&lt;I6490)),1,0)</f>
        <v>0</v>
      </c>
      <c r="R6490" s="56" t="n">
        <f aca="false">IF(AND(D6490&gt;1,Q6490=0,ISNUMBER(O6490),ISNUMBER(P6490)),IF(Q6489=0,1,0),0)</f>
        <v>1</v>
      </c>
      <c r="S6490" s="56" t="n">
        <f aca="false">R6490*(B6490&gt;=Train_Start)*(B6490&lt;=Train_End)</f>
        <v>0</v>
      </c>
      <c r="T6490" s="84" t="n">
        <f aca="false">IF(AND(ISNUMBER(O6490),ISNUMBER(P6490)),Coef_A+Coef_B1*O6490+Coef_B2*P6490,"")</f>
        <v>24.0890644100152</v>
      </c>
      <c r="U6490" s="84" t="n">
        <f aca="false">IF(AND(R6490=1,ISNUMBER(T6490)),E6490-T6490,"")</f>
        <v>-1.68906441001521</v>
      </c>
      <c r="V6490" s="84" t="n">
        <f aca="false">IF(ISNUMBER(T6490),T6490,-99)</f>
        <v>24.0890644100152</v>
      </c>
      <c r="W6490" s="84" t="n">
        <f aca="false">IF(ISNUMBER(U6490),ABS(U6490),"")</f>
        <v>1.68906441001521</v>
      </c>
    </row>
    <row r="6491" customFormat="false" ht="15" hidden="false" customHeight="false" outlineLevel="0" collapsed="false">
      <c r="A6491" s="57" t="n">
        <v>44380</v>
      </c>
      <c r="B6491" s="56" t="n">
        <v>2021</v>
      </c>
      <c r="C6491" s="56" t="n">
        <v>7</v>
      </c>
      <c r="D6491" s="56" t="n">
        <v>64</v>
      </c>
      <c r="E6491" s="56" t="n">
        <v>21.7</v>
      </c>
      <c r="F6491" s="56" t="n">
        <v>0</v>
      </c>
      <c r="G6491" s="56" t="n">
        <v>16.2</v>
      </c>
      <c r="H6491" s="56" t="n">
        <v>0</v>
      </c>
      <c r="I6491" s="56" t="n">
        <v>19.3</v>
      </c>
      <c r="J6491" s="56" t="n">
        <v>0</v>
      </c>
      <c r="K6491" s="56" t="n">
        <v>1011.8</v>
      </c>
      <c r="L6491" s="56" t="n">
        <v>0</v>
      </c>
      <c r="M6491" s="56" t="n">
        <v>78</v>
      </c>
      <c r="N6491" s="56" t="n">
        <v>2.1</v>
      </c>
      <c r="O6491" s="56" t="n">
        <f aca="false">IF(D6491=1,"",E6490)</f>
        <v>22.4</v>
      </c>
      <c r="P6491" s="56" t="n">
        <f aca="false">IF(OR(D6491=1,K6490=""),"",K6490)</f>
        <v>1015.9</v>
      </c>
      <c r="Q6491" s="56" t="n">
        <f aca="false">IF(OR(F6491&lt;&gt;0,AND(I6491&lt;&gt;"",E6491&lt;I6491)),1,0)</f>
        <v>0</v>
      </c>
      <c r="R6491" s="56" t="n">
        <f aca="false">IF(AND(D6491&gt;1,Q6491=0,ISNUMBER(O6491),ISNUMBER(P6491)),IF(Q6490=0,1,0),0)</f>
        <v>1</v>
      </c>
      <c r="S6491" s="56" t="n">
        <f aca="false">R6491*(B6491&gt;=Train_Start)*(B6491&lt;=Train_End)</f>
        <v>0</v>
      </c>
      <c r="T6491" s="84" t="n">
        <f aca="false">IF(AND(ISNUMBER(O6491),ISNUMBER(P6491)),Coef_A+Coef_B1*O6491+Coef_B2*P6491,"")</f>
        <v>22.3088493048211</v>
      </c>
      <c r="U6491" s="84" t="n">
        <f aca="false">IF(AND(R6491=1,ISNUMBER(T6491)),E6491-T6491,"")</f>
        <v>-0.60884930482105</v>
      </c>
      <c r="V6491" s="84" t="n">
        <f aca="false">IF(ISNUMBER(T6491),T6491,-99)</f>
        <v>22.3088493048211</v>
      </c>
      <c r="W6491" s="84" t="n">
        <f aca="false">IF(ISNUMBER(U6491),ABS(U6491),"")</f>
        <v>0.60884930482105</v>
      </c>
    </row>
    <row r="6492" customFormat="false" ht="15" hidden="false" customHeight="false" outlineLevel="0" collapsed="false">
      <c r="A6492" s="57" t="n">
        <v>44381</v>
      </c>
      <c r="B6492" s="56" t="n">
        <v>2021</v>
      </c>
      <c r="C6492" s="56" t="n">
        <v>7</v>
      </c>
      <c r="D6492" s="56" t="n">
        <v>65</v>
      </c>
      <c r="E6492" s="56" t="n">
        <v>21.7</v>
      </c>
      <c r="F6492" s="56" t="n">
        <v>0</v>
      </c>
      <c r="G6492" s="56" t="n">
        <v>15.6</v>
      </c>
      <c r="H6492" s="56" t="n">
        <v>0</v>
      </c>
      <c r="I6492" s="56" t="n">
        <v>18.6</v>
      </c>
      <c r="J6492" s="56" t="n">
        <v>0</v>
      </c>
      <c r="K6492" s="56" t="n">
        <v>1007.5</v>
      </c>
      <c r="L6492" s="56" t="n">
        <v>0</v>
      </c>
      <c r="M6492" s="56" t="n">
        <v>84</v>
      </c>
      <c r="N6492" s="56" t="n">
        <v>1.2</v>
      </c>
      <c r="O6492" s="56" t="n">
        <f aca="false">IF(D6492=1,"",E6491)</f>
        <v>21.7</v>
      </c>
      <c r="P6492" s="56" t="n">
        <f aca="false">IF(OR(D6492=1,K6491=""),"",K6491)</f>
        <v>1011.8</v>
      </c>
      <c r="Q6492" s="56" t="n">
        <f aca="false">IF(OR(F6492&lt;&gt;0,AND(I6492&lt;&gt;"",E6492&lt;I6492)),1,0)</f>
        <v>0</v>
      </c>
      <c r="R6492" s="56" t="n">
        <f aca="false">IF(AND(D6492&gt;1,Q6492=0,ISNUMBER(O6492),ISNUMBER(P6492)),IF(Q6491=0,1,0),0)</f>
        <v>1</v>
      </c>
      <c r="S6492" s="56" t="n">
        <f aca="false">R6492*(B6492&gt;=Train_Start)*(B6492&lt;=Train_End)</f>
        <v>0</v>
      </c>
      <c r="T6492" s="84" t="n">
        <f aca="false">IF(AND(ISNUMBER(O6492),ISNUMBER(P6492)),Coef_A+Coef_B1*O6492+Coef_B2*P6492,"")</f>
        <v>21.6066953016918</v>
      </c>
      <c r="U6492" s="84" t="n">
        <f aca="false">IF(AND(R6492=1,ISNUMBER(T6492)),E6492-T6492,"")</f>
        <v>0.0933046983081667</v>
      </c>
      <c r="V6492" s="84" t="n">
        <f aca="false">IF(ISNUMBER(T6492),T6492,-99)</f>
        <v>21.6066953016918</v>
      </c>
      <c r="W6492" s="84" t="n">
        <f aca="false">IF(ISNUMBER(U6492),ABS(U6492),"")</f>
        <v>0.0933046983081667</v>
      </c>
    </row>
    <row r="6493" customFormat="false" ht="15" hidden="false" customHeight="false" outlineLevel="0" collapsed="false">
      <c r="A6493" s="57" t="n">
        <v>44382</v>
      </c>
      <c r="B6493" s="56" t="n">
        <v>2021</v>
      </c>
      <c r="C6493" s="56" t="n">
        <v>7</v>
      </c>
      <c r="D6493" s="56" t="n">
        <v>66</v>
      </c>
      <c r="E6493" s="56" t="n">
        <v>20.8</v>
      </c>
      <c r="F6493" s="56" t="n">
        <v>0</v>
      </c>
      <c r="G6493" s="56" t="n">
        <v>13.7</v>
      </c>
      <c r="H6493" s="56" t="n">
        <v>0</v>
      </c>
      <c r="I6493" s="56" t="n">
        <v>17.7</v>
      </c>
      <c r="J6493" s="56" t="n">
        <v>0</v>
      </c>
      <c r="K6493" s="56" t="n">
        <v>1004.5</v>
      </c>
      <c r="L6493" s="56" t="n">
        <v>0</v>
      </c>
      <c r="M6493" s="56" t="n">
        <v>78</v>
      </c>
      <c r="N6493" s="56" t="n">
        <v>5</v>
      </c>
      <c r="O6493" s="56" t="n">
        <f aca="false">IF(D6493=1,"",E6492)</f>
        <v>21.7</v>
      </c>
      <c r="P6493" s="56" t="n">
        <f aca="false">IF(OR(D6493=1,K6492=""),"",K6492)</f>
        <v>1007.5</v>
      </c>
      <c r="Q6493" s="56" t="n">
        <f aca="false">IF(OR(F6493&lt;&gt;0,AND(I6493&lt;&gt;"",E6493&lt;I6493)),1,0)</f>
        <v>0</v>
      </c>
      <c r="R6493" s="56" t="n">
        <f aca="false">IF(AND(D6493&gt;1,Q6493=0,ISNUMBER(O6493),ISNUMBER(P6493)),IF(Q6492=0,1,0),0)</f>
        <v>1</v>
      </c>
      <c r="S6493" s="56" t="n">
        <f aca="false">R6493*(B6493&gt;=Train_Start)*(B6493&lt;=Train_End)</f>
        <v>0</v>
      </c>
      <c r="T6493" s="84" t="n">
        <f aca="false">IF(AND(ISNUMBER(O6493),ISNUMBER(P6493)),Coef_A+Coef_B1*O6493+Coef_B2*P6493,"")</f>
        <v>21.4718047547657</v>
      </c>
      <c r="U6493" s="84" t="n">
        <f aca="false">IF(AND(R6493=1,ISNUMBER(T6493)),E6493-T6493,"")</f>
        <v>-0.671804754765681</v>
      </c>
      <c r="V6493" s="84" t="n">
        <f aca="false">IF(ISNUMBER(T6493),T6493,-99)</f>
        <v>21.4718047547657</v>
      </c>
      <c r="W6493" s="84" t="n">
        <f aca="false">IF(ISNUMBER(U6493),ABS(U6493),"")</f>
        <v>0.671804754765681</v>
      </c>
    </row>
    <row r="6494" customFormat="false" ht="15" hidden="false" customHeight="false" outlineLevel="0" collapsed="false">
      <c r="A6494" s="57" t="n">
        <v>44383</v>
      </c>
      <c r="B6494" s="56" t="n">
        <v>2021</v>
      </c>
      <c r="C6494" s="56" t="n">
        <v>7</v>
      </c>
      <c r="D6494" s="56" t="n">
        <v>67</v>
      </c>
      <c r="E6494" s="56" t="n">
        <v>21.3</v>
      </c>
      <c r="F6494" s="56" t="n">
        <v>0</v>
      </c>
      <c r="G6494" s="56" t="n">
        <v>13.1</v>
      </c>
      <c r="H6494" s="56" t="n">
        <v>0</v>
      </c>
      <c r="I6494" s="56" t="n">
        <v>16.9</v>
      </c>
      <c r="J6494" s="56" t="n">
        <v>0</v>
      </c>
      <c r="K6494" s="56" t="n">
        <v>998.6</v>
      </c>
      <c r="L6494" s="56" t="n">
        <v>0</v>
      </c>
      <c r="M6494" s="56" t="n">
        <v>84</v>
      </c>
      <c r="N6494" s="56" t="n">
        <v>2.6</v>
      </c>
      <c r="O6494" s="56" t="n">
        <f aca="false">IF(D6494=1,"",E6493)</f>
        <v>20.8</v>
      </c>
      <c r="P6494" s="56" t="n">
        <f aca="false">IF(OR(D6494=1,K6493=""),"",K6493)</f>
        <v>1004.5</v>
      </c>
      <c r="Q6494" s="56" t="n">
        <f aca="false">IF(OR(F6494&lt;&gt;0,AND(I6494&lt;&gt;"",E6494&lt;I6494)),1,0)</f>
        <v>0</v>
      </c>
      <c r="R6494" s="56" t="n">
        <f aca="false">IF(AND(D6494&gt;1,Q6494=0,ISNUMBER(O6494),ISNUMBER(P6494)),IF(Q6493=0,1,0),0)</f>
        <v>1</v>
      </c>
      <c r="S6494" s="56" t="n">
        <f aca="false">R6494*(B6494&gt;=Train_Start)*(B6494&lt;=Train_End)</f>
        <v>0</v>
      </c>
      <c r="T6494" s="84" t="n">
        <f aca="false">IF(AND(ISNUMBER(O6494),ISNUMBER(P6494)),Coef_A+Coef_B1*O6494+Coef_B2*P6494,"")</f>
        <v>20.6402897971253</v>
      </c>
      <c r="U6494" s="84" t="n">
        <f aca="false">IF(AND(R6494=1,ISNUMBER(T6494)),E6494-T6494,"")</f>
        <v>0.659710202874681</v>
      </c>
      <c r="V6494" s="84" t="n">
        <f aca="false">IF(ISNUMBER(T6494),T6494,-99)</f>
        <v>20.6402897971253</v>
      </c>
      <c r="W6494" s="84" t="n">
        <f aca="false">IF(ISNUMBER(U6494),ABS(U6494),"")</f>
        <v>0.659710202874681</v>
      </c>
    </row>
    <row r="6495" customFormat="false" ht="15" hidden="false" customHeight="false" outlineLevel="0" collapsed="false">
      <c r="A6495" s="57" t="n">
        <v>44384</v>
      </c>
      <c r="B6495" s="56" t="n">
        <v>2021</v>
      </c>
      <c r="C6495" s="56" t="n">
        <v>7</v>
      </c>
      <c r="D6495" s="56" t="n">
        <v>68</v>
      </c>
      <c r="E6495" s="56" t="n">
        <v>21.7</v>
      </c>
      <c r="F6495" s="56" t="n">
        <v>0</v>
      </c>
      <c r="G6495" s="56" t="n">
        <v>13.1</v>
      </c>
      <c r="H6495" s="56" t="n">
        <v>0</v>
      </c>
      <c r="I6495" s="56" t="n">
        <v>17.2</v>
      </c>
      <c r="J6495" s="56" t="n">
        <v>0</v>
      </c>
      <c r="K6495" s="56" t="n">
        <v>1011.6</v>
      </c>
      <c r="L6495" s="56" t="n">
        <v>0</v>
      </c>
      <c r="M6495" s="56" t="n">
        <v>77</v>
      </c>
      <c r="N6495" s="56" t="n">
        <v>2.7</v>
      </c>
      <c r="O6495" s="56" t="n">
        <f aca="false">IF(D6495=1,"",E6494)</f>
        <v>21.3</v>
      </c>
      <c r="P6495" s="56" t="n">
        <f aca="false">IF(OR(D6495=1,K6494=""),"",K6494)</f>
        <v>998.6</v>
      </c>
      <c r="Q6495" s="56" t="n">
        <f aca="false">IF(OR(F6495&lt;&gt;0,AND(I6495&lt;&gt;"",E6495&lt;I6495)),1,0)</f>
        <v>0</v>
      </c>
      <c r="R6495" s="56" t="n">
        <f aca="false">IF(AND(D6495&gt;1,Q6495=0,ISNUMBER(O6495),ISNUMBER(P6495)),IF(Q6494=0,1,0),0)</f>
        <v>1</v>
      </c>
      <c r="S6495" s="56" t="n">
        <f aca="false">R6495*(B6495&gt;=Train_Start)*(B6495&lt;=Train_End)</f>
        <v>0</v>
      </c>
      <c r="T6495" s="84" t="n">
        <f aca="false">IF(AND(ISNUMBER(O6495),ISNUMBER(P6495)),Coef_A+Coef_B1*O6495+Coef_B2*P6495,"")</f>
        <v>20.8648770153061</v>
      </c>
      <c r="U6495" s="84" t="n">
        <f aca="false">IF(AND(R6495=1,ISNUMBER(T6495)),E6495-T6495,"")</f>
        <v>0.835122984693886</v>
      </c>
      <c r="V6495" s="84" t="n">
        <f aca="false">IF(ISNUMBER(T6495),T6495,-99)</f>
        <v>20.8648770153061</v>
      </c>
      <c r="W6495" s="84" t="n">
        <f aca="false">IF(ISNUMBER(U6495),ABS(U6495),"")</f>
        <v>0.835122984693886</v>
      </c>
    </row>
    <row r="6496" customFormat="false" ht="15" hidden="false" customHeight="false" outlineLevel="0" collapsed="false">
      <c r="A6496" s="57" t="n">
        <v>44385</v>
      </c>
      <c r="B6496" s="56" t="n">
        <v>2021</v>
      </c>
      <c r="C6496" s="56" t="n">
        <v>7</v>
      </c>
      <c r="D6496" s="56" t="n">
        <v>69</v>
      </c>
      <c r="E6496" s="56" t="n">
        <v>24.7</v>
      </c>
      <c r="F6496" s="56" t="n">
        <v>0</v>
      </c>
      <c r="G6496" s="56" t="n">
        <v>14.3</v>
      </c>
      <c r="H6496" s="56" t="n">
        <v>0</v>
      </c>
      <c r="I6496" s="56" t="n">
        <v>18</v>
      </c>
      <c r="J6496" s="56" t="n">
        <v>0</v>
      </c>
      <c r="K6496" s="56" t="n">
        <v>1019.5</v>
      </c>
      <c r="L6496" s="56" t="n">
        <v>0</v>
      </c>
      <c r="M6496" s="56" t="n">
        <v>80</v>
      </c>
      <c r="N6496" s="56" t="n">
        <v>3.4</v>
      </c>
      <c r="O6496" s="56" t="n">
        <f aca="false">IF(D6496=1,"",E6495)</f>
        <v>21.7</v>
      </c>
      <c r="P6496" s="56" t="n">
        <f aca="false">IF(OR(D6496=1,K6495=""),"",K6495)</f>
        <v>1011.6</v>
      </c>
      <c r="Q6496" s="56" t="n">
        <f aca="false">IF(OR(F6496&lt;&gt;0,AND(I6496&lt;&gt;"",E6496&lt;I6496)),1,0)</f>
        <v>0</v>
      </c>
      <c r="R6496" s="56" t="n">
        <f aca="false">IF(AND(D6496&gt;1,Q6496=0,ISNUMBER(O6496),ISNUMBER(P6496)),IF(Q6495=0,1,0),0)</f>
        <v>1</v>
      </c>
      <c r="S6496" s="56" t="n">
        <f aca="false">R6496*(B6496&gt;=Train_Start)*(B6496&lt;=Train_End)</f>
        <v>0</v>
      </c>
      <c r="T6496" s="84" t="n">
        <f aca="false">IF(AND(ISNUMBER(O6496),ISNUMBER(P6496)),Coef_A+Coef_B1*O6496+Coef_B2*P6496,"")</f>
        <v>21.600421322765</v>
      </c>
      <c r="U6496" s="84" t="n">
        <f aca="false">IF(AND(R6496=1,ISNUMBER(T6496)),E6496-T6496,"")</f>
        <v>3.09957867723496</v>
      </c>
      <c r="V6496" s="84" t="n">
        <f aca="false">IF(ISNUMBER(T6496),T6496,-99)</f>
        <v>21.600421322765</v>
      </c>
      <c r="W6496" s="84" t="n">
        <f aca="false">IF(ISNUMBER(U6496),ABS(U6496),"")</f>
        <v>3.09957867723496</v>
      </c>
    </row>
    <row r="6497" customFormat="false" ht="15" hidden="false" customHeight="false" outlineLevel="0" collapsed="false">
      <c r="A6497" s="57" t="n">
        <v>44386</v>
      </c>
      <c r="B6497" s="56" t="n">
        <v>2021</v>
      </c>
      <c r="C6497" s="56" t="n">
        <v>7</v>
      </c>
      <c r="D6497" s="56" t="n">
        <v>70</v>
      </c>
      <c r="E6497" s="56" t="n">
        <v>19.5</v>
      </c>
      <c r="F6497" s="56" t="n">
        <v>1</v>
      </c>
      <c r="G6497" s="56" t="n">
        <v>15.2</v>
      </c>
      <c r="H6497" s="56" t="n">
        <v>0</v>
      </c>
      <c r="I6497" s="56" t="n">
        <v>19.9</v>
      </c>
      <c r="J6497" s="56" t="n">
        <v>1</v>
      </c>
      <c r="K6497" s="56" t="n">
        <v>1020.5</v>
      </c>
      <c r="L6497" s="56" t="n">
        <v>0</v>
      </c>
      <c r="M6497" s="56" t="n">
        <v>72</v>
      </c>
      <c r="N6497" s="56" t="n">
        <v>3.6</v>
      </c>
      <c r="O6497" s="56" t="n">
        <f aca="false">IF(D6497=1,"",E6496)</f>
        <v>24.7</v>
      </c>
      <c r="P6497" s="56" t="n">
        <f aca="false">IF(OR(D6497=1,K6496=""),"",K6496)</f>
        <v>1019.5</v>
      </c>
      <c r="Q6497" s="56" t="n">
        <f aca="false">IF(OR(F6497&lt;&gt;0,AND(I6497&lt;&gt;"",E6497&lt;I6497)),1,0)</f>
        <v>1</v>
      </c>
      <c r="R6497" s="56" t="n">
        <f aca="false">IF(AND(D6497&gt;1,Q6497=0,ISNUMBER(O6497),ISNUMBER(P6497)),IF(Q6496=0,1,0),0)</f>
        <v>0</v>
      </c>
      <c r="S6497" s="56" t="n">
        <f aca="false">R6497*(B6497&gt;=Train_Start)*(B6497&lt;=Train_End)</f>
        <v>0</v>
      </c>
      <c r="T6497" s="84" t="n">
        <f aca="false">IF(AND(ISNUMBER(O6497),ISNUMBER(P6497)),Coef_A+Coef_B1*O6497+Coef_B2*P6497,"")</f>
        <v>24.3062610695015</v>
      </c>
      <c r="U6497" s="84" t="str">
        <f aca="false">IF(AND(R6497=1,ISNUMBER(T6497)),E6497-T6497,"")</f>
        <v/>
      </c>
      <c r="V6497" s="84" t="n">
        <f aca="false">IF(ISNUMBER(T6497),T6497,-99)</f>
        <v>24.3062610695015</v>
      </c>
      <c r="W6497" s="84" t="str">
        <f aca="false">IF(ISNUMBER(U6497),ABS(U6497),"")</f>
        <v/>
      </c>
    </row>
    <row r="6498" customFormat="false" ht="15" hidden="false" customHeight="false" outlineLevel="0" collapsed="false">
      <c r="A6498" s="57" t="n">
        <v>44387</v>
      </c>
      <c r="B6498" s="56" t="n">
        <v>2021</v>
      </c>
      <c r="C6498" s="56" t="n">
        <v>7</v>
      </c>
      <c r="D6498" s="56" t="n">
        <v>71</v>
      </c>
      <c r="E6498" s="56" t="n">
        <v>21.5</v>
      </c>
      <c r="F6498" s="56" t="n">
        <v>0</v>
      </c>
      <c r="G6498" s="56" t="n">
        <v>13.6</v>
      </c>
      <c r="H6498" s="56" t="n">
        <v>0</v>
      </c>
      <c r="I6498" s="56" t="n">
        <v>16.6</v>
      </c>
      <c r="J6498" s="56" t="n">
        <v>0</v>
      </c>
      <c r="K6498" s="56" t="n">
        <v>1016.6</v>
      </c>
      <c r="L6498" s="56" t="n">
        <v>0</v>
      </c>
      <c r="M6498" s="56" t="n">
        <v>76</v>
      </c>
      <c r="N6498" s="56" t="n">
        <v>0.6</v>
      </c>
      <c r="O6498" s="56" t="n">
        <f aca="false">IF(D6498=1,"",E6497)</f>
        <v>19.5</v>
      </c>
      <c r="P6498" s="56" t="n">
        <f aca="false">IF(OR(D6498=1,K6497=""),"",K6497)</f>
        <v>1020.5</v>
      </c>
      <c r="Q6498" s="56" t="n">
        <f aca="false">IF(OR(F6498&lt;&gt;0,AND(I6498&lt;&gt;"",E6498&lt;I6498)),1,0)</f>
        <v>0</v>
      </c>
      <c r="R6498" s="56" t="n">
        <f aca="false">IF(AND(D6498&gt;1,Q6498=0,ISNUMBER(O6498),ISNUMBER(P6498)),IF(Q6497=0,1,0),0)</f>
        <v>0</v>
      </c>
      <c r="S6498" s="56" t="n">
        <f aca="false">R6498*(B6498&gt;=Train_Start)*(B6498&lt;=Train_End)</f>
        <v>0</v>
      </c>
      <c r="T6498" s="84" t="n">
        <f aca="false">IF(AND(ISNUMBER(O6498),ISNUMBER(P6498)),Coef_A+Coef_B1*O6498+Coef_B2*P6498,"")</f>
        <v>20.0770671603137</v>
      </c>
      <c r="U6498" s="84" t="str">
        <f aca="false">IF(AND(R6498=1,ISNUMBER(T6498)),E6498-T6498,"")</f>
        <v/>
      </c>
      <c r="V6498" s="84" t="n">
        <f aca="false">IF(ISNUMBER(T6498),T6498,-99)</f>
        <v>20.0770671603137</v>
      </c>
      <c r="W6498" s="84" t="str">
        <f aca="false">IF(ISNUMBER(U6498),ABS(U6498),"")</f>
        <v/>
      </c>
    </row>
    <row r="6499" customFormat="false" ht="15" hidden="false" customHeight="false" outlineLevel="0" collapsed="false">
      <c r="A6499" s="57" t="n">
        <v>44388</v>
      </c>
      <c r="B6499" s="56" t="n">
        <v>2021</v>
      </c>
      <c r="C6499" s="56" t="n">
        <v>7</v>
      </c>
      <c r="D6499" s="56" t="n">
        <v>72</v>
      </c>
      <c r="E6499" s="56" t="n">
        <v>22</v>
      </c>
      <c r="F6499" s="56" t="n">
        <v>0</v>
      </c>
      <c r="G6499" s="56" t="n">
        <v>11.6</v>
      </c>
      <c r="H6499" s="56" t="n">
        <v>0</v>
      </c>
      <c r="I6499" s="56" t="n">
        <v>16.6</v>
      </c>
      <c r="J6499" s="56" t="n">
        <v>0</v>
      </c>
      <c r="K6499" s="56" t="n">
        <v>1015.2</v>
      </c>
      <c r="L6499" s="56" t="n">
        <v>0</v>
      </c>
      <c r="M6499" s="56" t="n">
        <v>80</v>
      </c>
      <c r="N6499" s="56" t="n">
        <v>4.1</v>
      </c>
      <c r="O6499" s="56" t="n">
        <f aca="false">IF(D6499=1,"",E6498)</f>
        <v>21.5</v>
      </c>
      <c r="P6499" s="56" t="n">
        <f aca="false">IF(OR(D6499=1,K6498=""),"",K6498)</f>
        <v>1016.6</v>
      </c>
      <c r="Q6499" s="56" t="n">
        <f aca="false">IF(OR(F6499&lt;&gt;0,AND(I6499&lt;&gt;"",E6499&lt;I6499)),1,0)</f>
        <v>0</v>
      </c>
      <c r="R6499" s="56" t="n">
        <f aca="false">IF(AND(D6499&gt;1,Q6499=0,ISNUMBER(O6499),ISNUMBER(P6499)),IF(Q6498=0,1,0),0)</f>
        <v>1</v>
      </c>
      <c r="S6499" s="56" t="n">
        <f aca="false">R6499*(B6499&gt;=Train_Start)*(B6499&lt;=Train_End)</f>
        <v>0</v>
      </c>
      <c r="T6499" s="84" t="n">
        <f aca="false">IF(AND(ISNUMBER(O6499),ISNUMBER(P6499)),Coef_A+Coef_B1*O6499+Coef_B2*P6499,"")</f>
        <v>21.5934029573265</v>
      </c>
      <c r="U6499" s="84" t="n">
        <f aca="false">IF(AND(R6499=1,ISNUMBER(T6499)),E6499-T6499,"")</f>
        <v>0.406597042673546</v>
      </c>
      <c r="V6499" s="84" t="n">
        <f aca="false">IF(ISNUMBER(T6499),T6499,-99)</f>
        <v>21.5934029573265</v>
      </c>
      <c r="W6499" s="84" t="n">
        <f aca="false">IF(ISNUMBER(U6499),ABS(U6499),"")</f>
        <v>0.406597042673546</v>
      </c>
    </row>
    <row r="6500" customFormat="false" ht="15" hidden="false" customHeight="false" outlineLevel="0" collapsed="false">
      <c r="A6500" s="57" t="n">
        <v>44389</v>
      </c>
      <c r="B6500" s="56" t="n">
        <v>2021</v>
      </c>
      <c r="C6500" s="56" t="n">
        <v>7</v>
      </c>
      <c r="D6500" s="56" t="n">
        <v>73</v>
      </c>
      <c r="E6500" s="56" t="n">
        <v>22.5</v>
      </c>
      <c r="F6500" s="56" t="n">
        <v>0</v>
      </c>
      <c r="G6500" s="56" t="n">
        <v>14</v>
      </c>
      <c r="H6500" s="56" t="n">
        <v>0</v>
      </c>
      <c r="I6500" s="56" t="n">
        <v>18</v>
      </c>
      <c r="J6500" s="56" t="n">
        <v>0</v>
      </c>
      <c r="K6500" s="56" t="n">
        <v>1011.2</v>
      </c>
      <c r="L6500" s="56" t="n">
        <v>0</v>
      </c>
      <c r="M6500" s="56" t="n">
        <v>83</v>
      </c>
      <c r="N6500" s="56" t="n">
        <v>1.3</v>
      </c>
      <c r="O6500" s="56" t="n">
        <f aca="false">IF(D6500=1,"",E6499)</f>
        <v>22</v>
      </c>
      <c r="P6500" s="56" t="n">
        <f aca="false">IF(OR(D6500=1,K6499=""),"",K6499)</f>
        <v>1015.2</v>
      </c>
      <c r="Q6500" s="56" t="n">
        <f aca="false">IF(OR(F6500&lt;&gt;0,AND(I6500&lt;&gt;"",E6500&lt;I6500)),1,0)</f>
        <v>0</v>
      </c>
      <c r="R6500" s="56" t="n">
        <f aca="false">IF(AND(D6500&gt;1,Q6500=0,ISNUMBER(O6500),ISNUMBER(P6500)),IF(Q6499=0,1,0),0)</f>
        <v>1</v>
      </c>
      <c r="S6500" s="56" t="n">
        <f aca="false">R6500*(B6500&gt;=Train_Start)*(B6500&lt;=Train_End)</f>
        <v>0</v>
      </c>
      <c r="T6500" s="84" t="n">
        <f aca="false">IF(AND(ISNUMBER(O6500),ISNUMBER(P6500)),Coef_A+Coef_B1*O6500+Coef_B2*P6500,"")</f>
        <v>21.9591547013602</v>
      </c>
      <c r="U6500" s="84" t="n">
        <f aca="false">IF(AND(R6500=1,ISNUMBER(T6500)),E6500-T6500,"")</f>
        <v>0.540845298639802</v>
      </c>
      <c r="V6500" s="84" t="n">
        <f aca="false">IF(ISNUMBER(T6500),T6500,-99)</f>
        <v>21.9591547013602</v>
      </c>
      <c r="W6500" s="84" t="n">
        <f aca="false">IF(ISNUMBER(U6500),ABS(U6500),"")</f>
        <v>0.540845298639802</v>
      </c>
    </row>
    <row r="6501" customFormat="false" ht="15" hidden="false" customHeight="false" outlineLevel="0" collapsed="false">
      <c r="A6501" s="57" t="n">
        <v>44390</v>
      </c>
      <c r="B6501" s="56" t="n">
        <v>2021</v>
      </c>
      <c r="C6501" s="56" t="n">
        <v>7</v>
      </c>
      <c r="D6501" s="56" t="n">
        <v>74</v>
      </c>
      <c r="E6501" s="56" t="n">
        <v>25.2</v>
      </c>
      <c r="F6501" s="56" t="n">
        <v>0</v>
      </c>
      <c r="G6501" s="56" t="n">
        <v>14.9</v>
      </c>
      <c r="H6501" s="56" t="n">
        <v>0</v>
      </c>
      <c r="I6501" s="56" t="n">
        <v>18.7</v>
      </c>
      <c r="J6501" s="56" t="n">
        <v>0</v>
      </c>
      <c r="K6501" s="56" t="n">
        <v>1014.8</v>
      </c>
      <c r="L6501" s="56" t="n">
        <v>0</v>
      </c>
      <c r="M6501" s="56" t="n">
        <v>76</v>
      </c>
      <c r="N6501" s="56" t="n">
        <v>3.1</v>
      </c>
      <c r="O6501" s="56" t="n">
        <f aca="false">IF(D6501=1,"",E6500)</f>
        <v>22.5</v>
      </c>
      <c r="P6501" s="56" t="n">
        <f aca="false">IF(OR(D6501=1,K6500=""),"",K6500)</f>
        <v>1011.2</v>
      </c>
      <c r="Q6501" s="56" t="n">
        <f aca="false">IF(OR(F6501&lt;&gt;0,AND(I6501&lt;&gt;"",E6501&lt;I6501)),1,0)</f>
        <v>0</v>
      </c>
      <c r="R6501" s="56" t="n">
        <f aca="false">IF(AND(D6501&gt;1,Q6501=0,ISNUMBER(O6501),ISNUMBER(P6501)),IF(Q6500=0,1,0),0)</f>
        <v>1</v>
      </c>
      <c r="S6501" s="56" t="n">
        <f aca="false">R6501*(B6501&gt;=Train_Start)*(B6501&lt;=Train_End)</f>
        <v>0</v>
      </c>
      <c r="T6501" s="84" t="n">
        <f aca="false">IF(AND(ISNUMBER(O6501),ISNUMBER(P6501)),Coef_A+Coef_B1*O6501+Coef_B2*P6501,"")</f>
        <v>22.2433447193456</v>
      </c>
      <c r="U6501" s="84" t="n">
        <f aca="false">IF(AND(R6501=1,ISNUMBER(T6501)),E6501-T6501,"")</f>
        <v>2.95665528065443</v>
      </c>
      <c r="V6501" s="84" t="n">
        <f aca="false">IF(ISNUMBER(T6501),T6501,-99)</f>
        <v>22.2433447193456</v>
      </c>
      <c r="W6501" s="84" t="n">
        <f aca="false">IF(ISNUMBER(U6501),ABS(U6501),"")</f>
        <v>2.95665528065443</v>
      </c>
    </row>
    <row r="6502" customFormat="false" ht="15" hidden="false" customHeight="false" outlineLevel="0" collapsed="false">
      <c r="A6502" s="57" t="n">
        <v>44391</v>
      </c>
      <c r="B6502" s="56" t="n">
        <v>2021</v>
      </c>
      <c r="C6502" s="56" t="n">
        <v>7</v>
      </c>
      <c r="D6502" s="56" t="n">
        <v>75</v>
      </c>
      <c r="E6502" s="56" t="n">
        <v>22.1</v>
      </c>
      <c r="F6502" s="56" t="n">
        <v>0</v>
      </c>
      <c r="G6502" s="56" t="n">
        <v>14.9</v>
      </c>
      <c r="H6502" s="56" t="n">
        <v>0</v>
      </c>
      <c r="I6502" s="56" t="n">
        <v>20.1</v>
      </c>
      <c r="J6502" s="56" t="n">
        <v>0</v>
      </c>
      <c r="K6502" s="56" t="n">
        <v>1018.1</v>
      </c>
      <c r="L6502" s="56" t="n">
        <v>0</v>
      </c>
      <c r="M6502" s="56" t="n">
        <v>67</v>
      </c>
      <c r="N6502" s="56" t="n">
        <v>9.5</v>
      </c>
      <c r="O6502" s="56" t="n">
        <f aca="false">IF(D6502=1,"",E6501)</f>
        <v>25.2</v>
      </c>
      <c r="P6502" s="56" t="n">
        <f aca="false">IF(OR(D6502=1,K6501=""),"",K6501)</f>
        <v>1014.8</v>
      </c>
      <c r="Q6502" s="56" t="n">
        <f aca="false">IF(OR(F6502&lt;&gt;0,AND(I6502&lt;&gt;"",E6502&lt;I6502)),1,0)</f>
        <v>0</v>
      </c>
      <c r="R6502" s="56" t="n">
        <f aca="false">IF(AND(D6502&gt;1,Q6502=0,ISNUMBER(O6502),ISNUMBER(P6502)),IF(Q6501=0,1,0),0)</f>
        <v>1</v>
      </c>
      <c r="S6502" s="56" t="n">
        <f aca="false">R6502*(B6502&gt;=Train_Start)*(B6502&lt;=Train_End)</f>
        <v>0</v>
      </c>
      <c r="T6502" s="84" t="n">
        <f aca="false">IF(AND(ISNUMBER(O6502),ISNUMBER(P6502)),Coef_A+Coef_B1*O6502+Coef_B2*P6502,"")</f>
        <v>24.5684921612431</v>
      </c>
      <c r="U6502" s="84" t="n">
        <f aca="false">IF(AND(R6502=1,ISNUMBER(T6502)),E6502-T6502,"")</f>
        <v>-2.4684921612431</v>
      </c>
      <c r="V6502" s="84" t="n">
        <f aca="false">IF(ISNUMBER(T6502),T6502,-99)</f>
        <v>24.5684921612431</v>
      </c>
      <c r="W6502" s="84" t="n">
        <f aca="false">IF(ISNUMBER(U6502),ABS(U6502),"")</f>
        <v>2.4684921612431</v>
      </c>
    </row>
    <row r="6503" customFormat="false" ht="15" hidden="false" customHeight="false" outlineLevel="0" collapsed="false">
      <c r="A6503" s="57" t="n">
        <v>44392</v>
      </c>
      <c r="B6503" s="56" t="n">
        <v>2021</v>
      </c>
      <c r="C6503" s="56" t="n">
        <v>7</v>
      </c>
      <c r="D6503" s="56" t="n">
        <v>76</v>
      </c>
      <c r="E6503" s="56" t="n">
        <v>26.8</v>
      </c>
      <c r="F6503" s="56" t="n">
        <v>0</v>
      </c>
      <c r="G6503" s="56" t="n">
        <v>14.1</v>
      </c>
      <c r="H6503" s="56" t="n">
        <v>0</v>
      </c>
      <c r="I6503" s="56" t="n">
        <v>18.1</v>
      </c>
      <c r="J6503" s="56" t="n">
        <v>0</v>
      </c>
      <c r="K6503" s="56" t="n">
        <v>1022.5</v>
      </c>
      <c r="L6503" s="56" t="n">
        <v>0</v>
      </c>
      <c r="M6503" s="56" t="n">
        <v>72</v>
      </c>
      <c r="N6503" s="56" t="n">
        <v>2.9</v>
      </c>
      <c r="O6503" s="56" t="n">
        <f aca="false">IF(D6503=1,"",E6502)</f>
        <v>22.1</v>
      </c>
      <c r="P6503" s="56" t="n">
        <f aca="false">IF(OR(D6503=1,K6502=""),"",K6502)</f>
        <v>1018.1</v>
      </c>
      <c r="Q6503" s="56" t="n">
        <f aca="false">IF(OR(F6503&lt;&gt;0,AND(I6503&lt;&gt;"",E6503&lt;I6503)),1,0)</f>
        <v>0</v>
      </c>
      <c r="R6503" s="56" t="n">
        <f aca="false">IF(AND(D6503&gt;1,Q6503=0,ISNUMBER(O6503),ISNUMBER(P6503)),IF(Q6502=0,1,0),0)</f>
        <v>1</v>
      </c>
      <c r="S6503" s="56" t="n">
        <f aca="false">R6503*(B6503&gt;=Train_Start)*(B6503&lt;=Train_End)</f>
        <v>0</v>
      </c>
      <c r="T6503" s="84" t="n">
        <f aca="false">IF(AND(ISNUMBER(O6503),ISNUMBER(P6503)),Coef_A+Coef_B1*O6503+Coef_B2*P6503,"")</f>
        <v>22.132061315103</v>
      </c>
      <c r="U6503" s="84" t="n">
        <f aca="false">IF(AND(R6503=1,ISNUMBER(T6503)),E6503-T6503,"")</f>
        <v>4.66793868489697</v>
      </c>
      <c r="V6503" s="84" t="n">
        <f aca="false">IF(ISNUMBER(T6503),T6503,-99)</f>
        <v>22.132061315103</v>
      </c>
      <c r="W6503" s="84" t="n">
        <f aca="false">IF(ISNUMBER(U6503),ABS(U6503),"")</f>
        <v>4.66793868489697</v>
      </c>
    </row>
    <row r="6504" customFormat="false" ht="15" hidden="false" customHeight="false" outlineLevel="0" collapsed="false">
      <c r="A6504" s="57" t="n">
        <v>44393</v>
      </c>
      <c r="B6504" s="56" t="n">
        <v>2021</v>
      </c>
      <c r="C6504" s="56" t="n">
        <v>7</v>
      </c>
      <c r="D6504" s="56" t="n">
        <v>77</v>
      </c>
      <c r="E6504" s="56" t="n">
        <v>28.4</v>
      </c>
      <c r="F6504" s="56" t="n">
        <v>0</v>
      </c>
      <c r="G6504" s="56" t="n">
        <v>11.3</v>
      </c>
      <c r="H6504" s="56" t="n">
        <v>0</v>
      </c>
      <c r="I6504" s="56" t="n">
        <v>19.1</v>
      </c>
      <c r="J6504" s="56" t="n">
        <v>0</v>
      </c>
      <c r="K6504" s="56" t="n">
        <v>1026.7</v>
      </c>
      <c r="L6504" s="56" t="n">
        <v>0</v>
      </c>
      <c r="M6504" s="56" t="n">
        <v>63</v>
      </c>
      <c r="N6504" s="56" t="n">
        <v>13.6</v>
      </c>
      <c r="O6504" s="56" t="n">
        <f aca="false">IF(D6504=1,"",E6503)</f>
        <v>26.8</v>
      </c>
      <c r="P6504" s="56" t="n">
        <f aca="false">IF(OR(D6504=1,K6503=""),"",K6503)</f>
        <v>1022.5</v>
      </c>
      <c r="Q6504" s="56" t="n">
        <f aca="false">IF(OR(F6504&lt;&gt;0,AND(I6504&lt;&gt;"",E6504&lt;I6504)),1,0)</f>
        <v>0</v>
      </c>
      <c r="R6504" s="56" t="n">
        <f aca="false">IF(AND(D6504&gt;1,Q6504=0,ISNUMBER(O6504),ISNUMBER(P6504)),IF(Q6503=0,1,0),0)</f>
        <v>1</v>
      </c>
      <c r="S6504" s="56" t="n">
        <f aca="false">R6504*(B6504&gt;=Train_Start)*(B6504&lt;=Train_End)</f>
        <v>0</v>
      </c>
      <c r="T6504" s="84" t="n">
        <f aca="false">IF(AND(ISNUMBER(O6504),ISNUMBER(P6504)),Coef_A+Coef_B1*O6504+Coef_B2*P6504,"")</f>
        <v>26.1209830587931</v>
      </c>
      <c r="U6504" s="84" t="n">
        <f aca="false">IF(AND(R6504=1,ISNUMBER(T6504)),E6504-T6504,"")</f>
        <v>2.27901694120692</v>
      </c>
      <c r="V6504" s="84" t="n">
        <f aca="false">IF(ISNUMBER(T6504),T6504,-99)</f>
        <v>26.1209830587931</v>
      </c>
      <c r="W6504" s="84" t="n">
        <f aca="false">IF(ISNUMBER(U6504),ABS(U6504),"")</f>
        <v>2.27901694120692</v>
      </c>
    </row>
    <row r="6505" customFormat="false" ht="15" hidden="false" customHeight="false" outlineLevel="0" collapsed="false">
      <c r="A6505" s="57" t="n">
        <v>44394</v>
      </c>
      <c r="B6505" s="56" t="n">
        <v>2021</v>
      </c>
      <c r="C6505" s="56" t="n">
        <v>7</v>
      </c>
      <c r="D6505" s="56" t="n">
        <v>78</v>
      </c>
      <c r="E6505" s="56" t="n">
        <v>31.6</v>
      </c>
      <c r="F6505" s="56" t="n">
        <v>0</v>
      </c>
      <c r="G6505" s="56" t="n">
        <v>15.4</v>
      </c>
      <c r="H6505" s="56" t="n">
        <v>0</v>
      </c>
      <c r="I6505" s="56" t="n">
        <v>21.9</v>
      </c>
      <c r="J6505" s="56" t="n">
        <v>0</v>
      </c>
      <c r="K6505" s="56" t="n">
        <v>1027.9</v>
      </c>
      <c r="L6505" s="56" t="n">
        <v>0</v>
      </c>
      <c r="M6505" s="56" t="n">
        <v>58</v>
      </c>
      <c r="N6505" s="56" t="n">
        <v>13.6</v>
      </c>
      <c r="O6505" s="56" t="n">
        <f aca="false">IF(D6505=1,"",E6504)</f>
        <v>28.4</v>
      </c>
      <c r="P6505" s="56" t="n">
        <f aca="false">IF(OR(D6505=1,K6504=""),"",K6504)</f>
        <v>1026.7</v>
      </c>
      <c r="Q6505" s="56" t="n">
        <f aca="false">IF(OR(F6505&lt;&gt;0,AND(I6505&lt;&gt;"",E6505&lt;I6505)),1,0)</f>
        <v>0</v>
      </c>
      <c r="R6505" s="56" t="n">
        <f aca="false">IF(AND(D6505&gt;1,Q6505=0,ISNUMBER(O6505),ISNUMBER(P6505)),IF(Q6504=0,1,0),0)</f>
        <v>1</v>
      </c>
      <c r="S6505" s="56" t="n">
        <f aca="false">R6505*(B6505&gt;=Train_Start)*(B6505&lt;=Train_End)</f>
        <v>0</v>
      </c>
      <c r="T6505" s="84" t="n">
        <f aca="false">IF(AND(ISNUMBER(O6505),ISNUMBER(P6505)),Coef_A+Coef_B1*O6505+Coef_B2*P6505,"")</f>
        <v>27.5636793251241</v>
      </c>
      <c r="U6505" s="84" t="n">
        <f aca="false">IF(AND(R6505=1,ISNUMBER(T6505)),E6505-T6505,"")</f>
        <v>4.03632067487592</v>
      </c>
      <c r="V6505" s="84" t="n">
        <f aca="false">IF(ISNUMBER(T6505),T6505,-99)</f>
        <v>27.5636793251241</v>
      </c>
      <c r="W6505" s="84" t="n">
        <f aca="false">IF(ISNUMBER(U6505),ABS(U6505),"")</f>
        <v>4.03632067487592</v>
      </c>
    </row>
    <row r="6506" customFormat="false" ht="15" hidden="false" customHeight="false" outlineLevel="0" collapsed="false">
      <c r="A6506" s="57" t="n">
        <v>44395</v>
      </c>
      <c r="B6506" s="56" t="n">
        <v>2021</v>
      </c>
      <c r="C6506" s="56" t="n">
        <v>7</v>
      </c>
      <c r="D6506" s="56" t="n">
        <v>79</v>
      </c>
      <c r="E6506" s="56" t="n">
        <v>31.4</v>
      </c>
      <c r="F6506" s="56" t="n">
        <v>0</v>
      </c>
      <c r="G6506" s="56" t="n">
        <v>15.9</v>
      </c>
      <c r="H6506" s="56" t="n">
        <v>0</v>
      </c>
      <c r="I6506" s="56" t="n">
        <v>23.8</v>
      </c>
      <c r="J6506" s="56" t="n">
        <v>0</v>
      </c>
      <c r="K6506" s="56" t="n">
        <v>1024.7</v>
      </c>
      <c r="L6506" s="56" t="n">
        <v>0</v>
      </c>
      <c r="M6506" s="56" t="n">
        <v>58</v>
      </c>
      <c r="N6506" s="56" t="n">
        <v>12.9</v>
      </c>
      <c r="O6506" s="56" t="n">
        <f aca="false">IF(D6506=1,"",E6505)</f>
        <v>31.6</v>
      </c>
      <c r="P6506" s="56" t="n">
        <f aca="false">IF(OR(D6506=1,K6505=""),"",K6505)</f>
        <v>1027.9</v>
      </c>
      <c r="Q6506" s="56" t="n">
        <f aca="false">IF(OR(F6506&lt;&gt;0,AND(I6506&lt;&gt;"",E6506&lt;I6506)),1,0)</f>
        <v>0</v>
      </c>
      <c r="R6506" s="56" t="n">
        <f aca="false">IF(AND(D6506&gt;1,Q6506=0,ISNUMBER(O6506),ISNUMBER(P6506)),IF(Q6505=0,1,0),0)</f>
        <v>1</v>
      </c>
      <c r="S6506" s="56" t="n">
        <f aca="false">R6506*(B6506&gt;=Train_Start)*(B6506&lt;=Train_End)</f>
        <v>0</v>
      </c>
      <c r="T6506" s="84" t="n">
        <f aca="false">IF(AND(ISNUMBER(O6506),ISNUMBER(P6506)),Coef_A+Coef_B1*O6506+Coef_B2*P6506,"")</f>
        <v>30.2232086164214</v>
      </c>
      <c r="U6506" s="84" t="n">
        <f aca="false">IF(AND(R6506=1,ISNUMBER(T6506)),E6506-T6506,"")</f>
        <v>1.17679138357862</v>
      </c>
      <c r="V6506" s="84" t="n">
        <f aca="false">IF(ISNUMBER(T6506),T6506,-99)</f>
        <v>30.2232086164214</v>
      </c>
      <c r="W6506" s="84" t="n">
        <f aca="false">IF(ISNUMBER(U6506),ABS(U6506),"")</f>
        <v>1.17679138357862</v>
      </c>
    </row>
    <row r="6507" customFormat="false" ht="15" hidden="false" customHeight="false" outlineLevel="0" collapsed="false">
      <c r="A6507" s="57" t="n">
        <v>44396</v>
      </c>
      <c r="B6507" s="56" t="n">
        <v>2021</v>
      </c>
      <c r="C6507" s="56" t="n">
        <v>7</v>
      </c>
      <c r="D6507" s="56" t="n">
        <v>80</v>
      </c>
      <c r="E6507" s="56" t="n">
        <v>32.2</v>
      </c>
      <c r="F6507" s="56" t="n">
        <v>0</v>
      </c>
      <c r="G6507" s="56" t="n">
        <v>18.1</v>
      </c>
      <c r="H6507" s="56" t="n">
        <v>0</v>
      </c>
      <c r="I6507" s="56" t="n">
        <v>24.8</v>
      </c>
      <c r="J6507" s="56" t="n">
        <v>0</v>
      </c>
      <c r="K6507" s="56" t="n">
        <v>1020.6</v>
      </c>
      <c r="L6507" s="56" t="n">
        <v>0</v>
      </c>
      <c r="M6507" s="56" t="n">
        <v>62</v>
      </c>
      <c r="N6507" s="56" t="n">
        <v>11.9</v>
      </c>
      <c r="O6507" s="56" t="n">
        <f aca="false">IF(D6507=1,"",E6506)</f>
        <v>31.4</v>
      </c>
      <c r="P6507" s="56" t="n">
        <f aca="false">IF(OR(D6507=1,K6506=""),"",K6506)</f>
        <v>1024.7</v>
      </c>
      <c r="Q6507" s="56" t="n">
        <f aca="false">IF(OR(F6507&lt;&gt;0,AND(I6507&lt;&gt;"",E6507&lt;I6507)),1,0)</f>
        <v>0</v>
      </c>
      <c r="R6507" s="56" t="n">
        <f aca="false">IF(AND(D6507&gt;1,Q6507=0,ISNUMBER(O6507),ISNUMBER(P6507)),IF(Q6506=0,1,0),0)</f>
        <v>1</v>
      </c>
      <c r="S6507" s="56" t="n">
        <f aca="false">R6507*(B6507&gt;=Train_Start)*(B6507&lt;=Train_End)</f>
        <v>0</v>
      </c>
      <c r="T6507" s="84" t="n">
        <f aca="false">IF(AND(ISNUMBER(O6507),ISNUMBER(P6507)),Coef_A+Coef_B1*O6507+Coef_B2*P6507,"")</f>
        <v>29.9589571149841</v>
      </c>
      <c r="U6507" s="84" t="n">
        <f aca="false">IF(AND(R6507=1,ISNUMBER(T6507)),E6507-T6507,"")</f>
        <v>2.24104288501593</v>
      </c>
      <c r="V6507" s="84" t="n">
        <f aca="false">IF(ISNUMBER(T6507),T6507,-99)</f>
        <v>29.9589571149841</v>
      </c>
      <c r="W6507" s="84" t="n">
        <f aca="false">IF(ISNUMBER(U6507),ABS(U6507),"")</f>
        <v>2.24104288501593</v>
      </c>
    </row>
    <row r="6508" customFormat="false" ht="15" hidden="false" customHeight="false" outlineLevel="0" collapsed="false">
      <c r="A6508" s="57" t="n">
        <v>44397</v>
      </c>
      <c r="B6508" s="56" t="n">
        <v>2021</v>
      </c>
      <c r="C6508" s="56" t="n">
        <v>7</v>
      </c>
      <c r="D6508" s="56" t="n">
        <v>81</v>
      </c>
      <c r="E6508" s="56" t="n">
        <v>30.4</v>
      </c>
      <c r="F6508" s="56" t="n">
        <v>0</v>
      </c>
      <c r="G6508" s="56" t="n">
        <v>17.6</v>
      </c>
      <c r="H6508" s="56" t="n">
        <v>0</v>
      </c>
      <c r="I6508" s="56" t="n">
        <v>24.9</v>
      </c>
      <c r="J6508" s="56" t="n">
        <v>0</v>
      </c>
      <c r="K6508" s="56" t="n">
        <v>1019.6</v>
      </c>
      <c r="L6508" s="56" t="n">
        <v>0</v>
      </c>
      <c r="M6508" s="56" t="n">
        <v>64</v>
      </c>
      <c r="N6508" s="56" t="n">
        <v>10.8</v>
      </c>
      <c r="O6508" s="56" t="n">
        <f aca="false">IF(D6508=1,"",E6507)</f>
        <v>32.2</v>
      </c>
      <c r="P6508" s="56" t="n">
        <f aca="false">IF(OR(D6508=1,K6507=""),"",K6507)</f>
        <v>1020.6</v>
      </c>
      <c r="Q6508" s="56" t="n">
        <f aca="false">IF(OR(F6508&lt;&gt;0,AND(I6508&lt;&gt;"",E6508&lt;I6508)),1,0)</f>
        <v>0</v>
      </c>
      <c r="R6508" s="56" t="n">
        <f aca="false">IF(AND(D6508&gt;1,Q6508=0,ISNUMBER(O6508),ISNUMBER(P6508)),IF(Q6507=0,1,0),0)</f>
        <v>1</v>
      </c>
      <c r="S6508" s="56" t="n">
        <f aca="false">R6508*(B6508&gt;=Train_Start)*(B6508&lt;=Train_End)</f>
        <v>0</v>
      </c>
      <c r="T6508" s="84" t="n">
        <f aca="false">IF(AND(ISNUMBER(O6508),ISNUMBER(P6508)),Coef_A+Coef_B1*O6508+Coef_B2*P6508,"")</f>
        <v>30.4858119014189</v>
      </c>
      <c r="U6508" s="84" t="n">
        <f aca="false">IF(AND(R6508=1,ISNUMBER(T6508)),E6508-T6508,"")</f>
        <v>-0.0858119014188539</v>
      </c>
      <c r="V6508" s="84" t="n">
        <f aca="false">IF(ISNUMBER(T6508),T6508,-99)</f>
        <v>30.4858119014189</v>
      </c>
      <c r="W6508" s="84" t="n">
        <f aca="false">IF(ISNUMBER(U6508),ABS(U6508),"")</f>
        <v>0.0858119014188539</v>
      </c>
    </row>
    <row r="6509" customFormat="false" ht="15" hidden="false" customHeight="false" outlineLevel="0" collapsed="false">
      <c r="A6509" s="57" t="n">
        <v>44398</v>
      </c>
      <c r="B6509" s="56" t="n">
        <v>2021</v>
      </c>
      <c r="C6509" s="56" t="n">
        <v>7</v>
      </c>
      <c r="D6509" s="56" t="n">
        <v>82</v>
      </c>
      <c r="E6509" s="56" t="n">
        <v>29.8</v>
      </c>
      <c r="F6509" s="56" t="n">
        <v>0</v>
      </c>
      <c r="G6509" s="56" t="n">
        <v>17.7</v>
      </c>
      <c r="H6509" s="56" t="n">
        <v>0</v>
      </c>
      <c r="I6509" s="56" t="n">
        <v>24.1</v>
      </c>
      <c r="J6509" s="56" t="n">
        <v>0</v>
      </c>
      <c r="K6509" s="56" t="n">
        <v>1022</v>
      </c>
      <c r="L6509" s="56" t="n">
        <v>0</v>
      </c>
      <c r="M6509" s="56" t="n">
        <v>61</v>
      </c>
      <c r="N6509" s="56" t="n">
        <v>11.4</v>
      </c>
      <c r="O6509" s="56" t="n">
        <f aca="false">IF(D6509=1,"",E6508)</f>
        <v>30.4</v>
      </c>
      <c r="P6509" s="56" t="n">
        <f aca="false">IF(OR(D6509=1,K6508=""),"",K6508)</f>
        <v>1019.6</v>
      </c>
      <c r="Q6509" s="56" t="n">
        <f aca="false">IF(OR(F6509&lt;&gt;0,AND(I6509&lt;&gt;"",E6509&lt;I6509)),1,0)</f>
        <v>0</v>
      </c>
      <c r="R6509" s="56" t="n">
        <f aca="false">IF(AND(D6509&gt;1,Q6509=0,ISNUMBER(O6509),ISNUMBER(P6509)),IF(Q6508=0,1,0),0)</f>
        <v>1</v>
      </c>
      <c r="S6509" s="56" t="n">
        <f aca="false">R6509*(B6509&gt;=Train_Start)*(B6509&lt;=Train_End)</f>
        <v>0</v>
      </c>
      <c r="T6509" s="84" t="n">
        <f aca="false">IF(AND(ISNUMBER(O6509),ISNUMBER(P6509)),Coef_A+Coef_B1*O6509+Coef_B2*P6509,"")</f>
        <v>28.9796314593081</v>
      </c>
      <c r="U6509" s="84" t="n">
        <f aca="false">IF(AND(R6509=1,ISNUMBER(T6509)),E6509-T6509,"")</f>
        <v>0.820368540691931</v>
      </c>
      <c r="V6509" s="84" t="n">
        <f aca="false">IF(ISNUMBER(T6509),T6509,-99)</f>
        <v>28.9796314593081</v>
      </c>
      <c r="W6509" s="84" t="n">
        <f aca="false">IF(ISNUMBER(U6509),ABS(U6509),"")</f>
        <v>0.820368540691931</v>
      </c>
    </row>
    <row r="6510" customFormat="false" ht="15" hidden="false" customHeight="false" outlineLevel="0" collapsed="false">
      <c r="A6510" s="57" t="n">
        <v>44399</v>
      </c>
      <c r="B6510" s="56" t="n">
        <v>2021</v>
      </c>
      <c r="C6510" s="56" t="n">
        <v>7</v>
      </c>
      <c r="D6510" s="56" t="n">
        <v>83</v>
      </c>
      <c r="E6510" s="56" t="n">
        <v>25.5</v>
      </c>
      <c r="F6510" s="56" t="n">
        <v>0</v>
      </c>
      <c r="G6510" s="56" t="n">
        <v>17.3</v>
      </c>
      <c r="H6510" s="56" t="n">
        <v>0</v>
      </c>
      <c r="I6510" s="56" t="n">
        <v>23.6</v>
      </c>
      <c r="J6510" s="56" t="n">
        <v>0</v>
      </c>
      <c r="K6510" s="56" t="n">
        <v>1022.4</v>
      </c>
      <c r="L6510" s="56" t="n">
        <v>0</v>
      </c>
      <c r="M6510" s="56" t="n">
        <v>60</v>
      </c>
      <c r="N6510" s="56" t="n">
        <v>10.9</v>
      </c>
      <c r="O6510" s="56" t="n">
        <f aca="false">IF(D6510=1,"",E6509)</f>
        <v>29.8</v>
      </c>
      <c r="P6510" s="56" t="n">
        <f aca="false">IF(OR(D6510=1,K6509=""),"",K6509)</f>
        <v>1022</v>
      </c>
      <c r="Q6510" s="56" t="n">
        <f aca="false">IF(OR(F6510&lt;&gt;0,AND(I6510&lt;&gt;"",E6510&lt;I6510)),1,0)</f>
        <v>0</v>
      </c>
      <c r="R6510" s="56" t="n">
        <f aca="false">IF(AND(D6510&gt;1,Q6510=0,ISNUMBER(O6510),ISNUMBER(P6510)),IF(Q6509=0,1,0),0)</f>
        <v>1</v>
      </c>
      <c r="S6510" s="56" t="n">
        <f aca="false">R6510*(B6510&gt;=Train_Start)*(B6510&lt;=Train_End)</f>
        <v>0</v>
      </c>
      <c r="T6510" s="84" t="n">
        <f aca="false">IF(AND(ISNUMBER(O6510),ISNUMBER(P6510)),Coef_A+Coef_B1*O6510+Coef_B2*P6510,"")</f>
        <v>28.5633156906041</v>
      </c>
      <c r="U6510" s="84" t="n">
        <f aca="false">IF(AND(R6510=1,ISNUMBER(T6510)),E6510-T6510,"")</f>
        <v>-3.06331569060405</v>
      </c>
      <c r="V6510" s="84" t="n">
        <f aca="false">IF(ISNUMBER(T6510),T6510,-99)</f>
        <v>28.5633156906041</v>
      </c>
      <c r="W6510" s="84" t="n">
        <f aca="false">IF(ISNUMBER(U6510),ABS(U6510),"")</f>
        <v>3.06331569060405</v>
      </c>
    </row>
    <row r="6511" customFormat="false" ht="15" hidden="false" customHeight="false" outlineLevel="0" collapsed="false">
      <c r="A6511" s="57" t="n">
        <v>44400</v>
      </c>
      <c r="B6511" s="56" t="n">
        <v>2021</v>
      </c>
      <c r="C6511" s="56" t="n">
        <v>7</v>
      </c>
      <c r="D6511" s="56" t="n">
        <v>84</v>
      </c>
      <c r="E6511" s="56" t="n">
        <v>23.4</v>
      </c>
      <c r="F6511" s="56" t="n">
        <v>0</v>
      </c>
      <c r="G6511" s="56" t="n">
        <v>15.6</v>
      </c>
      <c r="H6511" s="56" t="n">
        <v>0</v>
      </c>
      <c r="I6511" s="56" t="n">
        <v>20.6</v>
      </c>
      <c r="J6511" s="56" t="n">
        <v>0</v>
      </c>
      <c r="K6511" s="56" t="n">
        <v>1016.7</v>
      </c>
      <c r="L6511" s="56" t="n">
        <v>0</v>
      </c>
      <c r="M6511" s="56" t="n">
        <v>68</v>
      </c>
      <c r="N6511" s="56" t="n">
        <v>9.8</v>
      </c>
      <c r="O6511" s="56" t="n">
        <f aca="false">IF(D6511=1,"",E6510)</f>
        <v>25.5</v>
      </c>
      <c r="P6511" s="56" t="n">
        <f aca="false">IF(OR(D6511=1,K6510=""),"",K6510)</f>
        <v>1022.4</v>
      </c>
      <c r="Q6511" s="56" t="n">
        <f aca="false">IF(OR(F6511&lt;&gt;0,AND(I6511&lt;&gt;"",E6511&lt;I6511)),1,0)</f>
        <v>0</v>
      </c>
      <c r="R6511" s="56" t="n">
        <f aca="false">IF(AND(D6511&gt;1,Q6511=0,ISNUMBER(O6511),ISNUMBER(P6511)),IF(Q6510=0,1,0),0)</f>
        <v>1</v>
      </c>
      <c r="S6511" s="56" t="n">
        <f aca="false">R6511*(B6511&gt;=Train_Start)*(B6511&lt;=Train_End)</f>
        <v>0</v>
      </c>
      <c r="T6511" s="84" t="n">
        <f aca="false">IF(AND(ISNUMBER(O6511),ISNUMBER(P6511)),Coef_A+Coef_B1*O6511+Coef_B2*P6511,"")</f>
        <v>25.0527051183742</v>
      </c>
      <c r="U6511" s="84" t="n">
        <f aca="false">IF(AND(R6511=1,ISNUMBER(T6511)),E6511-T6511,"")</f>
        <v>-1.65270511837423</v>
      </c>
      <c r="V6511" s="84" t="n">
        <f aca="false">IF(ISNUMBER(T6511),T6511,-99)</f>
        <v>25.0527051183742</v>
      </c>
      <c r="W6511" s="84" t="n">
        <f aca="false">IF(ISNUMBER(U6511),ABS(U6511),"")</f>
        <v>1.65270511837423</v>
      </c>
    </row>
    <row r="6512" customFormat="false" ht="15" hidden="false" customHeight="false" outlineLevel="0" collapsed="false">
      <c r="A6512" s="57" t="n">
        <v>44401</v>
      </c>
      <c r="B6512" s="56" t="n">
        <v>2021</v>
      </c>
      <c r="C6512" s="56" t="n">
        <v>7</v>
      </c>
      <c r="D6512" s="56" t="n">
        <v>85</v>
      </c>
      <c r="E6512" s="56" t="n">
        <v>21.5</v>
      </c>
      <c r="F6512" s="56" t="n">
        <v>0</v>
      </c>
      <c r="G6512" s="56" t="n">
        <v>15.9</v>
      </c>
      <c r="H6512" s="56" t="n">
        <v>0</v>
      </c>
      <c r="I6512" s="56" t="n">
        <v>19.6</v>
      </c>
      <c r="J6512" s="56" t="n">
        <v>0</v>
      </c>
      <c r="K6512" s="56" t="n">
        <v>1008.3</v>
      </c>
      <c r="L6512" s="56" t="n">
        <v>0</v>
      </c>
      <c r="M6512" s="56" t="n">
        <v>79</v>
      </c>
      <c r="N6512" s="56" t="n">
        <v>1.6</v>
      </c>
      <c r="O6512" s="56" t="n">
        <f aca="false">IF(D6512=1,"",E6511)</f>
        <v>23.4</v>
      </c>
      <c r="P6512" s="56" t="n">
        <f aca="false">IF(OR(D6512=1,K6511=""),"",K6511)</f>
        <v>1016.7</v>
      </c>
      <c r="Q6512" s="56" t="n">
        <f aca="false">IF(OR(F6512&lt;&gt;0,AND(I6512&lt;&gt;"",E6512&lt;I6512)),1,0)</f>
        <v>0</v>
      </c>
      <c r="R6512" s="56" t="n">
        <f aca="false">IF(AND(D6512&gt;1,Q6512=0,ISNUMBER(O6512),ISNUMBER(P6512)),IF(Q6511=0,1,0),0)</f>
        <v>1</v>
      </c>
      <c r="S6512" s="56" t="n">
        <f aca="false">R6512*(B6512&gt;=Train_Start)*(B6512&lt;=Train_End)</f>
        <v>0</v>
      </c>
      <c r="T6512" s="84" t="n">
        <f aca="false">IF(AND(ISNUMBER(O6512),ISNUMBER(P6512)),Coef_A+Coef_B1*O6512+Coef_B2*P6512,"")</f>
        <v>23.1532844135709</v>
      </c>
      <c r="U6512" s="84" t="n">
        <f aca="false">IF(AND(R6512=1,ISNUMBER(T6512)),E6512-T6512,"")</f>
        <v>-1.6532844135709</v>
      </c>
      <c r="V6512" s="84" t="n">
        <f aca="false">IF(ISNUMBER(T6512),T6512,-99)</f>
        <v>23.1532844135709</v>
      </c>
      <c r="W6512" s="84" t="n">
        <f aca="false">IF(ISNUMBER(U6512),ABS(U6512),"")</f>
        <v>1.6532844135709</v>
      </c>
    </row>
    <row r="6513" customFormat="false" ht="15" hidden="false" customHeight="false" outlineLevel="0" collapsed="false">
      <c r="A6513" s="57" t="n">
        <v>44402</v>
      </c>
      <c r="B6513" s="56" t="n">
        <v>2021</v>
      </c>
      <c r="C6513" s="56" t="n">
        <v>7</v>
      </c>
      <c r="D6513" s="56" t="n">
        <v>86</v>
      </c>
      <c r="E6513" s="56" t="n">
        <v>26.1</v>
      </c>
      <c r="F6513" s="56" t="n">
        <v>0</v>
      </c>
      <c r="G6513" s="56" t="n">
        <v>16.6</v>
      </c>
      <c r="H6513" s="56" t="n">
        <v>0</v>
      </c>
      <c r="I6513" s="56" t="n">
        <v>19.1</v>
      </c>
      <c r="J6513" s="56" t="n">
        <v>0</v>
      </c>
      <c r="K6513" s="56" t="n">
        <v>1007.7</v>
      </c>
      <c r="L6513" s="56" t="n">
        <v>0</v>
      </c>
      <c r="M6513" s="56" t="n">
        <v>85</v>
      </c>
      <c r="N6513" s="56" t="n">
        <v>0</v>
      </c>
      <c r="O6513" s="56" t="n">
        <f aca="false">IF(D6513=1,"",E6512)</f>
        <v>21.5</v>
      </c>
      <c r="P6513" s="56" t="n">
        <f aca="false">IF(OR(D6513=1,K6512=""),"",K6512)</f>
        <v>1008.3</v>
      </c>
      <c r="Q6513" s="56" t="n">
        <f aca="false">IF(OR(F6513&lt;&gt;0,AND(I6513&lt;&gt;"",E6513&lt;I6513)),1,0)</f>
        <v>0</v>
      </c>
      <c r="R6513" s="56" t="n">
        <f aca="false">IF(AND(D6513&gt;1,Q6513=0,ISNUMBER(O6513),ISNUMBER(P6513)),IF(Q6512=0,1,0),0)</f>
        <v>1</v>
      </c>
      <c r="S6513" s="56" t="n">
        <f aca="false">R6513*(B6513&gt;=Train_Start)*(B6513&lt;=Train_End)</f>
        <v>0</v>
      </c>
      <c r="T6513" s="84" t="n">
        <f aca="false">IF(AND(ISNUMBER(O6513),ISNUMBER(P6513)),Coef_A+Coef_B1*O6513+Coef_B2*P6513,"")</f>
        <v>21.3330328318643</v>
      </c>
      <c r="U6513" s="84" t="n">
        <f aca="false">IF(AND(R6513=1,ISNUMBER(T6513)),E6513-T6513,"")</f>
        <v>4.76696716813566</v>
      </c>
      <c r="V6513" s="84" t="n">
        <f aca="false">IF(ISNUMBER(T6513),T6513,-99)</f>
        <v>21.3330328318643</v>
      </c>
      <c r="W6513" s="84" t="n">
        <f aca="false">IF(ISNUMBER(U6513),ABS(U6513),"")</f>
        <v>4.76696716813566</v>
      </c>
    </row>
    <row r="6514" customFormat="false" ht="15" hidden="false" customHeight="false" outlineLevel="0" collapsed="false">
      <c r="A6514" s="57" t="n">
        <v>44403</v>
      </c>
      <c r="B6514" s="56" t="n">
        <v>2021</v>
      </c>
      <c r="C6514" s="56" t="n">
        <v>7</v>
      </c>
      <c r="D6514" s="56" t="n">
        <v>87</v>
      </c>
      <c r="E6514" s="56" t="n">
        <v>22.1</v>
      </c>
      <c r="F6514" s="56" t="n">
        <v>0</v>
      </c>
      <c r="G6514" s="56" t="n">
        <v>15.3</v>
      </c>
      <c r="H6514" s="56" t="n">
        <v>0</v>
      </c>
      <c r="I6514" s="56" t="n">
        <v>20.7</v>
      </c>
      <c r="J6514" s="56" t="n">
        <v>0</v>
      </c>
      <c r="K6514" s="56" t="n">
        <v>1009.7</v>
      </c>
      <c r="L6514" s="56" t="n">
        <v>0</v>
      </c>
      <c r="M6514" s="56" t="n">
        <v>76</v>
      </c>
      <c r="N6514" s="56" t="n">
        <v>4.9</v>
      </c>
      <c r="O6514" s="56" t="n">
        <f aca="false">IF(D6514=1,"",E6513)</f>
        <v>26.1</v>
      </c>
      <c r="P6514" s="56" t="n">
        <f aca="false">IF(OR(D6514=1,K6513=""),"",K6513)</f>
        <v>1007.7</v>
      </c>
      <c r="Q6514" s="56" t="n">
        <f aca="false">IF(OR(F6514&lt;&gt;0,AND(I6514&lt;&gt;"",E6514&lt;I6514)),1,0)</f>
        <v>0</v>
      </c>
      <c r="R6514" s="56" t="n">
        <f aca="false">IF(AND(D6514&gt;1,Q6514=0,ISNUMBER(O6514),ISNUMBER(P6514)),IF(Q6513=0,1,0),0)</f>
        <v>1</v>
      </c>
      <c r="S6514" s="56" t="n">
        <f aca="false">R6514*(B6514&gt;=Train_Start)*(B6514&lt;=Train_End)</f>
        <v>0</v>
      </c>
      <c r="T6514" s="84" t="n">
        <f aca="false">IF(AND(ISNUMBER(O6514),ISNUMBER(P6514)),Coef_A+Coef_B1*O6514+Coef_B2*P6514,"")</f>
        <v>25.0831711830802</v>
      </c>
      <c r="U6514" s="84" t="n">
        <f aca="false">IF(AND(R6514=1,ISNUMBER(T6514)),E6514-T6514,"")</f>
        <v>-2.98317118308017</v>
      </c>
      <c r="V6514" s="84" t="n">
        <f aca="false">IF(ISNUMBER(T6514),T6514,-99)</f>
        <v>25.0831711830802</v>
      </c>
      <c r="W6514" s="84" t="n">
        <f aca="false">IF(ISNUMBER(U6514),ABS(U6514),"")</f>
        <v>2.98317118308017</v>
      </c>
    </row>
    <row r="6515" customFormat="false" ht="15" hidden="false" customHeight="false" outlineLevel="0" collapsed="false">
      <c r="A6515" s="57" t="n">
        <v>44404</v>
      </c>
      <c r="B6515" s="56" t="n">
        <v>2021</v>
      </c>
      <c r="C6515" s="56" t="n">
        <v>7</v>
      </c>
      <c r="D6515" s="56" t="n">
        <v>88</v>
      </c>
      <c r="E6515" s="56" t="n">
        <v>22.1</v>
      </c>
      <c r="F6515" s="56" t="n">
        <v>0</v>
      </c>
      <c r="G6515" s="56" t="n">
        <v>16.5</v>
      </c>
      <c r="H6515" s="56" t="n">
        <v>0</v>
      </c>
      <c r="I6515" s="56" t="n">
        <v>19.3</v>
      </c>
      <c r="J6515" s="56" t="n">
        <v>0</v>
      </c>
      <c r="K6515" s="56" t="n">
        <v>1008.2</v>
      </c>
      <c r="L6515" s="56" t="n">
        <v>0</v>
      </c>
      <c r="M6515" s="56" t="n">
        <v>75</v>
      </c>
      <c r="N6515" s="56" t="n">
        <v>2.6</v>
      </c>
      <c r="O6515" s="56" t="n">
        <f aca="false">IF(D6515=1,"",E6514)</f>
        <v>22.1</v>
      </c>
      <c r="P6515" s="56" t="n">
        <f aca="false">IF(OR(D6515=1,K6514=""),"",K6514)</f>
        <v>1009.7</v>
      </c>
      <c r="Q6515" s="56" t="n">
        <f aca="false">IF(OR(F6515&lt;&gt;0,AND(I6515&lt;&gt;"",E6515&lt;I6515)),1,0)</f>
        <v>0</v>
      </c>
      <c r="R6515" s="56" t="n">
        <f aca="false">IF(AND(D6515&gt;1,Q6515=0,ISNUMBER(O6515),ISNUMBER(P6515)),IF(Q6514=0,1,0),0)</f>
        <v>1</v>
      </c>
      <c r="S6515" s="56" t="n">
        <f aca="false">R6515*(B6515&gt;=Train_Start)*(B6515&lt;=Train_End)</f>
        <v>0</v>
      </c>
      <c r="T6515" s="84" t="n">
        <f aca="false">IF(AND(ISNUMBER(O6515),ISNUMBER(P6515)),Coef_A+Coef_B1*O6515+Coef_B2*P6515,"")</f>
        <v>21.8685542001775</v>
      </c>
      <c r="U6515" s="84" t="n">
        <f aca="false">IF(AND(R6515=1,ISNUMBER(T6515)),E6515-T6515,"")</f>
        <v>0.231445799822481</v>
      </c>
      <c r="V6515" s="84" t="n">
        <f aca="false">IF(ISNUMBER(T6515),T6515,-99)</f>
        <v>21.8685542001775</v>
      </c>
      <c r="W6515" s="84" t="n">
        <f aca="false">IF(ISNUMBER(U6515),ABS(U6515),"")</f>
        <v>0.231445799822481</v>
      </c>
    </row>
    <row r="6516" customFormat="false" ht="15" hidden="false" customHeight="false" outlineLevel="0" collapsed="false">
      <c r="A6516" s="57" t="n">
        <v>44405</v>
      </c>
      <c r="B6516" s="56" t="n">
        <v>2021</v>
      </c>
      <c r="C6516" s="56" t="n">
        <v>7</v>
      </c>
      <c r="D6516" s="56" t="n">
        <v>89</v>
      </c>
      <c r="E6516" s="56" t="n">
        <v>23.3</v>
      </c>
      <c r="F6516" s="56" t="n">
        <v>0</v>
      </c>
      <c r="G6516" s="56" t="n">
        <v>16.5</v>
      </c>
      <c r="H6516" s="56" t="n">
        <v>0</v>
      </c>
      <c r="I6516" s="56" t="n">
        <v>19.3</v>
      </c>
      <c r="J6516" s="56" t="n">
        <v>0</v>
      </c>
      <c r="K6516" s="56" t="n">
        <v>1007</v>
      </c>
      <c r="L6516" s="56" t="n">
        <v>0</v>
      </c>
      <c r="M6516" s="56" t="n">
        <v>81</v>
      </c>
      <c r="N6516" s="56" t="n">
        <v>3</v>
      </c>
      <c r="O6516" s="56" t="n">
        <f aca="false">IF(D6516=1,"",E6515)</f>
        <v>22.1</v>
      </c>
      <c r="P6516" s="56" t="n">
        <f aca="false">IF(OR(D6516=1,K6515=""),"",K6515)</f>
        <v>1008.2</v>
      </c>
      <c r="Q6516" s="56" t="n">
        <f aca="false">IF(OR(F6516&lt;&gt;0,AND(I6516&lt;&gt;"",E6516&lt;I6516)),1,0)</f>
        <v>0</v>
      </c>
      <c r="R6516" s="56" t="n">
        <f aca="false">IF(AND(D6516&gt;1,Q6516=0,ISNUMBER(O6516),ISNUMBER(P6516)),IF(Q6515=0,1,0),0)</f>
        <v>1</v>
      </c>
      <c r="S6516" s="56" t="n">
        <f aca="false">R6516*(B6516&gt;=Train_Start)*(B6516&lt;=Train_End)</f>
        <v>0</v>
      </c>
      <c r="T6516" s="84" t="n">
        <f aca="false">IF(AND(ISNUMBER(O6516),ISNUMBER(P6516)),Coef_A+Coef_B1*O6516+Coef_B2*P6516,"")</f>
        <v>21.8214993582265</v>
      </c>
      <c r="U6516" s="84" t="n">
        <f aca="false">IF(AND(R6516=1,ISNUMBER(T6516)),E6516-T6516,"")</f>
        <v>1.47850064177346</v>
      </c>
      <c r="V6516" s="84" t="n">
        <f aca="false">IF(ISNUMBER(T6516),T6516,-99)</f>
        <v>21.8214993582265</v>
      </c>
      <c r="W6516" s="84" t="n">
        <f aca="false">IF(ISNUMBER(U6516),ABS(U6516),"")</f>
        <v>1.47850064177346</v>
      </c>
    </row>
    <row r="6517" customFormat="false" ht="15" hidden="false" customHeight="false" outlineLevel="0" collapsed="false">
      <c r="A6517" s="57" t="n">
        <v>44406</v>
      </c>
      <c r="B6517" s="56" t="n">
        <v>2021</v>
      </c>
      <c r="C6517" s="56" t="n">
        <v>7</v>
      </c>
      <c r="D6517" s="56" t="n">
        <v>90</v>
      </c>
      <c r="E6517" s="56" t="n">
        <v>19.4</v>
      </c>
      <c r="F6517" s="56" t="n">
        <v>0</v>
      </c>
      <c r="G6517" s="56" t="n">
        <v>12</v>
      </c>
      <c r="H6517" s="56" t="n">
        <v>0</v>
      </c>
      <c r="I6517" s="56" t="n">
        <v>17.6</v>
      </c>
      <c r="J6517" s="56" t="n">
        <v>0</v>
      </c>
      <c r="K6517" s="56" t="n">
        <v>1009.6</v>
      </c>
      <c r="L6517" s="56" t="n">
        <v>0</v>
      </c>
      <c r="M6517" s="56" t="n">
        <v>64</v>
      </c>
      <c r="N6517" s="56" t="n">
        <v>10.4</v>
      </c>
      <c r="O6517" s="56" t="n">
        <f aca="false">IF(D6517=1,"",E6516)</f>
        <v>23.3</v>
      </c>
      <c r="P6517" s="56" t="n">
        <f aca="false">IF(OR(D6517=1,K6516=""),"",K6516)</f>
        <v>1007</v>
      </c>
      <c r="Q6517" s="56" t="n">
        <f aca="false">IF(OR(F6517&lt;&gt;0,AND(I6517&lt;&gt;"",E6517&lt;I6517)),1,0)</f>
        <v>0</v>
      </c>
      <c r="R6517" s="56" t="n">
        <f aca="false">IF(AND(D6517&gt;1,Q6517=0,ISNUMBER(O6517),ISNUMBER(P6517)),IF(Q6516=0,1,0),0)</f>
        <v>1</v>
      </c>
      <c r="S6517" s="56" t="n">
        <f aca="false">R6517*(B6517&gt;=Train_Start)*(B6517&lt;=Train_End)</f>
        <v>0</v>
      </c>
      <c r="T6517" s="84" t="n">
        <f aca="false">IF(AND(ISNUMBER(O6517),ISNUMBER(P6517)),Coef_A+Coef_B1*O6517+Coef_B2*P6517,"")</f>
        <v>22.7670625163169</v>
      </c>
      <c r="U6517" s="84" t="n">
        <f aca="false">IF(AND(R6517=1,ISNUMBER(T6517)),E6517-T6517,"")</f>
        <v>-3.36706251631694</v>
      </c>
      <c r="V6517" s="84" t="n">
        <f aca="false">IF(ISNUMBER(T6517),T6517,-99)</f>
        <v>22.7670625163169</v>
      </c>
      <c r="W6517" s="84" t="n">
        <f aca="false">IF(ISNUMBER(U6517),ABS(U6517),"")</f>
        <v>3.36706251631694</v>
      </c>
    </row>
    <row r="6518" customFormat="false" ht="15" hidden="false" customHeight="false" outlineLevel="0" collapsed="false">
      <c r="A6518" s="57" t="n">
        <v>44407</v>
      </c>
      <c r="B6518" s="56" t="n">
        <v>2021</v>
      </c>
      <c r="C6518" s="56" t="n">
        <v>7</v>
      </c>
      <c r="D6518" s="56" t="n">
        <v>91</v>
      </c>
      <c r="E6518" s="56" t="n">
        <v>21.7</v>
      </c>
      <c r="F6518" s="56" t="n">
        <v>0</v>
      </c>
      <c r="G6518" s="56" t="n">
        <v>14.3</v>
      </c>
      <c r="H6518" s="56" t="n">
        <v>0</v>
      </c>
      <c r="I6518" s="56" t="n">
        <v>16.9</v>
      </c>
      <c r="J6518" s="56" t="n">
        <v>0</v>
      </c>
      <c r="K6518" s="56" t="n">
        <v>1003.1</v>
      </c>
      <c r="L6518" s="56" t="n">
        <v>0</v>
      </c>
      <c r="M6518" s="56" t="n">
        <v>80</v>
      </c>
      <c r="N6518" s="56" t="n">
        <v>1.4</v>
      </c>
      <c r="O6518" s="56" t="n">
        <f aca="false">IF(D6518=1,"",E6517)</f>
        <v>19.4</v>
      </c>
      <c r="P6518" s="56" t="n">
        <f aca="false">IF(OR(D6518=1,K6517=""),"",K6517)</f>
        <v>1009.6</v>
      </c>
      <c r="Q6518" s="56" t="n">
        <f aca="false">IF(OR(F6518&lt;&gt;0,AND(I6518&lt;&gt;"",E6518&lt;I6518)),1,0)</f>
        <v>0</v>
      </c>
      <c r="R6518" s="56" t="n">
        <f aca="false">IF(AND(D6518&gt;1,Q6518=0,ISNUMBER(O6518),ISNUMBER(P6518)),IF(Q6517=0,1,0),0)</f>
        <v>1</v>
      </c>
      <c r="S6518" s="56" t="n">
        <f aca="false">R6518*(B6518&gt;=Train_Start)*(B6518&lt;=Train_End)</f>
        <v>0</v>
      </c>
      <c r="T6518" s="84" t="n">
        <f aca="false">IF(AND(ISNUMBER(O6518),ISNUMBER(P6518)),Coef_A+Coef_B1*O6518+Coef_B2*P6518,"")</f>
        <v>19.6532013894989</v>
      </c>
      <c r="U6518" s="84" t="n">
        <f aca="false">IF(AND(R6518=1,ISNUMBER(T6518)),E6518-T6518,"")</f>
        <v>2.04679861050106</v>
      </c>
      <c r="V6518" s="84" t="n">
        <f aca="false">IF(ISNUMBER(T6518),T6518,-99)</f>
        <v>19.6532013894989</v>
      </c>
      <c r="W6518" s="84" t="n">
        <f aca="false">IF(ISNUMBER(U6518),ABS(U6518),"")</f>
        <v>2.04679861050106</v>
      </c>
    </row>
    <row r="6519" customFormat="false" ht="15" hidden="false" customHeight="false" outlineLevel="0" collapsed="false">
      <c r="A6519" s="57" t="n">
        <v>44408</v>
      </c>
      <c r="B6519" s="56" t="n">
        <v>2021</v>
      </c>
      <c r="C6519" s="56" t="n">
        <v>7</v>
      </c>
      <c r="D6519" s="56" t="n">
        <v>92</v>
      </c>
      <c r="E6519" s="56" t="n">
        <v>21.9</v>
      </c>
      <c r="F6519" s="56" t="n">
        <v>0</v>
      </c>
      <c r="G6519" s="56" t="n">
        <v>12.9</v>
      </c>
      <c r="H6519" s="56" t="n">
        <v>0</v>
      </c>
      <c r="I6519" s="56" t="n">
        <v>17.3</v>
      </c>
      <c r="J6519" s="56" t="n">
        <v>0</v>
      </c>
      <c r="K6519" s="56" t="n">
        <v>1009.2</v>
      </c>
      <c r="L6519" s="56" t="n">
        <v>0</v>
      </c>
      <c r="M6519" s="56" t="n">
        <v>83</v>
      </c>
      <c r="N6519" s="56" t="n">
        <v>0.5</v>
      </c>
      <c r="O6519" s="56" t="n">
        <f aca="false">IF(D6519=1,"",E6518)</f>
        <v>21.7</v>
      </c>
      <c r="P6519" s="56" t="n">
        <f aca="false">IF(OR(D6519=1,K6518=""),"",K6518)</f>
        <v>1003.1</v>
      </c>
      <c r="Q6519" s="56" t="n">
        <f aca="false">IF(OR(F6519&lt;&gt;0,AND(I6519&lt;&gt;"",E6519&lt;I6519)),1,0)</f>
        <v>0</v>
      </c>
      <c r="R6519" s="56" t="n">
        <f aca="false">IF(AND(D6519&gt;1,Q6519=0,ISNUMBER(O6519),ISNUMBER(P6519)),IF(Q6518=0,1,0),0)</f>
        <v>1</v>
      </c>
      <c r="S6519" s="56" t="n">
        <f aca="false">R6519*(B6519&gt;=Train_Start)*(B6519&lt;=Train_End)</f>
        <v>0</v>
      </c>
      <c r="T6519" s="84" t="n">
        <f aca="false">IF(AND(ISNUMBER(O6519),ISNUMBER(P6519)),Coef_A+Coef_B1*O6519+Coef_B2*P6519,"")</f>
        <v>21.3337772183761</v>
      </c>
      <c r="U6519" s="84" t="n">
        <f aca="false">IF(AND(R6519=1,ISNUMBER(T6519)),E6519-T6519,"")</f>
        <v>0.566222781623871</v>
      </c>
      <c r="V6519" s="84" t="n">
        <f aca="false">IF(ISNUMBER(T6519),T6519,-99)</f>
        <v>21.3337772183761</v>
      </c>
      <c r="W6519" s="84" t="n">
        <f aca="false">IF(ISNUMBER(U6519),ABS(U6519),"")</f>
        <v>0.566222781623871</v>
      </c>
    </row>
    <row r="6520" customFormat="false" ht="15" hidden="false" customHeight="false" outlineLevel="0" collapsed="false">
      <c r="A6520" s="57" t="n">
        <v>44409</v>
      </c>
      <c r="B6520" s="56" t="n">
        <v>2021</v>
      </c>
      <c r="C6520" s="56" t="n">
        <v>8</v>
      </c>
      <c r="D6520" s="56" t="n">
        <v>93</v>
      </c>
      <c r="E6520" s="56" t="n">
        <v>20.8</v>
      </c>
      <c r="F6520" s="56" t="n">
        <v>0</v>
      </c>
      <c r="G6520" s="56" t="n">
        <v>14.5</v>
      </c>
      <c r="H6520" s="56" t="n">
        <v>0</v>
      </c>
      <c r="I6520" s="56" t="n">
        <v>18.2</v>
      </c>
      <c r="J6520" s="56" t="n">
        <v>0</v>
      </c>
      <c r="K6520" s="56" t="n">
        <v>1011.3</v>
      </c>
      <c r="L6520" s="56" t="n">
        <v>0</v>
      </c>
      <c r="M6520" s="56" t="n">
        <v>80</v>
      </c>
      <c r="N6520" s="56" t="n">
        <v>1</v>
      </c>
      <c r="O6520" s="56" t="n">
        <f aca="false">IF(D6520=1,"",E6519)</f>
        <v>21.9</v>
      </c>
      <c r="P6520" s="56" t="n">
        <f aca="false">IF(OR(D6520=1,K6519=""),"",K6519)</f>
        <v>1009.2</v>
      </c>
      <c r="Q6520" s="56" t="n">
        <f aca="false">IF(OR(F6520&lt;&gt;0,AND(I6520&lt;&gt;"",E6520&lt;I6520)),1,0)</f>
        <v>0</v>
      </c>
      <c r="R6520" s="56" t="n">
        <f aca="false">IF(AND(D6520&gt;1,Q6520=0,ISNUMBER(O6520),ISNUMBER(P6520)),IF(Q6519=0,1,0),0)</f>
        <v>1</v>
      </c>
      <c r="S6520" s="56" t="n">
        <f aca="false">R6520*(B6520&gt;=Train_Start)*(B6520&lt;=Train_End)</f>
        <v>0</v>
      </c>
      <c r="T6520" s="84" t="n">
        <f aca="false">IF(AND(ISNUMBER(O6520),ISNUMBER(P6520)),Coef_A+Coef_B1*O6520+Coef_B2*P6520,"")</f>
        <v>21.689001414252</v>
      </c>
      <c r="U6520" s="84" t="n">
        <f aca="false">IF(AND(R6520=1,ISNUMBER(T6520)),E6520-T6520,"")</f>
        <v>-0.889001414251997</v>
      </c>
      <c r="V6520" s="84" t="n">
        <f aca="false">IF(ISNUMBER(T6520),T6520,-99)</f>
        <v>21.689001414252</v>
      </c>
      <c r="W6520" s="84" t="n">
        <f aca="false">IF(ISNUMBER(U6520),ABS(U6520),"")</f>
        <v>0.889001414251997</v>
      </c>
    </row>
    <row r="6521" customFormat="false" ht="15" hidden="false" customHeight="false" outlineLevel="0" collapsed="false">
      <c r="A6521" s="57" t="n">
        <v>44410</v>
      </c>
      <c r="B6521" s="56" t="n">
        <v>2021</v>
      </c>
      <c r="C6521" s="56" t="n">
        <v>8</v>
      </c>
      <c r="D6521" s="56" t="n">
        <v>94</v>
      </c>
      <c r="E6521" s="56" t="n">
        <v>23.8</v>
      </c>
      <c r="F6521" s="56" t="n">
        <v>0</v>
      </c>
      <c r="G6521" s="56" t="n">
        <v>12.7</v>
      </c>
      <c r="H6521" s="56" t="n">
        <v>0</v>
      </c>
      <c r="I6521" s="56" t="n">
        <v>16.8</v>
      </c>
      <c r="J6521" s="56" t="n">
        <v>0</v>
      </c>
      <c r="K6521" s="56" t="n">
        <v>1014.9</v>
      </c>
      <c r="L6521" s="56" t="n">
        <v>0</v>
      </c>
      <c r="M6521" s="56" t="n">
        <v>73</v>
      </c>
      <c r="N6521" s="56" t="n">
        <v>2.1</v>
      </c>
      <c r="O6521" s="56" t="n">
        <f aca="false">IF(D6521=1,"",E6520)</f>
        <v>20.8</v>
      </c>
      <c r="P6521" s="56" t="n">
        <f aca="false">IF(OR(D6521=1,K6520=""),"",K6520)</f>
        <v>1011.3</v>
      </c>
      <c r="Q6521" s="56" t="n">
        <f aca="false">IF(OR(F6521&lt;&gt;0,AND(I6521&lt;&gt;"",E6521&lt;I6521)),1,0)</f>
        <v>0</v>
      </c>
      <c r="R6521" s="56" t="n">
        <f aca="false">IF(AND(D6521&gt;1,Q6521=0,ISNUMBER(O6521),ISNUMBER(P6521)),IF(Q6520=0,1,0),0)</f>
        <v>1</v>
      </c>
      <c r="S6521" s="56" t="n">
        <f aca="false">R6521*(B6521&gt;=Train_Start)*(B6521&lt;=Train_End)</f>
        <v>0</v>
      </c>
      <c r="T6521" s="84" t="n">
        <f aca="false">IF(AND(ISNUMBER(O6521),ISNUMBER(P6521)),Coef_A+Coef_B1*O6521+Coef_B2*P6521,"")</f>
        <v>20.8536050806364</v>
      </c>
      <c r="U6521" s="84" t="n">
        <f aca="false">IF(AND(R6521=1,ISNUMBER(T6521)),E6521-T6521,"")</f>
        <v>2.94639491936356</v>
      </c>
      <c r="V6521" s="84" t="n">
        <f aca="false">IF(ISNUMBER(T6521),T6521,-99)</f>
        <v>20.8536050806364</v>
      </c>
      <c r="W6521" s="84" t="n">
        <f aca="false">IF(ISNUMBER(U6521),ABS(U6521),"")</f>
        <v>2.94639491936356</v>
      </c>
    </row>
    <row r="6522" customFormat="false" ht="15" hidden="false" customHeight="false" outlineLevel="0" collapsed="false">
      <c r="A6522" s="57" t="n">
        <v>44411</v>
      </c>
      <c r="B6522" s="56" t="n">
        <v>2021</v>
      </c>
      <c r="C6522" s="56" t="n">
        <v>8</v>
      </c>
      <c r="D6522" s="56" t="n">
        <v>95</v>
      </c>
      <c r="E6522" s="56" t="n">
        <v>23.9</v>
      </c>
      <c r="F6522" s="56" t="n">
        <v>0</v>
      </c>
      <c r="G6522" s="56" t="n">
        <v>10.6</v>
      </c>
      <c r="H6522" s="56" t="n">
        <v>0</v>
      </c>
      <c r="I6522" s="56" t="n">
        <v>17.2</v>
      </c>
      <c r="J6522" s="56" t="n">
        <v>0</v>
      </c>
      <c r="K6522" s="56" t="n">
        <v>1013</v>
      </c>
      <c r="L6522" s="56" t="n">
        <v>0</v>
      </c>
      <c r="M6522" s="56" t="n">
        <v>73</v>
      </c>
      <c r="N6522" s="56" t="n">
        <v>4.5</v>
      </c>
      <c r="O6522" s="56" t="n">
        <f aca="false">IF(D6522=1,"",E6521)</f>
        <v>23.8</v>
      </c>
      <c r="P6522" s="56" t="n">
        <f aca="false">IF(OR(D6522=1,K6521=""),"",K6521)</f>
        <v>1014.9</v>
      </c>
      <c r="Q6522" s="56" t="n">
        <f aca="false">IF(OR(F6522&lt;&gt;0,AND(I6522&lt;&gt;"",E6522&lt;I6522)),1,0)</f>
        <v>0</v>
      </c>
      <c r="R6522" s="56" t="n">
        <f aca="false">IF(AND(D6522&gt;1,Q6522=0,ISNUMBER(O6522),ISNUMBER(P6522)),IF(Q6521=0,1,0),0)</f>
        <v>1</v>
      </c>
      <c r="S6522" s="56" t="n">
        <f aca="false">R6522*(B6522&gt;=Train_Start)*(B6522&lt;=Train_End)</f>
        <v>0</v>
      </c>
      <c r="T6522" s="84" t="n">
        <f aca="false">IF(AND(ISNUMBER(O6522),ISNUMBER(P6522)),Coef_A+Coef_B1*O6522+Coef_B2*P6522,"")</f>
        <v>23.4245542804468</v>
      </c>
      <c r="U6522" s="84" t="n">
        <f aca="false">IF(AND(R6522=1,ISNUMBER(T6522)),E6522-T6522,"")</f>
        <v>0.475445719553218</v>
      </c>
      <c r="V6522" s="84" t="n">
        <f aca="false">IF(ISNUMBER(T6522),T6522,-99)</f>
        <v>23.4245542804468</v>
      </c>
      <c r="W6522" s="84" t="n">
        <f aca="false">IF(ISNUMBER(U6522),ABS(U6522),"")</f>
        <v>0.475445719553218</v>
      </c>
    </row>
    <row r="6523" customFormat="false" ht="15" hidden="false" customHeight="false" outlineLevel="0" collapsed="false">
      <c r="A6523" s="57" t="n">
        <v>44412</v>
      </c>
      <c r="B6523" s="56" t="n">
        <v>2021</v>
      </c>
      <c r="C6523" s="56" t="n">
        <v>8</v>
      </c>
      <c r="D6523" s="56" t="n">
        <v>96</v>
      </c>
      <c r="E6523" s="56" t="n">
        <v>22</v>
      </c>
      <c r="F6523" s="56" t="n">
        <v>0</v>
      </c>
      <c r="G6523" s="56" t="n">
        <v>11.7</v>
      </c>
      <c r="H6523" s="56" t="n">
        <v>0</v>
      </c>
      <c r="I6523" s="56" t="n">
        <v>17.8</v>
      </c>
      <c r="J6523" s="56" t="n">
        <v>0</v>
      </c>
      <c r="K6523" s="56" t="n">
        <v>1012.7</v>
      </c>
      <c r="L6523" s="56" t="n">
        <v>0</v>
      </c>
      <c r="M6523" s="56" t="n">
        <v>69</v>
      </c>
      <c r="N6523" s="56" t="n">
        <v>8.8</v>
      </c>
      <c r="O6523" s="56" t="n">
        <f aca="false">IF(D6523=1,"",E6522)</f>
        <v>23.9</v>
      </c>
      <c r="P6523" s="56" t="n">
        <f aca="false">IF(OR(D6523=1,K6522=""),"",K6522)</f>
        <v>1013</v>
      </c>
      <c r="Q6523" s="56" t="n">
        <f aca="false">IF(OR(F6523&lt;&gt;0,AND(I6523&lt;&gt;"",E6523&lt;I6523)),1,0)</f>
        <v>0</v>
      </c>
      <c r="R6523" s="56" t="n">
        <f aca="false">IF(AND(D6523&gt;1,Q6523=0,ISNUMBER(O6523),ISNUMBER(P6523)),IF(Q6522=0,1,0),0)</f>
        <v>1</v>
      </c>
      <c r="S6523" s="56" t="n">
        <f aca="false">R6523*(B6523&gt;=Train_Start)*(B6523&lt;=Train_End)</f>
        <v>0</v>
      </c>
      <c r="T6523" s="84" t="n">
        <f aca="false">IF(AND(ISNUMBER(O6523),ISNUMBER(P6523)),Coef_A+Coef_B1*O6523+Coef_B2*P6523,"")</f>
        <v>23.4468853999465</v>
      </c>
      <c r="U6523" s="84" t="n">
        <f aca="false">IF(AND(R6523=1,ISNUMBER(T6523)),E6523-T6523,"")</f>
        <v>-1.44688539994647</v>
      </c>
      <c r="V6523" s="84" t="n">
        <f aca="false">IF(ISNUMBER(T6523),T6523,-99)</f>
        <v>23.4468853999465</v>
      </c>
      <c r="W6523" s="84" t="n">
        <f aca="false">IF(ISNUMBER(U6523),ABS(U6523),"")</f>
        <v>1.44688539994647</v>
      </c>
    </row>
    <row r="6524" customFormat="false" ht="15" hidden="false" customHeight="false" outlineLevel="0" collapsed="false">
      <c r="A6524" s="57" t="n">
        <v>44413</v>
      </c>
      <c r="B6524" s="56" t="n">
        <v>2021</v>
      </c>
      <c r="C6524" s="56" t="n">
        <v>8</v>
      </c>
      <c r="D6524" s="56" t="n">
        <v>97</v>
      </c>
      <c r="E6524" s="56" t="n">
        <v>23.8</v>
      </c>
      <c r="F6524" s="56" t="n">
        <v>0</v>
      </c>
      <c r="G6524" s="56" t="n">
        <v>12.7</v>
      </c>
      <c r="H6524" s="56" t="n">
        <v>0</v>
      </c>
      <c r="I6524" s="56" t="n">
        <v>17.4</v>
      </c>
      <c r="J6524" s="56" t="n">
        <v>0</v>
      </c>
      <c r="K6524" s="56" t="n">
        <v>1004.5</v>
      </c>
      <c r="L6524" s="56" t="n">
        <v>0</v>
      </c>
      <c r="M6524" s="56" t="n">
        <v>81</v>
      </c>
      <c r="N6524" s="56" t="n">
        <v>3</v>
      </c>
      <c r="O6524" s="56" t="n">
        <f aca="false">IF(D6524=1,"",E6523)</f>
        <v>22</v>
      </c>
      <c r="P6524" s="56" t="n">
        <f aca="false">IF(OR(D6524=1,K6523=""),"",K6523)</f>
        <v>1012.7</v>
      </c>
      <c r="Q6524" s="56" t="n">
        <f aca="false">IF(OR(F6524&lt;&gt;0,AND(I6524&lt;&gt;"",E6524&lt;I6524)),1,0)</f>
        <v>0</v>
      </c>
      <c r="R6524" s="56" t="n">
        <f aca="false">IF(AND(D6524&gt;1,Q6524=0,ISNUMBER(O6524),ISNUMBER(P6524)),IF(Q6523=0,1,0),0)</f>
        <v>1</v>
      </c>
      <c r="S6524" s="56" t="n">
        <f aca="false">R6524*(B6524&gt;=Train_Start)*(B6524&lt;=Train_End)</f>
        <v>0</v>
      </c>
      <c r="T6524" s="84" t="n">
        <f aca="false">IF(AND(ISNUMBER(O6524),ISNUMBER(P6524)),Coef_A+Coef_B1*O6524+Coef_B2*P6524,"")</f>
        <v>21.8807299647752</v>
      </c>
      <c r="U6524" s="84" t="n">
        <f aca="false">IF(AND(R6524=1,ISNUMBER(T6524)),E6524-T6524,"")</f>
        <v>1.91927003522478</v>
      </c>
      <c r="V6524" s="84" t="n">
        <f aca="false">IF(ISNUMBER(T6524),T6524,-99)</f>
        <v>21.8807299647752</v>
      </c>
      <c r="W6524" s="84" t="n">
        <f aca="false">IF(ISNUMBER(U6524),ABS(U6524),"")</f>
        <v>1.91927003522478</v>
      </c>
    </row>
    <row r="6525" customFormat="false" ht="15" hidden="false" customHeight="false" outlineLevel="0" collapsed="false">
      <c r="A6525" s="57" t="n">
        <v>44414</v>
      </c>
      <c r="B6525" s="56" t="n">
        <v>2021</v>
      </c>
      <c r="C6525" s="56" t="n">
        <v>8</v>
      </c>
      <c r="D6525" s="56" t="n">
        <v>98</v>
      </c>
      <c r="E6525" s="56" t="n">
        <v>21.3</v>
      </c>
      <c r="F6525" s="56" t="n">
        <v>0</v>
      </c>
      <c r="G6525" s="56" t="n">
        <v>15.2</v>
      </c>
      <c r="H6525" s="56" t="n">
        <v>0</v>
      </c>
      <c r="I6525" s="56" t="n">
        <v>19.5</v>
      </c>
      <c r="J6525" s="56" t="n">
        <v>0</v>
      </c>
      <c r="K6525" s="56" t="n">
        <v>998.5</v>
      </c>
      <c r="L6525" s="56" t="n">
        <v>0</v>
      </c>
      <c r="M6525" s="56" t="n">
        <v>78</v>
      </c>
      <c r="N6525" s="56" t="n">
        <v>2.8</v>
      </c>
      <c r="O6525" s="56" t="n">
        <f aca="false">IF(D6525=1,"",E6524)</f>
        <v>23.8</v>
      </c>
      <c r="P6525" s="56" t="n">
        <f aca="false">IF(OR(D6525=1,K6524=""),"",K6524)</f>
        <v>1004.5</v>
      </c>
      <c r="Q6525" s="56" t="n">
        <f aca="false">IF(OR(F6525&lt;&gt;0,AND(I6525&lt;&gt;"",E6525&lt;I6525)),1,0)</f>
        <v>0</v>
      </c>
      <c r="R6525" s="56" t="n">
        <f aca="false">IF(AND(D6525&gt;1,Q6525=0,ISNUMBER(O6525),ISNUMBER(P6525)),IF(Q6524=0,1,0),0)</f>
        <v>1</v>
      </c>
      <c r="S6525" s="56" t="n">
        <f aca="false">R6525*(B6525&gt;=Train_Start)*(B6525&lt;=Train_End)</f>
        <v>0</v>
      </c>
      <c r="T6525" s="84" t="n">
        <f aca="false">IF(AND(ISNUMBER(O6525),ISNUMBER(P6525)),Coef_A+Coef_B1*O6525+Coef_B2*P6525,"")</f>
        <v>23.0983073762533</v>
      </c>
      <c r="U6525" s="84" t="n">
        <f aca="false">IF(AND(R6525=1,ISNUMBER(T6525)),E6525-T6525,"")</f>
        <v>-1.79830737625329</v>
      </c>
      <c r="V6525" s="84" t="n">
        <f aca="false">IF(ISNUMBER(T6525),T6525,-99)</f>
        <v>23.0983073762533</v>
      </c>
      <c r="W6525" s="84" t="n">
        <f aca="false">IF(ISNUMBER(U6525),ABS(U6525),"")</f>
        <v>1.79830737625329</v>
      </c>
    </row>
    <row r="6526" customFormat="false" ht="15" hidden="false" customHeight="false" outlineLevel="0" collapsed="false">
      <c r="A6526" s="57" t="n">
        <v>44415</v>
      </c>
      <c r="B6526" s="56" t="n">
        <v>2021</v>
      </c>
      <c r="C6526" s="56" t="n">
        <v>8</v>
      </c>
      <c r="D6526" s="56" t="n">
        <v>99</v>
      </c>
      <c r="E6526" s="56" t="n">
        <v>20.7</v>
      </c>
      <c r="F6526" s="56" t="n">
        <v>0</v>
      </c>
      <c r="G6526" s="56" t="n">
        <v>13.4</v>
      </c>
      <c r="H6526" s="56" t="n">
        <v>0</v>
      </c>
      <c r="I6526" s="56" t="n">
        <v>17.4</v>
      </c>
      <c r="J6526" s="56" t="n">
        <v>0</v>
      </c>
      <c r="K6526" s="56" t="n">
        <v>997.8</v>
      </c>
      <c r="L6526" s="56" t="n">
        <v>0</v>
      </c>
      <c r="M6526" s="56" t="n">
        <v>81</v>
      </c>
      <c r="N6526" s="56" t="n">
        <v>3.8</v>
      </c>
      <c r="O6526" s="56" t="n">
        <f aca="false">IF(D6526=1,"",E6525)</f>
        <v>21.3</v>
      </c>
      <c r="P6526" s="56" t="n">
        <f aca="false">IF(OR(D6526=1,K6525=""),"",K6525)</f>
        <v>998.5</v>
      </c>
      <c r="Q6526" s="56" t="n">
        <f aca="false">IF(OR(F6526&lt;&gt;0,AND(I6526&lt;&gt;"",E6526&lt;I6526)),1,0)</f>
        <v>0</v>
      </c>
      <c r="R6526" s="56" t="n">
        <f aca="false">IF(AND(D6526&gt;1,Q6526=0,ISNUMBER(O6526),ISNUMBER(P6526)),IF(Q6525=0,1,0),0)</f>
        <v>1</v>
      </c>
      <c r="S6526" s="56" t="n">
        <f aca="false">R6526*(B6526&gt;=Train_Start)*(B6526&lt;=Train_End)</f>
        <v>0</v>
      </c>
      <c r="T6526" s="84" t="n">
        <f aca="false">IF(AND(ISNUMBER(O6526),ISNUMBER(P6526)),Coef_A+Coef_B1*O6526+Coef_B2*P6526,"")</f>
        <v>20.8617400258427</v>
      </c>
      <c r="U6526" s="84" t="n">
        <f aca="false">IF(AND(R6526=1,ISNUMBER(T6526)),E6526-T6526,"")</f>
        <v>-0.161740025842715</v>
      </c>
      <c r="V6526" s="84" t="n">
        <f aca="false">IF(ISNUMBER(T6526),T6526,-99)</f>
        <v>20.8617400258427</v>
      </c>
      <c r="W6526" s="84" t="n">
        <f aca="false">IF(ISNUMBER(U6526),ABS(U6526),"")</f>
        <v>0.161740025842715</v>
      </c>
    </row>
    <row r="6527" customFormat="false" ht="15" hidden="false" customHeight="false" outlineLevel="0" collapsed="false">
      <c r="A6527" s="57" t="n">
        <v>44416</v>
      </c>
      <c r="B6527" s="56" t="n">
        <v>2021</v>
      </c>
      <c r="C6527" s="56" t="n">
        <v>8</v>
      </c>
      <c r="D6527" s="56" t="n">
        <v>100</v>
      </c>
      <c r="E6527" s="56" t="n">
        <v>23</v>
      </c>
      <c r="F6527" s="56" t="n">
        <v>0</v>
      </c>
      <c r="G6527" s="56" t="n">
        <v>13.5</v>
      </c>
      <c r="H6527" s="56" t="n">
        <v>0</v>
      </c>
      <c r="I6527" s="56" t="n">
        <v>17.1</v>
      </c>
      <c r="J6527" s="56" t="n">
        <v>0</v>
      </c>
      <c r="K6527" s="56" t="n">
        <v>1005.6</v>
      </c>
      <c r="L6527" s="56" t="n">
        <v>0</v>
      </c>
      <c r="M6527" s="56" t="n">
        <v>81</v>
      </c>
      <c r="N6527" s="56" t="n">
        <v>2.7</v>
      </c>
      <c r="O6527" s="56" t="n">
        <f aca="false">IF(D6527=1,"",E6526)</f>
        <v>20.7</v>
      </c>
      <c r="P6527" s="56" t="n">
        <f aca="false">IF(OR(D6527=1,K6526=""),"",K6526)</f>
        <v>997.8</v>
      </c>
      <c r="Q6527" s="56" t="n">
        <f aca="false">IF(OR(F6527&lt;&gt;0,AND(I6527&lt;&gt;"",E6527&lt;I6527)),1,0)</f>
        <v>0</v>
      </c>
      <c r="R6527" s="56" t="n">
        <f aca="false">IF(AND(D6527&gt;1,Q6527=0,ISNUMBER(O6527),ISNUMBER(P6527)),IF(Q6526=0,1,0),0)</f>
        <v>1</v>
      </c>
      <c r="S6527" s="56" t="n">
        <f aca="false">R6527*(B6527&gt;=Train_Start)*(B6527&lt;=Train_End)</f>
        <v>0</v>
      </c>
      <c r="T6527" s="84" t="n">
        <f aca="false">IF(AND(ISNUMBER(O6527),ISNUMBER(P6527)),Coef_A+Coef_B1*O6527+Coef_B2*P6527,"")</f>
        <v>20.3481775837733</v>
      </c>
      <c r="U6527" s="84" t="n">
        <f aca="false">IF(AND(R6527=1,ISNUMBER(T6527)),E6527-T6527,"")</f>
        <v>2.65182241622668</v>
      </c>
      <c r="V6527" s="84" t="n">
        <f aca="false">IF(ISNUMBER(T6527),T6527,-99)</f>
        <v>20.3481775837733</v>
      </c>
      <c r="W6527" s="84" t="n">
        <f aca="false">IF(ISNUMBER(U6527),ABS(U6527),"")</f>
        <v>2.65182241622668</v>
      </c>
    </row>
    <row r="6528" customFormat="false" ht="15" hidden="false" customHeight="false" outlineLevel="0" collapsed="false">
      <c r="A6528" s="57" t="n">
        <v>44417</v>
      </c>
      <c r="B6528" s="56" t="n">
        <v>2021</v>
      </c>
      <c r="C6528" s="56" t="n">
        <v>8</v>
      </c>
      <c r="D6528" s="56" t="n">
        <v>101</v>
      </c>
      <c r="E6528" s="56" t="n">
        <v>24.1</v>
      </c>
      <c r="F6528" s="56" t="n">
        <v>0</v>
      </c>
      <c r="G6528" s="56" t="n">
        <v>12.7</v>
      </c>
      <c r="H6528" s="56" t="n">
        <v>0</v>
      </c>
      <c r="I6528" s="56" t="n">
        <v>17.9</v>
      </c>
      <c r="J6528" s="56" t="n">
        <v>0</v>
      </c>
      <c r="K6528" s="56" t="n">
        <v>1011.6</v>
      </c>
      <c r="L6528" s="56" t="n">
        <v>0</v>
      </c>
      <c r="M6528" s="56" t="n">
        <v>85</v>
      </c>
      <c r="N6528" s="56" t="n">
        <v>2.8</v>
      </c>
      <c r="O6528" s="56" t="n">
        <f aca="false">IF(D6528=1,"",E6527)</f>
        <v>23</v>
      </c>
      <c r="P6528" s="56" t="n">
        <f aca="false">IF(OR(D6528=1,K6527=""),"",K6527)</f>
        <v>1005.6</v>
      </c>
      <c r="Q6528" s="56" t="n">
        <f aca="false">IF(OR(F6528&lt;&gt;0,AND(I6528&lt;&gt;"",E6528&lt;I6528)),1,0)</f>
        <v>0</v>
      </c>
      <c r="R6528" s="56" t="n">
        <f aca="false">IF(AND(D6528&gt;1,Q6528=0,ISNUMBER(O6528),ISNUMBER(P6528)),IF(Q6527=0,1,0),0)</f>
        <v>1</v>
      </c>
      <c r="S6528" s="56" t="n">
        <f aca="false">R6528*(B6528&gt;=Train_Start)*(B6528&lt;=Train_End)</f>
        <v>0</v>
      </c>
      <c r="T6528" s="84" t="n">
        <f aca="false">IF(AND(ISNUMBER(O6528),ISNUMBER(P6528)),Coef_A+Coef_B1*O6528+Coef_B2*P6528,"")</f>
        <v>22.4773429059166</v>
      </c>
      <c r="U6528" s="84" t="n">
        <f aca="false">IF(AND(R6528=1,ISNUMBER(T6528)),E6528-T6528,"")</f>
        <v>1.62265709408344</v>
      </c>
      <c r="V6528" s="84" t="n">
        <f aca="false">IF(ISNUMBER(T6528),T6528,-99)</f>
        <v>22.4773429059166</v>
      </c>
      <c r="W6528" s="84" t="n">
        <f aca="false">IF(ISNUMBER(U6528),ABS(U6528),"")</f>
        <v>1.62265709408344</v>
      </c>
    </row>
    <row r="6529" customFormat="false" ht="15" hidden="false" customHeight="false" outlineLevel="0" collapsed="false">
      <c r="A6529" s="57" t="n">
        <v>44418</v>
      </c>
      <c r="B6529" s="56" t="n">
        <v>2021</v>
      </c>
      <c r="C6529" s="56" t="n">
        <v>8</v>
      </c>
      <c r="D6529" s="56" t="n">
        <v>102</v>
      </c>
      <c r="E6529" s="56" t="n">
        <v>24.5</v>
      </c>
      <c r="F6529" s="56" t="n">
        <v>0</v>
      </c>
      <c r="G6529" s="56" t="n">
        <v>12.3</v>
      </c>
      <c r="H6529" s="56" t="n">
        <v>0</v>
      </c>
      <c r="I6529" s="56" t="n">
        <v>18.2</v>
      </c>
      <c r="J6529" s="56" t="n">
        <v>0</v>
      </c>
      <c r="K6529" s="56" t="n">
        <v>1015.5</v>
      </c>
      <c r="L6529" s="56" t="n">
        <v>0</v>
      </c>
      <c r="M6529" s="56" t="n">
        <v>77</v>
      </c>
      <c r="N6529" s="56" t="n">
        <v>5.4</v>
      </c>
      <c r="O6529" s="56" t="n">
        <f aca="false">IF(D6529=1,"",E6528)</f>
        <v>24.1</v>
      </c>
      <c r="P6529" s="56" t="n">
        <f aca="false">IF(OR(D6529=1,K6528=""),"",K6528)</f>
        <v>1011.6</v>
      </c>
      <c r="Q6529" s="56" t="n">
        <f aca="false">IF(OR(F6529&lt;&gt;0,AND(I6529&lt;&gt;"",E6529&lt;I6529)),1,0)</f>
        <v>0</v>
      </c>
      <c r="R6529" s="56" t="n">
        <f aca="false">IF(AND(D6529&gt;1,Q6529=0,ISNUMBER(O6529),ISNUMBER(P6529)),IF(Q6528=0,1,0),0)</f>
        <v>1</v>
      </c>
      <c r="S6529" s="56" t="n">
        <f aca="false">R6529*(B6529&gt;=Train_Start)*(B6529&lt;=Train_End)</f>
        <v>0</v>
      </c>
      <c r="T6529" s="84" t="n">
        <f aca="false">IF(AND(ISNUMBER(O6529),ISNUMBER(P6529)),Coef_A+Coef_B1*O6529+Coef_B2*P6529,"")</f>
        <v>23.5668353860674</v>
      </c>
      <c r="U6529" s="84" t="n">
        <f aca="false">IF(AND(R6529=1,ISNUMBER(T6529)),E6529-T6529,"")</f>
        <v>0.933164613932583</v>
      </c>
      <c r="V6529" s="84" t="n">
        <f aca="false">IF(ISNUMBER(T6529),T6529,-99)</f>
        <v>23.5668353860674</v>
      </c>
      <c r="W6529" s="84" t="n">
        <f aca="false">IF(ISNUMBER(U6529),ABS(U6529),"")</f>
        <v>0.933164613932583</v>
      </c>
    </row>
    <row r="6530" customFormat="false" ht="15" hidden="false" customHeight="false" outlineLevel="0" collapsed="false">
      <c r="A6530" s="57" t="n">
        <v>44419</v>
      </c>
      <c r="B6530" s="56" t="n">
        <v>2021</v>
      </c>
      <c r="C6530" s="56" t="n">
        <v>8</v>
      </c>
      <c r="D6530" s="56" t="n">
        <v>103</v>
      </c>
      <c r="E6530" s="56" t="n">
        <v>22.5</v>
      </c>
      <c r="F6530" s="56" t="n">
        <v>0</v>
      </c>
      <c r="G6530" s="56" t="n">
        <v>12.9</v>
      </c>
      <c r="H6530" s="56" t="n">
        <v>0</v>
      </c>
      <c r="I6530" s="56" t="n">
        <v>18.7</v>
      </c>
      <c r="J6530" s="56" t="n">
        <v>0</v>
      </c>
      <c r="K6530" s="56" t="n">
        <v>1018</v>
      </c>
      <c r="L6530" s="56" t="n">
        <v>0</v>
      </c>
      <c r="M6530" s="56" t="n">
        <v>68</v>
      </c>
      <c r="N6530" s="56" t="n">
        <v>9.8</v>
      </c>
      <c r="O6530" s="56" t="n">
        <f aca="false">IF(D6530=1,"",E6529)</f>
        <v>24.5</v>
      </c>
      <c r="P6530" s="56" t="n">
        <f aca="false">IF(OR(D6530=1,K6529=""),"",K6529)</f>
        <v>1015.5</v>
      </c>
      <c r="Q6530" s="56" t="n">
        <f aca="false">IF(OR(F6530&lt;&gt;0,AND(I6530&lt;&gt;"",E6530&lt;I6530)),1,0)</f>
        <v>0</v>
      </c>
      <c r="R6530" s="56" t="n">
        <f aca="false">IF(AND(D6530&gt;1,Q6530=0,ISNUMBER(O6530),ISNUMBER(P6530)),IF(Q6529=0,1,0),0)</f>
        <v>1</v>
      </c>
      <c r="S6530" s="56" t="n">
        <f aca="false">R6530*(B6530&gt;=Train_Start)*(B6530&lt;=Train_End)</f>
        <v>0</v>
      </c>
      <c r="T6530" s="84" t="n">
        <f aca="false">IF(AND(ISNUMBER(O6530),ISNUMBER(P6530)),Coef_A+Coef_B1*O6530+Coef_B2*P6530,"")</f>
        <v>24.016913652357</v>
      </c>
      <c r="U6530" s="84" t="n">
        <f aca="false">IF(AND(R6530=1,ISNUMBER(T6530)),E6530-T6530,"")</f>
        <v>-1.51691365235704</v>
      </c>
      <c r="V6530" s="84" t="n">
        <f aca="false">IF(ISNUMBER(T6530),T6530,-99)</f>
        <v>24.016913652357</v>
      </c>
      <c r="W6530" s="84" t="n">
        <f aca="false">IF(ISNUMBER(U6530),ABS(U6530),"")</f>
        <v>1.51691365235704</v>
      </c>
    </row>
    <row r="6531" customFormat="false" ht="15" hidden="false" customHeight="false" outlineLevel="0" collapsed="false">
      <c r="A6531" s="57" t="n">
        <v>44420</v>
      </c>
      <c r="B6531" s="56" t="n">
        <v>2021</v>
      </c>
      <c r="C6531" s="56" t="n">
        <v>8</v>
      </c>
      <c r="D6531" s="56" t="n">
        <v>104</v>
      </c>
      <c r="E6531" s="56" t="n">
        <v>22.9</v>
      </c>
      <c r="F6531" s="56" t="n">
        <v>0</v>
      </c>
      <c r="G6531" s="56" t="n">
        <v>15.8</v>
      </c>
      <c r="H6531" s="56" t="n">
        <v>0</v>
      </c>
      <c r="I6531" s="56" t="n">
        <v>19.1</v>
      </c>
      <c r="J6531" s="56" t="n">
        <v>0</v>
      </c>
      <c r="K6531" s="56" t="n">
        <v>1018.2</v>
      </c>
      <c r="L6531" s="56" t="n">
        <v>0</v>
      </c>
      <c r="M6531" s="56" t="n">
        <v>81</v>
      </c>
      <c r="N6531" s="56" t="n">
        <v>1.4</v>
      </c>
      <c r="O6531" s="56" t="n">
        <f aca="false">IF(D6531=1,"",E6530)</f>
        <v>22.5</v>
      </c>
      <c r="P6531" s="56" t="n">
        <f aca="false">IF(OR(D6531=1,K6530=""),"",K6530)</f>
        <v>1018</v>
      </c>
      <c r="Q6531" s="56" t="n">
        <f aca="false">IF(OR(F6531&lt;&gt;0,AND(I6531&lt;&gt;"",E6531&lt;I6531)),1,0)</f>
        <v>0</v>
      </c>
      <c r="R6531" s="56" t="n">
        <f aca="false">IF(AND(D6531&gt;1,Q6531=0,ISNUMBER(O6531),ISNUMBER(P6531)),IF(Q6530=0,1,0),0)</f>
        <v>1</v>
      </c>
      <c r="S6531" s="56" t="n">
        <f aca="false">R6531*(B6531&gt;=Train_Start)*(B6531&lt;=Train_End)</f>
        <v>0</v>
      </c>
      <c r="T6531" s="84" t="n">
        <f aca="false">IF(AND(ISNUMBER(O6531),ISNUMBER(P6531)),Coef_A+Coef_B1*O6531+Coef_B2*P6531,"")</f>
        <v>22.4566600028567</v>
      </c>
      <c r="U6531" s="84" t="n">
        <f aca="false">IF(AND(R6531=1,ISNUMBER(T6531)),E6531-T6531,"")</f>
        <v>0.443339997143301</v>
      </c>
      <c r="V6531" s="84" t="n">
        <f aca="false">IF(ISNUMBER(T6531),T6531,-99)</f>
        <v>22.4566600028567</v>
      </c>
      <c r="W6531" s="84" t="n">
        <f aca="false">IF(ISNUMBER(U6531),ABS(U6531),"")</f>
        <v>0.443339997143301</v>
      </c>
    </row>
    <row r="6532" customFormat="false" ht="15" hidden="false" customHeight="false" outlineLevel="0" collapsed="false">
      <c r="A6532" s="57" t="n">
        <v>44421</v>
      </c>
      <c r="B6532" s="56" t="n">
        <v>2021</v>
      </c>
      <c r="C6532" s="56" t="n">
        <v>8</v>
      </c>
      <c r="D6532" s="56" t="n">
        <v>105</v>
      </c>
      <c r="E6532" s="56" t="n">
        <v>25.3</v>
      </c>
      <c r="F6532" s="56" t="n">
        <v>0</v>
      </c>
      <c r="G6532" s="56" t="n">
        <v>13.6</v>
      </c>
      <c r="H6532" s="56" t="n">
        <v>0</v>
      </c>
      <c r="I6532" s="56" t="n">
        <v>18.2</v>
      </c>
      <c r="J6532" s="56" t="n">
        <v>0</v>
      </c>
      <c r="K6532" s="56" t="n">
        <v>1020.9</v>
      </c>
      <c r="L6532" s="56" t="n">
        <v>0</v>
      </c>
      <c r="M6532" s="56" t="n">
        <v>78</v>
      </c>
      <c r="N6532" s="56" t="n">
        <v>0.3</v>
      </c>
      <c r="O6532" s="56" t="n">
        <f aca="false">IF(D6532=1,"",E6531)</f>
        <v>22.9</v>
      </c>
      <c r="P6532" s="56" t="n">
        <f aca="false">IF(OR(D6532=1,K6531=""),"",K6531)</f>
        <v>1018.2</v>
      </c>
      <c r="Q6532" s="56" t="n">
        <f aca="false">IF(OR(F6532&lt;&gt;0,AND(I6532&lt;&gt;"",E6532&lt;I6532)),1,0)</f>
        <v>0</v>
      </c>
      <c r="R6532" s="56" t="n">
        <f aca="false">IF(AND(D6532&gt;1,Q6532=0,ISNUMBER(O6532),ISNUMBER(P6532)),IF(Q6531=0,1,0),0)</f>
        <v>1</v>
      </c>
      <c r="S6532" s="56" t="n">
        <f aca="false">R6532*(B6532&gt;=Train_Start)*(B6532&lt;=Train_End)</f>
        <v>0</v>
      </c>
      <c r="T6532" s="84" t="n">
        <f aca="false">IF(AND(ISNUMBER(O6532),ISNUMBER(P6532)),Coef_A+Coef_B1*O6532+Coef_B2*P6532,"")</f>
        <v>22.7906696590006</v>
      </c>
      <c r="U6532" s="84" t="n">
        <f aca="false">IF(AND(R6532=1,ISNUMBER(T6532)),E6532-T6532,"")</f>
        <v>2.50933034099944</v>
      </c>
      <c r="V6532" s="84" t="n">
        <f aca="false">IF(ISNUMBER(T6532),T6532,-99)</f>
        <v>22.7906696590006</v>
      </c>
      <c r="W6532" s="84" t="n">
        <f aca="false">IF(ISNUMBER(U6532),ABS(U6532),"")</f>
        <v>2.50933034099944</v>
      </c>
    </row>
    <row r="6533" customFormat="false" ht="15" hidden="false" customHeight="false" outlineLevel="0" collapsed="false">
      <c r="A6533" s="57" t="n">
        <v>44422</v>
      </c>
      <c r="B6533" s="56" t="n">
        <v>2021</v>
      </c>
      <c r="C6533" s="56" t="n">
        <v>8</v>
      </c>
      <c r="D6533" s="56" t="n">
        <v>106</v>
      </c>
      <c r="E6533" s="56" t="n">
        <v>24.3</v>
      </c>
      <c r="F6533" s="56" t="n">
        <v>0</v>
      </c>
      <c r="G6533" s="56" t="n">
        <v>14.2</v>
      </c>
      <c r="H6533" s="56" t="n">
        <v>0</v>
      </c>
      <c r="I6533" s="56" t="n">
        <v>19.8</v>
      </c>
      <c r="J6533" s="56" t="n">
        <v>0</v>
      </c>
      <c r="K6533" s="56" t="n">
        <v>1019.7</v>
      </c>
      <c r="L6533" s="56" t="n">
        <v>0</v>
      </c>
      <c r="M6533" s="56" t="n">
        <v>73</v>
      </c>
      <c r="N6533" s="56" t="n">
        <v>4.8</v>
      </c>
      <c r="O6533" s="56" t="n">
        <f aca="false">IF(D6533=1,"",E6532)</f>
        <v>25.3</v>
      </c>
      <c r="P6533" s="56" t="n">
        <f aca="false">IF(OR(D6533=1,K6532=""),"",K6532)</f>
        <v>1020.9</v>
      </c>
      <c r="Q6533" s="56" t="n">
        <f aca="false">IF(OR(F6533&lt;&gt;0,AND(I6533&lt;&gt;"",E6533&lt;I6533)),1,0)</f>
        <v>0</v>
      </c>
      <c r="R6533" s="56" t="n">
        <f aca="false">IF(AND(D6533&gt;1,Q6533=0,ISNUMBER(O6533),ISNUMBER(P6533)),IF(Q6532=0,1,0),0)</f>
        <v>1</v>
      </c>
      <c r="S6533" s="56" t="n">
        <f aca="false">R6533*(B6533&gt;=Train_Start)*(B6533&lt;=Train_End)</f>
        <v>0</v>
      </c>
      <c r="T6533" s="84" t="n">
        <f aca="false">IF(AND(ISNUMBER(O6533),ISNUMBER(P6533)),Coef_A+Coef_B1*O6533+Coef_B2*P6533,"")</f>
        <v>24.8417824378147</v>
      </c>
      <c r="U6533" s="84" t="n">
        <f aca="false">IF(AND(R6533=1,ISNUMBER(T6533)),E6533-T6533,"")</f>
        <v>-0.541782437814703</v>
      </c>
      <c r="V6533" s="84" t="n">
        <f aca="false">IF(ISNUMBER(T6533),T6533,-99)</f>
        <v>24.8417824378147</v>
      </c>
      <c r="W6533" s="84" t="n">
        <f aca="false">IF(ISNUMBER(U6533),ABS(U6533),"")</f>
        <v>0.541782437814703</v>
      </c>
    </row>
    <row r="6534" customFormat="false" ht="15" hidden="false" customHeight="false" outlineLevel="0" collapsed="false">
      <c r="A6534" s="57" t="n">
        <v>44423</v>
      </c>
      <c r="B6534" s="56" t="n">
        <v>2021</v>
      </c>
      <c r="C6534" s="56" t="n">
        <v>8</v>
      </c>
      <c r="D6534" s="56" t="n">
        <v>107</v>
      </c>
      <c r="E6534" s="56" t="n">
        <v>18.8</v>
      </c>
      <c r="F6534" s="56" t="n">
        <v>1</v>
      </c>
      <c r="G6534" s="56" t="n">
        <v>14.1</v>
      </c>
      <c r="H6534" s="56" t="n">
        <v>0</v>
      </c>
      <c r="I6534" s="56" t="n">
        <v>19.2</v>
      </c>
      <c r="J6534" s="56" t="n">
        <v>1</v>
      </c>
      <c r="K6534" s="56" t="n">
        <v>1013.4</v>
      </c>
      <c r="L6534" s="56" t="n">
        <v>0</v>
      </c>
      <c r="M6534" s="56" t="n">
        <v>74</v>
      </c>
      <c r="N6534" s="56" t="n">
        <v>3.3</v>
      </c>
      <c r="O6534" s="56" t="n">
        <f aca="false">IF(D6534=1,"",E6533)</f>
        <v>24.3</v>
      </c>
      <c r="P6534" s="56" t="n">
        <f aca="false">IF(OR(D6534=1,K6533=""),"",K6533)</f>
        <v>1019.7</v>
      </c>
      <c r="Q6534" s="56" t="n">
        <f aca="false">IF(OR(F6534&lt;&gt;0,AND(I6534&lt;&gt;"",E6534&lt;I6534)),1,0)</f>
        <v>1</v>
      </c>
      <c r="R6534" s="56" t="n">
        <f aca="false">IF(AND(D6534&gt;1,Q6534=0,ISNUMBER(O6534),ISNUMBER(P6534)),IF(Q6533=0,1,0),0)</f>
        <v>0</v>
      </c>
      <c r="S6534" s="56" t="n">
        <f aca="false">R6534*(B6534&gt;=Train_Start)*(B6534&lt;=Train_End)</f>
        <v>0</v>
      </c>
      <c r="T6534" s="84" t="n">
        <f aca="false">IF(AND(ISNUMBER(O6534),ISNUMBER(P6534)),Coef_A+Coef_B1*O6534+Coef_B2*P6534,"")</f>
        <v>23.9847993712113</v>
      </c>
      <c r="U6534" s="84" t="str">
        <f aca="false">IF(AND(R6534=1,ISNUMBER(T6534)),E6534-T6534,"")</f>
        <v/>
      </c>
      <c r="V6534" s="84" t="n">
        <f aca="false">IF(ISNUMBER(T6534),T6534,-99)</f>
        <v>23.9847993712113</v>
      </c>
      <c r="W6534" s="84" t="str">
        <f aca="false">IF(ISNUMBER(U6534),ABS(U6534),"")</f>
        <v/>
      </c>
    </row>
    <row r="6535" customFormat="false" ht="15" hidden="false" customHeight="false" outlineLevel="0" collapsed="false">
      <c r="A6535" s="57" t="n">
        <v>44424</v>
      </c>
      <c r="B6535" s="56" t="n">
        <v>2021</v>
      </c>
      <c r="C6535" s="56" t="n">
        <v>8</v>
      </c>
      <c r="D6535" s="56" t="n">
        <v>108</v>
      </c>
      <c r="E6535" s="56" t="n">
        <v>18.6</v>
      </c>
      <c r="F6535" s="56" t="n">
        <v>0</v>
      </c>
      <c r="G6535" s="56" t="n">
        <v>12.3</v>
      </c>
      <c r="H6535" s="56" t="n">
        <v>0</v>
      </c>
      <c r="I6535" s="56" t="n">
        <v>15.6</v>
      </c>
      <c r="J6535" s="56" t="n">
        <v>0</v>
      </c>
      <c r="K6535" s="56" t="n">
        <v>1017.3</v>
      </c>
      <c r="L6535" s="56" t="n">
        <v>0</v>
      </c>
      <c r="M6535" s="56" t="n">
        <v>68</v>
      </c>
      <c r="N6535" s="56" t="n">
        <v>2</v>
      </c>
      <c r="O6535" s="56" t="n">
        <f aca="false">IF(D6535=1,"",E6534)</f>
        <v>18.8</v>
      </c>
      <c r="P6535" s="56" t="n">
        <f aca="false">IF(OR(D6535=1,K6534=""),"",K6534)</f>
        <v>1013.4</v>
      </c>
      <c r="Q6535" s="56" t="n">
        <f aca="false">IF(OR(F6535&lt;&gt;0,AND(I6535&lt;&gt;"",E6535&lt;I6535)),1,0)</f>
        <v>0</v>
      </c>
      <c r="R6535" s="56" t="n">
        <f aca="false">IF(AND(D6535&gt;1,Q6535=0,ISNUMBER(O6535),ISNUMBER(P6535)),IF(Q6534=0,1,0),0)</f>
        <v>0</v>
      </c>
      <c r="S6535" s="56" t="n">
        <f aca="false">R6535*(B6535&gt;=Train_Start)*(B6535&lt;=Train_End)</f>
        <v>0</v>
      </c>
      <c r="T6535" s="84" t="n">
        <f aca="false">IF(AND(ISNUMBER(O6535),ISNUMBER(P6535)),Coef_A+Coef_B1*O6535+Coef_B2*P6535,"")</f>
        <v>19.2808034732825</v>
      </c>
      <c r="U6535" s="84" t="str">
        <f aca="false">IF(AND(R6535=1,ISNUMBER(T6535)),E6535-T6535,"")</f>
        <v/>
      </c>
      <c r="V6535" s="84" t="n">
        <f aca="false">IF(ISNUMBER(T6535),T6535,-99)</f>
        <v>19.2808034732825</v>
      </c>
      <c r="W6535" s="84" t="str">
        <f aca="false">IF(ISNUMBER(U6535),ABS(U6535),"")</f>
        <v/>
      </c>
    </row>
    <row r="6536" customFormat="false" ht="15" hidden="false" customHeight="false" outlineLevel="0" collapsed="false">
      <c r="A6536" s="57" t="n">
        <v>44425</v>
      </c>
      <c r="B6536" s="56" t="n">
        <v>2021</v>
      </c>
      <c r="C6536" s="56" t="n">
        <v>8</v>
      </c>
      <c r="D6536" s="56" t="n">
        <v>109</v>
      </c>
      <c r="E6536" s="56" t="n">
        <v>24.1</v>
      </c>
      <c r="F6536" s="56" t="n">
        <v>0</v>
      </c>
      <c r="G6536" s="56" t="n">
        <v>11.4</v>
      </c>
      <c r="H6536" s="56" t="n">
        <v>0</v>
      </c>
      <c r="I6536" s="56" t="n">
        <v>15</v>
      </c>
      <c r="J6536" s="56" t="n">
        <v>0</v>
      </c>
      <c r="K6536" s="56" t="n">
        <v>1019.7</v>
      </c>
      <c r="L6536" s="56" t="n">
        <v>0</v>
      </c>
      <c r="M6536" s="56" t="n">
        <v>78</v>
      </c>
      <c r="N6536" s="56" t="n">
        <v>0</v>
      </c>
      <c r="O6536" s="56" t="n">
        <f aca="false">IF(D6536=1,"",E6535)</f>
        <v>18.6</v>
      </c>
      <c r="P6536" s="56" t="n">
        <f aca="false">IF(OR(D6536=1,K6535=""),"",K6535)</f>
        <v>1017.3</v>
      </c>
      <c r="Q6536" s="56" t="n">
        <f aca="false">IF(OR(F6536&lt;&gt;0,AND(I6536&lt;&gt;"",E6536&lt;I6536)),1,0)</f>
        <v>0</v>
      </c>
      <c r="R6536" s="56" t="n">
        <f aca="false">IF(AND(D6536&gt;1,Q6536=0,ISNUMBER(O6536),ISNUMBER(P6536)),IF(Q6535=0,1,0),0)</f>
        <v>1</v>
      </c>
      <c r="S6536" s="56" t="n">
        <f aca="false">R6536*(B6536&gt;=Train_Start)*(B6536&lt;=Train_End)</f>
        <v>0</v>
      </c>
      <c r="T6536" s="84" t="n">
        <f aca="false">IF(AND(ISNUMBER(O6536),ISNUMBER(P6536)),Coef_A+Coef_B1*O6536+Coef_B2*P6536,"")</f>
        <v>19.2392782237465</v>
      </c>
      <c r="U6536" s="84" t="n">
        <f aca="false">IF(AND(R6536=1,ISNUMBER(T6536)),E6536-T6536,"")</f>
        <v>4.86072177625346</v>
      </c>
      <c r="V6536" s="84" t="n">
        <f aca="false">IF(ISNUMBER(T6536),T6536,-99)</f>
        <v>19.2392782237465</v>
      </c>
      <c r="W6536" s="84" t="n">
        <f aca="false">IF(ISNUMBER(U6536),ABS(U6536),"")</f>
        <v>4.86072177625346</v>
      </c>
    </row>
    <row r="6537" customFormat="false" ht="15" hidden="false" customHeight="false" outlineLevel="0" collapsed="false">
      <c r="A6537" s="57" t="n">
        <v>44426</v>
      </c>
      <c r="B6537" s="56" t="n">
        <v>2021</v>
      </c>
      <c r="C6537" s="56" t="n">
        <v>8</v>
      </c>
      <c r="D6537" s="56" t="n">
        <v>110</v>
      </c>
      <c r="E6537" s="56" t="n">
        <v>21.7</v>
      </c>
      <c r="F6537" s="56" t="n">
        <v>0</v>
      </c>
      <c r="G6537" s="56" t="n">
        <v>15.3</v>
      </c>
      <c r="H6537" s="56" t="n">
        <v>0</v>
      </c>
      <c r="I6537" s="56" t="n">
        <v>19.7</v>
      </c>
      <c r="J6537" s="56" t="n">
        <v>0</v>
      </c>
      <c r="K6537" s="56" t="n">
        <v>1016.8</v>
      </c>
      <c r="L6537" s="56" t="n">
        <v>0</v>
      </c>
      <c r="M6537" s="56" t="n">
        <v>76</v>
      </c>
      <c r="N6537" s="56" t="n">
        <v>2.9</v>
      </c>
      <c r="O6537" s="56" t="n">
        <f aca="false">IF(D6537=1,"",E6536)</f>
        <v>24.1</v>
      </c>
      <c r="P6537" s="56" t="n">
        <f aca="false">IF(OR(D6537=1,K6536=""),"",K6536)</f>
        <v>1019.7</v>
      </c>
      <c r="Q6537" s="56" t="n">
        <f aca="false">IF(OR(F6537&lt;&gt;0,AND(I6537&lt;&gt;"",E6537&lt;I6537)),1,0)</f>
        <v>0</v>
      </c>
      <c r="R6537" s="56" t="n">
        <f aca="false">IF(AND(D6537&gt;1,Q6537=0,ISNUMBER(O6537),ISNUMBER(P6537)),IF(Q6536=0,1,0),0)</f>
        <v>1</v>
      </c>
      <c r="S6537" s="56" t="n">
        <f aca="false">R6537*(B6537&gt;=Train_Start)*(B6537&lt;=Train_End)</f>
        <v>0</v>
      </c>
      <c r="T6537" s="84" t="n">
        <f aca="false">IF(AND(ISNUMBER(O6537),ISNUMBER(P6537)),Coef_A+Coef_B1*O6537+Coef_B2*P6537,"")</f>
        <v>23.8209315326027</v>
      </c>
      <c r="U6537" s="84" t="n">
        <f aca="false">IF(AND(R6537=1,ISNUMBER(T6537)),E6537-T6537,"")</f>
        <v>-2.12093153260273</v>
      </c>
      <c r="V6537" s="84" t="n">
        <f aca="false">IF(ISNUMBER(T6537),T6537,-99)</f>
        <v>23.8209315326027</v>
      </c>
      <c r="W6537" s="84" t="n">
        <f aca="false">IF(ISNUMBER(U6537),ABS(U6537),"")</f>
        <v>2.12093153260273</v>
      </c>
    </row>
    <row r="6538" customFormat="false" ht="15" hidden="false" customHeight="false" outlineLevel="0" collapsed="false">
      <c r="A6538" s="57" t="n">
        <v>44427</v>
      </c>
      <c r="B6538" s="56" t="n">
        <v>2021</v>
      </c>
      <c r="C6538" s="56" t="n">
        <v>8</v>
      </c>
      <c r="D6538" s="56" t="n">
        <v>111</v>
      </c>
      <c r="E6538" s="56" t="n">
        <v>21.6</v>
      </c>
      <c r="F6538" s="56" t="n">
        <v>0</v>
      </c>
      <c r="G6538" s="56" t="n">
        <v>13.7</v>
      </c>
      <c r="H6538" s="56" t="n">
        <v>0</v>
      </c>
      <c r="I6538" s="56" t="n">
        <v>17.7</v>
      </c>
      <c r="J6538" s="56" t="n">
        <v>0</v>
      </c>
      <c r="K6538" s="56" t="n">
        <v>1014.3</v>
      </c>
      <c r="L6538" s="56" t="n">
        <v>0</v>
      </c>
      <c r="M6538" s="56" t="n">
        <v>75</v>
      </c>
      <c r="N6538" s="56" t="n">
        <v>2.7</v>
      </c>
      <c r="O6538" s="56" t="n">
        <f aca="false">IF(D6538=1,"",E6537)</f>
        <v>21.7</v>
      </c>
      <c r="P6538" s="56" t="n">
        <f aca="false">IF(OR(D6538=1,K6537=""),"",K6537)</f>
        <v>1016.8</v>
      </c>
      <c r="Q6538" s="56" t="n">
        <f aca="false">IF(OR(F6538&lt;&gt;0,AND(I6538&lt;&gt;"",E6538&lt;I6538)),1,0)</f>
        <v>0</v>
      </c>
      <c r="R6538" s="56" t="n">
        <f aca="false">IF(AND(D6538&gt;1,Q6538=0,ISNUMBER(O6538),ISNUMBER(P6538)),IF(Q6537=0,1,0),0)</f>
        <v>1</v>
      </c>
      <c r="S6538" s="56" t="n">
        <f aca="false">R6538*(B6538&gt;=Train_Start)*(B6538&lt;=Train_End)</f>
        <v>0</v>
      </c>
      <c r="T6538" s="84" t="n">
        <f aca="false">IF(AND(ISNUMBER(O6538),ISNUMBER(P6538)),Coef_A+Coef_B1*O6538+Coef_B2*P6538,"")</f>
        <v>21.7635447748618</v>
      </c>
      <c r="U6538" s="84" t="n">
        <f aca="false">IF(AND(R6538=1,ISNUMBER(T6538)),E6538-T6538,"")</f>
        <v>-0.16354477486178</v>
      </c>
      <c r="V6538" s="84" t="n">
        <f aca="false">IF(ISNUMBER(T6538),T6538,-99)</f>
        <v>21.7635447748618</v>
      </c>
      <c r="W6538" s="84" t="n">
        <f aca="false">IF(ISNUMBER(U6538),ABS(U6538),"")</f>
        <v>0.16354477486178</v>
      </c>
    </row>
    <row r="6539" customFormat="false" ht="15" hidden="false" customHeight="false" outlineLevel="0" collapsed="false">
      <c r="A6539" s="57" t="n">
        <v>44428</v>
      </c>
      <c r="B6539" s="56" t="n">
        <v>2021</v>
      </c>
      <c r="C6539" s="56" t="n">
        <v>8</v>
      </c>
      <c r="D6539" s="56" t="n">
        <v>112</v>
      </c>
      <c r="E6539" s="56" t="n">
        <v>21.1</v>
      </c>
      <c r="F6539" s="56" t="n">
        <v>0</v>
      </c>
      <c r="G6539" s="56" t="n">
        <v>13.5</v>
      </c>
      <c r="H6539" s="56" t="n">
        <v>0</v>
      </c>
      <c r="I6539" s="56" t="n">
        <v>17.6</v>
      </c>
      <c r="J6539" s="56" t="n">
        <v>0</v>
      </c>
      <c r="K6539" s="56" t="n">
        <v>1016.1</v>
      </c>
      <c r="L6539" s="56" t="n">
        <v>0</v>
      </c>
      <c r="M6539" s="56" t="n">
        <v>81</v>
      </c>
      <c r="N6539" s="56" t="n">
        <v>0</v>
      </c>
      <c r="O6539" s="56" t="n">
        <f aca="false">IF(D6539=1,"",E6538)</f>
        <v>21.6</v>
      </c>
      <c r="P6539" s="56" t="n">
        <f aca="false">IF(OR(D6539=1,K6538=""),"",K6538)</f>
        <v>1014.3</v>
      </c>
      <c r="Q6539" s="56" t="n">
        <f aca="false">IF(OR(F6539&lt;&gt;0,AND(I6539&lt;&gt;"",E6539&lt;I6539)),1,0)</f>
        <v>0</v>
      </c>
      <c r="R6539" s="56" t="n">
        <f aca="false">IF(AND(D6539&gt;1,Q6539=0,ISNUMBER(O6539),ISNUMBER(P6539)),IF(Q6538=0,1,0),0)</f>
        <v>1</v>
      </c>
      <c r="S6539" s="56" t="n">
        <f aca="false">R6539*(B6539&gt;=Train_Start)*(B6539&lt;=Train_End)</f>
        <v>0</v>
      </c>
      <c r="T6539" s="84" t="n">
        <f aca="false">IF(AND(ISNUMBER(O6539),ISNUMBER(P6539)),Coef_A+Coef_B1*O6539+Coef_B2*P6539,"")</f>
        <v>21.6031861189725</v>
      </c>
      <c r="U6539" s="84" t="n">
        <f aca="false">IF(AND(R6539=1,ISNUMBER(T6539)),E6539-T6539,"")</f>
        <v>-0.50318611897254</v>
      </c>
      <c r="V6539" s="84" t="n">
        <f aca="false">IF(ISNUMBER(T6539),T6539,-99)</f>
        <v>21.6031861189725</v>
      </c>
      <c r="W6539" s="84" t="n">
        <f aca="false">IF(ISNUMBER(U6539),ABS(U6539),"")</f>
        <v>0.50318611897254</v>
      </c>
    </row>
    <row r="6540" customFormat="false" ht="15" hidden="false" customHeight="false" outlineLevel="0" collapsed="false">
      <c r="A6540" s="57" t="n">
        <v>44429</v>
      </c>
      <c r="B6540" s="56" t="n">
        <v>2021</v>
      </c>
      <c r="C6540" s="56" t="n">
        <v>8</v>
      </c>
      <c r="D6540" s="56" t="n">
        <v>113</v>
      </c>
      <c r="E6540" s="56" t="n">
        <v>23.1</v>
      </c>
      <c r="F6540" s="56" t="n">
        <v>0</v>
      </c>
      <c r="G6540" s="56" t="n">
        <v>15.5</v>
      </c>
      <c r="H6540" s="56" t="n">
        <v>0</v>
      </c>
      <c r="I6540" s="56" t="n">
        <v>18.3</v>
      </c>
      <c r="J6540" s="56" t="n">
        <v>0</v>
      </c>
      <c r="K6540" s="56" t="n">
        <v>1015.4</v>
      </c>
      <c r="L6540" s="56" t="n">
        <v>0</v>
      </c>
      <c r="M6540" s="56" t="n">
        <v>84</v>
      </c>
      <c r="N6540" s="56" t="n">
        <v>0.9</v>
      </c>
      <c r="O6540" s="56" t="n">
        <f aca="false">IF(D6540=1,"",E6539)</f>
        <v>21.1</v>
      </c>
      <c r="P6540" s="56" t="n">
        <f aca="false">IF(OR(D6540=1,K6539=""),"",K6539)</f>
        <v>1016.1</v>
      </c>
      <c r="Q6540" s="56" t="n">
        <f aca="false">IF(OR(F6540&lt;&gt;0,AND(I6540&lt;&gt;"",E6540&lt;I6540)),1,0)</f>
        <v>0</v>
      </c>
      <c r="R6540" s="56" t="n">
        <f aca="false">IF(AND(D6540&gt;1,Q6540=0,ISNUMBER(O6540),ISNUMBER(P6540)),IF(Q6539=0,1,0),0)</f>
        <v>1</v>
      </c>
      <c r="S6540" s="56" t="n">
        <f aca="false">R6540*(B6540&gt;=Train_Start)*(B6540&lt;=Train_End)</f>
        <v>0</v>
      </c>
      <c r="T6540" s="84" t="n">
        <f aca="false">IF(AND(ISNUMBER(O6540),ISNUMBER(P6540)),Coef_A+Coef_B1*O6540+Coef_B2*P6540,"")</f>
        <v>21.2499823327924</v>
      </c>
      <c r="U6540" s="84" t="n">
        <f aca="false">IF(AND(R6540=1,ISNUMBER(T6540)),E6540-T6540,"")</f>
        <v>1.85001766720761</v>
      </c>
      <c r="V6540" s="84" t="n">
        <f aca="false">IF(ISNUMBER(T6540),T6540,-99)</f>
        <v>21.2499823327924</v>
      </c>
      <c r="W6540" s="84" t="n">
        <f aca="false">IF(ISNUMBER(U6540),ABS(U6540),"")</f>
        <v>1.85001766720761</v>
      </c>
    </row>
    <row r="6541" customFormat="false" ht="15" hidden="false" customHeight="false" outlineLevel="0" collapsed="false">
      <c r="A6541" s="57" t="n">
        <v>44430</v>
      </c>
      <c r="B6541" s="56" t="n">
        <v>2021</v>
      </c>
      <c r="C6541" s="56" t="n">
        <v>8</v>
      </c>
      <c r="D6541" s="56" t="n">
        <v>114</v>
      </c>
      <c r="E6541" s="56" t="n">
        <v>22</v>
      </c>
      <c r="F6541" s="56" t="n">
        <v>0</v>
      </c>
      <c r="G6541" s="56" t="n">
        <v>15.2</v>
      </c>
      <c r="H6541" s="56" t="n">
        <v>0</v>
      </c>
      <c r="I6541" s="56" t="n">
        <v>19.1</v>
      </c>
      <c r="J6541" s="56" t="n">
        <v>0</v>
      </c>
      <c r="K6541" s="56" t="n">
        <v>1019</v>
      </c>
      <c r="L6541" s="56" t="n">
        <v>0</v>
      </c>
      <c r="M6541" s="56" t="n">
        <v>78</v>
      </c>
      <c r="N6541" s="56" t="n">
        <v>4.3</v>
      </c>
      <c r="O6541" s="56" t="n">
        <f aca="false">IF(D6541=1,"",E6540)</f>
        <v>23.1</v>
      </c>
      <c r="P6541" s="56" t="n">
        <f aca="false">IF(OR(D6541=1,K6540=""),"",K6540)</f>
        <v>1015.4</v>
      </c>
      <c r="Q6541" s="56" t="n">
        <f aca="false">IF(OR(F6541&lt;&gt;0,AND(I6541&lt;&gt;"",E6541&lt;I6541)),1,0)</f>
        <v>0</v>
      </c>
      <c r="R6541" s="56" t="n">
        <f aca="false">IF(AND(D6541&gt;1,Q6541=0,ISNUMBER(O6541),ISNUMBER(P6541)),IF(Q6540=0,1,0),0)</f>
        <v>1</v>
      </c>
      <c r="S6541" s="56" t="n">
        <f aca="false">R6541*(B6541&gt;=Train_Start)*(B6541&lt;=Train_End)</f>
        <v>0</v>
      </c>
      <c r="T6541" s="84" t="n">
        <f aca="false">IF(AND(ISNUMBER(O6541),ISNUMBER(P6541)),Coef_A+Coef_B1*O6541+Coef_B2*P6541,"")</f>
        <v>22.8667017926339</v>
      </c>
      <c r="U6541" s="84" t="n">
        <f aca="false">IF(AND(R6541=1,ISNUMBER(T6541)),E6541-T6541,"")</f>
        <v>-0.866701792633918</v>
      </c>
      <c r="V6541" s="84" t="n">
        <f aca="false">IF(ISNUMBER(T6541),T6541,-99)</f>
        <v>22.8667017926339</v>
      </c>
      <c r="W6541" s="84" t="n">
        <f aca="false">IF(ISNUMBER(U6541),ABS(U6541),"")</f>
        <v>0.866701792633918</v>
      </c>
    </row>
    <row r="6542" customFormat="false" ht="15" hidden="false" customHeight="false" outlineLevel="0" collapsed="false">
      <c r="A6542" s="57" t="n">
        <v>44431</v>
      </c>
      <c r="B6542" s="56" t="n">
        <v>2021</v>
      </c>
      <c r="C6542" s="56" t="n">
        <v>8</v>
      </c>
      <c r="D6542" s="56" t="n">
        <v>115</v>
      </c>
      <c r="E6542" s="56" t="n">
        <v>24</v>
      </c>
      <c r="F6542" s="56" t="n">
        <v>0</v>
      </c>
      <c r="G6542" s="56" t="n">
        <v>15.5</v>
      </c>
      <c r="H6542" s="56" t="n">
        <v>0</v>
      </c>
      <c r="I6542" s="56" t="n">
        <v>18.8</v>
      </c>
      <c r="J6542" s="56" t="n">
        <v>0</v>
      </c>
      <c r="K6542" s="56" t="n">
        <v>1027.7</v>
      </c>
      <c r="L6542" s="56" t="n">
        <v>0</v>
      </c>
      <c r="M6542" s="56" t="n">
        <v>71</v>
      </c>
      <c r="N6542" s="56" t="n">
        <v>3.7</v>
      </c>
      <c r="O6542" s="56" t="n">
        <f aca="false">IF(D6542=1,"",E6541)</f>
        <v>22</v>
      </c>
      <c r="P6542" s="56" t="n">
        <f aca="false">IF(OR(D6542=1,K6541=""),"",K6541)</f>
        <v>1019</v>
      </c>
      <c r="Q6542" s="56" t="n">
        <f aca="false">IF(OR(F6542&lt;&gt;0,AND(I6542&lt;&gt;"",E6542&lt;I6542)),1,0)</f>
        <v>0</v>
      </c>
      <c r="R6542" s="56" t="n">
        <f aca="false">IF(AND(D6542&gt;1,Q6542=0,ISNUMBER(O6542),ISNUMBER(P6542)),IF(Q6541=0,1,0),0)</f>
        <v>1</v>
      </c>
      <c r="S6542" s="56" t="n">
        <f aca="false">R6542*(B6542&gt;=Train_Start)*(B6542&lt;=Train_End)</f>
        <v>0</v>
      </c>
      <c r="T6542" s="84" t="n">
        <f aca="false">IF(AND(ISNUMBER(O6542),ISNUMBER(P6542)),Coef_A+Coef_B1*O6542+Coef_B2*P6542,"")</f>
        <v>22.0783603009694</v>
      </c>
      <c r="U6542" s="84" t="n">
        <f aca="false">IF(AND(R6542=1,ISNUMBER(T6542)),E6542-T6542,"")</f>
        <v>1.92163969903064</v>
      </c>
      <c r="V6542" s="84" t="n">
        <f aca="false">IF(ISNUMBER(T6542),T6542,-99)</f>
        <v>22.0783603009694</v>
      </c>
      <c r="W6542" s="84" t="n">
        <f aca="false">IF(ISNUMBER(U6542),ABS(U6542),"")</f>
        <v>1.92163969903064</v>
      </c>
    </row>
    <row r="6543" customFormat="false" ht="15" hidden="false" customHeight="false" outlineLevel="0" collapsed="false">
      <c r="A6543" s="57" t="n">
        <v>44432</v>
      </c>
      <c r="B6543" s="56" t="n">
        <v>2021</v>
      </c>
      <c r="C6543" s="56" t="n">
        <v>8</v>
      </c>
      <c r="D6543" s="56" t="n">
        <v>116</v>
      </c>
      <c r="E6543" s="56" t="n">
        <v>22.3</v>
      </c>
      <c r="F6543" s="56" t="n">
        <v>0</v>
      </c>
      <c r="G6543" s="56" t="n">
        <v>12.4</v>
      </c>
      <c r="H6543" s="56" t="n">
        <v>0</v>
      </c>
      <c r="I6543" s="56" t="n">
        <v>18.2</v>
      </c>
      <c r="J6543" s="56" t="n">
        <v>0</v>
      </c>
      <c r="K6543" s="56" t="n">
        <v>1029.4</v>
      </c>
      <c r="L6543" s="56" t="n">
        <v>0</v>
      </c>
      <c r="M6543" s="56" t="n">
        <v>68</v>
      </c>
      <c r="N6543" s="56" t="n">
        <v>5.9</v>
      </c>
      <c r="O6543" s="56" t="n">
        <f aca="false">IF(D6543=1,"",E6542)</f>
        <v>24</v>
      </c>
      <c r="P6543" s="56" t="n">
        <f aca="false">IF(OR(D6543=1,K6542=""),"",K6542)</f>
        <v>1027.7</v>
      </c>
      <c r="Q6543" s="56" t="n">
        <f aca="false">IF(OR(F6543&lt;&gt;0,AND(I6543&lt;&gt;"",E6543&lt;I6543)),1,0)</f>
        <v>0</v>
      </c>
      <c r="R6543" s="56" t="n">
        <f aca="false">IF(AND(D6543&gt;1,Q6543=0,ISNUMBER(O6543),ISNUMBER(P6543)),IF(Q6542=0,1,0),0)</f>
        <v>1</v>
      </c>
      <c r="S6543" s="56" t="n">
        <f aca="false">R6543*(B6543&gt;=Train_Start)*(B6543&lt;=Train_End)</f>
        <v>0</v>
      </c>
      <c r="T6543" s="84" t="n">
        <f aca="false">IF(AND(ISNUMBER(O6543),ISNUMBER(P6543)),Coef_A+Coef_B1*O6543+Coef_B2*P6543,"")</f>
        <v>23.9899567703704</v>
      </c>
      <c r="U6543" s="84" t="n">
        <f aca="false">IF(AND(R6543=1,ISNUMBER(T6543)),E6543-T6543,"")</f>
        <v>-1.68995677037038</v>
      </c>
      <c r="V6543" s="84" t="n">
        <f aca="false">IF(ISNUMBER(T6543),T6543,-99)</f>
        <v>23.9899567703704</v>
      </c>
      <c r="W6543" s="84" t="n">
        <f aca="false">IF(ISNUMBER(U6543),ABS(U6543),"")</f>
        <v>1.68995677037038</v>
      </c>
    </row>
    <row r="6544" customFormat="false" ht="15" hidden="false" customHeight="false" outlineLevel="0" collapsed="false">
      <c r="A6544" s="57" t="n">
        <v>44433</v>
      </c>
      <c r="B6544" s="56" t="n">
        <v>2021</v>
      </c>
      <c r="C6544" s="56" t="n">
        <v>8</v>
      </c>
      <c r="D6544" s="56" t="n">
        <v>117</v>
      </c>
      <c r="E6544" s="56" t="n">
        <v>18.7</v>
      </c>
      <c r="F6544" s="56" t="n">
        <v>0</v>
      </c>
      <c r="G6544" s="56" t="n">
        <v>13.2</v>
      </c>
      <c r="H6544" s="56" t="n">
        <v>0</v>
      </c>
      <c r="I6544" s="56" t="n">
        <v>17.8</v>
      </c>
      <c r="J6544" s="56" t="n">
        <v>0</v>
      </c>
      <c r="K6544" s="56" t="n">
        <v>1025.6</v>
      </c>
      <c r="L6544" s="56" t="n">
        <v>0</v>
      </c>
      <c r="M6544" s="56" t="n">
        <v>71</v>
      </c>
      <c r="N6544" s="56" t="n">
        <v>9.8</v>
      </c>
      <c r="O6544" s="56" t="n">
        <f aca="false">IF(D6544=1,"",E6543)</f>
        <v>22.3</v>
      </c>
      <c r="P6544" s="56" t="n">
        <f aca="false">IF(OR(D6544=1,K6543=""),"",K6543)</f>
        <v>1029.4</v>
      </c>
      <c r="Q6544" s="56" t="n">
        <f aca="false">IF(OR(F6544&lt;&gt;0,AND(I6544&lt;&gt;"",E6544&lt;I6544)),1,0)</f>
        <v>0</v>
      </c>
      <c r="R6544" s="56" t="n">
        <f aca="false">IF(AND(D6544&gt;1,Q6544=0,ISNUMBER(O6544),ISNUMBER(P6544)),IF(Q6543=0,1,0),0)</f>
        <v>1</v>
      </c>
      <c r="S6544" s="56" t="n">
        <f aca="false">R6544*(B6544&gt;=Train_Start)*(B6544&lt;=Train_End)</f>
        <v>0</v>
      </c>
      <c r="T6544" s="84" t="n">
        <f aca="false">IF(AND(ISNUMBER(O6544),ISNUMBER(P6544)),Coef_A+Coef_B1*O6544+Coef_B2*P6544,"")</f>
        <v>22.6504089630756</v>
      </c>
      <c r="U6544" s="84" t="n">
        <f aca="false">IF(AND(R6544=1,ISNUMBER(T6544)),E6544-T6544,"")</f>
        <v>-3.95040896307565</v>
      </c>
      <c r="V6544" s="84" t="n">
        <f aca="false">IF(ISNUMBER(T6544),T6544,-99)</f>
        <v>22.6504089630756</v>
      </c>
      <c r="W6544" s="84" t="n">
        <f aca="false">IF(ISNUMBER(U6544),ABS(U6544),"")</f>
        <v>3.95040896307565</v>
      </c>
    </row>
    <row r="6545" customFormat="false" ht="15" hidden="false" customHeight="false" outlineLevel="0" collapsed="false">
      <c r="A6545" s="57" t="n">
        <v>44434</v>
      </c>
      <c r="B6545" s="56" t="n">
        <v>2021</v>
      </c>
      <c r="C6545" s="56" t="n">
        <v>8</v>
      </c>
      <c r="D6545" s="56" t="n">
        <v>118</v>
      </c>
      <c r="E6545" s="56" t="n">
        <v>19.7</v>
      </c>
      <c r="F6545" s="56" t="n">
        <v>0</v>
      </c>
      <c r="G6545" s="56" t="n">
        <v>15.9</v>
      </c>
      <c r="H6545" s="56" t="n">
        <v>0</v>
      </c>
      <c r="I6545" s="56" t="n">
        <v>17.3</v>
      </c>
      <c r="J6545" s="56" t="n">
        <v>0</v>
      </c>
      <c r="K6545" s="56" t="n">
        <v>1022.2</v>
      </c>
      <c r="L6545" s="56" t="n">
        <v>0</v>
      </c>
      <c r="M6545" s="56" t="n">
        <v>65</v>
      </c>
      <c r="N6545" s="56" t="n">
        <v>0.1</v>
      </c>
      <c r="O6545" s="56" t="n">
        <f aca="false">IF(D6545=1,"",E6544)</f>
        <v>18.7</v>
      </c>
      <c r="P6545" s="56" t="n">
        <f aca="false">IF(OR(D6545=1,K6544=""),"",K6544)</f>
        <v>1025.6</v>
      </c>
      <c r="Q6545" s="56" t="n">
        <f aca="false">IF(OR(F6545&lt;&gt;0,AND(I6545&lt;&gt;"",E6545&lt;I6545)),1,0)</f>
        <v>0</v>
      </c>
      <c r="R6545" s="56" t="n">
        <f aca="false">IF(AND(D6545&gt;1,Q6545=0,ISNUMBER(O6545),ISNUMBER(P6545)),IF(Q6544=0,1,0),0)</f>
        <v>1</v>
      </c>
      <c r="S6545" s="56" t="n">
        <f aca="false">R6545*(B6545&gt;=Train_Start)*(B6545&lt;=Train_End)</f>
        <v>0</v>
      </c>
      <c r="T6545" s="84" t="n">
        <f aca="false">IF(AND(ISNUMBER(O6545),ISNUMBER(P6545)),Coef_A+Coef_B1*O6545+Coef_B2*P6545,"")</f>
        <v>19.5815822685129</v>
      </c>
      <c r="U6545" s="84" t="n">
        <f aca="false">IF(AND(R6545=1,ISNUMBER(T6545)),E6545-T6545,"")</f>
        <v>0.118417731487089</v>
      </c>
      <c r="V6545" s="84" t="n">
        <f aca="false">IF(ISNUMBER(T6545),T6545,-99)</f>
        <v>19.5815822685129</v>
      </c>
      <c r="W6545" s="84" t="n">
        <f aca="false">IF(ISNUMBER(U6545),ABS(U6545),"")</f>
        <v>0.118417731487089</v>
      </c>
    </row>
    <row r="6546" customFormat="false" ht="15" hidden="false" customHeight="false" outlineLevel="0" collapsed="false">
      <c r="A6546" s="57" t="n">
        <v>44435</v>
      </c>
      <c r="B6546" s="56" t="n">
        <v>2021</v>
      </c>
      <c r="C6546" s="56" t="n">
        <v>8</v>
      </c>
      <c r="D6546" s="56" t="n">
        <v>119</v>
      </c>
      <c r="E6546" s="56" t="n">
        <v>20.9</v>
      </c>
      <c r="F6546" s="56" t="n">
        <v>0</v>
      </c>
      <c r="G6546" s="56" t="n">
        <v>12.5</v>
      </c>
      <c r="H6546" s="56" t="n">
        <v>0</v>
      </c>
      <c r="I6546" s="56" t="n">
        <v>16.1</v>
      </c>
      <c r="J6546" s="56" t="n">
        <v>0</v>
      </c>
      <c r="K6546" s="56" t="n">
        <v>1023.5</v>
      </c>
      <c r="L6546" s="56" t="n">
        <v>0</v>
      </c>
      <c r="M6546" s="56" t="n">
        <v>69</v>
      </c>
      <c r="N6546" s="56" t="n">
        <v>3.1</v>
      </c>
      <c r="O6546" s="56" t="n">
        <f aca="false">IF(D6546=1,"",E6545)</f>
        <v>19.7</v>
      </c>
      <c r="P6546" s="56" t="n">
        <f aca="false">IF(OR(D6546=1,K6545=""),"",K6545)</f>
        <v>1022.2</v>
      </c>
      <c r="Q6546" s="56" t="n">
        <f aca="false">IF(OR(F6546&lt;&gt;0,AND(I6546&lt;&gt;"",E6546&lt;I6546)),1,0)</f>
        <v>0</v>
      </c>
      <c r="R6546" s="56" t="n">
        <f aca="false">IF(AND(D6546&gt;1,Q6546=0,ISNUMBER(O6546),ISNUMBER(P6546)),IF(Q6545=0,1,0),0)</f>
        <v>1</v>
      </c>
      <c r="S6546" s="56" t="n">
        <f aca="false">R6546*(B6546&gt;=Train_Start)*(B6546&lt;=Train_End)</f>
        <v>0</v>
      </c>
      <c r="T6546" s="84" t="n">
        <f aca="false">IF(AND(ISNUMBER(O6546),ISNUMBER(P6546)),Coef_A+Coef_B1*O6546+Coef_B2*P6546,"")</f>
        <v>20.2942638198</v>
      </c>
      <c r="U6546" s="84" t="n">
        <f aca="false">IF(AND(R6546=1,ISNUMBER(T6546)),E6546-T6546,"")</f>
        <v>0.60573618019999</v>
      </c>
      <c r="V6546" s="84" t="n">
        <f aca="false">IF(ISNUMBER(T6546),T6546,-99)</f>
        <v>20.2942638198</v>
      </c>
      <c r="W6546" s="84" t="n">
        <f aca="false">IF(ISNUMBER(U6546),ABS(U6546),"")</f>
        <v>0.60573618019999</v>
      </c>
    </row>
    <row r="6547" customFormat="false" ht="15" hidden="false" customHeight="false" outlineLevel="0" collapsed="false">
      <c r="A6547" s="57" t="n">
        <v>44436</v>
      </c>
      <c r="B6547" s="56" t="n">
        <v>2021</v>
      </c>
      <c r="C6547" s="56" t="n">
        <v>8</v>
      </c>
      <c r="D6547" s="56" t="n">
        <v>120</v>
      </c>
      <c r="E6547" s="56" t="n">
        <v>19.9</v>
      </c>
      <c r="F6547" s="56" t="n">
        <v>0</v>
      </c>
      <c r="G6547" s="56" t="n">
        <v>11.3</v>
      </c>
      <c r="H6547" s="56" t="n">
        <v>0</v>
      </c>
      <c r="I6547" s="56" t="n">
        <v>16.1</v>
      </c>
      <c r="J6547" s="56" t="n">
        <v>0</v>
      </c>
      <c r="K6547" s="56" t="n">
        <v>1026</v>
      </c>
      <c r="L6547" s="56" t="n">
        <v>0</v>
      </c>
      <c r="M6547" s="56" t="n">
        <v>74</v>
      </c>
      <c r="N6547" s="56" t="n">
        <v>1.3</v>
      </c>
      <c r="O6547" s="56" t="n">
        <f aca="false">IF(D6547=1,"",E6546)</f>
        <v>20.9</v>
      </c>
      <c r="P6547" s="56" t="n">
        <f aca="false">IF(OR(D6547=1,K6546=""),"",K6546)</f>
        <v>1023.5</v>
      </c>
      <c r="Q6547" s="56" t="n">
        <f aca="false">IF(OR(F6547&lt;&gt;0,AND(I6547&lt;&gt;"",E6547&lt;I6547)),1,0)</f>
        <v>0</v>
      </c>
      <c r="R6547" s="56" t="n">
        <f aca="false">IF(AND(D6547&gt;1,Q6547=0,ISNUMBER(O6547),ISNUMBER(P6547)),IF(Q6546=0,1,0),0)</f>
        <v>1</v>
      </c>
      <c r="S6547" s="56" t="n">
        <f aca="false">R6547*(B6547&gt;=Train_Start)*(B6547&lt;=Train_End)</f>
        <v>0</v>
      </c>
      <c r="T6547" s="84" t="n">
        <f aca="false">IF(AND(ISNUMBER(O6547),ISNUMBER(P6547)),Coef_A+Coef_B1*O6547+Coef_B2*P6547,"")</f>
        <v>21.3182517144754</v>
      </c>
      <c r="U6547" s="84" t="n">
        <f aca="false">IF(AND(R6547=1,ISNUMBER(T6547)),E6547-T6547,"")</f>
        <v>-1.41825171447539</v>
      </c>
      <c r="V6547" s="84" t="n">
        <f aca="false">IF(ISNUMBER(T6547),T6547,-99)</f>
        <v>21.3182517144754</v>
      </c>
      <c r="W6547" s="84" t="n">
        <f aca="false">IF(ISNUMBER(U6547),ABS(U6547),"")</f>
        <v>1.41825171447539</v>
      </c>
    </row>
    <row r="6548" customFormat="false" ht="15" hidden="false" customHeight="false" outlineLevel="0" collapsed="false">
      <c r="A6548" s="57" t="n">
        <v>44437</v>
      </c>
      <c r="B6548" s="56" t="n">
        <v>2021</v>
      </c>
      <c r="C6548" s="56" t="n">
        <v>8</v>
      </c>
      <c r="D6548" s="56" t="n">
        <v>121</v>
      </c>
      <c r="E6548" s="56" t="n">
        <v>17.1</v>
      </c>
      <c r="F6548" s="56" t="n">
        <v>0</v>
      </c>
      <c r="G6548" s="56" t="n">
        <v>10.4</v>
      </c>
      <c r="H6548" s="56" t="n">
        <v>0</v>
      </c>
      <c r="I6548" s="56" t="n">
        <v>15.2</v>
      </c>
      <c r="J6548" s="56" t="n">
        <v>0</v>
      </c>
      <c r="K6548" s="56" t="n">
        <v>1025.4</v>
      </c>
      <c r="L6548" s="56" t="n">
        <v>0</v>
      </c>
      <c r="M6548" s="56" t="n">
        <v>71</v>
      </c>
      <c r="N6548" s="56" t="n">
        <v>2.4</v>
      </c>
      <c r="O6548" s="56" t="n">
        <f aca="false">IF(D6548=1,"",E6547)</f>
        <v>19.9</v>
      </c>
      <c r="P6548" s="56" t="n">
        <f aca="false">IF(OR(D6548=1,K6547=""),"",K6547)</f>
        <v>1026</v>
      </c>
      <c r="Q6548" s="56" t="n">
        <f aca="false">IF(OR(F6548&lt;&gt;0,AND(I6548&lt;&gt;"",E6548&lt;I6548)),1,0)</f>
        <v>0</v>
      </c>
      <c r="R6548" s="56" t="n">
        <f aca="false">IF(AND(D6548&gt;1,Q6548=0,ISNUMBER(O6548),ISNUMBER(P6548)),IF(Q6547=0,1,0),0)</f>
        <v>1</v>
      </c>
      <c r="S6548" s="56" t="n">
        <f aca="false">R6548*(B6548&gt;=Train_Start)*(B6548&lt;=Train_End)</f>
        <v>0</v>
      </c>
      <c r="T6548" s="84" t="n">
        <f aca="false">IF(AND(ISNUMBER(O6548),ISNUMBER(P6548)),Coef_A+Coef_B1*O6548+Coef_B2*P6548,"")</f>
        <v>20.5773372580177</v>
      </c>
      <c r="U6548" s="84" t="n">
        <f aca="false">IF(AND(R6548=1,ISNUMBER(T6548)),E6548-T6548,"")</f>
        <v>-3.4773372580177</v>
      </c>
      <c r="V6548" s="84" t="n">
        <f aca="false">IF(ISNUMBER(T6548),T6548,-99)</f>
        <v>20.5773372580177</v>
      </c>
      <c r="W6548" s="84" t="n">
        <f aca="false">IF(ISNUMBER(U6548),ABS(U6548),"")</f>
        <v>3.4773372580177</v>
      </c>
    </row>
    <row r="6549" customFormat="false" ht="15" hidden="false" customHeight="false" outlineLevel="0" collapsed="false">
      <c r="A6549" s="57" t="n">
        <v>44438</v>
      </c>
      <c r="B6549" s="56" t="n">
        <v>2021</v>
      </c>
      <c r="C6549" s="56" t="n">
        <v>8</v>
      </c>
      <c r="D6549" s="56" t="n">
        <v>122</v>
      </c>
      <c r="E6549" s="56" t="n">
        <v>18.9</v>
      </c>
      <c r="F6549" s="56" t="n">
        <v>0</v>
      </c>
      <c r="G6549" s="56" t="n">
        <v>13.8</v>
      </c>
      <c r="H6549" s="56" t="n">
        <v>0</v>
      </c>
      <c r="I6549" s="56" t="n">
        <v>15.4</v>
      </c>
      <c r="J6549" s="56" t="n">
        <v>0</v>
      </c>
      <c r="K6549" s="56" t="n">
        <v>1026.2</v>
      </c>
      <c r="L6549" s="56" t="n">
        <v>0</v>
      </c>
      <c r="M6549" s="56" t="n">
        <v>76</v>
      </c>
      <c r="N6549" s="56" t="n">
        <v>0</v>
      </c>
      <c r="O6549" s="56" t="n">
        <f aca="false">IF(D6549=1,"",E6548)</f>
        <v>17.1</v>
      </c>
      <c r="P6549" s="56" t="n">
        <f aca="false">IF(OR(D6549=1,K6548=""),"",K6548)</f>
        <v>1025.4</v>
      </c>
      <c r="Q6549" s="56" t="n">
        <f aca="false">IF(OR(F6549&lt;&gt;0,AND(I6549&lt;&gt;"",E6549&lt;I6549)),1,0)</f>
        <v>0</v>
      </c>
      <c r="R6549" s="56" t="n">
        <f aca="false">IF(AND(D6549&gt;1,Q6549=0,ISNUMBER(O6549),ISNUMBER(P6549)),IF(Q6548=0,1,0),0)</f>
        <v>1</v>
      </c>
      <c r="S6549" s="56" t="n">
        <f aca="false">R6549*(B6549&gt;=Train_Start)*(B6549&lt;=Train_End)</f>
        <v>0</v>
      </c>
      <c r="T6549" s="84" t="n">
        <f aca="false">IF(AND(ISNUMBER(O6549),ISNUMBER(P6549)),Coef_A+Coef_B1*O6549+Coef_B2*P6549,"")</f>
        <v>18.2643655807179</v>
      </c>
      <c r="U6549" s="84" t="n">
        <f aca="false">IF(AND(R6549=1,ISNUMBER(T6549)),E6549-T6549,"")</f>
        <v>0.635634419282127</v>
      </c>
      <c r="V6549" s="84" t="n">
        <f aca="false">IF(ISNUMBER(T6549),T6549,-99)</f>
        <v>18.2643655807179</v>
      </c>
      <c r="W6549" s="84" t="n">
        <f aca="false">IF(ISNUMBER(U6549),ABS(U6549),"")</f>
        <v>0.635634419282127</v>
      </c>
    </row>
    <row r="6550" customFormat="false" ht="15" hidden="false" customHeight="false" outlineLevel="0" collapsed="false">
      <c r="A6550" s="57" t="n">
        <v>44439</v>
      </c>
      <c r="B6550" s="56" t="n">
        <v>2021</v>
      </c>
      <c r="C6550" s="56" t="n">
        <v>8</v>
      </c>
      <c r="D6550" s="56" t="n">
        <v>123</v>
      </c>
      <c r="E6550" s="56" t="n">
        <v>18.7</v>
      </c>
      <c r="F6550" s="56" t="n">
        <v>0</v>
      </c>
      <c r="G6550" s="56" t="n">
        <v>14</v>
      </c>
      <c r="H6550" s="56" t="n">
        <v>0</v>
      </c>
      <c r="I6550" s="56" t="n">
        <v>16.4</v>
      </c>
      <c r="J6550" s="56" t="n">
        <v>0</v>
      </c>
      <c r="K6550" s="56" t="n">
        <v>1029.5</v>
      </c>
      <c r="L6550" s="56" t="n">
        <v>0</v>
      </c>
      <c r="M6550" s="56" t="n">
        <v>77</v>
      </c>
      <c r="N6550" s="56" t="n">
        <v>0</v>
      </c>
      <c r="O6550" s="56" t="n">
        <f aca="false">IF(D6550=1,"",E6549)</f>
        <v>18.9</v>
      </c>
      <c r="P6550" s="56" t="n">
        <f aca="false">IF(OR(D6550=1,K6549=""),"",K6549)</f>
        <v>1026.2</v>
      </c>
      <c r="Q6550" s="56" t="n">
        <f aca="false">IF(OR(F6550&lt;&gt;0,AND(I6550&lt;&gt;"",E6550&lt;I6550)),1,0)</f>
        <v>0</v>
      </c>
      <c r="R6550" s="56" t="n">
        <f aca="false">IF(AND(D6550&gt;1,Q6550=0,ISNUMBER(O6550),ISNUMBER(P6550)),IF(Q6549=0,1,0),0)</f>
        <v>1</v>
      </c>
      <c r="S6550" s="56" t="n">
        <f aca="false">R6550*(B6550&gt;=Train_Start)*(B6550&lt;=Train_End)</f>
        <v>0</v>
      </c>
      <c r="T6550" s="84" t="n">
        <f aca="false">IF(AND(ISNUMBER(O6550),ISNUMBER(P6550)),Coef_A+Coef_B1*O6550+Coef_B2*P6550,"")</f>
        <v>19.7642720439018</v>
      </c>
      <c r="U6550" s="84" t="n">
        <f aca="false">IF(AND(R6550=1,ISNUMBER(T6550)),E6550-T6550,"")</f>
        <v>-1.06427204390184</v>
      </c>
      <c r="V6550" s="84" t="n">
        <f aca="false">IF(ISNUMBER(T6550),T6550,-99)</f>
        <v>19.7642720439018</v>
      </c>
      <c r="W6550" s="84" t="n">
        <f aca="false">IF(ISNUMBER(U6550),ABS(U6550),"")</f>
        <v>1.06427204390184</v>
      </c>
    </row>
    <row r="6551" customFormat="false" ht="15" hidden="false" customHeight="false" outlineLevel="0" collapsed="false">
      <c r="A6551" s="57" t="n">
        <v>44440</v>
      </c>
      <c r="B6551" s="56" t="n">
        <v>2021</v>
      </c>
      <c r="C6551" s="56" t="n">
        <v>9</v>
      </c>
      <c r="D6551" s="56" t="n">
        <v>124</v>
      </c>
      <c r="E6551" s="56" t="n">
        <v>20.2</v>
      </c>
      <c r="F6551" s="56" t="n">
        <v>0</v>
      </c>
      <c r="G6551" s="56" t="n">
        <v>14</v>
      </c>
      <c r="H6551" s="56" t="n">
        <v>0</v>
      </c>
      <c r="I6551" s="56" t="n">
        <v>16.4</v>
      </c>
      <c r="J6551" s="56" t="n">
        <v>0</v>
      </c>
      <c r="K6551" s="56" t="n">
        <v>1030.8</v>
      </c>
      <c r="L6551" s="56" t="n">
        <v>0</v>
      </c>
      <c r="M6551" s="56" t="n">
        <v>73</v>
      </c>
      <c r="N6551" s="56" t="n">
        <v>0</v>
      </c>
      <c r="O6551" s="56" t="n">
        <f aca="false">IF(D6551=1,"",E6550)</f>
        <v>18.7</v>
      </c>
      <c r="P6551" s="56" t="n">
        <f aca="false">IF(OR(D6551=1,K6550=""),"",K6550)</f>
        <v>1029.5</v>
      </c>
      <c r="Q6551" s="56" t="n">
        <f aca="false">IF(OR(F6551&lt;&gt;0,AND(I6551&lt;&gt;"",E6551&lt;I6551)),1,0)</f>
        <v>0</v>
      </c>
      <c r="R6551" s="56" t="n">
        <f aca="false">IF(AND(D6551&gt;1,Q6551=0,ISNUMBER(O6551),ISNUMBER(P6551)),IF(Q6550=0,1,0),0)</f>
        <v>1</v>
      </c>
      <c r="S6551" s="56" t="n">
        <f aca="false">R6551*(B6551&gt;=Train_Start)*(B6551&lt;=Train_End)</f>
        <v>0</v>
      </c>
      <c r="T6551" s="84" t="n">
        <f aca="false">IF(AND(ISNUMBER(O6551),ISNUMBER(P6551)),Coef_A+Coef_B1*O6551+Coef_B2*P6551,"")</f>
        <v>19.7039248575855</v>
      </c>
      <c r="U6551" s="84" t="n">
        <f aca="false">IF(AND(R6551=1,ISNUMBER(T6551)),E6551-T6551,"")</f>
        <v>0.496075142414529</v>
      </c>
      <c r="V6551" s="84" t="n">
        <f aca="false">IF(ISNUMBER(T6551),T6551,-99)</f>
        <v>19.7039248575855</v>
      </c>
      <c r="W6551" s="84" t="n">
        <f aca="false">IF(ISNUMBER(U6551),ABS(U6551),"")</f>
        <v>0.496075142414529</v>
      </c>
    </row>
    <row r="6552" customFormat="false" ht="15" hidden="false" customHeight="false" outlineLevel="0" collapsed="false">
      <c r="A6552" s="57" t="n">
        <v>44441</v>
      </c>
      <c r="B6552" s="56" t="n">
        <v>2021</v>
      </c>
      <c r="C6552" s="56" t="n">
        <v>9</v>
      </c>
      <c r="D6552" s="56" t="n">
        <v>125</v>
      </c>
      <c r="E6552" s="56" t="n">
        <v>22.4</v>
      </c>
      <c r="F6552" s="56" t="n">
        <v>0</v>
      </c>
      <c r="G6552" s="56" t="n">
        <v>15</v>
      </c>
      <c r="H6552" s="56" t="n">
        <v>0</v>
      </c>
      <c r="I6552" s="56" t="n">
        <v>17.6</v>
      </c>
      <c r="J6552" s="56" t="n">
        <v>0</v>
      </c>
      <c r="K6552" s="56" t="n">
        <v>1027.6</v>
      </c>
      <c r="L6552" s="56" t="n">
        <v>0</v>
      </c>
      <c r="M6552" s="56" t="n">
        <v>68</v>
      </c>
      <c r="N6552" s="56" t="n">
        <v>2.8</v>
      </c>
      <c r="O6552" s="56" t="n">
        <f aca="false">IF(D6552=1,"",E6551)</f>
        <v>20.2</v>
      </c>
      <c r="P6552" s="56" t="n">
        <f aca="false">IF(OR(D6552=1,K6551=""),"",K6551)</f>
        <v>1030.8</v>
      </c>
      <c r="Q6552" s="56" t="n">
        <f aca="false">IF(OR(F6552&lt;&gt;0,AND(I6552&lt;&gt;"",E6552&lt;I6552)),1,0)</f>
        <v>0</v>
      </c>
      <c r="R6552" s="56" t="n">
        <f aca="false">IF(AND(D6552&gt;1,Q6552=0,ISNUMBER(O6552),ISNUMBER(P6552)),IF(Q6551=0,1,0),0)</f>
        <v>1</v>
      </c>
      <c r="S6552" s="56" t="n">
        <f aca="false">R6552*(B6552&gt;=Train_Start)*(B6552&lt;=Train_End)</f>
        <v>0</v>
      </c>
      <c r="T6552" s="84" t="n">
        <f aca="false">IF(AND(ISNUMBER(O6552),ISNUMBER(P6552)),Coef_A+Coef_B1*O6552+Coef_B2*P6552,"")</f>
        <v>20.9737145101736</v>
      </c>
      <c r="U6552" s="84" t="n">
        <f aca="false">IF(AND(R6552=1,ISNUMBER(T6552)),E6552-T6552,"")</f>
        <v>1.42628548982635</v>
      </c>
      <c r="V6552" s="84" t="n">
        <f aca="false">IF(ISNUMBER(T6552),T6552,-99)</f>
        <v>20.9737145101736</v>
      </c>
      <c r="W6552" s="84" t="n">
        <f aca="false">IF(ISNUMBER(U6552),ABS(U6552),"")</f>
        <v>1.42628548982635</v>
      </c>
    </row>
    <row r="6553" customFormat="false" ht="15" hidden="false" customHeight="false" outlineLevel="0" collapsed="false">
      <c r="A6553" s="57" t="n">
        <v>44442</v>
      </c>
      <c r="B6553" s="56" t="n">
        <v>2021</v>
      </c>
      <c r="C6553" s="56" t="n">
        <v>9</v>
      </c>
      <c r="D6553" s="56" t="n">
        <v>126</v>
      </c>
      <c r="E6553" s="56" t="n">
        <v>20.1</v>
      </c>
      <c r="F6553" s="56" t="n">
        <v>0</v>
      </c>
      <c r="G6553" s="56" t="n">
        <v>13.6</v>
      </c>
      <c r="H6553" s="56" t="n">
        <v>0</v>
      </c>
      <c r="I6553" s="56" t="n">
        <v>18</v>
      </c>
      <c r="J6553" s="56" t="n">
        <v>0</v>
      </c>
      <c r="K6553" s="56" t="n">
        <v>1021.6</v>
      </c>
      <c r="L6553" s="56" t="n">
        <v>0</v>
      </c>
      <c r="M6553" s="56" t="n">
        <v>72</v>
      </c>
      <c r="N6553" s="56" t="n">
        <v>1</v>
      </c>
      <c r="O6553" s="56" t="n">
        <f aca="false">IF(D6553=1,"",E6552)</f>
        <v>22.4</v>
      </c>
      <c r="P6553" s="56" t="n">
        <f aca="false">IF(OR(D6553=1,K6552=""),"",K6552)</f>
        <v>1027.6</v>
      </c>
      <c r="Q6553" s="56" t="n">
        <f aca="false">IF(OR(F6553&lt;&gt;0,AND(I6553&lt;&gt;"",E6553&lt;I6553)),1,0)</f>
        <v>0</v>
      </c>
      <c r="R6553" s="56" t="n">
        <f aca="false">IF(AND(D6553&gt;1,Q6553=0,ISNUMBER(O6553),ISNUMBER(P6553)),IF(Q6552=0,1,0),0)</f>
        <v>1</v>
      </c>
      <c r="S6553" s="56" t="n">
        <f aca="false">R6553*(B6553&gt;=Train_Start)*(B6553&lt;=Train_End)</f>
        <v>0</v>
      </c>
      <c r="T6553" s="84" t="n">
        <f aca="false">IF(AND(ISNUMBER(O6553),ISNUMBER(P6553)),Coef_A+Coef_B1*O6553+Coef_B2*P6553,"")</f>
        <v>22.6758770720387</v>
      </c>
      <c r="U6553" s="84" t="n">
        <f aca="false">IF(AND(R6553=1,ISNUMBER(T6553)),E6553-T6553,"")</f>
        <v>-2.57587707203872</v>
      </c>
      <c r="V6553" s="84" t="n">
        <f aca="false">IF(ISNUMBER(T6553),T6553,-99)</f>
        <v>22.6758770720387</v>
      </c>
      <c r="W6553" s="84" t="n">
        <f aca="false">IF(ISNUMBER(U6553),ABS(U6553),"")</f>
        <v>2.57587707203872</v>
      </c>
    </row>
    <row r="6554" customFormat="false" ht="15" hidden="false" customHeight="false" outlineLevel="0" collapsed="false">
      <c r="A6554" s="57" t="n">
        <v>44443</v>
      </c>
      <c r="B6554" s="56" t="n">
        <v>2021</v>
      </c>
      <c r="C6554" s="56" t="n">
        <v>9</v>
      </c>
      <c r="D6554" s="56" t="n">
        <v>127</v>
      </c>
      <c r="E6554" s="56" t="n">
        <v>26.4</v>
      </c>
      <c r="F6554" s="56" t="n">
        <v>0</v>
      </c>
      <c r="G6554" s="56" t="n">
        <v>12.4</v>
      </c>
      <c r="H6554" s="56" t="n">
        <v>0</v>
      </c>
      <c r="I6554" s="56" t="n">
        <v>16.2</v>
      </c>
      <c r="J6554" s="56" t="n">
        <v>0</v>
      </c>
      <c r="K6554" s="56" t="n">
        <v>1018.9</v>
      </c>
      <c r="L6554" s="56" t="n">
        <v>0</v>
      </c>
      <c r="M6554" s="56" t="n">
        <v>77</v>
      </c>
      <c r="N6554" s="56" t="n">
        <v>1.1</v>
      </c>
      <c r="O6554" s="56" t="n">
        <f aca="false">IF(D6554=1,"",E6553)</f>
        <v>20.1</v>
      </c>
      <c r="P6554" s="56" t="n">
        <f aca="false">IF(OR(D6554=1,K6553=""),"",K6553)</f>
        <v>1021.6</v>
      </c>
      <c r="Q6554" s="56" t="n">
        <f aca="false">IF(OR(F6554&lt;&gt;0,AND(I6554&lt;&gt;"",E6554&lt;I6554)),1,0)</f>
        <v>0</v>
      </c>
      <c r="R6554" s="56" t="n">
        <f aca="false">IF(AND(D6554&gt;1,Q6554=0,ISNUMBER(O6554),ISNUMBER(P6554)),IF(Q6553=0,1,0),0)</f>
        <v>1</v>
      </c>
      <c r="S6554" s="56" t="n">
        <f aca="false">R6554*(B6554&gt;=Train_Start)*(B6554&lt;=Train_End)</f>
        <v>0</v>
      </c>
      <c r="T6554" s="84" t="n">
        <f aca="false">IF(AND(ISNUMBER(O6554),ISNUMBER(P6554)),Coef_A+Coef_B1*O6554+Coef_B2*P6554,"")</f>
        <v>20.6031775602367</v>
      </c>
      <c r="U6554" s="84" t="n">
        <f aca="false">IF(AND(R6554=1,ISNUMBER(T6554)),E6554-T6554,"")</f>
        <v>5.79682243976331</v>
      </c>
      <c r="V6554" s="84" t="n">
        <f aca="false">IF(ISNUMBER(T6554),T6554,-99)</f>
        <v>20.6031775602367</v>
      </c>
      <c r="W6554" s="84" t="n">
        <f aca="false">IF(ISNUMBER(U6554),ABS(U6554),"")</f>
        <v>5.79682243976331</v>
      </c>
    </row>
    <row r="6555" customFormat="false" ht="15" hidden="false" customHeight="false" outlineLevel="0" collapsed="false">
      <c r="A6555" s="57" t="n">
        <v>44444</v>
      </c>
      <c r="B6555" s="56" t="n">
        <v>2021</v>
      </c>
      <c r="C6555" s="56" t="n">
        <v>9</v>
      </c>
      <c r="D6555" s="56" t="n">
        <v>128</v>
      </c>
      <c r="E6555" s="56" t="n">
        <v>28.3</v>
      </c>
      <c r="F6555" s="56" t="n">
        <v>0</v>
      </c>
      <c r="G6555" s="56" t="n">
        <v>14.1</v>
      </c>
      <c r="H6555" s="56" t="n">
        <v>0</v>
      </c>
      <c r="I6555" s="56" t="n">
        <v>20.2</v>
      </c>
      <c r="J6555" s="56" t="n">
        <v>0</v>
      </c>
      <c r="K6555" s="56" t="n">
        <v>1020.5</v>
      </c>
      <c r="L6555" s="56" t="n">
        <v>0</v>
      </c>
      <c r="M6555" s="56" t="n">
        <v>73</v>
      </c>
      <c r="N6555" s="56" t="n">
        <v>7.3</v>
      </c>
      <c r="O6555" s="56" t="n">
        <f aca="false">IF(D6555=1,"",E6554)</f>
        <v>26.4</v>
      </c>
      <c r="P6555" s="56" t="n">
        <f aca="false">IF(OR(D6555=1,K6554=""),"",K6554)</f>
        <v>1018.9</v>
      </c>
      <c r="Q6555" s="56" t="n">
        <f aca="false">IF(OR(F6555&lt;&gt;0,AND(I6555&lt;&gt;"",E6555&lt;I6555)),1,0)</f>
        <v>0</v>
      </c>
      <c r="R6555" s="56" t="n">
        <f aca="false">IF(AND(D6555&gt;1,Q6555=0,ISNUMBER(O6555),ISNUMBER(P6555)),IF(Q6554=0,1,0),0)</f>
        <v>1</v>
      </c>
      <c r="S6555" s="56" t="n">
        <f aca="false">R6555*(B6555&gt;=Train_Start)*(B6555&lt;=Train_End)</f>
        <v>0</v>
      </c>
      <c r="T6555" s="84" t="n">
        <f aca="false">IF(AND(ISNUMBER(O6555),ISNUMBER(P6555)),Coef_A+Coef_B1*O6555+Coef_B2*P6555,"")</f>
        <v>25.6803157608937</v>
      </c>
      <c r="U6555" s="84" t="n">
        <f aca="false">IF(AND(R6555=1,ISNUMBER(T6555)),E6555-T6555,"")</f>
        <v>2.61968423910635</v>
      </c>
      <c r="V6555" s="84" t="n">
        <f aca="false">IF(ISNUMBER(T6555),T6555,-99)</f>
        <v>25.6803157608937</v>
      </c>
      <c r="W6555" s="84" t="n">
        <f aca="false">IF(ISNUMBER(U6555),ABS(U6555),"")</f>
        <v>2.61968423910635</v>
      </c>
    </row>
    <row r="6556" customFormat="false" ht="15" hidden="false" customHeight="false" outlineLevel="0" collapsed="false">
      <c r="A6556" s="57" t="n">
        <v>44445</v>
      </c>
      <c r="B6556" s="56" t="n">
        <v>2021</v>
      </c>
      <c r="C6556" s="56" t="n">
        <v>9</v>
      </c>
      <c r="D6556" s="56" t="n">
        <v>129</v>
      </c>
      <c r="E6556" s="56" t="n">
        <v>30.2</v>
      </c>
      <c r="F6556" s="56" t="n">
        <v>0</v>
      </c>
      <c r="G6556" s="56" t="n">
        <v>14.3</v>
      </c>
      <c r="H6556" s="56" t="n">
        <v>0</v>
      </c>
      <c r="I6556" s="56" t="n">
        <v>21.3</v>
      </c>
      <c r="J6556" s="56" t="n">
        <v>0</v>
      </c>
      <c r="K6556" s="56" t="n">
        <v>1023</v>
      </c>
      <c r="L6556" s="56" t="n">
        <v>0</v>
      </c>
      <c r="M6556" s="56" t="n">
        <v>71</v>
      </c>
      <c r="N6556" s="56" t="n">
        <v>8.6</v>
      </c>
      <c r="O6556" s="56" t="n">
        <f aca="false">IF(D6556=1,"",E6555)</f>
        <v>28.3</v>
      </c>
      <c r="P6556" s="56" t="n">
        <f aca="false">IF(OR(D6556=1,K6555=""),"",K6555)</f>
        <v>1020.5</v>
      </c>
      <c r="Q6556" s="56" t="n">
        <f aca="false">IF(OR(F6556&lt;&gt;0,AND(I6556&lt;&gt;"",E6556&lt;I6556)),1,0)</f>
        <v>0</v>
      </c>
      <c r="R6556" s="56" t="n">
        <f aca="false">IF(AND(D6556&gt;1,Q6556=0,ISNUMBER(O6556),ISNUMBER(P6556)),IF(Q6555=0,1,0),0)</f>
        <v>1</v>
      </c>
      <c r="S6556" s="56" t="n">
        <f aca="false">R6556*(B6556&gt;=Train_Start)*(B6556&lt;=Train_End)</f>
        <v>0</v>
      </c>
      <c r="T6556" s="84" t="n">
        <f aca="false">IF(AND(ISNUMBER(O6556),ISNUMBER(P6556)),Coef_A+Coef_B1*O6556+Coef_B2*P6556,"")</f>
        <v>27.2872520590891</v>
      </c>
      <c r="U6556" s="84" t="n">
        <f aca="false">IF(AND(R6556=1,ISNUMBER(T6556)),E6556-T6556,"")</f>
        <v>2.91274794091092</v>
      </c>
      <c r="V6556" s="84" t="n">
        <f aca="false">IF(ISNUMBER(T6556),T6556,-99)</f>
        <v>27.2872520590891</v>
      </c>
      <c r="W6556" s="84" t="n">
        <f aca="false">IF(ISNUMBER(U6556),ABS(U6556),"")</f>
        <v>2.91274794091092</v>
      </c>
    </row>
    <row r="6557" customFormat="false" ht="15" hidden="false" customHeight="false" outlineLevel="0" collapsed="false">
      <c r="A6557" s="57" t="n">
        <v>44446</v>
      </c>
      <c r="B6557" s="56" t="n">
        <v>2021</v>
      </c>
      <c r="C6557" s="56" t="n">
        <v>9</v>
      </c>
      <c r="D6557" s="56" t="n">
        <v>130</v>
      </c>
      <c r="E6557" s="56" t="n">
        <v>30.3</v>
      </c>
      <c r="F6557" s="56" t="n">
        <v>0</v>
      </c>
      <c r="G6557" s="56" t="n">
        <v>15.6</v>
      </c>
      <c r="H6557" s="56" t="n">
        <v>0</v>
      </c>
      <c r="I6557" s="56" t="n">
        <v>22.9</v>
      </c>
      <c r="J6557" s="56" t="n">
        <v>0</v>
      </c>
      <c r="K6557" s="56" t="n">
        <v>1020.6</v>
      </c>
      <c r="L6557" s="56" t="n">
        <v>0</v>
      </c>
      <c r="M6557" s="56" t="n">
        <v>61</v>
      </c>
      <c r="N6557" s="56" t="n">
        <v>11.6</v>
      </c>
      <c r="O6557" s="56" t="n">
        <f aca="false">IF(D6557=1,"",E6556)</f>
        <v>30.2</v>
      </c>
      <c r="P6557" s="56" t="n">
        <f aca="false">IF(OR(D6557=1,K6556=""),"",K6556)</f>
        <v>1023</v>
      </c>
      <c r="Q6557" s="56" t="n">
        <f aca="false">IF(OR(F6557&lt;&gt;0,AND(I6557&lt;&gt;"",E6557&lt;I6557)),1,0)</f>
        <v>0</v>
      </c>
      <c r="R6557" s="56" t="n">
        <f aca="false">IF(AND(D6557&gt;1,Q6557=0,ISNUMBER(O6557),ISNUMBER(P6557)),IF(Q6556=0,1,0),0)</f>
        <v>1</v>
      </c>
      <c r="S6557" s="56" t="n">
        <f aca="false">R6557*(B6557&gt;=Train_Start)*(B6557&lt;=Train_End)</f>
        <v>0</v>
      </c>
      <c r="T6557" s="84" t="n">
        <f aca="false">IF(AND(ISNUMBER(O6557),ISNUMBER(P6557)),Coef_A+Coef_B1*O6557+Coef_B2*P6557,"")</f>
        <v>28.9224212624551</v>
      </c>
      <c r="U6557" s="84" t="n">
        <f aca="false">IF(AND(R6557=1,ISNUMBER(T6557)),E6557-T6557,"")</f>
        <v>1.3775787375449</v>
      </c>
      <c r="V6557" s="84" t="n">
        <f aca="false">IF(ISNUMBER(T6557),T6557,-99)</f>
        <v>28.9224212624551</v>
      </c>
      <c r="W6557" s="84" t="n">
        <f aca="false">IF(ISNUMBER(U6557),ABS(U6557),"")</f>
        <v>1.3775787375449</v>
      </c>
    </row>
    <row r="6558" customFormat="false" ht="15" hidden="false" customHeight="false" outlineLevel="0" collapsed="false">
      <c r="A6558" s="57" t="n">
        <v>44447</v>
      </c>
      <c r="B6558" s="56" t="n">
        <v>2021</v>
      </c>
      <c r="C6558" s="56" t="n">
        <v>9</v>
      </c>
      <c r="D6558" s="56" t="n">
        <v>131</v>
      </c>
      <c r="E6558" s="56" t="n">
        <v>23.9</v>
      </c>
      <c r="F6558" s="56" t="n">
        <v>0</v>
      </c>
      <c r="G6558" s="56" t="n">
        <v>15.8</v>
      </c>
      <c r="H6558" s="56" t="n">
        <v>0</v>
      </c>
      <c r="I6558" s="56" t="n">
        <v>23.1</v>
      </c>
      <c r="J6558" s="56" t="n">
        <v>0</v>
      </c>
      <c r="K6558" s="56" t="n">
        <v>1012.5</v>
      </c>
      <c r="L6558" s="56" t="n">
        <v>0</v>
      </c>
      <c r="M6558" s="56" t="n">
        <v>60</v>
      </c>
      <c r="N6558" s="56" t="n">
        <v>10.1</v>
      </c>
      <c r="O6558" s="56" t="n">
        <f aca="false">IF(D6558=1,"",E6557)</f>
        <v>30.3</v>
      </c>
      <c r="P6558" s="56" t="n">
        <f aca="false">IF(OR(D6558=1,K6557=""),"",K6557)</f>
        <v>1020.6</v>
      </c>
      <c r="Q6558" s="56" t="n">
        <f aca="false">IF(OR(F6558&lt;&gt;0,AND(I6558&lt;&gt;"",E6558&lt;I6558)),1,0)</f>
        <v>0</v>
      </c>
      <c r="R6558" s="56" t="n">
        <f aca="false">IF(AND(D6558&gt;1,Q6558=0,ISNUMBER(O6558),ISNUMBER(P6558)),IF(Q6557=0,1,0),0)</f>
        <v>1</v>
      </c>
      <c r="S6558" s="56" t="n">
        <f aca="false">R6558*(B6558&gt;=Train_Start)*(B6558&lt;=Train_End)</f>
        <v>0</v>
      </c>
      <c r="T6558" s="84" t="n">
        <f aca="false">IF(AND(ISNUMBER(O6558),ISNUMBER(P6558)),Coef_A+Coef_B1*O6558+Coef_B2*P6558,"")</f>
        <v>28.9290674346378</v>
      </c>
      <c r="U6558" s="84" t="n">
        <f aca="false">IF(AND(R6558=1,ISNUMBER(T6558)),E6558-T6558,"")</f>
        <v>-5.0290674346378</v>
      </c>
      <c r="V6558" s="84" t="n">
        <f aca="false">IF(ISNUMBER(T6558),T6558,-99)</f>
        <v>28.9290674346378</v>
      </c>
      <c r="W6558" s="84" t="n">
        <f aca="false">IF(ISNUMBER(U6558),ABS(U6558),"")</f>
        <v>5.0290674346378</v>
      </c>
    </row>
    <row r="6559" customFormat="false" ht="15" hidden="false" customHeight="false" outlineLevel="0" collapsed="false">
      <c r="A6559" s="57" t="n">
        <v>44448</v>
      </c>
      <c r="B6559" s="56" t="n">
        <v>2021</v>
      </c>
      <c r="C6559" s="56" t="n">
        <v>9</v>
      </c>
      <c r="D6559" s="56" t="n">
        <v>132</v>
      </c>
      <c r="E6559" s="56" t="n">
        <v>22.6</v>
      </c>
      <c r="F6559" s="56" t="n">
        <v>0</v>
      </c>
      <c r="G6559" s="56" t="n">
        <v>16.8</v>
      </c>
      <c r="H6559" s="56" t="n">
        <v>0</v>
      </c>
      <c r="I6559" s="56" t="n">
        <v>20.4</v>
      </c>
      <c r="J6559" s="56" t="n">
        <v>0</v>
      </c>
      <c r="K6559" s="56" t="n">
        <v>1008.5</v>
      </c>
      <c r="L6559" s="56" t="n">
        <v>0</v>
      </c>
      <c r="M6559" s="56" t="n">
        <v>84</v>
      </c>
      <c r="N6559" s="56" t="n">
        <v>0.5</v>
      </c>
      <c r="O6559" s="56" t="n">
        <f aca="false">IF(D6559=1,"",E6558)</f>
        <v>23.9</v>
      </c>
      <c r="P6559" s="56" t="n">
        <f aca="false">IF(OR(D6559=1,K6558=""),"",K6558)</f>
        <v>1012.5</v>
      </c>
      <c r="Q6559" s="56" t="n">
        <f aca="false">IF(OR(F6559&lt;&gt;0,AND(I6559&lt;&gt;"",E6559&lt;I6559)),1,0)</f>
        <v>0</v>
      </c>
      <c r="R6559" s="56" t="n">
        <f aca="false">IF(AND(D6559&gt;1,Q6559=0,ISNUMBER(O6559),ISNUMBER(P6559)),IF(Q6558=0,1,0),0)</f>
        <v>1</v>
      </c>
      <c r="S6559" s="56" t="n">
        <f aca="false">R6559*(B6559&gt;=Train_Start)*(B6559&lt;=Train_End)</f>
        <v>0</v>
      </c>
      <c r="T6559" s="84" t="n">
        <f aca="false">IF(AND(ISNUMBER(O6559),ISNUMBER(P6559)),Coef_A+Coef_B1*O6559+Coef_B2*P6559,"")</f>
        <v>23.4312004526295</v>
      </c>
      <c r="U6559" s="84" t="n">
        <f aca="false">IF(AND(R6559=1,ISNUMBER(T6559)),E6559-T6559,"")</f>
        <v>-0.831200452629471</v>
      </c>
      <c r="V6559" s="84" t="n">
        <f aca="false">IF(ISNUMBER(T6559),T6559,-99)</f>
        <v>23.4312004526295</v>
      </c>
      <c r="W6559" s="84" t="n">
        <f aca="false">IF(ISNUMBER(U6559),ABS(U6559),"")</f>
        <v>0.831200452629471</v>
      </c>
    </row>
    <row r="6560" customFormat="false" ht="15" hidden="false" customHeight="false" outlineLevel="0" collapsed="false">
      <c r="A6560" s="57" t="n">
        <v>44449</v>
      </c>
      <c r="B6560" s="56" t="n">
        <v>2021</v>
      </c>
      <c r="C6560" s="56" t="n">
        <v>9</v>
      </c>
      <c r="D6560" s="56" t="n">
        <v>133</v>
      </c>
      <c r="E6560" s="56" t="n">
        <v>24</v>
      </c>
      <c r="F6560" s="56" t="n">
        <v>0</v>
      </c>
      <c r="G6560" s="56" t="n">
        <v>16.9</v>
      </c>
      <c r="H6560" s="56" t="n">
        <v>0</v>
      </c>
      <c r="I6560" s="56" t="n">
        <v>19.8</v>
      </c>
      <c r="J6560" s="56" t="n">
        <v>0</v>
      </c>
      <c r="K6560" s="56" t="n">
        <v>1010.7</v>
      </c>
      <c r="L6560" s="56" t="n">
        <v>0</v>
      </c>
      <c r="M6560" s="56" t="n">
        <v>86</v>
      </c>
      <c r="N6560" s="56" t="n">
        <v>0.4</v>
      </c>
      <c r="O6560" s="56" t="n">
        <f aca="false">IF(D6560=1,"",E6559)</f>
        <v>22.6</v>
      </c>
      <c r="P6560" s="56" t="n">
        <f aca="false">IF(OR(D6560=1,K6559=""),"",K6559)</f>
        <v>1008.5</v>
      </c>
      <c r="Q6560" s="56" t="n">
        <f aca="false">IF(OR(F6560&lt;&gt;0,AND(I6560&lt;&gt;"",E6560&lt;I6560)),1,0)</f>
        <v>0</v>
      </c>
      <c r="R6560" s="56" t="n">
        <f aca="false">IF(AND(D6560&gt;1,Q6560=0,ISNUMBER(O6560),ISNUMBER(P6560)),IF(Q6559=0,1,0),0)</f>
        <v>1</v>
      </c>
      <c r="S6560" s="56" t="n">
        <f aca="false">R6560*(B6560&gt;=Train_Start)*(B6560&lt;=Train_End)</f>
        <v>0</v>
      </c>
      <c r="T6560" s="84" t="n">
        <f aca="false">IF(AND(ISNUMBER(O6560),ISNUMBER(P6560)),Coef_A+Coef_B1*O6560+Coef_B2*P6560,"")</f>
        <v>22.2405799231381</v>
      </c>
      <c r="U6560" s="84" t="n">
        <f aca="false">IF(AND(R6560=1,ISNUMBER(T6560)),E6560-T6560,"")</f>
        <v>1.75942007686194</v>
      </c>
      <c r="V6560" s="84" t="n">
        <f aca="false">IF(ISNUMBER(T6560),T6560,-99)</f>
        <v>22.2405799231381</v>
      </c>
      <c r="W6560" s="84" t="n">
        <f aca="false">IF(ISNUMBER(U6560),ABS(U6560),"")</f>
        <v>1.75942007686194</v>
      </c>
    </row>
    <row r="6561" customFormat="false" ht="15" hidden="false" customHeight="false" outlineLevel="0" collapsed="false">
      <c r="A6561" s="57" t="n">
        <v>44450</v>
      </c>
      <c r="B6561" s="56" t="n">
        <v>2021</v>
      </c>
      <c r="C6561" s="56" t="n">
        <v>9</v>
      </c>
      <c r="D6561" s="56" t="n">
        <v>134</v>
      </c>
      <c r="E6561" s="56" t="n">
        <v>20.8</v>
      </c>
      <c r="F6561" s="56" t="n">
        <v>0</v>
      </c>
      <c r="G6561" s="56" t="n">
        <v>17.3</v>
      </c>
      <c r="H6561" s="56" t="n">
        <v>0</v>
      </c>
      <c r="I6561" s="56" t="n">
        <v>20.6</v>
      </c>
      <c r="J6561" s="56" t="n">
        <v>0</v>
      </c>
      <c r="K6561" s="56" t="n">
        <v>1016.3</v>
      </c>
      <c r="L6561" s="56" t="n">
        <v>0</v>
      </c>
      <c r="M6561" s="56" t="n">
        <v>71</v>
      </c>
      <c r="N6561" s="56" t="n">
        <v>3.6</v>
      </c>
      <c r="O6561" s="56" t="n">
        <f aca="false">IF(D6561=1,"",E6560)</f>
        <v>24</v>
      </c>
      <c r="P6561" s="56" t="n">
        <f aca="false">IF(OR(D6561=1,K6560=""),"",K6560)</f>
        <v>1010.7</v>
      </c>
      <c r="Q6561" s="56" t="n">
        <f aca="false">IF(OR(F6561&lt;&gt;0,AND(I6561&lt;&gt;"",E6561&lt;I6561)),1,0)</f>
        <v>0</v>
      </c>
      <c r="R6561" s="56" t="n">
        <f aca="false">IF(AND(D6561&gt;1,Q6561=0,ISNUMBER(O6561),ISNUMBER(P6561)),IF(Q6560=0,1,0),0)</f>
        <v>1</v>
      </c>
      <c r="S6561" s="56" t="n">
        <f aca="false">R6561*(B6561&gt;=Train_Start)*(B6561&lt;=Train_End)</f>
        <v>0</v>
      </c>
      <c r="T6561" s="84" t="n">
        <f aca="false">IF(AND(ISNUMBER(O6561),ISNUMBER(P6561)),Coef_A+Coef_B1*O6561+Coef_B2*P6561,"")</f>
        <v>23.4566685615926</v>
      </c>
      <c r="U6561" s="84" t="n">
        <f aca="false">IF(AND(R6561=1,ISNUMBER(T6561)),E6561-T6561,"")</f>
        <v>-2.65666856159256</v>
      </c>
      <c r="V6561" s="84" t="n">
        <f aca="false">IF(ISNUMBER(T6561),T6561,-99)</f>
        <v>23.4566685615926</v>
      </c>
      <c r="W6561" s="84" t="n">
        <f aca="false">IF(ISNUMBER(U6561),ABS(U6561),"")</f>
        <v>2.65666856159256</v>
      </c>
    </row>
    <row r="6562" customFormat="false" ht="15" hidden="false" customHeight="false" outlineLevel="0" collapsed="false">
      <c r="A6562" s="57" t="n">
        <v>44451</v>
      </c>
      <c r="B6562" s="56" t="n">
        <v>2021</v>
      </c>
      <c r="C6562" s="56" t="n">
        <v>9</v>
      </c>
      <c r="D6562" s="56" t="n">
        <v>135</v>
      </c>
      <c r="E6562" s="56" t="n">
        <v>21.8</v>
      </c>
      <c r="F6562" s="56" t="n">
        <v>0</v>
      </c>
      <c r="G6562" s="56" t="n">
        <v>12</v>
      </c>
      <c r="H6562" s="56" t="n">
        <v>0</v>
      </c>
      <c r="I6562" s="56" t="n">
        <v>16.4</v>
      </c>
      <c r="J6562" s="56" t="n">
        <v>0</v>
      </c>
      <c r="K6562" s="56" t="n">
        <v>1018.7</v>
      </c>
      <c r="L6562" s="56" t="n">
        <v>0</v>
      </c>
      <c r="M6562" s="56" t="n">
        <v>70</v>
      </c>
      <c r="N6562" s="56" t="n">
        <v>3</v>
      </c>
      <c r="O6562" s="56" t="n">
        <f aca="false">IF(D6562=1,"",E6561)</f>
        <v>20.8</v>
      </c>
      <c r="P6562" s="56" t="n">
        <f aca="false">IF(OR(D6562=1,K6561=""),"",K6561)</f>
        <v>1016.3</v>
      </c>
      <c r="Q6562" s="56" t="n">
        <f aca="false">IF(OR(F6562&lt;&gt;0,AND(I6562&lt;&gt;"",E6562&lt;I6562)),1,0)</f>
        <v>0</v>
      </c>
      <c r="R6562" s="56" t="n">
        <f aca="false">IF(AND(D6562&gt;1,Q6562=0,ISNUMBER(O6562),ISNUMBER(P6562)),IF(Q6561=0,1,0),0)</f>
        <v>1</v>
      </c>
      <c r="S6562" s="56" t="n">
        <f aca="false">R6562*(B6562&gt;=Train_Start)*(B6562&lt;=Train_End)</f>
        <v>0</v>
      </c>
      <c r="T6562" s="84" t="n">
        <f aca="false">IF(AND(ISNUMBER(O6562),ISNUMBER(P6562)),Coef_A+Coef_B1*O6562+Coef_B2*P6562,"")</f>
        <v>21.0104545538064</v>
      </c>
      <c r="U6562" s="84" t="n">
        <f aca="false">IF(AND(R6562=1,ISNUMBER(T6562)),E6562-T6562,"")</f>
        <v>0.789545446193607</v>
      </c>
      <c r="V6562" s="84" t="n">
        <f aca="false">IF(ISNUMBER(T6562),T6562,-99)</f>
        <v>21.0104545538064</v>
      </c>
      <c r="W6562" s="84" t="n">
        <f aca="false">IF(ISNUMBER(U6562),ABS(U6562),"")</f>
        <v>0.789545446193607</v>
      </c>
    </row>
    <row r="6563" customFormat="false" ht="15" hidden="false" customHeight="false" outlineLevel="0" collapsed="false">
      <c r="A6563" s="57" t="n">
        <v>44452</v>
      </c>
      <c r="B6563" s="56" t="n">
        <v>2021</v>
      </c>
      <c r="C6563" s="56" t="n">
        <v>9</v>
      </c>
      <c r="D6563" s="56" t="n">
        <v>136</v>
      </c>
      <c r="E6563" s="56" t="n">
        <v>21</v>
      </c>
      <c r="F6563" s="56" t="n">
        <v>0</v>
      </c>
      <c r="G6563" s="56" t="n">
        <v>14.1</v>
      </c>
      <c r="H6563" s="56" t="n">
        <v>0</v>
      </c>
      <c r="I6563" s="56" t="n">
        <v>17.9</v>
      </c>
      <c r="J6563" s="56" t="n">
        <v>0</v>
      </c>
      <c r="K6563" s="56" t="n">
        <v>1017.6</v>
      </c>
      <c r="L6563" s="56" t="n">
        <v>0</v>
      </c>
      <c r="M6563" s="56" t="n">
        <v>73</v>
      </c>
      <c r="N6563" s="56" t="n">
        <v>0.3</v>
      </c>
      <c r="O6563" s="56" t="n">
        <f aca="false">IF(D6563=1,"",E6562)</f>
        <v>21.8</v>
      </c>
      <c r="P6563" s="56" t="n">
        <f aca="false">IF(OR(D6563=1,K6562=""),"",K6562)</f>
        <v>1018.7</v>
      </c>
      <c r="Q6563" s="56" t="n">
        <f aca="false">IF(OR(F6563&lt;&gt;0,AND(I6563&lt;&gt;"",E6563&lt;I6563)),1,0)</f>
        <v>0</v>
      </c>
      <c r="R6563" s="56" t="n">
        <f aca="false">IF(AND(D6563&gt;1,Q6563=0,ISNUMBER(O6563),ISNUMBER(P6563)),IF(Q6562=0,1,0),0)</f>
        <v>1</v>
      </c>
      <c r="S6563" s="56" t="n">
        <f aca="false">R6563*(B6563&gt;=Train_Start)*(B6563&lt;=Train_End)</f>
        <v>0</v>
      </c>
      <c r="T6563" s="84" t="n">
        <f aca="false">IF(AND(ISNUMBER(O6563),ISNUMBER(P6563)),Coef_A+Coef_B1*O6563+Coef_B2*P6563,"")</f>
        <v>21.9050814939706</v>
      </c>
      <c r="U6563" s="84" t="n">
        <f aca="false">IF(AND(R6563=1,ISNUMBER(T6563)),E6563-T6563,"")</f>
        <v>-0.905081493970631</v>
      </c>
      <c r="V6563" s="84" t="n">
        <f aca="false">IF(ISNUMBER(T6563),T6563,-99)</f>
        <v>21.9050814939706</v>
      </c>
      <c r="W6563" s="84" t="n">
        <f aca="false">IF(ISNUMBER(U6563),ABS(U6563),"")</f>
        <v>0.905081493970631</v>
      </c>
    </row>
    <row r="6564" customFormat="false" ht="15" hidden="false" customHeight="false" outlineLevel="0" collapsed="false">
      <c r="A6564" s="57" t="n">
        <v>44453</v>
      </c>
      <c r="B6564" s="56" t="n">
        <v>2021</v>
      </c>
      <c r="C6564" s="56" t="n">
        <v>9</v>
      </c>
      <c r="D6564" s="56" t="n">
        <v>137</v>
      </c>
      <c r="E6564" s="56" t="n">
        <v>22.3</v>
      </c>
      <c r="F6564" s="56" t="n">
        <v>0</v>
      </c>
      <c r="G6564" s="56" t="n">
        <v>15.7</v>
      </c>
      <c r="H6564" s="56" t="n">
        <v>0</v>
      </c>
      <c r="I6564" s="56" t="n">
        <v>18.4</v>
      </c>
      <c r="J6564" s="56" t="n">
        <v>0</v>
      </c>
      <c r="K6564" s="56" t="n">
        <v>1011.7</v>
      </c>
      <c r="L6564" s="56" t="n">
        <v>0</v>
      </c>
      <c r="M6564" s="56" t="n">
        <v>88</v>
      </c>
      <c r="N6564" s="56" t="n">
        <v>0.3</v>
      </c>
      <c r="O6564" s="56" t="n">
        <f aca="false">IF(D6564=1,"",E6563)</f>
        <v>21</v>
      </c>
      <c r="P6564" s="56" t="n">
        <f aca="false">IF(OR(D6564=1,K6563=""),"",K6563)</f>
        <v>1017.6</v>
      </c>
      <c r="Q6564" s="56" t="n">
        <f aca="false">IF(OR(F6564&lt;&gt;0,AND(I6564&lt;&gt;"",E6564&lt;I6564)),1,0)</f>
        <v>0</v>
      </c>
      <c r="R6564" s="56" t="n">
        <f aca="false">IF(AND(D6564&gt;1,Q6564=0,ISNUMBER(O6564),ISNUMBER(P6564)),IF(Q6563=0,1,0),0)</f>
        <v>1</v>
      </c>
      <c r="S6564" s="56" t="n">
        <f aca="false">R6564*(B6564&gt;=Train_Start)*(B6564&lt;=Train_End)</f>
        <v>0</v>
      </c>
      <c r="T6564" s="84" t="n">
        <f aca="false">IF(AND(ISNUMBER(O6564),ISNUMBER(P6564)),Coef_A+Coef_B1*O6564+Coef_B2*P6564,"")</f>
        <v>21.2151032554391</v>
      </c>
      <c r="U6564" s="84" t="n">
        <f aca="false">IF(AND(R6564=1,ISNUMBER(T6564)),E6564-T6564,"")</f>
        <v>1.08489674456089</v>
      </c>
      <c r="V6564" s="84" t="n">
        <f aca="false">IF(ISNUMBER(T6564),T6564,-99)</f>
        <v>21.2151032554391</v>
      </c>
      <c r="W6564" s="84" t="n">
        <f aca="false">IF(ISNUMBER(U6564),ABS(U6564),"")</f>
        <v>1.08489674456089</v>
      </c>
    </row>
    <row r="6565" customFormat="false" ht="15" hidden="false" customHeight="false" outlineLevel="0" collapsed="false">
      <c r="A6565" s="57" t="n">
        <v>44454</v>
      </c>
      <c r="B6565" s="56" t="n">
        <v>2021</v>
      </c>
      <c r="C6565" s="56" t="n">
        <v>9</v>
      </c>
      <c r="D6565" s="56" t="n">
        <v>138</v>
      </c>
      <c r="E6565" s="56" t="n">
        <v>23.7</v>
      </c>
      <c r="F6565" s="56" t="n">
        <v>0</v>
      </c>
      <c r="G6565" s="56" t="n">
        <v>15</v>
      </c>
      <c r="H6565" s="56" t="n">
        <v>0</v>
      </c>
      <c r="I6565" s="56" t="n">
        <v>18.6</v>
      </c>
      <c r="J6565" s="56" t="n">
        <v>0</v>
      </c>
      <c r="K6565" s="56" t="n">
        <v>1014.3</v>
      </c>
      <c r="L6565" s="56" t="n">
        <v>0</v>
      </c>
      <c r="M6565" s="56" t="n">
        <v>76</v>
      </c>
      <c r="N6565" s="56" t="n">
        <v>4.6</v>
      </c>
      <c r="O6565" s="56" t="n">
        <f aca="false">IF(D6565=1,"",E6564)</f>
        <v>22.3</v>
      </c>
      <c r="P6565" s="56" t="n">
        <f aca="false">IF(OR(D6565=1,K6564=""),"",K6564)</f>
        <v>1011.7</v>
      </c>
      <c r="Q6565" s="56" t="n">
        <f aca="false">IF(OR(F6565&lt;&gt;0,AND(I6565&lt;&gt;"",E6565&lt;I6565)),1,0)</f>
        <v>0</v>
      </c>
      <c r="R6565" s="56" t="n">
        <f aca="false">IF(AND(D6565&gt;1,Q6565=0,ISNUMBER(O6565),ISNUMBER(P6565)),IF(Q6564=0,1,0),0)</f>
        <v>1</v>
      </c>
      <c r="S6565" s="56" t="n">
        <f aca="false">R6565*(B6565&gt;=Train_Start)*(B6565&lt;=Train_End)</f>
        <v>0</v>
      </c>
      <c r="T6565" s="84" t="n">
        <f aca="false">IF(AND(ISNUMBER(O6565),ISNUMBER(P6565)),Coef_A+Coef_B1*O6565+Coef_B2*P6565,"")</f>
        <v>22.095161828054</v>
      </c>
      <c r="U6565" s="84" t="n">
        <f aca="false">IF(AND(R6565=1,ISNUMBER(T6565)),E6565-T6565,"")</f>
        <v>1.60483817194597</v>
      </c>
      <c r="V6565" s="84" t="n">
        <f aca="false">IF(ISNUMBER(T6565),T6565,-99)</f>
        <v>22.095161828054</v>
      </c>
      <c r="W6565" s="84" t="n">
        <f aca="false">IF(ISNUMBER(U6565),ABS(U6565),"")</f>
        <v>1.60483817194597</v>
      </c>
    </row>
    <row r="6566" customFormat="false" ht="15" hidden="false" customHeight="false" outlineLevel="0" collapsed="false">
      <c r="A6566" s="57" t="n">
        <v>44455</v>
      </c>
      <c r="B6566" s="56" t="n">
        <v>2021</v>
      </c>
      <c r="C6566" s="56" t="n">
        <v>9</v>
      </c>
      <c r="D6566" s="56" t="n">
        <v>139</v>
      </c>
      <c r="E6566" s="56" t="n">
        <v>22.1</v>
      </c>
      <c r="F6566" s="56" t="n">
        <v>0</v>
      </c>
      <c r="G6566" s="56" t="n">
        <v>10.9</v>
      </c>
      <c r="H6566" s="56" t="n">
        <v>0</v>
      </c>
      <c r="I6566" s="56" t="n">
        <v>17.3</v>
      </c>
      <c r="J6566" s="56" t="n">
        <v>0</v>
      </c>
      <c r="K6566" s="56" t="n">
        <v>1017.5</v>
      </c>
      <c r="L6566" s="56" t="n">
        <v>0</v>
      </c>
      <c r="M6566" s="56" t="n">
        <v>78</v>
      </c>
      <c r="N6566" s="56" t="n">
        <v>9.1</v>
      </c>
      <c r="O6566" s="56" t="n">
        <f aca="false">IF(D6566=1,"",E6565)</f>
        <v>23.7</v>
      </c>
      <c r="P6566" s="56" t="n">
        <f aca="false">IF(OR(D6566=1,K6565=""),"",K6565)</f>
        <v>1014.3</v>
      </c>
      <c r="Q6566" s="56" t="n">
        <f aca="false">IF(OR(F6566&lt;&gt;0,AND(I6566&lt;&gt;"",E6566&lt;I6566)),1,0)</f>
        <v>0</v>
      </c>
      <c r="R6566" s="56" t="n">
        <f aca="false">IF(AND(D6566&gt;1,Q6566=0,ISNUMBER(O6566),ISNUMBER(P6566)),IF(Q6565=0,1,0),0)</f>
        <v>1</v>
      </c>
      <c r="S6566" s="56" t="n">
        <f aca="false">R6566*(B6566&gt;=Train_Start)*(B6566&lt;=Train_End)</f>
        <v>0</v>
      </c>
      <c r="T6566" s="84" t="n">
        <f aca="false">IF(AND(ISNUMBER(O6566),ISNUMBER(P6566)),Coef_A+Coef_B1*O6566+Coef_B2*P6566,"")</f>
        <v>23.3237984243621</v>
      </c>
      <c r="U6566" s="84" t="n">
        <f aca="false">IF(AND(R6566=1,ISNUMBER(T6566)),E6566-T6566,"")</f>
        <v>-1.22379842436212</v>
      </c>
      <c r="V6566" s="84" t="n">
        <f aca="false">IF(ISNUMBER(T6566),T6566,-99)</f>
        <v>23.3237984243621</v>
      </c>
      <c r="W6566" s="84" t="n">
        <f aca="false">IF(ISNUMBER(U6566),ABS(U6566),"")</f>
        <v>1.22379842436212</v>
      </c>
    </row>
    <row r="6567" customFormat="false" ht="15" hidden="false" customHeight="false" outlineLevel="0" collapsed="false">
      <c r="A6567" s="57" t="n">
        <v>44456</v>
      </c>
      <c r="B6567" s="56" t="n">
        <v>2021</v>
      </c>
      <c r="C6567" s="56" t="n">
        <v>9</v>
      </c>
      <c r="D6567" s="56" t="n">
        <v>140</v>
      </c>
      <c r="E6567" s="56" t="n">
        <v>25.2</v>
      </c>
      <c r="F6567" s="56" t="n">
        <v>0</v>
      </c>
      <c r="G6567" s="56" t="n">
        <v>13.1</v>
      </c>
      <c r="H6567" s="56" t="n">
        <v>0</v>
      </c>
      <c r="I6567" s="56" t="n">
        <v>17.6</v>
      </c>
      <c r="J6567" s="56" t="n">
        <v>0</v>
      </c>
      <c r="K6567" s="56" t="n">
        <v>1014.6</v>
      </c>
      <c r="L6567" s="56" t="n">
        <v>0</v>
      </c>
      <c r="M6567" s="56" t="n">
        <v>77</v>
      </c>
      <c r="N6567" s="56" t="n">
        <v>4.6</v>
      </c>
      <c r="O6567" s="56" t="n">
        <f aca="false">IF(D6567=1,"",E6566)</f>
        <v>22.1</v>
      </c>
      <c r="P6567" s="56" t="n">
        <f aca="false">IF(OR(D6567=1,K6566=""),"",K6566)</f>
        <v>1017.5</v>
      </c>
      <c r="Q6567" s="56" t="n">
        <f aca="false">IF(OR(F6567&lt;&gt;0,AND(I6567&lt;&gt;"",E6567&lt;I6567)),1,0)</f>
        <v>0</v>
      </c>
      <c r="R6567" s="56" t="n">
        <f aca="false">IF(AND(D6567&gt;1,Q6567=0,ISNUMBER(O6567),ISNUMBER(P6567)),IF(Q6566=0,1,0),0)</f>
        <v>1</v>
      </c>
      <c r="S6567" s="56" t="n">
        <f aca="false">R6567*(B6567&gt;=Train_Start)*(B6567&lt;=Train_End)</f>
        <v>0</v>
      </c>
      <c r="T6567" s="84" t="n">
        <f aca="false">IF(AND(ISNUMBER(O6567),ISNUMBER(P6567)),Coef_A+Coef_B1*O6567+Coef_B2*P6567,"")</f>
        <v>22.1132393783226</v>
      </c>
      <c r="U6567" s="84" t="n">
        <f aca="false">IF(AND(R6567=1,ISNUMBER(T6567)),E6567-T6567,"")</f>
        <v>3.08676062167736</v>
      </c>
      <c r="V6567" s="84" t="n">
        <f aca="false">IF(ISNUMBER(T6567),T6567,-99)</f>
        <v>22.1132393783226</v>
      </c>
      <c r="W6567" s="84" t="n">
        <f aca="false">IF(ISNUMBER(U6567),ABS(U6567),"")</f>
        <v>3.08676062167736</v>
      </c>
    </row>
    <row r="6568" customFormat="false" ht="15" hidden="false" customHeight="false" outlineLevel="0" collapsed="false">
      <c r="A6568" s="57" t="n">
        <v>44457</v>
      </c>
      <c r="B6568" s="56" t="n">
        <v>2021</v>
      </c>
      <c r="C6568" s="56" t="n">
        <v>9</v>
      </c>
      <c r="D6568" s="56" t="n">
        <v>141</v>
      </c>
      <c r="E6568" s="56" t="n">
        <v>18.2</v>
      </c>
      <c r="F6568" s="56" t="n">
        <v>1</v>
      </c>
      <c r="G6568" s="56" t="n">
        <v>12.5</v>
      </c>
      <c r="H6568" s="56" t="n">
        <v>0</v>
      </c>
      <c r="I6568" s="56" t="n">
        <v>18.9</v>
      </c>
      <c r="J6568" s="56" t="n">
        <v>1</v>
      </c>
      <c r="K6568" s="56" t="n">
        <v>1013.9</v>
      </c>
      <c r="L6568" s="56" t="n">
        <v>0</v>
      </c>
      <c r="M6568" s="56" t="n">
        <v>71</v>
      </c>
      <c r="N6568" s="56" t="n">
        <v>4.7</v>
      </c>
      <c r="O6568" s="56" t="n">
        <f aca="false">IF(D6568=1,"",E6567)</f>
        <v>25.2</v>
      </c>
      <c r="P6568" s="56" t="n">
        <f aca="false">IF(OR(D6568=1,K6567=""),"",K6567)</f>
        <v>1014.6</v>
      </c>
      <c r="Q6568" s="56" t="n">
        <f aca="false">IF(OR(F6568&lt;&gt;0,AND(I6568&lt;&gt;"",E6568&lt;I6568)),1,0)</f>
        <v>1</v>
      </c>
      <c r="R6568" s="56" t="n">
        <f aca="false">IF(AND(D6568&gt;1,Q6568=0,ISNUMBER(O6568),ISNUMBER(P6568)),IF(Q6567=0,1,0),0)</f>
        <v>0</v>
      </c>
      <c r="S6568" s="56" t="n">
        <f aca="false">R6568*(B6568&gt;=Train_Start)*(B6568&lt;=Train_End)</f>
        <v>0</v>
      </c>
      <c r="T6568" s="84" t="n">
        <f aca="false">IF(AND(ISNUMBER(O6568),ISNUMBER(P6568)),Coef_A+Coef_B1*O6568+Coef_B2*P6568,"")</f>
        <v>24.5622181823163</v>
      </c>
      <c r="U6568" s="84" t="str">
        <f aca="false">IF(AND(R6568=1,ISNUMBER(T6568)),E6568-T6568,"")</f>
        <v/>
      </c>
      <c r="V6568" s="84" t="n">
        <f aca="false">IF(ISNUMBER(T6568),T6568,-99)</f>
        <v>24.5622181823163</v>
      </c>
      <c r="W6568" s="84" t="str">
        <f aca="false">IF(ISNUMBER(U6568),ABS(U6568),"")</f>
        <v/>
      </c>
    </row>
    <row r="6569" customFormat="false" ht="15" hidden="false" customHeight="false" outlineLevel="0" collapsed="false">
      <c r="A6569" s="57" t="n">
        <v>44458</v>
      </c>
      <c r="B6569" s="56" t="n">
        <v>2021</v>
      </c>
      <c r="C6569" s="56" t="n">
        <v>9</v>
      </c>
      <c r="D6569" s="56" t="n">
        <v>142</v>
      </c>
      <c r="E6569" s="56" t="n">
        <v>20.5</v>
      </c>
      <c r="F6569" s="56" t="n">
        <v>0</v>
      </c>
      <c r="G6569" s="56" t="n">
        <v>14.4</v>
      </c>
      <c r="H6569" s="56" t="n">
        <v>0</v>
      </c>
      <c r="I6569" s="56" t="n">
        <v>16.3</v>
      </c>
      <c r="J6569" s="56" t="n">
        <v>0</v>
      </c>
      <c r="K6569" s="56" t="n">
        <v>1014.6</v>
      </c>
      <c r="L6569" s="56" t="n">
        <v>0</v>
      </c>
      <c r="M6569" s="56" t="n">
        <v>84</v>
      </c>
      <c r="N6569" s="56" t="n">
        <v>0.1</v>
      </c>
      <c r="O6569" s="56" t="n">
        <f aca="false">IF(D6569=1,"",E6568)</f>
        <v>18.2</v>
      </c>
      <c r="P6569" s="56" t="n">
        <f aca="false">IF(OR(D6569=1,K6568=""),"",K6568)</f>
        <v>1013.9</v>
      </c>
      <c r="Q6569" s="56" t="n">
        <f aca="false">IF(OR(F6569&lt;&gt;0,AND(I6569&lt;&gt;"",E6569&lt;I6569)),1,0)</f>
        <v>0</v>
      </c>
      <c r="R6569" s="56" t="n">
        <f aca="false">IF(AND(D6569&gt;1,Q6569=0,ISNUMBER(O6569),ISNUMBER(P6569)),IF(Q6568=0,1,0),0)</f>
        <v>0</v>
      </c>
      <c r="S6569" s="56" t="n">
        <f aca="false">R6569*(B6569&gt;=Train_Start)*(B6569&lt;=Train_End)</f>
        <v>0</v>
      </c>
      <c r="T6569" s="84" t="n">
        <f aca="false">IF(AND(ISNUMBER(O6569),ISNUMBER(P6569)),Coef_A+Coef_B1*O6569+Coef_B2*P6569,"")</f>
        <v>18.8048849047739</v>
      </c>
      <c r="U6569" s="84" t="str">
        <f aca="false">IF(AND(R6569=1,ISNUMBER(T6569)),E6569-T6569,"")</f>
        <v/>
      </c>
      <c r="V6569" s="84" t="n">
        <f aca="false">IF(ISNUMBER(T6569),T6569,-99)</f>
        <v>18.8048849047739</v>
      </c>
      <c r="W6569" s="84" t="str">
        <f aca="false">IF(ISNUMBER(U6569),ABS(U6569),"")</f>
        <v/>
      </c>
    </row>
    <row r="6570" customFormat="false" ht="15" hidden="false" customHeight="false" outlineLevel="0" collapsed="false">
      <c r="A6570" s="57" t="n">
        <v>44459</v>
      </c>
      <c r="B6570" s="56" t="n">
        <v>2021</v>
      </c>
      <c r="C6570" s="56" t="n">
        <v>9</v>
      </c>
      <c r="D6570" s="56" t="n">
        <v>143</v>
      </c>
      <c r="E6570" s="56" t="n">
        <v>22.2</v>
      </c>
      <c r="F6570" s="56" t="n">
        <v>0</v>
      </c>
      <c r="G6570" s="56" t="n">
        <v>11.7</v>
      </c>
      <c r="H6570" s="56" t="n">
        <v>0</v>
      </c>
      <c r="I6570" s="56" t="n">
        <v>16.1</v>
      </c>
      <c r="J6570" s="56" t="n">
        <v>0</v>
      </c>
      <c r="K6570" s="56" t="n">
        <v>1023.1</v>
      </c>
      <c r="L6570" s="56" t="n">
        <v>0</v>
      </c>
      <c r="M6570" s="56" t="n">
        <v>75</v>
      </c>
      <c r="N6570" s="56" t="n">
        <v>4.4</v>
      </c>
      <c r="O6570" s="56" t="n">
        <f aca="false">IF(D6570=1,"",E6569)</f>
        <v>20.5</v>
      </c>
      <c r="P6570" s="56" t="n">
        <f aca="false">IF(OR(D6570=1,K6569=""),"",K6569)</f>
        <v>1014.6</v>
      </c>
      <c r="Q6570" s="56" t="n">
        <f aca="false">IF(OR(F6570&lt;&gt;0,AND(I6570&lt;&gt;"",E6570&lt;I6570)),1,0)</f>
        <v>0</v>
      </c>
      <c r="R6570" s="56" t="n">
        <f aca="false">IF(AND(D6570&gt;1,Q6570=0,ISNUMBER(O6570),ISNUMBER(P6570)),IF(Q6569=0,1,0),0)</f>
        <v>1</v>
      </c>
      <c r="S6570" s="56" t="n">
        <f aca="false">R6570*(B6570&gt;=Train_Start)*(B6570&lt;=Train_End)</f>
        <v>0</v>
      </c>
      <c r="T6570" s="84" t="n">
        <f aca="false">IF(AND(ISNUMBER(O6570),ISNUMBER(P6570)),Coef_A+Coef_B1*O6570+Coef_B2*P6570,"")</f>
        <v>20.7113239750158</v>
      </c>
      <c r="U6570" s="84" t="n">
        <f aca="false">IF(AND(R6570=1,ISNUMBER(T6570)),E6570-T6570,"")</f>
        <v>1.48867602498418</v>
      </c>
      <c r="V6570" s="84" t="n">
        <f aca="false">IF(ISNUMBER(T6570),T6570,-99)</f>
        <v>20.7113239750158</v>
      </c>
      <c r="W6570" s="84" t="n">
        <f aca="false">IF(ISNUMBER(U6570),ABS(U6570),"")</f>
        <v>1.48867602498418</v>
      </c>
    </row>
    <row r="6571" customFormat="false" ht="15" hidden="false" customHeight="false" outlineLevel="0" collapsed="false">
      <c r="A6571" s="57" t="n">
        <v>44460</v>
      </c>
      <c r="B6571" s="56" t="n">
        <v>2021</v>
      </c>
      <c r="C6571" s="56" t="n">
        <v>9</v>
      </c>
      <c r="D6571" s="56" t="n">
        <v>144</v>
      </c>
      <c r="E6571" s="56" t="n">
        <v>23</v>
      </c>
      <c r="F6571" s="56" t="n">
        <v>0</v>
      </c>
      <c r="G6571" s="56" t="n">
        <v>9.9</v>
      </c>
      <c r="H6571" s="56" t="n">
        <v>0</v>
      </c>
      <c r="I6571" s="56" t="n">
        <v>16.1</v>
      </c>
      <c r="J6571" s="56" t="n">
        <v>0</v>
      </c>
      <c r="K6571" s="56" t="n">
        <v>1030.2</v>
      </c>
      <c r="L6571" s="56" t="n">
        <v>0</v>
      </c>
      <c r="M6571" s="56" t="n">
        <v>74</v>
      </c>
      <c r="N6571" s="56" t="n">
        <v>7.9</v>
      </c>
      <c r="O6571" s="56" t="n">
        <f aca="false">IF(D6571=1,"",E6570)</f>
        <v>22.2</v>
      </c>
      <c r="P6571" s="56" t="n">
        <f aca="false">IF(OR(D6571=1,K6570=""),"",K6570)</f>
        <v>1023.1</v>
      </c>
      <c r="Q6571" s="56" t="n">
        <f aca="false">IF(OR(F6571&lt;&gt;0,AND(I6571&lt;&gt;"",E6571&lt;I6571)),1,0)</f>
        <v>0</v>
      </c>
      <c r="R6571" s="56" t="n">
        <f aca="false">IF(AND(D6571&gt;1,Q6571=0,ISNUMBER(O6571),ISNUMBER(P6571)),IF(Q6570=0,1,0),0)</f>
        <v>1</v>
      </c>
      <c r="S6571" s="56" t="n">
        <f aca="false">R6571*(B6571&gt;=Train_Start)*(B6571&lt;=Train_End)</f>
        <v>0</v>
      </c>
      <c r="T6571" s="84" t="n">
        <f aca="false">IF(AND(ISNUMBER(O6571),ISNUMBER(P6571)),Coef_A+Coef_B1*O6571+Coef_B2*P6571,"")</f>
        <v>22.3708447075772</v>
      </c>
      <c r="U6571" s="84" t="n">
        <f aca="false">IF(AND(R6571=1,ISNUMBER(T6571)),E6571-T6571,"")</f>
        <v>0.629155292422755</v>
      </c>
      <c r="V6571" s="84" t="n">
        <f aca="false">IF(ISNUMBER(T6571),T6571,-99)</f>
        <v>22.3708447075772</v>
      </c>
      <c r="W6571" s="84" t="n">
        <f aca="false">IF(ISNUMBER(U6571),ABS(U6571),"")</f>
        <v>0.629155292422755</v>
      </c>
    </row>
    <row r="6572" customFormat="false" ht="15" hidden="false" customHeight="false" outlineLevel="0" collapsed="false">
      <c r="A6572" s="57" t="n">
        <v>44461</v>
      </c>
      <c r="B6572" s="56" t="n">
        <v>2021</v>
      </c>
      <c r="C6572" s="56" t="n">
        <v>9</v>
      </c>
      <c r="D6572" s="56" t="n">
        <v>145</v>
      </c>
      <c r="E6572" s="56" t="n">
        <v>24.3</v>
      </c>
      <c r="F6572" s="56" t="n">
        <v>0</v>
      </c>
      <c r="G6572" s="56" t="n">
        <v>10.4</v>
      </c>
      <c r="H6572" s="56" t="n">
        <v>0</v>
      </c>
      <c r="I6572" s="56" t="n">
        <v>16.7</v>
      </c>
      <c r="J6572" s="56" t="n">
        <v>0</v>
      </c>
      <c r="K6572" s="56" t="n">
        <v>1027.4</v>
      </c>
      <c r="L6572" s="56" t="n">
        <v>0</v>
      </c>
      <c r="M6572" s="56" t="n">
        <v>75</v>
      </c>
      <c r="N6572" s="56" t="n">
        <v>8.4</v>
      </c>
      <c r="O6572" s="56" t="n">
        <f aca="false">IF(D6572=1,"",E6571)</f>
        <v>23</v>
      </c>
      <c r="P6572" s="56" t="n">
        <f aca="false">IF(OR(D6572=1,K6571=""),"",K6571)</f>
        <v>1030.2</v>
      </c>
      <c r="Q6572" s="56" t="n">
        <f aca="false">IF(OR(F6572&lt;&gt;0,AND(I6572&lt;&gt;"",E6572&lt;I6572)),1,0)</f>
        <v>0</v>
      </c>
      <c r="R6572" s="56" t="n">
        <f aca="false">IF(AND(D6572&gt;1,Q6572=0,ISNUMBER(O6572),ISNUMBER(P6572)),IF(Q6571=0,1,0),0)</f>
        <v>1</v>
      </c>
      <c r="S6572" s="56" t="n">
        <f aca="false">R6572*(B6572&gt;=Train_Start)*(B6572&lt;=Train_End)</f>
        <v>0</v>
      </c>
      <c r="T6572" s="84" t="n">
        <f aca="false">IF(AND(ISNUMBER(O6572),ISNUMBER(P6572)),Coef_A+Coef_B1*O6572+Coef_B2*P6572,"")</f>
        <v>23.2490423139127</v>
      </c>
      <c r="U6572" s="84" t="n">
        <f aca="false">IF(AND(R6572=1,ISNUMBER(T6572)),E6572-T6572,"")</f>
        <v>1.0509576860873</v>
      </c>
      <c r="V6572" s="84" t="n">
        <f aca="false">IF(ISNUMBER(T6572),T6572,-99)</f>
        <v>23.2490423139127</v>
      </c>
      <c r="W6572" s="84" t="n">
        <f aca="false">IF(ISNUMBER(U6572),ABS(U6572),"")</f>
        <v>1.0509576860873</v>
      </c>
    </row>
    <row r="6573" customFormat="false" ht="15" hidden="false" customHeight="false" outlineLevel="0" collapsed="false">
      <c r="A6573" s="57" t="n">
        <v>44462</v>
      </c>
      <c r="B6573" s="56" t="n">
        <v>2021</v>
      </c>
      <c r="C6573" s="56" t="n">
        <v>9</v>
      </c>
      <c r="D6573" s="56" t="n">
        <v>146</v>
      </c>
      <c r="E6573" s="56" t="n">
        <v>24.6</v>
      </c>
      <c r="F6573" s="56" t="n">
        <v>0</v>
      </c>
      <c r="G6573" s="56" t="n">
        <v>11.8</v>
      </c>
      <c r="H6573" s="56" t="n">
        <v>0</v>
      </c>
      <c r="I6573" s="56" t="n">
        <v>18.1</v>
      </c>
      <c r="J6573" s="56" t="n">
        <v>0</v>
      </c>
      <c r="K6573" s="56" t="n">
        <v>1020.3</v>
      </c>
      <c r="L6573" s="56" t="n">
        <v>0</v>
      </c>
      <c r="M6573" s="56" t="n">
        <v>80</v>
      </c>
      <c r="N6573" s="56" t="n">
        <v>3.4</v>
      </c>
      <c r="O6573" s="56" t="n">
        <f aca="false">IF(D6573=1,"",E6572)</f>
        <v>24.3</v>
      </c>
      <c r="P6573" s="56" t="n">
        <f aca="false">IF(OR(D6573=1,K6572=""),"",K6572)</f>
        <v>1027.4</v>
      </c>
      <c r="Q6573" s="56" t="n">
        <f aca="false">IF(OR(F6573&lt;&gt;0,AND(I6573&lt;&gt;"",E6573&lt;I6573)),1,0)</f>
        <v>0</v>
      </c>
      <c r="R6573" s="56" t="n">
        <f aca="false">IF(AND(D6573&gt;1,Q6573=0,ISNUMBER(O6573),ISNUMBER(P6573)),IF(Q6572=0,1,0),0)</f>
        <v>1</v>
      </c>
      <c r="S6573" s="56" t="n">
        <f aca="false">R6573*(B6573&gt;=Train_Start)*(B6573&lt;=Train_End)</f>
        <v>0</v>
      </c>
      <c r="T6573" s="84" t="n">
        <f aca="false">IF(AND(ISNUMBER(O6573),ISNUMBER(P6573)),Coef_A+Coef_B1*O6573+Coef_B2*P6573,"")</f>
        <v>24.226347559893</v>
      </c>
      <c r="U6573" s="84" t="n">
        <f aca="false">IF(AND(R6573=1,ISNUMBER(T6573)),E6573-T6573,"")</f>
        <v>0.373652440107019</v>
      </c>
      <c r="V6573" s="84" t="n">
        <f aca="false">IF(ISNUMBER(T6573),T6573,-99)</f>
        <v>24.226347559893</v>
      </c>
      <c r="W6573" s="84" t="n">
        <f aca="false">IF(ISNUMBER(U6573),ABS(U6573),"")</f>
        <v>0.373652440107019</v>
      </c>
    </row>
    <row r="6574" customFormat="false" ht="15" hidden="false" customHeight="false" outlineLevel="0" collapsed="false">
      <c r="A6574" s="57" t="n">
        <v>44463</v>
      </c>
      <c r="B6574" s="56" t="n">
        <v>2021</v>
      </c>
      <c r="C6574" s="56" t="n">
        <v>9</v>
      </c>
      <c r="D6574" s="56" t="n">
        <v>147</v>
      </c>
      <c r="E6574" s="56" t="n">
        <v>18.4</v>
      </c>
      <c r="F6574" s="56" t="n">
        <v>1</v>
      </c>
      <c r="G6574" s="56" t="n">
        <v>12.9</v>
      </c>
      <c r="H6574" s="56" t="n">
        <v>0</v>
      </c>
      <c r="I6574" s="56" t="n">
        <v>18.8</v>
      </c>
      <c r="J6574" s="56" t="n">
        <v>1</v>
      </c>
      <c r="K6574" s="56" t="n">
        <v>1016.2</v>
      </c>
      <c r="L6574" s="56" t="n">
        <v>0</v>
      </c>
      <c r="M6574" s="56" t="n">
        <v>77</v>
      </c>
      <c r="N6574" s="56" t="n">
        <v>7.1</v>
      </c>
      <c r="O6574" s="56" t="n">
        <f aca="false">IF(D6574=1,"",E6573)</f>
        <v>24.6</v>
      </c>
      <c r="P6574" s="56" t="n">
        <f aca="false">IF(OR(D6574=1,K6573=""),"",K6573)</f>
        <v>1020.3</v>
      </c>
      <c r="Q6574" s="56" t="n">
        <f aca="false">IF(OR(F6574&lt;&gt;0,AND(I6574&lt;&gt;"",E6574&lt;I6574)),1,0)</f>
        <v>1</v>
      </c>
      <c r="R6574" s="56" t="n">
        <f aca="false">IF(AND(D6574&gt;1,Q6574=0,ISNUMBER(O6574),ISNUMBER(P6574)),IF(Q6573=0,1,0),0)</f>
        <v>0</v>
      </c>
      <c r="S6574" s="56" t="n">
        <f aca="false">R6574*(B6574&gt;=Train_Start)*(B6574&lt;=Train_End)</f>
        <v>0</v>
      </c>
      <c r="T6574" s="84" t="n">
        <f aca="false">IF(AND(ISNUMBER(O6574),ISNUMBER(P6574)),Coef_A+Coef_B1*O6574+Coef_B2*P6574,"")</f>
        <v>24.2494230659045</v>
      </c>
      <c r="U6574" s="84" t="str">
        <f aca="false">IF(AND(R6574=1,ISNUMBER(T6574)),E6574-T6574,"")</f>
        <v/>
      </c>
      <c r="V6574" s="84" t="n">
        <f aca="false">IF(ISNUMBER(T6574),T6574,-99)</f>
        <v>24.2494230659045</v>
      </c>
      <c r="W6574" s="84" t="str">
        <f aca="false">IF(ISNUMBER(U6574),ABS(U6574),"")</f>
        <v/>
      </c>
    </row>
    <row r="6575" customFormat="false" ht="15" hidden="false" customHeight="false" outlineLevel="0" collapsed="false">
      <c r="A6575" s="57" t="n">
        <v>44464</v>
      </c>
      <c r="B6575" s="56" t="n">
        <v>2021</v>
      </c>
      <c r="C6575" s="56" t="n">
        <v>9</v>
      </c>
      <c r="D6575" s="56" t="n">
        <v>148</v>
      </c>
      <c r="E6575" s="56" t="n">
        <v>23.4</v>
      </c>
      <c r="F6575" s="56" t="n">
        <v>0</v>
      </c>
      <c r="G6575" s="56" t="n">
        <v>15.8</v>
      </c>
      <c r="H6575" s="56" t="n">
        <v>0</v>
      </c>
      <c r="I6575" s="56" t="n">
        <v>17.1</v>
      </c>
      <c r="J6575" s="56" t="n">
        <v>0</v>
      </c>
      <c r="K6575" s="56" t="n">
        <v>1014.2</v>
      </c>
      <c r="L6575" s="56" t="n">
        <v>0</v>
      </c>
      <c r="M6575" s="56" t="n">
        <v>89</v>
      </c>
      <c r="N6575" s="56" t="n">
        <v>0</v>
      </c>
      <c r="O6575" s="56" t="n">
        <f aca="false">IF(D6575=1,"",E6574)</f>
        <v>18.4</v>
      </c>
      <c r="P6575" s="56" t="n">
        <f aca="false">IF(OR(D6575=1,K6574=""),"",K6574)</f>
        <v>1016.2</v>
      </c>
      <c r="Q6575" s="56" t="n">
        <f aca="false">IF(OR(F6575&lt;&gt;0,AND(I6575&lt;&gt;"",E6575&lt;I6575)),1,0)</f>
        <v>0</v>
      </c>
      <c r="R6575" s="56" t="n">
        <f aca="false">IF(AND(D6575&gt;1,Q6575=0,ISNUMBER(O6575),ISNUMBER(P6575)),IF(Q6574=0,1,0),0)</f>
        <v>0</v>
      </c>
      <c r="S6575" s="56" t="n">
        <f aca="false">R6575*(B6575&gt;=Train_Start)*(B6575&lt;=Train_End)</f>
        <v>0</v>
      </c>
      <c r="T6575" s="84" t="n">
        <f aca="false">IF(AND(ISNUMBER(O6575),ISNUMBER(P6575)),Coef_A+Coef_B1*O6575+Coef_B2*P6575,"")</f>
        <v>19.0409035010406</v>
      </c>
      <c r="U6575" s="84" t="str">
        <f aca="false">IF(AND(R6575=1,ISNUMBER(T6575)),E6575-T6575,"")</f>
        <v/>
      </c>
      <c r="V6575" s="84" t="n">
        <f aca="false">IF(ISNUMBER(T6575),T6575,-99)</f>
        <v>19.0409035010406</v>
      </c>
      <c r="W6575" s="84" t="str">
        <f aca="false">IF(ISNUMBER(U6575),ABS(U6575),"")</f>
        <v/>
      </c>
    </row>
    <row r="6576" customFormat="false" ht="15" hidden="false" customHeight="false" outlineLevel="0" collapsed="false">
      <c r="A6576" s="57" t="n">
        <v>44465</v>
      </c>
      <c r="B6576" s="56" t="n">
        <v>2021</v>
      </c>
      <c r="C6576" s="56" t="n">
        <v>9</v>
      </c>
      <c r="D6576" s="56" t="n">
        <v>149</v>
      </c>
      <c r="E6576" s="56" t="n">
        <v>19.1</v>
      </c>
      <c r="F6576" s="56" t="n">
        <v>0</v>
      </c>
      <c r="G6576" s="56" t="n">
        <v>13.1</v>
      </c>
      <c r="H6576" s="56" t="n">
        <v>0</v>
      </c>
      <c r="I6576" s="56" t="n">
        <v>18.2</v>
      </c>
      <c r="J6576" s="56" t="n">
        <v>0</v>
      </c>
      <c r="K6576" s="56" t="n">
        <v>1011.7</v>
      </c>
      <c r="L6576" s="56" t="n">
        <v>0</v>
      </c>
      <c r="M6576" s="56" t="n">
        <v>82</v>
      </c>
      <c r="N6576" s="56" t="n">
        <v>3.1</v>
      </c>
      <c r="O6576" s="56" t="n">
        <f aca="false">IF(D6576=1,"",E6575)</f>
        <v>23.4</v>
      </c>
      <c r="P6576" s="56" t="n">
        <f aca="false">IF(OR(D6576=1,K6575=""),"",K6575)</f>
        <v>1014.2</v>
      </c>
      <c r="Q6576" s="56" t="n">
        <f aca="false">IF(OR(F6576&lt;&gt;0,AND(I6576&lt;&gt;"",E6576&lt;I6576)),1,0)</f>
        <v>0</v>
      </c>
      <c r="R6576" s="56" t="n">
        <f aca="false">IF(AND(D6576&gt;1,Q6576=0,ISNUMBER(O6576),ISNUMBER(P6576)),IF(Q6575=0,1,0),0)</f>
        <v>1</v>
      </c>
      <c r="S6576" s="56" t="n">
        <f aca="false">R6576*(B6576&gt;=Train_Start)*(B6576&lt;=Train_End)</f>
        <v>0</v>
      </c>
      <c r="T6576" s="84" t="n">
        <f aca="false">IF(AND(ISNUMBER(O6576),ISNUMBER(P6576)),Coef_A+Coef_B1*O6576+Coef_B2*P6576,"")</f>
        <v>23.0748596769859</v>
      </c>
      <c r="U6576" s="84" t="n">
        <f aca="false">IF(AND(R6576=1,ISNUMBER(T6576)),E6576-T6576,"")</f>
        <v>-3.97485967698593</v>
      </c>
      <c r="V6576" s="84" t="n">
        <f aca="false">IF(ISNUMBER(T6576),T6576,-99)</f>
        <v>23.0748596769859</v>
      </c>
      <c r="W6576" s="84" t="n">
        <f aca="false">IF(ISNUMBER(U6576),ABS(U6576),"")</f>
        <v>3.97485967698593</v>
      </c>
    </row>
    <row r="6577" customFormat="false" ht="15" hidden="false" customHeight="false" outlineLevel="0" collapsed="false">
      <c r="A6577" s="57" t="n">
        <v>44466</v>
      </c>
      <c r="B6577" s="56" t="n">
        <v>2021</v>
      </c>
      <c r="C6577" s="56" t="n">
        <v>9</v>
      </c>
      <c r="D6577" s="56" t="n">
        <v>150</v>
      </c>
      <c r="E6577" s="56" t="n">
        <v>18.9</v>
      </c>
      <c r="F6577" s="56" t="n">
        <v>0</v>
      </c>
      <c r="G6577" s="56" t="n">
        <v>13.8</v>
      </c>
      <c r="H6577" s="56" t="n">
        <v>0</v>
      </c>
      <c r="I6577" s="56" t="n">
        <v>16.4</v>
      </c>
      <c r="J6577" s="56" t="n">
        <v>0</v>
      </c>
      <c r="K6577" s="56" t="n">
        <v>1010.8</v>
      </c>
      <c r="L6577" s="56" t="n">
        <v>0</v>
      </c>
      <c r="M6577" s="56" t="n">
        <v>72</v>
      </c>
      <c r="N6577" s="56" t="n">
        <v>5.1</v>
      </c>
      <c r="O6577" s="56" t="n">
        <f aca="false">IF(D6577=1,"",E6576)</f>
        <v>19.1</v>
      </c>
      <c r="P6577" s="56" t="n">
        <f aca="false">IF(OR(D6577=1,K6576=""),"",K6576)</f>
        <v>1011.7</v>
      </c>
      <c r="Q6577" s="56" t="n">
        <f aca="false">IF(OR(F6577&lt;&gt;0,AND(I6577&lt;&gt;"",E6577&lt;I6577)),1,0)</f>
        <v>0</v>
      </c>
      <c r="R6577" s="56" t="n">
        <f aca="false">IF(AND(D6577&gt;1,Q6577=0,ISNUMBER(O6577),ISNUMBER(P6577)),IF(Q6576=0,1,0),0)</f>
        <v>1</v>
      </c>
      <c r="S6577" s="56" t="n">
        <f aca="false">R6577*(B6577&gt;=Train_Start)*(B6577&lt;=Train_End)</f>
        <v>0</v>
      </c>
      <c r="T6577" s="84" t="n">
        <f aca="false">IF(AND(ISNUMBER(O6577),ISNUMBER(P6577)),Coef_A+Coef_B1*O6577+Coef_B2*P6577,"")</f>
        <v>19.4732764103175</v>
      </c>
      <c r="U6577" s="84" t="n">
        <f aca="false">IF(AND(R6577=1,ISNUMBER(T6577)),E6577-T6577,"")</f>
        <v>-0.573276410317529</v>
      </c>
      <c r="V6577" s="84" t="n">
        <f aca="false">IF(ISNUMBER(T6577),T6577,-99)</f>
        <v>19.4732764103175</v>
      </c>
      <c r="W6577" s="84" t="n">
        <f aca="false">IF(ISNUMBER(U6577),ABS(U6577),"")</f>
        <v>0.573276410317529</v>
      </c>
    </row>
    <row r="6578" customFormat="false" ht="15" hidden="false" customHeight="false" outlineLevel="0" collapsed="false">
      <c r="A6578" s="57" t="n">
        <v>44467</v>
      </c>
      <c r="B6578" s="56" t="n">
        <v>2021</v>
      </c>
      <c r="C6578" s="56" t="n">
        <v>9</v>
      </c>
      <c r="D6578" s="56" t="n">
        <v>151</v>
      </c>
      <c r="E6578" s="56" t="n">
        <v>16.7</v>
      </c>
      <c r="F6578" s="56" t="n">
        <v>0</v>
      </c>
      <c r="G6578" s="56" t="n">
        <v>9.2</v>
      </c>
      <c r="H6578" s="56" t="n">
        <v>0</v>
      </c>
      <c r="I6578" s="56" t="n">
        <v>14.1</v>
      </c>
      <c r="J6578" s="56" t="n">
        <v>0</v>
      </c>
      <c r="K6578" s="56" t="n">
        <v>1015.5</v>
      </c>
      <c r="L6578" s="56" t="n">
        <v>0</v>
      </c>
      <c r="M6578" s="56" t="n">
        <v>83</v>
      </c>
      <c r="N6578" s="56" t="n">
        <v>2.6</v>
      </c>
      <c r="O6578" s="56" t="n">
        <f aca="false">IF(D6578=1,"",E6577)</f>
        <v>18.9</v>
      </c>
      <c r="P6578" s="56" t="n">
        <f aca="false">IF(OR(D6578=1,K6577=""),"",K6577)</f>
        <v>1010.8</v>
      </c>
      <c r="Q6578" s="56" t="n">
        <f aca="false">IF(OR(F6578&lt;&gt;0,AND(I6578&lt;&gt;"",E6578&lt;I6578)),1,0)</f>
        <v>0</v>
      </c>
      <c r="R6578" s="56" t="n">
        <f aca="false">IF(AND(D6578&gt;1,Q6578=0,ISNUMBER(O6578),ISNUMBER(P6578)),IF(Q6577=0,1,0),0)</f>
        <v>1</v>
      </c>
      <c r="S6578" s="56" t="n">
        <f aca="false">R6578*(B6578&gt;=Train_Start)*(B6578&lt;=Train_End)</f>
        <v>0</v>
      </c>
      <c r="T6578" s="84" t="n">
        <f aca="false">IF(AND(ISNUMBER(O6578),ISNUMBER(P6578)),Coef_A+Coef_B1*O6578+Coef_B2*P6578,"")</f>
        <v>19.2811756665384</v>
      </c>
      <c r="U6578" s="84" t="n">
        <f aca="false">IF(AND(R6578=1,ISNUMBER(T6578)),E6578-T6578,"")</f>
        <v>-2.5811756665384</v>
      </c>
      <c r="V6578" s="84" t="n">
        <f aca="false">IF(ISNUMBER(T6578),T6578,-99)</f>
        <v>19.2811756665384</v>
      </c>
      <c r="W6578" s="84" t="n">
        <f aca="false">IF(ISNUMBER(U6578),ABS(U6578),"")</f>
        <v>2.5811756665384</v>
      </c>
    </row>
    <row r="6579" customFormat="false" ht="15" hidden="false" customHeight="false" outlineLevel="0" collapsed="false">
      <c r="A6579" s="57" t="n">
        <v>44468</v>
      </c>
      <c r="B6579" s="56" t="n">
        <v>2021</v>
      </c>
      <c r="C6579" s="56" t="n">
        <v>9</v>
      </c>
      <c r="D6579" s="56" t="n">
        <v>152</v>
      </c>
      <c r="E6579" s="56" t="n">
        <v>16.5</v>
      </c>
      <c r="F6579" s="56" t="n">
        <v>0</v>
      </c>
      <c r="G6579" s="56" t="n">
        <v>8.4</v>
      </c>
      <c r="H6579" s="56" t="n">
        <v>0</v>
      </c>
      <c r="I6579" s="56" t="n">
        <v>12.6</v>
      </c>
      <c r="J6579" s="56" t="n">
        <v>0</v>
      </c>
      <c r="K6579" s="56" t="n">
        <v>1019.8</v>
      </c>
      <c r="L6579" s="56" t="n">
        <v>0</v>
      </c>
      <c r="M6579" s="56" t="n">
        <v>72</v>
      </c>
      <c r="N6579" s="56" t="n">
        <v>8.3</v>
      </c>
      <c r="O6579" s="56" t="n">
        <f aca="false">IF(D6579=1,"",E6578)</f>
        <v>16.7</v>
      </c>
      <c r="P6579" s="56" t="n">
        <f aca="false">IF(OR(D6579=1,K6578=""),"",K6578)</f>
        <v>1015.5</v>
      </c>
      <c r="Q6579" s="56" t="n">
        <f aca="false">IF(OR(F6579&lt;&gt;0,AND(I6579&lt;&gt;"",E6579&lt;I6579)),1,0)</f>
        <v>0</v>
      </c>
      <c r="R6579" s="56" t="n">
        <f aca="false">IF(AND(D6579&gt;1,Q6579=0,ISNUMBER(O6579),ISNUMBER(P6579)),IF(Q6578=0,1,0),0)</f>
        <v>1</v>
      </c>
      <c r="S6579" s="56" t="n">
        <f aca="false">R6579*(B6579&gt;=Train_Start)*(B6579&lt;=Train_End)</f>
        <v>0</v>
      </c>
      <c r="T6579" s="84" t="n">
        <f aca="false">IF(AND(ISNUMBER(O6579),ISNUMBER(P6579)),Coef_A+Coef_B1*O6579+Coef_B2*P6579,"")</f>
        <v>17.6260679466243</v>
      </c>
      <c r="U6579" s="84" t="n">
        <f aca="false">IF(AND(R6579=1,ISNUMBER(T6579)),E6579-T6579,"")</f>
        <v>-1.12606794662431</v>
      </c>
      <c r="V6579" s="84" t="n">
        <f aca="false">IF(ISNUMBER(T6579),T6579,-99)</f>
        <v>17.6260679466243</v>
      </c>
      <c r="W6579" s="84" t="n">
        <f aca="false">IF(ISNUMBER(U6579),ABS(U6579),"")</f>
        <v>1.12606794662431</v>
      </c>
    </row>
    <row r="6580" customFormat="false" ht="15" hidden="false" customHeight="false" outlineLevel="0" collapsed="false">
      <c r="A6580" s="57" t="n">
        <v>44469</v>
      </c>
      <c r="B6580" s="56" t="n">
        <v>2021</v>
      </c>
      <c r="C6580" s="56" t="n">
        <v>9</v>
      </c>
      <c r="D6580" s="56" t="n">
        <v>153</v>
      </c>
      <c r="E6580" s="56" t="n">
        <v>18.6</v>
      </c>
      <c r="F6580" s="56" t="n">
        <v>0</v>
      </c>
      <c r="G6580" s="56" t="n">
        <v>7.2</v>
      </c>
      <c r="H6580" s="56" t="n">
        <v>0</v>
      </c>
      <c r="I6580" s="56" t="n">
        <v>11.8</v>
      </c>
      <c r="J6580" s="56" t="n">
        <v>0</v>
      </c>
      <c r="K6580" s="56" t="n">
        <v>1020.3</v>
      </c>
      <c r="L6580" s="56" t="n">
        <v>0</v>
      </c>
      <c r="M6580" s="56" t="n">
        <v>83</v>
      </c>
      <c r="N6580" s="56" t="n">
        <v>0</v>
      </c>
      <c r="O6580" s="56" t="n">
        <f aca="false">IF(D6580=1,"",E6579)</f>
        <v>16.5</v>
      </c>
      <c r="P6580" s="56" t="n">
        <f aca="false">IF(OR(D6580=1,K6579=""),"",K6579)</f>
        <v>1019.8</v>
      </c>
      <c r="Q6580" s="56" t="n">
        <f aca="false">IF(OR(F6580&lt;&gt;0,AND(I6580&lt;&gt;"",E6580&lt;I6580)),1,0)</f>
        <v>0</v>
      </c>
      <c r="R6580" s="56" t="n">
        <f aca="false">IF(AND(D6580&gt;1,Q6580=0,ISNUMBER(O6580),ISNUMBER(P6580)),IF(Q6579=0,1,0),0)</f>
        <v>1</v>
      </c>
      <c r="S6580" s="56" t="n">
        <f aca="false">R6580*(B6580&gt;=Train_Start)*(B6580&lt;=Train_End)</f>
        <v>0</v>
      </c>
      <c r="T6580" s="84" t="n">
        <f aca="false">IF(AND(ISNUMBER(O6580),ISNUMBER(P6580)),Coef_A+Coef_B1*O6580+Coef_B2*P6580,"")</f>
        <v>17.5970906549419</v>
      </c>
      <c r="U6580" s="84" t="n">
        <f aca="false">IF(AND(R6580=1,ISNUMBER(T6580)),E6580-T6580,"")</f>
        <v>1.00290934505807</v>
      </c>
      <c r="V6580" s="84" t="n">
        <f aca="false">IF(ISNUMBER(T6580),T6580,-99)</f>
        <v>17.5970906549419</v>
      </c>
      <c r="W6580" s="84" t="n">
        <f aca="false">IF(ISNUMBER(U6580),ABS(U6580),"")</f>
        <v>1.00290934505807</v>
      </c>
    </row>
    <row r="6581" customFormat="false" ht="15" hidden="false" customHeight="false" outlineLevel="0" collapsed="false">
      <c r="A6581" s="57" t="n">
        <v>44682</v>
      </c>
      <c r="B6581" s="56" t="n">
        <v>2022</v>
      </c>
      <c r="C6581" s="56" t="n">
        <v>5</v>
      </c>
      <c r="D6581" s="56" t="n">
        <v>1</v>
      </c>
      <c r="E6581" s="56" t="n">
        <v>17.1</v>
      </c>
      <c r="F6581" s="56" t="n">
        <v>0</v>
      </c>
      <c r="G6581" s="56" t="n">
        <v>10.4</v>
      </c>
      <c r="H6581" s="56" t="n">
        <v>0</v>
      </c>
      <c r="I6581" s="56" t="n">
        <v>12.5</v>
      </c>
      <c r="J6581" s="56" t="n">
        <v>0</v>
      </c>
      <c r="K6581" s="56" t="n">
        <v>1023.4</v>
      </c>
      <c r="L6581" s="56" t="n">
        <v>0</v>
      </c>
      <c r="M6581" s="56" t="n">
        <v>70</v>
      </c>
      <c r="N6581" s="56" t="n">
        <v>0</v>
      </c>
      <c r="O6581" s="56" t="str">
        <f aca="false">IF(D6581=1,"",E6580)</f>
        <v/>
      </c>
      <c r="P6581" s="56" t="str">
        <f aca="false">IF(OR(D6581=1,K6580=""),"",K6580)</f>
        <v/>
      </c>
      <c r="Q6581" s="56" t="n">
        <f aca="false">IF(OR(F6581&lt;&gt;0,AND(I6581&lt;&gt;"",E6581&lt;I6581)),1,0)</f>
        <v>0</v>
      </c>
      <c r="R6581" s="56" t="n">
        <f aca="false">IF(AND(D6581&gt;1,Q6581=0,ISNUMBER(O6581),ISNUMBER(P6581)),IF(Q6580=0,1,0),0)</f>
        <v>0</v>
      </c>
      <c r="S6581" s="56" t="n">
        <f aca="false">R6581*(B6581&gt;=Train_Start)*(B6581&lt;=Train_End)</f>
        <v>0</v>
      </c>
      <c r="T6581" s="84" t="str">
        <f aca="false">IF(AND(ISNUMBER(O6581),ISNUMBER(P6581)),Coef_A+Coef_B1*O6581+Coef_B2*P6581,"")</f>
        <v/>
      </c>
      <c r="U6581" s="84" t="str">
        <f aca="false">IF(AND(R6581=1,ISNUMBER(T6581)),E6581-T6581,"")</f>
        <v/>
      </c>
      <c r="V6581" s="84" t="n">
        <f aca="false">IF(ISNUMBER(T6581),T6581,-99)</f>
        <v>-99</v>
      </c>
      <c r="W6581" s="84" t="str">
        <f aca="false">IF(ISNUMBER(U6581),ABS(U6581),"")</f>
        <v/>
      </c>
    </row>
    <row r="6582" customFormat="false" ht="15" hidden="false" customHeight="false" outlineLevel="0" collapsed="false">
      <c r="A6582" s="57" t="n">
        <v>44683</v>
      </c>
      <c r="B6582" s="56" t="n">
        <v>2022</v>
      </c>
      <c r="C6582" s="56" t="n">
        <v>5</v>
      </c>
      <c r="D6582" s="56" t="n">
        <v>2</v>
      </c>
      <c r="E6582" s="56" t="n">
        <v>16.1</v>
      </c>
      <c r="F6582" s="56" t="n">
        <v>0</v>
      </c>
      <c r="G6582" s="56" t="n">
        <v>9</v>
      </c>
      <c r="H6582" s="56" t="n">
        <v>0</v>
      </c>
      <c r="I6582" s="56" t="n">
        <v>13.1</v>
      </c>
      <c r="J6582" s="56" t="n">
        <v>0</v>
      </c>
      <c r="K6582" s="56" t="n">
        <v>1021.1</v>
      </c>
      <c r="L6582" s="56" t="n">
        <v>0</v>
      </c>
      <c r="M6582" s="56" t="n">
        <v>72</v>
      </c>
      <c r="N6582" s="56" t="n">
        <v>0.9</v>
      </c>
      <c r="O6582" s="56" t="n">
        <f aca="false">IF(D6582=1,"",E6581)</f>
        <v>17.1</v>
      </c>
      <c r="P6582" s="56" t="n">
        <f aca="false">IF(OR(D6582=1,K6581=""),"",K6581)</f>
        <v>1023.4</v>
      </c>
      <c r="Q6582" s="56" t="n">
        <f aca="false">IF(OR(F6582&lt;&gt;0,AND(I6582&lt;&gt;"",E6582&lt;I6582)),1,0)</f>
        <v>0</v>
      </c>
      <c r="R6582" s="56" t="n">
        <f aca="false">IF(AND(D6582&gt;1,Q6582=0,ISNUMBER(O6582),ISNUMBER(P6582)),IF(Q6581=0,1,0),0)</f>
        <v>1</v>
      </c>
      <c r="S6582" s="56" t="n">
        <f aca="false">R6582*(B6582&gt;=Train_Start)*(B6582&lt;=Train_End)</f>
        <v>0</v>
      </c>
      <c r="T6582" s="84" t="n">
        <f aca="false">IF(AND(ISNUMBER(O6582),ISNUMBER(P6582)),Coef_A+Coef_B1*O6582+Coef_B2*P6582,"")</f>
        <v>18.2016257914499</v>
      </c>
      <c r="U6582" s="84" t="n">
        <f aca="false">IF(AND(R6582=1,ISNUMBER(T6582)),E6582-T6582,"")</f>
        <v>-2.10162579144989</v>
      </c>
      <c r="V6582" s="84" t="n">
        <f aca="false">IF(ISNUMBER(T6582),T6582,-99)</f>
        <v>18.2016257914499</v>
      </c>
      <c r="W6582" s="84" t="n">
        <f aca="false">IF(ISNUMBER(U6582),ABS(U6582),"")</f>
        <v>2.10162579144989</v>
      </c>
    </row>
    <row r="6583" customFormat="false" ht="15" hidden="false" customHeight="false" outlineLevel="0" collapsed="false">
      <c r="A6583" s="57" t="n">
        <v>44684</v>
      </c>
      <c r="B6583" s="56" t="n">
        <v>2022</v>
      </c>
      <c r="C6583" s="56" t="n">
        <v>5</v>
      </c>
      <c r="D6583" s="56" t="n">
        <v>3</v>
      </c>
      <c r="E6583" s="56" t="n">
        <v>20</v>
      </c>
      <c r="F6583" s="56" t="n">
        <v>0</v>
      </c>
      <c r="G6583" s="56" t="n">
        <v>10.6</v>
      </c>
      <c r="H6583" s="56" t="n">
        <v>0</v>
      </c>
      <c r="I6583" s="56" t="n">
        <v>13.3</v>
      </c>
      <c r="J6583" s="56" t="n">
        <v>0</v>
      </c>
      <c r="K6583" s="56" t="n">
        <v>1021.1</v>
      </c>
      <c r="L6583" s="56" t="n">
        <v>0</v>
      </c>
      <c r="M6583" s="56" t="n">
        <v>75</v>
      </c>
      <c r="N6583" s="56" t="n">
        <v>0</v>
      </c>
      <c r="O6583" s="56" t="n">
        <f aca="false">IF(D6583=1,"",E6582)</f>
        <v>16.1</v>
      </c>
      <c r="P6583" s="56" t="n">
        <f aca="false">IF(OR(D6583=1,K6582=""),"",K6582)</f>
        <v>1021.1</v>
      </c>
      <c r="Q6583" s="56" t="n">
        <f aca="false">IF(OR(F6583&lt;&gt;0,AND(I6583&lt;&gt;"",E6583&lt;I6583)),1,0)</f>
        <v>0</v>
      </c>
      <c r="R6583" s="56" t="n">
        <f aca="false">IF(AND(D6583&gt;1,Q6583=0,ISNUMBER(O6583),ISNUMBER(P6583)),IF(Q6582=0,1,0),0)</f>
        <v>1</v>
      </c>
      <c r="S6583" s="56" t="n">
        <f aca="false">R6583*(B6583&gt;=Train_Start)*(B6583&lt;=Train_End)</f>
        <v>0</v>
      </c>
      <c r="T6583" s="84" t="n">
        <f aca="false">IF(AND(ISNUMBER(O6583),ISNUMBER(P6583)),Coef_A+Coef_B1*O6583+Coef_B2*P6583,"")</f>
        <v>17.3101358407491</v>
      </c>
      <c r="U6583" s="84" t="n">
        <f aca="false">IF(AND(R6583=1,ISNUMBER(T6583)),E6583-T6583,"")</f>
        <v>2.68986415925095</v>
      </c>
      <c r="V6583" s="84" t="n">
        <f aca="false">IF(ISNUMBER(T6583),T6583,-99)</f>
        <v>17.3101358407491</v>
      </c>
      <c r="W6583" s="84" t="n">
        <f aca="false">IF(ISNUMBER(U6583),ABS(U6583),"")</f>
        <v>2.68986415925095</v>
      </c>
    </row>
    <row r="6584" customFormat="false" ht="15" hidden="false" customHeight="false" outlineLevel="0" collapsed="false">
      <c r="A6584" s="57" t="n">
        <v>44685</v>
      </c>
      <c r="B6584" s="56" t="n">
        <v>2022</v>
      </c>
      <c r="C6584" s="56" t="n">
        <v>5</v>
      </c>
      <c r="D6584" s="56" t="n">
        <v>4</v>
      </c>
      <c r="E6584" s="56" t="n">
        <v>19.9</v>
      </c>
      <c r="F6584" s="56" t="n">
        <v>0</v>
      </c>
      <c r="G6584" s="56" t="n">
        <v>10.5</v>
      </c>
      <c r="H6584" s="56" t="n">
        <v>0</v>
      </c>
      <c r="I6584" s="56" t="n">
        <v>15.2</v>
      </c>
      <c r="J6584" s="56" t="n">
        <v>0</v>
      </c>
      <c r="K6584" s="56" t="n">
        <v>1019.3</v>
      </c>
      <c r="L6584" s="56" t="n">
        <v>0</v>
      </c>
      <c r="M6584" s="56" t="n">
        <v>78</v>
      </c>
      <c r="N6584" s="56" t="n">
        <v>1.1</v>
      </c>
      <c r="O6584" s="56" t="n">
        <f aca="false">IF(D6584=1,"",E6583)</f>
        <v>20</v>
      </c>
      <c r="P6584" s="56" t="n">
        <f aca="false">IF(OR(D6584=1,K6583=""),"",K6583)</f>
        <v>1021.1</v>
      </c>
      <c r="Q6584" s="56" t="n">
        <f aca="false">IF(OR(F6584&lt;&gt;0,AND(I6584&lt;&gt;"",E6584&lt;I6584)),1,0)</f>
        <v>0</v>
      </c>
      <c r="R6584" s="56" t="n">
        <f aca="false">IF(AND(D6584&gt;1,Q6584=0,ISNUMBER(O6584),ISNUMBER(P6584)),IF(Q6583=0,1,0),0)</f>
        <v>1</v>
      </c>
      <c r="S6584" s="56" t="n">
        <f aca="false">R6584*(B6584&gt;=Train_Start)*(B6584&lt;=Train_End)</f>
        <v>0</v>
      </c>
      <c r="T6584" s="84" t="n">
        <f aca="false">IF(AND(ISNUMBER(O6584),ISNUMBER(P6584)),Coef_A+Coef_B1*O6584+Coef_B2*P6584,"")</f>
        <v>20.5055586936154</v>
      </c>
      <c r="U6584" s="84" t="n">
        <f aca="false">IF(AND(R6584=1,ISNUMBER(T6584)),E6584-T6584,"")</f>
        <v>-0.605558693615418</v>
      </c>
      <c r="V6584" s="84" t="n">
        <f aca="false">IF(ISNUMBER(T6584),T6584,-99)</f>
        <v>20.5055586936154</v>
      </c>
      <c r="W6584" s="84" t="n">
        <f aca="false">IF(ISNUMBER(U6584),ABS(U6584),"")</f>
        <v>0.605558693615418</v>
      </c>
    </row>
    <row r="6585" customFormat="false" ht="15" hidden="false" customHeight="false" outlineLevel="0" collapsed="false">
      <c r="A6585" s="57" t="n">
        <v>44686</v>
      </c>
      <c r="B6585" s="56" t="n">
        <v>2022</v>
      </c>
      <c r="C6585" s="56" t="n">
        <v>5</v>
      </c>
      <c r="D6585" s="56" t="n">
        <v>5</v>
      </c>
      <c r="E6585" s="56" t="n">
        <v>23.3</v>
      </c>
      <c r="F6585" s="56" t="n">
        <v>0</v>
      </c>
      <c r="G6585" s="56" t="n">
        <v>7.5</v>
      </c>
      <c r="H6585" s="56" t="n">
        <v>0</v>
      </c>
      <c r="I6585" s="56" t="n">
        <v>13.7</v>
      </c>
      <c r="J6585" s="56" t="n">
        <v>0</v>
      </c>
      <c r="K6585" s="56" t="n">
        <v>1023.8</v>
      </c>
      <c r="L6585" s="56" t="n">
        <v>0</v>
      </c>
      <c r="M6585" s="56" t="n">
        <v>69</v>
      </c>
      <c r="N6585" s="56" t="n">
        <v>7.8</v>
      </c>
      <c r="O6585" s="56" t="n">
        <f aca="false">IF(D6585=1,"",E6584)</f>
        <v>19.9</v>
      </c>
      <c r="P6585" s="56" t="n">
        <f aca="false">IF(OR(D6585=1,K6584=""),"",K6584)</f>
        <v>1019.3</v>
      </c>
      <c r="Q6585" s="56" t="n">
        <f aca="false">IF(OR(F6585&lt;&gt;0,AND(I6585&lt;&gt;"",E6585&lt;I6585)),1,0)</f>
        <v>0</v>
      </c>
      <c r="R6585" s="56" t="n">
        <f aca="false">IF(AND(D6585&gt;1,Q6585=0,ISNUMBER(O6585),ISNUMBER(P6585)),IF(Q6584=0,1,0),0)</f>
        <v>1</v>
      </c>
      <c r="S6585" s="56" t="n">
        <f aca="false">R6585*(B6585&gt;=Train_Start)*(B6585&lt;=Train_End)</f>
        <v>0</v>
      </c>
      <c r="T6585" s="84" t="n">
        <f aca="false">IF(AND(ISNUMBER(O6585),ISNUMBER(P6585)),Coef_A+Coef_B1*O6585+Coef_B2*P6585,"")</f>
        <v>20.36715896397</v>
      </c>
      <c r="U6585" s="84" t="n">
        <f aca="false">IF(AND(R6585=1,ISNUMBER(T6585)),E6585-T6585,"")</f>
        <v>2.93284103603003</v>
      </c>
      <c r="V6585" s="84" t="n">
        <f aca="false">IF(ISNUMBER(T6585),T6585,-99)</f>
        <v>20.36715896397</v>
      </c>
      <c r="W6585" s="84" t="n">
        <f aca="false">IF(ISNUMBER(U6585),ABS(U6585),"")</f>
        <v>2.93284103603003</v>
      </c>
    </row>
    <row r="6586" customFormat="false" ht="15" hidden="false" customHeight="false" outlineLevel="0" collapsed="false">
      <c r="A6586" s="57" t="n">
        <v>44687</v>
      </c>
      <c r="B6586" s="56" t="n">
        <v>2022</v>
      </c>
      <c r="C6586" s="56" t="n">
        <v>5</v>
      </c>
      <c r="D6586" s="56" t="n">
        <v>6</v>
      </c>
      <c r="E6586" s="56" t="n">
        <v>20.3</v>
      </c>
      <c r="F6586" s="56" t="n">
        <v>0</v>
      </c>
      <c r="G6586" s="56" t="n">
        <v>9.2</v>
      </c>
      <c r="H6586" s="56" t="n">
        <v>0</v>
      </c>
      <c r="I6586" s="56" t="n">
        <v>16.2</v>
      </c>
      <c r="J6586" s="56" t="n">
        <v>0</v>
      </c>
      <c r="K6586" s="56" t="n">
        <v>1025.1</v>
      </c>
      <c r="L6586" s="56" t="n">
        <v>0</v>
      </c>
      <c r="M6586" s="56" t="n">
        <v>68</v>
      </c>
      <c r="N6586" s="56" t="n">
        <v>8.9</v>
      </c>
      <c r="O6586" s="56" t="n">
        <f aca="false">IF(D6586=1,"",E6585)</f>
        <v>23.3</v>
      </c>
      <c r="P6586" s="56" t="n">
        <f aca="false">IF(OR(D6586=1,K6585=""),"",K6585)</f>
        <v>1023.8</v>
      </c>
      <c r="Q6586" s="56" t="n">
        <f aca="false">IF(OR(F6586&lt;&gt;0,AND(I6586&lt;&gt;"",E6586&lt;I6586)),1,0)</f>
        <v>0</v>
      </c>
      <c r="R6586" s="56" t="n">
        <f aca="false">IF(AND(D6586&gt;1,Q6586=0,ISNUMBER(O6586),ISNUMBER(P6586)),IF(Q6585=0,1,0),0)</f>
        <v>1</v>
      </c>
      <c r="S6586" s="56" t="n">
        <f aca="false">R6586*(B6586&gt;=Train_Start)*(B6586&lt;=Train_End)</f>
        <v>0</v>
      </c>
      <c r="T6586" s="84" t="n">
        <f aca="false">IF(AND(ISNUMBER(O6586),ISNUMBER(P6586)),Coef_A+Coef_B1*O6586+Coef_B2*P6586,"")</f>
        <v>23.294076746168</v>
      </c>
      <c r="U6586" s="84" t="n">
        <f aca="false">IF(AND(R6586=1,ISNUMBER(T6586)),E6586-T6586,"")</f>
        <v>-2.99407674616796</v>
      </c>
      <c r="V6586" s="84" t="n">
        <f aca="false">IF(ISNUMBER(T6586),T6586,-99)</f>
        <v>23.294076746168</v>
      </c>
      <c r="W6586" s="84" t="n">
        <f aca="false">IF(ISNUMBER(U6586),ABS(U6586),"")</f>
        <v>2.99407674616796</v>
      </c>
    </row>
    <row r="6587" customFormat="false" ht="15" hidden="false" customHeight="false" outlineLevel="0" collapsed="false">
      <c r="A6587" s="57" t="n">
        <v>44688</v>
      </c>
      <c r="B6587" s="56" t="n">
        <v>2022</v>
      </c>
      <c r="C6587" s="56" t="n">
        <v>5</v>
      </c>
      <c r="D6587" s="56" t="n">
        <v>7</v>
      </c>
      <c r="E6587" s="56" t="n">
        <v>20.6</v>
      </c>
      <c r="F6587" s="56" t="n">
        <v>0</v>
      </c>
      <c r="G6587" s="56" t="n">
        <v>12.4</v>
      </c>
      <c r="H6587" s="56" t="n">
        <v>0</v>
      </c>
      <c r="I6587" s="56" t="n">
        <v>16.4</v>
      </c>
      <c r="J6587" s="56" t="n">
        <v>0</v>
      </c>
      <c r="K6587" s="56" t="n">
        <v>1025.6</v>
      </c>
      <c r="L6587" s="56" t="n">
        <v>0</v>
      </c>
      <c r="M6587" s="56" t="n">
        <v>80</v>
      </c>
      <c r="N6587" s="56" t="n">
        <v>2.3</v>
      </c>
      <c r="O6587" s="56" t="n">
        <f aca="false">IF(D6587=1,"",E6586)</f>
        <v>20.3</v>
      </c>
      <c r="P6587" s="56" t="n">
        <f aca="false">IF(OR(D6587=1,K6586=""),"",K6586)</f>
        <v>1025.1</v>
      </c>
      <c r="Q6587" s="56" t="n">
        <f aca="false">IF(OR(F6587&lt;&gt;0,AND(I6587&lt;&gt;"",E6587&lt;I6587)),1,0)</f>
        <v>0</v>
      </c>
      <c r="R6587" s="56" t="n">
        <f aca="false">IF(AND(D6587&gt;1,Q6587=0,ISNUMBER(O6587),ISNUMBER(P6587)),IF(Q6586=0,1,0),0)</f>
        <v>1</v>
      </c>
      <c r="S6587" s="56" t="n">
        <f aca="false">R6587*(B6587&gt;=Train_Start)*(B6587&lt;=Train_End)</f>
        <v>0</v>
      </c>
      <c r="T6587" s="84" t="n">
        <f aca="false">IF(AND(ISNUMBER(O6587),ISNUMBER(P6587)),Coef_A+Coef_B1*O6587+Coef_B2*P6587,"")</f>
        <v>20.8768400300642</v>
      </c>
      <c r="U6587" s="84" t="n">
        <f aca="false">IF(AND(R6587=1,ISNUMBER(T6587)),E6587-T6587,"")</f>
        <v>-0.276840030064164</v>
      </c>
      <c r="V6587" s="84" t="n">
        <f aca="false">IF(ISNUMBER(T6587),T6587,-99)</f>
        <v>20.8768400300642</v>
      </c>
      <c r="W6587" s="84" t="n">
        <f aca="false">IF(ISNUMBER(U6587),ABS(U6587),"")</f>
        <v>0.276840030064164</v>
      </c>
    </row>
    <row r="6588" customFormat="false" ht="15" hidden="false" customHeight="false" outlineLevel="0" collapsed="false">
      <c r="A6588" s="57" t="n">
        <v>44689</v>
      </c>
      <c r="B6588" s="56" t="n">
        <v>2022</v>
      </c>
      <c r="C6588" s="56" t="n">
        <v>5</v>
      </c>
      <c r="D6588" s="56" t="n">
        <v>8</v>
      </c>
      <c r="E6588" s="56" t="n">
        <v>23.4</v>
      </c>
      <c r="F6588" s="56" t="n">
        <v>0</v>
      </c>
      <c r="G6588" s="56" t="n">
        <v>9.6</v>
      </c>
      <c r="H6588" s="56" t="n">
        <v>0</v>
      </c>
      <c r="I6588" s="56" t="n">
        <v>15.1</v>
      </c>
      <c r="J6588" s="56" t="n">
        <v>0</v>
      </c>
      <c r="K6588" s="56" t="n">
        <v>1028.6</v>
      </c>
      <c r="L6588" s="56" t="n">
        <v>0</v>
      </c>
      <c r="M6588" s="56" t="n">
        <v>63</v>
      </c>
      <c r="N6588" s="56" t="n">
        <v>10.8</v>
      </c>
      <c r="O6588" s="56" t="n">
        <f aca="false">IF(D6588=1,"",E6587)</f>
        <v>20.6</v>
      </c>
      <c r="P6588" s="56" t="n">
        <f aca="false">IF(OR(D6588=1,K6587=""),"",K6587)</f>
        <v>1025.6</v>
      </c>
      <c r="Q6588" s="56" t="n">
        <f aca="false">IF(OR(F6588&lt;&gt;0,AND(I6588&lt;&gt;"",E6588&lt;I6588)),1,0)</f>
        <v>0</v>
      </c>
      <c r="R6588" s="56" t="n">
        <f aca="false">IF(AND(D6588&gt;1,Q6588=0,ISNUMBER(O6588),ISNUMBER(P6588)),IF(Q6587=0,1,0),0)</f>
        <v>1</v>
      </c>
      <c r="S6588" s="56" t="n">
        <f aca="false">R6588*(B6588&gt;=Train_Start)*(B6588&lt;=Train_End)</f>
        <v>0</v>
      </c>
      <c r="T6588" s="84" t="n">
        <f aca="false">IF(AND(ISNUMBER(O6588),ISNUMBER(P6588)),Coef_A+Coef_B1*O6588+Coef_B2*P6588,"")</f>
        <v>21.138326735294</v>
      </c>
      <c r="U6588" s="84" t="n">
        <f aca="false">IF(AND(R6588=1,ISNUMBER(T6588)),E6588-T6588,"")</f>
        <v>2.26167326470603</v>
      </c>
      <c r="V6588" s="84" t="n">
        <f aca="false">IF(ISNUMBER(T6588),T6588,-99)</f>
        <v>21.138326735294</v>
      </c>
      <c r="W6588" s="84" t="n">
        <f aca="false">IF(ISNUMBER(U6588),ABS(U6588),"")</f>
        <v>2.26167326470603</v>
      </c>
    </row>
    <row r="6589" customFormat="false" ht="15" hidden="false" customHeight="false" outlineLevel="0" collapsed="false">
      <c r="A6589" s="57" t="n">
        <v>44690</v>
      </c>
      <c r="B6589" s="56" t="n">
        <v>2022</v>
      </c>
      <c r="C6589" s="56" t="n">
        <v>5</v>
      </c>
      <c r="D6589" s="56" t="n">
        <v>9</v>
      </c>
      <c r="E6589" s="56" t="n">
        <v>20.9</v>
      </c>
      <c r="F6589" s="56" t="n">
        <v>0</v>
      </c>
      <c r="G6589" s="56" t="n">
        <v>6</v>
      </c>
      <c r="H6589" s="56" t="n">
        <v>0</v>
      </c>
      <c r="I6589" s="56" t="n">
        <v>14.7</v>
      </c>
      <c r="J6589" s="56" t="n">
        <v>0</v>
      </c>
      <c r="K6589" s="56" t="n">
        <v>1022.9</v>
      </c>
      <c r="L6589" s="56" t="n">
        <v>0</v>
      </c>
      <c r="M6589" s="56" t="n">
        <v>64</v>
      </c>
      <c r="N6589" s="56" t="n">
        <v>8.4</v>
      </c>
      <c r="O6589" s="56" t="n">
        <f aca="false">IF(D6589=1,"",E6588)</f>
        <v>23.4</v>
      </c>
      <c r="P6589" s="56" t="n">
        <f aca="false">IF(OR(D6589=1,K6588=""),"",K6588)</f>
        <v>1028.6</v>
      </c>
      <c r="Q6589" s="56" t="n">
        <f aca="false">IF(OR(F6589&lt;&gt;0,AND(I6589&lt;&gt;"",E6589&lt;I6589)),1,0)</f>
        <v>0</v>
      </c>
      <c r="R6589" s="56" t="n">
        <f aca="false">IF(AND(D6589&gt;1,Q6589=0,ISNUMBER(O6589),ISNUMBER(P6589)),IF(Q6588=0,1,0),0)</f>
        <v>1</v>
      </c>
      <c r="S6589" s="56" t="n">
        <f aca="false">R6589*(B6589&gt;=Train_Start)*(B6589&lt;=Train_End)</f>
        <v>0</v>
      </c>
      <c r="T6589" s="84" t="n">
        <f aca="false">IF(AND(ISNUMBER(O6589),ISNUMBER(P6589)),Coef_A+Coef_B1*O6589+Coef_B2*P6589,"")</f>
        <v>23.5265861597154</v>
      </c>
      <c r="U6589" s="84" t="n">
        <f aca="false">IF(AND(R6589=1,ISNUMBER(T6589)),E6589-T6589,"")</f>
        <v>-2.62658615971537</v>
      </c>
      <c r="V6589" s="84" t="n">
        <f aca="false">IF(ISNUMBER(T6589),T6589,-99)</f>
        <v>23.5265861597154</v>
      </c>
      <c r="W6589" s="84" t="n">
        <f aca="false">IF(ISNUMBER(U6589),ABS(U6589),"")</f>
        <v>2.62658615971537</v>
      </c>
    </row>
    <row r="6590" customFormat="false" ht="15" hidden="false" customHeight="false" outlineLevel="0" collapsed="false">
      <c r="A6590" s="57" t="n">
        <v>44691</v>
      </c>
      <c r="B6590" s="56" t="n">
        <v>2022</v>
      </c>
      <c r="C6590" s="56" t="n">
        <v>5</v>
      </c>
      <c r="D6590" s="56" t="n">
        <v>10</v>
      </c>
      <c r="E6590" s="56" t="n">
        <v>16.1</v>
      </c>
      <c r="F6590" s="56" t="n">
        <v>1</v>
      </c>
      <c r="G6590" s="56" t="n">
        <v>13.4</v>
      </c>
      <c r="H6590" s="56" t="n">
        <v>0</v>
      </c>
      <c r="I6590" s="56" t="n">
        <v>17.1</v>
      </c>
      <c r="J6590" s="56" t="n">
        <v>1</v>
      </c>
      <c r="K6590" s="56" t="n">
        <v>1014.8</v>
      </c>
      <c r="L6590" s="56" t="n">
        <v>0</v>
      </c>
      <c r="M6590" s="56" t="n">
        <v>69</v>
      </c>
      <c r="N6590" s="56" t="n">
        <v>3.4</v>
      </c>
      <c r="O6590" s="56" t="n">
        <f aca="false">IF(D6590=1,"",E6589)</f>
        <v>20.9</v>
      </c>
      <c r="P6590" s="56" t="n">
        <f aca="false">IF(OR(D6590=1,K6589=""),"",K6589)</f>
        <v>1022.9</v>
      </c>
      <c r="Q6590" s="56" t="n">
        <f aca="false">IF(OR(F6590&lt;&gt;0,AND(I6590&lt;&gt;"",E6590&lt;I6590)),1,0)</f>
        <v>1</v>
      </c>
      <c r="R6590" s="56" t="n">
        <f aca="false">IF(AND(D6590&gt;1,Q6590=0,ISNUMBER(O6590),ISNUMBER(P6590)),IF(Q6589=0,1,0),0)</f>
        <v>0</v>
      </c>
      <c r="S6590" s="56" t="n">
        <f aca="false">R6590*(B6590&gt;=Train_Start)*(B6590&lt;=Train_End)</f>
        <v>0</v>
      </c>
      <c r="T6590" s="84" t="n">
        <f aca="false">IF(AND(ISNUMBER(O6590),ISNUMBER(P6590)),Coef_A+Coef_B1*O6590+Coef_B2*P6590,"")</f>
        <v>21.299429777695</v>
      </c>
      <c r="U6590" s="84" t="str">
        <f aca="false">IF(AND(R6590=1,ISNUMBER(T6590)),E6590-T6590,"")</f>
        <v/>
      </c>
      <c r="V6590" s="84" t="n">
        <f aca="false">IF(ISNUMBER(T6590),T6590,-99)</f>
        <v>21.299429777695</v>
      </c>
      <c r="W6590" s="84" t="str">
        <f aca="false">IF(ISNUMBER(U6590),ABS(U6590),"")</f>
        <v/>
      </c>
    </row>
    <row r="6591" customFormat="false" ht="15" hidden="false" customHeight="false" outlineLevel="0" collapsed="false">
      <c r="A6591" s="57" t="n">
        <v>44692</v>
      </c>
      <c r="B6591" s="56" t="n">
        <v>2022</v>
      </c>
      <c r="C6591" s="56" t="n">
        <v>5</v>
      </c>
      <c r="D6591" s="56" t="n">
        <v>11</v>
      </c>
      <c r="E6591" s="56" t="n">
        <v>18.9</v>
      </c>
      <c r="F6591" s="56" t="n">
        <v>0</v>
      </c>
      <c r="G6591" s="56" t="n">
        <v>11.7</v>
      </c>
      <c r="H6591" s="56" t="n">
        <v>0</v>
      </c>
      <c r="I6591" s="56" t="n">
        <v>13.9</v>
      </c>
      <c r="J6591" s="56" t="n">
        <v>0</v>
      </c>
      <c r="K6591" s="56" t="n">
        <v>1010.5</v>
      </c>
      <c r="L6591" s="56" t="n">
        <v>0</v>
      </c>
      <c r="M6591" s="56" t="n">
        <v>82</v>
      </c>
      <c r="N6591" s="56" t="n">
        <v>1.1</v>
      </c>
      <c r="O6591" s="56" t="n">
        <f aca="false">IF(D6591=1,"",E6590)</f>
        <v>16.1</v>
      </c>
      <c r="P6591" s="56" t="n">
        <f aca="false">IF(OR(D6591=1,K6590=""),"",K6590)</f>
        <v>1014.8</v>
      </c>
      <c r="Q6591" s="56" t="n">
        <f aca="false">IF(OR(F6591&lt;&gt;0,AND(I6591&lt;&gt;"",E6591&lt;I6591)),1,0)</f>
        <v>0</v>
      </c>
      <c r="R6591" s="56" t="n">
        <f aca="false">IF(AND(D6591&gt;1,Q6591=0,ISNUMBER(O6591),ISNUMBER(P6591)),IF(Q6590=0,1,0),0)</f>
        <v>0</v>
      </c>
      <c r="S6591" s="56" t="n">
        <f aca="false">R6591*(B6591&gt;=Train_Start)*(B6591&lt;=Train_End)</f>
        <v>0</v>
      </c>
      <c r="T6591" s="84" t="n">
        <f aca="false">IF(AND(ISNUMBER(O6591),ISNUMBER(P6591)),Coef_A+Coef_B1*O6591+Coef_B2*P6591,"")</f>
        <v>17.1125055045549</v>
      </c>
      <c r="U6591" s="84" t="str">
        <f aca="false">IF(AND(R6591=1,ISNUMBER(T6591)),E6591-T6591,"")</f>
        <v/>
      </c>
      <c r="V6591" s="84" t="n">
        <f aca="false">IF(ISNUMBER(T6591),T6591,-99)</f>
        <v>17.1125055045549</v>
      </c>
      <c r="W6591" s="84" t="str">
        <f aca="false">IF(ISNUMBER(U6591),ABS(U6591),"")</f>
        <v/>
      </c>
    </row>
    <row r="6592" customFormat="false" ht="15" hidden="false" customHeight="false" outlineLevel="0" collapsed="false">
      <c r="A6592" s="57" t="n">
        <v>44693</v>
      </c>
      <c r="B6592" s="56" t="n">
        <v>2022</v>
      </c>
      <c r="C6592" s="56" t="n">
        <v>5</v>
      </c>
      <c r="D6592" s="56" t="n">
        <v>12</v>
      </c>
      <c r="E6592" s="56" t="n">
        <v>21.4</v>
      </c>
      <c r="F6592" s="56" t="n">
        <v>0</v>
      </c>
      <c r="G6592" s="56" t="n">
        <v>7</v>
      </c>
      <c r="H6592" s="56" t="n">
        <v>0</v>
      </c>
      <c r="I6592" s="56" t="n">
        <v>12.9</v>
      </c>
      <c r="J6592" s="56" t="n">
        <v>0</v>
      </c>
      <c r="K6592" s="56" t="n">
        <v>1018.3</v>
      </c>
      <c r="L6592" s="56" t="n">
        <v>0</v>
      </c>
      <c r="M6592" s="56" t="n">
        <v>68</v>
      </c>
      <c r="N6592" s="56" t="n">
        <v>7.2</v>
      </c>
      <c r="O6592" s="56" t="n">
        <f aca="false">IF(D6592=1,"",E6591)</f>
        <v>18.9</v>
      </c>
      <c r="P6592" s="56" t="n">
        <f aca="false">IF(OR(D6592=1,K6591=""),"",K6591)</f>
        <v>1010.5</v>
      </c>
      <c r="Q6592" s="56" t="n">
        <f aca="false">IF(OR(F6592&lt;&gt;0,AND(I6592&lt;&gt;"",E6592&lt;I6592)),1,0)</f>
        <v>0</v>
      </c>
      <c r="R6592" s="56" t="n">
        <f aca="false">IF(AND(D6592&gt;1,Q6592=0,ISNUMBER(O6592),ISNUMBER(P6592)),IF(Q6591=0,1,0),0)</f>
        <v>1</v>
      </c>
      <c r="S6592" s="56" t="n">
        <f aca="false">R6592*(B6592&gt;=Train_Start)*(B6592&lt;=Train_End)</f>
        <v>0</v>
      </c>
      <c r="T6592" s="84" t="n">
        <f aca="false">IF(AND(ISNUMBER(O6592),ISNUMBER(P6592)),Coef_A+Coef_B1*O6592+Coef_B2*P6592,"")</f>
        <v>19.2717646981482</v>
      </c>
      <c r="U6592" s="84" t="n">
        <f aca="false">IF(AND(R6592=1,ISNUMBER(T6592)),E6592-T6592,"")</f>
        <v>2.1282353018518</v>
      </c>
      <c r="V6592" s="84" t="n">
        <f aca="false">IF(ISNUMBER(T6592),T6592,-99)</f>
        <v>19.2717646981482</v>
      </c>
      <c r="W6592" s="84" t="n">
        <f aca="false">IF(ISNUMBER(U6592),ABS(U6592),"")</f>
        <v>2.1282353018518</v>
      </c>
    </row>
    <row r="6593" customFormat="false" ht="15" hidden="false" customHeight="false" outlineLevel="0" collapsed="false">
      <c r="A6593" s="57" t="n">
        <v>44694</v>
      </c>
      <c r="B6593" s="56" t="n">
        <v>2022</v>
      </c>
      <c r="C6593" s="56" t="n">
        <v>5</v>
      </c>
      <c r="D6593" s="56" t="n">
        <v>13</v>
      </c>
      <c r="E6593" s="56" t="n">
        <v>23.4</v>
      </c>
      <c r="F6593" s="56" t="n">
        <v>0</v>
      </c>
      <c r="G6593" s="56" t="n">
        <v>10.1</v>
      </c>
      <c r="H6593" s="56" t="n">
        <v>0</v>
      </c>
      <c r="I6593" s="56" t="n">
        <v>15.8</v>
      </c>
      <c r="J6593" s="56" t="n">
        <v>0</v>
      </c>
      <c r="K6593" s="56" t="n">
        <v>1019.9</v>
      </c>
      <c r="L6593" s="56" t="n">
        <v>0</v>
      </c>
      <c r="M6593" s="56" t="n">
        <v>64</v>
      </c>
      <c r="N6593" s="56" t="n">
        <v>6.8</v>
      </c>
      <c r="O6593" s="56" t="n">
        <f aca="false">IF(D6593=1,"",E6592)</f>
        <v>21.4</v>
      </c>
      <c r="P6593" s="56" t="n">
        <f aca="false">IF(OR(D6593=1,K6592=""),"",K6592)</f>
        <v>1018.3</v>
      </c>
      <c r="Q6593" s="56" t="n">
        <f aca="false">IF(OR(F6593&lt;&gt;0,AND(I6593&lt;&gt;"",E6593&lt;I6593)),1,0)</f>
        <v>0</v>
      </c>
      <c r="R6593" s="56" t="n">
        <f aca="false">IF(AND(D6593&gt;1,Q6593=0,ISNUMBER(O6593),ISNUMBER(P6593)),IF(Q6592=0,1,0),0)</f>
        <v>1</v>
      </c>
      <c r="S6593" s="56" t="n">
        <f aca="false">R6593*(B6593&gt;=Train_Start)*(B6593&lt;=Train_End)</f>
        <v>0</v>
      </c>
      <c r="T6593" s="84" t="n">
        <f aca="false">IF(AND(ISNUMBER(O6593),ISNUMBER(P6593)),Coef_A+Coef_B1*O6593+Coef_B2*P6593,"")</f>
        <v>21.5647978589</v>
      </c>
      <c r="U6593" s="84" t="n">
        <f aca="false">IF(AND(R6593=1,ISNUMBER(T6593)),E6593-T6593,"")</f>
        <v>1.83520214110003</v>
      </c>
      <c r="V6593" s="84" t="n">
        <f aca="false">IF(ISNUMBER(T6593),T6593,-99)</f>
        <v>21.5647978589</v>
      </c>
      <c r="W6593" s="84" t="n">
        <f aca="false">IF(ISNUMBER(U6593),ABS(U6593),"")</f>
        <v>1.83520214110003</v>
      </c>
    </row>
    <row r="6594" customFormat="false" ht="15" hidden="false" customHeight="false" outlineLevel="0" collapsed="false">
      <c r="A6594" s="57" t="n">
        <v>44695</v>
      </c>
      <c r="B6594" s="56" t="n">
        <v>2022</v>
      </c>
      <c r="C6594" s="56" t="n">
        <v>5</v>
      </c>
      <c r="D6594" s="56" t="n">
        <v>14</v>
      </c>
      <c r="E6594" s="56" t="n">
        <v>18.9</v>
      </c>
      <c r="F6594" s="56" t="n">
        <v>0</v>
      </c>
      <c r="G6594" s="56" t="n">
        <v>7.8</v>
      </c>
      <c r="H6594" s="56" t="n">
        <v>0</v>
      </c>
      <c r="I6594" s="56" t="n">
        <v>15.6</v>
      </c>
      <c r="J6594" s="56" t="n">
        <v>0</v>
      </c>
      <c r="K6594" s="56" t="n">
        <v>1020.7</v>
      </c>
      <c r="L6594" s="56" t="n">
        <v>0</v>
      </c>
      <c r="M6594" s="56" t="n">
        <v>65</v>
      </c>
      <c r="N6594" s="56" t="n">
        <v>10.9</v>
      </c>
      <c r="O6594" s="56" t="n">
        <f aca="false">IF(D6594=1,"",E6593)</f>
        <v>23.4</v>
      </c>
      <c r="P6594" s="56" t="n">
        <f aca="false">IF(OR(D6594=1,K6593=""),"",K6593)</f>
        <v>1019.9</v>
      </c>
      <c r="Q6594" s="56" t="n">
        <f aca="false">IF(OR(F6594&lt;&gt;0,AND(I6594&lt;&gt;"",E6594&lt;I6594)),1,0)</f>
        <v>0</v>
      </c>
      <c r="R6594" s="56" t="n">
        <f aca="false">IF(AND(D6594&gt;1,Q6594=0,ISNUMBER(O6594),ISNUMBER(P6594)),IF(Q6593=0,1,0),0)</f>
        <v>1</v>
      </c>
      <c r="S6594" s="56" t="n">
        <f aca="false">R6594*(B6594&gt;=Train_Start)*(B6594&lt;=Train_End)</f>
        <v>0</v>
      </c>
      <c r="T6594" s="84" t="n">
        <f aca="false">IF(AND(ISNUMBER(O6594),ISNUMBER(P6594)),Coef_A+Coef_B1*O6594+Coef_B2*P6594,"")</f>
        <v>23.2536680763997</v>
      </c>
      <c r="U6594" s="84" t="n">
        <f aca="false">IF(AND(R6594=1,ISNUMBER(T6594)),E6594-T6594,"")</f>
        <v>-4.35366807639966</v>
      </c>
      <c r="V6594" s="84" t="n">
        <f aca="false">IF(ISNUMBER(T6594),T6594,-99)</f>
        <v>23.2536680763997</v>
      </c>
      <c r="W6594" s="84" t="n">
        <f aca="false">IF(ISNUMBER(U6594),ABS(U6594),"")</f>
        <v>4.35366807639966</v>
      </c>
    </row>
    <row r="6595" customFormat="false" ht="15" hidden="false" customHeight="false" outlineLevel="0" collapsed="false">
      <c r="A6595" s="57" t="n">
        <v>44696</v>
      </c>
      <c r="B6595" s="56" t="n">
        <v>2022</v>
      </c>
      <c r="C6595" s="56" t="n">
        <v>5</v>
      </c>
      <c r="D6595" s="56" t="n">
        <v>15</v>
      </c>
      <c r="E6595" s="56" t="n">
        <v>23.1</v>
      </c>
      <c r="F6595" s="56" t="n">
        <v>0</v>
      </c>
      <c r="G6595" s="56" t="n">
        <v>12.9</v>
      </c>
      <c r="H6595" s="56" t="n">
        <v>0</v>
      </c>
      <c r="I6595" s="56" t="n">
        <v>15.9</v>
      </c>
      <c r="J6595" s="56" t="n">
        <v>0</v>
      </c>
      <c r="K6595" s="56" t="n">
        <v>1015.1</v>
      </c>
      <c r="L6595" s="56" t="n">
        <v>0</v>
      </c>
      <c r="M6595" s="56" t="n">
        <v>78</v>
      </c>
      <c r="N6595" s="56" t="n">
        <v>0</v>
      </c>
      <c r="O6595" s="56" t="n">
        <f aca="false">IF(D6595=1,"",E6594)</f>
        <v>18.9</v>
      </c>
      <c r="P6595" s="56" t="n">
        <f aca="false">IF(OR(D6595=1,K6594=""),"",K6594)</f>
        <v>1020.7</v>
      </c>
      <c r="Q6595" s="56" t="n">
        <f aca="false">IF(OR(F6595&lt;&gt;0,AND(I6595&lt;&gt;"",E6595&lt;I6595)),1,0)</f>
        <v>0</v>
      </c>
      <c r="R6595" s="56" t="n">
        <f aca="false">IF(AND(D6595&gt;1,Q6595=0,ISNUMBER(O6595),ISNUMBER(P6595)),IF(Q6594=0,1,0),0)</f>
        <v>1</v>
      </c>
      <c r="S6595" s="56" t="n">
        <f aca="false">R6595*(B6595&gt;=Train_Start)*(B6595&lt;=Train_End)</f>
        <v>0</v>
      </c>
      <c r="T6595" s="84" t="n">
        <f aca="false">IF(AND(ISNUMBER(O6595),ISNUMBER(P6595)),Coef_A+Coef_B1*O6595+Coef_B2*P6595,"")</f>
        <v>19.5917376234149</v>
      </c>
      <c r="U6595" s="84" t="n">
        <f aca="false">IF(AND(R6595=1,ISNUMBER(T6595)),E6595-T6595,"")</f>
        <v>3.5082623765851</v>
      </c>
      <c r="V6595" s="84" t="n">
        <f aca="false">IF(ISNUMBER(T6595),T6595,-99)</f>
        <v>19.5917376234149</v>
      </c>
      <c r="W6595" s="84" t="n">
        <f aca="false">IF(ISNUMBER(U6595),ABS(U6595),"")</f>
        <v>3.5082623765851</v>
      </c>
    </row>
    <row r="6596" customFormat="false" ht="15" hidden="false" customHeight="false" outlineLevel="0" collapsed="false">
      <c r="A6596" s="57" t="n">
        <v>44697</v>
      </c>
      <c r="B6596" s="56" t="n">
        <v>2022</v>
      </c>
      <c r="C6596" s="56" t="n">
        <v>5</v>
      </c>
      <c r="D6596" s="56" t="n">
        <v>16</v>
      </c>
      <c r="E6596" s="56" t="n">
        <v>27.5</v>
      </c>
      <c r="F6596" s="56" t="n">
        <v>0</v>
      </c>
      <c r="G6596" s="56" t="n">
        <v>12.2</v>
      </c>
      <c r="H6596" s="56" t="n">
        <v>0</v>
      </c>
      <c r="I6596" s="56" t="n">
        <v>17.6</v>
      </c>
      <c r="J6596" s="56" t="n">
        <v>0</v>
      </c>
      <c r="K6596" s="56" t="n">
        <v>1014.4</v>
      </c>
      <c r="L6596" s="56" t="n">
        <v>0</v>
      </c>
      <c r="M6596" s="56" t="n">
        <v>77</v>
      </c>
      <c r="N6596" s="56" t="n">
        <v>3.4</v>
      </c>
      <c r="O6596" s="56" t="n">
        <f aca="false">IF(D6596=1,"",E6595)</f>
        <v>23.1</v>
      </c>
      <c r="P6596" s="56" t="n">
        <f aca="false">IF(OR(D6596=1,K6595=""),"",K6595)</f>
        <v>1015.1</v>
      </c>
      <c r="Q6596" s="56" t="n">
        <f aca="false">IF(OR(F6596&lt;&gt;0,AND(I6596&lt;&gt;"",E6596&lt;I6596)),1,0)</f>
        <v>0</v>
      </c>
      <c r="R6596" s="56" t="n">
        <f aca="false">IF(AND(D6596&gt;1,Q6596=0,ISNUMBER(O6596),ISNUMBER(P6596)),IF(Q6595=0,1,0),0)</f>
        <v>1</v>
      </c>
      <c r="S6596" s="56" t="n">
        <f aca="false">R6596*(B6596&gt;=Train_Start)*(B6596&lt;=Train_End)</f>
        <v>0</v>
      </c>
      <c r="T6596" s="84" t="n">
        <f aca="false">IF(AND(ISNUMBER(O6596),ISNUMBER(P6596)),Coef_A+Coef_B1*O6596+Coef_B2*P6596,"")</f>
        <v>22.8572908242437</v>
      </c>
      <c r="U6596" s="84" t="n">
        <f aca="false">IF(AND(R6596=1,ISNUMBER(T6596)),E6596-T6596,"")</f>
        <v>4.64270917575628</v>
      </c>
      <c r="V6596" s="84" t="n">
        <f aca="false">IF(ISNUMBER(T6596),T6596,-99)</f>
        <v>22.8572908242437</v>
      </c>
      <c r="W6596" s="84" t="n">
        <f aca="false">IF(ISNUMBER(U6596),ABS(U6596),"")</f>
        <v>4.64270917575628</v>
      </c>
    </row>
    <row r="6597" customFormat="false" ht="15" hidden="false" customHeight="false" outlineLevel="0" collapsed="false">
      <c r="A6597" s="57" t="n">
        <v>44698</v>
      </c>
      <c r="B6597" s="56" t="n">
        <v>2022</v>
      </c>
      <c r="C6597" s="56" t="n">
        <v>5</v>
      </c>
      <c r="D6597" s="56" t="n">
        <v>17</v>
      </c>
      <c r="E6597" s="56" t="n">
        <v>23.1</v>
      </c>
      <c r="F6597" s="56" t="n">
        <v>0</v>
      </c>
      <c r="G6597" s="56" t="n">
        <v>10.9</v>
      </c>
      <c r="H6597" s="56" t="n">
        <v>0</v>
      </c>
      <c r="I6597" s="56" t="n">
        <v>19.2</v>
      </c>
      <c r="J6597" s="56" t="n">
        <v>0</v>
      </c>
      <c r="K6597" s="56" t="n">
        <v>1017.1</v>
      </c>
      <c r="L6597" s="56" t="n">
        <v>0</v>
      </c>
      <c r="M6597" s="56" t="n">
        <v>67</v>
      </c>
      <c r="N6597" s="56" t="n">
        <v>8.7</v>
      </c>
      <c r="O6597" s="56" t="n">
        <f aca="false">IF(D6597=1,"",E6596)</f>
        <v>27.5</v>
      </c>
      <c r="P6597" s="56" t="n">
        <f aca="false">IF(OR(D6597=1,K6596=""),"",K6596)</f>
        <v>1014.4</v>
      </c>
      <c r="Q6597" s="56" t="n">
        <f aca="false">IF(OR(F6597&lt;&gt;0,AND(I6597&lt;&gt;"",E6597&lt;I6597)),1,0)</f>
        <v>0</v>
      </c>
      <c r="R6597" s="56" t="n">
        <f aca="false">IF(AND(D6597&gt;1,Q6597=0,ISNUMBER(O6597),ISNUMBER(P6597)),IF(Q6596=0,1,0),0)</f>
        <v>1</v>
      </c>
      <c r="S6597" s="56" t="n">
        <f aca="false">R6597*(B6597&gt;=Train_Start)*(B6597&lt;=Train_End)</f>
        <v>0</v>
      </c>
      <c r="T6597" s="84" t="n">
        <f aca="false">IF(AND(ISNUMBER(O6597),ISNUMBER(P6597)),Coef_A+Coef_B1*O6597+Coef_B2*P6597,"")</f>
        <v>26.4404243473876</v>
      </c>
      <c r="U6597" s="84" t="n">
        <f aca="false">IF(AND(R6597=1,ISNUMBER(T6597)),E6597-T6597,"")</f>
        <v>-3.34042434738762</v>
      </c>
      <c r="V6597" s="84" t="n">
        <f aca="false">IF(ISNUMBER(T6597),T6597,-99)</f>
        <v>26.4404243473876</v>
      </c>
      <c r="W6597" s="84" t="n">
        <f aca="false">IF(ISNUMBER(U6597),ABS(U6597),"")</f>
        <v>3.34042434738762</v>
      </c>
    </row>
    <row r="6598" customFormat="false" ht="15" hidden="false" customHeight="false" outlineLevel="0" collapsed="false">
      <c r="A6598" s="57" t="n">
        <v>44699</v>
      </c>
      <c r="B6598" s="56" t="n">
        <v>2022</v>
      </c>
      <c r="C6598" s="56" t="n">
        <v>5</v>
      </c>
      <c r="D6598" s="56" t="n">
        <v>18</v>
      </c>
      <c r="E6598" s="56" t="n">
        <v>22.4</v>
      </c>
      <c r="F6598" s="56" t="n">
        <v>0</v>
      </c>
      <c r="G6598" s="56" t="n">
        <v>11.1</v>
      </c>
      <c r="H6598" s="56" t="n">
        <v>0</v>
      </c>
      <c r="I6598" s="56" t="n">
        <v>17.1</v>
      </c>
      <c r="J6598" s="56" t="n">
        <v>0</v>
      </c>
      <c r="K6598" s="56" t="n">
        <v>1018.7</v>
      </c>
      <c r="L6598" s="56" t="n">
        <v>0</v>
      </c>
      <c r="M6598" s="56" t="n">
        <v>62</v>
      </c>
      <c r="N6598" s="56" t="n">
        <v>8.5</v>
      </c>
      <c r="O6598" s="56" t="n">
        <f aca="false">IF(D6598=1,"",E6597)</f>
        <v>23.1</v>
      </c>
      <c r="P6598" s="56" t="n">
        <f aca="false">IF(OR(D6598=1,K6597=""),"",K6597)</f>
        <v>1017.1</v>
      </c>
      <c r="Q6598" s="56" t="n">
        <f aca="false">IF(OR(F6598&lt;&gt;0,AND(I6598&lt;&gt;"",E6598&lt;I6598)),1,0)</f>
        <v>0</v>
      </c>
      <c r="R6598" s="56" t="n">
        <f aca="false">IF(AND(D6598&gt;1,Q6598=0,ISNUMBER(O6598),ISNUMBER(P6598)),IF(Q6597=0,1,0),0)</f>
        <v>1</v>
      </c>
      <c r="S6598" s="56" t="n">
        <f aca="false">R6598*(B6598&gt;=Train_Start)*(B6598&lt;=Train_End)</f>
        <v>0</v>
      </c>
      <c r="T6598" s="84" t="n">
        <f aca="false">IF(AND(ISNUMBER(O6598),ISNUMBER(P6598)),Coef_A+Coef_B1*O6598+Coef_B2*P6598,"")</f>
        <v>22.9200306135117</v>
      </c>
      <c r="U6598" s="84" t="n">
        <f aca="false">IF(AND(R6598=1,ISNUMBER(T6598)),E6598-T6598,"")</f>
        <v>-0.520030613511704</v>
      </c>
      <c r="V6598" s="84" t="n">
        <f aca="false">IF(ISNUMBER(T6598),T6598,-99)</f>
        <v>22.9200306135117</v>
      </c>
      <c r="W6598" s="84" t="n">
        <f aca="false">IF(ISNUMBER(U6598),ABS(U6598),"")</f>
        <v>0.520030613511704</v>
      </c>
    </row>
    <row r="6599" customFormat="false" ht="15" hidden="false" customHeight="false" outlineLevel="0" collapsed="false">
      <c r="A6599" s="57" t="n">
        <v>44700</v>
      </c>
      <c r="B6599" s="56" t="n">
        <v>2022</v>
      </c>
      <c r="C6599" s="56" t="n">
        <v>5</v>
      </c>
      <c r="D6599" s="56" t="n">
        <v>19</v>
      </c>
      <c r="E6599" s="56" t="n">
        <v>19</v>
      </c>
      <c r="F6599" s="56" t="n">
        <v>0</v>
      </c>
      <c r="G6599" s="56" t="n">
        <v>13.9</v>
      </c>
      <c r="H6599" s="56" t="n">
        <v>0</v>
      </c>
      <c r="I6599" s="56" t="n">
        <v>18.1</v>
      </c>
      <c r="J6599" s="56" t="n">
        <v>0</v>
      </c>
      <c r="K6599" s="56" t="n">
        <v>1018.2</v>
      </c>
      <c r="L6599" s="56" t="n">
        <v>0</v>
      </c>
      <c r="M6599" s="56" t="n">
        <v>65</v>
      </c>
      <c r="N6599" s="56" t="n">
        <v>8</v>
      </c>
      <c r="O6599" s="56" t="n">
        <f aca="false">IF(D6599=1,"",E6598)</f>
        <v>22.4</v>
      </c>
      <c r="P6599" s="56" t="n">
        <f aca="false">IF(OR(D6599=1,K6598=""),"",K6598)</f>
        <v>1018.7</v>
      </c>
      <c r="Q6599" s="56" t="n">
        <f aca="false">IF(OR(F6599&lt;&gt;0,AND(I6599&lt;&gt;"",E6599&lt;I6599)),1,0)</f>
        <v>0</v>
      </c>
      <c r="R6599" s="56" t="n">
        <f aca="false">IF(AND(D6599&gt;1,Q6599=0,ISNUMBER(O6599),ISNUMBER(P6599)),IF(Q6598=0,1,0),0)</f>
        <v>1</v>
      </c>
      <c r="S6599" s="56" t="n">
        <f aca="false">R6599*(B6599&gt;=Train_Start)*(B6599&lt;=Train_End)</f>
        <v>0</v>
      </c>
      <c r="T6599" s="84" t="n">
        <f aca="false">IF(AND(ISNUMBER(O6599),ISNUMBER(P6599)),Coef_A+Coef_B1*O6599+Coef_B2*P6599,"")</f>
        <v>22.3966850097962</v>
      </c>
      <c r="U6599" s="84" t="n">
        <f aca="false">IF(AND(R6599=1,ISNUMBER(T6599)),E6599-T6599,"")</f>
        <v>-3.39668500979622</v>
      </c>
      <c r="V6599" s="84" t="n">
        <f aca="false">IF(ISNUMBER(T6599),T6599,-99)</f>
        <v>22.3966850097962</v>
      </c>
      <c r="W6599" s="84" t="n">
        <f aca="false">IF(ISNUMBER(U6599),ABS(U6599),"")</f>
        <v>3.39668500979622</v>
      </c>
    </row>
    <row r="6600" customFormat="false" ht="15" hidden="false" customHeight="false" outlineLevel="0" collapsed="false">
      <c r="A6600" s="57" t="n">
        <v>44701</v>
      </c>
      <c r="B6600" s="56" t="n">
        <v>2022</v>
      </c>
      <c r="C6600" s="56" t="n">
        <v>5</v>
      </c>
      <c r="D6600" s="56" t="n">
        <v>20</v>
      </c>
      <c r="E6600" s="56" t="n">
        <v>22</v>
      </c>
      <c r="F6600" s="56" t="n">
        <v>0</v>
      </c>
      <c r="G6600" s="56" t="n">
        <v>12.1</v>
      </c>
      <c r="H6600" s="56" t="n">
        <v>0</v>
      </c>
      <c r="I6600" s="56" t="n">
        <v>15.6</v>
      </c>
      <c r="J6600" s="56" t="n">
        <v>0</v>
      </c>
      <c r="K6600" s="56" t="n">
        <v>1018.7</v>
      </c>
      <c r="L6600" s="56" t="n">
        <v>0</v>
      </c>
      <c r="M6600" s="56" t="n">
        <v>73</v>
      </c>
      <c r="N6600" s="56" t="n">
        <v>2.2</v>
      </c>
      <c r="O6600" s="56" t="n">
        <f aca="false">IF(D6600=1,"",E6599)</f>
        <v>19</v>
      </c>
      <c r="P6600" s="56" t="n">
        <f aca="false">IF(OR(D6600=1,K6599=""),"",K6599)</f>
        <v>1018.2</v>
      </c>
      <c r="Q6600" s="56" t="n">
        <f aca="false">IF(OR(F6600&lt;&gt;0,AND(I6600&lt;&gt;"",E6600&lt;I6600)),1,0)</f>
        <v>0</v>
      </c>
      <c r="R6600" s="56" t="n">
        <f aca="false">IF(AND(D6600&gt;1,Q6600=0,ISNUMBER(O6600),ISNUMBER(P6600)),IF(Q6599=0,1,0),0)</f>
        <v>1</v>
      </c>
      <c r="S6600" s="56" t="n">
        <f aca="false">R6600*(B6600&gt;=Train_Start)*(B6600&lt;=Train_End)</f>
        <v>0</v>
      </c>
      <c r="T6600" s="84" t="n">
        <f aca="false">IF(AND(ISNUMBER(O6600),ISNUMBER(P6600)),Coef_A+Coef_B1*O6600+Coef_B2*P6600,"")</f>
        <v>19.5952468061342</v>
      </c>
      <c r="U6600" s="84" t="n">
        <f aca="false">IF(AND(R6600=1,ISNUMBER(T6600)),E6600-T6600,"")</f>
        <v>2.40475319386581</v>
      </c>
      <c r="V6600" s="84" t="n">
        <f aca="false">IF(ISNUMBER(T6600),T6600,-99)</f>
        <v>19.5952468061342</v>
      </c>
      <c r="W6600" s="84" t="n">
        <f aca="false">IF(ISNUMBER(U6600),ABS(U6600),"")</f>
        <v>2.40475319386581</v>
      </c>
    </row>
    <row r="6601" customFormat="false" ht="15" hidden="false" customHeight="false" outlineLevel="0" collapsed="false">
      <c r="A6601" s="57" t="n">
        <v>44702</v>
      </c>
      <c r="B6601" s="56" t="n">
        <v>2022</v>
      </c>
      <c r="C6601" s="56" t="n">
        <v>5</v>
      </c>
      <c r="D6601" s="56" t="n">
        <v>21</v>
      </c>
      <c r="E6601" s="56" t="n">
        <v>23.8</v>
      </c>
      <c r="F6601" s="56" t="n">
        <v>0</v>
      </c>
      <c r="G6601" s="56" t="n">
        <v>9.5</v>
      </c>
      <c r="H6601" s="56" t="n">
        <v>0</v>
      </c>
      <c r="I6601" s="56" t="n">
        <v>15.8</v>
      </c>
      <c r="J6601" s="56" t="n">
        <v>0</v>
      </c>
      <c r="K6601" s="56" t="n">
        <v>1020.7</v>
      </c>
      <c r="L6601" s="56" t="n">
        <v>0</v>
      </c>
      <c r="M6601" s="56" t="n">
        <v>63</v>
      </c>
      <c r="N6601" s="56" t="n">
        <v>6.1</v>
      </c>
      <c r="O6601" s="56" t="n">
        <f aca="false">IF(D6601=1,"",E6600)</f>
        <v>22</v>
      </c>
      <c r="P6601" s="56" t="n">
        <f aca="false">IF(OR(D6601=1,K6600=""),"",K6600)</f>
        <v>1018.7</v>
      </c>
      <c r="Q6601" s="56" t="n">
        <f aca="false">IF(OR(F6601&lt;&gt;0,AND(I6601&lt;&gt;"",E6601&lt;I6601)),1,0)</f>
        <v>0</v>
      </c>
      <c r="R6601" s="56" t="n">
        <f aca="false">IF(AND(D6601&gt;1,Q6601=0,ISNUMBER(O6601),ISNUMBER(P6601)),IF(Q6600=0,1,0),0)</f>
        <v>1</v>
      </c>
      <c r="S6601" s="56" t="n">
        <f aca="false">R6601*(B6601&gt;=Train_Start)*(B6601&lt;=Train_End)</f>
        <v>0</v>
      </c>
      <c r="T6601" s="84" t="n">
        <f aca="false">IF(AND(ISNUMBER(O6601),ISNUMBER(P6601)),Coef_A+Coef_B1*O6601+Coef_B2*P6601,"")</f>
        <v>22.0689493325792</v>
      </c>
      <c r="U6601" s="84" t="n">
        <f aca="false">IF(AND(R6601=1,ISNUMBER(T6601)),E6601-T6601,"")</f>
        <v>1.73105066742084</v>
      </c>
      <c r="V6601" s="84" t="n">
        <f aca="false">IF(ISNUMBER(T6601),T6601,-99)</f>
        <v>22.0689493325792</v>
      </c>
      <c r="W6601" s="84" t="n">
        <f aca="false">IF(ISNUMBER(U6601),ABS(U6601),"")</f>
        <v>1.73105066742084</v>
      </c>
    </row>
    <row r="6602" customFormat="false" ht="15" hidden="false" customHeight="false" outlineLevel="0" collapsed="false">
      <c r="A6602" s="57" t="n">
        <v>44703</v>
      </c>
      <c r="B6602" s="56" t="n">
        <v>2022</v>
      </c>
      <c r="C6602" s="56" t="n">
        <v>5</v>
      </c>
      <c r="D6602" s="56" t="n">
        <v>22</v>
      </c>
      <c r="E6602" s="56" t="n">
        <v>20.7</v>
      </c>
      <c r="F6602" s="56" t="n">
        <v>0</v>
      </c>
      <c r="G6602" s="56" t="n">
        <v>9.3</v>
      </c>
      <c r="H6602" s="56" t="n">
        <v>0</v>
      </c>
      <c r="I6602" s="56" t="n">
        <v>16.6</v>
      </c>
      <c r="J6602" s="56" t="n">
        <v>0</v>
      </c>
      <c r="K6602" s="56" t="n">
        <v>1013.3</v>
      </c>
      <c r="L6602" s="56" t="n">
        <v>0</v>
      </c>
      <c r="M6602" s="56" t="n">
        <v>61</v>
      </c>
      <c r="N6602" s="56" t="n">
        <v>9.4</v>
      </c>
      <c r="O6602" s="56" t="n">
        <f aca="false">IF(D6602=1,"",E6601)</f>
        <v>23.8</v>
      </c>
      <c r="P6602" s="56" t="n">
        <f aca="false">IF(OR(D6602=1,K6601=""),"",K6601)</f>
        <v>1020.7</v>
      </c>
      <c r="Q6602" s="56" t="n">
        <f aca="false">IF(OR(F6602&lt;&gt;0,AND(I6602&lt;&gt;"",E6602&lt;I6602)),1,0)</f>
        <v>0</v>
      </c>
      <c r="R6602" s="56" t="n">
        <f aca="false">IF(AND(D6602&gt;1,Q6602=0,ISNUMBER(O6602),ISNUMBER(P6602)),IF(Q6601=0,1,0),0)</f>
        <v>1</v>
      </c>
      <c r="S6602" s="56" t="n">
        <f aca="false">R6602*(B6602&gt;=Train_Start)*(B6602&lt;=Train_End)</f>
        <v>0</v>
      </c>
      <c r="T6602" s="84" t="n">
        <f aca="false">IF(AND(ISNUMBER(O6602),ISNUMBER(P6602)),Coef_A+Coef_B1*O6602+Coef_B2*P6602,"")</f>
        <v>23.6064996693239</v>
      </c>
      <c r="U6602" s="84" t="n">
        <f aca="false">IF(AND(R6602=1,ISNUMBER(T6602)),E6602-T6602,"")</f>
        <v>-2.90649966932392</v>
      </c>
      <c r="V6602" s="84" t="n">
        <f aca="false">IF(ISNUMBER(T6602),T6602,-99)</f>
        <v>23.6064996693239</v>
      </c>
      <c r="W6602" s="84" t="n">
        <f aca="false">IF(ISNUMBER(U6602),ABS(U6602),"")</f>
        <v>2.90649966932392</v>
      </c>
    </row>
    <row r="6603" customFormat="false" ht="15" hidden="false" customHeight="false" outlineLevel="0" collapsed="false">
      <c r="A6603" s="57" t="n">
        <v>44704</v>
      </c>
      <c r="B6603" s="56" t="n">
        <v>2022</v>
      </c>
      <c r="C6603" s="56" t="n">
        <v>5</v>
      </c>
      <c r="D6603" s="56" t="n">
        <v>23</v>
      </c>
      <c r="E6603" s="56" t="n">
        <v>19.8</v>
      </c>
      <c r="F6603" s="56" t="n">
        <v>0</v>
      </c>
      <c r="G6603" s="56" t="n">
        <v>11.3</v>
      </c>
      <c r="H6603" s="56" t="n">
        <v>0</v>
      </c>
      <c r="I6603" s="56" t="n">
        <v>16</v>
      </c>
      <c r="J6603" s="56" t="n">
        <v>0</v>
      </c>
      <c r="K6603" s="56" t="n">
        <v>1002.6</v>
      </c>
      <c r="L6603" s="56" t="n">
        <v>0</v>
      </c>
      <c r="M6603" s="56" t="n">
        <v>71</v>
      </c>
      <c r="N6603" s="56" t="n">
        <v>1.3</v>
      </c>
      <c r="O6603" s="56" t="n">
        <f aca="false">IF(D6603=1,"",E6602)</f>
        <v>20.7</v>
      </c>
      <c r="P6603" s="56" t="n">
        <f aca="false">IF(OR(D6603=1,K6602=""),"",K6602)</f>
        <v>1013.3</v>
      </c>
      <c r="Q6603" s="56" t="n">
        <f aca="false">IF(OR(F6603&lt;&gt;0,AND(I6603&lt;&gt;"",E6603&lt;I6603)),1,0)</f>
        <v>0</v>
      </c>
      <c r="R6603" s="56" t="n">
        <f aca="false">IF(AND(D6603&gt;1,Q6603=0,ISNUMBER(O6603),ISNUMBER(P6603)),IF(Q6602=0,1,0),0)</f>
        <v>1</v>
      </c>
      <c r="S6603" s="56" t="n">
        <f aca="false">R6603*(B6603&gt;=Train_Start)*(B6603&lt;=Train_End)</f>
        <v>0</v>
      </c>
      <c r="T6603" s="84" t="n">
        <f aca="false">IF(AND(ISNUMBER(O6603),ISNUMBER(P6603)),Coef_A+Coef_B1*O6603+Coef_B2*P6603,"")</f>
        <v>20.8344109506002</v>
      </c>
      <c r="U6603" s="84" t="n">
        <f aca="false">IF(AND(R6603=1,ISNUMBER(T6603)),E6603-T6603,"")</f>
        <v>-1.03441095060016</v>
      </c>
      <c r="V6603" s="84" t="n">
        <f aca="false">IF(ISNUMBER(T6603),T6603,-99)</f>
        <v>20.8344109506002</v>
      </c>
      <c r="W6603" s="84" t="n">
        <f aca="false">IF(ISNUMBER(U6603),ABS(U6603),"")</f>
        <v>1.03441095060016</v>
      </c>
    </row>
    <row r="6604" customFormat="false" ht="15" hidden="false" customHeight="false" outlineLevel="0" collapsed="false">
      <c r="A6604" s="57" t="n">
        <v>44705</v>
      </c>
      <c r="B6604" s="56" t="n">
        <v>2022</v>
      </c>
      <c r="C6604" s="56" t="n">
        <v>5</v>
      </c>
      <c r="D6604" s="56" t="n">
        <v>24</v>
      </c>
      <c r="E6604" s="56" t="n">
        <v>19.1</v>
      </c>
      <c r="F6604" s="56" t="n">
        <v>0</v>
      </c>
      <c r="G6604" s="56" t="n">
        <v>9.8</v>
      </c>
      <c r="H6604" s="56" t="n">
        <v>0</v>
      </c>
      <c r="I6604" s="56" t="n">
        <v>14.8</v>
      </c>
      <c r="J6604" s="56" t="n">
        <v>0</v>
      </c>
      <c r="K6604" s="56" t="n">
        <v>1006.2</v>
      </c>
      <c r="L6604" s="56" t="n">
        <v>0</v>
      </c>
      <c r="M6604" s="56" t="n">
        <v>73</v>
      </c>
      <c r="N6604" s="56" t="n">
        <v>6.3</v>
      </c>
      <c r="O6604" s="56" t="n">
        <f aca="false">IF(D6604=1,"",E6603)</f>
        <v>19.8</v>
      </c>
      <c r="P6604" s="56" t="n">
        <f aca="false">IF(OR(D6604=1,K6603=""),"",K6603)</f>
        <v>1002.6</v>
      </c>
      <c r="Q6604" s="56" t="n">
        <f aca="false">IF(OR(F6604&lt;&gt;0,AND(I6604&lt;&gt;"",E6604&lt;I6604)),1,0)</f>
        <v>0</v>
      </c>
      <c r="R6604" s="56" t="n">
        <f aca="false">IF(AND(D6604&gt;1,Q6604=0,ISNUMBER(O6604),ISNUMBER(P6604)),IF(Q6603=0,1,0),0)</f>
        <v>1</v>
      </c>
      <c r="S6604" s="56" t="n">
        <f aca="false">R6604*(B6604&gt;=Train_Start)*(B6604&lt;=Train_End)</f>
        <v>0</v>
      </c>
      <c r="T6604" s="84" t="n">
        <f aca="false">IF(AND(ISNUMBER(O6604),ISNUMBER(P6604)),Coef_A+Coef_B1*O6604+Coef_B2*P6604,"")</f>
        <v>19.7613478042781</v>
      </c>
      <c r="U6604" s="84" t="n">
        <f aca="false">IF(AND(R6604=1,ISNUMBER(T6604)),E6604-T6604,"")</f>
        <v>-0.661347804278083</v>
      </c>
      <c r="V6604" s="84" t="n">
        <f aca="false">IF(ISNUMBER(T6604),T6604,-99)</f>
        <v>19.7613478042781</v>
      </c>
      <c r="W6604" s="84" t="n">
        <f aca="false">IF(ISNUMBER(U6604),ABS(U6604),"")</f>
        <v>0.661347804278083</v>
      </c>
    </row>
    <row r="6605" customFormat="false" ht="15" hidden="false" customHeight="false" outlineLevel="0" collapsed="false">
      <c r="A6605" s="57" t="n">
        <v>44706</v>
      </c>
      <c r="B6605" s="56" t="n">
        <v>2022</v>
      </c>
      <c r="C6605" s="56" t="n">
        <v>5</v>
      </c>
      <c r="D6605" s="56" t="n">
        <v>25</v>
      </c>
      <c r="E6605" s="56" t="n">
        <v>21.8</v>
      </c>
      <c r="F6605" s="56" t="n">
        <v>0</v>
      </c>
      <c r="G6605" s="56" t="n">
        <v>9.1</v>
      </c>
      <c r="H6605" s="56" t="n">
        <v>0</v>
      </c>
      <c r="I6605" s="56" t="n">
        <v>14.1</v>
      </c>
      <c r="J6605" s="56" t="n">
        <v>0</v>
      </c>
      <c r="K6605" s="56" t="n">
        <v>1013.7</v>
      </c>
      <c r="L6605" s="56" t="n">
        <v>0</v>
      </c>
      <c r="M6605" s="56" t="n">
        <v>75</v>
      </c>
      <c r="N6605" s="56" t="n">
        <v>2.1</v>
      </c>
      <c r="O6605" s="56" t="n">
        <f aca="false">IF(D6605=1,"",E6604)</f>
        <v>19.1</v>
      </c>
      <c r="P6605" s="56" t="n">
        <f aca="false">IF(OR(D6605=1,K6604=""),"",K6604)</f>
        <v>1006.2</v>
      </c>
      <c r="Q6605" s="56" t="n">
        <f aca="false">IF(OR(F6605&lt;&gt;0,AND(I6605&lt;&gt;"",E6605&lt;I6605)),1,0)</f>
        <v>0</v>
      </c>
      <c r="R6605" s="56" t="n">
        <f aca="false">IF(AND(D6605&gt;1,Q6605=0,ISNUMBER(O6605),ISNUMBER(P6605)),IF(Q6604=0,1,0),0)</f>
        <v>1</v>
      </c>
      <c r="S6605" s="56" t="n">
        <f aca="false">R6605*(B6605&gt;=Train_Start)*(B6605&lt;=Train_End)</f>
        <v>0</v>
      </c>
      <c r="T6605" s="84" t="n">
        <f aca="false">IF(AND(ISNUMBER(O6605),ISNUMBER(P6605)),Coef_A+Coef_B1*O6605+Coef_B2*P6605,"")</f>
        <v>19.3007419898306</v>
      </c>
      <c r="U6605" s="84" t="n">
        <f aca="false">IF(AND(R6605=1,ISNUMBER(T6605)),E6605-T6605,"")</f>
        <v>2.49925801016941</v>
      </c>
      <c r="V6605" s="84" t="n">
        <f aca="false">IF(ISNUMBER(T6605),T6605,-99)</f>
        <v>19.3007419898306</v>
      </c>
      <c r="W6605" s="84" t="n">
        <f aca="false">IF(ISNUMBER(U6605),ABS(U6605),"")</f>
        <v>2.49925801016941</v>
      </c>
    </row>
    <row r="6606" customFormat="false" ht="15" hidden="false" customHeight="false" outlineLevel="0" collapsed="false">
      <c r="A6606" s="57" t="n">
        <v>44707</v>
      </c>
      <c r="B6606" s="56" t="n">
        <v>2022</v>
      </c>
      <c r="C6606" s="56" t="n">
        <v>5</v>
      </c>
      <c r="D6606" s="56" t="n">
        <v>26</v>
      </c>
      <c r="E6606" s="56" t="n">
        <v>20.8</v>
      </c>
      <c r="F6606" s="56" t="n">
        <v>0</v>
      </c>
      <c r="G6606" s="56" t="n">
        <v>10.5</v>
      </c>
      <c r="H6606" s="56" t="n">
        <v>0</v>
      </c>
      <c r="I6606" s="56" t="n">
        <v>16.1</v>
      </c>
      <c r="J6606" s="56" t="n">
        <v>0</v>
      </c>
      <c r="K6606" s="56" t="n">
        <v>1021.3</v>
      </c>
      <c r="L6606" s="56" t="n">
        <v>0</v>
      </c>
      <c r="M6606" s="56" t="n">
        <v>74</v>
      </c>
      <c r="N6606" s="56" t="n">
        <v>1.7</v>
      </c>
      <c r="O6606" s="56" t="n">
        <f aca="false">IF(D6606=1,"",E6605)</f>
        <v>21.8</v>
      </c>
      <c r="P6606" s="56" t="n">
        <f aca="false">IF(OR(D6606=1,K6605=""),"",K6605)</f>
        <v>1013.7</v>
      </c>
      <c r="Q6606" s="56" t="n">
        <f aca="false">IF(OR(F6606&lt;&gt;0,AND(I6606&lt;&gt;"",E6606&lt;I6606)),1,0)</f>
        <v>0</v>
      </c>
      <c r="R6606" s="56" t="n">
        <f aca="false">IF(AND(D6606&gt;1,Q6606=0,ISNUMBER(O6606),ISNUMBER(P6606)),IF(Q6605=0,1,0),0)</f>
        <v>1</v>
      </c>
      <c r="S6606" s="56" t="n">
        <f aca="false">R6606*(B6606&gt;=Train_Start)*(B6606&lt;=Train_End)</f>
        <v>0</v>
      </c>
      <c r="T6606" s="84" t="n">
        <f aca="false">IF(AND(ISNUMBER(O6606),ISNUMBER(P6606)),Coef_A+Coef_B1*O6606+Coef_B2*P6606,"")</f>
        <v>21.7482320208007</v>
      </c>
      <c r="U6606" s="84" t="n">
        <f aca="false">IF(AND(R6606=1,ISNUMBER(T6606)),E6606-T6606,"")</f>
        <v>-0.948232020800681</v>
      </c>
      <c r="V6606" s="84" t="n">
        <f aca="false">IF(ISNUMBER(T6606),T6606,-99)</f>
        <v>21.7482320208007</v>
      </c>
      <c r="W6606" s="84" t="n">
        <f aca="false">IF(ISNUMBER(U6606),ABS(U6606),"")</f>
        <v>0.948232020800681</v>
      </c>
    </row>
    <row r="6607" customFormat="false" ht="15" hidden="false" customHeight="false" outlineLevel="0" collapsed="false">
      <c r="A6607" s="57" t="n">
        <v>44708</v>
      </c>
      <c r="B6607" s="56" t="n">
        <v>2022</v>
      </c>
      <c r="C6607" s="56" t="n">
        <v>5</v>
      </c>
      <c r="D6607" s="56" t="n">
        <v>27</v>
      </c>
      <c r="E6607" s="56" t="n">
        <v>19.1</v>
      </c>
      <c r="F6607" s="56" t="n">
        <v>0</v>
      </c>
      <c r="G6607" s="56" t="n">
        <v>13</v>
      </c>
      <c r="H6607" s="56" t="n">
        <v>0</v>
      </c>
      <c r="I6607" s="56" t="n">
        <v>16.9</v>
      </c>
      <c r="J6607" s="56" t="n">
        <v>0</v>
      </c>
      <c r="K6607" s="56" t="n">
        <v>1024.4</v>
      </c>
      <c r="L6607" s="56" t="n">
        <v>0</v>
      </c>
      <c r="M6607" s="56" t="n">
        <v>59</v>
      </c>
      <c r="N6607" s="56" t="n">
        <v>11.9</v>
      </c>
      <c r="O6607" s="56" t="n">
        <f aca="false">IF(D6607=1,"",E6606)</f>
        <v>20.8</v>
      </c>
      <c r="P6607" s="56" t="n">
        <f aca="false">IF(OR(D6607=1,K6606=""),"",K6606)</f>
        <v>1021.3</v>
      </c>
      <c r="Q6607" s="56" t="n">
        <f aca="false">IF(OR(F6607&lt;&gt;0,AND(I6607&lt;&gt;"",E6607&lt;I6607)),1,0)</f>
        <v>0</v>
      </c>
      <c r="R6607" s="56" t="n">
        <f aca="false">IF(AND(D6607&gt;1,Q6607=0,ISNUMBER(O6607),ISNUMBER(P6607)),IF(Q6606=0,1,0),0)</f>
        <v>1</v>
      </c>
      <c r="S6607" s="56" t="n">
        <f aca="false">R6607*(B6607&gt;=Train_Start)*(B6607&lt;=Train_End)</f>
        <v>0</v>
      </c>
      <c r="T6607" s="84" t="n">
        <f aca="false">IF(AND(ISNUMBER(O6607),ISNUMBER(P6607)),Coef_A+Coef_B1*O6607+Coef_B2*P6607,"")</f>
        <v>21.1673040269763</v>
      </c>
      <c r="U6607" s="84" t="n">
        <f aca="false">IF(AND(R6607=1,ISNUMBER(T6607)),E6607-T6607,"")</f>
        <v>-2.06730402697634</v>
      </c>
      <c r="V6607" s="84" t="n">
        <f aca="false">IF(ISNUMBER(T6607),T6607,-99)</f>
        <v>21.1673040269763</v>
      </c>
      <c r="W6607" s="84" t="n">
        <f aca="false">IF(ISNUMBER(U6607),ABS(U6607),"")</f>
        <v>2.06730402697634</v>
      </c>
    </row>
    <row r="6608" customFormat="false" ht="15" hidden="false" customHeight="false" outlineLevel="0" collapsed="false">
      <c r="A6608" s="57" t="n">
        <v>44709</v>
      </c>
      <c r="B6608" s="56" t="n">
        <v>2022</v>
      </c>
      <c r="C6608" s="56" t="n">
        <v>5</v>
      </c>
      <c r="D6608" s="56" t="n">
        <v>28</v>
      </c>
      <c r="E6608" s="56" t="n">
        <v>17</v>
      </c>
      <c r="F6608" s="56" t="n">
        <v>0</v>
      </c>
      <c r="G6608" s="56" t="n">
        <v>8.6</v>
      </c>
      <c r="H6608" s="56" t="n">
        <v>0</v>
      </c>
      <c r="I6608" s="56" t="n">
        <v>13.8</v>
      </c>
      <c r="J6608" s="56" t="n">
        <v>0</v>
      </c>
      <c r="K6608" s="56" t="n">
        <v>1024.9</v>
      </c>
      <c r="L6608" s="56" t="n">
        <v>0</v>
      </c>
      <c r="M6608" s="56" t="n">
        <v>56</v>
      </c>
      <c r="N6608" s="56" t="n">
        <v>5.9</v>
      </c>
      <c r="O6608" s="56" t="n">
        <f aca="false">IF(D6608=1,"",E6607)</f>
        <v>19.1</v>
      </c>
      <c r="P6608" s="56" t="n">
        <f aca="false">IF(OR(D6608=1,K6607=""),"",K6607)</f>
        <v>1024.4</v>
      </c>
      <c r="Q6608" s="56" t="n">
        <f aca="false">IF(OR(F6608&lt;&gt;0,AND(I6608&lt;&gt;"",E6608&lt;I6608)),1,0)</f>
        <v>0</v>
      </c>
      <c r="R6608" s="56" t="n">
        <f aca="false">IF(AND(D6608&gt;1,Q6608=0,ISNUMBER(O6608),ISNUMBER(P6608)),IF(Q6607=0,1,0),0)</f>
        <v>1</v>
      </c>
      <c r="S6608" s="56" t="n">
        <f aca="false">R6608*(B6608&gt;=Train_Start)*(B6608&lt;=Train_End)</f>
        <v>0</v>
      </c>
      <c r="T6608" s="84" t="n">
        <f aca="false">IF(AND(ISNUMBER(O6608),ISNUMBER(P6608)),Coef_A+Coef_B1*O6608+Coef_B2*P6608,"")</f>
        <v>19.8716740721692</v>
      </c>
      <c r="U6608" s="84" t="n">
        <f aca="false">IF(AND(R6608=1,ISNUMBER(T6608)),E6608-T6608,"")</f>
        <v>-2.8716740721692</v>
      </c>
      <c r="V6608" s="84" t="n">
        <f aca="false">IF(ISNUMBER(T6608),T6608,-99)</f>
        <v>19.8716740721692</v>
      </c>
      <c r="W6608" s="84" t="n">
        <f aca="false">IF(ISNUMBER(U6608),ABS(U6608),"")</f>
        <v>2.8716740721692</v>
      </c>
    </row>
    <row r="6609" customFormat="false" ht="15" hidden="false" customHeight="false" outlineLevel="0" collapsed="false">
      <c r="A6609" s="57" t="n">
        <v>44710</v>
      </c>
      <c r="B6609" s="56" t="n">
        <v>2022</v>
      </c>
      <c r="C6609" s="56" t="n">
        <v>5</v>
      </c>
      <c r="D6609" s="56" t="n">
        <v>29</v>
      </c>
      <c r="E6609" s="56" t="n">
        <v>16.1</v>
      </c>
      <c r="F6609" s="56" t="n">
        <v>0</v>
      </c>
      <c r="G6609" s="56" t="n">
        <v>7.9</v>
      </c>
      <c r="H6609" s="56" t="n">
        <v>0</v>
      </c>
      <c r="I6609" s="56" t="n">
        <v>12.4</v>
      </c>
      <c r="J6609" s="56" t="n">
        <v>0</v>
      </c>
      <c r="K6609" s="56" t="n">
        <v>1019.3</v>
      </c>
      <c r="L6609" s="56" t="n">
        <v>0</v>
      </c>
      <c r="M6609" s="56" t="n">
        <v>57</v>
      </c>
      <c r="N6609" s="56" t="n">
        <v>6.1</v>
      </c>
      <c r="O6609" s="56" t="n">
        <f aca="false">IF(D6609=1,"",E6608)</f>
        <v>17</v>
      </c>
      <c r="P6609" s="56" t="n">
        <f aca="false">IF(OR(D6609=1,K6608=""),"",K6608)</f>
        <v>1024.9</v>
      </c>
      <c r="Q6609" s="56" t="n">
        <f aca="false">IF(OR(F6609&lt;&gt;0,AND(I6609&lt;&gt;"",E6609&lt;I6609)),1,0)</f>
        <v>0</v>
      </c>
      <c r="R6609" s="56" t="n">
        <f aca="false">IF(AND(D6609&gt;1,Q6609=0,ISNUMBER(O6609),ISNUMBER(P6609)),IF(Q6608=0,1,0),0)</f>
        <v>1</v>
      </c>
      <c r="S6609" s="56" t="n">
        <f aca="false">R6609*(B6609&gt;=Train_Start)*(B6609&lt;=Train_End)</f>
        <v>0</v>
      </c>
      <c r="T6609" s="84" t="n">
        <f aca="false">IF(AND(ISNUMBER(O6609),ISNUMBER(P6609)),Coef_A+Coef_B1*O6609+Coef_B2*P6609,"")</f>
        <v>18.1667467140966</v>
      </c>
      <c r="U6609" s="84" t="n">
        <f aca="false">IF(AND(R6609=1,ISNUMBER(T6609)),E6609-T6609,"")</f>
        <v>-2.0667467140966</v>
      </c>
      <c r="V6609" s="84" t="n">
        <f aca="false">IF(ISNUMBER(T6609),T6609,-99)</f>
        <v>18.1667467140966</v>
      </c>
      <c r="W6609" s="84" t="n">
        <f aca="false">IF(ISNUMBER(U6609),ABS(U6609),"")</f>
        <v>2.0667467140966</v>
      </c>
    </row>
    <row r="6610" customFormat="false" ht="15" hidden="false" customHeight="false" outlineLevel="0" collapsed="false">
      <c r="A6610" s="57" t="n">
        <v>44711</v>
      </c>
      <c r="B6610" s="56" t="n">
        <v>2022</v>
      </c>
      <c r="C6610" s="56" t="n">
        <v>5</v>
      </c>
      <c r="D6610" s="56" t="n">
        <v>30</v>
      </c>
      <c r="E6610" s="56" t="n">
        <v>16.4</v>
      </c>
      <c r="F6610" s="56" t="n">
        <v>0</v>
      </c>
      <c r="G6610" s="56" t="n">
        <v>5.6</v>
      </c>
      <c r="H6610" s="56" t="n">
        <v>0</v>
      </c>
      <c r="I6610" s="56" t="n">
        <v>10.8</v>
      </c>
      <c r="J6610" s="56" t="n">
        <v>0</v>
      </c>
      <c r="K6610" s="56" t="n">
        <v>1013.6</v>
      </c>
      <c r="L6610" s="56" t="n">
        <v>0</v>
      </c>
      <c r="M6610" s="56" t="n">
        <v>79</v>
      </c>
      <c r="N6610" s="56" t="n">
        <v>1.1</v>
      </c>
      <c r="O6610" s="56" t="n">
        <f aca="false">IF(D6610=1,"",E6609)</f>
        <v>16.1</v>
      </c>
      <c r="P6610" s="56" t="n">
        <f aca="false">IF(OR(D6610=1,K6609=""),"",K6609)</f>
        <v>1019.3</v>
      </c>
      <c r="Q6610" s="56" t="n">
        <f aca="false">IF(OR(F6610&lt;&gt;0,AND(I6610&lt;&gt;"",E6610&lt;I6610)),1,0)</f>
        <v>0</v>
      </c>
      <c r="R6610" s="56" t="n">
        <f aca="false">IF(AND(D6610&gt;1,Q6610=0,ISNUMBER(O6610),ISNUMBER(P6610)),IF(Q6609=0,1,0),0)</f>
        <v>1</v>
      </c>
      <c r="S6610" s="56" t="n">
        <f aca="false">R6610*(B6610&gt;=Train_Start)*(B6610&lt;=Train_End)</f>
        <v>0</v>
      </c>
      <c r="T6610" s="84" t="n">
        <f aca="false">IF(AND(ISNUMBER(O6610),ISNUMBER(P6610)),Coef_A+Coef_B1*O6610+Coef_B2*P6610,"")</f>
        <v>17.2536700304079</v>
      </c>
      <c r="U6610" s="84" t="n">
        <f aca="false">IF(AND(R6610=1,ISNUMBER(T6610)),E6610-T6610,"")</f>
        <v>-0.853670030407873</v>
      </c>
      <c r="V6610" s="84" t="n">
        <f aca="false">IF(ISNUMBER(T6610),T6610,-99)</f>
        <v>17.2536700304079</v>
      </c>
      <c r="W6610" s="84" t="n">
        <f aca="false">IF(ISNUMBER(U6610),ABS(U6610),"")</f>
        <v>0.853670030407873</v>
      </c>
    </row>
    <row r="6611" customFormat="false" ht="15" hidden="false" customHeight="false" outlineLevel="0" collapsed="false">
      <c r="A6611" s="57" t="n">
        <v>44712</v>
      </c>
      <c r="B6611" s="56" t="n">
        <v>2022</v>
      </c>
      <c r="C6611" s="56" t="n">
        <v>5</v>
      </c>
      <c r="D6611" s="56" t="n">
        <v>31</v>
      </c>
      <c r="E6611" s="56" t="n">
        <v>18.7</v>
      </c>
      <c r="F6611" s="56" t="n">
        <v>0</v>
      </c>
      <c r="G6611" s="56" t="n">
        <v>8.6</v>
      </c>
      <c r="H6611" s="56" t="n">
        <v>0</v>
      </c>
      <c r="I6611" s="56" t="n">
        <v>12.5</v>
      </c>
      <c r="J6611" s="56" t="n">
        <v>0</v>
      </c>
      <c r="K6611" s="56" t="n">
        <v>1012.5</v>
      </c>
      <c r="L6611" s="56" t="n">
        <v>0</v>
      </c>
      <c r="M6611" s="56" t="n">
        <v>83</v>
      </c>
      <c r="N6611" s="56" t="n">
        <v>3</v>
      </c>
      <c r="O6611" s="56" t="n">
        <f aca="false">IF(D6611=1,"",E6610)</f>
        <v>16.4</v>
      </c>
      <c r="P6611" s="56" t="n">
        <f aca="false">IF(OR(D6611=1,K6610=""),"",K6610)</f>
        <v>1013.6</v>
      </c>
      <c r="Q6611" s="56" t="n">
        <f aca="false">IF(OR(F6611&lt;&gt;0,AND(I6611&lt;&gt;"",E6611&lt;I6611)),1,0)</f>
        <v>0</v>
      </c>
      <c r="R6611" s="56" t="n">
        <f aca="false">IF(AND(D6611&gt;1,Q6611=0,ISNUMBER(O6611),ISNUMBER(P6611)),IF(Q6610=0,1,0),0)</f>
        <v>1</v>
      </c>
      <c r="S6611" s="56" t="n">
        <f aca="false">R6611*(B6611&gt;=Train_Start)*(B6611&lt;=Train_End)</f>
        <v>0</v>
      </c>
      <c r="T6611" s="84" t="n">
        <f aca="false">IF(AND(ISNUMBER(O6611),ISNUMBER(P6611)),Coef_A+Coef_B1*O6611+Coef_B2*P6611,"")</f>
        <v>17.3206633889069</v>
      </c>
      <c r="U6611" s="84" t="n">
        <f aca="false">IF(AND(R6611=1,ISNUMBER(T6611)),E6611-T6611,"")</f>
        <v>1.37933661109307</v>
      </c>
      <c r="V6611" s="84" t="n">
        <f aca="false">IF(ISNUMBER(T6611),T6611,-99)</f>
        <v>17.3206633889069</v>
      </c>
      <c r="W6611" s="84" t="n">
        <f aca="false">IF(ISNUMBER(U6611),ABS(U6611),"")</f>
        <v>1.37933661109307</v>
      </c>
    </row>
    <row r="6612" customFormat="false" ht="15" hidden="false" customHeight="false" outlineLevel="0" collapsed="false">
      <c r="A6612" s="57" t="n">
        <v>44713</v>
      </c>
      <c r="B6612" s="56" t="n">
        <v>2022</v>
      </c>
      <c r="C6612" s="56" t="n">
        <v>6</v>
      </c>
      <c r="D6612" s="56" t="n">
        <v>32</v>
      </c>
      <c r="E6612" s="56" t="n">
        <v>22.3</v>
      </c>
      <c r="F6612" s="56" t="n">
        <v>0</v>
      </c>
      <c r="G6612" s="56" t="n">
        <v>8</v>
      </c>
      <c r="H6612" s="56" t="n">
        <v>0</v>
      </c>
      <c r="I6612" s="56" t="n">
        <v>13.3</v>
      </c>
      <c r="J6612" s="56" t="n">
        <v>0</v>
      </c>
      <c r="K6612" s="56" t="n">
        <v>1017.1</v>
      </c>
      <c r="L6612" s="56" t="n">
        <v>0</v>
      </c>
      <c r="M6612" s="56" t="n">
        <v>69</v>
      </c>
      <c r="N6612" s="56" t="n">
        <v>4.5</v>
      </c>
      <c r="O6612" s="56" t="n">
        <f aca="false">IF(D6612=1,"",E6611)</f>
        <v>18.7</v>
      </c>
      <c r="P6612" s="56" t="n">
        <f aca="false">IF(OR(D6612=1,K6611=""),"",K6611)</f>
        <v>1012.5</v>
      </c>
      <c r="Q6612" s="56" t="n">
        <f aca="false">IF(OR(F6612&lt;&gt;0,AND(I6612&lt;&gt;"",E6612&lt;I6612)),1,0)</f>
        <v>0</v>
      </c>
      <c r="R6612" s="56" t="n">
        <f aca="false">IF(AND(D6612&gt;1,Q6612=0,ISNUMBER(O6612),ISNUMBER(P6612)),IF(Q6611=0,1,0),0)</f>
        <v>1</v>
      </c>
      <c r="S6612" s="56" t="n">
        <f aca="false">R6612*(B6612&gt;=Train_Start)*(B6612&lt;=Train_End)</f>
        <v>0</v>
      </c>
      <c r="T6612" s="84" t="n">
        <f aca="false">IF(AND(ISNUMBER(O6612),ISNUMBER(P6612)),Coef_A+Coef_B1*O6612+Coef_B2*P6612,"")</f>
        <v>19.1706366488077</v>
      </c>
      <c r="U6612" s="84" t="n">
        <f aca="false">IF(AND(R6612=1,ISNUMBER(T6612)),E6612-T6612,"")</f>
        <v>3.12936335119235</v>
      </c>
      <c r="V6612" s="84" t="n">
        <f aca="false">IF(ISNUMBER(T6612),T6612,-99)</f>
        <v>19.1706366488077</v>
      </c>
      <c r="W6612" s="84" t="n">
        <f aca="false">IF(ISNUMBER(U6612),ABS(U6612),"")</f>
        <v>3.12936335119235</v>
      </c>
    </row>
    <row r="6613" customFormat="false" ht="15" hidden="false" customHeight="false" outlineLevel="0" collapsed="false">
      <c r="A6613" s="57" t="n">
        <v>44714</v>
      </c>
      <c r="B6613" s="56" t="n">
        <v>2022</v>
      </c>
      <c r="C6613" s="56" t="n">
        <v>6</v>
      </c>
      <c r="D6613" s="56" t="n">
        <v>33</v>
      </c>
      <c r="E6613" s="56" t="n">
        <v>23.3</v>
      </c>
      <c r="F6613" s="56" t="n">
        <v>0</v>
      </c>
      <c r="G6613" s="56" t="n">
        <v>8.1</v>
      </c>
      <c r="H6613" s="56" t="n">
        <v>0</v>
      </c>
      <c r="I6613" s="56" t="n">
        <v>15.2</v>
      </c>
      <c r="J6613" s="56" t="n">
        <v>0</v>
      </c>
      <c r="K6613" s="56" t="n">
        <v>1019.9</v>
      </c>
      <c r="L6613" s="56" t="n">
        <v>0</v>
      </c>
      <c r="M6613" s="56" t="n">
        <v>62</v>
      </c>
      <c r="N6613" s="56" t="n">
        <v>9.4</v>
      </c>
      <c r="O6613" s="56" t="n">
        <f aca="false">IF(D6613=1,"",E6612)</f>
        <v>22.3</v>
      </c>
      <c r="P6613" s="56" t="n">
        <f aca="false">IF(OR(D6613=1,K6612=""),"",K6612)</f>
        <v>1017.1</v>
      </c>
      <c r="Q6613" s="56" t="n">
        <f aca="false">IF(OR(F6613&lt;&gt;0,AND(I6613&lt;&gt;"",E6613&lt;I6613)),1,0)</f>
        <v>0</v>
      </c>
      <c r="R6613" s="56" t="n">
        <f aca="false">IF(AND(D6613&gt;1,Q6613=0,ISNUMBER(O6613),ISNUMBER(P6613)),IF(Q6612=0,1,0),0)</f>
        <v>1</v>
      </c>
      <c r="S6613" s="56" t="n">
        <f aca="false">R6613*(B6613&gt;=Train_Start)*(B6613&lt;=Train_End)</f>
        <v>0</v>
      </c>
      <c r="T6613" s="84" t="n">
        <f aca="false">IF(AND(ISNUMBER(O6613),ISNUMBER(P6613)),Coef_A+Coef_B1*O6613+Coef_B2*P6613,"")</f>
        <v>22.2645592590776</v>
      </c>
      <c r="U6613" s="84" t="n">
        <f aca="false">IF(AND(R6613=1,ISNUMBER(T6613)),E6613-T6613,"")</f>
        <v>1.03544074092243</v>
      </c>
      <c r="V6613" s="84" t="n">
        <f aca="false">IF(ISNUMBER(T6613),T6613,-99)</f>
        <v>22.2645592590776</v>
      </c>
      <c r="W6613" s="84" t="n">
        <f aca="false">IF(ISNUMBER(U6613),ABS(U6613),"")</f>
        <v>1.03544074092243</v>
      </c>
    </row>
    <row r="6614" customFormat="false" ht="15" hidden="false" customHeight="false" outlineLevel="0" collapsed="false">
      <c r="A6614" s="57" t="n">
        <v>44715</v>
      </c>
      <c r="B6614" s="56" t="n">
        <v>2022</v>
      </c>
      <c r="C6614" s="56" t="n">
        <v>6</v>
      </c>
      <c r="D6614" s="56" t="n">
        <v>34</v>
      </c>
      <c r="E6614" s="56" t="n">
        <v>21.6</v>
      </c>
      <c r="F6614" s="56" t="n">
        <v>0</v>
      </c>
      <c r="G6614" s="56" t="n">
        <v>11.2</v>
      </c>
      <c r="H6614" s="56" t="n">
        <v>0</v>
      </c>
      <c r="I6614" s="56" t="n">
        <v>17.2</v>
      </c>
      <c r="J6614" s="56" t="n">
        <v>0</v>
      </c>
      <c r="K6614" s="56" t="n">
        <v>1017.9</v>
      </c>
      <c r="L6614" s="56" t="n">
        <v>0</v>
      </c>
      <c r="M6614" s="56" t="n">
        <v>59</v>
      </c>
      <c r="N6614" s="56" t="n">
        <v>3.6</v>
      </c>
      <c r="O6614" s="56" t="n">
        <f aca="false">IF(D6614=1,"",E6613)</f>
        <v>23.3</v>
      </c>
      <c r="P6614" s="56" t="n">
        <f aca="false">IF(OR(D6614=1,K6613=""),"",K6613)</f>
        <v>1019.9</v>
      </c>
      <c r="Q6614" s="56" t="n">
        <f aca="false">IF(OR(F6614&lt;&gt;0,AND(I6614&lt;&gt;"",E6614&lt;I6614)),1,0)</f>
        <v>0</v>
      </c>
      <c r="R6614" s="56" t="n">
        <f aca="false">IF(AND(D6614&gt;1,Q6614=0,ISNUMBER(O6614),ISNUMBER(P6614)),IF(Q6613=0,1,0),0)</f>
        <v>1</v>
      </c>
      <c r="S6614" s="56" t="n">
        <f aca="false">R6614*(B6614&gt;=Train_Start)*(B6614&lt;=Train_End)</f>
        <v>0</v>
      </c>
      <c r="T6614" s="84" t="n">
        <f aca="false">IF(AND(ISNUMBER(O6614),ISNUMBER(P6614)),Coef_A+Coef_B1*O6614+Coef_B2*P6614,"")</f>
        <v>23.1717341570954</v>
      </c>
      <c r="U6614" s="84" t="n">
        <f aca="false">IF(AND(R6614=1,ISNUMBER(T6614)),E6614-T6614,"")</f>
        <v>-1.5717341570954</v>
      </c>
      <c r="V6614" s="84" t="n">
        <f aca="false">IF(ISNUMBER(T6614),T6614,-99)</f>
        <v>23.1717341570954</v>
      </c>
      <c r="W6614" s="84" t="n">
        <f aca="false">IF(ISNUMBER(U6614),ABS(U6614),"")</f>
        <v>1.5717341570954</v>
      </c>
    </row>
    <row r="6615" customFormat="false" ht="15" hidden="false" customHeight="false" outlineLevel="0" collapsed="false">
      <c r="A6615" s="57" t="n">
        <v>44716</v>
      </c>
      <c r="B6615" s="56" t="n">
        <v>2022</v>
      </c>
      <c r="C6615" s="56" t="n">
        <v>6</v>
      </c>
      <c r="D6615" s="56" t="n">
        <v>35</v>
      </c>
      <c r="E6615" s="56" t="n">
        <v>15.2</v>
      </c>
      <c r="F6615" s="56" t="n">
        <v>1</v>
      </c>
      <c r="G6615" s="56" t="n">
        <v>12.1</v>
      </c>
      <c r="H6615" s="56" t="n">
        <v>0</v>
      </c>
      <c r="I6615" s="56" t="n">
        <v>16.9</v>
      </c>
      <c r="J6615" s="56" t="n">
        <v>1</v>
      </c>
      <c r="K6615" s="56" t="n">
        <v>1019.9</v>
      </c>
      <c r="L6615" s="56" t="n">
        <v>0</v>
      </c>
      <c r="M6615" s="56" t="n">
        <v>67</v>
      </c>
      <c r="N6615" s="56" t="n">
        <v>2.9</v>
      </c>
      <c r="O6615" s="56" t="n">
        <f aca="false">IF(D6615=1,"",E6614)</f>
        <v>21.6</v>
      </c>
      <c r="P6615" s="56" t="n">
        <f aca="false">IF(OR(D6615=1,K6614=""),"",K6614)</f>
        <v>1017.9</v>
      </c>
      <c r="Q6615" s="56" t="n">
        <f aca="false">IF(OR(F6615&lt;&gt;0,AND(I6615&lt;&gt;"",E6615&lt;I6615)),1,0)</f>
        <v>1</v>
      </c>
      <c r="R6615" s="56" t="n">
        <f aca="false">IF(AND(D6615&gt;1,Q6615=0,ISNUMBER(O6615),ISNUMBER(P6615)),IF(Q6614=0,1,0),0)</f>
        <v>0</v>
      </c>
      <c r="S6615" s="56" t="n">
        <f aca="false">R6615*(B6615&gt;=Train_Start)*(B6615&lt;=Train_End)</f>
        <v>0</v>
      </c>
      <c r="T6615" s="84" t="n">
        <f aca="false">IF(AND(ISNUMBER(O6615),ISNUMBER(P6615)),Coef_A+Coef_B1*O6615+Coef_B2*P6615,"")</f>
        <v>21.7161177396549</v>
      </c>
      <c r="U6615" s="84" t="str">
        <f aca="false">IF(AND(R6615=1,ISNUMBER(T6615)),E6615-T6615,"")</f>
        <v/>
      </c>
      <c r="V6615" s="84" t="n">
        <f aca="false">IF(ISNUMBER(T6615),T6615,-99)</f>
        <v>21.7161177396549</v>
      </c>
      <c r="W6615" s="84" t="str">
        <f aca="false">IF(ISNUMBER(U6615),ABS(U6615),"")</f>
        <v/>
      </c>
    </row>
    <row r="6616" customFormat="false" ht="15" hidden="false" customHeight="false" outlineLevel="0" collapsed="false">
      <c r="A6616" s="57" t="n">
        <v>44717</v>
      </c>
      <c r="B6616" s="56" t="n">
        <v>2022</v>
      </c>
      <c r="C6616" s="56" t="n">
        <v>6</v>
      </c>
      <c r="D6616" s="56" t="n">
        <v>36</v>
      </c>
      <c r="E6616" s="56" t="n">
        <v>19</v>
      </c>
      <c r="F6616" s="56" t="n">
        <v>0</v>
      </c>
      <c r="G6616" s="56" t="n">
        <v>11</v>
      </c>
      <c r="H6616" s="56" t="n">
        <v>0</v>
      </c>
      <c r="I6616" s="56" t="n">
        <v>13.1</v>
      </c>
      <c r="J6616" s="56" t="n">
        <v>0</v>
      </c>
      <c r="K6616" s="56" t="n">
        <v>1016.1</v>
      </c>
      <c r="L6616" s="56" t="n">
        <v>0</v>
      </c>
      <c r="M6616" s="56" t="n">
        <v>91</v>
      </c>
      <c r="N6616" s="56" t="n">
        <v>0</v>
      </c>
      <c r="O6616" s="56" t="n">
        <f aca="false">IF(D6616=1,"",E6615)</f>
        <v>15.2</v>
      </c>
      <c r="P6616" s="56" t="n">
        <f aca="false">IF(OR(D6616=1,K6615=""),"",K6615)</f>
        <v>1019.9</v>
      </c>
      <c r="Q6616" s="56" t="n">
        <f aca="false">IF(OR(F6616&lt;&gt;0,AND(I6616&lt;&gt;"",E6616&lt;I6616)),1,0)</f>
        <v>0</v>
      </c>
      <c r="R6616" s="56" t="n">
        <f aca="false">IF(AND(D6616&gt;1,Q6616=0,ISNUMBER(O6616),ISNUMBER(P6616)),IF(Q6615=0,1,0),0)</f>
        <v>0</v>
      </c>
      <c r="S6616" s="56" t="n">
        <f aca="false">R6616*(B6616&gt;=Train_Start)*(B6616&lt;=Train_End)</f>
        <v>0</v>
      </c>
      <c r="T6616" s="84" t="n">
        <f aca="false">IF(AND(ISNUMBER(O6616),ISNUMBER(P6616)),Coef_A+Coef_B1*O6616+Coef_B2*P6616,"")</f>
        <v>16.5350866934499</v>
      </c>
      <c r="U6616" s="84" t="str">
        <f aca="false">IF(AND(R6616=1,ISNUMBER(T6616)),E6616-T6616,"")</f>
        <v/>
      </c>
      <c r="V6616" s="84" t="n">
        <f aca="false">IF(ISNUMBER(T6616),T6616,-99)</f>
        <v>16.5350866934499</v>
      </c>
      <c r="W6616" s="84" t="str">
        <f aca="false">IF(ISNUMBER(U6616),ABS(U6616),"")</f>
        <v/>
      </c>
    </row>
    <row r="6617" customFormat="false" ht="15" hidden="false" customHeight="false" outlineLevel="0" collapsed="false">
      <c r="A6617" s="57" t="n">
        <v>44718</v>
      </c>
      <c r="B6617" s="56" t="n">
        <v>2022</v>
      </c>
      <c r="C6617" s="56" t="n">
        <v>6</v>
      </c>
      <c r="D6617" s="56" t="n">
        <v>37</v>
      </c>
      <c r="E6617" s="56" t="n">
        <v>22.4</v>
      </c>
      <c r="F6617" s="56" t="n">
        <v>0</v>
      </c>
      <c r="G6617" s="56" t="n">
        <v>11.7</v>
      </c>
      <c r="H6617" s="56" t="n">
        <v>0</v>
      </c>
      <c r="I6617" s="56" t="n">
        <v>15.3</v>
      </c>
      <c r="J6617" s="56" t="n">
        <v>0</v>
      </c>
      <c r="K6617" s="56" t="n">
        <v>1014.5</v>
      </c>
      <c r="L6617" s="56" t="n">
        <v>0</v>
      </c>
      <c r="M6617" s="56" t="n">
        <v>85</v>
      </c>
      <c r="N6617" s="56" t="n">
        <v>0</v>
      </c>
      <c r="O6617" s="56" t="n">
        <f aca="false">IF(D6617=1,"",E6616)</f>
        <v>19</v>
      </c>
      <c r="P6617" s="56" t="n">
        <f aca="false">IF(OR(D6617=1,K6616=""),"",K6616)</f>
        <v>1016.1</v>
      </c>
      <c r="Q6617" s="56" t="n">
        <f aca="false">IF(OR(F6617&lt;&gt;0,AND(I6617&lt;&gt;"",E6617&lt;I6617)),1,0)</f>
        <v>0</v>
      </c>
      <c r="R6617" s="56" t="n">
        <f aca="false">IF(AND(D6617&gt;1,Q6617=0,ISNUMBER(O6617),ISNUMBER(P6617)),IF(Q6616=0,1,0),0)</f>
        <v>1</v>
      </c>
      <c r="S6617" s="56" t="n">
        <f aca="false">R6617*(B6617&gt;=Train_Start)*(B6617&lt;=Train_End)</f>
        <v>0</v>
      </c>
      <c r="T6617" s="84" t="n">
        <f aca="false">IF(AND(ISNUMBER(O6617),ISNUMBER(P6617)),Coef_A+Coef_B1*O6617+Coef_B2*P6617,"")</f>
        <v>19.5293700274028</v>
      </c>
      <c r="U6617" s="84" t="n">
        <f aca="false">IF(AND(R6617=1,ISNUMBER(T6617)),E6617-T6617,"")</f>
        <v>2.87062997259719</v>
      </c>
      <c r="V6617" s="84" t="n">
        <f aca="false">IF(ISNUMBER(T6617),T6617,-99)</f>
        <v>19.5293700274028</v>
      </c>
      <c r="W6617" s="84" t="n">
        <f aca="false">IF(ISNUMBER(U6617),ABS(U6617),"")</f>
        <v>2.87062997259719</v>
      </c>
    </row>
    <row r="6618" customFormat="false" ht="15" hidden="false" customHeight="false" outlineLevel="0" collapsed="false">
      <c r="A6618" s="57" t="n">
        <v>44719</v>
      </c>
      <c r="B6618" s="56" t="n">
        <v>2022</v>
      </c>
      <c r="C6618" s="56" t="n">
        <v>6</v>
      </c>
      <c r="D6618" s="56" t="n">
        <v>38</v>
      </c>
      <c r="E6618" s="56" t="n">
        <v>23.5</v>
      </c>
      <c r="F6618" s="56" t="n">
        <v>0</v>
      </c>
      <c r="G6618" s="56" t="n">
        <v>9.6</v>
      </c>
      <c r="H6618" s="56" t="n">
        <v>0</v>
      </c>
      <c r="I6618" s="56" t="n">
        <v>16</v>
      </c>
      <c r="J6618" s="56" t="n">
        <v>0</v>
      </c>
      <c r="K6618" s="56" t="n">
        <v>1011.6</v>
      </c>
      <c r="L6618" s="56" t="n">
        <v>0</v>
      </c>
      <c r="M6618" s="56" t="n">
        <v>74</v>
      </c>
      <c r="N6618" s="56" t="n">
        <v>8.6</v>
      </c>
      <c r="O6618" s="56" t="n">
        <f aca="false">IF(D6618=1,"",E6617)</f>
        <v>22.4</v>
      </c>
      <c r="P6618" s="56" t="n">
        <f aca="false">IF(OR(D6618=1,K6617=""),"",K6617)</f>
        <v>1014.5</v>
      </c>
      <c r="Q6618" s="56" t="n">
        <f aca="false">IF(OR(F6618&lt;&gt;0,AND(I6618&lt;&gt;"",E6618&lt;I6618)),1,0)</f>
        <v>0</v>
      </c>
      <c r="R6618" s="56" t="n">
        <f aca="false">IF(AND(D6618&gt;1,Q6618=0,ISNUMBER(O6618),ISNUMBER(P6618)),IF(Q6617=0,1,0),0)</f>
        <v>1</v>
      </c>
      <c r="S6618" s="56" t="n">
        <f aca="false">R6618*(B6618&gt;=Train_Start)*(B6618&lt;=Train_End)</f>
        <v>0</v>
      </c>
      <c r="T6618" s="84" t="n">
        <f aca="false">IF(AND(ISNUMBER(O6618),ISNUMBER(P6618)),Coef_A+Coef_B1*O6618+Coef_B2*P6618,"")</f>
        <v>22.2649314523335</v>
      </c>
      <c r="U6618" s="84" t="n">
        <f aca="false">IF(AND(R6618=1,ISNUMBER(T6618)),E6618-T6618,"")</f>
        <v>1.23506854766654</v>
      </c>
      <c r="V6618" s="84" t="n">
        <f aca="false">IF(ISNUMBER(T6618),T6618,-99)</f>
        <v>22.2649314523335</v>
      </c>
      <c r="W6618" s="84" t="n">
        <f aca="false">IF(ISNUMBER(U6618),ABS(U6618),"")</f>
        <v>1.23506854766654</v>
      </c>
    </row>
    <row r="6619" customFormat="false" ht="15" hidden="false" customHeight="false" outlineLevel="0" collapsed="false">
      <c r="A6619" s="57" t="n">
        <v>44720</v>
      </c>
      <c r="B6619" s="56" t="n">
        <v>2022</v>
      </c>
      <c r="C6619" s="56" t="n">
        <v>6</v>
      </c>
      <c r="D6619" s="56" t="n">
        <v>39</v>
      </c>
      <c r="E6619" s="56" t="n">
        <v>21</v>
      </c>
      <c r="F6619" s="56" t="n">
        <v>0</v>
      </c>
      <c r="G6619" s="56" t="n">
        <v>14.1</v>
      </c>
      <c r="H6619" s="56" t="n">
        <v>0</v>
      </c>
      <c r="I6619" s="56" t="n">
        <v>18.8</v>
      </c>
      <c r="J6619" s="56" t="n">
        <v>0</v>
      </c>
      <c r="K6619" s="56" t="n">
        <v>1005.9</v>
      </c>
      <c r="L6619" s="56" t="n">
        <v>0</v>
      </c>
      <c r="M6619" s="56" t="n">
        <v>68</v>
      </c>
      <c r="N6619" s="56" t="n">
        <v>7.4</v>
      </c>
      <c r="O6619" s="56" t="n">
        <f aca="false">IF(D6619=1,"",E6618)</f>
        <v>23.5</v>
      </c>
      <c r="P6619" s="56" t="n">
        <f aca="false">IF(OR(D6619=1,K6618=""),"",K6618)</f>
        <v>1011.6</v>
      </c>
      <c r="Q6619" s="56" t="n">
        <f aca="false">IF(OR(F6619&lt;&gt;0,AND(I6619&lt;&gt;"",E6619&lt;I6619)),1,0)</f>
        <v>0</v>
      </c>
      <c r="R6619" s="56" t="n">
        <f aca="false">IF(AND(D6619&gt;1,Q6619=0,ISNUMBER(O6619),ISNUMBER(P6619)),IF(Q6618=0,1,0),0)</f>
        <v>1</v>
      </c>
      <c r="S6619" s="56" t="n">
        <f aca="false">R6619*(B6619&gt;=Train_Start)*(B6619&lt;=Train_End)</f>
        <v>0</v>
      </c>
      <c r="T6619" s="84" t="n">
        <f aca="false">IF(AND(ISNUMBER(O6619),ISNUMBER(P6619)),Coef_A+Coef_B1*O6619+Coef_B2*P6619,"")</f>
        <v>23.0752318702418</v>
      </c>
      <c r="U6619" s="84" t="n">
        <f aca="false">IF(AND(R6619=1,ISNUMBER(T6619)),E6619-T6619,"")</f>
        <v>-2.07523187024182</v>
      </c>
      <c r="V6619" s="84" t="n">
        <f aca="false">IF(ISNUMBER(T6619),T6619,-99)</f>
        <v>23.0752318702418</v>
      </c>
      <c r="W6619" s="84" t="n">
        <f aca="false">IF(ISNUMBER(U6619),ABS(U6619),"")</f>
        <v>2.07523187024182</v>
      </c>
    </row>
    <row r="6620" customFormat="false" ht="15" hidden="false" customHeight="false" outlineLevel="0" collapsed="false">
      <c r="A6620" s="57" t="n">
        <v>44721</v>
      </c>
      <c r="B6620" s="56" t="n">
        <v>2022</v>
      </c>
      <c r="C6620" s="56" t="n">
        <v>6</v>
      </c>
      <c r="D6620" s="56" t="n">
        <v>40</v>
      </c>
      <c r="E6620" s="56" t="n">
        <v>24.5</v>
      </c>
      <c r="F6620" s="56" t="n">
        <v>0</v>
      </c>
      <c r="G6620" s="56" t="n">
        <v>11</v>
      </c>
      <c r="H6620" s="56" t="n">
        <v>0</v>
      </c>
      <c r="I6620" s="56" t="n">
        <v>16</v>
      </c>
      <c r="J6620" s="56" t="n">
        <v>0</v>
      </c>
      <c r="K6620" s="56" t="n">
        <v>1015.3</v>
      </c>
      <c r="L6620" s="56" t="n">
        <v>0</v>
      </c>
      <c r="M6620" s="56" t="n">
        <v>73</v>
      </c>
      <c r="N6620" s="56" t="n">
        <v>3.8</v>
      </c>
      <c r="O6620" s="56" t="n">
        <f aca="false">IF(D6620=1,"",E6619)</f>
        <v>21</v>
      </c>
      <c r="P6620" s="56" t="n">
        <f aca="false">IF(OR(D6620=1,K6619=""),"",K6619)</f>
        <v>1005.9</v>
      </c>
      <c r="Q6620" s="56" t="n">
        <f aca="false">IF(OR(F6620&lt;&gt;0,AND(I6620&lt;&gt;"",E6620&lt;I6620)),1,0)</f>
        <v>0</v>
      </c>
      <c r="R6620" s="56" t="n">
        <f aca="false">IF(AND(D6620&gt;1,Q6620=0,ISNUMBER(O6620),ISNUMBER(P6620)),IF(Q6619=0,1,0),0)</f>
        <v>1</v>
      </c>
      <c r="S6620" s="56" t="n">
        <f aca="false">R6620*(B6620&gt;=Train_Start)*(B6620&lt;=Train_End)</f>
        <v>0</v>
      </c>
      <c r="T6620" s="84" t="n">
        <f aca="false">IF(AND(ISNUMBER(O6620),ISNUMBER(P6620)),Coef_A+Coef_B1*O6620+Coef_B2*P6620,"")</f>
        <v>20.8480754882214</v>
      </c>
      <c r="U6620" s="84" t="n">
        <f aca="false">IF(AND(R6620=1,ISNUMBER(T6620)),E6620-T6620,"")</f>
        <v>3.65192451177856</v>
      </c>
      <c r="V6620" s="84" t="n">
        <f aca="false">IF(ISNUMBER(T6620),T6620,-99)</f>
        <v>20.8480754882214</v>
      </c>
      <c r="W6620" s="84" t="n">
        <f aca="false">IF(ISNUMBER(U6620),ABS(U6620),"")</f>
        <v>3.65192451177856</v>
      </c>
    </row>
    <row r="6621" customFormat="false" ht="15" hidden="false" customHeight="false" outlineLevel="0" collapsed="false">
      <c r="A6621" s="57" t="n">
        <v>44722</v>
      </c>
      <c r="B6621" s="56" t="n">
        <v>2022</v>
      </c>
      <c r="C6621" s="56" t="n">
        <v>6</v>
      </c>
      <c r="D6621" s="56" t="n">
        <v>41</v>
      </c>
      <c r="E6621" s="56" t="n">
        <v>23.8</v>
      </c>
      <c r="F6621" s="56" t="n">
        <v>0</v>
      </c>
      <c r="G6621" s="56" t="n">
        <v>15.3</v>
      </c>
      <c r="H6621" s="56" t="n">
        <v>0</v>
      </c>
      <c r="I6621" s="56" t="n">
        <v>19.9</v>
      </c>
      <c r="J6621" s="56" t="n">
        <v>0</v>
      </c>
      <c r="K6621" s="56" t="n">
        <v>1018.4</v>
      </c>
      <c r="L6621" s="56" t="n">
        <v>0</v>
      </c>
      <c r="M6621" s="56" t="n">
        <v>67</v>
      </c>
      <c r="N6621" s="56" t="n">
        <v>9.2</v>
      </c>
      <c r="O6621" s="56" t="n">
        <f aca="false">IF(D6621=1,"",E6620)</f>
        <v>24.5</v>
      </c>
      <c r="P6621" s="56" t="n">
        <f aca="false">IF(OR(D6621=1,K6620=""),"",K6620)</f>
        <v>1015.3</v>
      </c>
      <c r="Q6621" s="56" t="n">
        <f aca="false">IF(OR(F6621&lt;&gt;0,AND(I6621&lt;&gt;"",E6621&lt;I6621)),1,0)</f>
        <v>0</v>
      </c>
      <c r="R6621" s="56" t="n">
        <f aca="false">IF(AND(D6621&gt;1,Q6621=0,ISNUMBER(O6621),ISNUMBER(P6621)),IF(Q6620=0,1,0),0)</f>
        <v>1</v>
      </c>
      <c r="S6621" s="56" t="n">
        <f aca="false">R6621*(B6621&gt;=Train_Start)*(B6621&lt;=Train_End)</f>
        <v>0</v>
      </c>
      <c r="T6621" s="84" t="n">
        <f aca="false">IF(AND(ISNUMBER(O6621),ISNUMBER(P6621)),Coef_A+Coef_B1*O6621+Coef_B2*P6621,"")</f>
        <v>24.0106396734302</v>
      </c>
      <c r="U6621" s="84" t="n">
        <f aca="false">IF(AND(R6621=1,ISNUMBER(T6621)),E6621-T6621,"")</f>
        <v>-0.210639673430236</v>
      </c>
      <c r="V6621" s="84" t="n">
        <f aca="false">IF(ISNUMBER(T6621),T6621,-99)</f>
        <v>24.0106396734302</v>
      </c>
      <c r="W6621" s="84" t="n">
        <f aca="false">IF(ISNUMBER(U6621),ABS(U6621),"")</f>
        <v>0.210639673430236</v>
      </c>
    </row>
    <row r="6622" customFormat="false" ht="15" hidden="false" customHeight="false" outlineLevel="0" collapsed="false">
      <c r="A6622" s="57" t="n">
        <v>44723</v>
      </c>
      <c r="B6622" s="56" t="n">
        <v>2022</v>
      </c>
      <c r="C6622" s="56" t="n">
        <v>6</v>
      </c>
      <c r="D6622" s="56" t="n">
        <v>42</v>
      </c>
      <c r="E6622" s="56" t="n">
        <v>22.9</v>
      </c>
      <c r="F6622" s="56" t="n">
        <v>0</v>
      </c>
      <c r="G6622" s="56" t="n">
        <v>11.5</v>
      </c>
      <c r="H6622" s="56" t="n">
        <v>0</v>
      </c>
      <c r="I6622" s="56" t="n">
        <v>17.6</v>
      </c>
      <c r="J6622" s="56" t="n">
        <v>0</v>
      </c>
      <c r="K6622" s="56" t="n">
        <v>1021.6</v>
      </c>
      <c r="L6622" s="56" t="n">
        <v>0</v>
      </c>
      <c r="M6622" s="56" t="n">
        <v>63</v>
      </c>
      <c r="N6622" s="56" t="n">
        <v>8.4</v>
      </c>
      <c r="O6622" s="56" t="n">
        <f aca="false">IF(D6622=1,"",E6621)</f>
        <v>23.8</v>
      </c>
      <c r="P6622" s="56" t="n">
        <f aca="false">IF(OR(D6622=1,K6621=""),"",K6621)</f>
        <v>1018.4</v>
      </c>
      <c r="Q6622" s="56" t="n">
        <f aca="false">IF(OR(F6622&lt;&gt;0,AND(I6622&lt;&gt;"",E6622&lt;I6622)),1,0)</f>
        <v>0</v>
      </c>
      <c r="R6622" s="56" t="n">
        <f aca="false">IF(AND(D6622&gt;1,Q6622=0,ISNUMBER(O6622),ISNUMBER(P6622)),IF(Q6621=0,1,0),0)</f>
        <v>1</v>
      </c>
      <c r="S6622" s="56" t="n">
        <f aca="false">R6622*(B6622&gt;=Train_Start)*(B6622&lt;=Train_End)</f>
        <v>0</v>
      </c>
      <c r="T6622" s="84" t="n">
        <f aca="false">IF(AND(ISNUMBER(O6622),ISNUMBER(P6622)),Coef_A+Coef_B1*O6622+Coef_B2*P6622,"")</f>
        <v>23.5343489116657</v>
      </c>
      <c r="U6622" s="84" t="n">
        <f aca="false">IF(AND(R6622=1,ISNUMBER(T6622)),E6622-T6622,"")</f>
        <v>-0.634348911665747</v>
      </c>
      <c r="V6622" s="84" t="n">
        <f aca="false">IF(ISNUMBER(T6622),T6622,-99)</f>
        <v>23.5343489116657</v>
      </c>
      <c r="W6622" s="84" t="n">
        <f aca="false">IF(ISNUMBER(U6622),ABS(U6622),"")</f>
        <v>0.634348911665747</v>
      </c>
    </row>
    <row r="6623" customFormat="false" ht="15" hidden="false" customHeight="false" outlineLevel="0" collapsed="false">
      <c r="A6623" s="57" t="n">
        <v>44724</v>
      </c>
      <c r="B6623" s="56" t="n">
        <v>2022</v>
      </c>
      <c r="C6623" s="56" t="n">
        <v>6</v>
      </c>
      <c r="D6623" s="56" t="n">
        <v>43</v>
      </c>
      <c r="E6623" s="56" t="n">
        <v>21.7</v>
      </c>
      <c r="F6623" s="56" t="n">
        <v>0</v>
      </c>
      <c r="G6623" s="56" t="n">
        <v>10.7</v>
      </c>
      <c r="H6623" s="56" t="n">
        <v>0</v>
      </c>
      <c r="I6623" s="56" t="n">
        <v>16.8</v>
      </c>
      <c r="J6623" s="56" t="n">
        <v>0</v>
      </c>
      <c r="K6623" s="56" t="n">
        <v>1023.5</v>
      </c>
      <c r="L6623" s="56" t="n">
        <v>0</v>
      </c>
      <c r="M6623" s="56" t="n">
        <v>59</v>
      </c>
      <c r="N6623" s="56" t="n">
        <v>8.1</v>
      </c>
      <c r="O6623" s="56" t="n">
        <f aca="false">IF(D6623=1,"",E6622)</f>
        <v>22.9</v>
      </c>
      <c r="P6623" s="56" t="n">
        <f aca="false">IF(OR(D6623=1,K6622=""),"",K6622)</f>
        <v>1021.6</v>
      </c>
      <c r="Q6623" s="56" t="n">
        <f aca="false">IF(OR(F6623&lt;&gt;0,AND(I6623&lt;&gt;"",E6623&lt;I6623)),1,0)</f>
        <v>0</v>
      </c>
      <c r="R6623" s="56" t="n">
        <f aca="false">IF(AND(D6623&gt;1,Q6623=0,ISNUMBER(O6623),ISNUMBER(P6623)),IF(Q6622=0,1,0),0)</f>
        <v>1</v>
      </c>
      <c r="S6623" s="56" t="n">
        <f aca="false">R6623*(B6623&gt;=Train_Start)*(B6623&lt;=Train_End)</f>
        <v>0</v>
      </c>
      <c r="T6623" s="84" t="n">
        <f aca="false">IF(AND(ISNUMBER(O6623),ISNUMBER(P6623)),Coef_A+Coef_B1*O6623+Coef_B2*P6623,"")</f>
        <v>22.8973273007561</v>
      </c>
      <c r="U6623" s="84" t="n">
        <f aca="false">IF(AND(R6623=1,ISNUMBER(T6623)),E6623-T6623,"")</f>
        <v>-1.19732730075612</v>
      </c>
      <c r="V6623" s="84" t="n">
        <f aca="false">IF(ISNUMBER(T6623),T6623,-99)</f>
        <v>22.8973273007561</v>
      </c>
      <c r="W6623" s="84" t="n">
        <f aca="false">IF(ISNUMBER(U6623),ABS(U6623),"")</f>
        <v>1.19732730075612</v>
      </c>
    </row>
    <row r="6624" customFormat="false" ht="15" hidden="false" customHeight="false" outlineLevel="0" collapsed="false">
      <c r="A6624" s="57" t="n">
        <v>44725</v>
      </c>
      <c r="B6624" s="56" t="n">
        <v>2022</v>
      </c>
      <c r="C6624" s="56" t="n">
        <v>6</v>
      </c>
      <c r="D6624" s="56" t="n">
        <v>44</v>
      </c>
      <c r="E6624" s="56" t="n">
        <v>24.9</v>
      </c>
      <c r="F6624" s="56" t="n">
        <v>0</v>
      </c>
      <c r="G6624" s="56" t="n">
        <v>9.6</v>
      </c>
      <c r="H6624" s="56" t="n">
        <v>0</v>
      </c>
      <c r="I6624" s="56" t="n">
        <v>15.7</v>
      </c>
      <c r="J6624" s="56" t="n">
        <v>0</v>
      </c>
      <c r="K6624" s="56" t="n">
        <v>1024.5</v>
      </c>
      <c r="L6624" s="56" t="n">
        <v>0</v>
      </c>
      <c r="M6624" s="56" t="n">
        <v>57</v>
      </c>
      <c r="N6624" s="56" t="n">
        <v>10.6</v>
      </c>
      <c r="O6624" s="56" t="n">
        <f aca="false">IF(D6624=1,"",E6623)</f>
        <v>21.7</v>
      </c>
      <c r="P6624" s="56" t="n">
        <f aca="false">IF(OR(D6624=1,K6623=""),"",K6623)</f>
        <v>1023.5</v>
      </c>
      <c r="Q6624" s="56" t="n">
        <f aca="false">IF(OR(F6624&lt;&gt;0,AND(I6624&lt;&gt;"",E6624&lt;I6624)),1,0)</f>
        <v>0</v>
      </c>
      <c r="R6624" s="56" t="n">
        <f aca="false">IF(AND(D6624&gt;1,Q6624=0,ISNUMBER(O6624),ISNUMBER(P6624)),IF(Q6623=0,1,0),0)</f>
        <v>1</v>
      </c>
      <c r="S6624" s="56" t="n">
        <f aca="false">R6624*(B6624&gt;=Train_Start)*(B6624&lt;=Train_End)</f>
        <v>0</v>
      </c>
      <c r="T6624" s="84" t="n">
        <f aca="false">IF(AND(ISNUMBER(O6624),ISNUMBER(P6624)),Coef_A+Coef_B1*O6624+Coef_B2*P6624,"")</f>
        <v>21.9737230689095</v>
      </c>
      <c r="U6624" s="84" t="n">
        <f aca="false">IF(AND(R6624=1,ISNUMBER(T6624)),E6624-T6624,"")</f>
        <v>2.92627693109048</v>
      </c>
      <c r="V6624" s="84" t="n">
        <f aca="false">IF(ISNUMBER(T6624),T6624,-99)</f>
        <v>21.9737230689095</v>
      </c>
      <c r="W6624" s="84" t="n">
        <f aca="false">IF(ISNUMBER(U6624),ABS(U6624),"")</f>
        <v>2.92627693109048</v>
      </c>
    </row>
    <row r="6625" customFormat="false" ht="15" hidden="false" customHeight="false" outlineLevel="0" collapsed="false">
      <c r="A6625" s="57" t="n">
        <v>44726</v>
      </c>
      <c r="B6625" s="56" t="n">
        <v>2022</v>
      </c>
      <c r="C6625" s="56" t="n">
        <v>6</v>
      </c>
      <c r="D6625" s="56" t="n">
        <v>45</v>
      </c>
      <c r="E6625" s="56" t="n">
        <v>27.9</v>
      </c>
      <c r="F6625" s="56" t="n">
        <v>0</v>
      </c>
      <c r="G6625" s="56" t="n">
        <v>9.8</v>
      </c>
      <c r="H6625" s="56" t="n">
        <v>0</v>
      </c>
      <c r="I6625" s="56" t="n">
        <v>17.4</v>
      </c>
      <c r="J6625" s="56" t="n">
        <v>0</v>
      </c>
      <c r="K6625" s="56" t="n">
        <v>1020.7</v>
      </c>
      <c r="L6625" s="56" t="n">
        <v>0</v>
      </c>
      <c r="M6625" s="56" t="n">
        <v>55</v>
      </c>
      <c r="N6625" s="56" t="n">
        <v>13.9</v>
      </c>
      <c r="O6625" s="56" t="n">
        <f aca="false">IF(D6625=1,"",E6624)</f>
        <v>24.9</v>
      </c>
      <c r="P6625" s="56" t="n">
        <f aca="false">IF(OR(D6625=1,K6624=""),"",K6624)</f>
        <v>1024.5</v>
      </c>
      <c r="Q6625" s="56" t="n">
        <f aca="false">IF(OR(F6625&lt;&gt;0,AND(I6625&lt;&gt;"",E6625&lt;I6625)),1,0)</f>
        <v>0</v>
      </c>
      <c r="R6625" s="56" t="n">
        <f aca="false">IF(AND(D6625&gt;1,Q6625=0,ISNUMBER(O6625),ISNUMBER(P6625)),IF(Q6624=0,1,0),0)</f>
        <v>1</v>
      </c>
      <c r="S6625" s="56" t="n">
        <f aca="false">R6625*(B6625&gt;=Train_Start)*(B6625&lt;=Train_End)</f>
        <v>0</v>
      </c>
      <c r="T6625" s="84" t="n">
        <f aca="false">IF(AND(ISNUMBER(O6625),ISNUMBER(P6625)),Coef_A+Coef_B1*O6625+Coef_B2*P6625,"")</f>
        <v>24.62697838128</v>
      </c>
      <c r="U6625" s="84" t="n">
        <f aca="false">IF(AND(R6625=1,ISNUMBER(T6625)),E6625-T6625,"")</f>
        <v>3.27302161872</v>
      </c>
      <c r="V6625" s="84" t="n">
        <f aca="false">IF(ISNUMBER(T6625),T6625,-99)</f>
        <v>24.62697838128</v>
      </c>
      <c r="W6625" s="84" t="n">
        <f aca="false">IF(ISNUMBER(U6625),ABS(U6625),"")</f>
        <v>3.27302161872</v>
      </c>
    </row>
    <row r="6626" customFormat="false" ht="15" hidden="false" customHeight="false" outlineLevel="0" collapsed="false">
      <c r="A6626" s="57" t="n">
        <v>44727</v>
      </c>
      <c r="B6626" s="56" t="n">
        <v>2022</v>
      </c>
      <c r="C6626" s="56" t="n">
        <v>6</v>
      </c>
      <c r="D6626" s="56" t="n">
        <v>46</v>
      </c>
      <c r="E6626" s="56" t="n">
        <v>29.4</v>
      </c>
      <c r="F6626" s="56" t="n">
        <v>0</v>
      </c>
      <c r="G6626" s="56" t="n">
        <v>11.3</v>
      </c>
      <c r="H6626" s="56" t="n">
        <v>0</v>
      </c>
      <c r="I6626" s="56" t="n">
        <v>19.6</v>
      </c>
      <c r="J6626" s="56" t="n">
        <v>0</v>
      </c>
      <c r="K6626" s="56" t="n">
        <v>1018.5</v>
      </c>
      <c r="L6626" s="56" t="n">
        <v>0</v>
      </c>
      <c r="M6626" s="56" t="n">
        <v>52</v>
      </c>
      <c r="N6626" s="56" t="n">
        <v>12.7</v>
      </c>
      <c r="O6626" s="56" t="n">
        <f aca="false">IF(D6626=1,"",E6625)</f>
        <v>27.9</v>
      </c>
      <c r="P6626" s="56" t="n">
        <f aca="false">IF(OR(D6626=1,K6625=""),"",K6625)</f>
        <v>1020.7</v>
      </c>
      <c r="Q6626" s="56" t="n">
        <f aca="false">IF(OR(F6626&lt;&gt;0,AND(I6626&lt;&gt;"",E6626&lt;I6626)),1,0)</f>
        <v>0</v>
      </c>
      <c r="R6626" s="56" t="n">
        <f aca="false">IF(AND(D6626&gt;1,Q6626=0,ISNUMBER(O6626),ISNUMBER(P6626)),IF(Q6625=0,1,0),0)</f>
        <v>1</v>
      </c>
      <c r="S6626" s="56" t="n">
        <f aca="false">R6626*(B6626&gt;=Train_Start)*(B6626&lt;=Train_End)</f>
        <v>0</v>
      </c>
      <c r="T6626" s="84" t="n">
        <f aca="false">IF(AND(ISNUMBER(O6626),ISNUMBER(P6626)),Coef_A+Coef_B1*O6626+Coef_B2*P6626,"")</f>
        <v>26.9657903607988</v>
      </c>
      <c r="U6626" s="84" t="n">
        <f aca="false">IF(AND(R6626=1,ISNUMBER(T6626)),E6626-T6626,"")</f>
        <v>2.43420963920118</v>
      </c>
      <c r="V6626" s="84" t="n">
        <f aca="false">IF(ISNUMBER(T6626),T6626,-99)</f>
        <v>26.9657903607988</v>
      </c>
      <c r="W6626" s="84" t="n">
        <f aca="false">IF(ISNUMBER(U6626),ABS(U6626),"")</f>
        <v>2.43420963920118</v>
      </c>
    </row>
    <row r="6627" customFormat="false" ht="15" hidden="false" customHeight="false" outlineLevel="0" collapsed="false">
      <c r="A6627" s="57" t="n">
        <v>44728</v>
      </c>
      <c r="B6627" s="56" t="n">
        <v>2022</v>
      </c>
      <c r="C6627" s="56" t="n">
        <v>6</v>
      </c>
      <c r="D6627" s="56" t="n">
        <v>47</v>
      </c>
      <c r="E6627" s="56" t="n">
        <v>32.7</v>
      </c>
      <c r="F6627" s="56" t="n">
        <v>0</v>
      </c>
      <c r="G6627" s="56" t="n">
        <v>13.8</v>
      </c>
      <c r="H6627" s="56" t="n">
        <v>0</v>
      </c>
      <c r="I6627" s="56" t="n">
        <v>21.6</v>
      </c>
      <c r="J6627" s="56" t="n">
        <v>0</v>
      </c>
      <c r="K6627" s="56" t="n">
        <v>1021.5</v>
      </c>
      <c r="L6627" s="56" t="n">
        <v>0</v>
      </c>
      <c r="M6627" s="56" t="n">
        <v>49</v>
      </c>
      <c r="N6627" s="56" t="n">
        <v>11.7</v>
      </c>
      <c r="O6627" s="56" t="n">
        <f aca="false">IF(D6627=1,"",E6626)</f>
        <v>29.4</v>
      </c>
      <c r="P6627" s="56" t="n">
        <f aca="false">IF(OR(D6627=1,K6626=""),"",K6626)</f>
        <v>1018.5</v>
      </c>
      <c r="Q6627" s="56" t="n">
        <f aca="false">IF(OR(F6627&lt;&gt;0,AND(I6627&lt;&gt;"",E6627&lt;I6627)),1,0)</f>
        <v>0</v>
      </c>
      <c r="R6627" s="56" t="n">
        <f aca="false">IF(AND(D6627&gt;1,Q6627=0,ISNUMBER(O6627),ISNUMBER(P6627)),IF(Q6626=0,1,0),0)</f>
        <v>1</v>
      </c>
      <c r="S6627" s="56" t="n">
        <f aca="false">R6627*(B6627&gt;=Train_Start)*(B6627&lt;=Train_End)</f>
        <v>0</v>
      </c>
      <c r="T6627" s="84" t="n">
        <f aca="false">IF(AND(ISNUMBER(O6627),ISNUMBER(P6627)),Coef_A+Coef_B1*O6627+Coef_B2*P6627,"")</f>
        <v>28.125785382168</v>
      </c>
      <c r="U6627" s="84" t="n">
        <f aca="false">IF(AND(R6627=1,ISNUMBER(T6627)),E6627-T6627,"")</f>
        <v>4.57421461783198</v>
      </c>
      <c r="V6627" s="84" t="n">
        <f aca="false">IF(ISNUMBER(T6627),T6627,-99)</f>
        <v>28.125785382168</v>
      </c>
      <c r="W6627" s="84" t="n">
        <f aca="false">IF(ISNUMBER(U6627),ABS(U6627),"")</f>
        <v>4.57421461783198</v>
      </c>
    </row>
    <row r="6628" customFormat="false" ht="15" hidden="false" customHeight="false" outlineLevel="0" collapsed="false">
      <c r="A6628" s="57" t="n">
        <v>44729</v>
      </c>
      <c r="B6628" s="56" t="n">
        <v>2022</v>
      </c>
      <c r="C6628" s="56" t="n">
        <v>6</v>
      </c>
      <c r="D6628" s="56" t="n">
        <v>48</v>
      </c>
      <c r="E6628" s="56" t="n">
        <v>24.8</v>
      </c>
      <c r="F6628" s="56" t="n">
        <v>0</v>
      </c>
      <c r="G6628" s="56" t="n">
        <v>15.3</v>
      </c>
      <c r="H6628" s="56" t="n">
        <v>0</v>
      </c>
      <c r="I6628" s="56" t="n">
        <v>24</v>
      </c>
      <c r="J6628" s="56" t="n">
        <v>0</v>
      </c>
      <c r="K6628" s="56" t="n">
        <v>1019.6</v>
      </c>
      <c r="L6628" s="56" t="n">
        <v>0</v>
      </c>
      <c r="M6628" s="56" t="n">
        <v>48</v>
      </c>
      <c r="N6628" s="56" t="n">
        <v>11.4</v>
      </c>
      <c r="O6628" s="56" t="n">
        <f aca="false">IF(D6628=1,"",E6627)</f>
        <v>32.7</v>
      </c>
      <c r="P6628" s="56" t="n">
        <f aca="false">IF(OR(D6628=1,K6627=""),"",K6627)</f>
        <v>1021.5</v>
      </c>
      <c r="Q6628" s="56" t="n">
        <f aca="false">IF(OR(F6628&lt;&gt;0,AND(I6628&lt;&gt;"",E6628&lt;I6628)),1,0)</f>
        <v>0</v>
      </c>
      <c r="R6628" s="56" t="n">
        <f aca="false">IF(AND(D6628&gt;1,Q6628=0,ISNUMBER(O6628),ISNUMBER(P6628)),IF(Q6627=0,1,0),0)</f>
        <v>1</v>
      </c>
      <c r="S6628" s="56" t="n">
        <f aca="false">R6628*(B6628&gt;=Train_Start)*(B6628&lt;=Train_End)</f>
        <v>0</v>
      </c>
      <c r="T6628" s="84" t="n">
        <f aca="false">IF(AND(ISNUMBER(O6628),ISNUMBER(P6628)),Coef_A+Coef_B1*O6628+Coef_B2*P6628,"")</f>
        <v>30.9237144031108</v>
      </c>
      <c r="U6628" s="84" t="n">
        <f aca="false">IF(AND(R6628=1,ISNUMBER(T6628)),E6628-T6628,"")</f>
        <v>-6.12371440311077</v>
      </c>
      <c r="V6628" s="84" t="n">
        <f aca="false">IF(ISNUMBER(T6628),T6628,-99)</f>
        <v>30.9237144031108</v>
      </c>
      <c r="W6628" s="84" t="n">
        <f aca="false">IF(ISNUMBER(U6628),ABS(U6628),"")</f>
        <v>6.12371440311077</v>
      </c>
    </row>
    <row r="6629" customFormat="false" ht="15" hidden="false" customHeight="false" outlineLevel="0" collapsed="false">
      <c r="A6629" s="57" t="n">
        <v>44730</v>
      </c>
      <c r="B6629" s="56" t="n">
        <v>2022</v>
      </c>
      <c r="C6629" s="56" t="n">
        <v>6</v>
      </c>
      <c r="D6629" s="56" t="n">
        <v>49</v>
      </c>
      <c r="E6629" s="56" t="n">
        <v>19.7</v>
      </c>
      <c r="F6629" s="56" t="n">
        <v>1</v>
      </c>
      <c r="G6629" s="56" t="n">
        <v>18</v>
      </c>
      <c r="H6629" s="56" t="n">
        <v>0</v>
      </c>
      <c r="I6629" s="56" t="n">
        <v>21.4</v>
      </c>
      <c r="J6629" s="56" t="n">
        <v>1</v>
      </c>
      <c r="K6629" s="56" t="n">
        <v>1017.8</v>
      </c>
      <c r="L6629" s="56" t="n">
        <v>0</v>
      </c>
      <c r="M6629" s="56" t="n">
        <v>74</v>
      </c>
      <c r="N6629" s="56" t="n">
        <v>2.5</v>
      </c>
      <c r="O6629" s="56" t="n">
        <f aca="false">IF(D6629=1,"",E6628)</f>
        <v>24.8</v>
      </c>
      <c r="P6629" s="56" t="n">
        <f aca="false">IF(OR(D6629=1,K6628=""),"",K6628)</f>
        <v>1019.6</v>
      </c>
      <c r="Q6629" s="56" t="n">
        <f aca="false">IF(OR(F6629&lt;&gt;0,AND(I6629&lt;&gt;"",E6629&lt;I6629)),1,0)</f>
        <v>1</v>
      </c>
      <c r="R6629" s="56" t="n">
        <f aca="false">IF(AND(D6629&gt;1,Q6629=0,ISNUMBER(O6629),ISNUMBER(P6629)),IF(Q6628=0,1,0),0)</f>
        <v>0</v>
      </c>
      <c r="S6629" s="56" t="n">
        <f aca="false">R6629*(B6629&gt;=Train_Start)*(B6629&lt;=Train_End)</f>
        <v>0</v>
      </c>
      <c r="T6629" s="84" t="n">
        <f aca="false">IF(AND(ISNUMBER(O6629),ISNUMBER(P6629)),Coef_A+Coef_B1*O6629+Coef_B2*P6629,"")</f>
        <v>24.3913319782692</v>
      </c>
      <c r="U6629" s="84" t="str">
        <f aca="false">IF(AND(R6629=1,ISNUMBER(T6629)),E6629-T6629,"")</f>
        <v/>
      </c>
      <c r="V6629" s="84" t="n">
        <f aca="false">IF(ISNUMBER(T6629),T6629,-99)</f>
        <v>24.3913319782692</v>
      </c>
      <c r="W6629" s="84" t="str">
        <f aca="false">IF(ISNUMBER(U6629),ABS(U6629),"")</f>
        <v/>
      </c>
    </row>
    <row r="6630" customFormat="false" ht="15" hidden="false" customHeight="false" outlineLevel="0" collapsed="false">
      <c r="A6630" s="57" t="n">
        <v>44731</v>
      </c>
      <c r="B6630" s="56" t="n">
        <v>2022</v>
      </c>
      <c r="C6630" s="56" t="n">
        <v>6</v>
      </c>
      <c r="D6630" s="56" t="n">
        <v>50</v>
      </c>
      <c r="E6630" s="56" t="n">
        <v>22.5</v>
      </c>
      <c r="F6630" s="56" t="n">
        <v>0</v>
      </c>
      <c r="G6630" s="56" t="n">
        <v>9.7</v>
      </c>
      <c r="H6630" s="56" t="n">
        <v>0</v>
      </c>
      <c r="I6630" s="56" t="n">
        <v>14.7</v>
      </c>
      <c r="J6630" s="56" t="n">
        <v>0</v>
      </c>
      <c r="K6630" s="56" t="n">
        <v>1015.1</v>
      </c>
      <c r="L6630" s="56" t="n">
        <v>0</v>
      </c>
      <c r="M6630" s="56" t="n">
        <v>67</v>
      </c>
      <c r="N6630" s="56" t="n">
        <v>2.3</v>
      </c>
      <c r="O6630" s="56" t="n">
        <f aca="false">IF(D6630=1,"",E6629)</f>
        <v>19.7</v>
      </c>
      <c r="P6630" s="56" t="n">
        <f aca="false">IF(OR(D6630=1,K6629=""),"",K6629)</f>
        <v>1017.8</v>
      </c>
      <c r="Q6630" s="56" t="n">
        <f aca="false">IF(OR(F6630&lt;&gt;0,AND(I6630&lt;&gt;"",E6630&lt;I6630)),1,0)</f>
        <v>0</v>
      </c>
      <c r="R6630" s="56" t="n">
        <f aca="false">IF(AND(D6630&gt;1,Q6630=0,ISNUMBER(O6630),ISNUMBER(P6630)),IF(Q6629=0,1,0),0)</f>
        <v>0</v>
      </c>
      <c r="S6630" s="56" t="n">
        <f aca="false">R6630*(B6630&gt;=Train_Start)*(B6630&lt;=Train_End)</f>
        <v>0</v>
      </c>
      <c r="T6630" s="84" t="n">
        <f aca="false">IF(AND(ISNUMBER(O6630),ISNUMBER(P6630)),Coef_A+Coef_B1*O6630+Coef_B2*P6630,"")</f>
        <v>20.1562362834105</v>
      </c>
      <c r="U6630" s="84" t="str">
        <f aca="false">IF(AND(R6630=1,ISNUMBER(T6630)),E6630-T6630,"")</f>
        <v/>
      </c>
      <c r="V6630" s="84" t="n">
        <f aca="false">IF(ISNUMBER(T6630),T6630,-99)</f>
        <v>20.1562362834105</v>
      </c>
      <c r="W6630" s="84" t="str">
        <f aca="false">IF(ISNUMBER(U6630),ABS(U6630),"")</f>
        <v/>
      </c>
    </row>
    <row r="6631" customFormat="false" ht="15" hidden="false" customHeight="false" outlineLevel="0" collapsed="false">
      <c r="A6631" s="57" t="n">
        <v>44732</v>
      </c>
      <c r="B6631" s="56" t="n">
        <v>2022</v>
      </c>
      <c r="C6631" s="56" t="n">
        <v>6</v>
      </c>
      <c r="D6631" s="56" t="n">
        <v>51</v>
      </c>
      <c r="E6631" s="56" t="n">
        <v>26.2</v>
      </c>
      <c r="F6631" s="56" t="n">
        <v>0</v>
      </c>
      <c r="G6631" s="56" t="n">
        <v>11.4</v>
      </c>
      <c r="H6631" s="56" t="n">
        <v>0</v>
      </c>
      <c r="I6631" s="56" t="n">
        <v>16.9</v>
      </c>
      <c r="J6631" s="56" t="n">
        <v>0</v>
      </c>
      <c r="K6631" s="56" t="n">
        <v>1018.5</v>
      </c>
      <c r="L6631" s="56" t="n">
        <v>0</v>
      </c>
      <c r="M6631" s="56" t="n">
        <v>57</v>
      </c>
      <c r="N6631" s="56" t="n">
        <v>13.9</v>
      </c>
      <c r="O6631" s="56" t="n">
        <f aca="false">IF(D6631=1,"",E6630)</f>
        <v>22.5</v>
      </c>
      <c r="P6631" s="56" t="n">
        <f aca="false">IF(OR(D6631=1,K6630=""),"",K6630)</f>
        <v>1015.1</v>
      </c>
      <c r="Q6631" s="56" t="n">
        <f aca="false">IF(OR(F6631&lt;&gt;0,AND(I6631&lt;&gt;"",E6631&lt;I6631)),1,0)</f>
        <v>0</v>
      </c>
      <c r="R6631" s="56" t="n">
        <f aca="false">IF(AND(D6631&gt;1,Q6631=0,ISNUMBER(O6631),ISNUMBER(P6631)),IF(Q6630=0,1,0),0)</f>
        <v>1</v>
      </c>
      <c r="S6631" s="56" t="n">
        <f aca="false">R6631*(B6631&gt;=Train_Start)*(B6631&lt;=Train_End)</f>
        <v>0</v>
      </c>
      <c r="T6631" s="84" t="n">
        <f aca="false">IF(AND(ISNUMBER(O6631),ISNUMBER(P6631)),Coef_A+Coef_B1*O6631+Coef_B2*P6631,"")</f>
        <v>22.3656873084181</v>
      </c>
      <c r="U6631" s="84" t="n">
        <f aca="false">IF(AND(R6631=1,ISNUMBER(T6631)),E6631-T6631,"")</f>
        <v>3.83431269158187</v>
      </c>
      <c r="V6631" s="84" t="n">
        <f aca="false">IF(ISNUMBER(T6631),T6631,-99)</f>
        <v>22.3656873084181</v>
      </c>
      <c r="W6631" s="84" t="n">
        <f aca="false">IF(ISNUMBER(U6631),ABS(U6631),"")</f>
        <v>3.83431269158187</v>
      </c>
    </row>
    <row r="6632" customFormat="false" ht="15" hidden="false" customHeight="false" outlineLevel="0" collapsed="false">
      <c r="A6632" s="57" t="n">
        <v>44733</v>
      </c>
      <c r="B6632" s="56" t="n">
        <v>2022</v>
      </c>
      <c r="C6632" s="56" t="n">
        <v>6</v>
      </c>
      <c r="D6632" s="56" t="n">
        <v>52</v>
      </c>
      <c r="E6632" s="56" t="n">
        <v>27.9</v>
      </c>
      <c r="F6632" s="56" t="n">
        <v>0</v>
      </c>
      <c r="G6632" s="56" t="n">
        <v>10.6</v>
      </c>
      <c r="H6632" s="56" t="n">
        <v>0</v>
      </c>
      <c r="I6632" s="56" t="n">
        <v>18.4</v>
      </c>
      <c r="J6632" s="56" t="n">
        <v>0</v>
      </c>
      <c r="K6632" s="56" t="n">
        <v>1014.7</v>
      </c>
      <c r="L6632" s="56" t="n">
        <v>0</v>
      </c>
      <c r="M6632" s="56" t="n">
        <v>50</v>
      </c>
      <c r="N6632" s="56" t="n">
        <v>13.5</v>
      </c>
      <c r="O6632" s="56" t="n">
        <f aca="false">IF(D6632=1,"",E6631)</f>
        <v>26.2</v>
      </c>
      <c r="P6632" s="56" t="n">
        <f aca="false">IF(OR(D6632=1,K6631=""),"",K6631)</f>
        <v>1018.5</v>
      </c>
      <c r="Q6632" s="56" t="n">
        <f aca="false">IF(OR(F6632&lt;&gt;0,AND(I6632&lt;&gt;"",E6632&lt;I6632)),1,0)</f>
        <v>0</v>
      </c>
      <c r="R6632" s="56" t="n">
        <f aca="false">IF(AND(D6632&gt;1,Q6632=0,ISNUMBER(O6632),ISNUMBER(P6632)),IF(Q6631=0,1,0),0)</f>
        <v>1</v>
      </c>
      <c r="S6632" s="56" t="n">
        <f aca="false">R6632*(B6632&gt;=Train_Start)*(B6632&lt;=Train_End)</f>
        <v>0</v>
      </c>
      <c r="T6632" s="84" t="n">
        <f aca="false">IF(AND(ISNUMBER(O6632),ISNUMBER(P6632)),Coef_A+Coef_B1*O6632+Coef_B2*P6632,"")</f>
        <v>25.5038999644315</v>
      </c>
      <c r="U6632" s="84" t="n">
        <f aca="false">IF(AND(R6632=1,ISNUMBER(T6632)),E6632-T6632,"")</f>
        <v>2.39610003556848</v>
      </c>
      <c r="V6632" s="84" t="n">
        <f aca="false">IF(ISNUMBER(T6632),T6632,-99)</f>
        <v>25.5038999644315</v>
      </c>
      <c r="W6632" s="84" t="n">
        <f aca="false">IF(ISNUMBER(U6632),ABS(U6632),"")</f>
        <v>2.39610003556848</v>
      </c>
    </row>
    <row r="6633" customFormat="false" ht="15" hidden="false" customHeight="false" outlineLevel="0" collapsed="false">
      <c r="A6633" s="57" t="n">
        <v>44734</v>
      </c>
      <c r="B6633" s="56" t="n">
        <v>2022</v>
      </c>
      <c r="C6633" s="56" t="n">
        <v>6</v>
      </c>
      <c r="D6633" s="56" t="n">
        <v>53</v>
      </c>
      <c r="E6633" s="56" t="n">
        <v>26.7</v>
      </c>
      <c r="F6633" s="56" t="n">
        <v>0</v>
      </c>
      <c r="G6633" s="56" t="n">
        <v>12.5</v>
      </c>
      <c r="H6633" s="56" t="n">
        <v>0</v>
      </c>
      <c r="I6633" s="56" t="n">
        <v>20.2</v>
      </c>
      <c r="J6633" s="56" t="n">
        <v>0</v>
      </c>
      <c r="K6633" s="56" t="n">
        <v>1013.3</v>
      </c>
      <c r="L6633" s="56" t="n">
        <v>0</v>
      </c>
      <c r="M6633" s="56" t="n">
        <v>50</v>
      </c>
      <c r="N6633" s="56" t="n">
        <v>14.1</v>
      </c>
      <c r="O6633" s="56" t="n">
        <f aca="false">IF(D6633=1,"",E6632)</f>
        <v>27.9</v>
      </c>
      <c r="P6633" s="56" t="n">
        <f aca="false">IF(OR(D6633=1,K6632=""),"",K6632)</f>
        <v>1014.7</v>
      </c>
      <c r="Q6633" s="56" t="n">
        <f aca="false">IF(OR(F6633&lt;&gt;0,AND(I6633&lt;&gt;"",E6633&lt;I6633)),1,0)</f>
        <v>0</v>
      </c>
      <c r="R6633" s="56" t="n">
        <f aca="false">IF(AND(D6633&gt;1,Q6633=0,ISNUMBER(O6633),ISNUMBER(P6633)),IF(Q6632=0,1,0),0)</f>
        <v>1</v>
      </c>
      <c r="S6633" s="56" t="n">
        <f aca="false">R6633*(B6633&gt;=Train_Start)*(B6633&lt;=Train_End)</f>
        <v>0</v>
      </c>
      <c r="T6633" s="84" t="n">
        <f aca="false">IF(AND(ISNUMBER(O6633),ISNUMBER(P6633)),Coef_A+Coef_B1*O6633+Coef_B2*P6633,"")</f>
        <v>26.7775709929949</v>
      </c>
      <c r="U6633" s="84" t="n">
        <f aca="false">IF(AND(R6633=1,ISNUMBER(T6633)),E6633-T6633,"")</f>
        <v>-0.0775709929948825</v>
      </c>
      <c r="V6633" s="84" t="n">
        <f aca="false">IF(ISNUMBER(T6633),T6633,-99)</f>
        <v>26.7775709929949</v>
      </c>
      <c r="W6633" s="84" t="n">
        <f aca="false">IF(ISNUMBER(U6633),ABS(U6633),"")</f>
        <v>0.0775709929948825</v>
      </c>
    </row>
    <row r="6634" customFormat="false" ht="15" hidden="false" customHeight="false" outlineLevel="0" collapsed="false">
      <c r="A6634" s="57" t="n">
        <v>44735</v>
      </c>
      <c r="B6634" s="56" t="n">
        <v>2022</v>
      </c>
      <c r="C6634" s="56" t="n">
        <v>6</v>
      </c>
      <c r="D6634" s="56" t="n">
        <v>54</v>
      </c>
      <c r="E6634" s="56" t="n">
        <v>22.5</v>
      </c>
      <c r="F6634" s="56" t="n">
        <v>0</v>
      </c>
      <c r="G6634" s="56" t="n">
        <v>13.9</v>
      </c>
      <c r="H6634" s="56" t="n">
        <v>0</v>
      </c>
      <c r="I6634" s="56" t="n">
        <v>20.3</v>
      </c>
      <c r="J6634" s="56" t="n">
        <v>0</v>
      </c>
      <c r="K6634" s="56" t="n">
        <v>1009.6</v>
      </c>
      <c r="L6634" s="56" t="n">
        <v>0</v>
      </c>
      <c r="M6634" s="56" t="n">
        <v>66</v>
      </c>
      <c r="N6634" s="56" t="n">
        <v>1.3</v>
      </c>
      <c r="O6634" s="56" t="n">
        <f aca="false">IF(D6634=1,"",E6633)</f>
        <v>26.7</v>
      </c>
      <c r="P6634" s="56" t="n">
        <f aca="false">IF(OR(D6634=1,K6633=""),"",K6633)</f>
        <v>1013.3</v>
      </c>
      <c r="Q6634" s="56" t="n">
        <f aca="false">IF(OR(F6634&lt;&gt;0,AND(I6634&lt;&gt;"",E6634&lt;I6634)),1,0)</f>
        <v>0</v>
      </c>
      <c r="R6634" s="56" t="n">
        <f aca="false">IF(AND(D6634&gt;1,Q6634=0,ISNUMBER(O6634),ISNUMBER(P6634)),IF(Q6633=0,1,0),0)</f>
        <v>1</v>
      </c>
      <c r="S6634" s="56" t="n">
        <f aca="false">R6634*(B6634&gt;=Train_Start)*(B6634&lt;=Train_End)</f>
        <v>0</v>
      </c>
      <c r="T6634" s="84" t="n">
        <f aca="false">IF(AND(ISNUMBER(O6634),ISNUMBER(P6634)),Coef_A+Coef_B1*O6634+Coef_B2*P6634,"")</f>
        <v>25.7504461088561</v>
      </c>
      <c r="U6634" s="84" t="n">
        <f aca="false">IF(AND(R6634=1,ISNUMBER(T6634)),E6634-T6634,"")</f>
        <v>-3.2504461088561</v>
      </c>
      <c r="V6634" s="84" t="n">
        <f aca="false">IF(ISNUMBER(T6634),T6634,-99)</f>
        <v>25.7504461088561</v>
      </c>
      <c r="W6634" s="84" t="n">
        <f aca="false">IF(ISNUMBER(U6634),ABS(U6634),"")</f>
        <v>3.2504461088561</v>
      </c>
    </row>
    <row r="6635" customFormat="false" ht="15" hidden="false" customHeight="false" outlineLevel="0" collapsed="false">
      <c r="A6635" s="57" t="n">
        <v>44736</v>
      </c>
      <c r="B6635" s="56" t="n">
        <v>2022</v>
      </c>
      <c r="C6635" s="56" t="n">
        <v>6</v>
      </c>
      <c r="D6635" s="56" t="n">
        <v>55</v>
      </c>
      <c r="E6635" s="56" t="n">
        <v>22.3</v>
      </c>
      <c r="F6635" s="56" t="n">
        <v>0</v>
      </c>
      <c r="G6635" s="56" t="n">
        <v>14.5</v>
      </c>
      <c r="H6635" s="56" t="n">
        <v>0</v>
      </c>
      <c r="I6635" s="56" t="n">
        <v>18.5</v>
      </c>
      <c r="J6635" s="56" t="n">
        <v>0</v>
      </c>
      <c r="K6635" s="56" t="n">
        <v>1004.7</v>
      </c>
      <c r="L6635" s="56" t="n">
        <v>0</v>
      </c>
      <c r="M6635" s="56" t="n">
        <v>72</v>
      </c>
      <c r="N6635" s="56" t="n">
        <v>3</v>
      </c>
      <c r="O6635" s="56" t="n">
        <f aca="false">IF(D6635=1,"",E6634)</f>
        <v>22.5</v>
      </c>
      <c r="P6635" s="56" t="n">
        <f aca="false">IF(OR(D6635=1,K6634=""),"",K6634)</f>
        <v>1009.6</v>
      </c>
      <c r="Q6635" s="56" t="n">
        <f aca="false">IF(OR(F6635&lt;&gt;0,AND(I6635&lt;&gt;"",E6635&lt;I6635)),1,0)</f>
        <v>0</v>
      </c>
      <c r="R6635" s="56" t="n">
        <f aca="false">IF(AND(D6635&gt;1,Q6635=0,ISNUMBER(O6635),ISNUMBER(P6635)),IF(Q6634=0,1,0),0)</f>
        <v>1</v>
      </c>
      <c r="S6635" s="56" t="n">
        <f aca="false">R6635*(B6635&gt;=Train_Start)*(B6635&lt;=Train_End)</f>
        <v>0</v>
      </c>
      <c r="T6635" s="84" t="n">
        <f aca="false">IF(AND(ISNUMBER(O6635),ISNUMBER(P6635)),Coef_A+Coef_B1*O6635+Coef_B2*P6635,"")</f>
        <v>22.1931528879312</v>
      </c>
      <c r="U6635" s="84" t="n">
        <f aca="false">IF(AND(R6635=1,ISNUMBER(T6635)),E6635-T6635,"")</f>
        <v>0.106847112068817</v>
      </c>
      <c r="V6635" s="84" t="n">
        <f aca="false">IF(ISNUMBER(T6635),T6635,-99)</f>
        <v>22.1931528879312</v>
      </c>
      <c r="W6635" s="84" t="n">
        <f aca="false">IF(ISNUMBER(U6635),ABS(U6635),"")</f>
        <v>0.106847112068817</v>
      </c>
    </row>
    <row r="6636" customFormat="false" ht="15" hidden="false" customHeight="false" outlineLevel="0" collapsed="false">
      <c r="A6636" s="57" t="n">
        <v>44737</v>
      </c>
      <c r="B6636" s="56" t="n">
        <v>2022</v>
      </c>
      <c r="C6636" s="56" t="n">
        <v>6</v>
      </c>
      <c r="D6636" s="56" t="n">
        <v>56</v>
      </c>
      <c r="E6636" s="56" t="n">
        <v>22.8</v>
      </c>
      <c r="F6636" s="56" t="n">
        <v>0</v>
      </c>
      <c r="G6636" s="56" t="n">
        <v>12.4</v>
      </c>
      <c r="H6636" s="56" t="n">
        <v>0</v>
      </c>
      <c r="I6636" s="56" t="n">
        <v>17.4</v>
      </c>
      <c r="J6636" s="56" t="n">
        <v>0</v>
      </c>
      <c r="K6636" s="56" t="n">
        <v>1007.7</v>
      </c>
      <c r="L6636" s="56" t="n">
        <v>0</v>
      </c>
      <c r="M6636" s="56" t="n">
        <v>67</v>
      </c>
      <c r="N6636" s="56" t="n">
        <v>6.7</v>
      </c>
      <c r="O6636" s="56" t="n">
        <f aca="false">IF(D6636=1,"",E6635)</f>
        <v>22.3</v>
      </c>
      <c r="P6636" s="56" t="n">
        <f aca="false">IF(OR(D6636=1,K6635=""),"",K6635)</f>
        <v>1004.7</v>
      </c>
      <c r="Q6636" s="56" t="n">
        <f aca="false">IF(OR(F6636&lt;&gt;0,AND(I6636&lt;&gt;"",E6636&lt;I6636)),1,0)</f>
        <v>0</v>
      </c>
      <c r="R6636" s="56" t="n">
        <f aca="false">IF(AND(D6636&gt;1,Q6636=0,ISNUMBER(O6636),ISNUMBER(P6636)),IF(Q6635=0,1,0),0)</f>
        <v>1</v>
      </c>
      <c r="S6636" s="56" t="n">
        <f aca="false">R6636*(B6636&gt;=Train_Start)*(B6636&lt;=Train_End)</f>
        <v>0</v>
      </c>
      <c r="T6636" s="84" t="n">
        <f aca="false">IF(AND(ISNUMBER(O6636),ISNUMBER(P6636)),Coef_A+Coef_B1*O6636+Coef_B2*P6636,"")</f>
        <v>21.8755725656161</v>
      </c>
      <c r="U6636" s="84" t="n">
        <f aca="false">IF(AND(R6636=1,ISNUMBER(T6636)),E6636-T6636,"")</f>
        <v>0.924427434383894</v>
      </c>
      <c r="V6636" s="84" t="n">
        <f aca="false">IF(ISNUMBER(T6636),T6636,-99)</f>
        <v>21.8755725656161</v>
      </c>
      <c r="W6636" s="84" t="n">
        <f aca="false">IF(ISNUMBER(U6636),ABS(U6636),"")</f>
        <v>0.924427434383894</v>
      </c>
    </row>
    <row r="6637" customFormat="false" ht="15" hidden="false" customHeight="false" outlineLevel="0" collapsed="false">
      <c r="A6637" s="57" t="n">
        <v>44738</v>
      </c>
      <c r="B6637" s="56" t="n">
        <v>2022</v>
      </c>
      <c r="C6637" s="56" t="n">
        <v>6</v>
      </c>
      <c r="D6637" s="56" t="n">
        <v>57</v>
      </c>
      <c r="E6637" s="56" t="n">
        <v>21</v>
      </c>
      <c r="F6637" s="56" t="n">
        <v>0</v>
      </c>
      <c r="G6637" s="56" t="n">
        <v>11</v>
      </c>
      <c r="H6637" s="56" t="n">
        <v>0</v>
      </c>
      <c r="I6637" s="56" t="n">
        <v>16.9</v>
      </c>
      <c r="J6637" s="56" t="n">
        <v>0</v>
      </c>
      <c r="K6637" s="56" t="n">
        <v>1012.1</v>
      </c>
      <c r="L6637" s="56" t="n">
        <v>0</v>
      </c>
      <c r="M6637" s="56" t="n">
        <v>57</v>
      </c>
      <c r="N6637" s="56" t="n">
        <v>11.1</v>
      </c>
      <c r="O6637" s="56" t="n">
        <f aca="false">IF(D6637=1,"",E6636)</f>
        <v>22.8</v>
      </c>
      <c r="P6637" s="56" t="n">
        <f aca="false">IF(OR(D6637=1,K6636=""),"",K6636)</f>
        <v>1007.7</v>
      </c>
      <c r="Q6637" s="56" t="n">
        <f aca="false">IF(OR(F6637&lt;&gt;0,AND(I6637&lt;&gt;"",E6637&lt;I6637)),1,0)</f>
        <v>0</v>
      </c>
      <c r="R6637" s="56" t="n">
        <f aca="false">IF(AND(D6637&gt;1,Q6637=0,ISNUMBER(O6637),ISNUMBER(P6637)),IF(Q6636=0,1,0),0)</f>
        <v>1</v>
      </c>
      <c r="S6637" s="56" t="n">
        <f aca="false">R6637*(B6637&gt;=Train_Start)*(B6637&lt;=Train_End)</f>
        <v>0</v>
      </c>
      <c r="T6637" s="84" t="n">
        <f aca="false">IF(AND(ISNUMBER(O6637),ISNUMBER(P6637)),Coef_A+Coef_B1*O6637+Coef_B2*P6637,"")</f>
        <v>22.3793518460394</v>
      </c>
      <c r="U6637" s="84" t="n">
        <f aca="false">IF(AND(R6637=1,ISNUMBER(T6637)),E6637-T6637,"")</f>
        <v>-1.37935184603941</v>
      </c>
      <c r="V6637" s="84" t="n">
        <f aca="false">IF(ISNUMBER(T6637),T6637,-99)</f>
        <v>22.3793518460394</v>
      </c>
      <c r="W6637" s="84" t="n">
        <f aca="false">IF(ISNUMBER(U6637),ABS(U6637),"")</f>
        <v>1.37935184603941</v>
      </c>
    </row>
    <row r="6638" customFormat="false" ht="15" hidden="false" customHeight="false" outlineLevel="0" collapsed="false">
      <c r="A6638" s="57" t="n">
        <v>44739</v>
      </c>
      <c r="B6638" s="56" t="n">
        <v>2022</v>
      </c>
      <c r="C6638" s="56" t="n">
        <v>6</v>
      </c>
      <c r="D6638" s="56" t="n">
        <v>58</v>
      </c>
      <c r="E6638" s="56" t="n">
        <v>23.2</v>
      </c>
      <c r="F6638" s="56" t="n">
        <v>0</v>
      </c>
      <c r="G6638" s="56" t="n">
        <v>11.7</v>
      </c>
      <c r="H6638" s="56" t="n">
        <v>0</v>
      </c>
      <c r="I6638" s="56" t="n">
        <v>16.4</v>
      </c>
      <c r="J6638" s="56" t="n">
        <v>0</v>
      </c>
      <c r="K6638" s="56" t="n">
        <v>1016.2</v>
      </c>
      <c r="L6638" s="56" t="n">
        <v>0</v>
      </c>
      <c r="M6638" s="56" t="n">
        <v>67</v>
      </c>
      <c r="N6638" s="56" t="n">
        <v>4.6</v>
      </c>
      <c r="O6638" s="56" t="n">
        <f aca="false">IF(D6638=1,"",E6637)</f>
        <v>21</v>
      </c>
      <c r="P6638" s="56" t="n">
        <f aca="false">IF(OR(D6638=1,K6637=""),"",K6637)</f>
        <v>1012.1</v>
      </c>
      <c r="Q6638" s="56" t="n">
        <f aca="false">IF(OR(F6638&lt;&gt;0,AND(I6638&lt;&gt;"",E6638&lt;I6638)),1,0)</f>
        <v>0</v>
      </c>
      <c r="R6638" s="56" t="n">
        <f aca="false">IF(AND(D6638&gt;1,Q6638=0,ISNUMBER(O6638),ISNUMBER(P6638)),IF(Q6637=0,1,0),0)</f>
        <v>1</v>
      </c>
      <c r="S6638" s="56" t="n">
        <f aca="false">R6638*(B6638&gt;=Train_Start)*(B6638&lt;=Train_End)</f>
        <v>0</v>
      </c>
      <c r="T6638" s="84" t="n">
        <f aca="false">IF(AND(ISNUMBER(O6638),ISNUMBER(P6638)),Coef_A+Coef_B1*O6638+Coef_B2*P6638,"")</f>
        <v>21.0425688349522</v>
      </c>
      <c r="U6638" s="84" t="n">
        <f aca="false">IF(AND(R6638=1,ISNUMBER(T6638)),E6638-T6638,"")</f>
        <v>2.15743116504783</v>
      </c>
      <c r="V6638" s="84" t="n">
        <f aca="false">IF(ISNUMBER(T6638),T6638,-99)</f>
        <v>21.0425688349522</v>
      </c>
      <c r="W6638" s="84" t="n">
        <f aca="false">IF(ISNUMBER(U6638),ABS(U6638),"")</f>
        <v>2.15743116504783</v>
      </c>
    </row>
    <row r="6639" customFormat="false" ht="15" hidden="false" customHeight="false" outlineLevel="0" collapsed="false">
      <c r="A6639" s="57" t="n">
        <v>44740</v>
      </c>
      <c r="B6639" s="56" t="n">
        <v>2022</v>
      </c>
      <c r="C6639" s="56" t="n">
        <v>6</v>
      </c>
      <c r="D6639" s="56" t="n">
        <v>59</v>
      </c>
      <c r="E6639" s="56" t="n">
        <v>22</v>
      </c>
      <c r="F6639" s="56" t="n">
        <v>0</v>
      </c>
      <c r="G6639" s="56" t="n">
        <v>11.2</v>
      </c>
      <c r="H6639" s="56" t="n">
        <v>0</v>
      </c>
      <c r="I6639" s="56" t="n">
        <v>17.2</v>
      </c>
      <c r="J6639" s="56" t="n">
        <v>0</v>
      </c>
      <c r="K6639" s="56" t="n">
        <v>1017.5</v>
      </c>
      <c r="L6639" s="56" t="n">
        <v>0</v>
      </c>
      <c r="M6639" s="56" t="n">
        <v>60</v>
      </c>
      <c r="N6639" s="56" t="n">
        <v>7.7</v>
      </c>
      <c r="O6639" s="56" t="n">
        <f aca="false">IF(D6639=1,"",E6638)</f>
        <v>23.2</v>
      </c>
      <c r="P6639" s="56" t="n">
        <f aca="false">IF(OR(D6639=1,K6638=""),"",K6638)</f>
        <v>1016.2</v>
      </c>
      <c r="Q6639" s="56" t="n">
        <f aca="false">IF(OR(F6639&lt;&gt;0,AND(I6639&lt;&gt;"",E6639&lt;I6639)),1,0)</f>
        <v>0</v>
      </c>
      <c r="R6639" s="56" t="n">
        <f aca="false">IF(AND(D6639&gt;1,Q6639=0,ISNUMBER(O6639),ISNUMBER(P6639)),IF(Q6638=0,1,0),0)</f>
        <v>1</v>
      </c>
      <c r="S6639" s="56" t="n">
        <f aca="false">R6639*(B6639&gt;=Train_Start)*(B6639&lt;=Train_End)</f>
        <v>0</v>
      </c>
      <c r="T6639" s="84" t="n">
        <f aca="false">IF(AND(ISNUMBER(O6639),ISNUMBER(P6639)),Coef_A+Coef_B1*O6639+Coef_B2*P6639,"")</f>
        <v>22.9737316276454</v>
      </c>
      <c r="U6639" s="84" t="n">
        <f aca="false">IF(AND(R6639=1,ISNUMBER(T6639)),E6639-T6639,"")</f>
        <v>-0.973731627645375</v>
      </c>
      <c r="V6639" s="84" t="n">
        <f aca="false">IF(ISNUMBER(T6639),T6639,-99)</f>
        <v>22.9737316276454</v>
      </c>
      <c r="W6639" s="84" t="n">
        <f aca="false">IF(ISNUMBER(U6639),ABS(U6639),"")</f>
        <v>0.973731627645375</v>
      </c>
    </row>
    <row r="6640" customFormat="false" ht="15" hidden="false" customHeight="false" outlineLevel="0" collapsed="false">
      <c r="A6640" s="57" t="n">
        <v>44741</v>
      </c>
      <c r="B6640" s="56" t="n">
        <v>2022</v>
      </c>
      <c r="C6640" s="56" t="n">
        <v>6</v>
      </c>
      <c r="D6640" s="56" t="n">
        <v>60</v>
      </c>
      <c r="E6640" s="56" t="n">
        <v>20.7</v>
      </c>
      <c r="F6640" s="56" t="n">
        <v>0</v>
      </c>
      <c r="G6640" s="56" t="n">
        <v>14.3</v>
      </c>
      <c r="H6640" s="56" t="n">
        <v>0</v>
      </c>
      <c r="I6640" s="56" t="n">
        <v>18.1</v>
      </c>
      <c r="J6640" s="56" t="n">
        <v>0</v>
      </c>
      <c r="K6640" s="56" t="n">
        <v>1012</v>
      </c>
      <c r="L6640" s="56" t="n">
        <v>0</v>
      </c>
      <c r="M6640" s="56" t="n">
        <v>72</v>
      </c>
      <c r="N6640" s="56" t="n">
        <v>1.6</v>
      </c>
      <c r="O6640" s="56" t="n">
        <f aca="false">IF(D6640=1,"",E6639)</f>
        <v>22</v>
      </c>
      <c r="P6640" s="56" t="n">
        <f aca="false">IF(OR(D6640=1,K6639=""),"",K6639)</f>
        <v>1017.5</v>
      </c>
      <c r="Q6640" s="56" t="n">
        <f aca="false">IF(OR(F6640&lt;&gt;0,AND(I6640&lt;&gt;"",E6640&lt;I6640)),1,0)</f>
        <v>0</v>
      </c>
      <c r="R6640" s="56" t="n">
        <f aca="false">IF(AND(D6640&gt;1,Q6640=0,ISNUMBER(O6640),ISNUMBER(P6640)),IF(Q6639=0,1,0),0)</f>
        <v>1</v>
      </c>
      <c r="S6640" s="56" t="n">
        <f aca="false">R6640*(B6640&gt;=Train_Start)*(B6640&lt;=Train_End)</f>
        <v>0</v>
      </c>
      <c r="T6640" s="84" t="n">
        <f aca="false">IF(AND(ISNUMBER(O6640),ISNUMBER(P6640)),Coef_A+Coef_B1*O6640+Coef_B2*P6640,"")</f>
        <v>22.0313054590184</v>
      </c>
      <c r="U6640" s="84" t="n">
        <f aca="false">IF(AND(R6640=1,ISNUMBER(T6640)),E6640-T6640,"")</f>
        <v>-1.33130545901837</v>
      </c>
      <c r="V6640" s="84" t="n">
        <f aca="false">IF(ISNUMBER(T6640),T6640,-99)</f>
        <v>22.0313054590184</v>
      </c>
      <c r="W6640" s="84" t="n">
        <f aca="false">IF(ISNUMBER(U6640),ABS(U6640),"")</f>
        <v>1.33130545901837</v>
      </c>
    </row>
    <row r="6641" customFormat="false" ht="15" hidden="false" customHeight="false" outlineLevel="0" collapsed="false">
      <c r="A6641" s="57" t="n">
        <v>44742</v>
      </c>
      <c r="B6641" s="56" t="n">
        <v>2022</v>
      </c>
      <c r="C6641" s="56" t="n">
        <v>6</v>
      </c>
      <c r="D6641" s="56" t="n">
        <v>61</v>
      </c>
      <c r="E6641" s="56" t="n">
        <v>22.1</v>
      </c>
      <c r="F6641" s="56" t="n">
        <v>0</v>
      </c>
      <c r="G6641" s="56" t="n">
        <v>13.3</v>
      </c>
      <c r="H6641" s="56" t="n">
        <v>0</v>
      </c>
      <c r="I6641" s="56" t="n">
        <v>17</v>
      </c>
      <c r="J6641" s="56" t="n">
        <v>0</v>
      </c>
      <c r="K6641" s="56" t="n">
        <v>1012</v>
      </c>
      <c r="L6641" s="56" t="n">
        <v>0</v>
      </c>
      <c r="M6641" s="56" t="n">
        <v>71</v>
      </c>
      <c r="N6641" s="56" t="n">
        <v>3.7</v>
      </c>
      <c r="O6641" s="56" t="n">
        <f aca="false">IF(D6641=1,"",E6640)</f>
        <v>20.7</v>
      </c>
      <c r="P6641" s="56" t="n">
        <f aca="false">IF(OR(D6641=1,K6640=""),"",K6640)</f>
        <v>1012</v>
      </c>
      <c r="Q6641" s="56" t="n">
        <f aca="false">IF(OR(F6641&lt;&gt;0,AND(I6641&lt;&gt;"",E6641&lt;I6641)),1,0)</f>
        <v>0</v>
      </c>
      <c r="R6641" s="56" t="n">
        <f aca="false">IF(AND(D6641&gt;1,Q6641=0,ISNUMBER(O6641),ISNUMBER(P6641)),IF(Q6640=0,1,0),0)</f>
        <v>1</v>
      </c>
      <c r="S6641" s="56" t="n">
        <f aca="false">R6641*(B6641&gt;=Train_Start)*(B6641&lt;=Train_End)</f>
        <v>0</v>
      </c>
      <c r="T6641" s="84" t="n">
        <f aca="false">IF(AND(ISNUMBER(O6641),ISNUMBER(P6641)),Coef_A+Coef_B1*O6641+Coef_B2*P6641,"")</f>
        <v>20.793630087576</v>
      </c>
      <c r="U6641" s="84" t="n">
        <f aca="false">IF(AND(R6641=1,ISNUMBER(T6641)),E6641-T6641,"")</f>
        <v>1.30636991242403</v>
      </c>
      <c r="V6641" s="84" t="n">
        <f aca="false">IF(ISNUMBER(T6641),T6641,-99)</f>
        <v>20.793630087576</v>
      </c>
      <c r="W6641" s="84" t="n">
        <f aca="false">IF(ISNUMBER(U6641),ABS(U6641),"")</f>
        <v>1.30636991242403</v>
      </c>
    </row>
    <row r="6642" customFormat="false" ht="15" hidden="false" customHeight="false" outlineLevel="0" collapsed="false">
      <c r="A6642" s="57" t="n">
        <v>44743</v>
      </c>
      <c r="B6642" s="56" t="n">
        <v>2022</v>
      </c>
      <c r="C6642" s="56" t="n">
        <v>7</v>
      </c>
      <c r="D6642" s="56" t="n">
        <v>62</v>
      </c>
      <c r="E6642" s="56" t="n">
        <v>23.8</v>
      </c>
      <c r="F6642" s="56" t="n">
        <v>0</v>
      </c>
      <c r="G6642" s="56" t="n">
        <v>12.4</v>
      </c>
      <c r="H6642" s="56" t="n">
        <v>0</v>
      </c>
      <c r="I6642" s="56" t="n">
        <v>17.2</v>
      </c>
      <c r="J6642" s="56" t="n">
        <v>0</v>
      </c>
      <c r="K6642" s="56" t="n">
        <v>1016.5</v>
      </c>
      <c r="L6642" s="56" t="n">
        <v>0</v>
      </c>
      <c r="M6642" s="56" t="n">
        <v>69</v>
      </c>
      <c r="N6642" s="56" t="n">
        <v>5</v>
      </c>
      <c r="O6642" s="56" t="n">
        <f aca="false">IF(D6642=1,"",E6641)</f>
        <v>22.1</v>
      </c>
      <c r="P6642" s="56" t="n">
        <f aca="false">IF(OR(D6642=1,K6641=""),"",K6641)</f>
        <v>1012</v>
      </c>
      <c r="Q6642" s="56" t="n">
        <f aca="false">IF(OR(F6642&lt;&gt;0,AND(I6642&lt;&gt;"",E6642&lt;I6642)),1,0)</f>
        <v>0</v>
      </c>
      <c r="R6642" s="56" t="n">
        <f aca="false">IF(AND(D6642&gt;1,Q6642=0,ISNUMBER(O6642),ISNUMBER(P6642)),IF(Q6641=0,1,0),0)</f>
        <v>1</v>
      </c>
      <c r="S6642" s="56" t="n">
        <f aca="false">R6642*(B6642&gt;=Train_Start)*(B6642&lt;=Train_End)</f>
        <v>0</v>
      </c>
      <c r="T6642" s="84" t="n">
        <f aca="false">IF(AND(ISNUMBER(O6642),ISNUMBER(P6642)),Coef_A+Coef_B1*O6642+Coef_B2*P6642,"")</f>
        <v>21.9407049578357</v>
      </c>
      <c r="U6642" s="84" t="n">
        <f aca="false">IF(AND(R6642=1,ISNUMBER(T6642)),E6642-T6642,"")</f>
        <v>1.85929504216431</v>
      </c>
      <c r="V6642" s="84" t="n">
        <f aca="false">IF(ISNUMBER(T6642),T6642,-99)</f>
        <v>21.9407049578357</v>
      </c>
      <c r="W6642" s="84" t="n">
        <f aca="false">IF(ISNUMBER(U6642),ABS(U6642),"")</f>
        <v>1.85929504216431</v>
      </c>
    </row>
    <row r="6643" customFormat="false" ht="15" hidden="false" customHeight="false" outlineLevel="0" collapsed="false">
      <c r="A6643" s="57" t="n">
        <v>44744</v>
      </c>
      <c r="B6643" s="56" t="n">
        <v>2022</v>
      </c>
      <c r="C6643" s="56" t="n">
        <v>7</v>
      </c>
      <c r="D6643" s="56" t="n">
        <v>63</v>
      </c>
      <c r="E6643" s="56" t="n">
        <v>24.2</v>
      </c>
      <c r="F6643" s="56" t="n">
        <v>0</v>
      </c>
      <c r="G6643" s="56" t="n">
        <v>11.8</v>
      </c>
      <c r="H6643" s="56" t="n">
        <v>0</v>
      </c>
      <c r="I6643" s="56" t="n">
        <v>17.8</v>
      </c>
      <c r="J6643" s="56" t="n">
        <v>0</v>
      </c>
      <c r="K6643" s="56" t="n">
        <v>1018.3</v>
      </c>
      <c r="L6643" s="56" t="n">
        <v>0</v>
      </c>
      <c r="M6643" s="56" t="n">
        <v>68</v>
      </c>
      <c r="N6643" s="56" t="n">
        <v>4.2</v>
      </c>
      <c r="O6643" s="56" t="n">
        <f aca="false">IF(D6643=1,"",E6642)</f>
        <v>23.8</v>
      </c>
      <c r="P6643" s="56" t="n">
        <f aca="false">IF(OR(D6643=1,K6642=""),"",K6642)</f>
        <v>1016.5</v>
      </c>
      <c r="Q6643" s="56" t="n">
        <f aca="false">IF(OR(F6643&lt;&gt;0,AND(I6643&lt;&gt;"",E6643&lt;I6643)),1,0)</f>
        <v>0</v>
      </c>
      <c r="R6643" s="56" t="n">
        <f aca="false">IF(AND(D6643&gt;1,Q6643=0,ISNUMBER(O6643),ISNUMBER(P6643)),IF(Q6642=0,1,0),0)</f>
        <v>1</v>
      </c>
      <c r="S6643" s="56" t="n">
        <f aca="false">R6643*(B6643&gt;=Train_Start)*(B6643&lt;=Train_End)</f>
        <v>0</v>
      </c>
      <c r="T6643" s="84" t="n">
        <f aca="false">IF(AND(ISNUMBER(O6643),ISNUMBER(P6643)),Coef_A+Coef_B1*O6643+Coef_B2*P6643,"")</f>
        <v>23.4747461118612</v>
      </c>
      <c r="U6643" s="84" t="n">
        <f aca="false">IF(AND(R6643=1,ISNUMBER(T6643)),E6643-T6643,"")</f>
        <v>0.725253888138834</v>
      </c>
      <c r="V6643" s="84" t="n">
        <f aca="false">IF(ISNUMBER(T6643),T6643,-99)</f>
        <v>23.4747461118612</v>
      </c>
      <c r="W6643" s="84" t="n">
        <f aca="false">IF(ISNUMBER(U6643),ABS(U6643),"")</f>
        <v>0.725253888138834</v>
      </c>
    </row>
    <row r="6644" customFormat="false" ht="15" hidden="false" customHeight="false" outlineLevel="0" collapsed="false">
      <c r="A6644" s="57" t="n">
        <v>44745</v>
      </c>
      <c r="B6644" s="56" t="n">
        <v>2022</v>
      </c>
      <c r="C6644" s="56" t="n">
        <v>7</v>
      </c>
      <c r="D6644" s="56" t="n">
        <v>64</v>
      </c>
      <c r="E6644" s="56" t="n">
        <v>23.3</v>
      </c>
      <c r="F6644" s="56" t="n">
        <v>0</v>
      </c>
      <c r="G6644" s="56" t="n">
        <v>10.6</v>
      </c>
      <c r="H6644" s="56" t="n">
        <v>0</v>
      </c>
      <c r="I6644" s="56" t="n">
        <v>17.4</v>
      </c>
      <c r="J6644" s="56" t="n">
        <v>0</v>
      </c>
      <c r="K6644" s="56" t="n">
        <v>1019.4</v>
      </c>
      <c r="L6644" s="56" t="n">
        <v>0</v>
      </c>
      <c r="M6644" s="56" t="n">
        <v>64</v>
      </c>
      <c r="N6644" s="56" t="n">
        <v>7.3</v>
      </c>
      <c r="O6644" s="56" t="n">
        <f aca="false">IF(D6644=1,"",E6643)</f>
        <v>24.2</v>
      </c>
      <c r="P6644" s="56" t="n">
        <f aca="false">IF(OR(D6644=1,K6643=""),"",K6643)</f>
        <v>1018.3</v>
      </c>
      <c r="Q6644" s="56" t="n">
        <f aca="false">IF(OR(F6644&lt;&gt;0,AND(I6644&lt;&gt;"",E6644&lt;I6644)),1,0)</f>
        <v>0</v>
      </c>
      <c r="R6644" s="56" t="n">
        <f aca="false">IF(AND(D6644&gt;1,Q6644=0,ISNUMBER(O6644),ISNUMBER(P6644)),IF(Q6643=0,1,0),0)</f>
        <v>1</v>
      </c>
      <c r="S6644" s="56" t="n">
        <f aca="false">R6644*(B6644&gt;=Train_Start)*(B6644&lt;=Train_End)</f>
        <v>0</v>
      </c>
      <c r="T6644" s="84" t="n">
        <f aca="false">IF(AND(ISNUMBER(O6644),ISNUMBER(P6644)),Coef_A+Coef_B1*O6644+Coef_B2*P6644,"")</f>
        <v>23.8589475994194</v>
      </c>
      <c r="U6644" s="84" t="n">
        <f aca="false">IF(AND(R6644=1,ISNUMBER(T6644)),E6644-T6644,"")</f>
        <v>-0.558947599419408</v>
      </c>
      <c r="V6644" s="84" t="n">
        <f aca="false">IF(ISNUMBER(T6644),T6644,-99)</f>
        <v>23.8589475994194</v>
      </c>
      <c r="W6644" s="84" t="n">
        <f aca="false">IF(ISNUMBER(U6644),ABS(U6644),"")</f>
        <v>0.558947599419408</v>
      </c>
    </row>
    <row r="6645" customFormat="false" ht="15" hidden="false" customHeight="false" outlineLevel="0" collapsed="false">
      <c r="A6645" s="57" t="n">
        <v>44746</v>
      </c>
      <c r="B6645" s="56" t="n">
        <v>2022</v>
      </c>
      <c r="C6645" s="56" t="n">
        <v>7</v>
      </c>
      <c r="D6645" s="56" t="n">
        <v>65</v>
      </c>
      <c r="E6645" s="56" t="n">
        <v>22.3</v>
      </c>
      <c r="F6645" s="56" t="n">
        <v>0</v>
      </c>
      <c r="G6645" s="56" t="n">
        <v>11.3</v>
      </c>
      <c r="H6645" s="56" t="n">
        <v>0</v>
      </c>
      <c r="I6645" s="56" t="n">
        <v>17.3</v>
      </c>
      <c r="J6645" s="56" t="n">
        <v>0</v>
      </c>
      <c r="K6645" s="56" t="n">
        <v>1021.4</v>
      </c>
      <c r="L6645" s="56" t="n">
        <v>0</v>
      </c>
      <c r="M6645" s="56" t="n">
        <v>56</v>
      </c>
      <c r="N6645" s="56" t="n">
        <v>8.3</v>
      </c>
      <c r="O6645" s="56" t="n">
        <f aca="false">IF(D6645=1,"",E6644)</f>
        <v>23.3</v>
      </c>
      <c r="P6645" s="56" t="n">
        <f aca="false">IF(OR(D6645=1,K6644=""),"",K6644)</f>
        <v>1019.4</v>
      </c>
      <c r="Q6645" s="56" t="n">
        <f aca="false">IF(OR(F6645&lt;&gt;0,AND(I6645&lt;&gt;"",E6645&lt;I6645)),1,0)</f>
        <v>0</v>
      </c>
      <c r="R6645" s="56" t="n">
        <f aca="false">IF(AND(D6645&gt;1,Q6645=0,ISNUMBER(O6645),ISNUMBER(P6645)),IF(Q6644=0,1,0),0)</f>
        <v>1</v>
      </c>
      <c r="S6645" s="56" t="n">
        <f aca="false">R6645*(B6645&gt;=Train_Start)*(B6645&lt;=Train_End)</f>
        <v>0</v>
      </c>
      <c r="T6645" s="84" t="n">
        <f aca="false">IF(AND(ISNUMBER(O6645),ISNUMBER(P6645)),Coef_A+Coef_B1*O6645+Coef_B2*P6645,"")</f>
        <v>23.1560492097784</v>
      </c>
      <c r="U6645" s="84" t="n">
        <f aca="false">IF(AND(R6645=1,ISNUMBER(T6645)),E6645-T6645,"")</f>
        <v>-0.856049209778405</v>
      </c>
      <c r="V6645" s="84" t="n">
        <f aca="false">IF(ISNUMBER(T6645),T6645,-99)</f>
        <v>23.1560492097784</v>
      </c>
      <c r="W6645" s="84" t="n">
        <f aca="false">IF(ISNUMBER(U6645),ABS(U6645),"")</f>
        <v>0.856049209778405</v>
      </c>
    </row>
    <row r="6646" customFormat="false" ht="15" hidden="false" customHeight="false" outlineLevel="0" collapsed="false">
      <c r="A6646" s="57" t="n">
        <v>44747</v>
      </c>
      <c r="B6646" s="56" t="n">
        <v>2022</v>
      </c>
      <c r="C6646" s="56" t="n">
        <v>7</v>
      </c>
      <c r="D6646" s="56" t="n">
        <v>66</v>
      </c>
      <c r="E6646" s="56" t="n">
        <v>25.3</v>
      </c>
      <c r="F6646" s="56" t="n">
        <v>0</v>
      </c>
      <c r="G6646" s="56" t="n">
        <v>10.8</v>
      </c>
      <c r="H6646" s="56" t="n">
        <v>0</v>
      </c>
      <c r="I6646" s="56" t="n">
        <v>16.6</v>
      </c>
      <c r="J6646" s="56" t="n">
        <v>0</v>
      </c>
      <c r="K6646" s="56" t="n">
        <v>1025.1</v>
      </c>
      <c r="L6646" s="56" t="n">
        <v>0</v>
      </c>
      <c r="M6646" s="56" t="n">
        <v>58</v>
      </c>
      <c r="N6646" s="56" t="n">
        <v>5.7</v>
      </c>
      <c r="O6646" s="56" t="n">
        <f aca="false">IF(D6646=1,"",E6645)</f>
        <v>22.3</v>
      </c>
      <c r="P6646" s="56" t="n">
        <f aca="false">IF(OR(D6646=1,K6645=""),"",K6645)</f>
        <v>1021.4</v>
      </c>
      <c r="Q6646" s="56" t="n">
        <f aca="false">IF(OR(F6646&lt;&gt;0,AND(I6646&lt;&gt;"",E6646&lt;I6646)),1,0)</f>
        <v>0</v>
      </c>
      <c r="R6646" s="56" t="n">
        <f aca="false">IF(AND(D6646&gt;1,Q6646=0,ISNUMBER(O6646),ISNUMBER(P6646)),IF(Q6645=0,1,0),0)</f>
        <v>1</v>
      </c>
      <c r="S6646" s="56" t="n">
        <f aca="false">R6646*(B6646&gt;=Train_Start)*(B6646&lt;=Train_End)</f>
        <v>0</v>
      </c>
      <c r="T6646" s="84" t="n">
        <f aca="false">IF(AND(ISNUMBER(O6646),ISNUMBER(P6646)),Coef_A+Coef_B1*O6646+Coef_B2*P6646,"")</f>
        <v>22.3994498060037</v>
      </c>
      <c r="U6646" s="84" t="n">
        <f aca="false">IF(AND(R6646=1,ISNUMBER(T6646)),E6646-T6646,"")</f>
        <v>2.90055019399627</v>
      </c>
      <c r="V6646" s="84" t="n">
        <f aca="false">IF(ISNUMBER(T6646),T6646,-99)</f>
        <v>22.3994498060037</v>
      </c>
      <c r="W6646" s="84" t="n">
        <f aca="false">IF(ISNUMBER(U6646),ABS(U6646),"")</f>
        <v>2.90055019399627</v>
      </c>
    </row>
    <row r="6647" customFormat="false" ht="15" hidden="false" customHeight="false" outlineLevel="0" collapsed="false">
      <c r="A6647" s="57" t="n">
        <v>44748</v>
      </c>
      <c r="B6647" s="56" t="n">
        <v>2022</v>
      </c>
      <c r="C6647" s="56" t="n">
        <v>7</v>
      </c>
      <c r="D6647" s="56" t="n">
        <v>67</v>
      </c>
      <c r="E6647" s="56" t="n">
        <v>25.2</v>
      </c>
      <c r="F6647" s="56" t="n">
        <v>0</v>
      </c>
      <c r="G6647" s="56" t="n">
        <v>12.5</v>
      </c>
      <c r="H6647" s="56" t="n">
        <v>0</v>
      </c>
      <c r="I6647" s="56" t="n">
        <v>18.9</v>
      </c>
      <c r="J6647" s="56" t="n">
        <v>0</v>
      </c>
      <c r="K6647" s="56" t="n">
        <v>1026.6</v>
      </c>
      <c r="L6647" s="56" t="n">
        <v>0</v>
      </c>
      <c r="M6647" s="56" t="n">
        <v>60</v>
      </c>
      <c r="N6647" s="56" t="n">
        <v>3.1</v>
      </c>
      <c r="O6647" s="56" t="n">
        <f aca="false">IF(D6647=1,"",E6646)</f>
        <v>25.3</v>
      </c>
      <c r="P6647" s="56" t="n">
        <f aca="false">IF(OR(D6647=1,K6646=""),"",K6646)</f>
        <v>1025.1</v>
      </c>
      <c r="Q6647" s="56" t="n">
        <f aca="false">IF(OR(F6647&lt;&gt;0,AND(I6647&lt;&gt;"",E6647&lt;I6647)),1,0)</f>
        <v>0</v>
      </c>
      <c r="R6647" s="56" t="n">
        <f aca="false">IF(AND(D6647&gt;1,Q6647=0,ISNUMBER(O6647),ISNUMBER(P6647)),IF(Q6646=0,1,0),0)</f>
        <v>1</v>
      </c>
      <c r="S6647" s="56" t="n">
        <f aca="false">R6647*(B6647&gt;=Train_Start)*(B6647&lt;=Train_End)</f>
        <v>0</v>
      </c>
      <c r="T6647" s="84" t="n">
        <f aca="false">IF(AND(ISNUMBER(O6647),ISNUMBER(P6647)),Coef_A+Coef_B1*O6647+Coef_B2*P6647,"")</f>
        <v>24.9735359952775</v>
      </c>
      <c r="U6647" s="84" t="n">
        <f aca="false">IF(AND(R6647=1,ISNUMBER(T6647)),E6647-T6647,"")</f>
        <v>0.226464004722544</v>
      </c>
      <c r="V6647" s="84" t="n">
        <f aca="false">IF(ISNUMBER(T6647),T6647,-99)</f>
        <v>24.9735359952775</v>
      </c>
      <c r="W6647" s="84" t="n">
        <f aca="false">IF(ISNUMBER(U6647),ABS(U6647),"")</f>
        <v>0.226464004722544</v>
      </c>
    </row>
    <row r="6648" customFormat="false" ht="15" hidden="false" customHeight="false" outlineLevel="0" collapsed="false">
      <c r="A6648" s="57" t="n">
        <v>44749</v>
      </c>
      <c r="B6648" s="56" t="n">
        <v>2022</v>
      </c>
      <c r="C6648" s="56" t="n">
        <v>7</v>
      </c>
      <c r="D6648" s="56" t="n">
        <v>68</v>
      </c>
      <c r="E6648" s="56" t="n">
        <v>28.7</v>
      </c>
      <c r="F6648" s="56" t="n">
        <v>0</v>
      </c>
      <c r="G6648" s="56" t="n">
        <v>16.5</v>
      </c>
      <c r="H6648" s="56" t="n">
        <v>0</v>
      </c>
      <c r="I6648" s="56" t="n">
        <v>20.9</v>
      </c>
      <c r="J6648" s="56" t="n">
        <v>0</v>
      </c>
      <c r="K6648" s="56" t="n">
        <v>1028.7</v>
      </c>
      <c r="L6648" s="56" t="n">
        <v>0</v>
      </c>
      <c r="M6648" s="56" t="n">
        <v>59</v>
      </c>
      <c r="N6648" s="56" t="n">
        <v>6.7</v>
      </c>
      <c r="O6648" s="56" t="n">
        <f aca="false">IF(D6648=1,"",E6647)</f>
        <v>25.2</v>
      </c>
      <c r="P6648" s="56" t="n">
        <f aca="false">IF(OR(D6648=1,K6647=""),"",K6647)</f>
        <v>1026.6</v>
      </c>
      <c r="Q6648" s="56" t="n">
        <f aca="false">IF(OR(F6648&lt;&gt;0,AND(I6648&lt;&gt;"",E6648&lt;I6648)),1,0)</f>
        <v>0</v>
      </c>
      <c r="R6648" s="56" t="n">
        <f aca="false">IF(AND(D6648&gt;1,Q6648=0,ISNUMBER(O6648),ISNUMBER(P6648)),IF(Q6647=0,1,0),0)</f>
        <v>1</v>
      </c>
      <c r="S6648" s="56" t="n">
        <f aca="false">R6648*(B6648&gt;=Train_Start)*(B6648&lt;=Train_End)</f>
        <v>0</v>
      </c>
      <c r="T6648" s="84" t="n">
        <f aca="false">IF(AND(ISNUMBER(O6648),ISNUMBER(P6648)),Coef_A+Coef_B1*O6648+Coef_B2*P6648,"")</f>
        <v>24.9386569179242</v>
      </c>
      <c r="U6648" s="84" t="n">
        <f aca="false">IF(AND(R6648=1,ISNUMBER(T6648)),E6648-T6648,"")</f>
        <v>3.76134308207582</v>
      </c>
      <c r="V6648" s="84" t="n">
        <f aca="false">IF(ISNUMBER(T6648),T6648,-99)</f>
        <v>24.9386569179242</v>
      </c>
      <c r="W6648" s="84" t="n">
        <f aca="false">IF(ISNUMBER(U6648),ABS(U6648),"")</f>
        <v>3.76134308207582</v>
      </c>
    </row>
    <row r="6649" customFormat="false" ht="15" hidden="false" customHeight="false" outlineLevel="0" collapsed="false">
      <c r="A6649" s="57" t="n">
        <v>44750</v>
      </c>
      <c r="B6649" s="56" t="n">
        <v>2022</v>
      </c>
      <c r="C6649" s="56" t="n">
        <v>7</v>
      </c>
      <c r="D6649" s="56" t="n">
        <v>69</v>
      </c>
      <c r="E6649" s="56" t="n">
        <v>27.5</v>
      </c>
      <c r="F6649" s="56" t="n">
        <v>0</v>
      </c>
      <c r="G6649" s="56" t="n">
        <v>13.8</v>
      </c>
      <c r="H6649" s="56" t="n">
        <v>0</v>
      </c>
      <c r="I6649" s="56" t="n">
        <v>21.2</v>
      </c>
      <c r="J6649" s="56" t="n">
        <v>0</v>
      </c>
      <c r="K6649" s="56" t="n">
        <v>1031.5</v>
      </c>
      <c r="L6649" s="56" t="n">
        <v>0</v>
      </c>
      <c r="M6649" s="56" t="n">
        <v>55</v>
      </c>
      <c r="N6649" s="56" t="n">
        <v>12.8</v>
      </c>
      <c r="O6649" s="56" t="n">
        <f aca="false">IF(D6649=1,"",E6648)</f>
        <v>28.7</v>
      </c>
      <c r="P6649" s="56" t="n">
        <f aca="false">IF(OR(D6649=1,K6648=""),"",K6648)</f>
        <v>1028.7</v>
      </c>
      <c r="Q6649" s="56" t="n">
        <f aca="false">IF(OR(F6649&lt;&gt;0,AND(I6649&lt;&gt;"",E6649&lt;I6649)),1,0)</f>
        <v>0</v>
      </c>
      <c r="R6649" s="56" t="n">
        <f aca="false">IF(AND(D6649&gt;1,Q6649=0,ISNUMBER(O6649),ISNUMBER(P6649)),IF(Q6648=0,1,0),0)</f>
        <v>1</v>
      </c>
      <c r="S6649" s="56" t="n">
        <f aca="false">R6649*(B6649&gt;=Train_Start)*(B6649&lt;=Train_End)</f>
        <v>0</v>
      </c>
      <c r="T6649" s="84" t="n">
        <f aca="false">IF(AND(ISNUMBER(O6649),ISNUMBER(P6649)),Coef_A+Coef_B1*O6649+Coef_B2*P6649,"")</f>
        <v>27.8722208723049</v>
      </c>
      <c r="U6649" s="84" t="n">
        <f aca="false">IF(AND(R6649=1,ISNUMBER(T6649)),E6649-T6649,"")</f>
        <v>-0.372220872304858</v>
      </c>
      <c r="V6649" s="84" t="n">
        <f aca="false">IF(ISNUMBER(T6649),T6649,-99)</f>
        <v>27.8722208723049</v>
      </c>
      <c r="W6649" s="84" t="n">
        <f aca="false">IF(ISNUMBER(U6649),ABS(U6649),"")</f>
        <v>0.372220872304858</v>
      </c>
    </row>
    <row r="6650" customFormat="false" ht="15" hidden="false" customHeight="false" outlineLevel="0" collapsed="false">
      <c r="A6650" s="57" t="n">
        <v>44751</v>
      </c>
      <c r="B6650" s="56" t="n">
        <v>2022</v>
      </c>
      <c r="C6650" s="56" t="n">
        <v>7</v>
      </c>
      <c r="D6650" s="56" t="n">
        <v>70</v>
      </c>
      <c r="E6650" s="56" t="n">
        <v>29.7</v>
      </c>
      <c r="F6650" s="56" t="n">
        <v>0</v>
      </c>
      <c r="G6650" s="56" t="n">
        <v>15.5</v>
      </c>
      <c r="H6650" s="56" t="n">
        <v>0</v>
      </c>
      <c r="I6650" s="56" t="n">
        <v>21.5</v>
      </c>
      <c r="J6650" s="56" t="n">
        <v>0</v>
      </c>
      <c r="K6650" s="56" t="n">
        <v>1030.1</v>
      </c>
      <c r="L6650" s="56" t="n">
        <v>0</v>
      </c>
      <c r="M6650" s="56" t="n">
        <v>54</v>
      </c>
      <c r="N6650" s="56" t="n">
        <v>10.9</v>
      </c>
      <c r="O6650" s="56" t="n">
        <f aca="false">IF(D6650=1,"",E6649)</f>
        <v>27.5</v>
      </c>
      <c r="P6650" s="56" t="n">
        <f aca="false">IF(OR(D6650=1,K6649=""),"",K6649)</f>
        <v>1031.5</v>
      </c>
      <c r="Q6650" s="56" t="n">
        <f aca="false">IF(OR(F6650&lt;&gt;0,AND(I6650&lt;&gt;"",E6650&lt;I6650)),1,0)</f>
        <v>0</v>
      </c>
      <c r="R6650" s="56" t="n">
        <f aca="false">IF(AND(D6650&gt;1,Q6650=0,ISNUMBER(O6650),ISNUMBER(P6650)),IF(Q6649=0,1,0),0)</f>
        <v>1</v>
      </c>
      <c r="S6650" s="56" t="n">
        <f aca="false">R6650*(B6650&gt;=Train_Start)*(B6650&lt;=Train_End)</f>
        <v>0</v>
      </c>
      <c r="T6650" s="84" t="n">
        <f aca="false">IF(AND(ISNUMBER(O6650),ISNUMBER(P6650)),Coef_A+Coef_B1*O6650+Coef_B2*P6650,"")</f>
        <v>26.9768495456288</v>
      </c>
      <c r="U6650" s="84" t="n">
        <f aca="false">IF(AND(R6650=1,ISNUMBER(T6650)),E6650-T6650,"")</f>
        <v>2.72315045437116</v>
      </c>
      <c r="V6650" s="84" t="n">
        <f aca="false">IF(ISNUMBER(T6650),T6650,-99)</f>
        <v>26.9768495456288</v>
      </c>
      <c r="W6650" s="84" t="n">
        <f aca="false">IF(ISNUMBER(U6650),ABS(U6650),"")</f>
        <v>2.72315045437116</v>
      </c>
    </row>
    <row r="6651" customFormat="false" ht="15" hidden="false" customHeight="false" outlineLevel="0" collapsed="false">
      <c r="A6651" s="57" t="n">
        <v>44752</v>
      </c>
      <c r="B6651" s="56" t="n">
        <v>2022</v>
      </c>
      <c r="C6651" s="56" t="n">
        <v>7</v>
      </c>
      <c r="D6651" s="56" t="n">
        <v>71</v>
      </c>
      <c r="E6651" s="56" t="n">
        <v>31.8</v>
      </c>
      <c r="F6651" s="56" t="n">
        <v>0</v>
      </c>
      <c r="G6651" s="56" t="n">
        <v>14.6</v>
      </c>
      <c r="H6651" s="56" t="n">
        <v>0</v>
      </c>
      <c r="I6651" s="56" t="n">
        <v>22.1</v>
      </c>
      <c r="J6651" s="56" t="n">
        <v>0</v>
      </c>
      <c r="K6651" s="56" t="n">
        <v>1026.6</v>
      </c>
      <c r="L6651" s="56" t="n">
        <v>0</v>
      </c>
      <c r="M6651" s="56" t="n">
        <v>54</v>
      </c>
      <c r="N6651" s="56" t="n">
        <v>13.6</v>
      </c>
      <c r="O6651" s="56" t="n">
        <f aca="false">IF(D6651=1,"",E6650)</f>
        <v>29.7</v>
      </c>
      <c r="P6651" s="56" t="n">
        <f aca="false">IF(OR(D6651=1,K6650=""),"",K6650)</f>
        <v>1030.1</v>
      </c>
      <c r="Q6651" s="56" t="n">
        <f aca="false">IF(OR(F6651&lt;&gt;0,AND(I6651&lt;&gt;"",E6651&lt;I6651)),1,0)</f>
        <v>0</v>
      </c>
      <c r="R6651" s="56" t="n">
        <f aca="false">IF(AND(D6651&gt;1,Q6651=0,ISNUMBER(O6651),ISNUMBER(P6651)),IF(Q6650=0,1,0),0)</f>
        <v>1</v>
      </c>
      <c r="S6651" s="56" t="n">
        <f aca="false">R6651*(B6651&gt;=Train_Start)*(B6651&lt;=Train_End)</f>
        <v>0</v>
      </c>
      <c r="T6651" s="84" t="n">
        <f aca="false">IF(AND(ISNUMBER(O6651),ISNUMBER(P6651)),Coef_A+Coef_B1*O6651+Coef_B2*P6651,"")</f>
        <v>28.7354779178351</v>
      </c>
      <c r="U6651" s="84" t="n">
        <f aca="false">IF(AND(R6651=1,ISNUMBER(T6651)),E6651-T6651,"")</f>
        <v>3.06452208216491</v>
      </c>
      <c r="V6651" s="84" t="n">
        <f aca="false">IF(ISNUMBER(T6651),T6651,-99)</f>
        <v>28.7354779178351</v>
      </c>
      <c r="W6651" s="84" t="n">
        <f aca="false">IF(ISNUMBER(U6651),ABS(U6651),"")</f>
        <v>3.06452208216491</v>
      </c>
    </row>
    <row r="6652" customFormat="false" ht="15" hidden="false" customHeight="false" outlineLevel="0" collapsed="false">
      <c r="A6652" s="57" t="n">
        <v>44753</v>
      </c>
      <c r="B6652" s="56" t="n">
        <v>2022</v>
      </c>
      <c r="C6652" s="56" t="n">
        <v>7</v>
      </c>
      <c r="D6652" s="56" t="n">
        <v>72</v>
      </c>
      <c r="E6652" s="56" t="n">
        <v>31.3</v>
      </c>
      <c r="F6652" s="56" t="n">
        <v>0</v>
      </c>
      <c r="G6652" s="56" t="n">
        <v>16.5</v>
      </c>
      <c r="H6652" s="56" t="n">
        <v>0</v>
      </c>
      <c r="I6652" s="56" t="n">
        <v>24.1</v>
      </c>
      <c r="J6652" s="56" t="n">
        <v>0</v>
      </c>
      <c r="K6652" s="56" t="n">
        <v>1023.1</v>
      </c>
      <c r="L6652" s="56" t="n">
        <v>0</v>
      </c>
      <c r="M6652" s="56" t="n">
        <v>45</v>
      </c>
      <c r="N6652" s="56" t="n">
        <v>11.8</v>
      </c>
      <c r="O6652" s="56" t="n">
        <f aca="false">IF(D6652=1,"",E6651)</f>
        <v>31.8</v>
      </c>
      <c r="P6652" s="56" t="n">
        <f aca="false">IF(OR(D6652=1,K6651=""),"",K6651)</f>
        <v>1026.6</v>
      </c>
      <c r="Q6652" s="56" t="n">
        <f aca="false">IF(OR(F6652&lt;&gt;0,AND(I6652&lt;&gt;"",E6652&lt;I6652)),1,0)</f>
        <v>0</v>
      </c>
      <c r="R6652" s="56" t="n">
        <f aca="false">IF(AND(D6652&gt;1,Q6652=0,ISNUMBER(O6652),ISNUMBER(P6652)),IF(Q6651=0,1,0),0)</f>
        <v>1</v>
      </c>
      <c r="S6652" s="56" t="n">
        <f aca="false">R6652*(B6652&gt;=Train_Start)*(B6652&lt;=Train_End)</f>
        <v>0</v>
      </c>
      <c r="T6652" s="84" t="n">
        <f aca="false">IF(AND(ISNUMBER(O6652),ISNUMBER(P6652)),Coef_A+Coef_B1*O6652+Coef_B2*P6652,"")</f>
        <v>30.3462955920057</v>
      </c>
      <c r="U6652" s="84" t="n">
        <f aca="false">IF(AND(R6652=1,ISNUMBER(T6652)),E6652-T6652,"")</f>
        <v>0.953704407994284</v>
      </c>
      <c r="V6652" s="84" t="n">
        <f aca="false">IF(ISNUMBER(T6652),T6652,-99)</f>
        <v>30.3462955920057</v>
      </c>
      <c r="W6652" s="84" t="n">
        <f aca="false">IF(ISNUMBER(U6652),ABS(U6652),"")</f>
        <v>0.953704407994284</v>
      </c>
    </row>
    <row r="6653" customFormat="false" ht="15" hidden="false" customHeight="false" outlineLevel="0" collapsed="false">
      <c r="A6653" s="57" t="n">
        <v>44754</v>
      </c>
      <c r="B6653" s="56" t="n">
        <v>2022</v>
      </c>
      <c r="C6653" s="56" t="n">
        <v>7</v>
      </c>
      <c r="D6653" s="56" t="n">
        <v>73</v>
      </c>
      <c r="E6653" s="56" t="n">
        <v>28.7</v>
      </c>
      <c r="F6653" s="56" t="n">
        <v>0</v>
      </c>
      <c r="G6653" s="56" t="n">
        <v>19.7</v>
      </c>
      <c r="H6653" s="56" t="n">
        <v>0</v>
      </c>
      <c r="I6653" s="56" t="n">
        <v>25.5</v>
      </c>
      <c r="J6653" s="56" t="n">
        <v>0</v>
      </c>
      <c r="K6653" s="56" t="n">
        <v>1022</v>
      </c>
      <c r="L6653" s="56" t="n">
        <v>0</v>
      </c>
      <c r="M6653" s="56" t="n">
        <v>47</v>
      </c>
      <c r="N6653" s="56" t="n">
        <v>2.8</v>
      </c>
      <c r="O6653" s="56" t="n">
        <f aca="false">IF(D6653=1,"",E6652)</f>
        <v>31.3</v>
      </c>
      <c r="P6653" s="56" t="n">
        <f aca="false">IF(OR(D6653=1,K6652=""),"",K6652)</f>
        <v>1023.1</v>
      </c>
      <c r="Q6653" s="56" t="n">
        <f aca="false">IF(OR(F6653&lt;&gt;0,AND(I6653&lt;&gt;"",E6653&lt;I6653)),1,0)</f>
        <v>0</v>
      </c>
      <c r="R6653" s="56" t="n">
        <f aca="false">IF(AND(D6653&gt;1,Q6653=0,ISNUMBER(O6653),ISNUMBER(P6653)),IF(Q6652=0,1,0),0)</f>
        <v>1</v>
      </c>
      <c r="S6653" s="56" t="n">
        <f aca="false">R6653*(B6653&gt;=Train_Start)*(B6653&lt;=Train_End)</f>
        <v>0</v>
      </c>
      <c r="T6653" s="84" t="n">
        <f aca="false">IF(AND(ISNUMBER(O6653),ISNUMBER(P6653)),Coef_A+Coef_B1*O6653+Coef_B2*P6653,"")</f>
        <v>29.8268313642654</v>
      </c>
      <c r="U6653" s="84" t="n">
        <f aca="false">IF(AND(R6653=1,ISNUMBER(T6653)),E6653-T6653,"")</f>
        <v>-1.12683136426543</v>
      </c>
      <c r="V6653" s="84" t="n">
        <f aca="false">IF(ISNUMBER(T6653),T6653,-99)</f>
        <v>29.8268313642654</v>
      </c>
      <c r="W6653" s="84" t="n">
        <f aca="false">IF(ISNUMBER(U6653),ABS(U6653),"")</f>
        <v>1.12683136426543</v>
      </c>
    </row>
    <row r="6654" customFormat="false" ht="15" hidden="false" customHeight="false" outlineLevel="0" collapsed="false">
      <c r="A6654" s="57" t="n">
        <v>44755</v>
      </c>
      <c r="B6654" s="56" t="n">
        <v>2022</v>
      </c>
      <c r="C6654" s="56" t="n">
        <v>7</v>
      </c>
      <c r="D6654" s="56" t="n">
        <v>74</v>
      </c>
      <c r="E6654" s="56" t="n">
        <v>25.3</v>
      </c>
      <c r="F6654" s="56" t="n">
        <v>0</v>
      </c>
      <c r="G6654" s="56" t="n">
        <v>20.9</v>
      </c>
      <c r="H6654" s="56" t="n">
        <v>0</v>
      </c>
      <c r="I6654" s="56" t="n">
        <v>24.8</v>
      </c>
      <c r="J6654" s="56" t="n">
        <v>0</v>
      </c>
      <c r="K6654" s="56" t="n">
        <v>1021.4</v>
      </c>
      <c r="L6654" s="56" t="n">
        <v>0</v>
      </c>
      <c r="M6654" s="56" t="n">
        <v>49</v>
      </c>
      <c r="N6654" s="56" t="n">
        <v>6.3</v>
      </c>
      <c r="O6654" s="56" t="n">
        <f aca="false">IF(D6654=1,"",E6653)</f>
        <v>28.7</v>
      </c>
      <c r="P6654" s="56" t="n">
        <f aca="false">IF(OR(D6654=1,K6653=""),"",K6653)</f>
        <v>1022</v>
      </c>
      <c r="Q6654" s="56" t="n">
        <f aca="false">IF(OR(F6654&lt;&gt;0,AND(I6654&lt;&gt;"",E6654&lt;I6654)),1,0)</f>
        <v>0</v>
      </c>
      <c r="R6654" s="56" t="n">
        <f aca="false">IF(AND(D6654&gt;1,Q6654=0,ISNUMBER(O6654),ISNUMBER(P6654)),IF(Q6653=0,1,0),0)</f>
        <v>1</v>
      </c>
      <c r="S6654" s="56" t="n">
        <f aca="false">R6654*(B6654&gt;=Train_Start)*(B6654&lt;=Train_End)</f>
        <v>0</v>
      </c>
      <c r="T6654" s="84" t="n">
        <f aca="false">IF(AND(ISNUMBER(O6654),ISNUMBER(P6654)),Coef_A+Coef_B1*O6654+Coef_B2*P6654,"")</f>
        <v>27.6620425782571</v>
      </c>
      <c r="U6654" s="84" t="n">
        <f aca="false">IF(AND(R6654=1,ISNUMBER(T6654)),E6654-T6654,"")</f>
        <v>-2.36204257825713</v>
      </c>
      <c r="V6654" s="84" t="n">
        <f aca="false">IF(ISNUMBER(T6654),T6654,-99)</f>
        <v>27.6620425782571</v>
      </c>
      <c r="W6654" s="84" t="n">
        <f aca="false">IF(ISNUMBER(U6654),ABS(U6654),"")</f>
        <v>2.36204257825713</v>
      </c>
    </row>
    <row r="6655" customFormat="false" ht="15" hidden="false" customHeight="false" outlineLevel="0" collapsed="false">
      <c r="A6655" s="57" t="n">
        <v>44756</v>
      </c>
      <c r="B6655" s="56" t="n">
        <v>2022</v>
      </c>
      <c r="C6655" s="56" t="n">
        <v>7</v>
      </c>
      <c r="D6655" s="56" t="n">
        <v>75</v>
      </c>
      <c r="E6655" s="56" t="n">
        <v>27.2</v>
      </c>
      <c r="F6655" s="56" t="n">
        <v>0</v>
      </c>
      <c r="G6655" s="56" t="n">
        <v>15</v>
      </c>
      <c r="H6655" s="56" t="n">
        <v>0</v>
      </c>
      <c r="I6655" s="56" t="n">
        <v>20.1</v>
      </c>
      <c r="J6655" s="56" t="n">
        <v>0</v>
      </c>
      <c r="K6655" s="56" t="n">
        <v>1022.8</v>
      </c>
      <c r="L6655" s="56" t="n">
        <v>0</v>
      </c>
      <c r="M6655" s="56" t="n">
        <v>50</v>
      </c>
      <c r="N6655" s="56" t="n">
        <v>12.2</v>
      </c>
      <c r="O6655" s="56" t="n">
        <f aca="false">IF(D6655=1,"",E6654)</f>
        <v>25.3</v>
      </c>
      <c r="P6655" s="56" t="n">
        <f aca="false">IF(OR(D6655=1,K6654=""),"",K6654)</f>
        <v>1021.4</v>
      </c>
      <c r="Q6655" s="56" t="n">
        <f aca="false">IF(OR(F6655&lt;&gt;0,AND(I6655&lt;&gt;"",E6655&lt;I6655)),1,0)</f>
        <v>0</v>
      </c>
      <c r="R6655" s="56" t="n">
        <f aca="false">IF(AND(D6655&gt;1,Q6655=0,ISNUMBER(O6655),ISNUMBER(P6655)),IF(Q6654=0,1,0),0)</f>
        <v>1</v>
      </c>
      <c r="S6655" s="56" t="n">
        <f aca="false">R6655*(B6655&gt;=Train_Start)*(B6655&lt;=Train_End)</f>
        <v>0</v>
      </c>
      <c r="T6655" s="84" t="n">
        <f aca="false">IF(AND(ISNUMBER(O6655),ISNUMBER(P6655)),Coef_A+Coef_B1*O6655+Coef_B2*P6655,"")</f>
        <v>24.8574673851317</v>
      </c>
      <c r="U6655" s="84" t="n">
        <f aca="false">IF(AND(R6655=1,ISNUMBER(T6655)),E6655-T6655,"")</f>
        <v>2.3425326148683</v>
      </c>
      <c r="V6655" s="84" t="n">
        <f aca="false">IF(ISNUMBER(T6655),T6655,-99)</f>
        <v>24.8574673851317</v>
      </c>
      <c r="W6655" s="84" t="n">
        <f aca="false">IF(ISNUMBER(U6655),ABS(U6655),"")</f>
        <v>2.3425326148683</v>
      </c>
    </row>
    <row r="6656" customFormat="false" ht="15" hidden="false" customHeight="false" outlineLevel="0" collapsed="false">
      <c r="A6656" s="57" t="n">
        <v>44757</v>
      </c>
      <c r="B6656" s="56" t="n">
        <v>2022</v>
      </c>
      <c r="C6656" s="56" t="n">
        <v>7</v>
      </c>
      <c r="D6656" s="56" t="n">
        <v>76</v>
      </c>
      <c r="E6656" s="56" t="n">
        <v>29.1</v>
      </c>
      <c r="F6656" s="56" t="n">
        <v>0</v>
      </c>
      <c r="G6656" s="56" t="n">
        <v>13.2</v>
      </c>
      <c r="H6656" s="56" t="n">
        <v>0</v>
      </c>
      <c r="I6656" s="56" t="n">
        <v>20.2</v>
      </c>
      <c r="J6656" s="56" t="n">
        <v>0</v>
      </c>
      <c r="K6656" s="56" t="n">
        <v>1023.9</v>
      </c>
      <c r="L6656" s="56" t="n">
        <v>0</v>
      </c>
      <c r="M6656" s="56" t="n">
        <v>49</v>
      </c>
      <c r="N6656" s="56" t="n">
        <v>11.9</v>
      </c>
      <c r="O6656" s="56" t="n">
        <f aca="false">IF(D6656=1,"",E6655)</f>
        <v>27.2</v>
      </c>
      <c r="P6656" s="56" t="n">
        <f aca="false">IF(OR(D6656=1,K6655=""),"",K6655)</f>
        <v>1022.8</v>
      </c>
      <c r="Q6656" s="56" t="n">
        <f aca="false">IF(OR(F6656&lt;&gt;0,AND(I6656&lt;&gt;"",E6656&lt;I6656)),1,0)</f>
        <v>0</v>
      </c>
      <c r="R6656" s="56" t="n">
        <f aca="false">IF(AND(D6656&gt;1,Q6656=0,ISNUMBER(O6656),ISNUMBER(P6656)),IF(Q6655=0,1,0),0)</f>
        <v>1</v>
      </c>
      <c r="S6656" s="56" t="n">
        <f aca="false">R6656*(B6656&gt;=Train_Start)*(B6656&lt;=Train_End)</f>
        <v>0</v>
      </c>
      <c r="T6656" s="84" t="n">
        <f aca="false">IF(AND(ISNUMBER(O6656),ISNUMBER(P6656)),Coef_A+Coef_B1*O6656+Coef_B2*P6656,"")</f>
        <v>26.4581297044003</v>
      </c>
      <c r="U6656" s="84" t="n">
        <f aca="false">IF(AND(R6656=1,ISNUMBER(T6656)),E6656-T6656,"")</f>
        <v>2.64187029559967</v>
      </c>
      <c r="V6656" s="84" t="n">
        <f aca="false">IF(ISNUMBER(T6656),T6656,-99)</f>
        <v>26.4581297044003</v>
      </c>
      <c r="W6656" s="84" t="n">
        <f aca="false">IF(ISNUMBER(U6656),ABS(U6656),"")</f>
        <v>2.64187029559967</v>
      </c>
    </row>
    <row r="6657" customFormat="false" ht="15" hidden="false" customHeight="false" outlineLevel="0" collapsed="false">
      <c r="A6657" s="57" t="n">
        <v>44758</v>
      </c>
      <c r="B6657" s="56" t="n">
        <v>2022</v>
      </c>
      <c r="C6657" s="56" t="n">
        <v>7</v>
      </c>
      <c r="D6657" s="56" t="n">
        <v>77</v>
      </c>
      <c r="E6657" s="56" t="n">
        <v>30.8</v>
      </c>
      <c r="F6657" s="56" t="n">
        <v>0</v>
      </c>
      <c r="G6657" s="56" t="n">
        <v>14</v>
      </c>
      <c r="H6657" s="56" t="n">
        <v>0</v>
      </c>
      <c r="I6657" s="56" t="n">
        <v>21.6</v>
      </c>
      <c r="J6657" s="56" t="n">
        <v>0</v>
      </c>
      <c r="K6657" s="56" t="n">
        <v>1024.9</v>
      </c>
      <c r="L6657" s="56" t="n">
        <v>0</v>
      </c>
      <c r="M6657" s="56" t="n">
        <v>50</v>
      </c>
      <c r="N6657" s="56" t="n">
        <v>13.5</v>
      </c>
      <c r="O6657" s="56" t="n">
        <f aca="false">IF(D6657=1,"",E6656)</f>
        <v>29.1</v>
      </c>
      <c r="P6657" s="56" t="n">
        <f aca="false">IF(OR(D6657=1,K6656=""),"",K6656)</f>
        <v>1023.9</v>
      </c>
      <c r="Q6657" s="56" t="n">
        <f aca="false">IF(OR(F6657&lt;&gt;0,AND(I6657&lt;&gt;"",E6657&lt;I6657)),1,0)</f>
        <v>0</v>
      </c>
      <c r="R6657" s="56" t="n">
        <f aca="false">IF(AND(D6657&gt;1,Q6657=0,ISNUMBER(O6657),ISNUMBER(P6657)),IF(Q6656=0,1,0),0)</f>
        <v>1</v>
      </c>
      <c r="S6657" s="56" t="n">
        <f aca="false">R6657*(B6657&gt;=Train_Start)*(B6657&lt;=Train_End)</f>
        <v>0</v>
      </c>
      <c r="T6657" s="84" t="n">
        <f aca="false">IF(AND(ISNUMBER(O6657),ISNUMBER(P6657)),Coef_A+Coef_B1*O6657+Coef_B2*P6657,"")</f>
        <v>28.0493810552788</v>
      </c>
      <c r="U6657" s="84" t="n">
        <f aca="false">IF(AND(R6657=1,ISNUMBER(T6657)),E6657-T6657,"")</f>
        <v>2.75061894472123</v>
      </c>
      <c r="V6657" s="84" t="n">
        <f aca="false">IF(ISNUMBER(T6657),T6657,-99)</f>
        <v>28.0493810552788</v>
      </c>
      <c r="W6657" s="84" t="n">
        <f aca="false">IF(ISNUMBER(U6657),ABS(U6657),"")</f>
        <v>2.75061894472123</v>
      </c>
    </row>
    <row r="6658" customFormat="false" ht="15" hidden="false" customHeight="false" outlineLevel="0" collapsed="false">
      <c r="A6658" s="57" t="n">
        <v>44759</v>
      </c>
      <c r="B6658" s="56" t="n">
        <v>2022</v>
      </c>
      <c r="C6658" s="56" t="n">
        <v>7</v>
      </c>
      <c r="D6658" s="56" t="n">
        <v>78</v>
      </c>
      <c r="E6658" s="56" t="n">
        <v>37.1</v>
      </c>
      <c r="F6658" s="56" t="n">
        <v>0</v>
      </c>
      <c r="G6658" s="56" t="n">
        <v>15.5</v>
      </c>
      <c r="H6658" s="56" t="n">
        <v>0</v>
      </c>
      <c r="I6658" s="56" t="n">
        <v>23.1</v>
      </c>
      <c r="J6658" s="56" t="n">
        <v>0</v>
      </c>
      <c r="K6658" s="56" t="n">
        <v>1024.8</v>
      </c>
      <c r="L6658" s="56" t="n">
        <v>0</v>
      </c>
      <c r="M6658" s="56" t="n">
        <v>42</v>
      </c>
      <c r="N6658" s="56" t="n">
        <v>13.2</v>
      </c>
      <c r="O6658" s="56" t="n">
        <f aca="false">IF(D6658=1,"",E6657)</f>
        <v>30.8</v>
      </c>
      <c r="P6658" s="56" t="n">
        <f aca="false">IF(OR(D6658=1,K6657=""),"",K6657)</f>
        <v>1024.9</v>
      </c>
      <c r="Q6658" s="56" t="n">
        <f aca="false">IF(OR(F6658&lt;&gt;0,AND(I6658&lt;&gt;"",E6658&lt;I6658)),1,0)</f>
        <v>0</v>
      </c>
      <c r="R6658" s="56" t="n">
        <f aca="false">IF(AND(D6658&gt;1,Q6658=0,ISNUMBER(O6658),ISNUMBER(P6658)),IF(Q6657=0,1,0),0)</f>
        <v>1</v>
      </c>
      <c r="S6658" s="56" t="n">
        <f aca="false">R6658*(B6658&gt;=Train_Start)*(B6658&lt;=Train_End)</f>
        <v>0</v>
      </c>
      <c r="T6658" s="84" t="n">
        <f aca="false">IF(AND(ISNUMBER(O6658),ISNUMBER(P6658)),Coef_A+Coef_B1*O6658+Coef_B2*P6658,"")</f>
        <v>29.4736275780853</v>
      </c>
      <c r="U6658" s="84" t="n">
        <f aca="false">IF(AND(R6658=1,ISNUMBER(T6658)),E6658-T6658,"")</f>
        <v>7.62637242191472</v>
      </c>
      <c r="V6658" s="84" t="n">
        <f aca="false">IF(ISNUMBER(T6658),T6658,-99)</f>
        <v>29.4736275780853</v>
      </c>
      <c r="W6658" s="84" t="n">
        <f aca="false">IF(ISNUMBER(U6658),ABS(U6658),"")</f>
        <v>7.62637242191472</v>
      </c>
    </row>
    <row r="6659" customFormat="false" ht="15" hidden="false" customHeight="false" outlineLevel="0" collapsed="false">
      <c r="A6659" s="57" t="n">
        <v>44760</v>
      </c>
      <c r="B6659" s="56" t="n">
        <v>2022</v>
      </c>
      <c r="C6659" s="56" t="n">
        <v>7</v>
      </c>
      <c r="D6659" s="56" t="n">
        <v>79</v>
      </c>
      <c r="E6659" s="56" t="n">
        <v>40.2</v>
      </c>
      <c r="F6659" s="56" t="n">
        <v>0</v>
      </c>
      <c r="G6659" s="56" t="n">
        <v>17.7</v>
      </c>
      <c r="H6659" s="56" t="n">
        <v>0</v>
      </c>
      <c r="I6659" s="56" t="n">
        <v>27.4</v>
      </c>
      <c r="J6659" s="56" t="n">
        <v>0</v>
      </c>
      <c r="K6659" s="56" t="n">
        <v>1019.1</v>
      </c>
      <c r="L6659" s="56" t="n">
        <v>0</v>
      </c>
      <c r="M6659" s="56" t="n">
        <v>33</v>
      </c>
      <c r="N6659" s="56" t="n">
        <v>11.7</v>
      </c>
      <c r="O6659" s="56" t="n">
        <f aca="false">IF(D6659=1,"",E6658)</f>
        <v>37.1</v>
      </c>
      <c r="P6659" s="56" t="n">
        <f aca="false">IF(OR(D6659=1,K6658=""),"",K6658)</f>
        <v>1024.8</v>
      </c>
      <c r="Q6659" s="56" t="n">
        <f aca="false">IF(OR(F6659&lt;&gt;0,AND(I6659&lt;&gt;"",E6659&lt;I6659)),1,0)</f>
        <v>0</v>
      </c>
      <c r="R6659" s="56" t="n">
        <f aca="false">IF(AND(D6659&gt;1,Q6659=0,ISNUMBER(O6659),ISNUMBER(P6659)),IF(Q6658=0,1,0),0)</f>
        <v>1</v>
      </c>
      <c r="S6659" s="56" t="n">
        <f aca="false">R6659*(B6659&gt;=Train_Start)*(B6659&lt;=Train_End)</f>
        <v>0</v>
      </c>
      <c r="T6659" s="84" t="n">
        <f aca="false">IF(AND(ISNUMBER(O6659),ISNUMBER(P6659)),Coef_A+Coef_B1*O6659+Coef_B2*P6659,"")</f>
        <v>34.6323275047906</v>
      </c>
      <c r="U6659" s="84" t="n">
        <f aca="false">IF(AND(R6659=1,ISNUMBER(T6659)),E6659-T6659,"")</f>
        <v>5.56767249520938</v>
      </c>
      <c r="V6659" s="84" t="n">
        <f aca="false">IF(ISNUMBER(T6659),T6659,-99)</f>
        <v>34.6323275047906</v>
      </c>
      <c r="W6659" s="84" t="n">
        <f aca="false">IF(ISNUMBER(U6659),ABS(U6659),"")</f>
        <v>5.56767249520938</v>
      </c>
    </row>
    <row r="6660" customFormat="false" ht="15" hidden="false" customHeight="false" outlineLevel="0" collapsed="false">
      <c r="A6660" s="57" t="n">
        <v>44761</v>
      </c>
      <c r="B6660" s="56" t="n">
        <v>2022</v>
      </c>
      <c r="C6660" s="56" t="n">
        <v>7</v>
      </c>
      <c r="D6660" s="56" t="n">
        <v>80</v>
      </c>
      <c r="E6660" s="56" t="n">
        <v>27.2</v>
      </c>
      <c r="F6660" s="56" t="n">
        <v>1</v>
      </c>
      <c r="G6660" s="56" t="n">
        <v>21.7</v>
      </c>
      <c r="H6660" s="56" t="n">
        <v>0</v>
      </c>
      <c r="I6660" s="56" t="n">
        <v>30.9</v>
      </c>
      <c r="J6660" s="56" t="n">
        <v>1</v>
      </c>
      <c r="K6660" s="56" t="n">
        <v>1011.8</v>
      </c>
      <c r="L6660" s="56" t="n">
        <v>0</v>
      </c>
      <c r="M6660" s="56" t="n">
        <v>37</v>
      </c>
      <c r="N6660" s="56" t="n">
        <v>11.3</v>
      </c>
      <c r="O6660" s="56" t="n">
        <f aca="false">IF(D6660=1,"",E6659)</f>
        <v>40.2</v>
      </c>
      <c r="P6660" s="56" t="n">
        <f aca="false">IF(OR(D6660=1,K6659=""),"",K6659)</f>
        <v>1019.1</v>
      </c>
      <c r="Q6660" s="56" t="n">
        <f aca="false">IF(OR(F6660&lt;&gt;0,AND(I6660&lt;&gt;"",E6660&lt;I6660)),1,0)</f>
        <v>1</v>
      </c>
      <c r="R6660" s="56" t="n">
        <f aca="false">IF(AND(D6660&gt;1,Q6660=0,ISNUMBER(O6660),ISNUMBER(P6660)),IF(Q6659=0,1,0),0)</f>
        <v>0</v>
      </c>
      <c r="S6660" s="56" t="n">
        <f aca="false">R6660*(B6660&gt;=Train_Start)*(B6660&lt;=Train_End)</f>
        <v>0</v>
      </c>
      <c r="T6660" s="84" t="n">
        <f aca="false">IF(AND(ISNUMBER(O6660),ISNUMBER(P6660)),Coef_A+Coef_B1*O6660+Coef_B2*P6660,"")</f>
        <v>36.9934706038091</v>
      </c>
      <c r="U6660" s="84" t="str">
        <f aca="false">IF(AND(R6660=1,ISNUMBER(T6660)),E6660-T6660,"")</f>
        <v/>
      </c>
      <c r="V6660" s="84" t="n">
        <f aca="false">IF(ISNUMBER(T6660),T6660,-99)</f>
        <v>36.9934706038091</v>
      </c>
      <c r="W6660" s="84" t="str">
        <f aca="false">IF(ISNUMBER(U6660),ABS(U6660),"")</f>
        <v/>
      </c>
    </row>
    <row r="6661" customFormat="false" ht="15" hidden="false" customHeight="false" outlineLevel="0" collapsed="false">
      <c r="A6661" s="57" t="n">
        <v>44762</v>
      </c>
      <c r="B6661" s="56" t="n">
        <v>2022</v>
      </c>
      <c r="C6661" s="56" t="n">
        <v>7</v>
      </c>
      <c r="D6661" s="56" t="n">
        <v>81</v>
      </c>
      <c r="E6661" s="56" t="n">
        <v>24.2</v>
      </c>
      <c r="F6661" s="56" t="n">
        <v>0</v>
      </c>
      <c r="G6661" s="56" t="n">
        <v>19</v>
      </c>
      <c r="H6661" s="56" t="n">
        <v>0</v>
      </c>
      <c r="I6661" s="56" t="n">
        <v>23.1</v>
      </c>
      <c r="J6661" s="56" t="n">
        <v>0</v>
      </c>
      <c r="K6661" s="56" t="n">
        <v>1015.8</v>
      </c>
      <c r="L6661" s="56" t="n">
        <v>0</v>
      </c>
      <c r="M6661" s="56" t="n">
        <v>71</v>
      </c>
      <c r="N6661" s="56" t="n">
        <v>2.9</v>
      </c>
      <c r="O6661" s="56" t="n">
        <f aca="false">IF(D6661=1,"",E6660)</f>
        <v>27.2</v>
      </c>
      <c r="P6661" s="56" t="n">
        <f aca="false">IF(OR(D6661=1,K6660=""),"",K6660)</f>
        <v>1011.8</v>
      </c>
      <c r="Q6661" s="56" t="n">
        <f aca="false">IF(OR(F6661&lt;&gt;0,AND(I6661&lt;&gt;"",E6661&lt;I6661)),1,0)</f>
        <v>0</v>
      </c>
      <c r="R6661" s="56" t="n">
        <f aca="false">IF(AND(D6661&gt;1,Q6661=0,ISNUMBER(O6661),ISNUMBER(P6661)),IF(Q6660=0,1,0),0)</f>
        <v>0</v>
      </c>
      <c r="S6661" s="56" t="n">
        <f aca="false">R6661*(B6661&gt;=Train_Start)*(B6661&lt;=Train_End)</f>
        <v>0</v>
      </c>
      <c r="T6661" s="84" t="n">
        <f aca="false">IF(AND(ISNUMBER(O6661),ISNUMBER(P6661)),Coef_A+Coef_B1*O6661+Coef_B2*P6661,"")</f>
        <v>26.1130608634264</v>
      </c>
      <c r="U6661" s="84" t="str">
        <f aca="false">IF(AND(R6661=1,ISNUMBER(T6661)),E6661-T6661,"")</f>
        <v/>
      </c>
      <c r="V6661" s="84" t="n">
        <f aca="false">IF(ISNUMBER(T6661),T6661,-99)</f>
        <v>26.1130608634264</v>
      </c>
      <c r="W6661" s="84" t="str">
        <f aca="false">IF(ISNUMBER(U6661),ABS(U6661),"")</f>
        <v/>
      </c>
    </row>
    <row r="6662" customFormat="false" ht="15" hidden="false" customHeight="false" outlineLevel="0" collapsed="false">
      <c r="A6662" s="57" t="n">
        <v>44763</v>
      </c>
      <c r="B6662" s="56" t="n">
        <v>2022</v>
      </c>
      <c r="C6662" s="56" t="n">
        <v>7</v>
      </c>
      <c r="D6662" s="56" t="n">
        <v>82</v>
      </c>
      <c r="E6662" s="56" t="n">
        <v>23</v>
      </c>
      <c r="F6662" s="56" t="n">
        <v>0</v>
      </c>
      <c r="G6662" s="56" t="n">
        <v>15.8</v>
      </c>
      <c r="H6662" s="56" t="n">
        <v>0</v>
      </c>
      <c r="I6662" s="56" t="n">
        <v>20</v>
      </c>
      <c r="J6662" s="56" t="n">
        <v>0</v>
      </c>
      <c r="K6662" s="56" t="n">
        <v>1021.4</v>
      </c>
      <c r="L6662" s="56" t="n">
        <v>0</v>
      </c>
      <c r="M6662" s="56" t="n">
        <v>68</v>
      </c>
      <c r="N6662" s="56" t="n">
        <v>2.3</v>
      </c>
      <c r="O6662" s="56" t="n">
        <f aca="false">IF(D6662=1,"",E6661)</f>
        <v>24.2</v>
      </c>
      <c r="P6662" s="56" t="n">
        <f aca="false">IF(OR(D6662=1,K6661=""),"",K6661)</f>
        <v>1015.8</v>
      </c>
      <c r="Q6662" s="56" t="n">
        <f aca="false">IF(OR(F6662&lt;&gt;0,AND(I6662&lt;&gt;"",E6662&lt;I6662)),1,0)</f>
        <v>0</v>
      </c>
      <c r="R6662" s="56" t="n">
        <f aca="false">IF(AND(D6662&gt;1,Q6662=0,ISNUMBER(O6662),ISNUMBER(P6662)),IF(Q6661=0,1,0),0)</f>
        <v>1</v>
      </c>
      <c r="S6662" s="56" t="n">
        <f aca="false">R6662*(B6662&gt;=Train_Start)*(B6662&lt;=Train_End)</f>
        <v>0</v>
      </c>
      <c r="T6662" s="84" t="n">
        <f aca="false">IF(AND(ISNUMBER(O6662),ISNUMBER(P6662)),Coef_A+Coef_B1*O6662+Coef_B2*P6662,"")</f>
        <v>23.7805228628344</v>
      </c>
      <c r="U6662" s="84" t="n">
        <f aca="false">IF(AND(R6662=1,ISNUMBER(T6662)),E6662-T6662,"")</f>
        <v>-0.780522862834435</v>
      </c>
      <c r="V6662" s="84" t="n">
        <f aca="false">IF(ISNUMBER(T6662),T6662,-99)</f>
        <v>23.7805228628344</v>
      </c>
      <c r="W6662" s="84" t="n">
        <f aca="false">IF(ISNUMBER(U6662),ABS(U6662),"")</f>
        <v>0.780522862834435</v>
      </c>
    </row>
    <row r="6663" customFormat="false" ht="15" hidden="false" customHeight="false" outlineLevel="0" collapsed="false">
      <c r="A6663" s="57" t="n">
        <v>44764</v>
      </c>
      <c r="B6663" s="56" t="n">
        <v>2022</v>
      </c>
      <c r="C6663" s="56" t="n">
        <v>7</v>
      </c>
      <c r="D6663" s="56" t="n">
        <v>83</v>
      </c>
      <c r="E6663" s="56" t="n">
        <v>27.9</v>
      </c>
      <c r="F6663" s="56" t="n">
        <v>0</v>
      </c>
      <c r="G6663" s="56" t="n">
        <v>17.1</v>
      </c>
      <c r="H6663" s="56" t="n">
        <v>0</v>
      </c>
      <c r="I6663" s="56" t="n">
        <v>20.1</v>
      </c>
      <c r="J6663" s="56" t="n">
        <v>0</v>
      </c>
      <c r="K6663" s="56" t="n">
        <v>1020</v>
      </c>
      <c r="L6663" s="56" t="n">
        <v>0</v>
      </c>
      <c r="M6663" s="56" t="n">
        <v>66</v>
      </c>
      <c r="N6663" s="56" t="n">
        <v>1.5</v>
      </c>
      <c r="O6663" s="56" t="n">
        <f aca="false">IF(D6663=1,"",E6662)</f>
        <v>23</v>
      </c>
      <c r="P6663" s="56" t="n">
        <f aca="false">IF(OR(D6663=1,K6662=""),"",K6662)</f>
        <v>1021.4</v>
      </c>
      <c r="Q6663" s="56" t="n">
        <f aca="false">IF(OR(F6663&lt;&gt;0,AND(I6663&lt;&gt;"",E6663&lt;I6663)),1,0)</f>
        <v>0</v>
      </c>
      <c r="R6663" s="56" t="n">
        <f aca="false">IF(AND(D6663&gt;1,Q6663=0,ISNUMBER(O6663),ISNUMBER(P6663)),IF(Q6662=0,1,0),0)</f>
        <v>1</v>
      </c>
      <c r="S6663" s="56" t="n">
        <f aca="false">R6663*(B6663&gt;=Train_Start)*(B6663&lt;=Train_End)</f>
        <v>0</v>
      </c>
      <c r="T6663" s="84" t="n">
        <f aca="false">IF(AND(ISNUMBER(O6663),ISNUMBER(P6663)),Coef_A+Coef_B1*O6663+Coef_B2*P6663,"")</f>
        <v>22.9729872411336</v>
      </c>
      <c r="U6663" s="84" t="n">
        <f aca="false">IF(AND(R6663=1,ISNUMBER(T6663)),E6663-T6663,"")</f>
        <v>4.92701275886641</v>
      </c>
      <c r="V6663" s="84" t="n">
        <f aca="false">IF(ISNUMBER(T6663),T6663,-99)</f>
        <v>22.9729872411336</v>
      </c>
      <c r="W6663" s="84" t="n">
        <f aca="false">IF(ISNUMBER(U6663),ABS(U6663),"")</f>
        <v>4.92701275886641</v>
      </c>
    </row>
    <row r="6664" customFormat="false" ht="15" hidden="false" customHeight="false" outlineLevel="0" collapsed="false">
      <c r="A6664" s="57" t="n">
        <v>44765</v>
      </c>
      <c r="B6664" s="56" t="n">
        <v>2022</v>
      </c>
      <c r="C6664" s="56" t="n">
        <v>7</v>
      </c>
      <c r="D6664" s="56" t="n">
        <v>84</v>
      </c>
      <c r="E6664" s="56" t="n">
        <v>29</v>
      </c>
      <c r="F6664" s="56" t="n">
        <v>0</v>
      </c>
      <c r="G6664" s="56" t="n">
        <v>15.6</v>
      </c>
      <c r="H6664" s="56" t="n">
        <v>0</v>
      </c>
      <c r="I6664" s="56" t="n">
        <v>21.8</v>
      </c>
      <c r="J6664" s="56" t="n">
        <v>0</v>
      </c>
      <c r="K6664" s="56" t="n">
        <v>1018.6</v>
      </c>
      <c r="L6664" s="56" t="n">
        <v>0</v>
      </c>
      <c r="M6664" s="56" t="n">
        <v>64</v>
      </c>
      <c r="N6664" s="56" t="n">
        <v>8.7</v>
      </c>
      <c r="O6664" s="56" t="n">
        <f aca="false">IF(D6664=1,"",E6663)</f>
        <v>27.9</v>
      </c>
      <c r="P6664" s="56" t="n">
        <f aca="false">IF(OR(D6664=1,K6663=""),"",K6663)</f>
        <v>1020</v>
      </c>
      <c r="Q6664" s="56" t="n">
        <f aca="false">IF(OR(F6664&lt;&gt;0,AND(I6664&lt;&gt;"",E6664&lt;I6664)),1,0)</f>
        <v>0</v>
      </c>
      <c r="R6664" s="56" t="n">
        <f aca="false">IF(AND(D6664&gt;1,Q6664=0,ISNUMBER(O6664),ISNUMBER(P6664)),IF(Q6663=0,1,0),0)</f>
        <v>1</v>
      </c>
      <c r="S6664" s="56" t="n">
        <f aca="false">R6664*(B6664&gt;=Train_Start)*(B6664&lt;=Train_End)</f>
        <v>0</v>
      </c>
      <c r="T6664" s="84" t="n">
        <f aca="false">IF(AND(ISNUMBER(O6664),ISNUMBER(P6664)),Coef_A+Coef_B1*O6664+Coef_B2*P6664,"")</f>
        <v>26.943831434555</v>
      </c>
      <c r="U6664" s="84" t="n">
        <f aca="false">IF(AND(R6664=1,ISNUMBER(T6664)),E6664-T6664,"")</f>
        <v>2.05616856544498</v>
      </c>
      <c r="V6664" s="84" t="n">
        <f aca="false">IF(ISNUMBER(T6664),T6664,-99)</f>
        <v>26.943831434555</v>
      </c>
      <c r="W6664" s="84" t="n">
        <f aca="false">IF(ISNUMBER(U6664),ABS(U6664),"")</f>
        <v>2.05616856544498</v>
      </c>
    </row>
    <row r="6665" customFormat="false" ht="15" hidden="false" customHeight="false" outlineLevel="0" collapsed="false">
      <c r="A6665" s="57" t="n">
        <v>44766</v>
      </c>
      <c r="B6665" s="56" t="n">
        <v>2022</v>
      </c>
      <c r="C6665" s="56" t="n">
        <v>7</v>
      </c>
      <c r="D6665" s="56" t="n">
        <v>85</v>
      </c>
      <c r="E6665" s="56" t="n">
        <v>24.9</v>
      </c>
      <c r="F6665" s="56" t="n">
        <v>0</v>
      </c>
      <c r="G6665" s="56" t="n">
        <v>17.9</v>
      </c>
      <c r="H6665" s="56" t="n">
        <v>0</v>
      </c>
      <c r="I6665" s="56" t="n">
        <v>23.4</v>
      </c>
      <c r="J6665" s="56" t="n">
        <v>0</v>
      </c>
      <c r="K6665" s="56" t="n">
        <v>1013.7</v>
      </c>
      <c r="L6665" s="56" t="n">
        <v>0</v>
      </c>
      <c r="M6665" s="56" t="n">
        <v>60</v>
      </c>
      <c r="N6665" s="56" t="n">
        <v>10.9</v>
      </c>
      <c r="O6665" s="56" t="n">
        <f aca="false">IF(D6665=1,"",E6664)</f>
        <v>29</v>
      </c>
      <c r="P6665" s="56" t="n">
        <f aca="false">IF(OR(D6665=1,K6664=""),"",K6664)</f>
        <v>1018.6</v>
      </c>
      <c r="Q6665" s="56" t="n">
        <f aca="false">IF(OR(F6665&lt;&gt;0,AND(I6665&lt;&gt;"",E6665&lt;I6665)),1,0)</f>
        <v>0</v>
      </c>
      <c r="R6665" s="56" t="n">
        <f aca="false">IF(AND(D6665&gt;1,Q6665=0,ISNUMBER(O6665),ISNUMBER(P6665)),IF(Q6664=0,1,0),0)</f>
        <v>1</v>
      </c>
      <c r="S6665" s="56" t="n">
        <f aca="false">R6665*(B6665&gt;=Train_Start)*(B6665&lt;=Train_End)</f>
        <v>0</v>
      </c>
      <c r="T6665" s="84" t="n">
        <f aca="false">IF(AND(ISNUMBER(O6665),ISNUMBER(P6665)),Coef_A+Coef_B1*O6665+Coef_B2*P6665,"")</f>
        <v>27.8011866944144</v>
      </c>
      <c r="U6665" s="84" t="n">
        <f aca="false">IF(AND(R6665=1,ISNUMBER(T6665)),E6665-T6665,"")</f>
        <v>-2.90118669441437</v>
      </c>
      <c r="V6665" s="84" t="n">
        <f aca="false">IF(ISNUMBER(T6665),T6665,-99)</f>
        <v>27.8011866944144</v>
      </c>
      <c r="W6665" s="84" t="n">
        <f aca="false">IF(ISNUMBER(U6665),ABS(U6665),"")</f>
        <v>2.90118669441437</v>
      </c>
    </row>
    <row r="6666" customFormat="false" ht="15" hidden="false" customHeight="false" outlineLevel="0" collapsed="false">
      <c r="A6666" s="57" t="n">
        <v>44767</v>
      </c>
      <c r="B6666" s="56" t="n">
        <v>2022</v>
      </c>
      <c r="C6666" s="56" t="n">
        <v>7</v>
      </c>
      <c r="D6666" s="56" t="n">
        <v>86</v>
      </c>
      <c r="E6666" s="56" t="n">
        <v>22.8</v>
      </c>
      <c r="F6666" s="56" t="n">
        <v>0</v>
      </c>
      <c r="G6666" s="56" t="n">
        <v>17.8</v>
      </c>
      <c r="H6666" s="56" t="n">
        <v>0</v>
      </c>
      <c r="I6666" s="56" t="n">
        <v>21.4</v>
      </c>
      <c r="J6666" s="56" t="n">
        <v>0</v>
      </c>
      <c r="K6666" s="56" t="n">
        <v>1010.8</v>
      </c>
      <c r="L6666" s="56" t="n">
        <v>0</v>
      </c>
      <c r="M6666" s="56" t="n">
        <v>65</v>
      </c>
      <c r="N6666" s="56" t="n">
        <v>1.6</v>
      </c>
      <c r="O6666" s="56" t="n">
        <f aca="false">IF(D6666=1,"",E6665)</f>
        <v>24.9</v>
      </c>
      <c r="P6666" s="56" t="n">
        <f aca="false">IF(OR(D6666=1,K6665=""),"",K6665)</f>
        <v>1013.7</v>
      </c>
      <c r="Q6666" s="56" t="n">
        <f aca="false">IF(OR(F6666&lt;&gt;0,AND(I6666&lt;&gt;"",E6666&lt;I6666)),1,0)</f>
        <v>0</v>
      </c>
      <c r="R6666" s="56" t="n">
        <f aca="false">IF(AND(D6666&gt;1,Q6666=0,ISNUMBER(O6666),ISNUMBER(P6666)),IF(Q6665=0,1,0),0)</f>
        <v>1</v>
      </c>
      <c r="S6666" s="56" t="n">
        <f aca="false">R6666*(B6666&gt;=Train_Start)*(B6666&lt;=Train_End)</f>
        <v>0</v>
      </c>
      <c r="T6666" s="84" t="n">
        <f aca="false">IF(AND(ISNUMBER(O6666),ISNUMBER(P6666)),Coef_A+Coef_B1*O6666+Coef_B2*P6666,"")</f>
        <v>24.2881835192329</v>
      </c>
      <c r="U6666" s="84" t="n">
        <f aca="false">IF(AND(R6666=1,ISNUMBER(T6666)),E6666-T6666,"")</f>
        <v>-1.48818351923292</v>
      </c>
      <c r="V6666" s="84" t="n">
        <f aca="false">IF(ISNUMBER(T6666),T6666,-99)</f>
        <v>24.2881835192329</v>
      </c>
      <c r="W6666" s="84" t="n">
        <f aca="false">IF(ISNUMBER(U6666),ABS(U6666),"")</f>
        <v>1.48818351923292</v>
      </c>
    </row>
    <row r="6667" customFormat="false" ht="15" hidden="false" customHeight="false" outlineLevel="0" collapsed="false">
      <c r="A6667" s="57" t="n">
        <v>44768</v>
      </c>
      <c r="B6667" s="56" t="n">
        <v>2022</v>
      </c>
      <c r="C6667" s="56" t="n">
        <v>7</v>
      </c>
      <c r="D6667" s="56" t="n">
        <v>87</v>
      </c>
      <c r="E6667" s="56" t="n">
        <v>22.1</v>
      </c>
      <c r="F6667" s="56" t="n">
        <v>0</v>
      </c>
      <c r="G6667" s="56" t="n">
        <v>15</v>
      </c>
      <c r="H6667" s="56" t="n">
        <v>0</v>
      </c>
      <c r="I6667" s="56" t="n">
        <v>18.9</v>
      </c>
      <c r="J6667" s="56" t="n">
        <v>0</v>
      </c>
      <c r="K6667" s="56" t="n">
        <v>1019.3</v>
      </c>
      <c r="L6667" s="56" t="n">
        <v>0</v>
      </c>
      <c r="M6667" s="56" t="n">
        <v>65</v>
      </c>
      <c r="N6667" s="56" t="n">
        <v>2</v>
      </c>
      <c r="O6667" s="56" t="n">
        <f aca="false">IF(D6667=1,"",E6666)</f>
        <v>22.8</v>
      </c>
      <c r="P6667" s="56" t="n">
        <f aca="false">IF(OR(D6667=1,K6666=""),"",K6666)</f>
        <v>1010.8</v>
      </c>
      <c r="Q6667" s="56" t="n">
        <f aca="false">IF(OR(F6667&lt;&gt;0,AND(I6667&lt;&gt;"",E6667&lt;I6667)),1,0)</f>
        <v>0</v>
      </c>
      <c r="R6667" s="56" t="n">
        <f aca="false">IF(AND(D6667&gt;1,Q6667=0,ISNUMBER(O6667),ISNUMBER(P6667)),IF(Q6666=0,1,0),0)</f>
        <v>1</v>
      </c>
      <c r="S6667" s="56" t="n">
        <f aca="false">R6667*(B6667&gt;=Train_Start)*(B6667&lt;=Train_End)</f>
        <v>0</v>
      </c>
      <c r="T6667" s="84" t="n">
        <f aca="false">IF(AND(ISNUMBER(O6667),ISNUMBER(P6667)),Coef_A+Coef_B1*O6667+Coef_B2*P6667,"")</f>
        <v>22.4765985194048</v>
      </c>
      <c r="U6667" s="84" t="n">
        <f aca="false">IF(AND(R6667=1,ISNUMBER(T6667)),E6667-T6667,"")</f>
        <v>-0.376598519404766</v>
      </c>
      <c r="V6667" s="84" t="n">
        <f aca="false">IF(ISNUMBER(T6667),T6667,-99)</f>
        <v>22.4765985194048</v>
      </c>
      <c r="W6667" s="84" t="n">
        <f aca="false">IF(ISNUMBER(U6667),ABS(U6667),"")</f>
        <v>0.376598519404766</v>
      </c>
    </row>
    <row r="6668" customFormat="false" ht="15" hidden="false" customHeight="false" outlineLevel="0" collapsed="false">
      <c r="A6668" s="57" t="n">
        <v>44769</v>
      </c>
      <c r="B6668" s="56" t="n">
        <v>2022</v>
      </c>
      <c r="C6668" s="56" t="n">
        <v>7</v>
      </c>
      <c r="D6668" s="56" t="n">
        <v>88</v>
      </c>
      <c r="E6668" s="56" t="n">
        <v>25.2</v>
      </c>
      <c r="F6668" s="56" t="n">
        <v>0</v>
      </c>
      <c r="G6668" s="56" t="n">
        <v>13.7</v>
      </c>
      <c r="H6668" s="56" t="n">
        <v>0</v>
      </c>
      <c r="I6668" s="56" t="n">
        <v>17.9</v>
      </c>
      <c r="J6668" s="56" t="n">
        <v>0</v>
      </c>
      <c r="K6668" s="56" t="n">
        <v>1020.1</v>
      </c>
      <c r="L6668" s="56" t="n">
        <v>0</v>
      </c>
      <c r="M6668" s="56" t="n">
        <v>64</v>
      </c>
      <c r="N6668" s="56" t="n">
        <v>1.1</v>
      </c>
      <c r="O6668" s="56" t="n">
        <f aca="false">IF(D6668=1,"",E6667)</f>
        <v>22.1</v>
      </c>
      <c r="P6668" s="56" t="n">
        <f aca="false">IF(OR(D6668=1,K6667=""),"",K6667)</f>
        <v>1019.3</v>
      </c>
      <c r="Q6668" s="56" t="n">
        <f aca="false">IF(OR(F6668&lt;&gt;0,AND(I6668&lt;&gt;"",E6668&lt;I6668)),1,0)</f>
        <v>0</v>
      </c>
      <c r="R6668" s="56" t="n">
        <f aca="false">IF(AND(D6668&gt;1,Q6668=0,ISNUMBER(O6668),ISNUMBER(P6668)),IF(Q6667=0,1,0),0)</f>
        <v>1</v>
      </c>
      <c r="S6668" s="56" t="n">
        <f aca="false">R6668*(B6668&gt;=Train_Start)*(B6668&lt;=Train_End)</f>
        <v>0</v>
      </c>
      <c r="T6668" s="84" t="n">
        <f aca="false">IF(AND(ISNUMBER(O6668),ISNUMBER(P6668)),Coef_A+Coef_B1*O6668+Coef_B2*P6668,"")</f>
        <v>22.1697051886638</v>
      </c>
      <c r="U6668" s="84" t="n">
        <f aca="false">IF(AND(R6668=1,ISNUMBER(T6668)),E6668-T6668,"")</f>
        <v>3.03029481133618</v>
      </c>
      <c r="V6668" s="84" t="n">
        <f aca="false">IF(ISNUMBER(T6668),T6668,-99)</f>
        <v>22.1697051886638</v>
      </c>
      <c r="W6668" s="84" t="n">
        <f aca="false">IF(ISNUMBER(U6668),ABS(U6668),"")</f>
        <v>3.03029481133618</v>
      </c>
    </row>
    <row r="6669" customFormat="false" ht="15" hidden="false" customHeight="false" outlineLevel="0" collapsed="false">
      <c r="A6669" s="57" t="n">
        <v>44770</v>
      </c>
      <c r="B6669" s="56" t="n">
        <v>2022</v>
      </c>
      <c r="C6669" s="56" t="n">
        <v>7</v>
      </c>
      <c r="D6669" s="56" t="n">
        <v>89</v>
      </c>
      <c r="E6669" s="56" t="n">
        <v>28.4</v>
      </c>
      <c r="F6669" s="56" t="n">
        <v>0</v>
      </c>
      <c r="G6669" s="56" t="n">
        <v>15.5</v>
      </c>
      <c r="H6669" s="56" t="n">
        <v>0</v>
      </c>
      <c r="I6669" s="56" t="n">
        <v>20.4</v>
      </c>
      <c r="J6669" s="56" t="n">
        <v>0</v>
      </c>
      <c r="K6669" s="56" t="n">
        <v>1017.4</v>
      </c>
      <c r="L6669" s="56" t="n">
        <v>0</v>
      </c>
      <c r="M6669" s="56" t="n">
        <v>55</v>
      </c>
      <c r="N6669" s="56" t="n">
        <v>7</v>
      </c>
      <c r="O6669" s="56" t="n">
        <f aca="false">IF(D6669=1,"",E6668)</f>
        <v>25.2</v>
      </c>
      <c r="P6669" s="56" t="n">
        <f aca="false">IF(OR(D6669=1,K6668=""),"",K6668)</f>
        <v>1020.1</v>
      </c>
      <c r="Q6669" s="56" t="n">
        <f aca="false">IF(OR(F6669&lt;&gt;0,AND(I6669&lt;&gt;"",E6669&lt;I6669)),1,0)</f>
        <v>0</v>
      </c>
      <c r="R6669" s="56" t="n">
        <f aca="false">IF(AND(D6669&gt;1,Q6669=0,ISNUMBER(O6669),ISNUMBER(P6669)),IF(Q6668=0,1,0),0)</f>
        <v>1</v>
      </c>
      <c r="S6669" s="56" t="n">
        <f aca="false">R6669*(B6669&gt;=Train_Start)*(B6669&lt;=Train_End)</f>
        <v>0</v>
      </c>
      <c r="T6669" s="84" t="n">
        <f aca="false">IF(AND(ISNUMBER(O6669),ISNUMBER(P6669)),Coef_A+Coef_B1*O6669+Coef_B2*P6669,"")</f>
        <v>24.7347526028032</v>
      </c>
      <c r="U6669" s="84" t="n">
        <f aca="false">IF(AND(R6669=1,ISNUMBER(T6669)),E6669-T6669,"")</f>
        <v>3.66524739719675</v>
      </c>
      <c r="V6669" s="84" t="n">
        <f aca="false">IF(ISNUMBER(T6669),T6669,-99)</f>
        <v>24.7347526028032</v>
      </c>
      <c r="W6669" s="84" t="n">
        <f aca="false">IF(ISNUMBER(U6669),ABS(U6669),"")</f>
        <v>3.66524739719675</v>
      </c>
    </row>
    <row r="6670" customFormat="false" ht="15" hidden="false" customHeight="false" outlineLevel="0" collapsed="false">
      <c r="A6670" s="57" t="n">
        <v>44771</v>
      </c>
      <c r="B6670" s="56" t="n">
        <v>2022</v>
      </c>
      <c r="C6670" s="56" t="n">
        <v>7</v>
      </c>
      <c r="D6670" s="56" t="n">
        <v>90</v>
      </c>
      <c r="E6670" s="56" t="n">
        <v>27</v>
      </c>
      <c r="F6670" s="56" t="n">
        <v>0</v>
      </c>
      <c r="G6670" s="56" t="n">
        <v>14.4</v>
      </c>
      <c r="H6670" s="56" t="n">
        <v>0</v>
      </c>
      <c r="I6670" s="56" t="n">
        <v>21.4</v>
      </c>
      <c r="J6670" s="56" t="n">
        <v>0</v>
      </c>
      <c r="K6670" s="56" t="n">
        <v>1018.4</v>
      </c>
      <c r="L6670" s="56" t="n">
        <v>0</v>
      </c>
      <c r="M6670" s="56" t="n">
        <v>53</v>
      </c>
      <c r="N6670" s="56" t="n">
        <v>7.3</v>
      </c>
      <c r="O6670" s="56" t="n">
        <f aca="false">IF(D6670=1,"",E6669)</f>
        <v>28.4</v>
      </c>
      <c r="P6670" s="56" t="n">
        <f aca="false">IF(OR(D6670=1,K6669=""),"",K6669)</f>
        <v>1017.4</v>
      </c>
      <c r="Q6670" s="56" t="n">
        <f aca="false">IF(OR(F6670&lt;&gt;0,AND(I6670&lt;&gt;"",E6670&lt;I6670)),1,0)</f>
        <v>0</v>
      </c>
      <c r="R6670" s="56" t="n">
        <f aca="false">IF(AND(D6670&gt;1,Q6670=0,ISNUMBER(O6670),ISNUMBER(P6670)),IF(Q6669=0,1,0),0)</f>
        <v>1</v>
      </c>
      <c r="S6670" s="56" t="n">
        <f aca="false">R6670*(B6670&gt;=Train_Start)*(B6670&lt;=Train_End)</f>
        <v>0</v>
      </c>
      <c r="T6670" s="84" t="n">
        <f aca="false">IF(AND(ISNUMBER(O6670),ISNUMBER(P6670)),Coef_A+Coef_B1*O6670+Coef_B2*P6670,"")</f>
        <v>27.271939305028</v>
      </c>
      <c r="U6670" s="84" t="n">
        <f aca="false">IF(AND(R6670=1,ISNUMBER(T6670)),E6670-T6670,"")</f>
        <v>-0.271939305027981</v>
      </c>
      <c r="V6670" s="84" t="n">
        <f aca="false">IF(ISNUMBER(T6670),T6670,-99)</f>
        <v>27.271939305028</v>
      </c>
      <c r="W6670" s="84" t="n">
        <f aca="false">IF(ISNUMBER(U6670),ABS(U6670),"")</f>
        <v>0.271939305027981</v>
      </c>
    </row>
    <row r="6671" customFormat="false" ht="15" hidden="false" customHeight="false" outlineLevel="0" collapsed="false">
      <c r="A6671" s="57" t="n">
        <v>44772</v>
      </c>
      <c r="B6671" s="56" t="n">
        <v>2022</v>
      </c>
      <c r="C6671" s="56" t="n">
        <v>7</v>
      </c>
      <c r="D6671" s="56" t="n">
        <v>91</v>
      </c>
      <c r="E6671" s="56" t="n">
        <v>27.6</v>
      </c>
      <c r="F6671" s="56" t="n">
        <v>0</v>
      </c>
      <c r="G6671" s="56" t="n">
        <v>15.9</v>
      </c>
      <c r="H6671" s="56" t="n">
        <v>0</v>
      </c>
      <c r="I6671" s="56" t="n">
        <v>21.4</v>
      </c>
      <c r="J6671" s="56" t="n">
        <v>0</v>
      </c>
      <c r="K6671" s="56" t="n">
        <v>1018.2</v>
      </c>
      <c r="L6671" s="56" t="n">
        <v>0</v>
      </c>
      <c r="M6671" s="56" t="n">
        <v>62</v>
      </c>
      <c r="N6671" s="56" t="n">
        <v>2.5</v>
      </c>
      <c r="O6671" s="56" t="n">
        <f aca="false">IF(D6671=1,"",E6670)</f>
        <v>27</v>
      </c>
      <c r="P6671" s="56" t="n">
        <f aca="false">IF(OR(D6671=1,K6670=""),"",K6670)</f>
        <v>1018.4</v>
      </c>
      <c r="Q6671" s="56" t="n">
        <f aca="false">IF(OR(F6671&lt;&gt;0,AND(I6671&lt;&gt;"",E6671&lt;I6671)),1,0)</f>
        <v>0</v>
      </c>
      <c r="R6671" s="56" t="n">
        <f aca="false">IF(AND(D6671&gt;1,Q6671=0,ISNUMBER(O6671),ISNUMBER(P6671)),IF(Q6670=0,1,0),0)</f>
        <v>1</v>
      </c>
      <c r="S6671" s="56" t="n">
        <f aca="false">R6671*(B6671&gt;=Train_Start)*(B6671&lt;=Train_End)</f>
        <v>0</v>
      </c>
      <c r="T6671" s="84" t="n">
        <f aca="false">IF(AND(ISNUMBER(O6671),ISNUMBER(P6671)),Coef_A+Coef_B1*O6671+Coef_B2*P6671,"")</f>
        <v>26.1562343294023</v>
      </c>
      <c r="U6671" s="84" t="n">
        <f aca="false">IF(AND(R6671=1,ISNUMBER(T6671)),E6671-T6671,"")</f>
        <v>1.44376567059775</v>
      </c>
      <c r="V6671" s="84" t="n">
        <f aca="false">IF(ISNUMBER(T6671),T6671,-99)</f>
        <v>26.1562343294023</v>
      </c>
      <c r="W6671" s="84" t="n">
        <f aca="false">IF(ISNUMBER(U6671),ABS(U6671),"")</f>
        <v>1.44376567059775</v>
      </c>
    </row>
    <row r="6672" customFormat="false" ht="15" hidden="false" customHeight="false" outlineLevel="0" collapsed="false">
      <c r="A6672" s="57" t="n">
        <v>44773</v>
      </c>
      <c r="B6672" s="56" t="n">
        <v>2022</v>
      </c>
      <c r="C6672" s="56" t="n">
        <v>7</v>
      </c>
      <c r="D6672" s="56" t="n">
        <v>92</v>
      </c>
      <c r="E6672" s="56" t="n">
        <v>27.8</v>
      </c>
      <c r="F6672" s="56" t="n">
        <v>0</v>
      </c>
      <c r="G6672" s="56" t="n">
        <v>19.8</v>
      </c>
      <c r="H6672" s="56" t="n">
        <v>0</v>
      </c>
      <c r="I6672" s="56" t="n">
        <v>23.7</v>
      </c>
      <c r="J6672" s="56" t="n">
        <v>0</v>
      </c>
      <c r="K6672" s="56" t="n">
        <v>1016.2</v>
      </c>
      <c r="L6672" s="56" t="n">
        <v>0</v>
      </c>
      <c r="M6672" s="56" t="n">
        <v>67</v>
      </c>
      <c r="N6672" s="56" t="n">
        <v>1</v>
      </c>
      <c r="O6672" s="56" t="n">
        <f aca="false">IF(D6672=1,"",E6671)</f>
        <v>27.6</v>
      </c>
      <c r="P6672" s="56" t="n">
        <f aca="false">IF(OR(D6672=1,K6671=""),"",K6671)</f>
        <v>1018.2</v>
      </c>
      <c r="Q6672" s="56" t="n">
        <f aca="false">IF(OR(F6672&lt;&gt;0,AND(I6672&lt;&gt;"",E6672&lt;I6672)),1,0)</f>
        <v>0</v>
      </c>
      <c r="R6672" s="56" t="n">
        <f aca="false">IF(AND(D6672&gt;1,Q6672=0,ISNUMBER(O6672),ISNUMBER(P6672)),IF(Q6671=0,1,0),0)</f>
        <v>1</v>
      </c>
      <c r="S6672" s="56" t="n">
        <f aca="false">R6672*(B6672&gt;=Train_Start)*(B6672&lt;=Train_End)</f>
        <v>0</v>
      </c>
      <c r="T6672" s="84" t="n">
        <f aca="false">IF(AND(ISNUMBER(O6672),ISNUMBER(P6672)),Coef_A+Coef_B1*O6672+Coef_B2*P6672,"")</f>
        <v>26.6415638663011</v>
      </c>
      <c r="U6672" s="84" t="n">
        <f aca="false">IF(AND(R6672=1,ISNUMBER(T6672)),E6672-T6672,"")</f>
        <v>1.15843613369895</v>
      </c>
      <c r="V6672" s="84" t="n">
        <f aca="false">IF(ISNUMBER(T6672),T6672,-99)</f>
        <v>26.6415638663011</v>
      </c>
      <c r="W6672" s="84" t="n">
        <f aca="false">IF(ISNUMBER(U6672),ABS(U6672),"")</f>
        <v>1.15843613369895</v>
      </c>
    </row>
    <row r="6673" customFormat="false" ht="15" hidden="false" customHeight="false" outlineLevel="0" collapsed="false">
      <c r="A6673" s="57" t="n">
        <v>44774</v>
      </c>
      <c r="B6673" s="56" t="n">
        <v>2022</v>
      </c>
      <c r="C6673" s="56" t="n">
        <v>8</v>
      </c>
      <c r="D6673" s="56" t="n">
        <v>93</v>
      </c>
      <c r="E6673" s="56" t="n">
        <v>26.9</v>
      </c>
      <c r="F6673" s="56" t="n">
        <v>0</v>
      </c>
      <c r="G6673" s="56" t="n">
        <v>18.1</v>
      </c>
      <c r="H6673" s="56" t="n">
        <v>0</v>
      </c>
      <c r="I6673" s="56" t="n">
        <v>22.9</v>
      </c>
      <c r="J6673" s="56" t="n">
        <v>0</v>
      </c>
      <c r="K6673" s="56" t="n">
        <v>1018</v>
      </c>
      <c r="L6673" s="56" t="n">
        <v>0</v>
      </c>
      <c r="M6673" s="56" t="n">
        <v>62</v>
      </c>
      <c r="N6673" s="56" t="n">
        <v>5.2</v>
      </c>
      <c r="O6673" s="56" t="n">
        <f aca="false">IF(D6673=1,"",E6672)</f>
        <v>27.8</v>
      </c>
      <c r="P6673" s="56" t="n">
        <f aca="false">IF(OR(D6673=1,K6672=""),"",K6672)</f>
        <v>1016.2</v>
      </c>
      <c r="Q6673" s="56" t="n">
        <f aca="false">IF(OR(F6673&lt;&gt;0,AND(I6673&lt;&gt;"",E6673&lt;I6673)),1,0)</f>
        <v>0</v>
      </c>
      <c r="R6673" s="56" t="n">
        <f aca="false">IF(AND(D6673&gt;1,Q6673=0,ISNUMBER(O6673),ISNUMBER(P6673)),IF(Q6672=0,1,0),0)</f>
        <v>1</v>
      </c>
      <c r="S6673" s="56" t="n">
        <f aca="false">R6673*(B6673&gt;=Train_Start)*(B6673&lt;=Train_End)</f>
        <v>0</v>
      </c>
      <c r="T6673" s="84" t="n">
        <f aca="false">IF(AND(ISNUMBER(O6673),ISNUMBER(P6673)),Coef_A+Coef_B1*O6673+Coef_B2*P6673,"")</f>
        <v>26.7426919156416</v>
      </c>
      <c r="U6673" s="84" t="n">
        <f aca="false">IF(AND(R6673=1,ISNUMBER(T6673)),E6673-T6673,"")</f>
        <v>0.157308084358398</v>
      </c>
      <c r="V6673" s="84" t="n">
        <f aca="false">IF(ISNUMBER(T6673),T6673,-99)</f>
        <v>26.7426919156416</v>
      </c>
      <c r="W6673" s="84" t="n">
        <f aca="false">IF(ISNUMBER(U6673),ABS(U6673),"")</f>
        <v>0.157308084358398</v>
      </c>
    </row>
    <row r="6674" customFormat="false" ht="15" hidden="false" customHeight="false" outlineLevel="0" collapsed="false">
      <c r="A6674" s="57" t="n">
        <v>44775</v>
      </c>
      <c r="B6674" s="56" t="n">
        <v>2022</v>
      </c>
      <c r="C6674" s="56" t="n">
        <v>8</v>
      </c>
      <c r="D6674" s="56" t="n">
        <v>94</v>
      </c>
      <c r="E6674" s="56" t="n">
        <v>27.2</v>
      </c>
      <c r="F6674" s="56" t="n">
        <v>0</v>
      </c>
      <c r="G6674" s="56" t="n">
        <v>18.3</v>
      </c>
      <c r="H6674" s="56" t="n">
        <v>0</v>
      </c>
      <c r="I6674" s="56" t="n">
        <v>22.6</v>
      </c>
      <c r="J6674" s="56" t="n">
        <v>0</v>
      </c>
      <c r="K6674" s="56" t="n">
        <v>1015.2</v>
      </c>
      <c r="L6674" s="56" t="n">
        <v>0</v>
      </c>
      <c r="M6674" s="56" t="n">
        <v>71</v>
      </c>
      <c r="N6674" s="56" t="n">
        <v>2.5</v>
      </c>
      <c r="O6674" s="56" t="n">
        <f aca="false">IF(D6674=1,"",E6673)</f>
        <v>26.9</v>
      </c>
      <c r="P6674" s="56" t="n">
        <f aca="false">IF(OR(D6674=1,K6673=""),"",K6673)</f>
        <v>1018</v>
      </c>
      <c r="Q6674" s="56" t="n">
        <f aca="false">IF(OR(F6674&lt;&gt;0,AND(I6674&lt;&gt;"",E6674&lt;I6674)),1,0)</f>
        <v>0</v>
      </c>
      <c r="R6674" s="56" t="n">
        <f aca="false">IF(AND(D6674&gt;1,Q6674=0,ISNUMBER(O6674),ISNUMBER(P6674)),IF(Q6673=0,1,0),0)</f>
        <v>1</v>
      </c>
      <c r="S6674" s="56" t="n">
        <f aca="false">R6674*(B6674&gt;=Train_Start)*(B6674&lt;=Train_End)</f>
        <v>0</v>
      </c>
      <c r="T6674" s="84" t="n">
        <f aca="false">IF(AND(ISNUMBER(O6674),ISNUMBER(P6674)),Coef_A+Coef_B1*O6674+Coef_B2*P6674,"")</f>
        <v>26.0617524522444</v>
      </c>
      <c r="U6674" s="84" t="n">
        <f aca="false">IF(AND(R6674=1,ISNUMBER(T6674)),E6674-T6674,"")</f>
        <v>1.13824754775561</v>
      </c>
      <c r="V6674" s="84" t="n">
        <f aca="false">IF(ISNUMBER(T6674),T6674,-99)</f>
        <v>26.0617524522444</v>
      </c>
      <c r="W6674" s="84" t="n">
        <f aca="false">IF(ISNUMBER(U6674),ABS(U6674),"")</f>
        <v>1.13824754775561</v>
      </c>
    </row>
    <row r="6675" customFormat="false" ht="15" hidden="false" customHeight="false" outlineLevel="0" collapsed="false">
      <c r="A6675" s="57" t="n">
        <v>44776</v>
      </c>
      <c r="B6675" s="56" t="n">
        <v>2022</v>
      </c>
      <c r="C6675" s="56" t="n">
        <v>8</v>
      </c>
      <c r="D6675" s="56" t="n">
        <v>95</v>
      </c>
      <c r="E6675" s="56" t="n">
        <v>25.5</v>
      </c>
      <c r="F6675" s="56" t="n">
        <v>0</v>
      </c>
      <c r="G6675" s="56" t="n">
        <v>17.8</v>
      </c>
      <c r="H6675" s="56" t="n">
        <v>0</v>
      </c>
      <c r="I6675" s="56" t="n">
        <v>22.5</v>
      </c>
      <c r="J6675" s="56" t="n">
        <v>0</v>
      </c>
      <c r="K6675" s="56" t="n">
        <v>1013.5</v>
      </c>
      <c r="L6675" s="56" t="n">
        <v>0</v>
      </c>
      <c r="M6675" s="56" t="n">
        <v>75</v>
      </c>
      <c r="N6675" s="56" t="n">
        <v>0.7</v>
      </c>
      <c r="O6675" s="56" t="n">
        <f aca="false">IF(D6675=1,"",E6674)</f>
        <v>27.2</v>
      </c>
      <c r="P6675" s="56" t="n">
        <f aca="false">IF(OR(D6675=1,K6674=""),"",K6674)</f>
        <v>1015.2</v>
      </c>
      <c r="Q6675" s="56" t="n">
        <f aca="false">IF(OR(F6675&lt;&gt;0,AND(I6675&lt;&gt;"",E6675&lt;I6675)),1,0)</f>
        <v>0</v>
      </c>
      <c r="R6675" s="56" t="n">
        <f aca="false">IF(AND(D6675&gt;1,Q6675=0,ISNUMBER(O6675),ISNUMBER(P6675)),IF(Q6674=0,1,0),0)</f>
        <v>1</v>
      </c>
      <c r="S6675" s="56" t="n">
        <f aca="false">R6675*(B6675&gt;=Train_Start)*(B6675&lt;=Train_End)</f>
        <v>0</v>
      </c>
      <c r="T6675" s="84" t="n">
        <f aca="false">IF(AND(ISNUMBER(O6675),ISNUMBER(P6675)),Coef_A+Coef_B1*O6675+Coef_B2*P6675,"")</f>
        <v>26.219718505182</v>
      </c>
      <c r="U6675" s="84" t="n">
        <f aca="false">IF(AND(R6675=1,ISNUMBER(T6675)),E6675-T6675,"")</f>
        <v>-0.719718505182016</v>
      </c>
      <c r="V6675" s="84" t="n">
        <f aca="false">IF(ISNUMBER(T6675),T6675,-99)</f>
        <v>26.219718505182</v>
      </c>
      <c r="W6675" s="84" t="n">
        <f aca="false">IF(ISNUMBER(U6675),ABS(U6675),"")</f>
        <v>0.719718505182016</v>
      </c>
    </row>
    <row r="6676" customFormat="false" ht="15" hidden="false" customHeight="false" outlineLevel="0" collapsed="false">
      <c r="A6676" s="57" t="n">
        <v>44777</v>
      </c>
      <c r="B6676" s="56" t="n">
        <v>2022</v>
      </c>
      <c r="C6676" s="56" t="n">
        <v>8</v>
      </c>
      <c r="D6676" s="56" t="n">
        <v>96</v>
      </c>
      <c r="E6676" s="56" t="n">
        <v>23.3</v>
      </c>
      <c r="F6676" s="56" t="n">
        <v>0</v>
      </c>
      <c r="G6676" s="56" t="n">
        <v>15.8</v>
      </c>
      <c r="H6676" s="56" t="n">
        <v>0</v>
      </c>
      <c r="I6676" s="56" t="n">
        <v>20.6</v>
      </c>
      <c r="J6676" s="56" t="n">
        <v>0</v>
      </c>
      <c r="K6676" s="56" t="n">
        <v>1015.4</v>
      </c>
      <c r="L6676" s="56" t="n">
        <v>0</v>
      </c>
      <c r="M6676" s="56" t="n">
        <v>54</v>
      </c>
      <c r="N6676" s="56" t="n">
        <v>7.7</v>
      </c>
      <c r="O6676" s="56" t="n">
        <f aca="false">IF(D6676=1,"",E6675)</f>
        <v>25.5</v>
      </c>
      <c r="P6676" s="56" t="n">
        <f aca="false">IF(OR(D6676=1,K6675=""),"",K6675)</f>
        <v>1013.5</v>
      </c>
      <c r="Q6676" s="56" t="n">
        <f aca="false">IF(OR(F6676&lt;&gt;0,AND(I6676&lt;&gt;"",E6676&lt;I6676)),1,0)</f>
        <v>0</v>
      </c>
      <c r="R6676" s="56" t="n">
        <f aca="false">IF(AND(D6676&gt;1,Q6676=0,ISNUMBER(O6676),ISNUMBER(P6676)),IF(Q6675=0,1,0),0)</f>
        <v>1</v>
      </c>
      <c r="S6676" s="56" t="n">
        <f aca="false">R6676*(B6676&gt;=Train_Start)*(B6676&lt;=Train_End)</f>
        <v>0</v>
      </c>
      <c r="T6676" s="84" t="n">
        <f aca="false">IF(AND(ISNUMBER(O6676),ISNUMBER(P6676)),Coef_A+Coef_B1*O6676+Coef_B2*P6676,"")</f>
        <v>24.7735130561317</v>
      </c>
      <c r="U6676" s="84" t="n">
        <f aca="false">IF(AND(R6676=1,ISNUMBER(T6676)),E6676-T6676,"")</f>
        <v>-1.47351305613172</v>
      </c>
      <c r="V6676" s="84" t="n">
        <f aca="false">IF(ISNUMBER(T6676),T6676,-99)</f>
        <v>24.7735130561317</v>
      </c>
      <c r="W6676" s="84" t="n">
        <f aca="false">IF(ISNUMBER(U6676),ABS(U6676),"")</f>
        <v>1.47351305613172</v>
      </c>
    </row>
    <row r="6677" customFormat="false" ht="15" hidden="false" customHeight="false" outlineLevel="0" collapsed="false">
      <c r="A6677" s="57" t="n">
        <v>44778</v>
      </c>
      <c r="B6677" s="56" t="n">
        <v>2022</v>
      </c>
      <c r="C6677" s="56" t="n">
        <v>8</v>
      </c>
      <c r="D6677" s="56" t="n">
        <v>97</v>
      </c>
      <c r="E6677" s="56" t="n">
        <v>24.8</v>
      </c>
      <c r="F6677" s="56" t="n">
        <v>0</v>
      </c>
      <c r="G6677" s="56" t="n">
        <v>14.3</v>
      </c>
      <c r="H6677" s="56" t="n">
        <v>0</v>
      </c>
      <c r="I6677" s="56" t="n">
        <v>18.8</v>
      </c>
      <c r="J6677" s="56" t="n">
        <v>0</v>
      </c>
      <c r="K6677" s="56" t="n">
        <v>1022.6</v>
      </c>
      <c r="L6677" s="56" t="n">
        <v>0</v>
      </c>
      <c r="M6677" s="56" t="n">
        <v>44</v>
      </c>
      <c r="N6677" s="56" t="n">
        <v>11.4</v>
      </c>
      <c r="O6677" s="56" t="n">
        <f aca="false">IF(D6677=1,"",E6676)</f>
        <v>23.3</v>
      </c>
      <c r="P6677" s="56" t="n">
        <f aca="false">IF(OR(D6677=1,K6676=""),"",K6676)</f>
        <v>1015.4</v>
      </c>
      <c r="Q6677" s="56" t="n">
        <f aca="false">IF(OR(F6677&lt;&gt;0,AND(I6677&lt;&gt;"",E6677&lt;I6677)),1,0)</f>
        <v>0</v>
      </c>
      <c r="R6677" s="56" t="n">
        <f aca="false">IF(AND(D6677&gt;1,Q6677=0,ISNUMBER(O6677),ISNUMBER(P6677)),IF(Q6676=0,1,0),0)</f>
        <v>1</v>
      </c>
      <c r="S6677" s="56" t="n">
        <f aca="false">R6677*(B6677&gt;=Train_Start)*(B6677&lt;=Train_End)</f>
        <v>0</v>
      </c>
      <c r="T6677" s="84" t="n">
        <f aca="false">IF(AND(ISNUMBER(O6677),ISNUMBER(P6677)),Coef_A+Coef_B1*O6677+Coef_B2*P6677,"")</f>
        <v>23.0305696312425</v>
      </c>
      <c r="U6677" s="84" t="n">
        <f aca="false">IF(AND(R6677=1,ISNUMBER(T6677)),E6677-T6677,"")</f>
        <v>1.76943036875755</v>
      </c>
      <c r="V6677" s="84" t="n">
        <f aca="false">IF(ISNUMBER(T6677),T6677,-99)</f>
        <v>23.0305696312425</v>
      </c>
      <c r="W6677" s="84" t="n">
        <f aca="false">IF(ISNUMBER(U6677),ABS(U6677),"")</f>
        <v>1.76943036875755</v>
      </c>
    </row>
    <row r="6678" customFormat="false" ht="15" hidden="false" customHeight="false" outlineLevel="0" collapsed="false">
      <c r="A6678" s="57" t="n">
        <v>44779</v>
      </c>
      <c r="B6678" s="56" t="n">
        <v>2022</v>
      </c>
      <c r="C6678" s="56" t="n">
        <v>8</v>
      </c>
      <c r="D6678" s="56" t="n">
        <v>98</v>
      </c>
      <c r="E6678" s="56" t="n">
        <v>27.6</v>
      </c>
      <c r="F6678" s="56" t="n">
        <v>0</v>
      </c>
      <c r="G6678" s="56" t="n">
        <v>10.5</v>
      </c>
      <c r="H6678" s="56" t="n">
        <v>0</v>
      </c>
      <c r="I6678" s="56" t="n">
        <v>17.6</v>
      </c>
      <c r="J6678" s="56" t="n">
        <v>0</v>
      </c>
      <c r="K6678" s="56" t="n">
        <v>1028.3</v>
      </c>
      <c r="L6678" s="56" t="n">
        <v>0</v>
      </c>
      <c r="M6678" s="56" t="n">
        <v>45</v>
      </c>
      <c r="N6678" s="56" t="n">
        <v>13.5</v>
      </c>
      <c r="O6678" s="56" t="n">
        <f aca="false">IF(D6678=1,"",E6677)</f>
        <v>24.8</v>
      </c>
      <c r="P6678" s="56" t="n">
        <f aca="false">IF(OR(D6678=1,K6677=""),"",K6677)</f>
        <v>1022.6</v>
      </c>
      <c r="Q6678" s="56" t="n">
        <f aca="false">IF(OR(F6678&lt;&gt;0,AND(I6678&lt;&gt;"",E6678&lt;I6678)),1,0)</f>
        <v>0</v>
      </c>
      <c r="R6678" s="56" t="n">
        <f aca="false">IF(AND(D6678&gt;1,Q6678=0,ISNUMBER(O6678),ISNUMBER(P6678)),IF(Q6677=0,1,0),0)</f>
        <v>1</v>
      </c>
      <c r="S6678" s="56" t="n">
        <f aca="false">R6678*(B6678&gt;=Train_Start)*(B6678&lt;=Train_End)</f>
        <v>0</v>
      </c>
      <c r="T6678" s="84" t="n">
        <f aca="false">IF(AND(ISNUMBER(O6678),ISNUMBER(P6678)),Coef_A+Coef_B1*O6678+Coef_B2*P6678,"")</f>
        <v>24.4854416621712</v>
      </c>
      <c r="U6678" s="84" t="n">
        <f aca="false">IF(AND(R6678=1,ISNUMBER(T6678)),E6678-T6678,"")</f>
        <v>3.11455833782884</v>
      </c>
      <c r="V6678" s="84" t="n">
        <f aca="false">IF(ISNUMBER(T6678),T6678,-99)</f>
        <v>24.4854416621712</v>
      </c>
      <c r="W6678" s="84" t="n">
        <f aca="false">IF(ISNUMBER(U6678),ABS(U6678),"")</f>
        <v>3.11455833782884</v>
      </c>
    </row>
    <row r="6679" customFormat="false" ht="15" hidden="false" customHeight="false" outlineLevel="0" collapsed="false">
      <c r="A6679" s="57" t="n">
        <v>44780</v>
      </c>
      <c r="B6679" s="56" t="n">
        <v>2022</v>
      </c>
      <c r="C6679" s="56" t="n">
        <v>8</v>
      </c>
      <c r="D6679" s="56" t="n">
        <v>99</v>
      </c>
      <c r="E6679" s="56" t="n">
        <v>29.7</v>
      </c>
      <c r="F6679" s="56" t="n">
        <v>0</v>
      </c>
      <c r="G6679" s="56" t="n">
        <v>12.6</v>
      </c>
      <c r="H6679" s="56" t="n">
        <v>0</v>
      </c>
      <c r="I6679" s="56" t="n">
        <v>20.1</v>
      </c>
      <c r="J6679" s="56" t="n">
        <v>0</v>
      </c>
      <c r="K6679" s="56" t="n">
        <v>1025.8</v>
      </c>
      <c r="L6679" s="56" t="n">
        <v>0</v>
      </c>
      <c r="M6679" s="56" t="n">
        <v>46</v>
      </c>
      <c r="N6679" s="56" t="n">
        <v>13.5</v>
      </c>
      <c r="O6679" s="56" t="n">
        <f aca="false">IF(D6679=1,"",E6678)</f>
        <v>27.6</v>
      </c>
      <c r="P6679" s="56" t="n">
        <f aca="false">IF(OR(D6679=1,K6678=""),"",K6678)</f>
        <v>1028.3</v>
      </c>
      <c r="Q6679" s="56" t="n">
        <f aca="false">IF(OR(F6679&lt;&gt;0,AND(I6679&lt;&gt;"",E6679&lt;I6679)),1,0)</f>
        <v>0</v>
      </c>
      <c r="R6679" s="56" t="n">
        <f aca="false">IF(AND(D6679&gt;1,Q6679=0,ISNUMBER(O6679),ISNUMBER(P6679)),IF(Q6678=0,1,0),0)</f>
        <v>1</v>
      </c>
      <c r="S6679" s="56" t="n">
        <f aca="false">R6679*(B6679&gt;=Train_Start)*(B6679&lt;=Train_End)</f>
        <v>0</v>
      </c>
      <c r="T6679" s="84" t="n">
        <f aca="false">IF(AND(ISNUMBER(O6679),ISNUMBER(P6679)),Coef_A+Coef_B1*O6679+Coef_B2*P6679,"")</f>
        <v>26.9583998021043</v>
      </c>
      <c r="U6679" s="84" t="n">
        <f aca="false">IF(AND(R6679=1,ISNUMBER(T6679)),E6679-T6679,"")</f>
        <v>2.74160019789566</v>
      </c>
      <c r="V6679" s="84" t="n">
        <f aca="false">IF(ISNUMBER(T6679),T6679,-99)</f>
        <v>26.9583998021043</v>
      </c>
      <c r="W6679" s="84" t="n">
        <f aca="false">IF(ISNUMBER(U6679),ABS(U6679),"")</f>
        <v>2.74160019789566</v>
      </c>
    </row>
    <row r="6680" customFormat="false" ht="15" hidden="false" customHeight="false" outlineLevel="0" collapsed="false">
      <c r="A6680" s="57" t="n">
        <v>44781</v>
      </c>
      <c r="B6680" s="56" t="n">
        <v>2022</v>
      </c>
      <c r="C6680" s="56" t="n">
        <v>8</v>
      </c>
      <c r="D6680" s="56" t="n">
        <v>100</v>
      </c>
      <c r="E6680" s="56" t="n">
        <v>29.1</v>
      </c>
      <c r="F6680" s="56" t="n">
        <v>0</v>
      </c>
      <c r="G6680" s="56" t="n">
        <v>15.8</v>
      </c>
      <c r="H6680" s="56" t="n">
        <v>0</v>
      </c>
      <c r="I6680" s="56" t="n">
        <v>22.8</v>
      </c>
      <c r="J6680" s="56" t="n">
        <v>0</v>
      </c>
      <c r="K6680" s="56" t="n">
        <v>1026.5</v>
      </c>
      <c r="L6680" s="56" t="n">
        <v>0</v>
      </c>
      <c r="M6680" s="56" t="n">
        <v>53</v>
      </c>
      <c r="N6680" s="56" t="n">
        <v>12.2</v>
      </c>
      <c r="O6680" s="56" t="n">
        <f aca="false">IF(D6680=1,"",E6679)</f>
        <v>29.7</v>
      </c>
      <c r="P6680" s="56" t="n">
        <f aca="false">IF(OR(D6680=1,K6679=""),"",K6679)</f>
        <v>1025.8</v>
      </c>
      <c r="Q6680" s="56" t="n">
        <f aca="false">IF(OR(F6680&lt;&gt;0,AND(I6680&lt;&gt;"",E6680&lt;I6680)),1,0)</f>
        <v>0</v>
      </c>
      <c r="R6680" s="56" t="n">
        <f aca="false">IF(AND(D6680&gt;1,Q6680=0,ISNUMBER(O6680),ISNUMBER(P6680)),IF(Q6679=0,1,0),0)</f>
        <v>1</v>
      </c>
      <c r="S6680" s="56" t="n">
        <f aca="false">R6680*(B6680&gt;=Train_Start)*(B6680&lt;=Train_End)</f>
        <v>0</v>
      </c>
      <c r="T6680" s="84" t="n">
        <f aca="false">IF(AND(ISNUMBER(O6680),ISNUMBER(P6680)),Coef_A+Coef_B1*O6680+Coef_B2*P6680,"")</f>
        <v>28.6005873709089</v>
      </c>
      <c r="U6680" s="84" t="n">
        <f aca="false">IF(AND(R6680=1,ISNUMBER(T6680)),E6680-T6680,"")</f>
        <v>0.499412629091058</v>
      </c>
      <c r="V6680" s="84" t="n">
        <f aca="false">IF(ISNUMBER(T6680),T6680,-99)</f>
        <v>28.6005873709089</v>
      </c>
      <c r="W6680" s="84" t="n">
        <f aca="false">IF(ISNUMBER(U6680),ABS(U6680),"")</f>
        <v>0.499412629091058</v>
      </c>
    </row>
    <row r="6681" customFormat="false" ht="15" hidden="false" customHeight="false" outlineLevel="0" collapsed="false">
      <c r="A6681" s="57" t="n">
        <v>44782</v>
      </c>
      <c r="B6681" s="56" t="n">
        <v>2022</v>
      </c>
      <c r="C6681" s="56" t="n">
        <v>8</v>
      </c>
      <c r="D6681" s="56" t="n">
        <v>101</v>
      </c>
      <c r="E6681" s="56" t="n">
        <v>30.9</v>
      </c>
      <c r="F6681" s="56" t="n">
        <v>0</v>
      </c>
      <c r="G6681" s="56" t="n">
        <v>15.6</v>
      </c>
      <c r="H6681" s="56" t="n">
        <v>0</v>
      </c>
      <c r="I6681" s="56" t="n">
        <v>22.4</v>
      </c>
      <c r="J6681" s="56" t="n">
        <v>0</v>
      </c>
      <c r="K6681" s="56" t="n">
        <v>1028.5</v>
      </c>
      <c r="L6681" s="56" t="n">
        <v>0</v>
      </c>
      <c r="M6681" s="56" t="n">
        <v>58</v>
      </c>
      <c r="N6681" s="56" t="n">
        <v>13.1</v>
      </c>
      <c r="O6681" s="56" t="n">
        <f aca="false">IF(D6681=1,"",E6680)</f>
        <v>29.1</v>
      </c>
      <c r="P6681" s="56" t="n">
        <f aca="false">IF(OR(D6681=1,K6680=""),"",K6680)</f>
        <v>1026.5</v>
      </c>
      <c r="Q6681" s="56" t="n">
        <f aca="false">IF(OR(F6681&lt;&gt;0,AND(I6681&lt;&gt;"",E6681&lt;I6681)),1,0)</f>
        <v>0</v>
      </c>
      <c r="R6681" s="56" t="n">
        <f aca="false">IF(AND(D6681&gt;1,Q6681=0,ISNUMBER(O6681),ISNUMBER(P6681)),IF(Q6680=0,1,0),0)</f>
        <v>1</v>
      </c>
      <c r="S6681" s="56" t="n">
        <f aca="false">R6681*(B6681&gt;=Train_Start)*(B6681&lt;=Train_End)</f>
        <v>0</v>
      </c>
      <c r="T6681" s="84" t="n">
        <f aca="false">IF(AND(ISNUMBER(O6681),ISNUMBER(P6681)),Coef_A+Coef_B1*O6681+Coef_B2*P6681,"")</f>
        <v>28.1309427813271</v>
      </c>
      <c r="U6681" s="84" t="n">
        <f aca="false">IF(AND(R6681=1,ISNUMBER(T6681)),E6681-T6681,"")</f>
        <v>2.76905721867286</v>
      </c>
      <c r="V6681" s="84" t="n">
        <f aca="false">IF(ISNUMBER(T6681),T6681,-99)</f>
        <v>28.1309427813271</v>
      </c>
      <c r="W6681" s="84" t="n">
        <f aca="false">IF(ISNUMBER(U6681),ABS(U6681),"")</f>
        <v>2.76905721867286</v>
      </c>
    </row>
    <row r="6682" customFormat="false" ht="15" hidden="false" customHeight="false" outlineLevel="0" collapsed="false">
      <c r="A6682" s="57" t="n">
        <v>44783</v>
      </c>
      <c r="B6682" s="56" t="n">
        <v>2022</v>
      </c>
      <c r="C6682" s="56" t="n">
        <v>8</v>
      </c>
      <c r="D6682" s="56" t="n">
        <v>102</v>
      </c>
      <c r="E6682" s="56" t="n">
        <v>33.3</v>
      </c>
      <c r="F6682" s="56" t="n">
        <v>0</v>
      </c>
      <c r="G6682" s="56" t="n">
        <v>15</v>
      </c>
      <c r="H6682" s="56" t="n">
        <v>0</v>
      </c>
      <c r="I6682" s="56" t="n">
        <v>22.9</v>
      </c>
      <c r="J6682" s="56" t="n">
        <v>0</v>
      </c>
      <c r="K6682" s="56" t="n">
        <v>1025.4</v>
      </c>
      <c r="L6682" s="56" t="n">
        <v>0</v>
      </c>
      <c r="M6682" s="56" t="n">
        <v>56</v>
      </c>
      <c r="N6682" s="56" t="n">
        <v>13.3</v>
      </c>
      <c r="O6682" s="56" t="n">
        <f aca="false">IF(D6682=1,"",E6681)</f>
        <v>30.9</v>
      </c>
      <c r="P6682" s="56" t="n">
        <f aca="false">IF(OR(D6682=1,K6681=""),"",K6681)</f>
        <v>1028.5</v>
      </c>
      <c r="Q6682" s="56" t="n">
        <f aca="false">IF(OR(F6682&lt;&gt;0,AND(I6682&lt;&gt;"",E6682&lt;I6682)),1,0)</f>
        <v>0</v>
      </c>
      <c r="R6682" s="56" t="n">
        <f aca="false">IF(AND(D6682&gt;1,Q6682=0,ISNUMBER(O6682),ISNUMBER(P6682)),IF(Q6681=0,1,0),0)</f>
        <v>1</v>
      </c>
      <c r="S6682" s="56" t="n">
        <f aca="false">R6682*(B6682&gt;=Train_Start)*(B6682&lt;=Train_End)</f>
        <v>0</v>
      </c>
      <c r="T6682" s="84" t="n">
        <f aca="false">IF(AND(ISNUMBER(O6682),ISNUMBER(P6682)),Coef_A+Coef_B1*O6682+Coef_B2*P6682,"")</f>
        <v>29.6684931180719</v>
      </c>
      <c r="U6682" s="84" t="n">
        <f aca="false">IF(AND(R6682=1,ISNUMBER(T6682)),E6682-T6682,"")</f>
        <v>3.63150688192809</v>
      </c>
      <c r="V6682" s="84" t="n">
        <f aca="false">IF(ISNUMBER(T6682),T6682,-99)</f>
        <v>29.6684931180719</v>
      </c>
      <c r="W6682" s="84" t="n">
        <f aca="false">IF(ISNUMBER(U6682),ABS(U6682),"")</f>
        <v>3.63150688192809</v>
      </c>
    </row>
    <row r="6683" customFormat="false" ht="15" hidden="false" customHeight="false" outlineLevel="0" collapsed="false">
      <c r="A6683" s="57" t="n">
        <v>44784</v>
      </c>
      <c r="B6683" s="56" t="n">
        <v>2022</v>
      </c>
      <c r="C6683" s="56" t="n">
        <v>8</v>
      </c>
      <c r="D6683" s="56" t="n">
        <v>103</v>
      </c>
      <c r="E6683" s="56" t="n">
        <v>33.9</v>
      </c>
      <c r="F6683" s="56" t="n">
        <v>0</v>
      </c>
      <c r="G6683" s="56" t="n">
        <v>15.7</v>
      </c>
      <c r="H6683" s="56" t="n">
        <v>0</v>
      </c>
      <c r="I6683" s="56" t="n">
        <v>24.5</v>
      </c>
      <c r="J6683" s="56" t="n">
        <v>0</v>
      </c>
      <c r="K6683" s="56" t="n">
        <v>1021.4</v>
      </c>
      <c r="L6683" s="56" t="n">
        <v>0</v>
      </c>
      <c r="M6683" s="56" t="n">
        <v>49</v>
      </c>
      <c r="N6683" s="56" t="n">
        <v>13.4</v>
      </c>
      <c r="O6683" s="56" t="n">
        <f aca="false">IF(D6683=1,"",E6682)</f>
        <v>33.3</v>
      </c>
      <c r="P6683" s="56" t="n">
        <f aca="false">IF(OR(D6683=1,K6682=""),"",K6682)</f>
        <v>1025.4</v>
      </c>
      <c r="Q6683" s="56" t="n">
        <f aca="false">IF(OR(F6683&lt;&gt;0,AND(I6683&lt;&gt;"",E6683&lt;I6683)),1,0)</f>
        <v>0</v>
      </c>
      <c r="R6683" s="56" t="n">
        <f aca="false">IF(AND(D6683&gt;1,Q6683=0,ISNUMBER(O6683),ISNUMBER(P6683)),IF(Q6682=0,1,0),0)</f>
        <v>1</v>
      </c>
      <c r="S6683" s="56" t="n">
        <f aca="false">R6683*(B6683&gt;=Train_Start)*(B6683&lt;=Train_End)</f>
        <v>0</v>
      </c>
      <c r="T6683" s="84" t="n">
        <f aca="false">IF(AND(ISNUMBER(O6683),ISNUMBER(P6683)),Coef_A+Coef_B1*O6683+Coef_B2*P6683,"")</f>
        <v>31.5376605080089</v>
      </c>
      <c r="U6683" s="84" t="n">
        <f aca="false">IF(AND(R6683=1,ISNUMBER(T6683)),E6683-T6683,"")</f>
        <v>2.36233949199108</v>
      </c>
      <c r="V6683" s="84" t="n">
        <f aca="false">IF(ISNUMBER(T6683),T6683,-99)</f>
        <v>31.5376605080089</v>
      </c>
      <c r="W6683" s="84" t="n">
        <f aca="false">IF(ISNUMBER(U6683),ABS(U6683),"")</f>
        <v>2.36233949199108</v>
      </c>
    </row>
    <row r="6684" customFormat="false" ht="15" hidden="false" customHeight="false" outlineLevel="0" collapsed="false">
      <c r="A6684" s="57" t="n">
        <v>44785</v>
      </c>
      <c r="B6684" s="56" t="n">
        <v>2022</v>
      </c>
      <c r="C6684" s="56" t="n">
        <v>8</v>
      </c>
      <c r="D6684" s="56" t="n">
        <v>104</v>
      </c>
      <c r="E6684" s="56" t="n">
        <v>34.2</v>
      </c>
      <c r="F6684" s="56" t="n">
        <v>0</v>
      </c>
      <c r="G6684" s="56" t="n">
        <v>17.6</v>
      </c>
      <c r="H6684" s="56" t="n">
        <v>0</v>
      </c>
      <c r="I6684" s="56" t="n">
        <v>25.8</v>
      </c>
      <c r="J6684" s="56" t="n">
        <v>0</v>
      </c>
      <c r="K6684" s="56" t="n">
        <v>1018</v>
      </c>
      <c r="L6684" s="56" t="n">
        <v>0</v>
      </c>
      <c r="M6684" s="56" t="n">
        <v>42</v>
      </c>
      <c r="N6684" s="56" t="n">
        <v>13.2</v>
      </c>
      <c r="O6684" s="56" t="n">
        <f aca="false">IF(D6684=1,"",E6683)</f>
        <v>33.9</v>
      </c>
      <c r="P6684" s="56" t="n">
        <f aca="false">IF(OR(D6684=1,K6683=""),"",K6683)</f>
        <v>1021.4</v>
      </c>
      <c r="Q6684" s="56" t="n">
        <f aca="false">IF(OR(F6684&lt;&gt;0,AND(I6684&lt;&gt;"",E6684&lt;I6684)),1,0)</f>
        <v>0</v>
      </c>
      <c r="R6684" s="56" t="n">
        <f aca="false">IF(AND(D6684&gt;1,Q6684=0,ISNUMBER(O6684),ISNUMBER(P6684)),IF(Q6683=0,1,0),0)</f>
        <v>1</v>
      </c>
      <c r="S6684" s="56" t="n">
        <f aca="false">R6684*(B6684&gt;=Train_Start)*(B6684&lt;=Train_End)</f>
        <v>0</v>
      </c>
      <c r="T6684" s="84" t="n">
        <f aca="false">IF(AND(ISNUMBER(O6684),ISNUMBER(P6684)),Coef_A+Coef_B1*O6684+Coef_B2*P6684,"")</f>
        <v>31.9037844452986</v>
      </c>
      <c r="U6684" s="84" t="n">
        <f aca="false">IF(AND(R6684=1,ISNUMBER(T6684)),E6684-T6684,"")</f>
        <v>2.29621555470145</v>
      </c>
      <c r="V6684" s="84" t="n">
        <f aca="false">IF(ISNUMBER(T6684),T6684,-99)</f>
        <v>31.9037844452986</v>
      </c>
      <c r="W6684" s="84" t="n">
        <f aca="false">IF(ISNUMBER(U6684),ABS(U6684),"")</f>
        <v>2.29621555470145</v>
      </c>
    </row>
    <row r="6685" customFormat="false" ht="15" hidden="false" customHeight="false" outlineLevel="0" collapsed="false">
      <c r="A6685" s="57" t="n">
        <v>44786</v>
      </c>
      <c r="B6685" s="56" t="n">
        <v>2022</v>
      </c>
      <c r="C6685" s="56" t="n">
        <v>8</v>
      </c>
      <c r="D6685" s="56" t="n">
        <v>105</v>
      </c>
      <c r="E6685" s="56" t="n">
        <v>33.1</v>
      </c>
      <c r="F6685" s="56" t="n">
        <v>0</v>
      </c>
      <c r="G6685" s="56" t="n">
        <v>18.2</v>
      </c>
      <c r="H6685" s="56" t="n">
        <v>0</v>
      </c>
      <c r="I6685" s="56" t="n">
        <v>26.2</v>
      </c>
      <c r="J6685" s="56" t="n">
        <v>0</v>
      </c>
      <c r="K6685" s="56" t="n">
        <v>1013.7</v>
      </c>
      <c r="L6685" s="56" t="n">
        <v>0</v>
      </c>
      <c r="M6685" s="56" t="n">
        <v>42</v>
      </c>
      <c r="N6685" s="56" t="n">
        <v>12.5</v>
      </c>
      <c r="O6685" s="56" t="n">
        <f aca="false">IF(D6685=1,"",E6684)</f>
        <v>34.2</v>
      </c>
      <c r="P6685" s="56" t="n">
        <f aca="false">IF(OR(D6685=1,K6684=""),"",K6684)</f>
        <v>1018</v>
      </c>
      <c r="Q6685" s="56" t="n">
        <f aca="false">IF(OR(F6685&lt;&gt;0,AND(I6685&lt;&gt;"",E6685&lt;I6685)),1,0)</f>
        <v>0</v>
      </c>
      <c r="R6685" s="56" t="n">
        <f aca="false">IF(AND(D6685&gt;1,Q6685=0,ISNUMBER(O6685),ISNUMBER(P6685)),IF(Q6684=0,1,0),0)</f>
        <v>1</v>
      </c>
      <c r="S6685" s="56" t="n">
        <f aca="false">R6685*(B6685&gt;=Train_Start)*(B6685&lt;=Train_End)</f>
        <v>0</v>
      </c>
      <c r="T6685" s="84" t="n">
        <f aca="false">IF(AND(ISNUMBER(O6685),ISNUMBER(P6685)),Coef_A+Coef_B1*O6685+Coef_B2*P6685,"")</f>
        <v>32.0429285614558</v>
      </c>
      <c r="U6685" s="84" t="n">
        <f aca="false">IF(AND(R6685=1,ISNUMBER(T6685)),E6685-T6685,"")</f>
        <v>1.05707143854421</v>
      </c>
      <c r="V6685" s="84" t="n">
        <f aca="false">IF(ISNUMBER(T6685),T6685,-99)</f>
        <v>32.0429285614558</v>
      </c>
      <c r="W6685" s="84" t="n">
        <f aca="false">IF(ISNUMBER(U6685),ABS(U6685),"")</f>
        <v>1.05707143854421</v>
      </c>
    </row>
    <row r="6686" customFormat="false" ht="15" hidden="false" customHeight="false" outlineLevel="0" collapsed="false">
      <c r="A6686" s="57" t="n">
        <v>44787</v>
      </c>
      <c r="B6686" s="56" t="n">
        <v>2022</v>
      </c>
      <c r="C6686" s="56" t="n">
        <v>8</v>
      </c>
      <c r="D6686" s="56" t="n">
        <v>106</v>
      </c>
      <c r="E6686" s="56" t="n">
        <v>29.5</v>
      </c>
      <c r="F6686" s="56" t="n">
        <v>0</v>
      </c>
      <c r="G6686" s="56" t="n">
        <v>18.2</v>
      </c>
      <c r="H6686" s="56" t="n">
        <v>0</v>
      </c>
      <c r="I6686" s="56" t="n">
        <v>25.6</v>
      </c>
      <c r="J6686" s="56" t="n">
        <v>0</v>
      </c>
      <c r="K6686" s="56" t="n">
        <v>1006.7</v>
      </c>
      <c r="L6686" s="56" t="n">
        <v>0</v>
      </c>
      <c r="M6686" s="56" t="n">
        <v>40</v>
      </c>
      <c r="N6686" s="56" t="n">
        <v>9.7</v>
      </c>
      <c r="O6686" s="56" t="n">
        <f aca="false">IF(D6686=1,"",E6685)</f>
        <v>33.1</v>
      </c>
      <c r="P6686" s="56" t="n">
        <f aca="false">IF(OR(D6686=1,K6685=""),"",K6685)</f>
        <v>1013.7</v>
      </c>
      <c r="Q6686" s="56" t="n">
        <f aca="false">IF(OR(F6686&lt;&gt;0,AND(I6686&lt;&gt;"",E6686&lt;I6686)),1,0)</f>
        <v>0</v>
      </c>
      <c r="R6686" s="56" t="n">
        <f aca="false">IF(AND(D6686&gt;1,Q6686=0,ISNUMBER(O6686),ISNUMBER(P6686)),IF(Q6685=0,1,0),0)</f>
        <v>1</v>
      </c>
      <c r="S6686" s="56" t="n">
        <f aca="false">R6686*(B6686&gt;=Train_Start)*(B6686&lt;=Train_End)</f>
        <v>0</v>
      </c>
      <c r="T6686" s="84" t="n">
        <f aca="false">IF(AND(ISNUMBER(O6686),ISNUMBER(P6686)),Coef_A+Coef_B1*O6686+Coef_B2*P6686,"")</f>
        <v>31.0067649021827</v>
      </c>
      <c r="U6686" s="84" t="n">
        <f aca="false">IF(AND(R6686=1,ISNUMBER(T6686)),E6686-T6686,"")</f>
        <v>-1.50676490218271</v>
      </c>
      <c r="V6686" s="84" t="n">
        <f aca="false">IF(ISNUMBER(T6686),T6686,-99)</f>
        <v>31.0067649021827</v>
      </c>
      <c r="W6686" s="84" t="n">
        <f aca="false">IF(ISNUMBER(U6686),ABS(U6686),"")</f>
        <v>1.50676490218271</v>
      </c>
    </row>
    <row r="6687" customFormat="false" ht="15" hidden="false" customHeight="false" outlineLevel="0" collapsed="false">
      <c r="A6687" s="57" t="n">
        <v>44788</v>
      </c>
      <c r="B6687" s="56" t="n">
        <v>2022</v>
      </c>
      <c r="C6687" s="56" t="n">
        <v>8</v>
      </c>
      <c r="D6687" s="56" t="n">
        <v>107</v>
      </c>
      <c r="E6687" s="56" t="n">
        <v>23.6</v>
      </c>
      <c r="F6687" s="56" t="n">
        <v>1</v>
      </c>
      <c r="G6687" s="56" t="n">
        <v>18.1</v>
      </c>
      <c r="H6687" s="56" t="n">
        <v>0</v>
      </c>
      <c r="I6687" s="56" t="n">
        <v>23.8</v>
      </c>
      <c r="J6687" s="56" t="n">
        <v>1</v>
      </c>
      <c r="K6687" s="56" t="n">
        <v>1003</v>
      </c>
      <c r="L6687" s="56" t="n">
        <v>0</v>
      </c>
      <c r="M6687" s="56" t="n">
        <v>51</v>
      </c>
      <c r="N6687" s="56" t="n">
        <v>7.4</v>
      </c>
      <c r="O6687" s="56" t="n">
        <f aca="false">IF(D6687=1,"",E6686)</f>
        <v>29.5</v>
      </c>
      <c r="P6687" s="56" t="n">
        <f aca="false">IF(OR(D6687=1,K6686=""),"",K6686)</f>
        <v>1006.7</v>
      </c>
      <c r="Q6687" s="56" t="n">
        <f aca="false">IF(OR(F6687&lt;&gt;0,AND(I6687&lt;&gt;"",E6687&lt;I6687)),1,0)</f>
        <v>1</v>
      </c>
      <c r="R6687" s="56" t="n">
        <f aca="false">IF(AND(D6687&gt;1,Q6687=0,ISNUMBER(O6687),ISNUMBER(P6687)),IF(Q6686=0,1,0),0)</f>
        <v>0</v>
      </c>
      <c r="S6687" s="56" t="n">
        <f aca="false">R6687*(B6687&gt;=Train_Start)*(B6687&lt;=Train_End)</f>
        <v>0</v>
      </c>
      <c r="T6687" s="84" t="n">
        <f aca="false">IF(AND(ISNUMBER(O6687),ISNUMBER(P6687)),Coef_A+Coef_B1*O6687+Coef_B2*P6687,"")</f>
        <v>27.8375545447912</v>
      </c>
      <c r="U6687" s="84" t="str">
        <f aca="false">IF(AND(R6687=1,ISNUMBER(T6687)),E6687-T6687,"")</f>
        <v/>
      </c>
      <c r="V6687" s="84" t="n">
        <f aca="false">IF(ISNUMBER(T6687),T6687,-99)</f>
        <v>27.8375545447912</v>
      </c>
      <c r="W6687" s="84" t="str">
        <f aca="false">IF(ISNUMBER(U6687),ABS(U6687),"")</f>
        <v/>
      </c>
    </row>
    <row r="6688" customFormat="false" ht="15" hidden="false" customHeight="false" outlineLevel="0" collapsed="false">
      <c r="A6688" s="57" t="n">
        <v>44789</v>
      </c>
      <c r="B6688" s="56" t="n">
        <v>2022</v>
      </c>
      <c r="C6688" s="56" t="n">
        <v>8</v>
      </c>
      <c r="D6688" s="56" t="n">
        <v>108</v>
      </c>
      <c r="E6688" s="56" t="n">
        <v>24.4</v>
      </c>
      <c r="F6688" s="56" t="n">
        <v>0</v>
      </c>
      <c r="G6688" s="56" t="n">
        <v>18.3</v>
      </c>
      <c r="H6688" s="56" t="n">
        <v>0</v>
      </c>
      <c r="I6688" s="56" t="n">
        <v>20.9</v>
      </c>
      <c r="J6688" s="56" t="n">
        <v>0</v>
      </c>
      <c r="K6688" s="56" t="n">
        <v>1007.4</v>
      </c>
      <c r="L6688" s="56" t="n">
        <v>0</v>
      </c>
      <c r="M6688" s="56" t="n">
        <v>76</v>
      </c>
      <c r="N6688" s="56" t="n">
        <v>0.4</v>
      </c>
      <c r="O6688" s="56" t="n">
        <f aca="false">IF(D6688=1,"",E6687)</f>
        <v>23.6</v>
      </c>
      <c r="P6688" s="56" t="n">
        <f aca="false">IF(OR(D6688=1,K6687=""),"",K6687)</f>
        <v>1003</v>
      </c>
      <c r="Q6688" s="56" t="n">
        <f aca="false">IF(OR(F6688&lt;&gt;0,AND(I6688&lt;&gt;"",E6688&lt;I6688)),1,0)</f>
        <v>0</v>
      </c>
      <c r="R6688" s="56" t="n">
        <f aca="false">IF(AND(D6688&gt;1,Q6688=0,ISNUMBER(O6688),ISNUMBER(P6688)),IF(Q6687=0,1,0),0)</f>
        <v>0</v>
      </c>
      <c r="S6688" s="56" t="n">
        <f aca="false">R6688*(B6688&gt;=Train_Start)*(B6688&lt;=Train_End)</f>
        <v>0</v>
      </c>
      <c r="T6688" s="84" t="n">
        <f aca="false">IF(AND(ISNUMBER(O6688),ISNUMBER(P6688)),Coef_A+Coef_B1*O6688+Coef_B2*P6688,"")</f>
        <v>22.8873846956938</v>
      </c>
      <c r="U6688" s="84" t="str">
        <f aca="false">IF(AND(R6688=1,ISNUMBER(T6688)),E6688-T6688,"")</f>
        <v/>
      </c>
      <c r="V6688" s="84" t="n">
        <f aca="false">IF(ISNUMBER(T6688),T6688,-99)</f>
        <v>22.8873846956938</v>
      </c>
      <c r="W6688" s="84" t="str">
        <f aca="false">IF(ISNUMBER(U6688),ABS(U6688),"")</f>
        <v/>
      </c>
    </row>
    <row r="6689" customFormat="false" ht="15" hidden="false" customHeight="false" outlineLevel="0" collapsed="false">
      <c r="A6689" s="57" t="n">
        <v>44790</v>
      </c>
      <c r="B6689" s="56" t="n">
        <v>2022</v>
      </c>
      <c r="C6689" s="56" t="n">
        <v>8</v>
      </c>
      <c r="D6689" s="56" t="n">
        <v>109</v>
      </c>
      <c r="E6689" s="56" t="n">
        <v>27.8</v>
      </c>
      <c r="F6689" s="56" t="n">
        <v>0</v>
      </c>
      <c r="G6689" s="56" t="n">
        <v>16.7</v>
      </c>
      <c r="H6689" s="56" t="n">
        <v>0</v>
      </c>
      <c r="I6689" s="56" t="n">
        <v>20.6</v>
      </c>
      <c r="J6689" s="56" t="n">
        <v>0</v>
      </c>
      <c r="K6689" s="56" t="n">
        <v>1011.9</v>
      </c>
      <c r="L6689" s="56" t="n">
        <v>0</v>
      </c>
      <c r="M6689" s="56" t="n">
        <v>87</v>
      </c>
      <c r="N6689" s="56" t="n">
        <v>0.7</v>
      </c>
      <c r="O6689" s="56" t="n">
        <f aca="false">IF(D6689=1,"",E6688)</f>
        <v>24.4</v>
      </c>
      <c r="P6689" s="56" t="n">
        <f aca="false">IF(OR(D6689=1,K6688=""),"",K6688)</f>
        <v>1007.4</v>
      </c>
      <c r="Q6689" s="56" t="n">
        <f aca="false">IF(OR(F6689&lt;&gt;0,AND(I6689&lt;&gt;"",E6689&lt;I6689)),1,0)</f>
        <v>0</v>
      </c>
      <c r="R6689" s="56" t="n">
        <f aca="false">IF(AND(D6689&gt;1,Q6689=0,ISNUMBER(O6689),ISNUMBER(P6689)),IF(Q6688=0,1,0),0)</f>
        <v>1</v>
      </c>
      <c r="S6689" s="56" t="n">
        <f aca="false">R6689*(B6689&gt;=Train_Start)*(B6689&lt;=Train_End)</f>
        <v>0</v>
      </c>
      <c r="T6689" s="84" t="n">
        <f aca="false">IF(AND(ISNUMBER(O6689),ISNUMBER(P6689)),Coef_A+Coef_B1*O6689+Coef_B2*P6689,"")</f>
        <v>23.6808835865175</v>
      </c>
      <c r="U6689" s="84" t="n">
        <f aca="false">IF(AND(R6689=1,ISNUMBER(T6689)),E6689-T6689,"")</f>
        <v>4.11911641348254</v>
      </c>
      <c r="V6689" s="84" t="n">
        <f aca="false">IF(ISNUMBER(T6689),T6689,-99)</f>
        <v>23.6808835865175</v>
      </c>
      <c r="W6689" s="84" t="n">
        <f aca="false">IF(ISNUMBER(U6689),ABS(U6689),"")</f>
        <v>4.11911641348254</v>
      </c>
    </row>
    <row r="6690" customFormat="false" ht="15" hidden="false" customHeight="false" outlineLevel="0" collapsed="false">
      <c r="A6690" s="57" t="n">
        <v>44791</v>
      </c>
      <c r="B6690" s="56" t="n">
        <v>2022</v>
      </c>
      <c r="C6690" s="56" t="n">
        <v>8</v>
      </c>
      <c r="D6690" s="56" t="n">
        <v>110</v>
      </c>
      <c r="E6690" s="56" t="n">
        <v>25.2</v>
      </c>
      <c r="F6690" s="56" t="n">
        <v>0</v>
      </c>
      <c r="G6690" s="56" t="n">
        <v>17.5</v>
      </c>
      <c r="H6690" s="56" t="n">
        <v>0</v>
      </c>
      <c r="I6690" s="56" t="n">
        <v>22.6</v>
      </c>
      <c r="J6690" s="56" t="n">
        <v>0</v>
      </c>
      <c r="K6690" s="56" t="n">
        <v>1014</v>
      </c>
      <c r="L6690" s="56" t="n">
        <v>0</v>
      </c>
      <c r="M6690" s="56" t="n">
        <v>72</v>
      </c>
      <c r="N6690" s="56" t="n">
        <v>5.9</v>
      </c>
      <c r="O6690" s="56" t="n">
        <f aca="false">IF(D6690=1,"",E6689)</f>
        <v>27.8</v>
      </c>
      <c r="P6690" s="56" t="n">
        <f aca="false">IF(OR(D6690=1,K6689=""),"",K6689)</f>
        <v>1011.9</v>
      </c>
      <c r="Q6690" s="56" t="n">
        <f aca="false">IF(OR(F6690&lt;&gt;0,AND(I6690&lt;&gt;"",E6690&lt;I6690)),1,0)</f>
        <v>0</v>
      </c>
      <c r="R6690" s="56" t="n">
        <f aca="false">IF(AND(D6690&gt;1,Q6690=0,ISNUMBER(O6690),ISNUMBER(P6690)),IF(Q6689=0,1,0),0)</f>
        <v>1</v>
      </c>
      <c r="S6690" s="56" t="n">
        <f aca="false">R6690*(B6690&gt;=Train_Start)*(B6690&lt;=Train_End)</f>
        <v>0</v>
      </c>
      <c r="T6690" s="84" t="n">
        <f aca="false">IF(AND(ISNUMBER(O6690),ISNUMBER(P6690)),Coef_A+Coef_B1*O6690+Coef_B2*P6690,"")</f>
        <v>26.6078013687154</v>
      </c>
      <c r="U6690" s="84" t="n">
        <f aca="false">IF(AND(R6690=1,ISNUMBER(T6690)),E6690-T6690,"")</f>
        <v>-1.40780136871544</v>
      </c>
      <c r="V6690" s="84" t="n">
        <f aca="false">IF(ISNUMBER(T6690),T6690,-99)</f>
        <v>26.6078013687154</v>
      </c>
      <c r="W6690" s="84" t="n">
        <f aca="false">IF(ISNUMBER(U6690),ABS(U6690),"")</f>
        <v>1.40780136871544</v>
      </c>
    </row>
    <row r="6691" customFormat="false" ht="15" hidden="false" customHeight="false" outlineLevel="0" collapsed="false">
      <c r="A6691" s="57" t="n">
        <v>44792</v>
      </c>
      <c r="B6691" s="56" t="n">
        <v>2022</v>
      </c>
      <c r="C6691" s="56" t="n">
        <v>8</v>
      </c>
      <c r="D6691" s="56" t="n">
        <v>111</v>
      </c>
      <c r="E6691" s="56" t="n">
        <v>26</v>
      </c>
      <c r="F6691" s="56" t="n">
        <v>0</v>
      </c>
      <c r="G6691" s="56" t="n">
        <v>18.9</v>
      </c>
      <c r="H6691" s="56" t="n">
        <v>0</v>
      </c>
      <c r="I6691" s="56" t="n">
        <v>22.1</v>
      </c>
      <c r="J6691" s="56" t="n">
        <v>0</v>
      </c>
      <c r="K6691" s="56" t="n">
        <v>1014.8</v>
      </c>
      <c r="L6691" s="56" t="n">
        <v>0</v>
      </c>
      <c r="M6691" s="56" t="n">
        <v>60</v>
      </c>
      <c r="N6691" s="56" t="n">
        <v>8</v>
      </c>
      <c r="O6691" s="56" t="n">
        <f aca="false">IF(D6691=1,"",E6690)</f>
        <v>25.2</v>
      </c>
      <c r="P6691" s="56" t="n">
        <f aca="false">IF(OR(D6691=1,K6690=""),"",K6690)</f>
        <v>1014</v>
      </c>
      <c r="Q6691" s="56" t="n">
        <f aca="false">IF(OR(F6691&lt;&gt;0,AND(I6691&lt;&gt;"",E6691&lt;I6691)),1,0)</f>
        <v>0</v>
      </c>
      <c r="R6691" s="56" t="n">
        <f aca="false">IF(AND(D6691&gt;1,Q6691=0,ISNUMBER(O6691),ISNUMBER(P6691)),IF(Q6690=0,1,0),0)</f>
        <v>1</v>
      </c>
      <c r="S6691" s="56" t="n">
        <f aca="false">R6691*(B6691&gt;=Train_Start)*(B6691&lt;=Train_End)</f>
        <v>0</v>
      </c>
      <c r="T6691" s="84" t="n">
        <f aca="false">IF(AND(ISNUMBER(O6691),ISNUMBER(P6691)),Coef_A+Coef_B1*O6691+Coef_B2*P6691,"")</f>
        <v>24.5433962455359</v>
      </c>
      <c r="U6691" s="84" t="n">
        <f aca="false">IF(AND(R6691=1,ISNUMBER(T6691)),E6691-T6691,"")</f>
        <v>1.45660375446409</v>
      </c>
      <c r="V6691" s="84" t="n">
        <f aca="false">IF(ISNUMBER(T6691),T6691,-99)</f>
        <v>24.5433962455359</v>
      </c>
      <c r="W6691" s="84" t="n">
        <f aca="false">IF(ISNUMBER(U6691),ABS(U6691),"")</f>
        <v>1.45660375446409</v>
      </c>
    </row>
    <row r="6692" customFormat="false" ht="15" hidden="false" customHeight="false" outlineLevel="0" collapsed="false">
      <c r="A6692" s="57" t="n">
        <v>44793</v>
      </c>
      <c r="B6692" s="56" t="n">
        <v>2022</v>
      </c>
      <c r="C6692" s="56" t="n">
        <v>8</v>
      </c>
      <c r="D6692" s="56" t="n">
        <v>112</v>
      </c>
      <c r="E6692" s="56" t="n">
        <v>25.4</v>
      </c>
      <c r="F6692" s="56" t="n">
        <v>0</v>
      </c>
      <c r="G6692" s="56" t="n">
        <v>13.3</v>
      </c>
      <c r="H6692" s="56" t="n">
        <v>0</v>
      </c>
      <c r="I6692" s="56" t="n">
        <v>19.6</v>
      </c>
      <c r="J6692" s="56" t="n">
        <v>0</v>
      </c>
      <c r="K6692" s="56" t="n">
        <v>1017.2</v>
      </c>
      <c r="L6692" s="56" t="n">
        <v>0</v>
      </c>
      <c r="M6692" s="56" t="n">
        <v>64</v>
      </c>
      <c r="N6692" s="56" t="n">
        <v>7.9</v>
      </c>
      <c r="O6692" s="56" t="n">
        <f aca="false">IF(D6692=1,"",E6691)</f>
        <v>26</v>
      </c>
      <c r="P6692" s="56" t="n">
        <f aca="false">IF(OR(D6692=1,K6691=""),"",K6691)</f>
        <v>1014.8</v>
      </c>
      <c r="Q6692" s="56" t="n">
        <f aca="false">IF(OR(F6692&lt;&gt;0,AND(I6692&lt;&gt;"",E6692&lt;I6692)),1,0)</f>
        <v>0</v>
      </c>
      <c r="R6692" s="56" t="n">
        <f aca="false">IF(AND(D6692&gt;1,Q6692=0,ISNUMBER(O6692),ISNUMBER(P6692)),IF(Q6691=0,1,0),0)</f>
        <v>1</v>
      </c>
      <c r="S6692" s="56" t="n">
        <f aca="false">R6692*(B6692&gt;=Train_Start)*(B6692&lt;=Train_End)</f>
        <v>0</v>
      </c>
      <c r="T6692" s="84" t="n">
        <f aca="false">IF(AND(ISNUMBER(O6692),ISNUMBER(P6692)),Coef_A+Coef_B1*O6692+Coef_B2*P6692,"")</f>
        <v>25.2239635156772</v>
      </c>
      <c r="U6692" s="84" t="n">
        <f aca="false">IF(AND(R6692=1,ISNUMBER(T6692)),E6692-T6692,"")</f>
        <v>0.176036484322768</v>
      </c>
      <c r="V6692" s="84" t="n">
        <f aca="false">IF(ISNUMBER(T6692),T6692,-99)</f>
        <v>25.2239635156772</v>
      </c>
      <c r="W6692" s="84" t="n">
        <f aca="false">IF(ISNUMBER(U6692),ABS(U6692),"")</f>
        <v>0.176036484322768</v>
      </c>
    </row>
    <row r="6693" customFormat="false" ht="15" hidden="false" customHeight="false" outlineLevel="0" collapsed="false">
      <c r="A6693" s="57" t="n">
        <v>44794</v>
      </c>
      <c r="B6693" s="56" t="n">
        <v>2022</v>
      </c>
      <c r="C6693" s="56" t="n">
        <v>8</v>
      </c>
      <c r="D6693" s="56" t="n">
        <v>113</v>
      </c>
      <c r="E6693" s="56" t="n">
        <v>23.4</v>
      </c>
      <c r="F6693" s="56" t="n">
        <v>0</v>
      </c>
      <c r="G6693" s="56" t="n">
        <v>14.4</v>
      </c>
      <c r="H6693" s="56" t="n">
        <v>0</v>
      </c>
      <c r="I6693" s="56" t="n">
        <v>19.9</v>
      </c>
      <c r="J6693" s="56" t="n">
        <v>0</v>
      </c>
      <c r="K6693" s="56" t="n">
        <v>1015.8</v>
      </c>
      <c r="L6693" s="56" t="n">
        <v>0</v>
      </c>
      <c r="M6693" s="56" t="n">
        <v>66</v>
      </c>
      <c r="N6693" s="56" t="n">
        <v>6.8</v>
      </c>
      <c r="O6693" s="56" t="n">
        <f aca="false">IF(D6693=1,"",E6692)</f>
        <v>25.4</v>
      </c>
      <c r="P6693" s="56" t="n">
        <f aca="false">IF(OR(D6693=1,K6692=""),"",K6692)</f>
        <v>1017.2</v>
      </c>
      <c r="Q6693" s="56" t="n">
        <f aca="false">IF(OR(F6693&lt;&gt;0,AND(I6693&lt;&gt;"",E6693&lt;I6693)),1,0)</f>
        <v>0</v>
      </c>
      <c r="R6693" s="56" t="n">
        <f aca="false">IF(AND(D6693&gt;1,Q6693=0,ISNUMBER(O6693),ISNUMBER(P6693)),IF(Q6692=0,1,0),0)</f>
        <v>1</v>
      </c>
      <c r="S6693" s="56" t="n">
        <f aca="false">R6693*(B6693&gt;=Train_Start)*(B6693&lt;=Train_End)</f>
        <v>0</v>
      </c>
      <c r="T6693" s="84" t="n">
        <f aca="false">IF(AND(ISNUMBER(O6693),ISNUMBER(P6693)),Coef_A+Coef_B1*O6693+Coef_B2*P6693,"")</f>
        <v>24.8076477469732</v>
      </c>
      <c r="U6693" s="84" t="n">
        <f aca="false">IF(AND(R6693=1,ISNUMBER(T6693)),E6693-T6693,"")</f>
        <v>-1.40764774697321</v>
      </c>
      <c r="V6693" s="84" t="n">
        <f aca="false">IF(ISNUMBER(T6693),T6693,-99)</f>
        <v>24.8076477469732</v>
      </c>
      <c r="W6693" s="84" t="n">
        <f aca="false">IF(ISNUMBER(U6693),ABS(U6693),"")</f>
        <v>1.40764774697321</v>
      </c>
    </row>
    <row r="6694" customFormat="false" ht="15" hidden="false" customHeight="false" outlineLevel="0" collapsed="false">
      <c r="A6694" s="57" t="n">
        <v>44795</v>
      </c>
      <c r="B6694" s="56" t="n">
        <v>2022</v>
      </c>
      <c r="C6694" s="56" t="n">
        <v>8</v>
      </c>
      <c r="D6694" s="56" t="n">
        <v>114</v>
      </c>
      <c r="E6694" s="56" t="n">
        <v>26.5</v>
      </c>
      <c r="F6694" s="56" t="n">
        <v>0</v>
      </c>
      <c r="G6694" s="56" t="n">
        <v>14</v>
      </c>
      <c r="H6694" s="56" t="n">
        <v>0</v>
      </c>
      <c r="I6694" s="56" t="n">
        <v>18.7</v>
      </c>
      <c r="J6694" s="56" t="n">
        <v>0</v>
      </c>
      <c r="K6694" s="56" t="n">
        <v>1013.8</v>
      </c>
      <c r="L6694" s="56" t="n">
        <v>0</v>
      </c>
      <c r="M6694" s="56" t="n">
        <v>76</v>
      </c>
      <c r="N6694" s="56" t="n">
        <v>3.5</v>
      </c>
      <c r="O6694" s="56" t="n">
        <f aca="false">IF(D6694=1,"",E6693)</f>
        <v>23.4</v>
      </c>
      <c r="P6694" s="56" t="n">
        <f aca="false">IF(OR(D6694=1,K6693=""),"",K6693)</f>
        <v>1015.8</v>
      </c>
      <c r="Q6694" s="56" t="n">
        <f aca="false">IF(OR(F6694&lt;&gt;0,AND(I6694&lt;&gt;"",E6694&lt;I6694)),1,0)</f>
        <v>0</v>
      </c>
      <c r="R6694" s="56" t="n">
        <f aca="false">IF(AND(D6694&gt;1,Q6694=0,ISNUMBER(O6694),ISNUMBER(P6694)),IF(Q6693=0,1,0),0)</f>
        <v>1</v>
      </c>
      <c r="S6694" s="56" t="n">
        <f aca="false">R6694*(B6694&gt;=Train_Start)*(B6694&lt;=Train_End)</f>
        <v>0</v>
      </c>
      <c r="T6694" s="84" t="n">
        <f aca="false">IF(AND(ISNUMBER(O6694),ISNUMBER(P6694)),Coef_A+Coef_B1*O6694+Coef_B2*P6694,"")</f>
        <v>23.1250515084003</v>
      </c>
      <c r="U6694" s="84" t="n">
        <f aca="false">IF(AND(R6694=1,ISNUMBER(T6694)),E6694-T6694,"")</f>
        <v>3.37494849159969</v>
      </c>
      <c r="V6694" s="84" t="n">
        <f aca="false">IF(ISNUMBER(T6694),T6694,-99)</f>
        <v>23.1250515084003</v>
      </c>
      <c r="W6694" s="84" t="n">
        <f aca="false">IF(ISNUMBER(U6694),ABS(U6694),"")</f>
        <v>3.37494849159969</v>
      </c>
    </row>
    <row r="6695" customFormat="false" ht="15" hidden="false" customHeight="false" outlineLevel="0" collapsed="false">
      <c r="A6695" s="57" t="n">
        <v>44796</v>
      </c>
      <c r="B6695" s="56" t="n">
        <v>2022</v>
      </c>
      <c r="C6695" s="56" t="n">
        <v>8</v>
      </c>
      <c r="D6695" s="56" t="n">
        <v>115</v>
      </c>
      <c r="E6695" s="56" t="n">
        <v>29.1</v>
      </c>
      <c r="F6695" s="56" t="n">
        <v>0</v>
      </c>
      <c r="G6695" s="56" t="n">
        <v>17.8</v>
      </c>
      <c r="H6695" s="56" t="n">
        <v>0</v>
      </c>
      <c r="I6695" s="56" t="n">
        <v>22.1</v>
      </c>
      <c r="J6695" s="56" t="n">
        <v>0</v>
      </c>
      <c r="K6695" s="56" t="n">
        <v>1014</v>
      </c>
      <c r="L6695" s="56" t="n">
        <v>0</v>
      </c>
      <c r="M6695" s="56" t="n">
        <v>80</v>
      </c>
      <c r="N6695" s="56" t="n">
        <v>3.8</v>
      </c>
      <c r="O6695" s="56" t="n">
        <f aca="false">IF(D6695=1,"",E6694)</f>
        <v>26.5</v>
      </c>
      <c r="P6695" s="56" t="n">
        <f aca="false">IF(OR(D6695=1,K6694=""),"",K6694)</f>
        <v>1013.8</v>
      </c>
      <c r="Q6695" s="56" t="n">
        <f aca="false">IF(OR(F6695&lt;&gt;0,AND(I6695&lt;&gt;"",E6695&lt;I6695)),1,0)</f>
        <v>0</v>
      </c>
      <c r="R6695" s="56" t="n">
        <f aca="false">IF(AND(D6695&gt;1,Q6695=0,ISNUMBER(O6695),ISNUMBER(P6695)),IF(Q6694=0,1,0),0)</f>
        <v>1</v>
      </c>
      <c r="S6695" s="56" t="n">
        <f aca="false">R6695*(B6695&gt;=Train_Start)*(B6695&lt;=Train_End)</f>
        <v>0</v>
      </c>
      <c r="T6695" s="84" t="n">
        <f aca="false">IF(AND(ISNUMBER(O6695),ISNUMBER(P6695)),Coef_A+Coef_B1*O6695+Coef_B2*P6695,"")</f>
        <v>25.6022632175646</v>
      </c>
      <c r="U6695" s="84" t="n">
        <f aca="false">IF(AND(R6695=1,ISNUMBER(T6695)),E6695-T6695,"")</f>
        <v>3.49773678243543</v>
      </c>
      <c r="V6695" s="84" t="n">
        <f aca="false">IF(ISNUMBER(T6695),T6695,-99)</f>
        <v>25.6022632175646</v>
      </c>
      <c r="W6695" s="84" t="n">
        <f aca="false">IF(ISNUMBER(U6695),ABS(U6695),"")</f>
        <v>3.49773678243543</v>
      </c>
    </row>
    <row r="6696" customFormat="false" ht="15" hidden="false" customHeight="false" outlineLevel="0" collapsed="false">
      <c r="A6696" s="57" t="n">
        <v>44797</v>
      </c>
      <c r="B6696" s="56" t="n">
        <v>2022</v>
      </c>
      <c r="C6696" s="56" t="n">
        <v>8</v>
      </c>
      <c r="D6696" s="56" t="n">
        <v>116</v>
      </c>
      <c r="E6696" s="56" t="n">
        <v>21.8</v>
      </c>
      <c r="F6696" s="56" t="n">
        <v>1</v>
      </c>
      <c r="G6696" s="56" t="n">
        <v>20</v>
      </c>
      <c r="H6696" s="56" t="n">
        <v>0</v>
      </c>
      <c r="I6696" s="56" t="n">
        <v>24.6</v>
      </c>
      <c r="J6696" s="56" t="n">
        <v>1</v>
      </c>
      <c r="K6696" s="56" t="n">
        <v>1016.2</v>
      </c>
      <c r="L6696" s="56" t="n">
        <v>0</v>
      </c>
      <c r="M6696" s="56" t="n">
        <v>66</v>
      </c>
      <c r="N6696" s="56" t="n">
        <v>8</v>
      </c>
      <c r="O6696" s="56" t="n">
        <f aca="false">IF(D6696=1,"",E6695)</f>
        <v>29.1</v>
      </c>
      <c r="P6696" s="56" t="n">
        <f aca="false">IF(OR(D6696=1,K6695=""),"",K6695)</f>
        <v>1014</v>
      </c>
      <c r="Q6696" s="56" t="n">
        <f aca="false">IF(OR(F6696&lt;&gt;0,AND(I6696&lt;&gt;"",E6696&lt;I6696)),1,0)</f>
        <v>1</v>
      </c>
      <c r="R6696" s="56" t="n">
        <f aca="false">IF(AND(D6696&gt;1,Q6696=0,ISNUMBER(O6696),ISNUMBER(P6696)),IF(Q6695=0,1,0),0)</f>
        <v>0</v>
      </c>
      <c r="S6696" s="56" t="n">
        <f aca="false">R6696*(B6696&gt;=Train_Start)*(B6696&lt;=Train_End)</f>
        <v>0</v>
      </c>
      <c r="T6696" s="84" t="n">
        <f aca="false">IF(AND(ISNUMBER(O6696),ISNUMBER(P6696)),Coef_A+Coef_B1*O6696+Coef_B2*P6696,"")</f>
        <v>27.7388190984023</v>
      </c>
      <c r="U6696" s="84" t="str">
        <f aca="false">IF(AND(R6696=1,ISNUMBER(T6696)),E6696-T6696,"")</f>
        <v/>
      </c>
      <c r="V6696" s="84" t="n">
        <f aca="false">IF(ISNUMBER(T6696),T6696,-99)</f>
        <v>27.7388190984023</v>
      </c>
      <c r="W6696" s="84" t="str">
        <f aca="false">IF(ISNUMBER(U6696),ABS(U6696),"")</f>
        <v/>
      </c>
    </row>
    <row r="6697" customFormat="false" ht="15" hidden="false" customHeight="false" outlineLevel="0" collapsed="false">
      <c r="A6697" s="57" t="n">
        <v>44798</v>
      </c>
      <c r="B6697" s="56" t="n">
        <v>2022</v>
      </c>
      <c r="C6697" s="56" t="n">
        <v>8</v>
      </c>
      <c r="D6697" s="56" t="n">
        <v>117</v>
      </c>
      <c r="E6697" s="56" t="n">
        <v>25.2</v>
      </c>
      <c r="F6697" s="56" t="n">
        <v>0</v>
      </c>
      <c r="G6697" s="56" t="n">
        <v>17.8</v>
      </c>
      <c r="H6697" s="56" t="n">
        <v>0</v>
      </c>
      <c r="I6697" s="56" t="n">
        <v>19.8</v>
      </c>
      <c r="J6697" s="56" t="n">
        <v>0</v>
      </c>
      <c r="K6697" s="56" t="n">
        <v>1017.5</v>
      </c>
      <c r="L6697" s="56" t="n">
        <v>0</v>
      </c>
      <c r="M6697" s="56" t="n">
        <v>86</v>
      </c>
      <c r="N6697" s="56" t="n">
        <v>1.5</v>
      </c>
      <c r="O6697" s="56" t="n">
        <f aca="false">IF(D6697=1,"",E6696)</f>
        <v>21.8</v>
      </c>
      <c r="P6697" s="56" t="n">
        <f aca="false">IF(OR(D6697=1,K6696=""),"",K6696)</f>
        <v>1016.2</v>
      </c>
      <c r="Q6697" s="56" t="n">
        <f aca="false">IF(OR(F6697&lt;&gt;0,AND(I6697&lt;&gt;"",E6697&lt;I6697)),1,0)</f>
        <v>0</v>
      </c>
      <c r="R6697" s="56" t="n">
        <f aca="false">IF(AND(D6697&gt;1,Q6697=0,ISNUMBER(O6697),ISNUMBER(P6697)),IF(Q6696=0,1,0),0)</f>
        <v>0</v>
      </c>
      <c r="S6697" s="56" t="n">
        <f aca="false">R6697*(B6697&gt;=Train_Start)*(B6697&lt;=Train_End)</f>
        <v>0</v>
      </c>
      <c r="T6697" s="84" t="n">
        <f aca="false">IF(AND(ISNUMBER(O6697),ISNUMBER(P6697)),Coef_A+Coef_B1*O6697+Coef_B2*P6697,"")</f>
        <v>21.8266567573857</v>
      </c>
      <c r="U6697" s="84" t="str">
        <f aca="false">IF(AND(R6697=1,ISNUMBER(T6697)),E6697-T6697,"")</f>
        <v/>
      </c>
      <c r="V6697" s="84" t="n">
        <f aca="false">IF(ISNUMBER(T6697),T6697,-99)</f>
        <v>21.8266567573857</v>
      </c>
      <c r="W6697" s="84" t="str">
        <f aca="false">IF(ISNUMBER(U6697),ABS(U6697),"")</f>
        <v/>
      </c>
    </row>
    <row r="6698" customFormat="false" ht="15" hidden="false" customHeight="false" outlineLevel="0" collapsed="false">
      <c r="A6698" s="57" t="n">
        <v>44799</v>
      </c>
      <c r="B6698" s="56" t="n">
        <v>2022</v>
      </c>
      <c r="C6698" s="56" t="n">
        <v>8</v>
      </c>
      <c r="D6698" s="56" t="n">
        <v>118</v>
      </c>
      <c r="E6698" s="56" t="n">
        <v>25.3</v>
      </c>
      <c r="F6698" s="56" t="n">
        <v>0</v>
      </c>
      <c r="G6698" s="56" t="n">
        <v>11.3</v>
      </c>
      <c r="H6698" s="56" t="n">
        <v>0</v>
      </c>
      <c r="I6698" s="56" t="n">
        <v>18.2</v>
      </c>
      <c r="J6698" s="56" t="n">
        <v>0</v>
      </c>
      <c r="K6698" s="56" t="n">
        <v>1019.2</v>
      </c>
      <c r="L6698" s="56" t="n">
        <v>0</v>
      </c>
      <c r="M6698" s="56" t="n">
        <v>69</v>
      </c>
      <c r="N6698" s="56" t="n">
        <v>8.7</v>
      </c>
      <c r="O6698" s="56" t="n">
        <f aca="false">IF(D6698=1,"",E6697)</f>
        <v>25.2</v>
      </c>
      <c r="P6698" s="56" t="n">
        <f aca="false">IF(OR(D6698=1,K6697=""),"",K6697)</f>
        <v>1017.5</v>
      </c>
      <c r="Q6698" s="56" t="n">
        <f aca="false">IF(OR(F6698&lt;&gt;0,AND(I6698&lt;&gt;"",E6698&lt;I6698)),1,0)</f>
        <v>0</v>
      </c>
      <c r="R6698" s="56" t="n">
        <f aca="false">IF(AND(D6698&gt;1,Q6698=0,ISNUMBER(O6698),ISNUMBER(P6698)),IF(Q6697=0,1,0),0)</f>
        <v>1</v>
      </c>
      <c r="S6698" s="56" t="n">
        <f aca="false">R6698*(B6698&gt;=Train_Start)*(B6698&lt;=Train_End)</f>
        <v>0</v>
      </c>
      <c r="T6698" s="84" t="n">
        <f aca="false">IF(AND(ISNUMBER(O6698),ISNUMBER(P6698)),Coef_A+Coef_B1*O6698+Coef_B2*P6698,"")</f>
        <v>24.6531908767549</v>
      </c>
      <c r="U6698" s="84" t="n">
        <f aca="false">IF(AND(R6698=1,ISNUMBER(T6698)),E6698-T6698,"")</f>
        <v>0.646809123245124</v>
      </c>
      <c r="V6698" s="84" t="n">
        <f aca="false">IF(ISNUMBER(T6698),T6698,-99)</f>
        <v>24.6531908767549</v>
      </c>
      <c r="W6698" s="84" t="n">
        <f aca="false">IF(ISNUMBER(U6698),ABS(U6698),"")</f>
        <v>0.646809123245124</v>
      </c>
    </row>
    <row r="6699" customFormat="false" ht="15" hidden="false" customHeight="false" outlineLevel="0" collapsed="false">
      <c r="A6699" s="57" t="n">
        <v>44800</v>
      </c>
      <c r="B6699" s="56" t="n">
        <v>2022</v>
      </c>
      <c r="C6699" s="56" t="n">
        <v>8</v>
      </c>
      <c r="D6699" s="56" t="n">
        <v>119</v>
      </c>
      <c r="E6699" s="56" t="n">
        <v>24.4</v>
      </c>
      <c r="F6699" s="56" t="n">
        <v>0</v>
      </c>
      <c r="G6699" s="56" t="n">
        <v>15.6</v>
      </c>
      <c r="H6699" s="56" t="n">
        <v>0</v>
      </c>
      <c r="I6699" s="56" t="n">
        <v>20.4</v>
      </c>
      <c r="J6699" s="56" t="n">
        <v>0</v>
      </c>
      <c r="K6699" s="56" t="n">
        <v>1019</v>
      </c>
      <c r="L6699" s="56" t="n">
        <v>0</v>
      </c>
      <c r="M6699" s="56" t="n">
        <v>64</v>
      </c>
      <c r="N6699" s="56" t="n">
        <v>9.1</v>
      </c>
      <c r="O6699" s="56" t="n">
        <f aca="false">IF(D6699=1,"",E6698)</f>
        <v>25.3</v>
      </c>
      <c r="P6699" s="56" t="n">
        <f aca="false">IF(OR(D6699=1,K6698=""),"",K6698)</f>
        <v>1019.2</v>
      </c>
      <c r="Q6699" s="56" t="n">
        <f aca="false">IF(OR(F6699&lt;&gt;0,AND(I6699&lt;&gt;"",E6699&lt;I6699)),1,0)</f>
        <v>0</v>
      </c>
      <c r="R6699" s="56" t="n">
        <f aca="false">IF(AND(D6699&gt;1,Q6699=0,ISNUMBER(O6699),ISNUMBER(P6699)),IF(Q6698=0,1,0),0)</f>
        <v>1</v>
      </c>
      <c r="S6699" s="56" t="n">
        <f aca="false">R6699*(B6699&gt;=Train_Start)*(B6699&lt;=Train_End)</f>
        <v>0</v>
      </c>
      <c r="T6699" s="84" t="n">
        <f aca="false">IF(AND(ISNUMBER(O6699),ISNUMBER(P6699)),Coef_A+Coef_B1*O6699+Coef_B2*P6699,"")</f>
        <v>24.7884536169369</v>
      </c>
      <c r="U6699" s="84" t="n">
        <f aca="false">IF(AND(R6699=1,ISNUMBER(T6699)),E6699-T6699,"")</f>
        <v>-0.388453616936925</v>
      </c>
      <c r="V6699" s="84" t="n">
        <f aca="false">IF(ISNUMBER(T6699),T6699,-99)</f>
        <v>24.7884536169369</v>
      </c>
      <c r="W6699" s="84" t="n">
        <f aca="false">IF(ISNUMBER(U6699),ABS(U6699),"")</f>
        <v>0.388453616936925</v>
      </c>
    </row>
    <row r="6700" customFormat="false" ht="15" hidden="false" customHeight="false" outlineLevel="0" collapsed="false">
      <c r="A6700" s="57" t="n">
        <v>44801</v>
      </c>
      <c r="B6700" s="56" t="n">
        <v>2022</v>
      </c>
      <c r="C6700" s="56" t="n">
        <v>8</v>
      </c>
      <c r="D6700" s="56" t="n">
        <v>120</v>
      </c>
      <c r="E6700" s="56" t="n">
        <v>23.3</v>
      </c>
      <c r="F6700" s="56" t="n">
        <v>0</v>
      </c>
      <c r="G6700" s="56" t="n">
        <v>13.8</v>
      </c>
      <c r="H6700" s="56" t="n">
        <v>0</v>
      </c>
      <c r="I6700" s="56" t="n">
        <v>19.1</v>
      </c>
      <c r="J6700" s="56" t="n">
        <v>0</v>
      </c>
      <c r="K6700" s="56" t="n">
        <v>1021.8</v>
      </c>
      <c r="L6700" s="56" t="n">
        <v>0</v>
      </c>
      <c r="M6700" s="56" t="n">
        <v>66</v>
      </c>
      <c r="N6700" s="56" t="n">
        <v>6.6</v>
      </c>
      <c r="O6700" s="56" t="n">
        <f aca="false">IF(D6700=1,"",E6699)</f>
        <v>24.4</v>
      </c>
      <c r="P6700" s="56" t="n">
        <f aca="false">IF(OR(D6700=1,K6699=""),"",K6699)</f>
        <v>1019</v>
      </c>
      <c r="Q6700" s="56" t="n">
        <f aca="false">IF(OR(F6700&lt;&gt;0,AND(I6700&lt;&gt;"",E6700&lt;I6700)),1,0)</f>
        <v>0</v>
      </c>
      <c r="R6700" s="56" t="n">
        <f aca="false">IF(AND(D6700&gt;1,Q6700=0,ISNUMBER(O6700),ISNUMBER(P6700)),IF(Q6699=0,1,0),0)</f>
        <v>1</v>
      </c>
      <c r="S6700" s="56" t="n">
        <f aca="false">R6700*(B6700&gt;=Train_Start)*(B6700&lt;=Train_End)</f>
        <v>0</v>
      </c>
      <c r="T6700" s="84" t="n">
        <f aca="false">IF(AND(ISNUMBER(O6700),ISNUMBER(P6700)),Coef_A+Coef_B1*O6700+Coef_B2*P6700,"")</f>
        <v>24.0447743642717</v>
      </c>
      <c r="U6700" s="84" t="n">
        <f aca="false">IF(AND(R6700=1,ISNUMBER(T6700)),E6700-T6700,"")</f>
        <v>-0.744774364271734</v>
      </c>
      <c r="V6700" s="84" t="n">
        <f aca="false">IF(ISNUMBER(T6700),T6700,-99)</f>
        <v>24.0447743642717</v>
      </c>
      <c r="W6700" s="84" t="n">
        <f aca="false">IF(ISNUMBER(U6700),ABS(U6700),"")</f>
        <v>0.744774364271734</v>
      </c>
    </row>
    <row r="6701" customFormat="false" ht="15" hidden="false" customHeight="false" outlineLevel="0" collapsed="false">
      <c r="A6701" s="57" t="n">
        <v>44802</v>
      </c>
      <c r="B6701" s="56" t="n">
        <v>2022</v>
      </c>
      <c r="C6701" s="56" t="n">
        <v>8</v>
      </c>
      <c r="D6701" s="56" t="n">
        <v>121</v>
      </c>
      <c r="E6701" s="56" t="n">
        <v>24.4</v>
      </c>
      <c r="F6701" s="56" t="n">
        <v>0</v>
      </c>
      <c r="G6701" s="56" t="n">
        <v>15.6</v>
      </c>
      <c r="H6701" s="56" t="n">
        <v>0</v>
      </c>
      <c r="I6701" s="56" t="n">
        <v>19.4</v>
      </c>
      <c r="J6701" s="56" t="n">
        <v>0</v>
      </c>
      <c r="K6701" s="56" t="n">
        <v>1022.8</v>
      </c>
      <c r="L6701" s="56" t="n">
        <v>0</v>
      </c>
      <c r="M6701" s="56" t="n">
        <v>64</v>
      </c>
      <c r="N6701" s="56" t="n">
        <v>2.6</v>
      </c>
      <c r="O6701" s="56" t="n">
        <f aca="false">IF(D6701=1,"",E6700)</f>
        <v>23.3</v>
      </c>
      <c r="P6701" s="56" t="n">
        <f aca="false">IF(OR(D6701=1,K6700=""),"",K6700)</f>
        <v>1021.8</v>
      </c>
      <c r="Q6701" s="56" t="n">
        <f aca="false">IF(OR(F6701&lt;&gt;0,AND(I6701&lt;&gt;"",E6701&lt;I6701)),1,0)</f>
        <v>0</v>
      </c>
      <c r="R6701" s="56" t="n">
        <f aca="false">IF(AND(D6701&gt;1,Q6701=0,ISNUMBER(O6701),ISNUMBER(P6701)),IF(Q6700=0,1,0),0)</f>
        <v>1</v>
      </c>
      <c r="S6701" s="56" t="n">
        <f aca="false">R6701*(B6701&gt;=Train_Start)*(B6701&lt;=Train_End)</f>
        <v>0</v>
      </c>
      <c r="T6701" s="84" t="n">
        <f aca="false">IF(AND(ISNUMBER(O6701),ISNUMBER(P6701)),Coef_A+Coef_B1*O6701+Coef_B2*P6701,"")</f>
        <v>23.2313369569</v>
      </c>
      <c r="U6701" s="84" t="n">
        <f aca="false">IF(AND(R6701=1,ISNUMBER(T6701)),E6701-T6701,"")</f>
        <v>1.16866304310002</v>
      </c>
      <c r="V6701" s="84" t="n">
        <f aca="false">IF(ISNUMBER(T6701),T6701,-99)</f>
        <v>23.2313369569</v>
      </c>
      <c r="W6701" s="84" t="n">
        <f aca="false">IF(ISNUMBER(U6701),ABS(U6701),"")</f>
        <v>1.16866304310002</v>
      </c>
    </row>
    <row r="6702" customFormat="false" ht="15" hidden="false" customHeight="false" outlineLevel="0" collapsed="false">
      <c r="A6702" s="57" t="n">
        <v>44803</v>
      </c>
      <c r="B6702" s="56" t="n">
        <v>2022</v>
      </c>
      <c r="C6702" s="56" t="n">
        <v>8</v>
      </c>
      <c r="D6702" s="56" t="n">
        <v>122</v>
      </c>
      <c r="E6702" s="56" t="n">
        <v>24.7</v>
      </c>
      <c r="F6702" s="56" t="n">
        <v>0</v>
      </c>
      <c r="G6702" s="56" t="n">
        <v>13.5</v>
      </c>
      <c r="H6702" s="56" t="n">
        <v>0</v>
      </c>
      <c r="I6702" s="56" t="n">
        <v>18.9</v>
      </c>
      <c r="J6702" s="56" t="n">
        <v>0</v>
      </c>
      <c r="K6702" s="56" t="n">
        <v>1023</v>
      </c>
      <c r="L6702" s="56" t="n">
        <v>0</v>
      </c>
      <c r="M6702" s="56" t="n">
        <v>66</v>
      </c>
      <c r="N6702" s="56" t="n">
        <v>5.8</v>
      </c>
      <c r="O6702" s="56" t="n">
        <f aca="false">IF(D6702=1,"",E6701)</f>
        <v>24.4</v>
      </c>
      <c r="P6702" s="56" t="n">
        <f aca="false">IF(OR(D6702=1,K6701=""),"",K6701)</f>
        <v>1022.8</v>
      </c>
      <c r="Q6702" s="56" t="n">
        <f aca="false">IF(OR(F6702&lt;&gt;0,AND(I6702&lt;&gt;"",E6702&lt;I6702)),1,0)</f>
        <v>0</v>
      </c>
      <c r="R6702" s="56" t="n">
        <f aca="false">IF(AND(D6702&gt;1,Q6702=0,ISNUMBER(O6702),ISNUMBER(P6702)),IF(Q6701=0,1,0),0)</f>
        <v>1</v>
      </c>
      <c r="S6702" s="56" t="n">
        <f aca="false">R6702*(B6702&gt;=Train_Start)*(B6702&lt;=Train_End)</f>
        <v>0</v>
      </c>
      <c r="T6702" s="84" t="n">
        <f aca="false">IF(AND(ISNUMBER(O6702),ISNUMBER(P6702)),Coef_A+Coef_B1*O6702+Coef_B2*P6702,"")</f>
        <v>24.1639799638809</v>
      </c>
      <c r="U6702" s="84" t="n">
        <f aca="false">IF(AND(R6702=1,ISNUMBER(T6702)),E6702-T6702,"")</f>
        <v>0.536020036119108</v>
      </c>
      <c r="V6702" s="84" t="n">
        <f aca="false">IF(ISNUMBER(T6702),T6702,-99)</f>
        <v>24.1639799638809</v>
      </c>
      <c r="W6702" s="84" t="n">
        <f aca="false">IF(ISNUMBER(U6702),ABS(U6702),"")</f>
        <v>0.536020036119108</v>
      </c>
    </row>
    <row r="6703" customFormat="false" ht="15" hidden="false" customHeight="false" outlineLevel="0" collapsed="false">
      <c r="A6703" s="57" t="n">
        <v>44804</v>
      </c>
      <c r="B6703" s="56" t="n">
        <v>2022</v>
      </c>
      <c r="C6703" s="56" t="n">
        <v>8</v>
      </c>
      <c r="D6703" s="56" t="n">
        <v>123</v>
      </c>
      <c r="E6703" s="56" t="n">
        <v>23.7</v>
      </c>
      <c r="F6703" s="56" t="n">
        <v>0</v>
      </c>
      <c r="G6703" s="56" t="n">
        <v>13.8</v>
      </c>
      <c r="H6703" s="56" t="n">
        <v>0</v>
      </c>
      <c r="I6703" s="56" t="n">
        <v>19.2</v>
      </c>
      <c r="J6703" s="56" t="n">
        <v>0</v>
      </c>
      <c r="K6703" s="56" t="n">
        <v>1023.6</v>
      </c>
      <c r="L6703" s="56" t="n">
        <v>0</v>
      </c>
      <c r="M6703" s="56" t="n">
        <v>42</v>
      </c>
      <c r="N6703" s="56" t="n">
        <v>5.7</v>
      </c>
      <c r="O6703" s="56" t="n">
        <f aca="false">IF(D6703=1,"",E6702)</f>
        <v>24.7</v>
      </c>
      <c r="P6703" s="56" t="n">
        <f aca="false">IF(OR(D6703=1,K6702=""),"",K6702)</f>
        <v>1023</v>
      </c>
      <c r="Q6703" s="56" t="n">
        <f aca="false">IF(OR(F6703&lt;&gt;0,AND(I6703&lt;&gt;"",E6703&lt;I6703)),1,0)</f>
        <v>0</v>
      </c>
      <c r="R6703" s="56" t="n">
        <f aca="false">IF(AND(D6703&gt;1,Q6703=0,ISNUMBER(O6703),ISNUMBER(P6703)),IF(Q6702=0,1,0),0)</f>
        <v>1</v>
      </c>
      <c r="S6703" s="56" t="n">
        <f aca="false">R6703*(B6703&gt;=Train_Start)*(B6703&lt;=Train_End)</f>
        <v>0</v>
      </c>
      <c r="T6703" s="84" t="n">
        <f aca="false">IF(AND(ISNUMBER(O6703),ISNUMBER(P6703)),Coef_A+Coef_B1*O6703+Coef_B2*P6703,"")</f>
        <v>24.4160557007205</v>
      </c>
      <c r="U6703" s="84" t="n">
        <f aca="false">IF(AND(R6703=1,ISNUMBER(T6703)),E6703-T6703,"")</f>
        <v>-0.716055700720489</v>
      </c>
      <c r="V6703" s="84" t="n">
        <f aca="false">IF(ISNUMBER(T6703),T6703,-99)</f>
        <v>24.4160557007205</v>
      </c>
      <c r="W6703" s="84" t="n">
        <f aca="false">IF(ISNUMBER(U6703),ABS(U6703),"")</f>
        <v>0.716055700720489</v>
      </c>
    </row>
    <row r="6704" customFormat="false" ht="15" hidden="false" customHeight="false" outlineLevel="0" collapsed="false">
      <c r="A6704" s="57" t="n">
        <v>44805</v>
      </c>
      <c r="B6704" s="56" t="n">
        <v>2022</v>
      </c>
      <c r="C6704" s="56" t="n">
        <v>9</v>
      </c>
      <c r="D6704" s="56" t="n">
        <v>124</v>
      </c>
      <c r="E6704" s="56" t="n">
        <v>24.2</v>
      </c>
      <c r="F6704" s="56" t="n">
        <v>0</v>
      </c>
      <c r="G6704" s="56" t="n">
        <v>15.2</v>
      </c>
      <c r="H6704" s="56" t="n">
        <v>0</v>
      </c>
      <c r="I6704" s="56" t="n">
        <v>19.4</v>
      </c>
      <c r="J6704" s="56" t="n">
        <v>0</v>
      </c>
      <c r="K6704" s="56" t="n">
        <v>1019.2</v>
      </c>
      <c r="L6704" s="56" t="n">
        <v>0</v>
      </c>
      <c r="M6704" s="56" t="n">
        <v>70</v>
      </c>
      <c r="N6704" s="56" t="n">
        <v>0.7</v>
      </c>
      <c r="O6704" s="56" t="n">
        <f aca="false">IF(D6704=1,"",E6703)</f>
        <v>23.7</v>
      </c>
      <c r="P6704" s="56" t="n">
        <f aca="false">IF(OR(D6704=1,K6703=""),"",K6703)</f>
        <v>1023.6</v>
      </c>
      <c r="Q6704" s="56" t="n">
        <f aca="false">IF(OR(F6704&lt;&gt;0,AND(I6704&lt;&gt;"",E6704&lt;I6704)),1,0)</f>
        <v>0</v>
      </c>
      <c r="R6704" s="56" t="n">
        <f aca="false">IF(AND(D6704&gt;1,Q6704=0,ISNUMBER(O6704),ISNUMBER(P6704)),IF(Q6703=0,1,0),0)</f>
        <v>1</v>
      </c>
      <c r="S6704" s="56" t="n">
        <f aca="false">R6704*(B6704&gt;=Train_Start)*(B6704&lt;=Train_End)</f>
        <v>0</v>
      </c>
      <c r="T6704" s="84" t="n">
        <f aca="false">IF(AND(ISNUMBER(O6704),ISNUMBER(P6704)),Coef_A+Coef_B1*O6704+Coef_B2*P6704,"")</f>
        <v>23.6155384444582</v>
      </c>
      <c r="U6704" s="84" t="n">
        <f aca="false">IF(AND(R6704=1,ISNUMBER(T6704)),E6704-T6704,"")</f>
        <v>0.584461555541772</v>
      </c>
      <c r="V6704" s="84" t="n">
        <f aca="false">IF(ISNUMBER(T6704),T6704,-99)</f>
        <v>23.6155384444582</v>
      </c>
      <c r="W6704" s="84" t="n">
        <f aca="false">IF(ISNUMBER(U6704),ABS(U6704),"")</f>
        <v>0.584461555541772</v>
      </c>
    </row>
    <row r="6705" customFormat="false" ht="15" hidden="false" customHeight="false" outlineLevel="0" collapsed="false">
      <c r="A6705" s="57" t="n">
        <v>44806</v>
      </c>
      <c r="B6705" s="56" t="n">
        <v>2022</v>
      </c>
      <c r="C6705" s="56" t="n">
        <v>9</v>
      </c>
      <c r="D6705" s="56" t="n">
        <v>125</v>
      </c>
      <c r="E6705" s="56" t="n">
        <v>23.7</v>
      </c>
      <c r="F6705" s="56" t="n">
        <v>0</v>
      </c>
      <c r="G6705" s="56" t="n">
        <v>16.3</v>
      </c>
      <c r="H6705" s="56" t="n">
        <v>0</v>
      </c>
      <c r="I6705" s="56" t="n">
        <v>20.2</v>
      </c>
      <c r="J6705" s="56" t="n">
        <v>0</v>
      </c>
      <c r="K6705" s="56" t="n">
        <v>1012.5</v>
      </c>
      <c r="L6705" s="56" t="n">
        <v>0</v>
      </c>
      <c r="M6705" s="56" t="n">
        <v>78</v>
      </c>
      <c r="N6705" s="56" t="n">
        <v>0.1</v>
      </c>
      <c r="O6705" s="56" t="n">
        <f aca="false">IF(D6705=1,"",E6704)</f>
        <v>24.2</v>
      </c>
      <c r="P6705" s="56" t="n">
        <f aca="false">IF(OR(D6705=1,K6704=""),"",K6704)</f>
        <v>1019.2</v>
      </c>
      <c r="Q6705" s="56" t="n">
        <f aca="false">IF(OR(F6705&lt;&gt;0,AND(I6705&lt;&gt;"",E6705&lt;I6705)),1,0)</f>
        <v>0</v>
      </c>
      <c r="R6705" s="56" t="n">
        <f aca="false">IF(AND(D6705&gt;1,Q6705=0,ISNUMBER(O6705),ISNUMBER(P6705)),IF(Q6704=0,1,0),0)</f>
        <v>1</v>
      </c>
      <c r="S6705" s="56" t="n">
        <f aca="false">R6705*(B6705&gt;=Train_Start)*(B6705&lt;=Train_End)</f>
        <v>0</v>
      </c>
      <c r="T6705" s="84" t="n">
        <f aca="false">IF(AND(ISNUMBER(O6705),ISNUMBER(P6705)),Coef_A+Coef_B1*O6705+Coef_B2*P6705,"")</f>
        <v>23.88718050459</v>
      </c>
      <c r="U6705" s="84" t="n">
        <f aca="false">IF(AND(R6705=1,ISNUMBER(T6705)),E6705-T6705,"")</f>
        <v>-0.18718050459</v>
      </c>
      <c r="V6705" s="84" t="n">
        <f aca="false">IF(ISNUMBER(T6705),T6705,-99)</f>
        <v>23.88718050459</v>
      </c>
      <c r="W6705" s="84" t="n">
        <f aca="false">IF(ISNUMBER(U6705),ABS(U6705),"")</f>
        <v>0.18718050459</v>
      </c>
    </row>
    <row r="6706" customFormat="false" ht="15" hidden="false" customHeight="false" outlineLevel="0" collapsed="false">
      <c r="A6706" s="57" t="n">
        <v>44807</v>
      </c>
      <c r="B6706" s="56" t="n">
        <v>2022</v>
      </c>
      <c r="C6706" s="56" t="n">
        <v>9</v>
      </c>
      <c r="D6706" s="56" t="n">
        <v>126</v>
      </c>
      <c r="E6706" s="56" t="n">
        <v>24.6</v>
      </c>
      <c r="F6706" s="56" t="n">
        <v>0</v>
      </c>
      <c r="G6706" s="56" t="n">
        <v>15</v>
      </c>
      <c r="H6706" s="56" t="n">
        <v>0</v>
      </c>
      <c r="I6706" s="56" t="n">
        <v>19.4</v>
      </c>
      <c r="J6706" s="56" t="n">
        <v>0</v>
      </c>
      <c r="K6706" s="56" t="n">
        <v>1009.5</v>
      </c>
      <c r="L6706" s="56" t="n">
        <v>0</v>
      </c>
      <c r="M6706" s="56" t="n">
        <v>78</v>
      </c>
      <c r="N6706" s="56" t="n">
        <v>5.8</v>
      </c>
      <c r="O6706" s="56" t="n">
        <f aca="false">IF(D6706=1,"",E6705)</f>
        <v>23.7</v>
      </c>
      <c r="P6706" s="56" t="n">
        <f aca="false">IF(OR(D6706=1,K6705=""),"",K6705)</f>
        <v>1012.5</v>
      </c>
      <c r="Q6706" s="56" t="n">
        <f aca="false">IF(OR(F6706&lt;&gt;0,AND(I6706&lt;&gt;"",E6706&lt;I6706)),1,0)</f>
        <v>0</v>
      </c>
      <c r="R6706" s="56" t="n">
        <f aca="false">IF(AND(D6706&gt;1,Q6706=0,ISNUMBER(O6706),ISNUMBER(P6706)),IF(Q6705=0,1,0),0)</f>
        <v>1</v>
      </c>
      <c r="S6706" s="56" t="n">
        <f aca="false">R6706*(B6706&gt;=Train_Start)*(B6706&lt;=Train_End)</f>
        <v>0</v>
      </c>
      <c r="T6706" s="84" t="n">
        <f aca="false">IF(AND(ISNUMBER(O6706),ISNUMBER(P6706)),Coef_A+Coef_B1*O6706+Coef_B2*P6706,"")</f>
        <v>23.2673326140209</v>
      </c>
      <c r="U6706" s="84" t="n">
        <f aca="false">IF(AND(R6706=1,ISNUMBER(T6706)),E6706-T6706,"")</f>
        <v>1.33266738597906</v>
      </c>
      <c r="V6706" s="84" t="n">
        <f aca="false">IF(ISNUMBER(T6706),T6706,-99)</f>
        <v>23.2673326140209</v>
      </c>
      <c r="W6706" s="84" t="n">
        <f aca="false">IF(ISNUMBER(U6706),ABS(U6706),"")</f>
        <v>1.33266738597906</v>
      </c>
    </row>
    <row r="6707" customFormat="false" ht="15" hidden="false" customHeight="false" outlineLevel="0" collapsed="false">
      <c r="A6707" s="57" t="n">
        <v>44808</v>
      </c>
      <c r="B6707" s="56" t="n">
        <v>2022</v>
      </c>
      <c r="C6707" s="56" t="n">
        <v>9</v>
      </c>
      <c r="D6707" s="56" t="n">
        <v>127</v>
      </c>
      <c r="E6707" s="56" t="n">
        <v>22.8</v>
      </c>
      <c r="F6707" s="56" t="n">
        <v>0</v>
      </c>
      <c r="G6707" s="56" t="n">
        <v>15.8</v>
      </c>
      <c r="H6707" s="56" t="n">
        <v>0</v>
      </c>
      <c r="I6707" s="56" t="n">
        <v>20.2</v>
      </c>
      <c r="J6707" s="56" t="n">
        <v>0</v>
      </c>
      <c r="K6707" s="56" t="n">
        <v>1014.3</v>
      </c>
      <c r="L6707" s="56" t="n">
        <v>0</v>
      </c>
      <c r="M6707" s="56" t="n">
        <v>73</v>
      </c>
      <c r="N6707" s="56" t="n">
        <v>2.9</v>
      </c>
      <c r="O6707" s="56" t="n">
        <f aca="false">IF(D6707=1,"",E6706)</f>
        <v>24.6</v>
      </c>
      <c r="P6707" s="56" t="n">
        <f aca="false">IF(OR(D6707=1,K6706=""),"",K6706)</f>
        <v>1009.5</v>
      </c>
      <c r="Q6707" s="56" t="n">
        <f aca="false">IF(OR(F6707&lt;&gt;0,AND(I6707&lt;&gt;"",E6707&lt;I6707)),1,0)</f>
        <v>0</v>
      </c>
      <c r="R6707" s="56" t="n">
        <f aca="false">IF(AND(D6707&gt;1,Q6707=0,ISNUMBER(O6707),ISNUMBER(P6707)),IF(Q6706=0,1,0),0)</f>
        <v>1</v>
      </c>
      <c r="S6707" s="56" t="n">
        <f aca="false">R6707*(B6707&gt;=Train_Start)*(B6707&lt;=Train_End)</f>
        <v>0</v>
      </c>
      <c r="T6707" s="84" t="n">
        <f aca="false">IF(AND(ISNUMBER(O6707),ISNUMBER(P6707)),Coef_A+Coef_B1*O6707+Coef_B2*P6707,"")</f>
        <v>23.9106282038574</v>
      </c>
      <c r="U6707" s="84" t="n">
        <f aca="false">IF(AND(R6707=1,ISNUMBER(T6707)),E6707-T6707,"")</f>
        <v>-1.11062820385736</v>
      </c>
      <c r="V6707" s="84" t="n">
        <f aca="false">IF(ISNUMBER(T6707),T6707,-99)</f>
        <v>23.9106282038574</v>
      </c>
      <c r="W6707" s="84" t="n">
        <f aca="false">IF(ISNUMBER(U6707),ABS(U6707),"")</f>
        <v>1.11062820385736</v>
      </c>
    </row>
    <row r="6708" customFormat="false" ht="15" hidden="false" customHeight="false" outlineLevel="0" collapsed="false">
      <c r="A6708" s="57" t="n">
        <v>44809</v>
      </c>
      <c r="B6708" s="56" t="n">
        <v>2022</v>
      </c>
      <c r="C6708" s="56" t="n">
        <v>9</v>
      </c>
      <c r="D6708" s="56" t="n">
        <v>128</v>
      </c>
      <c r="E6708" s="56" t="n">
        <v>22.2</v>
      </c>
      <c r="F6708" s="56" t="n">
        <v>0</v>
      </c>
      <c r="G6708" s="56" t="n">
        <v>14.5</v>
      </c>
      <c r="H6708" s="56" t="n">
        <v>0</v>
      </c>
      <c r="I6708" s="56" t="n">
        <v>18.6</v>
      </c>
      <c r="J6708" s="56" t="n">
        <v>0</v>
      </c>
      <c r="K6708" s="56" t="n">
        <v>1015.2</v>
      </c>
      <c r="L6708" s="56" t="n">
        <v>0</v>
      </c>
      <c r="M6708" s="56" t="n">
        <v>80</v>
      </c>
      <c r="N6708" s="56" t="n">
        <v>3.9</v>
      </c>
      <c r="O6708" s="56" t="n">
        <f aca="false">IF(D6708=1,"",E6707)</f>
        <v>22.8</v>
      </c>
      <c r="P6708" s="56" t="n">
        <f aca="false">IF(OR(D6708=1,K6707=""),"",K6707)</f>
        <v>1014.3</v>
      </c>
      <c r="Q6708" s="56" t="n">
        <f aca="false">IF(OR(F6708&lt;&gt;0,AND(I6708&lt;&gt;"",E6708&lt;I6708)),1,0)</f>
        <v>0</v>
      </c>
      <c r="R6708" s="56" t="n">
        <f aca="false">IF(AND(D6708&gt;1,Q6708=0,ISNUMBER(O6708),ISNUMBER(P6708)),IF(Q6707=0,1,0),0)</f>
        <v>1</v>
      </c>
      <c r="S6708" s="56" t="n">
        <f aca="false">R6708*(B6708&gt;=Train_Start)*(B6708&lt;=Train_End)</f>
        <v>0</v>
      </c>
      <c r="T6708" s="84" t="n">
        <f aca="false">IF(AND(ISNUMBER(O6708),ISNUMBER(P6708)),Coef_A+Coef_B1*O6708+Coef_B2*P6708,"")</f>
        <v>22.5863931506237</v>
      </c>
      <c r="U6708" s="84" t="n">
        <f aca="false">IF(AND(R6708=1,ISNUMBER(T6708)),E6708-T6708,"")</f>
        <v>-0.386393150623732</v>
      </c>
      <c r="V6708" s="84" t="n">
        <f aca="false">IF(ISNUMBER(T6708),T6708,-99)</f>
        <v>22.5863931506237</v>
      </c>
      <c r="W6708" s="84" t="n">
        <f aca="false">IF(ISNUMBER(U6708),ABS(U6708),"")</f>
        <v>0.386393150623732</v>
      </c>
    </row>
    <row r="6709" customFormat="false" ht="15" hidden="false" customHeight="false" outlineLevel="0" collapsed="false">
      <c r="A6709" s="57" t="n">
        <v>44810</v>
      </c>
      <c r="B6709" s="56" t="n">
        <v>2022</v>
      </c>
      <c r="C6709" s="56" t="n">
        <v>9</v>
      </c>
      <c r="D6709" s="56" t="n">
        <v>129</v>
      </c>
      <c r="E6709" s="56" t="n">
        <v>21.3</v>
      </c>
      <c r="F6709" s="56" t="n">
        <v>0</v>
      </c>
      <c r="G6709" s="56" t="n">
        <v>14.9</v>
      </c>
      <c r="H6709" s="56" t="n">
        <v>0</v>
      </c>
      <c r="I6709" s="56" t="n">
        <v>18.6</v>
      </c>
      <c r="J6709" s="56" t="n">
        <v>0</v>
      </c>
      <c r="K6709" s="56" t="n">
        <v>1011.6</v>
      </c>
      <c r="L6709" s="56" t="n">
        <v>0</v>
      </c>
      <c r="M6709" s="56" t="n">
        <v>89</v>
      </c>
      <c r="N6709" s="56" t="n">
        <v>2.8</v>
      </c>
      <c r="O6709" s="56" t="n">
        <f aca="false">IF(D6709=1,"",E6708)</f>
        <v>22.2</v>
      </c>
      <c r="P6709" s="56" t="n">
        <f aca="false">IF(OR(D6709=1,K6708=""),"",K6708)</f>
        <v>1015.2</v>
      </c>
      <c r="Q6709" s="56" t="n">
        <f aca="false">IF(OR(F6709&lt;&gt;0,AND(I6709&lt;&gt;"",E6709&lt;I6709)),1,0)</f>
        <v>0</v>
      </c>
      <c r="R6709" s="56" t="n">
        <f aca="false">IF(AND(D6709&gt;1,Q6709=0,ISNUMBER(O6709),ISNUMBER(P6709)),IF(Q6708=0,1,0),0)</f>
        <v>1</v>
      </c>
      <c r="S6709" s="56" t="n">
        <f aca="false">R6709*(B6709&gt;=Train_Start)*(B6709&lt;=Train_End)</f>
        <v>0</v>
      </c>
      <c r="T6709" s="84" t="n">
        <f aca="false">IF(AND(ISNUMBER(O6709),ISNUMBER(P6709)),Coef_A+Coef_B1*O6709+Coef_B2*P6709,"")</f>
        <v>22.1230225399687</v>
      </c>
      <c r="U6709" s="84" t="n">
        <f aca="false">IF(AND(R6709=1,ISNUMBER(T6709)),E6709-T6709,"")</f>
        <v>-0.823022539968729</v>
      </c>
      <c r="V6709" s="84" t="n">
        <f aca="false">IF(ISNUMBER(T6709),T6709,-99)</f>
        <v>22.1230225399687</v>
      </c>
      <c r="W6709" s="84" t="n">
        <f aca="false">IF(ISNUMBER(U6709),ABS(U6709),"")</f>
        <v>0.823022539968729</v>
      </c>
    </row>
    <row r="6710" customFormat="false" ht="15" hidden="false" customHeight="false" outlineLevel="0" collapsed="false">
      <c r="A6710" s="57" t="n">
        <v>44811</v>
      </c>
      <c r="B6710" s="56" t="n">
        <v>2022</v>
      </c>
      <c r="C6710" s="56" t="n">
        <v>9</v>
      </c>
      <c r="D6710" s="56" t="n">
        <v>130</v>
      </c>
      <c r="E6710" s="56" t="n">
        <v>20.1</v>
      </c>
      <c r="F6710" s="56" t="n">
        <v>0</v>
      </c>
      <c r="G6710" s="56" t="n">
        <v>14</v>
      </c>
      <c r="H6710" s="56" t="n">
        <v>0</v>
      </c>
      <c r="I6710" s="56" t="n">
        <v>17.6</v>
      </c>
      <c r="J6710" s="56" t="n">
        <v>0</v>
      </c>
      <c r="K6710" s="56" t="n">
        <v>1008.4</v>
      </c>
      <c r="L6710" s="56" t="n">
        <v>0</v>
      </c>
      <c r="M6710" s="56" t="n">
        <v>86</v>
      </c>
      <c r="N6710" s="56" t="n">
        <v>6.4</v>
      </c>
      <c r="O6710" s="56" t="n">
        <f aca="false">IF(D6710=1,"",E6709)</f>
        <v>21.3</v>
      </c>
      <c r="P6710" s="56" t="n">
        <f aca="false">IF(OR(D6710=1,K6709=""),"",K6709)</f>
        <v>1011.6</v>
      </c>
      <c r="Q6710" s="56" t="n">
        <f aca="false">IF(OR(F6710&lt;&gt;0,AND(I6710&lt;&gt;"",E6710&lt;I6710)),1,0)</f>
        <v>0</v>
      </c>
      <c r="R6710" s="56" t="n">
        <f aca="false">IF(AND(D6710&gt;1,Q6710=0,ISNUMBER(O6710),ISNUMBER(P6710)),IF(Q6709=0,1,0),0)</f>
        <v>1</v>
      </c>
      <c r="S6710" s="56" t="n">
        <f aca="false">R6710*(B6710&gt;=Train_Start)*(B6710&lt;=Train_End)</f>
        <v>0</v>
      </c>
      <c r="T6710" s="84" t="n">
        <f aca="false">IF(AND(ISNUMBER(O6710),ISNUMBER(P6710)),Coef_A+Coef_B1*O6710+Coef_B2*P6710,"")</f>
        <v>21.272685645548</v>
      </c>
      <c r="U6710" s="84" t="n">
        <f aca="false">IF(AND(R6710=1,ISNUMBER(T6710)),E6710-T6710,"")</f>
        <v>-1.17268564554797</v>
      </c>
      <c r="V6710" s="84" t="n">
        <f aca="false">IF(ISNUMBER(T6710),T6710,-99)</f>
        <v>21.272685645548</v>
      </c>
      <c r="W6710" s="84" t="n">
        <f aca="false">IF(ISNUMBER(U6710),ABS(U6710),"")</f>
        <v>1.17268564554797</v>
      </c>
    </row>
    <row r="6711" customFormat="false" ht="15" hidden="false" customHeight="false" outlineLevel="0" collapsed="false">
      <c r="A6711" s="57" t="n">
        <v>44812</v>
      </c>
      <c r="B6711" s="56" t="n">
        <v>2022</v>
      </c>
      <c r="C6711" s="56" t="n">
        <v>9</v>
      </c>
      <c r="D6711" s="56" t="n">
        <v>131</v>
      </c>
      <c r="E6711" s="56" t="n">
        <v>22.1</v>
      </c>
      <c r="F6711" s="56" t="n">
        <v>0</v>
      </c>
      <c r="G6711" s="56" t="n">
        <v>13</v>
      </c>
      <c r="H6711" s="56" t="n">
        <v>0</v>
      </c>
      <c r="I6711" s="56" t="n">
        <v>16.6</v>
      </c>
      <c r="J6711" s="56" t="n">
        <v>0</v>
      </c>
      <c r="K6711" s="56" t="n">
        <v>1004.1</v>
      </c>
      <c r="L6711" s="56" t="n">
        <v>0</v>
      </c>
      <c r="M6711" s="56" t="n">
        <v>93</v>
      </c>
      <c r="N6711" s="56" t="n">
        <v>1.8</v>
      </c>
      <c r="O6711" s="56" t="n">
        <f aca="false">IF(D6711=1,"",E6710)</f>
        <v>20.1</v>
      </c>
      <c r="P6711" s="56" t="n">
        <f aca="false">IF(OR(D6711=1,K6710=""),"",K6710)</f>
        <v>1008.4</v>
      </c>
      <c r="Q6711" s="56" t="n">
        <f aca="false">IF(OR(F6711&lt;&gt;0,AND(I6711&lt;&gt;"",E6711&lt;I6711)),1,0)</f>
        <v>0</v>
      </c>
      <c r="R6711" s="56" t="n">
        <f aca="false">IF(AND(D6711&gt;1,Q6711=0,ISNUMBER(O6711),ISNUMBER(P6711)),IF(Q6710=0,1,0),0)</f>
        <v>1</v>
      </c>
      <c r="S6711" s="56" t="n">
        <f aca="false">R6711*(B6711&gt;=Train_Start)*(B6711&lt;=Train_End)</f>
        <v>0</v>
      </c>
      <c r="T6711" s="84" t="n">
        <f aca="false">IF(AND(ISNUMBER(O6711),ISNUMBER(P6711)),Coef_A+Coef_B1*O6711+Coef_B2*P6711,"")</f>
        <v>20.189094951068</v>
      </c>
      <c r="U6711" s="84" t="n">
        <f aca="false">IF(AND(R6711=1,ISNUMBER(T6711)),E6711-T6711,"")</f>
        <v>1.91090504893198</v>
      </c>
      <c r="V6711" s="84" t="n">
        <f aca="false">IF(ISNUMBER(T6711),T6711,-99)</f>
        <v>20.189094951068</v>
      </c>
      <c r="W6711" s="84" t="n">
        <f aca="false">IF(ISNUMBER(U6711),ABS(U6711),"")</f>
        <v>1.91090504893198</v>
      </c>
    </row>
    <row r="6712" customFormat="false" ht="15" hidden="false" customHeight="false" outlineLevel="0" collapsed="false">
      <c r="A6712" s="57" t="n">
        <v>44813</v>
      </c>
      <c r="B6712" s="56" t="n">
        <v>2022</v>
      </c>
      <c r="C6712" s="56" t="n">
        <v>9</v>
      </c>
      <c r="D6712" s="56" t="n">
        <v>132</v>
      </c>
      <c r="E6712" s="56" t="n">
        <v>22.5</v>
      </c>
      <c r="F6712" s="56" t="n">
        <v>0</v>
      </c>
      <c r="G6712" s="56" t="n">
        <v>14.7</v>
      </c>
      <c r="H6712" s="56" t="n">
        <v>0</v>
      </c>
      <c r="I6712" s="56" t="n">
        <v>18.4</v>
      </c>
      <c r="J6712" s="56" t="n">
        <v>0</v>
      </c>
      <c r="K6712" s="56" t="n">
        <v>1006.3</v>
      </c>
      <c r="L6712" s="56" t="n">
        <v>0</v>
      </c>
      <c r="M6712" s="56" t="n">
        <v>85</v>
      </c>
      <c r="N6712" s="56" t="n">
        <v>2.9</v>
      </c>
      <c r="O6712" s="56" t="n">
        <f aca="false">IF(D6712=1,"",E6711)</f>
        <v>22.1</v>
      </c>
      <c r="P6712" s="56" t="n">
        <f aca="false">IF(OR(D6712=1,K6711=""),"",K6711)</f>
        <v>1004.1</v>
      </c>
      <c r="Q6712" s="56" t="n">
        <f aca="false">IF(OR(F6712&lt;&gt;0,AND(I6712&lt;&gt;"",E6712&lt;I6712)),1,0)</f>
        <v>0</v>
      </c>
      <c r="R6712" s="56" t="n">
        <f aca="false">IF(AND(D6712&gt;1,Q6712=0,ISNUMBER(O6712),ISNUMBER(P6712)),IF(Q6711=0,1,0),0)</f>
        <v>1</v>
      </c>
      <c r="S6712" s="56" t="n">
        <f aca="false">R6712*(B6712&gt;=Train_Start)*(B6712&lt;=Train_End)</f>
        <v>0</v>
      </c>
      <c r="T6712" s="84" t="n">
        <f aca="false">IF(AND(ISNUMBER(O6712),ISNUMBER(P6712)),Coef_A+Coef_B1*O6712+Coef_B2*P6712,"")</f>
        <v>21.6928827902272</v>
      </c>
      <c r="U6712" s="84" t="n">
        <f aca="false">IF(AND(R6712=1,ISNUMBER(T6712)),E6712-T6712,"")</f>
        <v>0.807117209772819</v>
      </c>
      <c r="V6712" s="84" t="n">
        <f aca="false">IF(ISNUMBER(T6712),T6712,-99)</f>
        <v>21.6928827902272</v>
      </c>
      <c r="W6712" s="84" t="n">
        <f aca="false">IF(ISNUMBER(U6712),ABS(U6712),"")</f>
        <v>0.807117209772819</v>
      </c>
    </row>
    <row r="6713" customFormat="false" ht="15" hidden="false" customHeight="false" outlineLevel="0" collapsed="false">
      <c r="A6713" s="57" t="n">
        <v>44814</v>
      </c>
      <c r="B6713" s="56" t="n">
        <v>2022</v>
      </c>
      <c r="C6713" s="56" t="n">
        <v>9</v>
      </c>
      <c r="D6713" s="56" t="n">
        <v>133</v>
      </c>
      <c r="E6713" s="56" t="n">
        <v>23.4</v>
      </c>
      <c r="F6713" s="56" t="n">
        <v>0</v>
      </c>
      <c r="G6713" s="56" t="n">
        <v>12.4</v>
      </c>
      <c r="H6713" s="56" t="n">
        <v>0</v>
      </c>
      <c r="I6713" s="56" t="n">
        <v>17.4</v>
      </c>
      <c r="J6713" s="56" t="n">
        <v>0</v>
      </c>
      <c r="K6713" s="56" t="n">
        <v>1015.5</v>
      </c>
      <c r="L6713" s="56" t="n">
        <v>0</v>
      </c>
      <c r="M6713" s="56" t="n">
        <v>82</v>
      </c>
      <c r="N6713" s="56" t="n">
        <v>3.8</v>
      </c>
      <c r="O6713" s="56" t="n">
        <f aca="false">IF(D6713=1,"",E6712)</f>
        <v>22.5</v>
      </c>
      <c r="P6713" s="56" t="n">
        <f aca="false">IF(OR(D6713=1,K6712=""),"",K6712)</f>
        <v>1006.3</v>
      </c>
      <c r="Q6713" s="56" t="n">
        <f aca="false">IF(OR(F6713&lt;&gt;0,AND(I6713&lt;&gt;"",E6713&lt;I6713)),1,0)</f>
        <v>0</v>
      </c>
      <c r="R6713" s="56" t="n">
        <f aca="false">IF(AND(D6713&gt;1,Q6713=0,ISNUMBER(O6713),ISNUMBER(P6713)),IF(Q6712=0,1,0),0)</f>
        <v>1</v>
      </c>
      <c r="S6713" s="56" t="n">
        <f aca="false">R6713*(B6713&gt;=Train_Start)*(B6713&lt;=Train_End)</f>
        <v>0</v>
      </c>
      <c r="T6713" s="84" t="n">
        <f aca="false">IF(AND(ISNUMBER(O6713),ISNUMBER(P6713)),Coef_A+Coef_B1*O6713+Coef_B2*P6713,"")</f>
        <v>22.089632235639</v>
      </c>
      <c r="U6713" s="84" t="n">
        <f aca="false">IF(AND(R6713=1,ISNUMBER(T6713)),E6713-T6713,"")</f>
        <v>1.31036776436098</v>
      </c>
      <c r="V6713" s="84" t="n">
        <f aca="false">IF(ISNUMBER(T6713),T6713,-99)</f>
        <v>22.089632235639</v>
      </c>
      <c r="W6713" s="84" t="n">
        <f aca="false">IF(ISNUMBER(U6713),ABS(U6713),"")</f>
        <v>1.31036776436098</v>
      </c>
    </row>
    <row r="6714" customFormat="false" ht="15" hidden="false" customHeight="false" outlineLevel="0" collapsed="false">
      <c r="A6714" s="57" t="n">
        <v>44815</v>
      </c>
      <c r="B6714" s="56" t="n">
        <v>2022</v>
      </c>
      <c r="C6714" s="56" t="n">
        <v>9</v>
      </c>
      <c r="D6714" s="56" t="n">
        <v>134</v>
      </c>
      <c r="E6714" s="56" t="n">
        <v>26.2</v>
      </c>
      <c r="F6714" s="56" t="n">
        <v>0</v>
      </c>
      <c r="G6714" s="56" t="n">
        <v>12.4</v>
      </c>
      <c r="H6714" s="56" t="n">
        <v>0</v>
      </c>
      <c r="I6714" s="56" t="n">
        <v>17.9</v>
      </c>
      <c r="J6714" s="56" t="n">
        <v>0</v>
      </c>
      <c r="K6714" s="56" t="n">
        <v>1017.9</v>
      </c>
      <c r="L6714" s="56" t="n">
        <v>0</v>
      </c>
      <c r="M6714" s="56" t="n">
        <v>83</v>
      </c>
      <c r="N6714" s="56" t="n">
        <v>4.1</v>
      </c>
      <c r="O6714" s="56" t="n">
        <f aca="false">IF(D6714=1,"",E6713)</f>
        <v>23.4</v>
      </c>
      <c r="P6714" s="56" t="n">
        <f aca="false">IF(OR(D6714=1,K6713=""),"",K6713)</f>
        <v>1015.5</v>
      </c>
      <c r="Q6714" s="56" t="n">
        <f aca="false">IF(OR(F6714&lt;&gt;0,AND(I6714&lt;&gt;"",E6714&lt;I6714)),1,0)</f>
        <v>0</v>
      </c>
      <c r="R6714" s="56" t="n">
        <f aca="false">IF(AND(D6714&gt;1,Q6714=0,ISNUMBER(O6714),ISNUMBER(P6714)),IF(Q6713=0,1,0),0)</f>
        <v>1</v>
      </c>
      <c r="S6714" s="56" t="n">
        <f aca="false">R6714*(B6714&gt;=Train_Start)*(B6714&lt;=Train_End)</f>
        <v>0</v>
      </c>
      <c r="T6714" s="84" t="n">
        <f aca="false">IF(AND(ISNUMBER(O6714),ISNUMBER(P6714)),Coef_A+Coef_B1*O6714+Coef_B2*P6714,"")</f>
        <v>23.1156405400101</v>
      </c>
      <c r="U6714" s="84" t="n">
        <f aca="false">IF(AND(R6714=1,ISNUMBER(T6714)),E6714-T6714,"")</f>
        <v>3.08435945998989</v>
      </c>
      <c r="V6714" s="84" t="n">
        <f aca="false">IF(ISNUMBER(T6714),T6714,-99)</f>
        <v>23.1156405400101</v>
      </c>
      <c r="W6714" s="84" t="n">
        <f aca="false">IF(ISNUMBER(U6714),ABS(U6714),"")</f>
        <v>3.08435945998989</v>
      </c>
    </row>
    <row r="6715" customFormat="false" ht="15" hidden="false" customHeight="false" outlineLevel="0" collapsed="false">
      <c r="A6715" s="57" t="n">
        <v>44816</v>
      </c>
      <c r="B6715" s="56" t="n">
        <v>2022</v>
      </c>
      <c r="C6715" s="56" t="n">
        <v>9</v>
      </c>
      <c r="D6715" s="56" t="n">
        <v>135</v>
      </c>
      <c r="E6715" s="56" t="n">
        <v>18.8</v>
      </c>
      <c r="F6715" s="56" t="n">
        <v>1</v>
      </c>
      <c r="G6715" s="56" t="n">
        <v>14.8</v>
      </c>
      <c r="H6715" s="56" t="n">
        <v>0</v>
      </c>
      <c r="I6715" s="56" t="n">
        <v>20.5</v>
      </c>
      <c r="J6715" s="56" t="n">
        <v>1</v>
      </c>
      <c r="K6715" s="56" t="n">
        <v>1011.9</v>
      </c>
      <c r="L6715" s="56" t="n">
        <v>0</v>
      </c>
      <c r="M6715" s="56" t="n">
        <v>74</v>
      </c>
      <c r="N6715" s="56" t="n">
        <v>4.4</v>
      </c>
      <c r="O6715" s="56" t="n">
        <f aca="false">IF(D6715=1,"",E6714)</f>
        <v>26.2</v>
      </c>
      <c r="P6715" s="56" t="n">
        <f aca="false">IF(OR(D6715=1,K6714=""),"",K6714)</f>
        <v>1017.9</v>
      </c>
      <c r="Q6715" s="56" t="n">
        <f aca="false">IF(OR(F6715&lt;&gt;0,AND(I6715&lt;&gt;"",E6715&lt;I6715)),1,0)</f>
        <v>1</v>
      </c>
      <c r="R6715" s="56" t="n">
        <f aca="false">IF(AND(D6715&gt;1,Q6715=0,ISNUMBER(O6715),ISNUMBER(P6715)),IF(Q6714=0,1,0),0)</f>
        <v>0</v>
      </c>
      <c r="S6715" s="56" t="n">
        <f aca="false">R6715*(B6715&gt;=Train_Start)*(B6715&lt;=Train_End)</f>
        <v>0</v>
      </c>
      <c r="T6715" s="84" t="n">
        <f aca="false">IF(AND(ISNUMBER(O6715),ISNUMBER(P6715)),Coef_A+Coef_B1*O6715+Coef_B2*P6715,"")</f>
        <v>25.4850780276511</v>
      </c>
      <c r="U6715" s="84" t="str">
        <f aca="false">IF(AND(R6715=1,ISNUMBER(T6715)),E6715-T6715,"")</f>
        <v/>
      </c>
      <c r="V6715" s="84" t="n">
        <f aca="false">IF(ISNUMBER(T6715),T6715,-99)</f>
        <v>25.4850780276511</v>
      </c>
      <c r="W6715" s="84" t="str">
        <f aca="false">IF(ISNUMBER(U6715),ABS(U6715),"")</f>
        <v/>
      </c>
    </row>
    <row r="6716" customFormat="false" ht="15" hidden="false" customHeight="false" outlineLevel="0" collapsed="false">
      <c r="A6716" s="57" t="n">
        <v>44817</v>
      </c>
      <c r="B6716" s="56" t="n">
        <v>2022</v>
      </c>
      <c r="C6716" s="56" t="n">
        <v>9</v>
      </c>
      <c r="D6716" s="56" t="n">
        <v>136</v>
      </c>
      <c r="E6716" s="56" t="n">
        <v>22</v>
      </c>
      <c r="F6716" s="56" t="n">
        <v>0</v>
      </c>
      <c r="G6716" s="56" t="n">
        <v>15.9</v>
      </c>
      <c r="H6716" s="56" t="n">
        <v>0</v>
      </c>
      <c r="I6716" s="56" t="n">
        <v>17.4</v>
      </c>
      <c r="J6716" s="56" t="n">
        <v>0</v>
      </c>
      <c r="K6716" s="56" t="n">
        <v>1010.6</v>
      </c>
      <c r="L6716" s="56" t="n">
        <v>0</v>
      </c>
      <c r="M6716" s="56" t="n">
        <v>83</v>
      </c>
      <c r="N6716" s="56" t="n">
        <v>0</v>
      </c>
      <c r="O6716" s="56" t="n">
        <f aca="false">IF(D6716=1,"",E6715)</f>
        <v>18.8</v>
      </c>
      <c r="P6716" s="56" t="n">
        <f aca="false">IF(OR(D6716=1,K6715=""),"",K6715)</f>
        <v>1011.9</v>
      </c>
      <c r="Q6716" s="56" t="n">
        <f aca="false">IF(OR(F6716&lt;&gt;0,AND(I6716&lt;&gt;"",E6716&lt;I6716)),1,0)</f>
        <v>0</v>
      </c>
      <c r="R6716" s="56" t="n">
        <f aca="false">IF(AND(D6716&gt;1,Q6716=0,ISNUMBER(O6716),ISNUMBER(P6716)),IF(Q6715=0,1,0),0)</f>
        <v>0</v>
      </c>
      <c r="S6716" s="56" t="n">
        <f aca="false">R6716*(B6716&gt;=Train_Start)*(B6716&lt;=Train_End)</f>
        <v>0</v>
      </c>
      <c r="T6716" s="84" t="n">
        <f aca="false">IF(AND(ISNUMBER(O6716),ISNUMBER(P6716)),Coef_A+Coef_B1*O6716+Coef_B2*P6716,"")</f>
        <v>19.2337486313315</v>
      </c>
      <c r="U6716" s="84" t="str">
        <f aca="false">IF(AND(R6716=1,ISNUMBER(T6716)),E6716-T6716,"")</f>
        <v/>
      </c>
      <c r="V6716" s="84" t="n">
        <f aca="false">IF(ISNUMBER(T6716),T6716,-99)</f>
        <v>19.2337486313315</v>
      </c>
      <c r="W6716" s="84" t="str">
        <f aca="false">IF(ISNUMBER(U6716),ABS(U6716),"")</f>
        <v/>
      </c>
    </row>
    <row r="6717" customFormat="false" ht="15" hidden="false" customHeight="false" outlineLevel="0" collapsed="false">
      <c r="A6717" s="57" t="n">
        <v>44818</v>
      </c>
      <c r="B6717" s="56" t="n">
        <v>2022</v>
      </c>
      <c r="C6717" s="56" t="n">
        <v>9</v>
      </c>
      <c r="D6717" s="56" t="n">
        <v>137</v>
      </c>
      <c r="E6717" s="56" t="n">
        <v>19.1</v>
      </c>
      <c r="F6717" s="56" t="n">
        <v>0</v>
      </c>
      <c r="G6717" s="56" t="n">
        <v>14.4</v>
      </c>
      <c r="H6717" s="56" t="n">
        <v>0</v>
      </c>
      <c r="I6717" s="56" t="n">
        <v>18.2</v>
      </c>
      <c r="J6717" s="56" t="n">
        <v>0</v>
      </c>
      <c r="K6717" s="56" t="n">
        <v>1007.7</v>
      </c>
      <c r="L6717" s="56" t="n">
        <v>0</v>
      </c>
      <c r="M6717" s="56" t="n">
        <v>78</v>
      </c>
      <c r="N6717" s="56" t="n">
        <v>6.3</v>
      </c>
      <c r="O6717" s="56" t="n">
        <f aca="false">IF(D6717=1,"",E6716)</f>
        <v>22</v>
      </c>
      <c r="P6717" s="56" t="n">
        <f aca="false">IF(OR(D6717=1,K6716=""),"",K6716)</f>
        <v>1010.6</v>
      </c>
      <c r="Q6717" s="56" t="n">
        <f aca="false">IF(OR(F6717&lt;&gt;0,AND(I6717&lt;&gt;"",E6717&lt;I6717)),1,0)</f>
        <v>0</v>
      </c>
      <c r="R6717" s="56" t="n">
        <f aca="false">IF(AND(D6717&gt;1,Q6717=0,ISNUMBER(O6717),ISNUMBER(P6717)),IF(Q6716=0,1,0),0)</f>
        <v>1</v>
      </c>
      <c r="S6717" s="56" t="n">
        <f aca="false">R6717*(B6717&gt;=Train_Start)*(B6717&lt;=Train_End)</f>
        <v>0</v>
      </c>
      <c r="T6717" s="84" t="n">
        <f aca="false">IF(AND(ISNUMBER(O6717),ISNUMBER(P6717)),Coef_A+Coef_B1*O6717+Coef_B2*P6717,"")</f>
        <v>21.8148531860438</v>
      </c>
      <c r="U6717" s="84" t="n">
        <f aca="false">IF(AND(R6717=1,ISNUMBER(T6717)),E6717-T6717,"")</f>
        <v>-2.71485318604384</v>
      </c>
      <c r="V6717" s="84" t="n">
        <f aca="false">IF(ISNUMBER(T6717),T6717,-99)</f>
        <v>21.8148531860438</v>
      </c>
      <c r="W6717" s="84" t="n">
        <f aca="false">IF(ISNUMBER(U6717),ABS(U6717),"")</f>
        <v>2.71485318604384</v>
      </c>
    </row>
    <row r="6718" customFormat="false" ht="15" hidden="false" customHeight="false" outlineLevel="0" collapsed="false">
      <c r="A6718" s="57" t="n">
        <v>44819</v>
      </c>
      <c r="B6718" s="56" t="n">
        <v>2022</v>
      </c>
      <c r="C6718" s="56" t="n">
        <v>9</v>
      </c>
      <c r="D6718" s="56" t="n">
        <v>138</v>
      </c>
      <c r="E6718" s="56" t="n">
        <v>17.7</v>
      </c>
      <c r="F6718" s="56" t="n">
        <v>0</v>
      </c>
      <c r="G6718" s="56" t="n">
        <v>12.6</v>
      </c>
      <c r="H6718" s="56" t="n">
        <v>0</v>
      </c>
      <c r="I6718" s="56" t="n">
        <v>15.8</v>
      </c>
      <c r="J6718" s="56" t="n">
        <v>0</v>
      </c>
      <c r="K6718" s="56" t="n">
        <v>1012.9</v>
      </c>
      <c r="L6718" s="56" t="n">
        <v>0</v>
      </c>
      <c r="M6718" s="56" t="n">
        <v>68</v>
      </c>
      <c r="N6718" s="56" t="n">
        <v>1.7</v>
      </c>
      <c r="O6718" s="56" t="n">
        <f aca="false">IF(D6718=1,"",E6717)</f>
        <v>19.1</v>
      </c>
      <c r="P6718" s="56" t="n">
        <f aca="false">IF(OR(D6718=1,K6717=""),"",K6717)</f>
        <v>1007.7</v>
      </c>
      <c r="Q6718" s="56" t="n">
        <f aca="false">IF(OR(F6718&lt;&gt;0,AND(I6718&lt;&gt;"",E6718&lt;I6718)),1,0)</f>
        <v>0</v>
      </c>
      <c r="R6718" s="56" t="n">
        <f aca="false">IF(AND(D6718&gt;1,Q6718=0,ISNUMBER(O6718),ISNUMBER(P6718)),IF(Q6717=0,1,0),0)</f>
        <v>1</v>
      </c>
      <c r="S6718" s="56" t="n">
        <f aca="false">R6718*(B6718&gt;=Train_Start)*(B6718&lt;=Train_End)</f>
        <v>0</v>
      </c>
      <c r="T6718" s="84" t="n">
        <f aca="false">IF(AND(ISNUMBER(O6718),ISNUMBER(P6718)),Coef_A+Coef_B1*O6718+Coef_B2*P6718,"")</f>
        <v>19.3477968317816</v>
      </c>
      <c r="U6718" s="84" t="n">
        <f aca="false">IF(AND(R6718=1,ISNUMBER(T6718)),E6718-T6718,"")</f>
        <v>-1.64779683178157</v>
      </c>
      <c r="V6718" s="84" t="n">
        <f aca="false">IF(ISNUMBER(T6718),T6718,-99)</f>
        <v>19.3477968317816</v>
      </c>
      <c r="W6718" s="84" t="n">
        <f aca="false">IF(ISNUMBER(U6718),ABS(U6718),"")</f>
        <v>1.64779683178157</v>
      </c>
    </row>
    <row r="6719" customFormat="false" ht="15" hidden="false" customHeight="false" outlineLevel="0" collapsed="false">
      <c r="A6719" s="57" t="n">
        <v>44820</v>
      </c>
      <c r="B6719" s="56" t="n">
        <v>2022</v>
      </c>
      <c r="C6719" s="56" t="n">
        <v>9</v>
      </c>
      <c r="D6719" s="56" t="n">
        <v>139</v>
      </c>
      <c r="E6719" s="56" t="n">
        <v>17.6</v>
      </c>
      <c r="F6719" s="56" t="n">
        <v>0</v>
      </c>
      <c r="G6719" s="56" t="n">
        <v>10.4</v>
      </c>
      <c r="H6719" s="56" t="n">
        <v>0</v>
      </c>
      <c r="I6719" s="56" t="n">
        <v>14.1</v>
      </c>
      <c r="J6719" s="56" t="n">
        <v>0</v>
      </c>
      <c r="K6719" s="56" t="n">
        <v>1018.2</v>
      </c>
      <c r="L6719" s="56" t="n">
        <v>0</v>
      </c>
      <c r="M6719" s="56" t="n">
        <v>60</v>
      </c>
      <c r="N6719" s="56" t="n">
        <v>6.6</v>
      </c>
      <c r="O6719" s="56" t="n">
        <f aca="false">IF(D6719=1,"",E6718)</f>
        <v>17.7</v>
      </c>
      <c r="P6719" s="56" t="n">
        <f aca="false">IF(OR(D6719=1,K6718=""),"",K6718)</f>
        <v>1012.9</v>
      </c>
      <c r="Q6719" s="56" t="n">
        <f aca="false">IF(OR(F6719&lt;&gt;0,AND(I6719&lt;&gt;"",E6719&lt;I6719)),1,0)</f>
        <v>0</v>
      </c>
      <c r="R6719" s="56" t="n">
        <f aca="false">IF(AND(D6719&gt;1,Q6719=0,ISNUMBER(O6719),ISNUMBER(P6719)),IF(Q6718=0,1,0),0)</f>
        <v>1</v>
      </c>
      <c r="S6719" s="56" t="n">
        <f aca="false">R6719*(B6719&gt;=Train_Start)*(B6719&lt;=Train_End)</f>
        <v>0</v>
      </c>
      <c r="T6719" s="84" t="n">
        <f aca="false">IF(AND(ISNUMBER(O6719),ISNUMBER(P6719)),Coef_A+Coef_B1*O6719+Coef_B2*P6719,"")</f>
        <v>18.3638454136186</v>
      </c>
      <c r="U6719" s="84" t="n">
        <f aca="false">IF(AND(R6719=1,ISNUMBER(T6719)),E6719-T6719,"")</f>
        <v>-0.76384541361859</v>
      </c>
      <c r="V6719" s="84" t="n">
        <f aca="false">IF(ISNUMBER(T6719),T6719,-99)</f>
        <v>18.3638454136186</v>
      </c>
      <c r="W6719" s="84" t="n">
        <f aca="false">IF(ISNUMBER(U6719),ABS(U6719),"")</f>
        <v>0.76384541361859</v>
      </c>
    </row>
    <row r="6720" customFormat="false" ht="15" hidden="false" customHeight="false" outlineLevel="0" collapsed="false">
      <c r="A6720" s="57" t="n">
        <v>44821</v>
      </c>
      <c r="B6720" s="56" t="n">
        <v>2022</v>
      </c>
      <c r="C6720" s="56" t="n">
        <v>9</v>
      </c>
      <c r="D6720" s="56" t="n">
        <v>140</v>
      </c>
      <c r="E6720" s="56" t="n">
        <v>18</v>
      </c>
      <c r="F6720" s="56" t="n">
        <v>0</v>
      </c>
      <c r="G6720" s="56" t="n">
        <v>6</v>
      </c>
      <c r="H6720" s="56" t="n">
        <v>0</v>
      </c>
      <c r="I6720" s="56" t="n">
        <v>11.8</v>
      </c>
      <c r="J6720" s="56" t="n">
        <v>0</v>
      </c>
      <c r="K6720" s="56" t="n">
        <v>1022.5</v>
      </c>
      <c r="L6720" s="56" t="n">
        <v>0</v>
      </c>
      <c r="M6720" s="56" t="n">
        <v>57</v>
      </c>
      <c r="N6720" s="56" t="n">
        <v>11.1</v>
      </c>
      <c r="O6720" s="56" t="n">
        <f aca="false">IF(D6720=1,"",E6719)</f>
        <v>17.6</v>
      </c>
      <c r="P6720" s="56" t="n">
        <f aca="false">IF(OR(D6720=1,K6719=""),"",K6719)</f>
        <v>1018.2</v>
      </c>
      <c r="Q6720" s="56" t="n">
        <f aca="false">IF(OR(F6720&lt;&gt;0,AND(I6720&lt;&gt;"",E6720&lt;I6720)),1,0)</f>
        <v>0</v>
      </c>
      <c r="R6720" s="56" t="n">
        <f aca="false">IF(AND(D6720&gt;1,Q6720=0,ISNUMBER(O6720),ISNUMBER(P6720)),IF(Q6719=0,1,0),0)</f>
        <v>1</v>
      </c>
      <c r="S6720" s="56" t="n">
        <f aca="false">R6720*(B6720&gt;=Train_Start)*(B6720&lt;=Train_End)</f>
        <v>0</v>
      </c>
      <c r="T6720" s="84" t="n">
        <f aca="false">IF(AND(ISNUMBER(O6720),ISNUMBER(P6720)),Coef_A+Coef_B1*O6720+Coef_B2*P6720,"")</f>
        <v>18.4481719358745</v>
      </c>
      <c r="U6720" s="84" t="n">
        <f aca="false">IF(AND(R6720=1,ISNUMBER(T6720)),E6720-T6720,"")</f>
        <v>-0.448171935874477</v>
      </c>
      <c r="V6720" s="84" t="n">
        <f aca="false">IF(ISNUMBER(T6720),T6720,-99)</f>
        <v>18.4481719358745</v>
      </c>
      <c r="W6720" s="84" t="n">
        <f aca="false">IF(ISNUMBER(U6720),ABS(U6720),"")</f>
        <v>0.448171935874477</v>
      </c>
    </row>
    <row r="6721" customFormat="false" ht="15" hidden="false" customHeight="false" outlineLevel="0" collapsed="false">
      <c r="A6721" s="57" t="n">
        <v>44822</v>
      </c>
      <c r="B6721" s="56" t="n">
        <v>2022</v>
      </c>
      <c r="C6721" s="56" t="n">
        <v>9</v>
      </c>
      <c r="D6721" s="56" t="n">
        <v>141</v>
      </c>
      <c r="E6721" s="56" t="n">
        <v>18.6</v>
      </c>
      <c r="F6721" s="56" t="n">
        <v>0</v>
      </c>
      <c r="G6721" s="56" t="n">
        <v>7.7</v>
      </c>
      <c r="H6721" s="56" t="n">
        <v>0</v>
      </c>
      <c r="I6721" s="56" t="n">
        <v>12.8</v>
      </c>
      <c r="J6721" s="56" t="n">
        <v>0</v>
      </c>
      <c r="K6721" s="56" t="n">
        <v>1021.6</v>
      </c>
      <c r="L6721" s="56" t="n">
        <v>0</v>
      </c>
      <c r="M6721" s="56" t="n">
        <v>67</v>
      </c>
      <c r="N6721" s="56" t="n">
        <v>5.6</v>
      </c>
      <c r="O6721" s="56" t="n">
        <f aca="false">IF(D6721=1,"",E6720)</f>
        <v>18</v>
      </c>
      <c r="P6721" s="56" t="n">
        <f aca="false">IF(OR(D6721=1,K6720=""),"",K6720)</f>
        <v>1022.5</v>
      </c>
      <c r="Q6721" s="56" t="n">
        <f aca="false">IF(OR(F6721&lt;&gt;0,AND(I6721&lt;&gt;"",E6721&lt;I6721)),1,0)</f>
        <v>0</v>
      </c>
      <c r="R6721" s="56" t="n">
        <f aca="false">IF(AND(D6721&gt;1,Q6721=0,ISNUMBER(O6721),ISNUMBER(P6721)),IF(Q6720=0,1,0),0)</f>
        <v>1</v>
      </c>
      <c r="S6721" s="56" t="n">
        <f aca="false">R6721*(B6721&gt;=Train_Start)*(B6721&lt;=Train_End)</f>
        <v>0</v>
      </c>
      <c r="T6721" s="84" t="n">
        <f aca="false">IF(AND(ISNUMBER(O6721),ISNUMBER(P6721)),Coef_A+Coef_B1*O6721+Coef_B2*P6721,"")</f>
        <v>18.9107981600177</v>
      </c>
      <c r="U6721" s="84" t="n">
        <f aca="false">IF(AND(R6721=1,ISNUMBER(T6721)),E6721-T6721,"")</f>
        <v>-0.31079816001769</v>
      </c>
      <c r="V6721" s="84" t="n">
        <f aca="false">IF(ISNUMBER(T6721),T6721,-99)</f>
        <v>18.9107981600177</v>
      </c>
      <c r="W6721" s="84" t="n">
        <f aca="false">IF(ISNUMBER(U6721),ABS(U6721),"")</f>
        <v>0.31079816001769</v>
      </c>
    </row>
    <row r="6722" customFormat="false" ht="15" hidden="false" customHeight="false" outlineLevel="0" collapsed="false">
      <c r="A6722" s="57" t="n">
        <v>44823</v>
      </c>
      <c r="B6722" s="56" t="n">
        <v>2022</v>
      </c>
      <c r="C6722" s="56" t="n">
        <v>9</v>
      </c>
      <c r="D6722" s="56" t="n">
        <v>142</v>
      </c>
      <c r="E6722" s="56" t="n">
        <v>19.8</v>
      </c>
      <c r="F6722" s="56" t="n">
        <v>0</v>
      </c>
      <c r="G6722" s="56" t="n">
        <v>11.6</v>
      </c>
      <c r="H6722" s="56" t="n">
        <v>0</v>
      </c>
      <c r="I6722" s="56" t="n">
        <v>15.1</v>
      </c>
      <c r="J6722" s="56" t="n">
        <v>0</v>
      </c>
      <c r="K6722" s="56" t="n">
        <v>1024.6</v>
      </c>
      <c r="L6722" s="56" t="n">
        <v>0</v>
      </c>
      <c r="M6722" s="56" t="n">
        <v>73</v>
      </c>
      <c r="N6722" s="56" t="n">
        <v>1.6</v>
      </c>
      <c r="O6722" s="56" t="n">
        <f aca="false">IF(D6722=1,"",E6721)</f>
        <v>18.6</v>
      </c>
      <c r="P6722" s="56" t="n">
        <f aca="false">IF(OR(D6722=1,K6721=""),"",K6721)</f>
        <v>1021.6</v>
      </c>
      <c r="Q6722" s="56" t="n">
        <f aca="false">IF(OR(F6722&lt;&gt;0,AND(I6722&lt;&gt;"",E6722&lt;I6722)),1,0)</f>
        <v>0</v>
      </c>
      <c r="R6722" s="56" t="n">
        <f aca="false">IF(AND(D6722&gt;1,Q6722=0,ISNUMBER(O6722),ISNUMBER(P6722)),IF(Q6721=0,1,0),0)</f>
        <v>1</v>
      </c>
      <c r="S6722" s="56" t="n">
        <f aca="false">R6722*(B6722&gt;=Train_Start)*(B6722&lt;=Train_End)</f>
        <v>0</v>
      </c>
      <c r="T6722" s="84" t="n">
        <f aca="false">IF(AND(ISNUMBER(O6722),ISNUMBER(P6722)),Coef_A+Coef_B1*O6722+Coef_B2*P6722,"")</f>
        <v>19.3741687706727</v>
      </c>
      <c r="U6722" s="84" t="n">
        <f aca="false">IF(AND(R6722=1,ISNUMBER(T6722)),E6722-T6722,"")</f>
        <v>0.425831229327304</v>
      </c>
      <c r="V6722" s="84" t="n">
        <f aca="false">IF(ISNUMBER(T6722),T6722,-99)</f>
        <v>19.3741687706727</v>
      </c>
      <c r="W6722" s="84" t="n">
        <f aca="false">IF(ISNUMBER(U6722),ABS(U6722),"")</f>
        <v>0.425831229327304</v>
      </c>
    </row>
    <row r="6723" customFormat="false" ht="15" hidden="false" customHeight="false" outlineLevel="0" collapsed="false">
      <c r="A6723" s="57" t="n">
        <v>44824</v>
      </c>
      <c r="B6723" s="56" t="n">
        <v>2022</v>
      </c>
      <c r="C6723" s="56" t="n">
        <v>9</v>
      </c>
      <c r="D6723" s="56" t="n">
        <v>143</v>
      </c>
      <c r="E6723" s="56" t="n">
        <v>21.2</v>
      </c>
      <c r="F6723" s="56" t="n">
        <v>0</v>
      </c>
      <c r="G6723" s="56" t="n">
        <v>8.8</v>
      </c>
      <c r="H6723" s="56" t="n">
        <v>0</v>
      </c>
      <c r="I6723" s="56" t="n">
        <v>14.3</v>
      </c>
      <c r="J6723" s="56" t="n">
        <v>0</v>
      </c>
      <c r="K6723" s="56" t="n">
        <v>1026.2</v>
      </c>
      <c r="L6723" s="56" t="n">
        <v>0</v>
      </c>
      <c r="M6723" s="56" t="n">
        <v>72</v>
      </c>
      <c r="N6723" s="56" t="n">
        <v>4.7</v>
      </c>
      <c r="O6723" s="56" t="n">
        <f aca="false">IF(D6723=1,"",E6722)</f>
        <v>19.8</v>
      </c>
      <c r="P6723" s="56" t="n">
        <f aca="false">IF(OR(D6723=1,K6722=""),"",K6722)</f>
        <v>1024.6</v>
      </c>
      <c r="Q6723" s="56" t="n">
        <f aca="false">IF(OR(F6723&lt;&gt;0,AND(I6723&lt;&gt;"",E6723&lt;I6723)),1,0)</f>
        <v>0</v>
      </c>
      <c r="R6723" s="56" t="n">
        <f aca="false">IF(AND(D6723&gt;1,Q6723=0,ISNUMBER(O6723),ISNUMBER(P6723)),IF(Q6722=0,1,0),0)</f>
        <v>1</v>
      </c>
      <c r="S6723" s="56" t="n">
        <f aca="false">R6723*(B6723&gt;=Train_Start)*(B6723&lt;=Train_End)</f>
        <v>0</v>
      </c>
      <c r="T6723" s="84" t="n">
        <f aca="false">IF(AND(ISNUMBER(O6723),ISNUMBER(P6723)),Coef_A+Coef_B1*O6723+Coef_B2*P6723,"")</f>
        <v>20.4514854862259</v>
      </c>
      <c r="U6723" s="84" t="n">
        <f aca="false">IF(AND(R6723=1,ISNUMBER(T6723)),E6723-T6723,"")</f>
        <v>0.748514513774151</v>
      </c>
      <c r="V6723" s="84" t="n">
        <f aca="false">IF(ISNUMBER(T6723),T6723,-99)</f>
        <v>20.4514854862259</v>
      </c>
      <c r="W6723" s="84" t="n">
        <f aca="false">IF(ISNUMBER(U6723),ABS(U6723),"")</f>
        <v>0.748514513774151</v>
      </c>
    </row>
    <row r="6724" customFormat="false" ht="15" hidden="false" customHeight="false" outlineLevel="0" collapsed="false">
      <c r="A6724" s="57" t="n">
        <v>44825</v>
      </c>
      <c r="B6724" s="56" t="n">
        <v>2022</v>
      </c>
      <c r="C6724" s="56" t="n">
        <v>9</v>
      </c>
      <c r="D6724" s="56" t="n">
        <v>144</v>
      </c>
      <c r="E6724" s="56" t="n">
        <v>20.7</v>
      </c>
      <c r="F6724" s="56" t="n">
        <v>0</v>
      </c>
      <c r="G6724" s="56" t="n">
        <v>13.6</v>
      </c>
      <c r="H6724" s="56" t="n">
        <v>0</v>
      </c>
      <c r="I6724" s="56" t="n">
        <v>17.4</v>
      </c>
      <c r="J6724" s="56" t="n">
        <v>0</v>
      </c>
      <c r="K6724" s="56" t="n">
        <v>1025.6</v>
      </c>
      <c r="L6724" s="56" t="n">
        <v>0</v>
      </c>
      <c r="M6724" s="56" t="n">
        <v>66</v>
      </c>
      <c r="N6724" s="56" t="n">
        <v>2.9</v>
      </c>
      <c r="O6724" s="56" t="n">
        <f aca="false">IF(D6724=1,"",E6723)</f>
        <v>21.2</v>
      </c>
      <c r="P6724" s="56" t="n">
        <f aca="false">IF(OR(D6724=1,K6723=""),"",K6723)</f>
        <v>1026.2</v>
      </c>
      <c r="Q6724" s="56" t="n">
        <f aca="false">IF(OR(F6724&lt;&gt;0,AND(I6724&lt;&gt;"",E6724&lt;I6724)),1,0)</f>
        <v>0</v>
      </c>
      <c r="R6724" s="56" t="n">
        <f aca="false">IF(AND(D6724&gt;1,Q6724=0,ISNUMBER(O6724),ISNUMBER(P6724)),IF(Q6723=0,1,0),0)</f>
        <v>1</v>
      </c>
      <c r="S6724" s="56" t="n">
        <f aca="false">R6724*(B6724&gt;=Train_Start)*(B6724&lt;=Train_End)</f>
        <v>0</v>
      </c>
      <c r="T6724" s="84" t="n">
        <f aca="false">IF(AND(ISNUMBER(O6724),ISNUMBER(P6724)),Coef_A+Coef_B1*O6724+Coef_B2*P6724,"")</f>
        <v>21.6487521879</v>
      </c>
      <c r="U6724" s="84" t="n">
        <f aca="false">IF(AND(R6724=1,ISNUMBER(T6724)),E6724-T6724,"")</f>
        <v>-0.948752187899956</v>
      </c>
      <c r="V6724" s="84" t="n">
        <f aca="false">IF(ISNUMBER(T6724),T6724,-99)</f>
        <v>21.6487521879</v>
      </c>
      <c r="W6724" s="84" t="n">
        <f aca="false">IF(ISNUMBER(U6724),ABS(U6724),"")</f>
        <v>0.948752187899956</v>
      </c>
    </row>
    <row r="6725" customFormat="false" ht="15" hidden="false" customHeight="false" outlineLevel="0" collapsed="false">
      <c r="A6725" s="57" t="n">
        <v>44826</v>
      </c>
      <c r="B6725" s="56" t="n">
        <v>2022</v>
      </c>
      <c r="C6725" s="56" t="n">
        <v>9</v>
      </c>
      <c r="D6725" s="56" t="n">
        <v>145</v>
      </c>
      <c r="E6725" s="56" t="n">
        <v>18.9</v>
      </c>
      <c r="F6725" s="56" t="n">
        <v>0</v>
      </c>
      <c r="G6725" s="56" t="n">
        <v>9.6</v>
      </c>
      <c r="H6725" s="56" t="n">
        <v>0</v>
      </c>
      <c r="I6725" s="56" t="n">
        <v>15.2</v>
      </c>
      <c r="J6725" s="56" t="n">
        <v>0</v>
      </c>
      <c r="K6725" s="56" t="n">
        <v>1019.9</v>
      </c>
      <c r="L6725" s="56" t="n">
        <v>0</v>
      </c>
      <c r="M6725" s="56" t="n">
        <v>77</v>
      </c>
      <c r="N6725" s="56" t="n">
        <v>6.8</v>
      </c>
      <c r="O6725" s="56" t="n">
        <f aca="false">IF(D6725=1,"",E6724)</f>
        <v>20.7</v>
      </c>
      <c r="P6725" s="56" t="n">
        <f aca="false">IF(OR(D6725=1,K6724=""),"",K6724)</f>
        <v>1025.6</v>
      </c>
      <c r="Q6725" s="56" t="n">
        <f aca="false">IF(OR(F6725&lt;&gt;0,AND(I6725&lt;&gt;"",E6725&lt;I6725)),1,0)</f>
        <v>0</v>
      </c>
      <c r="R6725" s="56" t="n">
        <f aca="false">IF(AND(D6725&gt;1,Q6725=0,ISNUMBER(O6725),ISNUMBER(P6725)),IF(Q6724=0,1,0),0)</f>
        <v>1</v>
      </c>
      <c r="S6725" s="56" t="n">
        <f aca="false">R6725*(B6725&gt;=Train_Start)*(B6725&lt;=Train_End)</f>
        <v>0</v>
      </c>
      <c r="T6725" s="84" t="n">
        <f aca="false">IF(AND(ISNUMBER(O6725),ISNUMBER(P6725)),Coef_A+Coef_B1*O6725+Coef_B2*P6725,"")</f>
        <v>21.2202606545982</v>
      </c>
      <c r="U6725" s="84" t="n">
        <f aca="false">IF(AND(R6725=1,ISNUMBER(T6725)),E6725-T6725,"")</f>
        <v>-2.32026065459823</v>
      </c>
      <c r="V6725" s="84" t="n">
        <f aca="false">IF(ISNUMBER(T6725),T6725,-99)</f>
        <v>21.2202606545982</v>
      </c>
      <c r="W6725" s="84" t="n">
        <f aca="false">IF(ISNUMBER(U6725),ABS(U6725),"")</f>
        <v>2.32026065459823</v>
      </c>
    </row>
    <row r="6726" customFormat="false" ht="15" hidden="false" customHeight="false" outlineLevel="0" collapsed="false">
      <c r="A6726" s="57" t="n">
        <v>44827</v>
      </c>
      <c r="B6726" s="56" t="n">
        <v>2022</v>
      </c>
      <c r="C6726" s="56" t="n">
        <v>9</v>
      </c>
      <c r="D6726" s="56" t="n">
        <v>146</v>
      </c>
      <c r="E6726" s="56" t="n">
        <v>18.9</v>
      </c>
      <c r="F6726" s="56" t="n">
        <v>0</v>
      </c>
      <c r="G6726" s="56" t="n">
        <v>14.4</v>
      </c>
      <c r="H6726" s="56" t="n">
        <v>0</v>
      </c>
      <c r="I6726" s="56" t="n">
        <v>16.6</v>
      </c>
      <c r="J6726" s="56" t="n">
        <v>0</v>
      </c>
      <c r="K6726" s="56" t="n">
        <v>1015.2</v>
      </c>
      <c r="L6726" s="56" t="n">
        <v>0</v>
      </c>
      <c r="M6726" s="56" t="n">
        <v>81</v>
      </c>
      <c r="N6726" s="56" t="n">
        <v>1.5</v>
      </c>
      <c r="O6726" s="56" t="n">
        <f aca="false">IF(D6726=1,"",E6725)</f>
        <v>18.9</v>
      </c>
      <c r="P6726" s="56" t="n">
        <f aca="false">IF(OR(D6726=1,K6725=""),"",K6725)</f>
        <v>1019.9</v>
      </c>
      <c r="Q6726" s="56" t="n">
        <f aca="false">IF(OR(F6726&lt;&gt;0,AND(I6726&lt;&gt;"",E6726&lt;I6726)),1,0)</f>
        <v>0</v>
      </c>
      <c r="R6726" s="56" t="n">
        <f aca="false">IF(AND(D6726&gt;1,Q6726=0,ISNUMBER(O6726),ISNUMBER(P6726)),IF(Q6725=0,1,0),0)</f>
        <v>1</v>
      </c>
      <c r="S6726" s="56" t="n">
        <f aca="false">R6726*(B6726&gt;=Train_Start)*(B6726&lt;=Train_End)</f>
        <v>0</v>
      </c>
      <c r="T6726" s="84" t="n">
        <f aca="false">IF(AND(ISNUMBER(O6726),ISNUMBER(P6726)),Coef_A+Coef_B1*O6726+Coef_B2*P6726,"")</f>
        <v>19.5666417077077</v>
      </c>
      <c r="U6726" s="84" t="n">
        <f aca="false">IF(AND(R6726=1,ISNUMBER(T6726)),E6726-T6726,"")</f>
        <v>-0.666641707707704</v>
      </c>
      <c r="V6726" s="84" t="n">
        <f aca="false">IF(ISNUMBER(T6726),T6726,-99)</f>
        <v>19.5666417077077</v>
      </c>
      <c r="W6726" s="84" t="n">
        <f aca="false">IF(ISNUMBER(U6726),ABS(U6726),"")</f>
        <v>0.666641707707704</v>
      </c>
    </row>
    <row r="6727" customFormat="false" ht="15" hidden="false" customHeight="false" outlineLevel="0" collapsed="false">
      <c r="A6727" s="57" t="n">
        <v>44828</v>
      </c>
      <c r="B6727" s="56" t="n">
        <v>2022</v>
      </c>
      <c r="C6727" s="56" t="n">
        <v>9</v>
      </c>
      <c r="D6727" s="56" t="n">
        <v>147</v>
      </c>
      <c r="E6727" s="56" t="n">
        <v>16.7</v>
      </c>
      <c r="F6727" s="56" t="n">
        <v>0</v>
      </c>
      <c r="G6727" s="56" t="n">
        <v>9</v>
      </c>
      <c r="H6727" s="56" t="n">
        <v>0</v>
      </c>
      <c r="I6727" s="56" t="n">
        <v>13.9</v>
      </c>
      <c r="J6727" s="56" t="n">
        <v>0</v>
      </c>
      <c r="K6727" s="56" t="n">
        <v>1017.1</v>
      </c>
      <c r="L6727" s="56" t="n">
        <v>0</v>
      </c>
      <c r="M6727" s="56" t="n">
        <v>74</v>
      </c>
      <c r="N6727" s="56" t="n">
        <v>7.2</v>
      </c>
      <c r="O6727" s="56" t="n">
        <f aca="false">IF(D6727=1,"",E6726)</f>
        <v>18.9</v>
      </c>
      <c r="P6727" s="56" t="n">
        <f aca="false">IF(OR(D6727=1,K6726=""),"",K6726)</f>
        <v>1015.2</v>
      </c>
      <c r="Q6727" s="56" t="n">
        <f aca="false">IF(OR(F6727&lt;&gt;0,AND(I6727&lt;&gt;"",E6727&lt;I6727)),1,0)</f>
        <v>0</v>
      </c>
      <c r="R6727" s="56" t="n">
        <f aca="false">IF(AND(D6727&gt;1,Q6727=0,ISNUMBER(O6727),ISNUMBER(P6727)),IF(Q6726=0,1,0),0)</f>
        <v>1</v>
      </c>
      <c r="S6727" s="56" t="n">
        <f aca="false">R6727*(B6727&gt;=Train_Start)*(B6727&lt;=Train_End)</f>
        <v>0</v>
      </c>
      <c r="T6727" s="84" t="n">
        <f aca="false">IF(AND(ISNUMBER(O6727),ISNUMBER(P6727)),Coef_A+Coef_B1*O6727+Coef_B2*P6727,"")</f>
        <v>19.419203202928</v>
      </c>
      <c r="U6727" s="84" t="n">
        <f aca="false">IF(AND(R6727=1,ISNUMBER(T6727)),E6727-T6727,"")</f>
        <v>-2.71920320292796</v>
      </c>
      <c r="V6727" s="84" t="n">
        <f aca="false">IF(ISNUMBER(T6727),T6727,-99)</f>
        <v>19.419203202928</v>
      </c>
      <c r="W6727" s="84" t="n">
        <f aca="false">IF(ISNUMBER(U6727),ABS(U6727),"")</f>
        <v>2.71920320292796</v>
      </c>
    </row>
    <row r="6728" customFormat="false" ht="15" hidden="false" customHeight="false" outlineLevel="0" collapsed="false">
      <c r="A6728" s="57" t="n">
        <v>44829</v>
      </c>
      <c r="B6728" s="56" t="n">
        <v>2022</v>
      </c>
      <c r="C6728" s="56" t="n">
        <v>9</v>
      </c>
      <c r="D6728" s="56" t="n">
        <v>148</v>
      </c>
      <c r="E6728" s="56" t="n">
        <v>15.7</v>
      </c>
      <c r="F6728" s="56" t="n">
        <v>0</v>
      </c>
      <c r="G6728" s="56" t="n">
        <v>8.9</v>
      </c>
      <c r="H6728" s="56" t="n">
        <v>0</v>
      </c>
      <c r="I6728" s="56" t="n">
        <v>12.8</v>
      </c>
      <c r="J6728" s="56" t="n">
        <v>0</v>
      </c>
      <c r="K6728" s="56" t="n">
        <v>1018.1</v>
      </c>
      <c r="L6728" s="56" t="n">
        <v>0</v>
      </c>
      <c r="M6728" s="56" t="n">
        <v>67</v>
      </c>
      <c r="N6728" s="56" t="n">
        <v>6.5</v>
      </c>
      <c r="O6728" s="56" t="n">
        <f aca="false">IF(D6728=1,"",E6727)</f>
        <v>16.7</v>
      </c>
      <c r="P6728" s="56" t="n">
        <f aca="false">IF(OR(D6728=1,K6727=""),"",K6727)</f>
        <v>1017.1</v>
      </c>
      <c r="Q6728" s="56" t="n">
        <f aca="false">IF(OR(F6728&lt;&gt;0,AND(I6728&lt;&gt;"",E6728&lt;I6728)),1,0)</f>
        <v>0</v>
      </c>
      <c r="R6728" s="56" t="n">
        <f aca="false">IF(AND(D6728&gt;1,Q6728=0,ISNUMBER(O6728),ISNUMBER(P6728)),IF(Q6727=0,1,0),0)</f>
        <v>1</v>
      </c>
      <c r="S6728" s="56" t="n">
        <f aca="false">R6728*(B6728&gt;=Train_Start)*(B6728&lt;=Train_End)</f>
        <v>0</v>
      </c>
      <c r="T6728" s="84" t="n">
        <f aca="false">IF(AND(ISNUMBER(O6728),ISNUMBER(P6728)),Coef_A+Coef_B1*O6728+Coef_B2*P6728,"")</f>
        <v>17.6762597780387</v>
      </c>
      <c r="U6728" s="84" t="n">
        <f aca="false">IF(AND(R6728=1,ISNUMBER(T6728)),E6728-T6728,"")</f>
        <v>-1.97625977803869</v>
      </c>
      <c r="V6728" s="84" t="n">
        <f aca="false">IF(ISNUMBER(T6728),T6728,-99)</f>
        <v>17.6762597780387</v>
      </c>
      <c r="W6728" s="84" t="n">
        <f aca="false">IF(ISNUMBER(U6728),ABS(U6728),"")</f>
        <v>1.97625977803869</v>
      </c>
    </row>
    <row r="6729" customFormat="false" ht="15" hidden="false" customHeight="false" outlineLevel="0" collapsed="false">
      <c r="A6729" s="57" t="n">
        <v>44830</v>
      </c>
      <c r="B6729" s="56" t="n">
        <v>2022</v>
      </c>
      <c r="C6729" s="56" t="n">
        <v>9</v>
      </c>
      <c r="D6729" s="56" t="n">
        <v>149</v>
      </c>
      <c r="E6729" s="56" t="n">
        <v>15</v>
      </c>
      <c r="F6729" s="56" t="n">
        <v>0</v>
      </c>
      <c r="G6729" s="56" t="n">
        <v>11.1</v>
      </c>
      <c r="H6729" s="56" t="n">
        <v>0</v>
      </c>
      <c r="I6729" s="56" t="n">
        <v>13.4</v>
      </c>
      <c r="J6729" s="56" t="n">
        <v>0</v>
      </c>
      <c r="K6729" s="56" t="n">
        <v>1003.3</v>
      </c>
      <c r="L6729" s="56" t="n">
        <v>0</v>
      </c>
      <c r="M6729" s="56" t="n">
        <v>72</v>
      </c>
      <c r="N6729" s="56" t="n">
        <v>3.8</v>
      </c>
      <c r="O6729" s="56" t="n">
        <f aca="false">IF(D6729=1,"",E6728)</f>
        <v>15.7</v>
      </c>
      <c r="P6729" s="56" t="n">
        <f aca="false">IF(OR(D6729=1,K6728=""),"",K6728)</f>
        <v>1018.1</v>
      </c>
      <c r="Q6729" s="56" t="n">
        <f aca="false">IF(OR(F6729&lt;&gt;0,AND(I6729&lt;&gt;"",E6729&lt;I6729)),1,0)</f>
        <v>0</v>
      </c>
      <c r="R6729" s="56" t="n">
        <f aca="false">IF(AND(D6729&gt;1,Q6729=0,ISNUMBER(O6729),ISNUMBER(P6729)),IF(Q6728=0,1,0),0)</f>
        <v>1</v>
      </c>
      <c r="S6729" s="56" t="n">
        <f aca="false">R6729*(B6729&gt;=Train_Start)*(B6729&lt;=Train_End)</f>
        <v>0</v>
      </c>
      <c r="T6729" s="84" t="n">
        <f aca="false">IF(AND(ISNUMBER(O6729),ISNUMBER(P6729)),Coef_A+Coef_B1*O6729+Coef_B2*P6729,"")</f>
        <v>16.88829047963</v>
      </c>
      <c r="U6729" s="84" t="n">
        <f aca="false">IF(AND(R6729=1,ISNUMBER(T6729)),E6729-T6729,"")</f>
        <v>-1.88829047963002</v>
      </c>
      <c r="V6729" s="84" t="n">
        <f aca="false">IF(ISNUMBER(T6729),T6729,-99)</f>
        <v>16.88829047963</v>
      </c>
      <c r="W6729" s="84" t="n">
        <f aca="false">IF(ISNUMBER(U6729),ABS(U6729),"")</f>
        <v>1.88829047963002</v>
      </c>
    </row>
    <row r="6730" customFormat="false" ht="15" hidden="false" customHeight="false" outlineLevel="0" collapsed="false">
      <c r="A6730" s="57" t="n">
        <v>44831</v>
      </c>
      <c r="B6730" s="56" t="n">
        <v>2022</v>
      </c>
      <c r="C6730" s="56" t="n">
        <v>9</v>
      </c>
      <c r="D6730" s="56" t="n">
        <v>150</v>
      </c>
      <c r="E6730" s="56" t="n">
        <v>15.6</v>
      </c>
      <c r="F6730" s="56" t="n">
        <v>0</v>
      </c>
      <c r="G6730" s="56" t="n">
        <v>8.6</v>
      </c>
      <c r="H6730" s="56" t="n">
        <v>0</v>
      </c>
      <c r="I6730" s="56" t="n">
        <v>11.8</v>
      </c>
      <c r="J6730" s="56" t="n">
        <v>0</v>
      </c>
      <c r="K6730" s="56" t="n">
        <v>1001.7</v>
      </c>
      <c r="L6730" s="56" t="n">
        <v>0</v>
      </c>
      <c r="M6730" s="56" t="n">
        <v>77</v>
      </c>
      <c r="N6730" s="56" t="n">
        <v>1.6</v>
      </c>
      <c r="O6730" s="56" t="n">
        <f aca="false">IF(D6730=1,"",E6729)</f>
        <v>15</v>
      </c>
      <c r="P6730" s="56" t="n">
        <f aca="false">IF(OR(D6730=1,K6729=""),"",K6729)</f>
        <v>1003.3</v>
      </c>
      <c r="Q6730" s="56" t="n">
        <f aca="false">IF(OR(F6730&lt;&gt;0,AND(I6730&lt;&gt;"",E6730&lt;I6730)),1,0)</f>
        <v>0</v>
      </c>
      <c r="R6730" s="56" t="n">
        <f aca="false">IF(AND(D6730&gt;1,Q6730=0,ISNUMBER(O6730),ISNUMBER(P6730)),IF(Q6729=0,1,0),0)</f>
        <v>1</v>
      </c>
      <c r="S6730" s="56" t="n">
        <f aca="false">R6730*(B6730&gt;=Train_Start)*(B6730&lt;=Train_End)</f>
        <v>0</v>
      </c>
      <c r="T6730" s="84" t="n">
        <f aca="false">IF(AND(ISNUMBER(O6730),ISNUMBER(P6730)),Coef_A+Coef_B1*O6730+Coef_B2*P6730,"")</f>
        <v>15.8504786039171</v>
      </c>
      <c r="U6730" s="84" t="n">
        <f aca="false">IF(AND(R6730=1,ISNUMBER(T6730)),E6730-T6730,"")</f>
        <v>-0.250478603917118</v>
      </c>
      <c r="V6730" s="84" t="n">
        <f aca="false">IF(ISNUMBER(T6730),T6730,-99)</f>
        <v>15.8504786039171</v>
      </c>
      <c r="W6730" s="84" t="n">
        <f aca="false">IF(ISNUMBER(U6730),ABS(U6730),"")</f>
        <v>0.250478603917118</v>
      </c>
    </row>
    <row r="6731" customFormat="false" ht="15" hidden="false" customHeight="false" outlineLevel="0" collapsed="false">
      <c r="A6731" s="57" t="n">
        <v>44832</v>
      </c>
      <c r="B6731" s="56" t="n">
        <v>2022</v>
      </c>
      <c r="C6731" s="56" t="n">
        <v>9</v>
      </c>
      <c r="D6731" s="56" t="n">
        <v>151</v>
      </c>
      <c r="E6731" s="56" t="n">
        <v>16.9</v>
      </c>
      <c r="F6731" s="56" t="n">
        <v>0</v>
      </c>
      <c r="G6731" s="56" t="n">
        <v>5.2</v>
      </c>
      <c r="H6731" s="56" t="n">
        <v>0</v>
      </c>
      <c r="I6731" s="56" t="n">
        <v>10.4</v>
      </c>
      <c r="J6731" s="56" t="n">
        <v>0</v>
      </c>
      <c r="K6731" s="56" t="n">
        <v>1000.4</v>
      </c>
      <c r="L6731" s="56" t="n">
        <v>0</v>
      </c>
      <c r="M6731" s="56" t="n">
        <v>73</v>
      </c>
      <c r="N6731" s="56" t="n">
        <v>5.6</v>
      </c>
      <c r="O6731" s="56" t="n">
        <f aca="false">IF(D6731=1,"",E6730)</f>
        <v>15.6</v>
      </c>
      <c r="P6731" s="56" t="n">
        <f aca="false">IF(OR(D6731=1,K6730=""),"",K6730)</f>
        <v>1001.7</v>
      </c>
      <c r="Q6731" s="56" t="n">
        <f aca="false">IF(OR(F6731&lt;&gt;0,AND(I6731&lt;&gt;"",E6731&lt;I6731)),1,0)</f>
        <v>0</v>
      </c>
      <c r="R6731" s="56" t="n">
        <f aca="false">IF(AND(D6731&gt;1,Q6731=0,ISNUMBER(O6731),ISNUMBER(P6731)),IF(Q6730=0,1,0),0)</f>
        <v>1</v>
      </c>
      <c r="S6731" s="56" t="n">
        <f aca="false">R6731*(B6731&gt;=Train_Start)*(B6731&lt;=Train_End)</f>
        <v>0</v>
      </c>
      <c r="T6731" s="84" t="n">
        <f aca="false">IF(AND(ISNUMBER(O6731),ISNUMBER(P6731)),Coef_A+Coef_B1*O6731+Coef_B2*P6731,"")</f>
        <v>16.2918902883283</v>
      </c>
      <c r="U6731" s="84" t="n">
        <f aca="false">IF(AND(R6731=1,ISNUMBER(T6731)),E6731-T6731,"")</f>
        <v>0.608109711671666</v>
      </c>
      <c r="V6731" s="84" t="n">
        <f aca="false">IF(ISNUMBER(T6731),T6731,-99)</f>
        <v>16.2918902883283</v>
      </c>
      <c r="W6731" s="84" t="n">
        <f aca="false">IF(ISNUMBER(U6731),ABS(U6731),"")</f>
        <v>0.608109711671666</v>
      </c>
    </row>
    <row r="6732" customFormat="false" ht="15" hidden="false" customHeight="false" outlineLevel="0" collapsed="false">
      <c r="A6732" s="57" t="n">
        <v>44833</v>
      </c>
      <c r="B6732" s="56" t="n">
        <v>2022</v>
      </c>
      <c r="C6732" s="56" t="n">
        <v>9</v>
      </c>
      <c r="D6732" s="56" t="n">
        <v>152</v>
      </c>
      <c r="E6732" s="56" t="n">
        <v>16.7</v>
      </c>
      <c r="F6732" s="56" t="n">
        <v>0</v>
      </c>
      <c r="G6732" s="56" t="n">
        <v>5.9</v>
      </c>
      <c r="H6732" s="56" t="n">
        <v>0</v>
      </c>
      <c r="I6732" s="56" t="n">
        <v>11.4</v>
      </c>
      <c r="J6732" s="56" t="n">
        <v>0</v>
      </c>
      <c r="K6732" s="56" t="n">
        <v>1004.1</v>
      </c>
      <c r="L6732" s="56" t="n">
        <v>0</v>
      </c>
      <c r="M6732" s="56" t="n">
        <v>73</v>
      </c>
      <c r="N6732" s="56" t="n">
        <v>5.7</v>
      </c>
      <c r="O6732" s="56" t="n">
        <f aca="false">IF(D6732=1,"",E6731)</f>
        <v>16.9</v>
      </c>
      <c r="P6732" s="56" t="n">
        <f aca="false">IF(OR(D6732=1,K6731=""),"",K6731)</f>
        <v>1000.4</v>
      </c>
      <c r="Q6732" s="56" t="n">
        <f aca="false">IF(OR(F6732&lt;&gt;0,AND(I6732&lt;&gt;"",E6732&lt;I6732)),1,0)</f>
        <v>0</v>
      </c>
      <c r="R6732" s="56" t="n">
        <f aca="false">IF(AND(D6732&gt;1,Q6732=0,ISNUMBER(O6732),ISNUMBER(P6732)),IF(Q6731=0,1,0),0)</f>
        <v>1</v>
      </c>
      <c r="S6732" s="56" t="n">
        <f aca="false">R6732*(B6732&gt;=Train_Start)*(B6732&lt;=Train_End)</f>
        <v>0</v>
      </c>
      <c r="T6732" s="84" t="n">
        <f aca="false">IF(AND(ISNUMBER(O6732),ISNUMBER(P6732)),Coef_A+Coef_B1*O6732+Coef_B2*P6732,"")</f>
        <v>17.3162503762596</v>
      </c>
      <c r="U6732" s="84" t="n">
        <f aca="false">IF(AND(R6732=1,ISNUMBER(T6732)),E6732-T6732,"")</f>
        <v>-0.616250376259597</v>
      </c>
      <c r="V6732" s="84" t="n">
        <f aca="false">IF(ISNUMBER(T6732),T6732,-99)</f>
        <v>17.3162503762596</v>
      </c>
      <c r="W6732" s="84" t="n">
        <f aca="false">IF(ISNUMBER(U6732),ABS(U6732),"")</f>
        <v>0.616250376259597</v>
      </c>
    </row>
    <row r="6733" customFormat="false" ht="15" hidden="false" customHeight="false" outlineLevel="0" collapsed="false">
      <c r="A6733" s="57" t="n">
        <v>44834</v>
      </c>
      <c r="B6733" s="56" t="n">
        <v>2022</v>
      </c>
      <c r="C6733" s="56" t="n">
        <v>9</v>
      </c>
      <c r="D6733" s="56" t="n">
        <v>153</v>
      </c>
      <c r="E6733" s="56" t="n">
        <v>19.4</v>
      </c>
      <c r="F6733" s="56" t="n">
        <v>0</v>
      </c>
      <c r="G6733" s="56" t="n">
        <v>7.4</v>
      </c>
      <c r="H6733" s="56" t="n">
        <v>0</v>
      </c>
      <c r="I6733" s="56" t="n">
        <v>12.1</v>
      </c>
      <c r="J6733" s="56" t="n">
        <v>0</v>
      </c>
      <c r="K6733" s="56" t="n">
        <v>1005.5</v>
      </c>
      <c r="L6733" s="56" t="n">
        <v>0</v>
      </c>
      <c r="M6733" s="56" t="n">
        <v>89</v>
      </c>
      <c r="N6733" s="56" t="n">
        <v>0.3</v>
      </c>
      <c r="O6733" s="56" t="n">
        <f aca="false">IF(D6733=1,"",E6732)</f>
        <v>16.7</v>
      </c>
      <c r="P6733" s="56" t="n">
        <f aca="false">IF(OR(D6733=1,K6732=""),"",K6732)</f>
        <v>1004.1</v>
      </c>
      <c r="Q6733" s="56" t="n">
        <f aca="false">IF(OR(F6733&lt;&gt;0,AND(I6733&lt;&gt;"",E6733&lt;I6733)),1,0)</f>
        <v>0</v>
      </c>
      <c r="R6733" s="56" t="n">
        <f aca="false">IF(AND(D6733&gt;1,Q6733=0,ISNUMBER(O6733),ISNUMBER(P6733)),IF(Q6732=0,1,0),0)</f>
        <v>1</v>
      </c>
      <c r="S6733" s="56" t="n">
        <f aca="false">R6733*(B6733&gt;=Train_Start)*(B6733&lt;=Train_End)</f>
        <v>0</v>
      </c>
      <c r="T6733" s="84" t="n">
        <f aca="false">IF(AND(ISNUMBER(O6733),ISNUMBER(P6733)),Coef_A+Coef_B1*O6733+Coef_B2*P6733,"")</f>
        <v>17.2684511477968</v>
      </c>
      <c r="U6733" s="84" t="n">
        <f aca="false">IF(AND(R6733=1,ISNUMBER(T6733)),E6733-T6733,"")</f>
        <v>2.13154885220317</v>
      </c>
      <c r="V6733" s="84" t="n">
        <f aca="false">IF(ISNUMBER(T6733),T6733,-99)</f>
        <v>17.2684511477968</v>
      </c>
      <c r="W6733" s="84" t="n">
        <f aca="false">IF(ISNUMBER(U6733),ABS(U6733),"")</f>
        <v>2.13154885220317</v>
      </c>
    </row>
    <row r="6734" customFormat="false" ht="15" hidden="false" customHeight="false" outlineLevel="0" collapsed="false">
      <c r="A6734" s="57" t="n">
        <v>45047</v>
      </c>
      <c r="B6734" s="56" t="n">
        <v>2023</v>
      </c>
      <c r="C6734" s="56" t="n">
        <v>5</v>
      </c>
      <c r="D6734" s="56" t="n">
        <v>1</v>
      </c>
      <c r="E6734" s="56" t="n">
        <v>15.1</v>
      </c>
      <c r="F6734" s="56" t="n">
        <v>0</v>
      </c>
      <c r="G6734" s="56" t="n">
        <v>10.5</v>
      </c>
      <c r="H6734" s="56" t="n">
        <v>0</v>
      </c>
      <c r="I6734" s="56" t="n">
        <v>14.3</v>
      </c>
      <c r="J6734" s="56" t="n">
        <v>0</v>
      </c>
      <c r="K6734" s="56" t="n">
        <v>1018.4</v>
      </c>
      <c r="L6734" s="56" t="n">
        <v>0</v>
      </c>
      <c r="M6734" s="56" t="n">
        <v>72</v>
      </c>
      <c r="N6734" s="56" t="n">
        <v>3.8</v>
      </c>
      <c r="O6734" s="56" t="str">
        <f aca="false">IF(D6734=1,"",E6733)</f>
        <v/>
      </c>
      <c r="P6734" s="56" t="str">
        <f aca="false">IF(OR(D6734=1,K6733=""),"",K6733)</f>
        <v/>
      </c>
      <c r="Q6734" s="56" t="n">
        <f aca="false">IF(OR(F6734&lt;&gt;0,AND(I6734&lt;&gt;"",E6734&lt;I6734)),1,0)</f>
        <v>0</v>
      </c>
      <c r="R6734" s="56" t="n">
        <f aca="false">IF(AND(D6734&gt;1,Q6734=0,ISNUMBER(O6734),ISNUMBER(P6734)),IF(Q6733=0,1,0),0)</f>
        <v>0</v>
      </c>
      <c r="S6734" s="56" t="n">
        <f aca="false">R6734*(B6734&gt;=Train_Start)*(B6734&lt;=Train_End)</f>
        <v>0</v>
      </c>
      <c r="T6734" s="84" t="str">
        <f aca="false">IF(AND(ISNUMBER(O6734),ISNUMBER(P6734)),Coef_A+Coef_B1*O6734+Coef_B2*P6734,"")</f>
        <v/>
      </c>
      <c r="U6734" s="84" t="str">
        <f aca="false">IF(AND(R6734=1,ISNUMBER(T6734)),E6734-T6734,"")</f>
        <v/>
      </c>
      <c r="V6734" s="84" t="n">
        <f aca="false">IF(ISNUMBER(T6734),T6734,-99)</f>
        <v>-99</v>
      </c>
      <c r="W6734" s="84" t="str">
        <f aca="false">IF(ISNUMBER(U6734),ABS(U6734),"")</f>
        <v/>
      </c>
    </row>
    <row r="6735" customFormat="false" ht="15" hidden="false" customHeight="false" outlineLevel="0" collapsed="false">
      <c r="A6735" s="57" t="n">
        <v>45048</v>
      </c>
      <c r="B6735" s="56" t="n">
        <v>2023</v>
      </c>
      <c r="C6735" s="56" t="n">
        <v>5</v>
      </c>
      <c r="D6735" s="56" t="n">
        <v>2</v>
      </c>
      <c r="E6735" s="56" t="n">
        <v>15.6</v>
      </c>
      <c r="F6735" s="56" t="n">
        <v>0</v>
      </c>
      <c r="G6735" s="56" t="n">
        <v>9.1</v>
      </c>
      <c r="H6735" s="56" t="n">
        <v>0</v>
      </c>
      <c r="I6735" s="56" t="n">
        <v>12.1</v>
      </c>
      <c r="J6735" s="56" t="n">
        <v>0</v>
      </c>
      <c r="K6735" s="56" t="n">
        <v>1026.4</v>
      </c>
      <c r="L6735" s="56" t="n">
        <v>0</v>
      </c>
      <c r="M6735" s="56" t="n">
        <v>76</v>
      </c>
      <c r="N6735" s="56" t="n">
        <v>1.9</v>
      </c>
      <c r="O6735" s="56" t="n">
        <f aca="false">IF(D6735=1,"",E6734)</f>
        <v>15.1</v>
      </c>
      <c r="P6735" s="56" t="n">
        <f aca="false">IF(OR(D6735=1,K6734=""),"",K6734)</f>
        <v>1018.4</v>
      </c>
      <c r="Q6735" s="56" t="n">
        <f aca="false">IF(OR(F6735&lt;&gt;0,AND(I6735&lt;&gt;"",E6735&lt;I6735)),1,0)</f>
        <v>0</v>
      </c>
      <c r="R6735" s="56" t="n">
        <f aca="false">IF(AND(D6735&gt;1,Q6735=0,ISNUMBER(O6735),ISNUMBER(P6735)),IF(Q6734=0,1,0),0)</f>
        <v>1</v>
      </c>
      <c r="S6735" s="56" t="n">
        <f aca="false">R6735*(B6735&gt;=Train_Start)*(B6735&lt;=Train_End)</f>
        <v>0</v>
      </c>
      <c r="T6735" s="84" t="n">
        <f aca="false">IF(AND(ISNUMBER(O6735),ISNUMBER(P6735)),Coef_A+Coef_B1*O6735+Coef_B2*P6735,"")</f>
        <v>16.4060979321946</v>
      </c>
      <c r="U6735" s="84" t="n">
        <f aca="false">IF(AND(R6735=1,ISNUMBER(T6735)),E6735-T6735,"")</f>
        <v>-0.806097932194627</v>
      </c>
      <c r="V6735" s="84" t="n">
        <f aca="false">IF(ISNUMBER(T6735),T6735,-99)</f>
        <v>16.4060979321946</v>
      </c>
      <c r="W6735" s="84" t="n">
        <f aca="false">IF(ISNUMBER(U6735),ABS(U6735),"")</f>
        <v>0.806097932194627</v>
      </c>
    </row>
    <row r="6736" customFormat="false" ht="15" hidden="false" customHeight="false" outlineLevel="0" collapsed="false">
      <c r="A6736" s="57" t="n">
        <v>45049</v>
      </c>
      <c r="B6736" s="56" t="n">
        <v>2023</v>
      </c>
      <c r="C6736" s="56" t="n">
        <v>5</v>
      </c>
      <c r="D6736" s="56" t="n">
        <v>3</v>
      </c>
      <c r="E6736" s="56" t="n">
        <v>19</v>
      </c>
      <c r="F6736" s="56" t="n">
        <v>0</v>
      </c>
      <c r="G6736" s="56" t="n">
        <v>5.5</v>
      </c>
      <c r="H6736" s="56" t="n">
        <v>0</v>
      </c>
      <c r="I6736" s="56" t="n">
        <v>10.6</v>
      </c>
      <c r="J6736" s="56" t="n">
        <v>0</v>
      </c>
      <c r="K6736" s="56" t="n">
        <v>1025.7</v>
      </c>
      <c r="L6736" s="56" t="n">
        <v>0</v>
      </c>
      <c r="M6736" s="56" t="n">
        <v>69</v>
      </c>
      <c r="N6736" s="56" t="n">
        <v>12.8</v>
      </c>
      <c r="O6736" s="56" t="n">
        <f aca="false">IF(D6736=1,"",E6735)</f>
        <v>15.6</v>
      </c>
      <c r="P6736" s="56" t="n">
        <f aca="false">IF(OR(D6736=1,K6735=""),"",K6735)</f>
        <v>1026.4</v>
      </c>
      <c r="Q6736" s="56" t="n">
        <f aca="false">IF(OR(F6736&lt;&gt;0,AND(I6736&lt;&gt;"",E6736&lt;I6736)),1,0)</f>
        <v>0</v>
      </c>
      <c r="R6736" s="56" t="n">
        <f aca="false">IF(AND(D6736&gt;1,Q6736=0,ISNUMBER(O6736),ISNUMBER(P6736)),IF(Q6735=0,1,0),0)</f>
        <v>1</v>
      </c>
      <c r="S6736" s="56" t="n">
        <f aca="false">R6736*(B6736&gt;=Train_Start)*(B6736&lt;=Train_End)</f>
        <v>0</v>
      </c>
      <c r="T6736" s="84" t="n">
        <f aca="false">IF(AND(ISNUMBER(O6736),ISNUMBER(P6736)),Coef_A+Coef_B1*O6736+Coef_B2*P6736,"")</f>
        <v>17.0667266857879</v>
      </c>
      <c r="U6736" s="84" t="n">
        <f aca="false">IF(AND(R6736=1,ISNUMBER(T6736)),E6736-T6736,"")</f>
        <v>1.93327331421213</v>
      </c>
      <c r="V6736" s="84" t="n">
        <f aca="false">IF(ISNUMBER(T6736),T6736,-99)</f>
        <v>17.0667266857879</v>
      </c>
      <c r="W6736" s="84" t="n">
        <f aca="false">IF(ISNUMBER(U6736),ABS(U6736),"")</f>
        <v>1.93327331421213</v>
      </c>
    </row>
    <row r="6737" customFormat="false" ht="15" hidden="false" customHeight="false" outlineLevel="0" collapsed="false">
      <c r="A6737" s="57" t="n">
        <v>45050</v>
      </c>
      <c r="B6737" s="56" t="n">
        <v>2023</v>
      </c>
      <c r="C6737" s="56" t="n">
        <v>5</v>
      </c>
      <c r="D6737" s="56" t="n">
        <v>4</v>
      </c>
      <c r="E6737" s="56" t="n">
        <v>19.5</v>
      </c>
      <c r="F6737" s="56" t="n">
        <v>0</v>
      </c>
      <c r="G6737" s="56" t="n">
        <v>7.7</v>
      </c>
      <c r="H6737" s="56" t="n">
        <v>0</v>
      </c>
      <c r="I6737" s="56" t="n">
        <v>13.3</v>
      </c>
      <c r="J6737" s="56" t="n">
        <v>0</v>
      </c>
      <c r="K6737" s="56" t="n">
        <v>1015.1</v>
      </c>
      <c r="L6737" s="56" t="n">
        <v>0</v>
      </c>
      <c r="M6737" s="56" t="n">
        <v>72</v>
      </c>
      <c r="N6737" s="56" t="n">
        <v>4.9</v>
      </c>
      <c r="O6737" s="56" t="n">
        <f aca="false">IF(D6737=1,"",E6736)</f>
        <v>19</v>
      </c>
      <c r="P6737" s="56" t="n">
        <f aca="false">IF(OR(D6737=1,K6736=""),"",K6736)</f>
        <v>1025.7</v>
      </c>
      <c r="Q6737" s="56" t="n">
        <f aca="false">IF(OR(F6737&lt;&gt;0,AND(I6737&lt;&gt;"",E6737&lt;I6737)),1,0)</f>
        <v>0</v>
      </c>
      <c r="R6737" s="56" t="n">
        <f aca="false">IF(AND(D6737&gt;1,Q6737=0,ISNUMBER(O6737),ISNUMBER(P6737)),IF(Q6736=0,1,0),0)</f>
        <v>1</v>
      </c>
      <c r="S6737" s="56" t="n">
        <f aca="false">R6737*(B6737&gt;=Train_Start)*(B6737&lt;=Train_End)</f>
        <v>0</v>
      </c>
      <c r="T6737" s="84" t="n">
        <f aca="false">IF(AND(ISNUMBER(O6737),ISNUMBER(P6737)),Coef_A+Coef_B1*O6737+Coef_B2*P6737,"")</f>
        <v>19.8305210158891</v>
      </c>
      <c r="U6737" s="84" t="n">
        <f aca="false">IF(AND(R6737=1,ISNUMBER(T6737)),E6737-T6737,"")</f>
        <v>-0.330521015889111</v>
      </c>
      <c r="V6737" s="84" t="n">
        <f aca="false">IF(ISNUMBER(T6737),T6737,-99)</f>
        <v>19.8305210158891</v>
      </c>
      <c r="W6737" s="84" t="n">
        <f aca="false">IF(ISNUMBER(U6737),ABS(U6737),"")</f>
        <v>0.330521015889111</v>
      </c>
    </row>
    <row r="6738" customFormat="false" ht="15" hidden="false" customHeight="false" outlineLevel="0" collapsed="false">
      <c r="A6738" s="57" t="n">
        <v>45051</v>
      </c>
      <c r="B6738" s="56" t="n">
        <v>2023</v>
      </c>
      <c r="C6738" s="56" t="n">
        <v>5</v>
      </c>
      <c r="D6738" s="56" t="n">
        <v>5</v>
      </c>
      <c r="E6738" s="56" t="n">
        <v>14.5</v>
      </c>
      <c r="F6738" s="56" t="n">
        <v>1</v>
      </c>
      <c r="G6738" s="56" t="n">
        <v>11.3</v>
      </c>
      <c r="H6738" s="56" t="n">
        <v>0</v>
      </c>
      <c r="I6738" s="56" t="n">
        <v>15.4</v>
      </c>
      <c r="J6738" s="56" t="n">
        <v>1</v>
      </c>
      <c r="K6738" s="56" t="n">
        <v>1014</v>
      </c>
      <c r="L6738" s="56" t="n">
        <v>0</v>
      </c>
      <c r="M6738" s="56" t="n">
        <v>71</v>
      </c>
      <c r="N6738" s="56" t="n">
        <v>6.7</v>
      </c>
      <c r="O6738" s="56" t="n">
        <f aca="false">IF(D6738=1,"",E6737)</f>
        <v>19.5</v>
      </c>
      <c r="P6738" s="56" t="n">
        <f aca="false">IF(OR(D6738=1,K6737=""),"",K6737)</f>
        <v>1015.1</v>
      </c>
      <c r="Q6738" s="56" t="n">
        <f aca="false">IF(OR(F6738&lt;&gt;0,AND(I6738&lt;&gt;"",E6738&lt;I6738)),1,0)</f>
        <v>1</v>
      </c>
      <c r="R6738" s="56" t="n">
        <f aca="false">IF(AND(D6738&gt;1,Q6738=0,ISNUMBER(O6738),ISNUMBER(P6738)),IF(Q6737=0,1,0),0)</f>
        <v>0</v>
      </c>
      <c r="S6738" s="56" t="n">
        <f aca="false">R6738*(B6738&gt;=Train_Start)*(B6738&lt;=Train_End)</f>
        <v>0</v>
      </c>
      <c r="T6738" s="84" t="n">
        <f aca="false">IF(AND(ISNUMBER(O6738),ISNUMBER(P6738)),Coef_A+Coef_B1*O6738+Coef_B2*P6738,"")</f>
        <v>19.9076697292902</v>
      </c>
      <c r="U6738" s="84" t="str">
        <f aca="false">IF(AND(R6738=1,ISNUMBER(T6738)),E6738-T6738,"")</f>
        <v/>
      </c>
      <c r="V6738" s="84" t="n">
        <f aca="false">IF(ISNUMBER(T6738),T6738,-99)</f>
        <v>19.9076697292902</v>
      </c>
      <c r="W6738" s="84" t="str">
        <f aca="false">IF(ISNUMBER(U6738),ABS(U6738),"")</f>
        <v/>
      </c>
    </row>
    <row r="6739" customFormat="false" ht="15" hidden="false" customHeight="false" outlineLevel="0" collapsed="false">
      <c r="A6739" s="57" t="n">
        <v>45052</v>
      </c>
      <c r="B6739" s="56" t="n">
        <v>2023</v>
      </c>
      <c r="C6739" s="56" t="n">
        <v>5</v>
      </c>
      <c r="D6739" s="56" t="n">
        <v>6</v>
      </c>
      <c r="E6739" s="56" t="n">
        <v>20.6</v>
      </c>
      <c r="F6739" s="56" t="n">
        <v>0</v>
      </c>
      <c r="G6739" s="56" t="n">
        <v>9.8</v>
      </c>
      <c r="H6739" s="56" t="n">
        <v>0</v>
      </c>
      <c r="I6739" s="56" t="n">
        <v>12.2</v>
      </c>
      <c r="J6739" s="56" t="n">
        <v>0</v>
      </c>
      <c r="K6739" s="56" t="n">
        <v>1013.8</v>
      </c>
      <c r="L6739" s="56" t="n">
        <v>0</v>
      </c>
      <c r="M6739" s="56" t="n">
        <v>92</v>
      </c>
      <c r="N6739" s="56" t="n">
        <v>0</v>
      </c>
      <c r="O6739" s="56" t="n">
        <f aca="false">IF(D6739=1,"",E6738)</f>
        <v>14.5</v>
      </c>
      <c r="P6739" s="56" t="n">
        <f aca="false">IF(OR(D6739=1,K6738=""),"",K6738)</f>
        <v>1014</v>
      </c>
      <c r="Q6739" s="56" t="n">
        <f aca="false">IF(OR(F6739&lt;&gt;0,AND(I6739&lt;&gt;"",E6739&lt;I6739)),1,0)</f>
        <v>0</v>
      </c>
      <c r="R6739" s="56" t="n">
        <f aca="false">IF(AND(D6739&gt;1,Q6739=0,ISNUMBER(O6739),ISNUMBER(P6739)),IF(Q6738=0,1,0),0)</f>
        <v>0</v>
      </c>
      <c r="S6739" s="56" t="n">
        <f aca="false">R6739*(B6739&gt;=Train_Start)*(B6739&lt;=Train_End)</f>
        <v>0</v>
      </c>
      <c r="T6739" s="84" t="n">
        <f aca="false">IF(AND(ISNUMBER(O6739),ISNUMBER(P6739)),Coef_A+Coef_B1*O6739+Coef_B2*P6739,"")</f>
        <v>15.7764668799795</v>
      </c>
      <c r="U6739" s="84" t="str">
        <f aca="false">IF(AND(R6739=1,ISNUMBER(T6739)),E6739-T6739,"")</f>
        <v/>
      </c>
      <c r="V6739" s="84" t="n">
        <f aca="false">IF(ISNUMBER(T6739),T6739,-99)</f>
        <v>15.7764668799795</v>
      </c>
      <c r="W6739" s="84" t="str">
        <f aca="false">IF(ISNUMBER(U6739),ABS(U6739),"")</f>
        <v/>
      </c>
    </row>
    <row r="6740" customFormat="false" ht="15" hidden="false" customHeight="false" outlineLevel="0" collapsed="false">
      <c r="A6740" s="57" t="n">
        <v>45053</v>
      </c>
      <c r="B6740" s="56" t="n">
        <v>2023</v>
      </c>
      <c r="C6740" s="56" t="n">
        <v>5</v>
      </c>
      <c r="D6740" s="56" t="n">
        <v>7</v>
      </c>
      <c r="E6740" s="56" t="n">
        <v>15</v>
      </c>
      <c r="F6740" s="56" t="n">
        <v>1</v>
      </c>
      <c r="G6740" s="56" t="n">
        <v>12.2</v>
      </c>
      <c r="H6740" s="56" t="n">
        <v>0</v>
      </c>
      <c r="I6740" s="56" t="n">
        <v>16.4</v>
      </c>
      <c r="J6740" s="56" t="n">
        <v>1</v>
      </c>
      <c r="K6740" s="56" t="n">
        <v>1017.4</v>
      </c>
      <c r="L6740" s="56" t="n">
        <v>0</v>
      </c>
      <c r="M6740" s="56" t="n">
        <v>77</v>
      </c>
      <c r="N6740" s="56" t="n">
        <v>3.9</v>
      </c>
      <c r="O6740" s="56" t="n">
        <f aca="false">IF(D6740=1,"",E6739)</f>
        <v>20.6</v>
      </c>
      <c r="P6740" s="56" t="n">
        <f aca="false">IF(OR(D6740=1,K6739=""),"",K6739)</f>
        <v>1013.8</v>
      </c>
      <c r="Q6740" s="56" t="n">
        <f aca="false">IF(OR(F6740&lt;&gt;0,AND(I6740&lt;&gt;"",E6740&lt;I6740)),1,0)</f>
        <v>1</v>
      </c>
      <c r="R6740" s="56" t="n">
        <f aca="false">IF(AND(D6740&gt;1,Q6740=0,ISNUMBER(O6740),ISNUMBER(P6740)),IF(Q6739=0,1,0),0)</f>
        <v>0</v>
      </c>
      <c r="S6740" s="56" t="n">
        <f aca="false">R6740*(B6740&gt;=Train_Start)*(B6740&lt;=Train_End)</f>
        <v>0</v>
      </c>
      <c r="T6740" s="84" t="n">
        <f aca="false">IF(AND(ISNUMBER(O6740),ISNUMBER(P6740)),Coef_A+Coef_B1*O6740+Coef_B2*P6740,"")</f>
        <v>20.7681619786129</v>
      </c>
      <c r="U6740" s="84" t="str">
        <f aca="false">IF(AND(R6740=1,ISNUMBER(T6740)),E6740-T6740,"")</f>
        <v/>
      </c>
      <c r="V6740" s="84" t="n">
        <f aca="false">IF(ISNUMBER(T6740),T6740,-99)</f>
        <v>20.7681619786129</v>
      </c>
      <c r="W6740" s="84" t="str">
        <f aca="false">IF(ISNUMBER(U6740),ABS(U6740),"")</f>
        <v/>
      </c>
    </row>
    <row r="6741" customFormat="false" ht="15" hidden="false" customHeight="false" outlineLevel="0" collapsed="false">
      <c r="A6741" s="57" t="n">
        <v>45054</v>
      </c>
      <c r="B6741" s="56" t="n">
        <v>2023</v>
      </c>
      <c r="C6741" s="56" t="n">
        <v>5</v>
      </c>
      <c r="D6741" s="56" t="n">
        <v>8</v>
      </c>
      <c r="E6741" s="56" t="n">
        <v>18.2</v>
      </c>
      <c r="F6741" s="56" t="n">
        <v>0</v>
      </c>
      <c r="G6741" s="56" t="n">
        <v>10.2</v>
      </c>
      <c r="H6741" s="56" t="n">
        <v>0</v>
      </c>
      <c r="I6741" s="56" t="n">
        <v>12.6</v>
      </c>
      <c r="J6741" s="56" t="n">
        <v>0</v>
      </c>
      <c r="K6741" s="56" t="n">
        <v>1018.9</v>
      </c>
      <c r="L6741" s="56" t="n">
        <v>0</v>
      </c>
      <c r="M6741" s="56" t="n">
        <v>89</v>
      </c>
      <c r="N6741" s="56" t="n">
        <v>0</v>
      </c>
      <c r="O6741" s="56" t="n">
        <f aca="false">IF(D6741=1,"",E6740)</f>
        <v>15</v>
      </c>
      <c r="P6741" s="56" t="n">
        <f aca="false">IF(OR(D6741=1,K6740=""),"",K6740)</f>
        <v>1017.4</v>
      </c>
      <c r="Q6741" s="56" t="n">
        <f aca="false">IF(OR(F6741&lt;&gt;0,AND(I6741&lt;&gt;"",E6741&lt;I6741)),1,0)</f>
        <v>0</v>
      </c>
      <c r="R6741" s="56" t="n">
        <f aca="false">IF(AND(D6741&gt;1,Q6741=0,ISNUMBER(O6741),ISNUMBER(P6741)),IF(Q6740=0,1,0),0)</f>
        <v>0</v>
      </c>
      <c r="S6741" s="56" t="n">
        <f aca="false">R6741*(B6741&gt;=Train_Start)*(B6741&lt;=Train_End)</f>
        <v>0</v>
      </c>
      <c r="T6741" s="84" t="n">
        <f aca="false">IF(AND(ISNUMBER(O6741),ISNUMBER(P6741)),Coef_A+Coef_B1*O6741+Coef_B2*P6741,"")</f>
        <v>16.2927941182564</v>
      </c>
      <c r="U6741" s="84" t="str">
        <f aca="false">IF(AND(R6741=1,ISNUMBER(T6741)),E6741-T6741,"")</f>
        <v/>
      </c>
      <c r="V6741" s="84" t="n">
        <f aca="false">IF(ISNUMBER(T6741),T6741,-99)</f>
        <v>16.2927941182564</v>
      </c>
      <c r="W6741" s="84" t="str">
        <f aca="false">IF(ISNUMBER(U6741),ABS(U6741),"")</f>
        <v/>
      </c>
    </row>
    <row r="6742" customFormat="false" ht="15" hidden="false" customHeight="false" outlineLevel="0" collapsed="false">
      <c r="A6742" s="57" t="n">
        <v>45055</v>
      </c>
      <c r="B6742" s="56" t="n">
        <v>2023</v>
      </c>
      <c r="C6742" s="56" t="n">
        <v>5</v>
      </c>
      <c r="D6742" s="56" t="n">
        <v>9</v>
      </c>
      <c r="E6742" s="56" t="n">
        <v>18</v>
      </c>
      <c r="F6742" s="56" t="n">
        <v>0</v>
      </c>
      <c r="G6742" s="56" t="n">
        <v>12.3</v>
      </c>
      <c r="H6742" s="56" t="n">
        <v>0</v>
      </c>
      <c r="I6742" s="56" t="n">
        <v>15.2</v>
      </c>
      <c r="J6742" s="56" t="n">
        <v>0</v>
      </c>
      <c r="K6742" s="56" t="n">
        <v>1010.9</v>
      </c>
      <c r="L6742" s="56" t="n">
        <v>0</v>
      </c>
      <c r="M6742" s="56" t="n">
        <v>87</v>
      </c>
      <c r="N6742" s="56" t="n">
        <v>1</v>
      </c>
      <c r="O6742" s="56" t="n">
        <f aca="false">IF(D6742=1,"",E6741)</f>
        <v>18.2</v>
      </c>
      <c r="P6742" s="56" t="n">
        <f aca="false">IF(OR(D6742=1,K6741=""),"",K6741)</f>
        <v>1018.9</v>
      </c>
      <c r="Q6742" s="56" t="n">
        <f aca="false">IF(OR(F6742&lt;&gt;0,AND(I6742&lt;&gt;"",E6742&lt;I6742)),1,0)</f>
        <v>0</v>
      </c>
      <c r="R6742" s="56" t="n">
        <f aca="false">IF(AND(D6742&gt;1,Q6742=0,ISNUMBER(O6742),ISNUMBER(P6742)),IF(Q6741=0,1,0),0)</f>
        <v>1</v>
      </c>
      <c r="S6742" s="56" t="n">
        <f aca="false">R6742*(B6742&gt;=Train_Start)*(B6742&lt;=Train_End)</f>
        <v>0</v>
      </c>
      <c r="T6742" s="84" t="n">
        <f aca="false">IF(AND(ISNUMBER(O6742),ISNUMBER(P6742)),Coef_A+Coef_B1*O6742+Coef_B2*P6742,"")</f>
        <v>18.9617343779439</v>
      </c>
      <c r="U6742" s="84" t="n">
        <f aca="false">IF(AND(R6742=1,ISNUMBER(T6742)),E6742-T6742,"")</f>
        <v>-0.961734377943856</v>
      </c>
      <c r="V6742" s="84" t="n">
        <f aca="false">IF(ISNUMBER(T6742),T6742,-99)</f>
        <v>18.9617343779439</v>
      </c>
      <c r="W6742" s="84" t="n">
        <f aca="false">IF(ISNUMBER(U6742),ABS(U6742),"")</f>
        <v>0.961734377943856</v>
      </c>
    </row>
    <row r="6743" customFormat="false" ht="15" hidden="false" customHeight="false" outlineLevel="0" collapsed="false">
      <c r="A6743" s="57" t="n">
        <v>45056</v>
      </c>
      <c r="B6743" s="56" t="n">
        <v>2023</v>
      </c>
      <c r="C6743" s="56" t="n">
        <v>5</v>
      </c>
      <c r="D6743" s="56" t="n">
        <v>10</v>
      </c>
      <c r="E6743" s="56" t="n">
        <v>18.8</v>
      </c>
      <c r="F6743" s="56" t="n">
        <v>0</v>
      </c>
      <c r="G6743" s="56" t="n">
        <v>9.2</v>
      </c>
      <c r="H6743" s="56" t="n">
        <v>0</v>
      </c>
      <c r="I6743" s="56" t="n">
        <v>13.6</v>
      </c>
      <c r="J6743" s="56" t="n">
        <v>0</v>
      </c>
      <c r="K6743" s="56" t="n">
        <v>1012.9</v>
      </c>
      <c r="L6743" s="56" t="n">
        <v>0</v>
      </c>
      <c r="M6743" s="56" t="n">
        <v>82</v>
      </c>
      <c r="N6743" s="56" t="n">
        <v>6.6</v>
      </c>
      <c r="O6743" s="56" t="n">
        <f aca="false">IF(D6743=1,"",E6742)</f>
        <v>18</v>
      </c>
      <c r="P6743" s="56" t="n">
        <f aca="false">IF(OR(D6743=1,K6742=""),"",K6742)</f>
        <v>1010.9</v>
      </c>
      <c r="Q6743" s="56" t="n">
        <f aca="false">IF(OR(F6743&lt;&gt;0,AND(I6743&lt;&gt;"",E6743&lt;I6743)),1,0)</f>
        <v>0</v>
      </c>
      <c r="R6743" s="56" t="n">
        <f aca="false">IF(AND(D6743&gt;1,Q6743=0,ISNUMBER(O6743),ISNUMBER(P6743)),IF(Q6742=0,1,0),0)</f>
        <v>1</v>
      </c>
      <c r="S6743" s="56" t="n">
        <f aca="false">R6743*(B6743&gt;=Train_Start)*(B6743&lt;=Train_End)</f>
        <v>0</v>
      </c>
      <c r="T6743" s="84" t="n">
        <f aca="false">IF(AND(ISNUMBER(O6743),ISNUMBER(P6743)),Coef_A+Coef_B1*O6743+Coef_B2*P6743,"")</f>
        <v>18.5469073822634</v>
      </c>
      <c r="U6743" s="84" t="n">
        <f aca="false">IF(AND(R6743=1,ISNUMBER(T6743)),E6743-T6743,"")</f>
        <v>0.253092617736591</v>
      </c>
      <c r="V6743" s="84" t="n">
        <f aca="false">IF(ISNUMBER(T6743),T6743,-99)</f>
        <v>18.5469073822634</v>
      </c>
      <c r="W6743" s="84" t="n">
        <f aca="false">IF(ISNUMBER(U6743),ABS(U6743),"")</f>
        <v>0.253092617736591</v>
      </c>
    </row>
    <row r="6744" customFormat="false" ht="15" hidden="false" customHeight="false" outlineLevel="0" collapsed="false">
      <c r="A6744" s="57" t="n">
        <v>45057</v>
      </c>
      <c r="B6744" s="56" t="n">
        <v>2023</v>
      </c>
      <c r="C6744" s="56" t="n">
        <v>5</v>
      </c>
      <c r="D6744" s="56" t="n">
        <v>11</v>
      </c>
      <c r="E6744" s="56" t="n">
        <v>13.8</v>
      </c>
      <c r="F6744" s="56" t="n">
        <v>0</v>
      </c>
      <c r="G6744" s="56" t="n">
        <v>8.9</v>
      </c>
      <c r="H6744" s="56" t="n">
        <v>0</v>
      </c>
      <c r="I6744" s="56" t="n">
        <v>13.8</v>
      </c>
      <c r="J6744" s="56" t="n">
        <v>0</v>
      </c>
      <c r="K6744" s="56" t="n">
        <v>1016.1</v>
      </c>
      <c r="L6744" s="56" t="n">
        <v>0</v>
      </c>
      <c r="M6744" s="56" t="n">
        <v>74</v>
      </c>
      <c r="N6744" s="56" t="n">
        <v>5.8</v>
      </c>
      <c r="O6744" s="56" t="n">
        <f aca="false">IF(D6744=1,"",E6743)</f>
        <v>18.8</v>
      </c>
      <c r="P6744" s="56" t="n">
        <f aca="false">IF(OR(D6744=1,K6743=""),"",K6743)</f>
        <v>1012.9</v>
      </c>
      <c r="Q6744" s="56" t="n">
        <f aca="false">IF(OR(F6744&lt;&gt;0,AND(I6744&lt;&gt;"",E6744&lt;I6744)),1,0)</f>
        <v>0</v>
      </c>
      <c r="R6744" s="56" t="n">
        <f aca="false">IF(AND(D6744&gt;1,Q6744=0,ISNUMBER(O6744),ISNUMBER(P6744)),IF(Q6743=0,1,0),0)</f>
        <v>1</v>
      </c>
      <c r="S6744" s="56" t="n">
        <f aca="false">R6744*(B6744&gt;=Train_Start)*(B6744&lt;=Train_End)</f>
        <v>0</v>
      </c>
      <c r="T6744" s="84" t="n">
        <f aca="false">IF(AND(ISNUMBER(O6744),ISNUMBER(P6744)),Coef_A+Coef_B1*O6744+Coef_B2*P6744,"")</f>
        <v>19.2651185259655</v>
      </c>
      <c r="U6744" s="84" t="n">
        <f aca="false">IF(AND(R6744=1,ISNUMBER(T6744)),E6744-T6744,"")</f>
        <v>-5.46511852596552</v>
      </c>
      <c r="V6744" s="84" t="n">
        <f aca="false">IF(ISNUMBER(T6744),T6744,-99)</f>
        <v>19.2651185259655</v>
      </c>
      <c r="W6744" s="84" t="n">
        <f aca="false">IF(ISNUMBER(U6744),ABS(U6744),"")</f>
        <v>5.46511852596552</v>
      </c>
    </row>
    <row r="6745" customFormat="false" ht="15" hidden="false" customHeight="false" outlineLevel="0" collapsed="false">
      <c r="A6745" s="57" t="n">
        <v>45058</v>
      </c>
      <c r="B6745" s="56" t="n">
        <v>2023</v>
      </c>
      <c r="C6745" s="56" t="n">
        <v>5</v>
      </c>
      <c r="D6745" s="56" t="n">
        <v>12</v>
      </c>
      <c r="E6745" s="56" t="n">
        <v>14</v>
      </c>
      <c r="F6745" s="56" t="n">
        <v>0</v>
      </c>
      <c r="G6745" s="56" t="n">
        <v>9.5</v>
      </c>
      <c r="H6745" s="56" t="n">
        <v>0</v>
      </c>
      <c r="I6745" s="56" t="n">
        <v>11.7</v>
      </c>
      <c r="J6745" s="56" t="n">
        <v>0</v>
      </c>
      <c r="K6745" s="56" t="n">
        <v>1022.8</v>
      </c>
      <c r="L6745" s="56" t="n">
        <v>0</v>
      </c>
      <c r="M6745" s="56" t="n">
        <v>84</v>
      </c>
      <c r="N6745" s="56" t="n">
        <v>1.2</v>
      </c>
      <c r="O6745" s="56" t="n">
        <f aca="false">IF(D6745=1,"",E6744)</f>
        <v>13.8</v>
      </c>
      <c r="P6745" s="56" t="n">
        <f aca="false">IF(OR(D6745=1,K6744=""),"",K6744)</f>
        <v>1016.1</v>
      </c>
      <c r="Q6745" s="56" t="n">
        <f aca="false">IF(OR(F6745&lt;&gt;0,AND(I6745&lt;&gt;"",E6745&lt;I6745)),1,0)</f>
        <v>0</v>
      </c>
      <c r="R6745" s="56" t="n">
        <f aca="false">IF(AND(D6745&gt;1,Q6745=0,ISNUMBER(O6745),ISNUMBER(P6745)),IF(Q6744=0,1,0),0)</f>
        <v>1</v>
      </c>
      <c r="S6745" s="56" t="n">
        <f aca="false">R6745*(B6745&gt;=Train_Start)*(B6745&lt;=Train_End)</f>
        <v>0</v>
      </c>
      <c r="T6745" s="84" t="n">
        <f aca="false">IF(AND(ISNUMBER(O6745),ISNUMBER(P6745)),Coef_A+Coef_B1*O6745+Coef_B2*P6745,"")</f>
        <v>15.268806223581</v>
      </c>
      <c r="U6745" s="84" t="n">
        <f aca="false">IF(AND(R6745=1,ISNUMBER(T6745)),E6745-T6745,"")</f>
        <v>-1.268806223581</v>
      </c>
      <c r="V6745" s="84" t="n">
        <f aca="false">IF(ISNUMBER(T6745),T6745,-99)</f>
        <v>15.268806223581</v>
      </c>
      <c r="W6745" s="84" t="n">
        <f aca="false">IF(ISNUMBER(U6745),ABS(U6745),"")</f>
        <v>1.268806223581</v>
      </c>
    </row>
    <row r="6746" customFormat="false" ht="15" hidden="false" customHeight="false" outlineLevel="0" collapsed="false">
      <c r="A6746" s="57" t="n">
        <v>45059</v>
      </c>
      <c r="B6746" s="56" t="n">
        <v>2023</v>
      </c>
      <c r="C6746" s="56" t="n">
        <v>5</v>
      </c>
      <c r="D6746" s="56" t="n">
        <v>13</v>
      </c>
      <c r="E6746" s="56" t="n">
        <v>21.4</v>
      </c>
      <c r="F6746" s="56" t="n">
        <v>0</v>
      </c>
      <c r="G6746" s="56" t="n">
        <v>9.4</v>
      </c>
      <c r="H6746" s="56" t="n">
        <v>0</v>
      </c>
      <c r="I6746" s="56" t="n">
        <v>11.7</v>
      </c>
      <c r="J6746" s="56" t="n">
        <v>0</v>
      </c>
      <c r="K6746" s="56" t="n">
        <v>1026.3</v>
      </c>
      <c r="L6746" s="56" t="n">
        <v>0</v>
      </c>
      <c r="M6746" s="56" t="n">
        <v>84</v>
      </c>
      <c r="N6746" s="56" t="n">
        <v>0</v>
      </c>
      <c r="O6746" s="56" t="n">
        <f aca="false">IF(D6746=1,"",E6745)</f>
        <v>14</v>
      </c>
      <c r="P6746" s="56" t="n">
        <f aca="false">IF(OR(D6746=1,K6745=""),"",K6745)</f>
        <v>1022.8</v>
      </c>
      <c r="Q6746" s="56" t="n">
        <f aca="false">IF(OR(F6746&lt;&gt;0,AND(I6746&lt;&gt;"",E6746&lt;I6746)),1,0)</f>
        <v>0</v>
      </c>
      <c r="R6746" s="56" t="n">
        <f aca="false">IF(AND(D6746&gt;1,Q6746=0,ISNUMBER(O6746),ISNUMBER(P6746)),IF(Q6745=0,1,0),0)</f>
        <v>1</v>
      </c>
      <c r="S6746" s="56" t="n">
        <f aca="false">R6746*(B6746&gt;=Train_Start)*(B6746&lt;=Train_End)</f>
        <v>0</v>
      </c>
      <c r="T6746" s="84" t="n">
        <f aca="false">IF(AND(ISNUMBER(O6746),ISNUMBER(P6746)),Coef_A+Coef_B1*O6746+Coef_B2*P6746,"")</f>
        <v>15.6428523562373</v>
      </c>
      <c r="U6746" s="84" t="n">
        <f aca="false">IF(AND(R6746=1,ISNUMBER(T6746)),E6746-T6746,"")</f>
        <v>5.75714764376275</v>
      </c>
      <c r="V6746" s="84" t="n">
        <f aca="false">IF(ISNUMBER(T6746),T6746,-99)</f>
        <v>15.6428523562373</v>
      </c>
      <c r="W6746" s="84" t="n">
        <f aca="false">IF(ISNUMBER(U6746),ABS(U6746),"")</f>
        <v>5.75714764376275</v>
      </c>
    </row>
    <row r="6747" customFormat="false" ht="15" hidden="false" customHeight="false" outlineLevel="0" collapsed="false">
      <c r="A6747" s="57" t="n">
        <v>45060</v>
      </c>
      <c r="B6747" s="56" t="n">
        <v>2023</v>
      </c>
      <c r="C6747" s="56" t="n">
        <v>5</v>
      </c>
      <c r="D6747" s="56" t="n">
        <v>14</v>
      </c>
      <c r="E6747" s="56" t="n">
        <v>17</v>
      </c>
      <c r="F6747" s="56" t="n">
        <v>0</v>
      </c>
      <c r="G6747" s="56" t="n">
        <v>8.4</v>
      </c>
      <c r="H6747" s="56" t="n">
        <v>0</v>
      </c>
      <c r="I6747" s="56" t="n">
        <v>14.9</v>
      </c>
      <c r="J6747" s="56" t="n">
        <v>0</v>
      </c>
      <c r="K6747" s="56" t="n">
        <v>1020.6</v>
      </c>
      <c r="L6747" s="56" t="n">
        <v>0</v>
      </c>
      <c r="M6747" s="56" t="n">
        <v>71</v>
      </c>
      <c r="N6747" s="56" t="n">
        <v>6.5</v>
      </c>
      <c r="O6747" s="56" t="n">
        <f aca="false">IF(D6747=1,"",E6746)</f>
        <v>21.4</v>
      </c>
      <c r="P6747" s="56" t="n">
        <f aca="false">IF(OR(D6747=1,K6746=""),"",K6746)</f>
        <v>1026.3</v>
      </c>
      <c r="Q6747" s="56" t="n">
        <f aca="false">IF(OR(F6747&lt;&gt;0,AND(I6747&lt;&gt;"",E6747&lt;I6747)),1,0)</f>
        <v>0</v>
      </c>
      <c r="R6747" s="56" t="n">
        <f aca="false">IF(AND(D6747&gt;1,Q6747=0,ISNUMBER(O6747),ISNUMBER(P6747)),IF(Q6746=0,1,0),0)</f>
        <v>1</v>
      </c>
      <c r="S6747" s="56" t="n">
        <f aca="false">R6747*(B6747&gt;=Train_Start)*(B6747&lt;=Train_End)</f>
        <v>0</v>
      </c>
      <c r="T6747" s="84" t="n">
        <f aca="false">IF(AND(ISNUMBER(O6747),ISNUMBER(P6747)),Coef_A+Coef_B1*O6747+Coef_B2*P6747,"")</f>
        <v>21.8157570159719</v>
      </c>
      <c r="U6747" s="84" t="n">
        <f aca="false">IF(AND(R6747=1,ISNUMBER(T6747)),E6747-T6747,"")</f>
        <v>-4.81575701597188</v>
      </c>
      <c r="V6747" s="84" t="n">
        <f aca="false">IF(ISNUMBER(T6747),T6747,-99)</f>
        <v>21.8157570159719</v>
      </c>
      <c r="W6747" s="84" t="n">
        <f aca="false">IF(ISNUMBER(U6747),ABS(U6747),"")</f>
        <v>4.81575701597188</v>
      </c>
    </row>
    <row r="6748" customFormat="false" ht="15" hidden="false" customHeight="false" outlineLevel="0" collapsed="false">
      <c r="A6748" s="57" t="n">
        <v>45061</v>
      </c>
      <c r="B6748" s="56" t="n">
        <v>2023</v>
      </c>
      <c r="C6748" s="56" t="n">
        <v>5</v>
      </c>
      <c r="D6748" s="56" t="n">
        <v>15</v>
      </c>
      <c r="E6748" s="56" t="n">
        <v>17.5</v>
      </c>
      <c r="F6748" s="56" t="n">
        <v>0</v>
      </c>
      <c r="G6748" s="56" t="n">
        <v>9.8</v>
      </c>
      <c r="H6748" s="56" t="n">
        <v>0</v>
      </c>
      <c r="I6748" s="56" t="n">
        <v>13.4</v>
      </c>
      <c r="J6748" s="56" t="n">
        <v>0</v>
      </c>
      <c r="K6748" s="56" t="n">
        <v>1020.4</v>
      </c>
      <c r="L6748" s="56" t="n">
        <v>0</v>
      </c>
      <c r="M6748" s="56" t="n">
        <v>62</v>
      </c>
      <c r="N6748" s="56" t="n">
        <v>8.8</v>
      </c>
      <c r="O6748" s="56" t="n">
        <f aca="false">IF(D6748=1,"",E6747)</f>
        <v>17</v>
      </c>
      <c r="P6748" s="56" t="n">
        <f aca="false">IF(OR(D6748=1,K6747=""),"",K6747)</f>
        <v>1020.6</v>
      </c>
      <c r="Q6748" s="56" t="n">
        <f aca="false">IF(OR(F6748&lt;&gt;0,AND(I6748&lt;&gt;"",E6748&lt;I6748)),1,0)</f>
        <v>0</v>
      </c>
      <c r="R6748" s="56" t="n">
        <f aca="false">IF(AND(D6748&gt;1,Q6748=0,ISNUMBER(O6748),ISNUMBER(P6748)),IF(Q6747=0,1,0),0)</f>
        <v>1</v>
      </c>
      <c r="S6748" s="56" t="n">
        <f aca="false">R6748*(B6748&gt;=Train_Start)*(B6748&lt;=Train_End)</f>
        <v>0</v>
      </c>
      <c r="T6748" s="84" t="n">
        <f aca="false">IF(AND(ISNUMBER(O6748),ISNUMBER(P6748)),Coef_A+Coef_B1*O6748+Coef_B2*P6748,"")</f>
        <v>18.0318561671705</v>
      </c>
      <c r="U6748" s="84" t="n">
        <f aca="false">IF(AND(R6748=1,ISNUMBER(T6748)),E6748-T6748,"")</f>
        <v>-0.531856167170453</v>
      </c>
      <c r="V6748" s="84" t="n">
        <f aca="false">IF(ISNUMBER(T6748),T6748,-99)</f>
        <v>18.0318561671705</v>
      </c>
      <c r="W6748" s="84" t="n">
        <f aca="false">IF(ISNUMBER(U6748),ABS(U6748),"")</f>
        <v>0.531856167170453</v>
      </c>
    </row>
    <row r="6749" customFormat="false" ht="15" hidden="false" customHeight="false" outlineLevel="0" collapsed="false">
      <c r="A6749" s="57" t="n">
        <v>45062</v>
      </c>
      <c r="B6749" s="56" t="n">
        <v>2023</v>
      </c>
      <c r="C6749" s="56" t="n">
        <v>5</v>
      </c>
      <c r="D6749" s="56" t="n">
        <v>16</v>
      </c>
      <c r="E6749" s="56" t="n">
        <v>19</v>
      </c>
      <c r="F6749" s="56" t="n">
        <v>0</v>
      </c>
      <c r="G6749" s="56" t="n">
        <v>6.8</v>
      </c>
      <c r="H6749" s="56" t="n">
        <v>0</v>
      </c>
      <c r="I6749" s="56" t="n">
        <v>12.2</v>
      </c>
      <c r="J6749" s="56" t="n">
        <v>0</v>
      </c>
      <c r="K6749" s="56" t="n">
        <v>1025.3</v>
      </c>
      <c r="L6749" s="56" t="n">
        <v>0</v>
      </c>
      <c r="M6749" s="56" t="n">
        <v>62</v>
      </c>
      <c r="N6749" s="56" t="n">
        <v>8.7</v>
      </c>
      <c r="O6749" s="56" t="n">
        <f aca="false">IF(D6749=1,"",E6748)</f>
        <v>17.5</v>
      </c>
      <c r="P6749" s="56" t="n">
        <f aca="false">IF(OR(D6749=1,K6748=""),"",K6748)</f>
        <v>1020.4</v>
      </c>
      <c r="Q6749" s="56" t="n">
        <f aca="false">IF(OR(F6749&lt;&gt;0,AND(I6749&lt;&gt;"",E6749&lt;I6749)),1,0)</f>
        <v>0</v>
      </c>
      <c r="R6749" s="56" t="n">
        <f aca="false">IF(AND(D6749&gt;1,Q6749=0,ISNUMBER(O6749),ISNUMBER(P6749)),IF(Q6748=0,1,0),0)</f>
        <v>1</v>
      </c>
      <c r="S6749" s="56" t="n">
        <f aca="false">R6749*(B6749&gt;=Train_Start)*(B6749&lt;=Train_End)</f>
        <v>0</v>
      </c>
      <c r="T6749" s="84" t="n">
        <f aca="false">IF(AND(ISNUMBER(O6749),ISNUMBER(P6749)),Coef_A+Coef_B1*O6749+Coef_B2*P6749,"")</f>
        <v>18.435251784765</v>
      </c>
      <c r="U6749" s="84" t="n">
        <f aca="false">IF(AND(R6749=1,ISNUMBER(T6749)),E6749-T6749,"")</f>
        <v>0.564748215235017</v>
      </c>
      <c r="V6749" s="84" t="n">
        <f aca="false">IF(ISNUMBER(T6749),T6749,-99)</f>
        <v>18.435251784765</v>
      </c>
      <c r="W6749" s="84" t="n">
        <f aca="false">IF(ISNUMBER(U6749),ABS(U6749),"")</f>
        <v>0.564748215235017</v>
      </c>
    </row>
    <row r="6750" customFormat="false" ht="15" hidden="false" customHeight="false" outlineLevel="0" collapsed="false">
      <c r="A6750" s="57" t="n">
        <v>45063</v>
      </c>
      <c r="B6750" s="56" t="n">
        <v>2023</v>
      </c>
      <c r="C6750" s="56" t="n">
        <v>5</v>
      </c>
      <c r="D6750" s="56" t="n">
        <v>17</v>
      </c>
      <c r="E6750" s="56" t="n">
        <v>20.4</v>
      </c>
      <c r="F6750" s="56" t="n">
        <v>0</v>
      </c>
      <c r="G6750" s="56" t="n">
        <v>7.5</v>
      </c>
      <c r="H6750" s="56" t="n">
        <v>0</v>
      </c>
      <c r="I6750" s="56" t="n">
        <v>13.2</v>
      </c>
      <c r="J6750" s="56" t="n">
        <v>0</v>
      </c>
      <c r="K6750" s="56" t="n">
        <v>1028.4</v>
      </c>
      <c r="L6750" s="56" t="n">
        <v>0</v>
      </c>
      <c r="M6750" s="56" t="n">
        <v>68</v>
      </c>
      <c r="N6750" s="56" t="n">
        <v>5.9</v>
      </c>
      <c r="O6750" s="56" t="n">
        <f aca="false">IF(D6750=1,"",E6749)</f>
        <v>19</v>
      </c>
      <c r="P6750" s="56" t="n">
        <f aca="false">IF(OR(D6750=1,K6749=""),"",K6749)</f>
        <v>1025.3</v>
      </c>
      <c r="Q6750" s="56" t="n">
        <f aca="false">IF(OR(F6750&lt;&gt;0,AND(I6750&lt;&gt;"",E6750&lt;I6750)),1,0)</f>
        <v>0</v>
      </c>
      <c r="R6750" s="56" t="n">
        <f aca="false">IF(AND(D6750&gt;1,Q6750=0,ISNUMBER(O6750),ISNUMBER(P6750)),IF(Q6749=0,1,0),0)</f>
        <v>1</v>
      </c>
      <c r="S6750" s="56" t="n">
        <f aca="false">R6750*(B6750&gt;=Train_Start)*(B6750&lt;=Train_End)</f>
        <v>0</v>
      </c>
      <c r="T6750" s="84" t="n">
        <f aca="false">IF(AND(ISNUMBER(O6750),ISNUMBER(P6750)),Coef_A+Coef_B1*O6750+Coef_B2*P6750,"")</f>
        <v>19.8179730580355</v>
      </c>
      <c r="U6750" s="84" t="n">
        <f aca="false">IF(AND(R6750=1,ISNUMBER(T6750)),E6750-T6750,"")</f>
        <v>0.582026941964486</v>
      </c>
      <c r="V6750" s="84" t="n">
        <f aca="false">IF(ISNUMBER(T6750),T6750,-99)</f>
        <v>19.8179730580355</v>
      </c>
      <c r="W6750" s="84" t="n">
        <f aca="false">IF(ISNUMBER(U6750),ABS(U6750),"")</f>
        <v>0.582026941964486</v>
      </c>
    </row>
    <row r="6751" customFormat="false" ht="15" hidden="false" customHeight="false" outlineLevel="0" collapsed="false">
      <c r="A6751" s="57" t="n">
        <v>45064</v>
      </c>
      <c r="B6751" s="56" t="n">
        <v>2023</v>
      </c>
      <c r="C6751" s="56" t="n">
        <v>5</v>
      </c>
      <c r="D6751" s="56" t="n">
        <v>18</v>
      </c>
      <c r="E6751" s="56" t="n">
        <v>17.9</v>
      </c>
      <c r="F6751" s="56" t="n">
        <v>0</v>
      </c>
      <c r="G6751" s="56" t="n">
        <v>9.1</v>
      </c>
      <c r="H6751" s="56" t="n">
        <v>0</v>
      </c>
      <c r="I6751" s="56" t="n">
        <v>14.8</v>
      </c>
      <c r="J6751" s="56" t="n">
        <v>0</v>
      </c>
      <c r="K6751" s="56" t="n">
        <v>1028.1</v>
      </c>
      <c r="L6751" s="56" t="n">
        <v>0</v>
      </c>
      <c r="M6751" s="56" t="n">
        <v>61</v>
      </c>
      <c r="N6751" s="56" t="n">
        <v>7.1</v>
      </c>
      <c r="O6751" s="56" t="n">
        <f aca="false">IF(D6751=1,"",E6750)</f>
        <v>20.4</v>
      </c>
      <c r="P6751" s="56" t="n">
        <f aca="false">IF(OR(D6751=1,K6750=""),"",K6750)</f>
        <v>1028.4</v>
      </c>
      <c r="Q6751" s="56" t="n">
        <f aca="false">IF(OR(F6751&lt;&gt;0,AND(I6751&lt;&gt;"",E6751&lt;I6751)),1,0)</f>
        <v>0</v>
      </c>
      <c r="R6751" s="56" t="n">
        <f aca="false">IF(AND(D6751&gt;1,Q6751=0,ISNUMBER(O6751),ISNUMBER(P6751)),IF(Q6750=0,1,0),0)</f>
        <v>1</v>
      </c>
      <c r="S6751" s="56" t="n">
        <f aca="false">R6751*(B6751&gt;=Train_Start)*(B6751&lt;=Train_End)</f>
        <v>0</v>
      </c>
      <c r="T6751" s="84" t="n">
        <f aca="false">IF(AND(ISNUMBER(O6751),ISNUMBER(P6751)),Coef_A+Coef_B1*O6751+Coef_B2*P6751,"")</f>
        <v>21.0622946016606</v>
      </c>
      <c r="U6751" s="84" t="n">
        <f aca="false">IF(AND(R6751=1,ISNUMBER(T6751)),E6751-T6751,"")</f>
        <v>-3.16229460166061</v>
      </c>
      <c r="V6751" s="84" t="n">
        <f aca="false">IF(ISNUMBER(T6751),T6751,-99)</f>
        <v>21.0622946016606</v>
      </c>
      <c r="W6751" s="84" t="n">
        <f aca="false">IF(ISNUMBER(U6751),ABS(U6751),"")</f>
        <v>3.16229460166061</v>
      </c>
    </row>
    <row r="6752" customFormat="false" ht="15" hidden="false" customHeight="false" outlineLevel="0" collapsed="false">
      <c r="A6752" s="57" t="n">
        <v>45065</v>
      </c>
      <c r="B6752" s="56" t="n">
        <v>2023</v>
      </c>
      <c r="C6752" s="56" t="n">
        <v>5</v>
      </c>
      <c r="D6752" s="56" t="n">
        <v>19</v>
      </c>
      <c r="E6752" s="56" t="n">
        <v>20.1</v>
      </c>
      <c r="F6752" s="56" t="n">
        <v>0</v>
      </c>
      <c r="G6752" s="56" t="n">
        <v>10.1</v>
      </c>
      <c r="H6752" s="56" t="n">
        <v>0</v>
      </c>
      <c r="I6752" s="56" t="n">
        <v>14</v>
      </c>
      <c r="J6752" s="56" t="n">
        <v>0</v>
      </c>
      <c r="K6752" s="56" t="n">
        <v>1027.2</v>
      </c>
      <c r="L6752" s="56" t="n">
        <v>0</v>
      </c>
      <c r="M6752" s="56" t="n">
        <v>67</v>
      </c>
      <c r="N6752" s="56" t="n">
        <v>2.3</v>
      </c>
      <c r="O6752" s="56" t="n">
        <f aca="false">IF(D6752=1,"",E6751)</f>
        <v>17.9</v>
      </c>
      <c r="P6752" s="56" t="n">
        <f aca="false">IF(OR(D6752=1,K6751=""),"",K6751)</f>
        <v>1028.1</v>
      </c>
      <c r="Q6752" s="56" t="n">
        <f aca="false">IF(OR(F6752&lt;&gt;0,AND(I6752&lt;&gt;"",E6752&lt;I6752)),1,0)</f>
        <v>0</v>
      </c>
      <c r="R6752" s="56" t="n">
        <f aca="false">IF(AND(D6752&gt;1,Q6752=0,ISNUMBER(O6752),ISNUMBER(P6752)),IF(Q6751=0,1,0),0)</f>
        <v>1</v>
      </c>
      <c r="S6752" s="56" t="n">
        <f aca="false">R6752*(B6752&gt;=Train_Start)*(B6752&lt;=Train_End)</f>
        <v>0</v>
      </c>
      <c r="T6752" s="84" t="n">
        <f aca="false">IF(AND(ISNUMBER(O6752),ISNUMBER(P6752)),Coef_A+Coef_B1*O6752+Coef_B2*P6752,"")</f>
        <v>19.0045356506638</v>
      </c>
      <c r="U6752" s="84" t="n">
        <f aca="false">IF(AND(R6752=1,ISNUMBER(T6752)),E6752-T6752,"")</f>
        <v>1.09546434933625</v>
      </c>
      <c r="V6752" s="84" t="n">
        <f aca="false">IF(ISNUMBER(T6752),T6752,-99)</f>
        <v>19.0045356506638</v>
      </c>
      <c r="W6752" s="84" t="n">
        <f aca="false">IF(ISNUMBER(U6752),ABS(U6752),"")</f>
        <v>1.09546434933625</v>
      </c>
    </row>
    <row r="6753" customFormat="false" ht="15" hidden="false" customHeight="false" outlineLevel="0" collapsed="false">
      <c r="A6753" s="57" t="n">
        <v>45066</v>
      </c>
      <c r="B6753" s="56" t="n">
        <v>2023</v>
      </c>
      <c r="C6753" s="56" t="n">
        <v>5</v>
      </c>
      <c r="D6753" s="56" t="n">
        <v>20</v>
      </c>
      <c r="E6753" s="56" t="n">
        <v>19.7</v>
      </c>
      <c r="F6753" s="56" t="n">
        <v>0</v>
      </c>
      <c r="G6753" s="56" t="n">
        <v>7.1</v>
      </c>
      <c r="H6753" s="56" t="n">
        <v>0</v>
      </c>
      <c r="I6753" s="56" t="n">
        <v>13.6</v>
      </c>
      <c r="J6753" s="56" t="n">
        <v>0</v>
      </c>
      <c r="K6753" s="56" t="n">
        <v>1025.2</v>
      </c>
      <c r="L6753" s="56" t="n">
        <v>0</v>
      </c>
      <c r="M6753" s="56" t="n">
        <v>62</v>
      </c>
      <c r="N6753" s="56" t="n">
        <v>7.6</v>
      </c>
      <c r="O6753" s="56" t="n">
        <f aca="false">IF(D6753=1,"",E6752)</f>
        <v>20.1</v>
      </c>
      <c r="P6753" s="56" t="n">
        <f aca="false">IF(OR(D6753=1,K6752=""),"",K6752)</f>
        <v>1027.2</v>
      </c>
      <c r="Q6753" s="56" t="n">
        <f aca="false">IF(OR(F6753&lt;&gt;0,AND(I6753&lt;&gt;"",E6753&lt;I6753)),1,0)</f>
        <v>0</v>
      </c>
      <c r="R6753" s="56" t="n">
        <f aca="false">IF(AND(D6753&gt;1,Q6753=0,ISNUMBER(O6753),ISNUMBER(P6753)),IF(Q6752=0,1,0),0)</f>
        <v>1</v>
      </c>
      <c r="S6753" s="56" t="n">
        <f aca="false">R6753*(B6753&gt;=Train_Start)*(B6753&lt;=Train_End)</f>
        <v>0</v>
      </c>
      <c r="T6753" s="84" t="n">
        <f aca="false">IF(AND(ISNUMBER(O6753),ISNUMBER(P6753)),Coef_A+Coef_B1*O6753+Coef_B2*P6753,"")</f>
        <v>20.778848970187</v>
      </c>
      <c r="U6753" s="84" t="n">
        <f aca="false">IF(AND(R6753=1,ISNUMBER(T6753)),E6753-T6753,"")</f>
        <v>-1.07884897018702</v>
      </c>
      <c r="V6753" s="84" t="n">
        <f aca="false">IF(ISNUMBER(T6753),T6753,-99)</f>
        <v>20.778848970187</v>
      </c>
      <c r="W6753" s="84" t="n">
        <f aca="false">IF(ISNUMBER(U6753),ABS(U6753),"")</f>
        <v>1.07884897018702</v>
      </c>
    </row>
    <row r="6754" customFormat="false" ht="15" hidden="false" customHeight="false" outlineLevel="0" collapsed="false">
      <c r="A6754" s="57" t="n">
        <v>45067</v>
      </c>
      <c r="B6754" s="56" t="n">
        <v>2023</v>
      </c>
      <c r="C6754" s="56" t="n">
        <v>5</v>
      </c>
      <c r="D6754" s="56" t="n">
        <v>21</v>
      </c>
      <c r="E6754" s="56" t="n">
        <v>19.7</v>
      </c>
      <c r="F6754" s="56" t="n">
        <v>0</v>
      </c>
      <c r="G6754" s="56" t="n">
        <v>8.5</v>
      </c>
      <c r="H6754" s="56" t="n">
        <v>0</v>
      </c>
      <c r="I6754" s="56" t="n">
        <v>14.1</v>
      </c>
      <c r="J6754" s="56" t="n">
        <v>0</v>
      </c>
      <c r="K6754" s="56" t="n">
        <v>1021.8</v>
      </c>
      <c r="L6754" s="56" t="n">
        <v>0</v>
      </c>
      <c r="M6754" s="56" t="n">
        <v>62</v>
      </c>
      <c r="N6754" s="56" t="n">
        <v>5.8</v>
      </c>
      <c r="O6754" s="56" t="n">
        <f aca="false">IF(D6754=1,"",E6753)</f>
        <v>19.7</v>
      </c>
      <c r="P6754" s="56" t="n">
        <f aca="false">IF(OR(D6754=1,K6753=""),"",K6753)</f>
        <v>1025.2</v>
      </c>
      <c r="Q6754" s="56" t="n">
        <f aca="false">IF(OR(F6754&lt;&gt;0,AND(I6754&lt;&gt;"",E6754&lt;I6754)),1,0)</f>
        <v>0</v>
      </c>
      <c r="R6754" s="56" t="n">
        <f aca="false">IF(AND(D6754&gt;1,Q6754=0,ISNUMBER(O6754),ISNUMBER(P6754)),IF(Q6753=0,1,0),0)</f>
        <v>1</v>
      </c>
      <c r="S6754" s="56" t="n">
        <f aca="false">R6754*(B6754&gt;=Train_Start)*(B6754&lt;=Train_End)</f>
        <v>0</v>
      </c>
      <c r="T6754" s="84" t="n">
        <f aca="false">IF(AND(ISNUMBER(O6754),ISNUMBER(P6754)),Coef_A+Coef_B1*O6754+Coef_B2*P6754,"")</f>
        <v>20.388373503702</v>
      </c>
      <c r="U6754" s="84" t="n">
        <f aca="false">IF(AND(R6754=1,ISNUMBER(T6754)),E6754-T6754,"")</f>
        <v>-0.688373503701978</v>
      </c>
      <c r="V6754" s="84" t="n">
        <f aca="false">IF(ISNUMBER(T6754),T6754,-99)</f>
        <v>20.388373503702</v>
      </c>
      <c r="W6754" s="84" t="n">
        <f aca="false">IF(ISNUMBER(U6754),ABS(U6754),"")</f>
        <v>0.688373503701978</v>
      </c>
    </row>
    <row r="6755" customFormat="false" ht="15" hidden="false" customHeight="false" outlineLevel="0" collapsed="false">
      <c r="A6755" s="57" t="n">
        <v>45068</v>
      </c>
      <c r="B6755" s="56" t="n">
        <v>2023</v>
      </c>
      <c r="C6755" s="56" t="n">
        <v>5</v>
      </c>
      <c r="D6755" s="56" t="n">
        <v>22</v>
      </c>
      <c r="E6755" s="56" t="n">
        <v>18.9</v>
      </c>
      <c r="F6755" s="56" t="n">
        <v>0</v>
      </c>
      <c r="G6755" s="56" t="n">
        <v>12</v>
      </c>
      <c r="H6755" s="56" t="n">
        <v>0</v>
      </c>
      <c r="I6755" s="56" t="n">
        <v>15.8</v>
      </c>
      <c r="J6755" s="56" t="n">
        <v>0</v>
      </c>
      <c r="K6755" s="56" t="n">
        <v>1021.6</v>
      </c>
      <c r="L6755" s="56" t="n">
        <v>0</v>
      </c>
      <c r="M6755" s="56" t="n">
        <v>56</v>
      </c>
      <c r="N6755" s="56" t="n">
        <v>3.9</v>
      </c>
      <c r="O6755" s="56" t="n">
        <f aca="false">IF(D6755=1,"",E6754)</f>
        <v>19.7</v>
      </c>
      <c r="P6755" s="56" t="n">
        <f aca="false">IF(OR(D6755=1,K6754=""),"",K6754)</f>
        <v>1021.8</v>
      </c>
      <c r="Q6755" s="56" t="n">
        <f aca="false">IF(OR(F6755&lt;&gt;0,AND(I6755&lt;&gt;"",E6755&lt;I6755)),1,0)</f>
        <v>0</v>
      </c>
      <c r="R6755" s="56" t="n">
        <f aca="false">IF(AND(D6755&gt;1,Q6755=0,ISNUMBER(O6755),ISNUMBER(P6755)),IF(Q6754=0,1,0),0)</f>
        <v>1</v>
      </c>
      <c r="S6755" s="56" t="n">
        <f aca="false">R6755*(B6755&gt;=Train_Start)*(B6755&lt;=Train_End)</f>
        <v>0</v>
      </c>
      <c r="T6755" s="84" t="n">
        <f aca="false">IF(AND(ISNUMBER(O6755),ISNUMBER(P6755)),Coef_A+Coef_B1*O6755+Coef_B2*P6755,"")</f>
        <v>20.2817158619464</v>
      </c>
      <c r="U6755" s="84" t="n">
        <f aca="false">IF(AND(R6755=1,ISNUMBER(T6755)),E6755-T6755,"")</f>
        <v>-1.38171586194641</v>
      </c>
      <c r="V6755" s="84" t="n">
        <f aca="false">IF(ISNUMBER(T6755),T6755,-99)</f>
        <v>20.2817158619464</v>
      </c>
      <c r="W6755" s="84" t="n">
        <f aca="false">IF(ISNUMBER(U6755),ABS(U6755),"")</f>
        <v>1.38171586194641</v>
      </c>
    </row>
    <row r="6756" customFormat="false" ht="15" hidden="false" customHeight="false" outlineLevel="0" collapsed="false">
      <c r="A6756" s="57" t="n">
        <v>45069</v>
      </c>
      <c r="B6756" s="56" t="n">
        <v>2023</v>
      </c>
      <c r="C6756" s="56" t="n">
        <v>5</v>
      </c>
      <c r="D6756" s="56" t="n">
        <v>23</v>
      </c>
      <c r="E6756" s="56" t="n">
        <v>21.9</v>
      </c>
      <c r="F6756" s="56" t="n">
        <v>0</v>
      </c>
      <c r="G6756" s="56" t="n">
        <v>9.1</v>
      </c>
      <c r="H6756" s="56" t="n">
        <v>0</v>
      </c>
      <c r="I6756" s="56" t="n">
        <v>14</v>
      </c>
      <c r="J6756" s="56" t="n">
        <v>0</v>
      </c>
      <c r="K6756" s="56" t="n">
        <v>1026.7</v>
      </c>
      <c r="L6756" s="56" t="n">
        <v>0</v>
      </c>
      <c r="M6756" s="56" t="n">
        <v>62</v>
      </c>
      <c r="N6756" s="56" t="n">
        <v>6.7</v>
      </c>
      <c r="O6756" s="56" t="n">
        <f aca="false">IF(D6756=1,"",E6755)</f>
        <v>18.9</v>
      </c>
      <c r="P6756" s="56" t="n">
        <f aca="false">IF(OR(D6756=1,K6755=""),"",K6755)</f>
        <v>1021.6</v>
      </c>
      <c r="Q6756" s="56" t="n">
        <f aca="false">IF(OR(F6756&lt;&gt;0,AND(I6756&lt;&gt;"",E6756&lt;I6756)),1,0)</f>
        <v>0</v>
      </c>
      <c r="R6756" s="56" t="n">
        <f aca="false">IF(AND(D6756&gt;1,Q6756=0,ISNUMBER(O6756),ISNUMBER(P6756)),IF(Q6755=0,1,0),0)</f>
        <v>1</v>
      </c>
      <c r="S6756" s="56" t="n">
        <f aca="false">R6756*(B6756&gt;=Train_Start)*(B6756&lt;=Train_End)</f>
        <v>0</v>
      </c>
      <c r="T6756" s="84" t="n">
        <f aca="false">IF(AND(ISNUMBER(O6756),ISNUMBER(P6756)),Coef_A+Coef_B1*O6756+Coef_B2*P6756,"")</f>
        <v>19.6199705285855</v>
      </c>
      <c r="U6756" s="84" t="n">
        <f aca="false">IF(AND(R6756=1,ISNUMBER(T6756)),E6756-T6756,"")</f>
        <v>2.28002947141451</v>
      </c>
      <c r="V6756" s="84" t="n">
        <f aca="false">IF(ISNUMBER(T6756),T6756,-99)</f>
        <v>19.6199705285855</v>
      </c>
      <c r="W6756" s="84" t="n">
        <f aca="false">IF(ISNUMBER(U6756),ABS(U6756),"")</f>
        <v>2.28002947141451</v>
      </c>
    </row>
    <row r="6757" customFormat="false" ht="15" hidden="false" customHeight="false" outlineLevel="0" collapsed="false">
      <c r="A6757" s="57" t="n">
        <v>45070</v>
      </c>
      <c r="B6757" s="56" t="n">
        <v>2023</v>
      </c>
      <c r="C6757" s="56" t="n">
        <v>5</v>
      </c>
      <c r="D6757" s="56" t="n">
        <v>24</v>
      </c>
      <c r="E6757" s="56" t="n">
        <v>19.4</v>
      </c>
      <c r="F6757" s="56" t="n">
        <v>0</v>
      </c>
      <c r="G6757" s="56" t="n">
        <v>8.6</v>
      </c>
      <c r="H6757" s="56" t="n">
        <v>0</v>
      </c>
      <c r="I6757" s="56" t="n">
        <v>15.2</v>
      </c>
      <c r="J6757" s="56" t="n">
        <v>0</v>
      </c>
      <c r="K6757" s="56" t="n">
        <v>1025.9</v>
      </c>
      <c r="L6757" s="56" t="n">
        <v>0</v>
      </c>
      <c r="M6757" s="56" t="n">
        <v>64</v>
      </c>
      <c r="N6757" s="56" t="n">
        <v>12.8</v>
      </c>
      <c r="O6757" s="56" t="n">
        <f aca="false">IF(D6757=1,"",E6756)</f>
        <v>21.9</v>
      </c>
      <c r="P6757" s="56" t="n">
        <f aca="false">IF(OR(D6757=1,K6756=""),"",K6756)</f>
        <v>1026.7</v>
      </c>
      <c r="Q6757" s="56" t="n">
        <f aca="false">IF(OR(F6757&lt;&gt;0,AND(I6757&lt;&gt;"",E6757&lt;I6757)),1,0)</f>
        <v>0</v>
      </c>
      <c r="R6757" s="56" t="n">
        <f aca="false">IF(AND(D6757&gt;1,Q6757=0,ISNUMBER(O6757),ISNUMBER(P6757)),IF(Q6756=0,1,0),0)</f>
        <v>1</v>
      </c>
      <c r="S6757" s="56" t="n">
        <f aca="false">R6757*(B6757&gt;=Train_Start)*(B6757&lt;=Train_End)</f>
        <v>0</v>
      </c>
      <c r="T6757" s="84" t="n">
        <f aca="false">IF(AND(ISNUMBER(O6757),ISNUMBER(P6757)),Coef_A+Coef_B1*O6757+Coef_B2*P6757,"")</f>
        <v>22.2379745703468</v>
      </c>
      <c r="U6757" s="84" t="n">
        <f aca="false">IF(AND(R6757=1,ISNUMBER(T6757)),E6757-T6757,"")</f>
        <v>-2.83797457034681</v>
      </c>
      <c r="V6757" s="84" t="n">
        <f aca="false">IF(ISNUMBER(T6757),T6757,-99)</f>
        <v>22.2379745703468</v>
      </c>
      <c r="W6757" s="84" t="n">
        <f aca="false">IF(ISNUMBER(U6757),ABS(U6757),"")</f>
        <v>2.83797457034681</v>
      </c>
    </row>
    <row r="6758" customFormat="false" ht="15" hidden="false" customHeight="false" outlineLevel="0" collapsed="false">
      <c r="A6758" s="57" t="n">
        <v>45071</v>
      </c>
      <c r="B6758" s="56" t="n">
        <v>2023</v>
      </c>
      <c r="C6758" s="56" t="n">
        <v>5</v>
      </c>
      <c r="D6758" s="56" t="n">
        <v>25</v>
      </c>
      <c r="E6758" s="56" t="n">
        <v>20.4</v>
      </c>
      <c r="F6758" s="56" t="n">
        <v>0</v>
      </c>
      <c r="G6758" s="56" t="n">
        <v>11.6</v>
      </c>
      <c r="H6758" s="56" t="n">
        <v>0</v>
      </c>
      <c r="I6758" s="56" t="n">
        <v>15.5</v>
      </c>
      <c r="J6758" s="56" t="n">
        <v>0</v>
      </c>
      <c r="K6758" s="56" t="n">
        <v>1029.4</v>
      </c>
      <c r="L6758" s="56" t="n">
        <v>0</v>
      </c>
      <c r="M6758" s="56" t="n">
        <v>63</v>
      </c>
      <c r="N6758" s="56" t="n">
        <v>9.3</v>
      </c>
      <c r="O6758" s="56" t="n">
        <f aca="false">IF(D6758=1,"",E6757)</f>
        <v>19.4</v>
      </c>
      <c r="P6758" s="56" t="n">
        <f aca="false">IF(OR(D6758=1,K6757=""),"",K6757)</f>
        <v>1025.9</v>
      </c>
      <c r="Q6758" s="56" t="n">
        <f aca="false">IF(OR(F6758&lt;&gt;0,AND(I6758&lt;&gt;"",E6758&lt;I6758)),1,0)</f>
        <v>0</v>
      </c>
      <c r="R6758" s="56" t="n">
        <f aca="false">IF(AND(D6758&gt;1,Q6758=0,ISNUMBER(O6758),ISNUMBER(P6758)),IF(Q6757=0,1,0),0)</f>
        <v>1</v>
      </c>
      <c r="S6758" s="56" t="n">
        <f aca="false">R6758*(B6758&gt;=Train_Start)*(B6758&lt;=Train_End)</f>
        <v>0</v>
      </c>
      <c r="T6758" s="84" t="n">
        <f aca="false">IF(AND(ISNUMBER(O6758),ISNUMBER(P6758)),Coef_A+Coef_B1*O6758+Coef_B2*P6758,"")</f>
        <v>20.164530672033</v>
      </c>
      <c r="U6758" s="84" t="n">
        <f aca="false">IF(AND(R6758=1,ISNUMBER(T6758)),E6758-T6758,"")</f>
        <v>0.235469327967028</v>
      </c>
      <c r="V6758" s="84" t="n">
        <f aca="false">IF(ISNUMBER(T6758),T6758,-99)</f>
        <v>20.164530672033</v>
      </c>
      <c r="W6758" s="84" t="n">
        <f aca="false">IF(ISNUMBER(U6758),ABS(U6758),"")</f>
        <v>0.235469327967028</v>
      </c>
    </row>
    <row r="6759" customFormat="false" ht="15" hidden="false" customHeight="false" outlineLevel="0" collapsed="false">
      <c r="A6759" s="57" t="n">
        <v>45072</v>
      </c>
      <c r="B6759" s="56" t="n">
        <v>2023</v>
      </c>
      <c r="C6759" s="56" t="n">
        <v>5</v>
      </c>
      <c r="D6759" s="56" t="n">
        <v>26</v>
      </c>
      <c r="E6759" s="56" t="n">
        <v>22.1</v>
      </c>
      <c r="F6759" s="56" t="n">
        <v>0</v>
      </c>
      <c r="G6759" s="56" t="n">
        <v>8.7</v>
      </c>
      <c r="H6759" s="56" t="n">
        <v>0</v>
      </c>
      <c r="I6759" s="56" t="n">
        <v>14.6</v>
      </c>
      <c r="J6759" s="56" t="n">
        <v>0</v>
      </c>
      <c r="K6759" s="56" t="n">
        <v>1031.3</v>
      </c>
      <c r="L6759" s="56" t="n">
        <v>0</v>
      </c>
      <c r="M6759" s="56" t="n">
        <v>60</v>
      </c>
      <c r="N6759" s="56" t="n">
        <v>12.1</v>
      </c>
      <c r="O6759" s="56" t="n">
        <f aca="false">IF(D6759=1,"",E6758)</f>
        <v>20.4</v>
      </c>
      <c r="P6759" s="56" t="n">
        <f aca="false">IF(OR(D6759=1,K6758=""),"",K6758)</f>
        <v>1029.4</v>
      </c>
      <c r="Q6759" s="56" t="n">
        <f aca="false">IF(OR(F6759&lt;&gt;0,AND(I6759&lt;&gt;"",E6759&lt;I6759)),1,0)</f>
        <v>0</v>
      </c>
      <c r="R6759" s="56" t="n">
        <f aca="false">IF(AND(D6759&gt;1,Q6759=0,ISNUMBER(O6759),ISNUMBER(P6759)),IF(Q6758=0,1,0),0)</f>
        <v>1</v>
      </c>
      <c r="S6759" s="56" t="n">
        <f aca="false">R6759*(B6759&gt;=Train_Start)*(B6759&lt;=Train_End)</f>
        <v>0</v>
      </c>
      <c r="T6759" s="84" t="n">
        <f aca="false">IF(AND(ISNUMBER(O6759),ISNUMBER(P6759)),Coef_A+Coef_B1*O6759+Coef_B2*P6759,"")</f>
        <v>21.0936644962946</v>
      </c>
      <c r="U6759" s="84" t="n">
        <f aca="false">IF(AND(R6759=1,ISNUMBER(T6759)),E6759-T6759,"")</f>
        <v>1.0063355037054</v>
      </c>
      <c r="V6759" s="84" t="n">
        <f aca="false">IF(ISNUMBER(T6759),T6759,-99)</f>
        <v>21.0936644962946</v>
      </c>
      <c r="W6759" s="84" t="n">
        <f aca="false">IF(ISNUMBER(U6759),ABS(U6759),"")</f>
        <v>1.0063355037054</v>
      </c>
    </row>
    <row r="6760" customFormat="false" ht="15" hidden="false" customHeight="false" outlineLevel="0" collapsed="false">
      <c r="A6760" s="57" t="n">
        <v>45073</v>
      </c>
      <c r="B6760" s="56" t="n">
        <v>2023</v>
      </c>
      <c r="C6760" s="56" t="n">
        <v>5</v>
      </c>
      <c r="D6760" s="56" t="n">
        <v>27</v>
      </c>
      <c r="E6760" s="56" t="n">
        <v>22.7</v>
      </c>
      <c r="F6760" s="56" t="n">
        <v>0</v>
      </c>
      <c r="G6760" s="56" t="n">
        <v>8.4</v>
      </c>
      <c r="H6760" s="56" t="n">
        <v>0</v>
      </c>
      <c r="I6760" s="56" t="n">
        <v>15.2</v>
      </c>
      <c r="J6760" s="56" t="n">
        <v>0</v>
      </c>
      <c r="K6760" s="56" t="n">
        <v>1026.3</v>
      </c>
      <c r="L6760" s="56" t="n">
        <v>0</v>
      </c>
      <c r="M6760" s="56" t="n">
        <v>64</v>
      </c>
      <c r="N6760" s="56" t="n">
        <v>13.7</v>
      </c>
      <c r="O6760" s="56" t="n">
        <f aca="false">IF(D6760=1,"",E6759)</f>
        <v>22.1</v>
      </c>
      <c r="P6760" s="56" t="n">
        <f aca="false">IF(OR(D6760=1,K6759=""),"",K6759)</f>
        <v>1031.3</v>
      </c>
      <c r="Q6760" s="56" t="n">
        <f aca="false">IF(OR(F6760&lt;&gt;0,AND(I6760&lt;&gt;"",E6760&lt;I6760)),1,0)</f>
        <v>0</v>
      </c>
      <c r="R6760" s="56" t="n">
        <f aca="false">IF(AND(D6760&gt;1,Q6760=0,ISNUMBER(O6760),ISNUMBER(P6760)),IF(Q6759=0,1,0),0)</f>
        <v>1</v>
      </c>
      <c r="S6760" s="56" t="n">
        <f aca="false">R6760*(B6760&gt;=Train_Start)*(B6760&lt;=Train_End)</f>
        <v>0</v>
      </c>
      <c r="T6760" s="84" t="n">
        <f aca="false">IF(AND(ISNUMBER(O6760),ISNUMBER(P6760)),Coef_A+Coef_B1*O6760+Coef_B2*P6760,"")</f>
        <v>22.5461439242717</v>
      </c>
      <c r="U6760" s="84" t="n">
        <f aca="false">IF(AND(R6760=1,ISNUMBER(T6760)),E6760-T6760,"")</f>
        <v>0.15385607572831</v>
      </c>
      <c r="V6760" s="84" t="n">
        <f aca="false">IF(ISNUMBER(T6760),T6760,-99)</f>
        <v>22.5461439242717</v>
      </c>
      <c r="W6760" s="84" t="n">
        <f aca="false">IF(ISNUMBER(U6760),ABS(U6760),"")</f>
        <v>0.15385607572831</v>
      </c>
    </row>
    <row r="6761" customFormat="false" ht="15" hidden="false" customHeight="false" outlineLevel="0" collapsed="false">
      <c r="A6761" s="57" t="n">
        <v>45074</v>
      </c>
      <c r="B6761" s="56" t="n">
        <v>2023</v>
      </c>
      <c r="C6761" s="56" t="n">
        <v>5</v>
      </c>
      <c r="D6761" s="56" t="n">
        <v>28</v>
      </c>
      <c r="E6761" s="56" t="n">
        <v>18.4</v>
      </c>
      <c r="F6761" s="56" t="n">
        <v>0</v>
      </c>
      <c r="G6761" s="56" t="n">
        <v>9</v>
      </c>
      <c r="H6761" s="56" t="n">
        <v>0</v>
      </c>
      <c r="I6761" s="56" t="n">
        <v>15.8</v>
      </c>
      <c r="J6761" s="56" t="n">
        <v>0</v>
      </c>
      <c r="K6761" s="56" t="n">
        <v>1023.4</v>
      </c>
      <c r="L6761" s="56" t="n">
        <v>0</v>
      </c>
      <c r="M6761" s="56" t="n">
        <v>55</v>
      </c>
      <c r="N6761" s="56" t="n">
        <v>11.9</v>
      </c>
      <c r="O6761" s="56" t="n">
        <f aca="false">IF(D6761=1,"",E6760)</f>
        <v>22.7</v>
      </c>
      <c r="P6761" s="56" t="n">
        <f aca="false">IF(OR(D6761=1,K6760=""),"",K6760)</f>
        <v>1026.3</v>
      </c>
      <c r="Q6761" s="56" t="n">
        <f aca="false">IF(OR(F6761&lt;&gt;0,AND(I6761&lt;&gt;"",E6761&lt;I6761)),1,0)</f>
        <v>0</v>
      </c>
      <c r="R6761" s="56" t="n">
        <f aca="false">IF(AND(D6761&gt;1,Q6761=0,ISNUMBER(O6761),ISNUMBER(P6761)),IF(Q6760=0,1,0),0)</f>
        <v>1</v>
      </c>
      <c r="S6761" s="56" t="n">
        <f aca="false">R6761*(B6761&gt;=Train_Start)*(B6761&lt;=Train_End)</f>
        <v>0</v>
      </c>
      <c r="T6761" s="84" t="n">
        <f aca="false">IF(AND(ISNUMBER(O6761),ISNUMBER(P6761)),Coef_A+Coef_B1*O6761+Coef_B2*P6761,"")</f>
        <v>22.8808979669273</v>
      </c>
      <c r="U6761" s="84" t="n">
        <f aca="false">IF(AND(R6761=1,ISNUMBER(T6761)),E6761-T6761,"")</f>
        <v>-4.48089796692733</v>
      </c>
      <c r="V6761" s="84" t="n">
        <f aca="false">IF(ISNUMBER(T6761),T6761,-99)</f>
        <v>22.8808979669273</v>
      </c>
      <c r="W6761" s="84" t="n">
        <f aca="false">IF(ISNUMBER(U6761),ABS(U6761),"")</f>
        <v>4.48089796692733</v>
      </c>
    </row>
    <row r="6762" customFormat="false" ht="15" hidden="false" customHeight="false" outlineLevel="0" collapsed="false">
      <c r="A6762" s="57" t="n">
        <v>45075</v>
      </c>
      <c r="B6762" s="56" t="n">
        <v>2023</v>
      </c>
      <c r="C6762" s="56" t="n">
        <v>5</v>
      </c>
      <c r="D6762" s="56" t="n">
        <v>29</v>
      </c>
      <c r="E6762" s="56" t="n">
        <v>18.6</v>
      </c>
      <c r="F6762" s="56" t="n">
        <v>0</v>
      </c>
      <c r="G6762" s="56" t="n">
        <v>8.3</v>
      </c>
      <c r="H6762" s="56" t="n">
        <v>0</v>
      </c>
      <c r="I6762" s="56" t="n">
        <v>13.3</v>
      </c>
      <c r="J6762" s="56" t="n">
        <v>0</v>
      </c>
      <c r="K6762" s="56" t="n">
        <v>1027.7</v>
      </c>
      <c r="L6762" s="56" t="n">
        <v>0</v>
      </c>
      <c r="M6762" s="56" t="n">
        <v>58</v>
      </c>
      <c r="N6762" s="56" t="n">
        <v>11.8</v>
      </c>
      <c r="O6762" s="56" t="n">
        <f aca="false">IF(D6762=1,"",E6761)</f>
        <v>18.4</v>
      </c>
      <c r="P6762" s="56" t="n">
        <f aca="false">IF(OR(D6762=1,K6761=""),"",K6761)</f>
        <v>1023.4</v>
      </c>
      <c r="Q6762" s="56" t="n">
        <f aca="false">IF(OR(F6762&lt;&gt;0,AND(I6762&lt;&gt;"",E6762&lt;I6762)),1,0)</f>
        <v>0</v>
      </c>
      <c r="R6762" s="56" t="n">
        <f aca="false">IF(AND(D6762&gt;1,Q6762=0,ISNUMBER(O6762),ISNUMBER(P6762)),IF(Q6761=0,1,0),0)</f>
        <v>1</v>
      </c>
      <c r="S6762" s="56" t="n">
        <f aca="false">R6762*(B6762&gt;=Train_Start)*(B6762&lt;=Train_End)</f>
        <v>0</v>
      </c>
      <c r="T6762" s="84" t="n">
        <f aca="false">IF(AND(ISNUMBER(O6762),ISNUMBER(P6762)),Coef_A+Coef_B1*O6762+Coef_B2*P6762,"")</f>
        <v>19.2667667424053</v>
      </c>
      <c r="U6762" s="84" t="n">
        <f aca="false">IF(AND(R6762=1,ISNUMBER(T6762)),E6762-T6762,"")</f>
        <v>-0.666766742405343</v>
      </c>
      <c r="V6762" s="84" t="n">
        <f aca="false">IF(ISNUMBER(T6762),T6762,-99)</f>
        <v>19.2667667424053</v>
      </c>
      <c r="W6762" s="84" t="n">
        <f aca="false">IF(ISNUMBER(U6762),ABS(U6762),"")</f>
        <v>0.666766742405343</v>
      </c>
    </row>
    <row r="6763" customFormat="false" ht="15" hidden="false" customHeight="false" outlineLevel="0" collapsed="false">
      <c r="A6763" s="57" t="n">
        <v>45076</v>
      </c>
      <c r="B6763" s="56" t="n">
        <v>2023</v>
      </c>
      <c r="C6763" s="56" t="n">
        <v>5</v>
      </c>
      <c r="D6763" s="56" t="n">
        <v>30</v>
      </c>
      <c r="E6763" s="56" t="n">
        <v>19.6</v>
      </c>
      <c r="F6763" s="56" t="n">
        <v>0</v>
      </c>
      <c r="G6763" s="56" t="n">
        <v>9.1</v>
      </c>
      <c r="H6763" s="56" t="n">
        <v>0</v>
      </c>
      <c r="I6763" s="56" t="n">
        <v>13.8</v>
      </c>
      <c r="J6763" s="56" t="n">
        <v>0</v>
      </c>
      <c r="K6763" s="56" t="n">
        <v>1029.4</v>
      </c>
      <c r="L6763" s="56" t="n">
        <v>0</v>
      </c>
      <c r="M6763" s="56" t="n">
        <v>66</v>
      </c>
      <c r="N6763" s="56" t="n">
        <v>7.2</v>
      </c>
      <c r="O6763" s="56" t="n">
        <f aca="false">IF(D6763=1,"",E6762)</f>
        <v>18.6</v>
      </c>
      <c r="P6763" s="56" t="n">
        <f aca="false">IF(OR(D6763=1,K6762=""),"",K6762)</f>
        <v>1027.7</v>
      </c>
      <c r="Q6763" s="56" t="n">
        <f aca="false">IF(OR(F6763&lt;&gt;0,AND(I6763&lt;&gt;"",E6763&lt;I6763)),1,0)</f>
        <v>0</v>
      </c>
      <c r="R6763" s="56" t="n">
        <f aca="false">IF(AND(D6763&gt;1,Q6763=0,ISNUMBER(O6763),ISNUMBER(P6763)),IF(Q6762=0,1,0),0)</f>
        <v>1</v>
      </c>
      <c r="S6763" s="56" t="n">
        <f aca="false">R6763*(B6763&gt;=Train_Start)*(B6763&lt;=Train_End)</f>
        <v>0</v>
      </c>
      <c r="T6763" s="84" t="n">
        <f aca="false">IF(AND(ISNUMBER(O6763),ISNUMBER(P6763)),Coef_A+Coef_B1*O6763+Coef_B2*P6763,"")</f>
        <v>19.56552512794</v>
      </c>
      <c r="U6763" s="84" t="n">
        <f aca="false">IF(AND(R6763=1,ISNUMBER(T6763)),E6763-T6763,"")</f>
        <v>0.0344748720599739</v>
      </c>
      <c r="V6763" s="84" t="n">
        <f aca="false">IF(ISNUMBER(T6763),T6763,-99)</f>
        <v>19.56552512794</v>
      </c>
      <c r="W6763" s="84" t="n">
        <f aca="false">IF(ISNUMBER(U6763),ABS(U6763),"")</f>
        <v>0.0344748720599739</v>
      </c>
    </row>
    <row r="6764" customFormat="false" ht="15" hidden="false" customHeight="false" outlineLevel="0" collapsed="false">
      <c r="A6764" s="57" t="n">
        <v>45077</v>
      </c>
      <c r="B6764" s="56" t="n">
        <v>2023</v>
      </c>
      <c r="C6764" s="56" t="n">
        <v>5</v>
      </c>
      <c r="D6764" s="56" t="n">
        <v>31</v>
      </c>
      <c r="E6764" s="56" t="n">
        <v>19.8</v>
      </c>
      <c r="F6764" s="56" t="n">
        <v>0</v>
      </c>
      <c r="G6764" s="56" t="n">
        <v>10.3</v>
      </c>
      <c r="H6764" s="56" t="n">
        <v>0</v>
      </c>
      <c r="I6764" s="56" t="n">
        <v>14.9</v>
      </c>
      <c r="J6764" s="56" t="n">
        <v>0</v>
      </c>
      <c r="K6764" s="56" t="n">
        <v>1027</v>
      </c>
      <c r="L6764" s="56" t="n">
        <v>0</v>
      </c>
      <c r="M6764" s="56" t="n">
        <v>71</v>
      </c>
      <c r="N6764" s="56" t="n">
        <v>5.9</v>
      </c>
      <c r="O6764" s="56" t="n">
        <f aca="false">IF(D6764=1,"",E6763)</f>
        <v>19.6</v>
      </c>
      <c r="P6764" s="56" t="n">
        <f aca="false">IF(OR(D6764=1,K6763=""),"",K6763)</f>
        <v>1029.4</v>
      </c>
      <c r="Q6764" s="56" t="n">
        <f aca="false">IF(OR(F6764&lt;&gt;0,AND(I6764&lt;&gt;"",E6764&lt;I6764)),1,0)</f>
        <v>0</v>
      </c>
      <c r="R6764" s="56" t="n">
        <f aca="false">IF(AND(D6764&gt;1,Q6764=0,ISNUMBER(O6764),ISNUMBER(P6764)),IF(Q6763=0,1,0),0)</f>
        <v>1</v>
      </c>
      <c r="S6764" s="56" t="n">
        <f aca="false">R6764*(B6764&gt;=Train_Start)*(B6764&lt;=Train_End)</f>
        <v>0</v>
      </c>
      <c r="T6764" s="84" t="n">
        <f aca="false">IF(AND(ISNUMBER(O6764),ISNUMBER(P6764)),Coef_A+Coef_B1*O6764+Coef_B2*P6764,"")</f>
        <v>20.4381931418605</v>
      </c>
      <c r="U6764" s="84" t="n">
        <f aca="false">IF(AND(R6764=1,ISNUMBER(T6764)),E6764-T6764,"")</f>
        <v>-0.638193141860473</v>
      </c>
      <c r="V6764" s="84" t="n">
        <f aca="false">IF(ISNUMBER(T6764),T6764,-99)</f>
        <v>20.4381931418605</v>
      </c>
      <c r="W6764" s="84" t="n">
        <f aca="false">IF(ISNUMBER(U6764),ABS(U6764),"")</f>
        <v>0.638193141860473</v>
      </c>
    </row>
    <row r="6765" customFormat="false" ht="15" hidden="false" customHeight="false" outlineLevel="0" collapsed="false">
      <c r="A6765" s="57" t="n">
        <v>45078</v>
      </c>
      <c r="B6765" s="56" t="n">
        <v>2023</v>
      </c>
      <c r="C6765" s="56" t="n">
        <v>6</v>
      </c>
      <c r="D6765" s="56" t="n">
        <v>32</v>
      </c>
      <c r="E6765" s="56" t="n">
        <v>19.4</v>
      </c>
      <c r="F6765" s="56" t="n">
        <v>0</v>
      </c>
      <c r="G6765" s="56" t="n">
        <v>9.9</v>
      </c>
      <c r="H6765" s="56" t="n">
        <v>0</v>
      </c>
      <c r="I6765" s="56" t="n">
        <v>14.8</v>
      </c>
      <c r="J6765" s="56" t="n">
        <v>0</v>
      </c>
      <c r="K6765" s="56" t="n">
        <v>1025.5</v>
      </c>
      <c r="L6765" s="56" t="n">
        <v>0</v>
      </c>
      <c r="M6765" s="56" t="n">
        <v>70</v>
      </c>
      <c r="N6765" s="56" t="n">
        <v>7.1</v>
      </c>
      <c r="O6765" s="56" t="n">
        <f aca="false">IF(D6765=1,"",E6764)</f>
        <v>19.8</v>
      </c>
      <c r="P6765" s="56" t="n">
        <f aca="false">IF(OR(D6765=1,K6764=""),"",K6764)</f>
        <v>1027</v>
      </c>
      <c r="Q6765" s="56" t="n">
        <f aca="false">IF(OR(F6765&lt;&gt;0,AND(I6765&lt;&gt;"",E6765&lt;I6765)),1,0)</f>
        <v>0</v>
      </c>
      <c r="R6765" s="56" t="n">
        <f aca="false">IF(AND(D6765&gt;1,Q6765=0,ISNUMBER(O6765),ISNUMBER(P6765)),IF(Q6764=0,1,0),0)</f>
        <v>1</v>
      </c>
      <c r="S6765" s="56" t="n">
        <f aca="false">R6765*(B6765&gt;=Train_Start)*(B6765&lt;=Train_End)</f>
        <v>0</v>
      </c>
      <c r="T6765" s="84" t="n">
        <f aca="false">IF(AND(ISNUMBER(O6765),ISNUMBER(P6765)),Coef_A+Coef_B1*O6765+Coef_B2*P6765,"")</f>
        <v>20.5267732333474</v>
      </c>
      <c r="U6765" s="84" t="n">
        <f aca="false">IF(AND(R6765=1,ISNUMBER(T6765)),E6765-T6765,"")</f>
        <v>-1.12677323334743</v>
      </c>
      <c r="V6765" s="84" t="n">
        <f aca="false">IF(ISNUMBER(T6765),T6765,-99)</f>
        <v>20.5267732333474</v>
      </c>
      <c r="W6765" s="84" t="n">
        <f aca="false">IF(ISNUMBER(U6765),ABS(U6765),"")</f>
        <v>1.12677323334743</v>
      </c>
    </row>
    <row r="6766" customFormat="false" ht="15" hidden="false" customHeight="false" outlineLevel="0" collapsed="false">
      <c r="A6766" s="57" t="n">
        <v>45079</v>
      </c>
      <c r="B6766" s="56" t="n">
        <v>2023</v>
      </c>
      <c r="C6766" s="56" t="n">
        <v>6</v>
      </c>
      <c r="D6766" s="56" t="n">
        <v>33</v>
      </c>
      <c r="E6766" s="56" t="n">
        <v>22.8</v>
      </c>
      <c r="F6766" s="56" t="n">
        <v>0</v>
      </c>
      <c r="G6766" s="56" t="n">
        <v>10.5</v>
      </c>
      <c r="H6766" s="56" t="n">
        <v>0</v>
      </c>
      <c r="I6766" s="56" t="n">
        <v>14.9</v>
      </c>
      <c r="J6766" s="56" t="n">
        <v>0</v>
      </c>
      <c r="K6766" s="56" t="n">
        <v>1024.5</v>
      </c>
      <c r="L6766" s="56" t="n">
        <v>0</v>
      </c>
      <c r="M6766" s="56" t="n">
        <v>59</v>
      </c>
      <c r="N6766" s="56" t="n">
        <v>9.1</v>
      </c>
      <c r="O6766" s="56" t="n">
        <f aca="false">IF(D6766=1,"",E6765)</f>
        <v>19.4</v>
      </c>
      <c r="P6766" s="56" t="n">
        <f aca="false">IF(OR(D6766=1,K6765=""),"",K6765)</f>
        <v>1025.5</v>
      </c>
      <c r="Q6766" s="56" t="n">
        <f aca="false">IF(OR(F6766&lt;&gt;0,AND(I6766&lt;&gt;"",E6766&lt;I6766)),1,0)</f>
        <v>0</v>
      </c>
      <c r="R6766" s="56" t="n">
        <f aca="false">IF(AND(D6766&gt;1,Q6766=0,ISNUMBER(O6766),ISNUMBER(P6766)),IF(Q6765=0,1,0),0)</f>
        <v>1</v>
      </c>
      <c r="S6766" s="56" t="n">
        <f aca="false">R6766*(B6766&gt;=Train_Start)*(B6766&lt;=Train_End)</f>
        <v>0</v>
      </c>
      <c r="T6766" s="84" t="n">
        <f aca="false">IF(AND(ISNUMBER(O6766),ISNUMBER(P6766)),Coef_A+Coef_B1*O6766+Coef_B2*P6766,"")</f>
        <v>20.1519827141794</v>
      </c>
      <c r="U6766" s="84" t="n">
        <f aca="false">IF(AND(R6766=1,ISNUMBER(T6766)),E6766-T6766,"")</f>
        <v>2.64801728582063</v>
      </c>
      <c r="V6766" s="84" t="n">
        <f aca="false">IF(ISNUMBER(T6766),T6766,-99)</f>
        <v>20.1519827141794</v>
      </c>
      <c r="W6766" s="84" t="n">
        <f aca="false">IF(ISNUMBER(U6766),ABS(U6766),"")</f>
        <v>2.64801728582063</v>
      </c>
    </row>
    <row r="6767" customFormat="false" ht="15" hidden="false" customHeight="false" outlineLevel="0" collapsed="false">
      <c r="A6767" s="57" t="n">
        <v>45080</v>
      </c>
      <c r="B6767" s="56" t="n">
        <v>2023</v>
      </c>
      <c r="C6767" s="56" t="n">
        <v>6</v>
      </c>
      <c r="D6767" s="56" t="n">
        <v>34</v>
      </c>
      <c r="E6767" s="56" t="n">
        <v>22.9</v>
      </c>
      <c r="F6767" s="56" t="n">
        <v>0</v>
      </c>
      <c r="G6767" s="56" t="n">
        <v>7.4</v>
      </c>
      <c r="H6767" s="56" t="n">
        <v>0</v>
      </c>
      <c r="I6767" s="56" t="n">
        <v>15.1</v>
      </c>
      <c r="J6767" s="56" t="n">
        <v>0</v>
      </c>
      <c r="K6767" s="56" t="n">
        <v>1023.5</v>
      </c>
      <c r="L6767" s="56" t="n">
        <v>0</v>
      </c>
      <c r="M6767" s="56" t="n">
        <v>64</v>
      </c>
      <c r="N6767" s="56" t="n">
        <v>8.8</v>
      </c>
      <c r="O6767" s="56" t="n">
        <f aca="false">IF(D6767=1,"",E6766)</f>
        <v>22.8</v>
      </c>
      <c r="P6767" s="56" t="n">
        <f aca="false">IF(OR(D6767=1,K6766=""),"",K6766)</f>
        <v>1024.5</v>
      </c>
      <c r="Q6767" s="56" t="n">
        <f aca="false">IF(OR(F6767&lt;&gt;0,AND(I6767&lt;&gt;"",E6767&lt;I6767)),1,0)</f>
        <v>0</v>
      </c>
      <c r="R6767" s="56" t="n">
        <f aca="false">IF(AND(D6767&gt;1,Q6767=0,ISNUMBER(O6767),ISNUMBER(P6767)),IF(Q6766=0,1,0),0)</f>
        <v>1</v>
      </c>
      <c r="S6767" s="56" t="n">
        <f aca="false">R6767*(B6767&gt;=Train_Start)*(B6767&lt;=Train_End)</f>
        <v>0</v>
      </c>
      <c r="T6767" s="84" t="n">
        <f aca="false">IF(AND(ISNUMBER(O6767),ISNUMBER(P6767)),Coef_A+Coef_B1*O6767+Coef_B2*P6767,"")</f>
        <v>22.9063660758904</v>
      </c>
      <c r="U6767" s="84" t="n">
        <f aca="false">IF(AND(R6767=1,ISNUMBER(T6767)),E6767-T6767,"")</f>
        <v>-0.00636607589042271</v>
      </c>
      <c r="V6767" s="84" t="n">
        <f aca="false">IF(ISNUMBER(T6767),T6767,-99)</f>
        <v>22.9063660758904</v>
      </c>
      <c r="W6767" s="84" t="n">
        <f aca="false">IF(ISNUMBER(U6767),ABS(U6767),"")</f>
        <v>0.00636607589042271</v>
      </c>
    </row>
    <row r="6768" customFormat="false" ht="15" hidden="false" customHeight="false" outlineLevel="0" collapsed="false">
      <c r="A6768" s="57" t="n">
        <v>45081</v>
      </c>
      <c r="B6768" s="56" t="n">
        <v>2023</v>
      </c>
      <c r="C6768" s="56" t="n">
        <v>6</v>
      </c>
      <c r="D6768" s="56" t="n">
        <v>35</v>
      </c>
      <c r="E6768" s="56" t="n">
        <v>18.8</v>
      </c>
      <c r="F6768" s="56" t="n">
        <v>0</v>
      </c>
      <c r="G6768" s="56" t="n">
        <v>9.1</v>
      </c>
      <c r="H6768" s="56" t="n">
        <v>0</v>
      </c>
      <c r="I6768" s="56" t="n">
        <v>16</v>
      </c>
      <c r="J6768" s="56" t="n">
        <v>0</v>
      </c>
      <c r="K6768" s="56" t="n">
        <v>1023.9</v>
      </c>
      <c r="L6768" s="56" t="n">
        <v>0</v>
      </c>
      <c r="M6768" s="56" t="n">
        <v>57</v>
      </c>
      <c r="N6768" s="56" t="n">
        <v>13.9</v>
      </c>
      <c r="O6768" s="56" t="n">
        <f aca="false">IF(D6768=1,"",E6767)</f>
        <v>22.9</v>
      </c>
      <c r="P6768" s="56" t="n">
        <f aca="false">IF(OR(D6768=1,K6767=""),"",K6767)</f>
        <v>1023.5</v>
      </c>
      <c r="Q6768" s="56" t="n">
        <f aca="false">IF(OR(F6768&lt;&gt;0,AND(I6768&lt;&gt;"",E6768&lt;I6768)),1,0)</f>
        <v>0</v>
      </c>
      <c r="R6768" s="56" t="n">
        <f aca="false">IF(AND(D6768&gt;1,Q6768=0,ISNUMBER(O6768),ISNUMBER(P6768)),IF(Q6767=0,1,0),0)</f>
        <v>1</v>
      </c>
      <c r="S6768" s="56" t="n">
        <f aca="false">R6768*(B6768&gt;=Train_Start)*(B6768&lt;=Train_End)</f>
        <v>0</v>
      </c>
      <c r="T6768" s="84" t="n">
        <f aca="false">IF(AND(ISNUMBER(O6768),ISNUMBER(P6768)),Coef_A+Coef_B1*O6768+Coef_B2*P6768,"")</f>
        <v>22.9569301005607</v>
      </c>
      <c r="U6768" s="84" t="n">
        <f aca="false">IF(AND(R6768=1,ISNUMBER(T6768)),E6768-T6768,"")</f>
        <v>-4.1569301005607</v>
      </c>
      <c r="V6768" s="84" t="n">
        <f aca="false">IF(ISNUMBER(T6768),T6768,-99)</f>
        <v>22.9569301005607</v>
      </c>
      <c r="W6768" s="84" t="n">
        <f aca="false">IF(ISNUMBER(U6768),ABS(U6768),"")</f>
        <v>4.1569301005607</v>
      </c>
    </row>
    <row r="6769" customFormat="false" ht="15" hidden="false" customHeight="false" outlineLevel="0" collapsed="false">
      <c r="A6769" s="57" t="n">
        <v>45082</v>
      </c>
      <c r="B6769" s="56" t="n">
        <v>2023</v>
      </c>
      <c r="C6769" s="56" t="n">
        <v>6</v>
      </c>
      <c r="D6769" s="56" t="n">
        <v>36</v>
      </c>
      <c r="E6769" s="56" t="n">
        <v>18</v>
      </c>
      <c r="F6769" s="56" t="n">
        <v>0</v>
      </c>
      <c r="G6769" s="56" t="n">
        <v>9.5</v>
      </c>
      <c r="H6769" s="56" t="n">
        <v>0</v>
      </c>
      <c r="I6769" s="56" t="n">
        <v>14.2</v>
      </c>
      <c r="J6769" s="56" t="n">
        <v>0</v>
      </c>
      <c r="K6769" s="56" t="n">
        <v>1024.5</v>
      </c>
      <c r="L6769" s="56" t="n">
        <v>0</v>
      </c>
      <c r="M6769" s="56" t="n">
        <v>66</v>
      </c>
      <c r="N6769" s="56" t="n">
        <v>5.8</v>
      </c>
      <c r="O6769" s="56" t="n">
        <f aca="false">IF(D6769=1,"",E6768)</f>
        <v>18.8</v>
      </c>
      <c r="P6769" s="56" t="n">
        <f aca="false">IF(OR(D6769=1,K6768=""),"",K6768)</f>
        <v>1023.9</v>
      </c>
      <c r="Q6769" s="56" t="n">
        <f aca="false">IF(OR(F6769&lt;&gt;0,AND(I6769&lt;&gt;"",E6769&lt;I6769)),1,0)</f>
        <v>0</v>
      </c>
      <c r="R6769" s="56" t="n">
        <f aca="false">IF(AND(D6769&gt;1,Q6769=0,ISNUMBER(O6769),ISNUMBER(P6769)),IF(Q6768=0,1,0),0)</f>
        <v>1</v>
      </c>
      <c r="S6769" s="56" t="n">
        <f aca="false">R6769*(B6769&gt;=Train_Start)*(B6769&lt;=Train_End)</f>
        <v>0</v>
      </c>
      <c r="T6769" s="84" t="n">
        <f aca="false">IF(AND(ISNUMBER(O6769),ISNUMBER(P6769)),Coef_A+Coef_B1*O6769+Coef_B2*P6769,"")</f>
        <v>19.6101873669394</v>
      </c>
      <c r="U6769" s="84" t="n">
        <f aca="false">IF(AND(R6769=1,ISNUMBER(T6769)),E6769-T6769,"")</f>
        <v>-1.6101873669394</v>
      </c>
      <c r="V6769" s="84" t="n">
        <f aca="false">IF(ISNUMBER(T6769),T6769,-99)</f>
        <v>19.6101873669394</v>
      </c>
      <c r="W6769" s="84" t="n">
        <f aca="false">IF(ISNUMBER(U6769),ABS(U6769),"")</f>
        <v>1.6101873669394</v>
      </c>
    </row>
    <row r="6770" customFormat="false" ht="15" hidden="false" customHeight="false" outlineLevel="0" collapsed="false">
      <c r="A6770" s="57" t="n">
        <v>45083</v>
      </c>
      <c r="B6770" s="56" t="n">
        <v>2023</v>
      </c>
      <c r="C6770" s="56" t="n">
        <v>6</v>
      </c>
      <c r="D6770" s="56" t="n">
        <v>37</v>
      </c>
      <c r="E6770" s="56" t="n">
        <v>22.7</v>
      </c>
      <c r="F6770" s="56" t="n">
        <v>0</v>
      </c>
      <c r="G6770" s="56" t="n">
        <v>11.4</v>
      </c>
      <c r="H6770" s="56" t="n">
        <v>0</v>
      </c>
      <c r="I6770" s="56" t="n">
        <v>14.7</v>
      </c>
      <c r="J6770" s="56" t="n">
        <v>0</v>
      </c>
      <c r="K6770" s="56" t="n">
        <v>1023.6</v>
      </c>
      <c r="L6770" s="56" t="n">
        <v>0</v>
      </c>
      <c r="M6770" s="56" t="n">
        <v>66</v>
      </c>
      <c r="N6770" s="56" t="n">
        <v>3.1</v>
      </c>
      <c r="O6770" s="56" t="n">
        <f aca="false">IF(D6770=1,"",E6769)</f>
        <v>18</v>
      </c>
      <c r="P6770" s="56" t="n">
        <f aca="false">IF(OR(D6770=1,K6769=""),"",K6769)</f>
        <v>1024.5</v>
      </c>
      <c r="Q6770" s="56" t="n">
        <f aca="false">IF(OR(F6770&lt;&gt;0,AND(I6770&lt;&gt;"",E6770&lt;I6770)),1,0)</f>
        <v>0</v>
      </c>
      <c r="R6770" s="56" t="n">
        <f aca="false">IF(AND(D6770&gt;1,Q6770=0,ISNUMBER(O6770),ISNUMBER(P6770)),IF(Q6769=0,1,0),0)</f>
        <v>1</v>
      </c>
      <c r="S6770" s="56" t="n">
        <f aca="false">R6770*(B6770&gt;=Train_Start)*(B6770&lt;=Train_End)</f>
        <v>0</v>
      </c>
      <c r="T6770" s="84" t="n">
        <f aca="false">IF(AND(ISNUMBER(O6770),ISNUMBER(P6770)),Coef_A+Coef_B1*O6770+Coef_B2*P6770,"")</f>
        <v>18.9735379492857</v>
      </c>
      <c r="U6770" s="84" t="n">
        <f aca="false">IF(AND(R6770=1,ISNUMBER(T6770)),E6770-T6770,"")</f>
        <v>3.72646205071434</v>
      </c>
      <c r="V6770" s="84" t="n">
        <f aca="false">IF(ISNUMBER(T6770),T6770,-99)</f>
        <v>18.9735379492857</v>
      </c>
      <c r="W6770" s="84" t="n">
        <f aca="false">IF(ISNUMBER(U6770),ABS(U6770),"")</f>
        <v>3.72646205071434</v>
      </c>
    </row>
    <row r="6771" customFormat="false" ht="15" hidden="false" customHeight="false" outlineLevel="0" collapsed="false">
      <c r="A6771" s="57" t="n">
        <v>45084</v>
      </c>
      <c r="B6771" s="56" t="n">
        <v>2023</v>
      </c>
      <c r="C6771" s="56" t="n">
        <v>6</v>
      </c>
      <c r="D6771" s="56" t="n">
        <v>38</v>
      </c>
      <c r="E6771" s="56" t="n">
        <v>23.4</v>
      </c>
      <c r="F6771" s="56" t="n">
        <v>0</v>
      </c>
      <c r="G6771" s="56" t="n">
        <v>10.6</v>
      </c>
      <c r="H6771" s="56" t="n">
        <v>0</v>
      </c>
      <c r="I6771" s="56" t="n">
        <v>16.6</v>
      </c>
      <c r="J6771" s="56" t="n">
        <v>0</v>
      </c>
      <c r="K6771" s="56" t="n">
        <v>1021.8</v>
      </c>
      <c r="L6771" s="56" t="n">
        <v>0</v>
      </c>
      <c r="M6771" s="56" t="n">
        <v>67</v>
      </c>
      <c r="N6771" s="56" t="n">
        <v>9.4</v>
      </c>
      <c r="O6771" s="56" t="n">
        <f aca="false">IF(D6771=1,"",E6770)</f>
        <v>22.7</v>
      </c>
      <c r="P6771" s="56" t="n">
        <f aca="false">IF(OR(D6771=1,K6770=""),"",K6770)</f>
        <v>1023.6</v>
      </c>
      <c r="Q6771" s="56" t="n">
        <f aca="false">IF(OR(F6771&lt;&gt;0,AND(I6771&lt;&gt;"",E6771&lt;I6771)),1,0)</f>
        <v>0</v>
      </c>
      <c r="R6771" s="56" t="n">
        <f aca="false">IF(AND(D6771&gt;1,Q6771=0,ISNUMBER(O6771),ISNUMBER(P6771)),IF(Q6770=0,1,0),0)</f>
        <v>1</v>
      </c>
      <c r="S6771" s="56" t="n">
        <f aca="false">R6771*(B6771&gt;=Train_Start)*(B6771&lt;=Train_End)</f>
        <v>0</v>
      </c>
      <c r="T6771" s="84" t="n">
        <f aca="false">IF(AND(ISNUMBER(O6771),ISNUMBER(P6771)),Coef_A+Coef_B1*O6771+Coef_B2*P6771,"")</f>
        <v>22.7961992514156</v>
      </c>
      <c r="U6771" s="84" t="n">
        <f aca="false">IF(AND(R6771=1,ISNUMBER(T6771)),E6771-T6771,"")</f>
        <v>0.60380074858443</v>
      </c>
      <c r="V6771" s="84" t="n">
        <f aca="false">IF(ISNUMBER(T6771),T6771,-99)</f>
        <v>22.7961992514156</v>
      </c>
      <c r="W6771" s="84" t="n">
        <f aca="false">IF(ISNUMBER(U6771),ABS(U6771),"")</f>
        <v>0.60380074858443</v>
      </c>
    </row>
    <row r="6772" customFormat="false" ht="15" hidden="false" customHeight="false" outlineLevel="0" collapsed="false">
      <c r="A6772" s="57" t="n">
        <v>45085</v>
      </c>
      <c r="B6772" s="56" t="n">
        <v>2023</v>
      </c>
      <c r="C6772" s="56" t="n">
        <v>6</v>
      </c>
      <c r="D6772" s="56" t="n">
        <v>39</v>
      </c>
      <c r="E6772" s="56" t="n">
        <v>27</v>
      </c>
      <c r="F6772" s="56" t="n">
        <v>0</v>
      </c>
      <c r="G6772" s="56" t="n">
        <v>10.3</v>
      </c>
      <c r="H6772" s="56" t="n">
        <v>0</v>
      </c>
      <c r="I6772" s="56" t="n">
        <v>16.9</v>
      </c>
      <c r="J6772" s="56" t="n">
        <v>0</v>
      </c>
      <c r="K6772" s="56" t="n">
        <v>1018.4</v>
      </c>
      <c r="L6772" s="56" t="n">
        <v>0</v>
      </c>
      <c r="M6772" s="56" t="n">
        <v>62</v>
      </c>
      <c r="N6772" s="56" t="n">
        <v>11.9</v>
      </c>
      <c r="O6772" s="56" t="n">
        <f aca="false">IF(D6772=1,"",E6771)</f>
        <v>23.4</v>
      </c>
      <c r="P6772" s="56" t="n">
        <f aca="false">IF(OR(D6772=1,K6771=""),"",K6771)</f>
        <v>1021.8</v>
      </c>
      <c r="Q6772" s="56" t="n">
        <f aca="false">IF(OR(F6772&lt;&gt;0,AND(I6772&lt;&gt;"",E6772&lt;I6772)),1,0)</f>
        <v>0</v>
      </c>
      <c r="R6772" s="56" t="n">
        <f aca="false">IF(AND(D6772&gt;1,Q6772=0,ISNUMBER(O6772),ISNUMBER(P6772)),IF(Q6771=0,1,0),0)</f>
        <v>1</v>
      </c>
      <c r="S6772" s="56" t="n">
        <f aca="false">R6772*(B6772&gt;=Train_Start)*(B6772&lt;=Train_End)</f>
        <v>0</v>
      </c>
      <c r="T6772" s="84" t="n">
        <f aca="false">IF(AND(ISNUMBER(O6772),ISNUMBER(P6772)),Coef_A+Coef_B1*O6772+Coef_B2*P6772,"")</f>
        <v>23.3132708762042</v>
      </c>
      <c r="U6772" s="84" t="n">
        <f aca="false">IF(AND(R6772=1,ISNUMBER(T6772)),E6772-T6772,"")</f>
        <v>3.68672912379576</v>
      </c>
      <c r="V6772" s="84" t="n">
        <f aca="false">IF(ISNUMBER(T6772),T6772,-99)</f>
        <v>23.3132708762042</v>
      </c>
      <c r="W6772" s="84" t="n">
        <f aca="false">IF(ISNUMBER(U6772),ABS(U6772),"")</f>
        <v>3.68672912379576</v>
      </c>
    </row>
    <row r="6773" customFormat="false" ht="15" hidden="false" customHeight="false" outlineLevel="0" collapsed="false">
      <c r="A6773" s="57" t="n">
        <v>45086</v>
      </c>
      <c r="B6773" s="56" t="n">
        <v>2023</v>
      </c>
      <c r="C6773" s="56" t="n">
        <v>6</v>
      </c>
      <c r="D6773" s="56" t="n">
        <v>40</v>
      </c>
      <c r="E6773" s="56" t="n">
        <v>31</v>
      </c>
      <c r="F6773" s="56" t="n">
        <v>0</v>
      </c>
      <c r="G6773" s="56" t="n">
        <v>11.7</v>
      </c>
      <c r="H6773" s="56" t="n">
        <v>0</v>
      </c>
      <c r="I6773" s="56" t="n">
        <v>19.4</v>
      </c>
      <c r="J6773" s="56" t="n">
        <v>0</v>
      </c>
      <c r="K6773" s="56" t="n">
        <v>1014</v>
      </c>
      <c r="L6773" s="56" t="n">
        <v>0</v>
      </c>
      <c r="M6773" s="56" t="n">
        <v>64</v>
      </c>
      <c r="N6773" s="56" t="n">
        <v>11.6</v>
      </c>
      <c r="O6773" s="56" t="n">
        <f aca="false">IF(D6773=1,"",E6772)</f>
        <v>27</v>
      </c>
      <c r="P6773" s="56" t="n">
        <f aca="false">IF(OR(D6773=1,K6772=""),"",K6772)</f>
        <v>1018.4</v>
      </c>
      <c r="Q6773" s="56" t="n">
        <f aca="false">IF(OR(F6773&lt;&gt;0,AND(I6773&lt;&gt;"",E6773&lt;I6773)),1,0)</f>
        <v>0</v>
      </c>
      <c r="R6773" s="56" t="n">
        <f aca="false">IF(AND(D6773&gt;1,Q6773=0,ISNUMBER(O6773),ISNUMBER(P6773)),IF(Q6772=0,1,0),0)</f>
        <v>1</v>
      </c>
      <c r="S6773" s="56" t="n">
        <f aca="false">R6773*(B6773&gt;=Train_Start)*(B6773&lt;=Train_End)</f>
        <v>0</v>
      </c>
      <c r="T6773" s="84" t="n">
        <f aca="false">IF(AND(ISNUMBER(O6773),ISNUMBER(P6773)),Coef_A+Coef_B1*O6773+Coef_B2*P6773,"")</f>
        <v>26.1562343294023</v>
      </c>
      <c r="U6773" s="84" t="n">
        <f aca="false">IF(AND(R6773=1,ISNUMBER(T6773)),E6773-T6773,"")</f>
        <v>4.84376567059775</v>
      </c>
      <c r="V6773" s="84" t="n">
        <f aca="false">IF(ISNUMBER(T6773),T6773,-99)</f>
        <v>26.1562343294023</v>
      </c>
      <c r="W6773" s="84" t="n">
        <f aca="false">IF(ISNUMBER(U6773),ABS(U6773),"")</f>
        <v>4.84376567059775</v>
      </c>
    </row>
    <row r="6774" customFormat="false" ht="15" hidden="false" customHeight="false" outlineLevel="0" collapsed="false">
      <c r="A6774" s="57" t="n">
        <v>45087</v>
      </c>
      <c r="B6774" s="56" t="n">
        <v>2023</v>
      </c>
      <c r="C6774" s="56" t="n">
        <v>6</v>
      </c>
      <c r="D6774" s="56" t="n">
        <v>41</v>
      </c>
      <c r="E6774" s="56" t="n">
        <v>31.2</v>
      </c>
      <c r="F6774" s="56" t="n">
        <v>0</v>
      </c>
      <c r="G6774" s="56" t="n">
        <v>13.1</v>
      </c>
      <c r="H6774" s="56" t="n">
        <v>0</v>
      </c>
      <c r="I6774" s="56" t="n">
        <v>22.1</v>
      </c>
      <c r="J6774" s="56" t="n">
        <v>0</v>
      </c>
      <c r="K6774" s="56" t="n">
        <v>1013.1</v>
      </c>
      <c r="L6774" s="56" t="n">
        <v>0</v>
      </c>
      <c r="M6774" s="56" t="n">
        <v>58</v>
      </c>
      <c r="N6774" s="56" t="n">
        <v>12</v>
      </c>
      <c r="O6774" s="56" t="n">
        <f aca="false">IF(D6774=1,"",E6773)</f>
        <v>31</v>
      </c>
      <c r="P6774" s="56" t="n">
        <f aca="false">IF(OR(D6774=1,K6773=""),"",K6773)</f>
        <v>1014</v>
      </c>
      <c r="Q6774" s="56" t="n">
        <f aca="false">IF(OR(F6774&lt;&gt;0,AND(I6774&lt;&gt;"",E6774&lt;I6774)),1,0)</f>
        <v>0</v>
      </c>
      <c r="R6774" s="56" t="n">
        <f aca="false">IF(AND(D6774&gt;1,Q6774=0,ISNUMBER(O6774),ISNUMBER(P6774)),IF(Q6773=0,1,0),0)</f>
        <v>1</v>
      </c>
      <c r="S6774" s="56" t="n">
        <f aca="false">R6774*(B6774&gt;=Train_Start)*(B6774&lt;=Train_End)</f>
        <v>0</v>
      </c>
      <c r="T6774" s="84" t="n">
        <f aca="false">IF(AND(ISNUMBER(O6774),ISNUMBER(P6774)),Coef_A+Coef_B1*O6774+Coef_B2*P6774,"")</f>
        <v>29.2955635651833</v>
      </c>
      <c r="U6774" s="84" t="n">
        <f aca="false">IF(AND(R6774=1,ISNUMBER(T6774)),E6774-T6774,"")</f>
        <v>1.90443643481667</v>
      </c>
      <c r="V6774" s="84" t="n">
        <f aca="false">IF(ISNUMBER(T6774),T6774,-99)</f>
        <v>29.2955635651833</v>
      </c>
      <c r="W6774" s="84" t="n">
        <f aca="false">IF(ISNUMBER(U6774),ABS(U6774),"")</f>
        <v>1.90443643481667</v>
      </c>
    </row>
    <row r="6775" customFormat="false" ht="15" hidden="false" customHeight="false" outlineLevel="0" collapsed="false">
      <c r="A6775" s="57" t="n">
        <v>45088</v>
      </c>
      <c r="B6775" s="56" t="n">
        <v>2023</v>
      </c>
      <c r="C6775" s="56" t="n">
        <v>6</v>
      </c>
      <c r="D6775" s="56" t="n">
        <v>42</v>
      </c>
      <c r="E6775" s="56" t="n">
        <v>28.7</v>
      </c>
      <c r="F6775" s="56" t="n">
        <v>0</v>
      </c>
      <c r="G6775" s="56" t="n">
        <v>16.5</v>
      </c>
      <c r="H6775" s="56" t="n">
        <v>0</v>
      </c>
      <c r="I6775" s="56" t="n">
        <v>23.9</v>
      </c>
      <c r="J6775" s="56" t="n">
        <v>0</v>
      </c>
      <c r="K6775" s="56" t="n">
        <v>1013.8</v>
      </c>
      <c r="L6775" s="56" t="n">
        <v>0</v>
      </c>
      <c r="M6775" s="56" t="n">
        <v>66</v>
      </c>
      <c r="N6775" s="56" t="n">
        <v>7.6</v>
      </c>
      <c r="O6775" s="56" t="n">
        <f aca="false">IF(D6775=1,"",E6774)</f>
        <v>31.2</v>
      </c>
      <c r="P6775" s="56" t="n">
        <f aca="false">IF(OR(D6775=1,K6774=""),"",K6774)</f>
        <v>1013.1</v>
      </c>
      <c r="Q6775" s="56" t="n">
        <f aca="false">IF(OR(F6775&lt;&gt;0,AND(I6775&lt;&gt;"",E6775&lt;I6775)),1,0)</f>
        <v>0</v>
      </c>
      <c r="R6775" s="56" t="n">
        <f aca="false">IF(AND(D6775&gt;1,Q6775=0,ISNUMBER(O6775),ISNUMBER(P6775)),IF(Q6774=0,1,0),0)</f>
        <v>1</v>
      </c>
      <c r="S6775" s="56" t="n">
        <f aca="false">R6775*(B6775&gt;=Train_Start)*(B6775&lt;=Train_End)</f>
        <v>0</v>
      </c>
      <c r="T6775" s="84" t="n">
        <f aca="false">IF(AND(ISNUMBER(O6775),ISNUMBER(P6775)),Coef_A+Coef_B1*O6775+Coef_B2*P6775,"")</f>
        <v>29.4311984986213</v>
      </c>
      <c r="U6775" s="84" t="n">
        <f aca="false">IF(AND(R6775=1,ISNUMBER(T6775)),E6775-T6775,"")</f>
        <v>-0.731198498621268</v>
      </c>
      <c r="V6775" s="84" t="n">
        <f aca="false">IF(ISNUMBER(T6775),T6775,-99)</f>
        <v>29.4311984986213</v>
      </c>
      <c r="W6775" s="84" t="n">
        <f aca="false">IF(ISNUMBER(U6775),ABS(U6775),"")</f>
        <v>0.731198498621268</v>
      </c>
    </row>
    <row r="6776" customFormat="false" ht="15" hidden="false" customHeight="false" outlineLevel="0" collapsed="false">
      <c r="A6776" s="57" t="n">
        <v>45089</v>
      </c>
      <c r="B6776" s="56" t="n">
        <v>2023</v>
      </c>
      <c r="C6776" s="56" t="n">
        <v>6</v>
      </c>
      <c r="D6776" s="56" t="n">
        <v>43</v>
      </c>
      <c r="E6776" s="56" t="n">
        <v>28.8</v>
      </c>
      <c r="F6776" s="56" t="n">
        <v>0</v>
      </c>
      <c r="G6776" s="56" t="n">
        <v>16.9</v>
      </c>
      <c r="H6776" s="56" t="n">
        <v>0</v>
      </c>
      <c r="I6776" s="56" t="n">
        <v>22.8</v>
      </c>
      <c r="J6776" s="56" t="n">
        <v>0</v>
      </c>
      <c r="K6776" s="56" t="n">
        <v>1014.4</v>
      </c>
      <c r="L6776" s="56" t="n">
        <v>0</v>
      </c>
      <c r="M6776" s="56" t="n">
        <v>77</v>
      </c>
      <c r="N6776" s="56" t="n">
        <v>6</v>
      </c>
      <c r="O6776" s="56" t="n">
        <f aca="false">IF(D6776=1,"",E6775)</f>
        <v>28.7</v>
      </c>
      <c r="P6776" s="56" t="n">
        <f aca="false">IF(OR(D6776=1,K6775=""),"",K6775)</f>
        <v>1013.8</v>
      </c>
      <c r="Q6776" s="56" t="n">
        <f aca="false">IF(OR(F6776&lt;&gt;0,AND(I6776&lt;&gt;"",E6776&lt;I6776)),1,0)</f>
        <v>0</v>
      </c>
      <c r="R6776" s="56" t="n">
        <f aca="false">IF(AND(D6776&gt;1,Q6776=0,ISNUMBER(O6776),ISNUMBER(P6776)),IF(Q6775=0,1,0),0)</f>
        <v>1</v>
      </c>
      <c r="S6776" s="56" t="n">
        <f aca="false">R6776*(B6776&gt;=Train_Start)*(B6776&lt;=Train_End)</f>
        <v>0</v>
      </c>
      <c r="T6776" s="84" t="n">
        <f aca="false">IF(AND(ISNUMBER(O6776),ISNUMBER(P6776)),Coef_A+Coef_B1*O6776+Coef_B2*P6776,"")</f>
        <v>27.4048094422584</v>
      </c>
      <c r="U6776" s="84" t="n">
        <f aca="false">IF(AND(R6776=1,ISNUMBER(T6776)),E6776-T6776,"")</f>
        <v>1.39519055774159</v>
      </c>
      <c r="V6776" s="84" t="n">
        <f aca="false">IF(ISNUMBER(T6776),T6776,-99)</f>
        <v>27.4048094422584</v>
      </c>
      <c r="W6776" s="84" t="n">
        <f aca="false">IF(ISNUMBER(U6776),ABS(U6776),"")</f>
        <v>1.39519055774159</v>
      </c>
    </row>
    <row r="6777" customFormat="false" ht="15" hidden="false" customHeight="false" outlineLevel="0" collapsed="false">
      <c r="A6777" s="57" t="n">
        <v>45090</v>
      </c>
      <c r="B6777" s="56" t="n">
        <v>2023</v>
      </c>
      <c r="C6777" s="56" t="n">
        <v>6</v>
      </c>
      <c r="D6777" s="56" t="n">
        <v>44</v>
      </c>
      <c r="E6777" s="56" t="n">
        <v>28.7</v>
      </c>
      <c r="F6777" s="56" t="n">
        <v>0</v>
      </c>
      <c r="G6777" s="56" t="n">
        <v>14.2</v>
      </c>
      <c r="H6777" s="56" t="n">
        <v>0</v>
      </c>
      <c r="I6777" s="56" t="n">
        <v>21.5</v>
      </c>
      <c r="J6777" s="56" t="n">
        <v>0</v>
      </c>
      <c r="K6777" s="56" t="n">
        <v>1014.3</v>
      </c>
      <c r="L6777" s="56" t="n">
        <v>0</v>
      </c>
      <c r="M6777" s="56" t="n">
        <v>52</v>
      </c>
      <c r="N6777" s="56" t="n">
        <v>14.2</v>
      </c>
      <c r="O6777" s="56" t="n">
        <f aca="false">IF(D6777=1,"",E6776)</f>
        <v>28.8</v>
      </c>
      <c r="P6777" s="56" t="n">
        <f aca="false">IF(OR(D6777=1,K6776=""),"",K6776)</f>
        <v>1014.4</v>
      </c>
      <c r="Q6777" s="56" t="n">
        <f aca="false">IF(OR(F6777&lt;&gt;0,AND(I6777&lt;&gt;"",E6777&lt;I6777)),1,0)</f>
        <v>0</v>
      </c>
      <c r="R6777" s="56" t="n">
        <f aca="false">IF(AND(D6777&gt;1,Q6777=0,ISNUMBER(O6777),ISNUMBER(P6777)),IF(Q6776=0,1,0),0)</f>
        <v>1</v>
      </c>
      <c r="S6777" s="56" t="n">
        <f aca="false">R6777*(B6777&gt;=Train_Start)*(B6777&lt;=Train_End)</f>
        <v>0</v>
      </c>
      <c r="T6777" s="84" t="n">
        <f aca="false">IF(AND(ISNUMBER(O6777),ISNUMBER(P6777)),Coef_A+Coef_B1*O6777+Coef_B2*P6777,"")</f>
        <v>27.5055652983431</v>
      </c>
      <c r="U6777" s="84" t="n">
        <f aca="false">IF(AND(R6777=1,ISNUMBER(T6777)),E6777-T6777,"")</f>
        <v>1.19443470165692</v>
      </c>
      <c r="V6777" s="84" t="n">
        <f aca="false">IF(ISNUMBER(T6777),T6777,-99)</f>
        <v>27.5055652983431</v>
      </c>
      <c r="W6777" s="84" t="n">
        <f aca="false">IF(ISNUMBER(U6777),ABS(U6777),"")</f>
        <v>1.19443470165692</v>
      </c>
    </row>
    <row r="6778" customFormat="false" ht="15" hidden="false" customHeight="false" outlineLevel="0" collapsed="false">
      <c r="A6778" s="57" t="n">
        <v>45091</v>
      </c>
      <c r="B6778" s="56" t="n">
        <v>2023</v>
      </c>
      <c r="C6778" s="56" t="n">
        <v>6</v>
      </c>
      <c r="D6778" s="56" t="n">
        <v>45</v>
      </c>
      <c r="E6778" s="56" t="n">
        <v>27.5</v>
      </c>
      <c r="F6778" s="56" t="n">
        <v>0</v>
      </c>
      <c r="G6778" s="56" t="n">
        <v>11.4</v>
      </c>
      <c r="H6778" s="56" t="n">
        <v>0</v>
      </c>
      <c r="I6778" s="56" t="n">
        <v>20.1</v>
      </c>
      <c r="J6778" s="56" t="n">
        <v>0</v>
      </c>
      <c r="K6778" s="56" t="n">
        <v>1017.4</v>
      </c>
      <c r="L6778" s="56" t="n">
        <v>0</v>
      </c>
      <c r="M6778" s="56" t="n">
        <v>51</v>
      </c>
      <c r="N6778" s="56" t="n">
        <v>13</v>
      </c>
      <c r="O6778" s="56" t="n">
        <f aca="false">IF(D6778=1,"",E6777)</f>
        <v>28.7</v>
      </c>
      <c r="P6778" s="56" t="n">
        <f aca="false">IF(OR(D6778=1,K6777=""),"",K6777)</f>
        <v>1014.3</v>
      </c>
      <c r="Q6778" s="56" t="n">
        <f aca="false">IF(OR(F6778&lt;&gt;0,AND(I6778&lt;&gt;"",E6778&lt;I6778)),1,0)</f>
        <v>0</v>
      </c>
      <c r="R6778" s="56" t="n">
        <f aca="false">IF(AND(D6778&gt;1,Q6778=0,ISNUMBER(O6778),ISNUMBER(P6778)),IF(Q6777=0,1,0),0)</f>
        <v>1</v>
      </c>
      <c r="S6778" s="56" t="n">
        <f aca="false">R6778*(B6778&gt;=Train_Start)*(B6778&lt;=Train_End)</f>
        <v>0</v>
      </c>
      <c r="T6778" s="84" t="n">
        <f aca="false">IF(AND(ISNUMBER(O6778),ISNUMBER(P6778)),Coef_A+Coef_B1*O6778+Coef_B2*P6778,"")</f>
        <v>27.4204943895754</v>
      </c>
      <c r="U6778" s="84" t="n">
        <f aca="false">IF(AND(R6778=1,ISNUMBER(T6778)),E6778-T6778,"")</f>
        <v>0.0795056104245902</v>
      </c>
      <c r="V6778" s="84" t="n">
        <f aca="false">IF(ISNUMBER(T6778),T6778,-99)</f>
        <v>27.4204943895754</v>
      </c>
      <c r="W6778" s="84" t="n">
        <f aca="false">IF(ISNUMBER(U6778),ABS(U6778),"")</f>
        <v>0.0795056104245902</v>
      </c>
    </row>
    <row r="6779" customFormat="false" ht="15" hidden="false" customHeight="false" outlineLevel="0" collapsed="false">
      <c r="A6779" s="57" t="n">
        <v>45092</v>
      </c>
      <c r="B6779" s="56" t="n">
        <v>2023</v>
      </c>
      <c r="C6779" s="56" t="n">
        <v>6</v>
      </c>
      <c r="D6779" s="56" t="n">
        <v>46</v>
      </c>
      <c r="E6779" s="56" t="n">
        <v>28.1</v>
      </c>
      <c r="F6779" s="56" t="n">
        <v>0</v>
      </c>
      <c r="G6779" s="56" t="n">
        <v>14.1</v>
      </c>
      <c r="H6779" s="56" t="n">
        <v>0</v>
      </c>
      <c r="I6779" s="56" t="n">
        <v>20.8</v>
      </c>
      <c r="J6779" s="56" t="n">
        <v>0</v>
      </c>
      <c r="K6779" s="56" t="n">
        <v>1020</v>
      </c>
      <c r="L6779" s="56" t="n">
        <v>0</v>
      </c>
      <c r="M6779" s="56" t="n">
        <v>54</v>
      </c>
      <c r="N6779" s="56" t="n">
        <v>11.8</v>
      </c>
      <c r="O6779" s="56" t="n">
        <f aca="false">IF(D6779=1,"",E6778)</f>
        <v>27.5</v>
      </c>
      <c r="P6779" s="56" t="n">
        <f aca="false">IF(OR(D6779=1,K6778=""),"",K6778)</f>
        <v>1017.4</v>
      </c>
      <c r="Q6779" s="56" t="n">
        <f aca="false">IF(OR(F6779&lt;&gt;0,AND(I6779&lt;&gt;"",E6779&lt;I6779)),1,0)</f>
        <v>0</v>
      </c>
      <c r="R6779" s="56" t="n">
        <f aca="false">IF(AND(D6779&gt;1,Q6779=0,ISNUMBER(O6779),ISNUMBER(P6779)),IF(Q6778=0,1,0),0)</f>
        <v>1</v>
      </c>
      <c r="S6779" s="56" t="n">
        <f aca="false">R6779*(B6779&gt;=Train_Start)*(B6779&lt;=Train_End)</f>
        <v>0</v>
      </c>
      <c r="T6779" s="84" t="n">
        <f aca="false">IF(AND(ISNUMBER(O6779),ISNUMBER(P6779)),Coef_A+Coef_B1*O6779+Coef_B2*P6779,"")</f>
        <v>26.5345340312896</v>
      </c>
      <c r="U6779" s="84" t="n">
        <f aca="false">IF(AND(R6779=1,ISNUMBER(T6779)),E6779-T6779,"")</f>
        <v>1.56546596871041</v>
      </c>
      <c r="V6779" s="84" t="n">
        <f aca="false">IF(ISNUMBER(T6779),T6779,-99)</f>
        <v>26.5345340312896</v>
      </c>
      <c r="W6779" s="84" t="n">
        <f aca="false">IF(ISNUMBER(U6779),ABS(U6779),"")</f>
        <v>1.56546596871041</v>
      </c>
    </row>
    <row r="6780" customFormat="false" ht="15" hidden="false" customHeight="false" outlineLevel="0" collapsed="false">
      <c r="A6780" s="57" t="n">
        <v>45093</v>
      </c>
      <c r="B6780" s="56" t="n">
        <v>2023</v>
      </c>
      <c r="C6780" s="56" t="n">
        <v>6</v>
      </c>
      <c r="D6780" s="56" t="n">
        <v>47</v>
      </c>
      <c r="E6780" s="56" t="n">
        <v>26.2</v>
      </c>
      <c r="F6780" s="56" t="n">
        <v>0</v>
      </c>
      <c r="G6780" s="56" t="n">
        <v>15.2</v>
      </c>
      <c r="H6780" s="56" t="n">
        <v>0</v>
      </c>
      <c r="I6780" s="56" t="n">
        <v>21.6</v>
      </c>
      <c r="J6780" s="56" t="n">
        <v>0</v>
      </c>
      <c r="K6780" s="56" t="n">
        <v>1019.1</v>
      </c>
      <c r="L6780" s="56" t="n">
        <v>0</v>
      </c>
      <c r="M6780" s="56" t="n">
        <v>48</v>
      </c>
      <c r="N6780" s="56" t="n">
        <v>12.2</v>
      </c>
      <c r="O6780" s="56" t="n">
        <f aca="false">IF(D6780=1,"",E6779)</f>
        <v>28.1</v>
      </c>
      <c r="P6780" s="56" t="n">
        <f aca="false">IF(OR(D6780=1,K6779=""),"",K6779)</f>
        <v>1020</v>
      </c>
      <c r="Q6780" s="56" t="n">
        <f aca="false">IF(OR(F6780&lt;&gt;0,AND(I6780&lt;&gt;"",E6780&lt;I6780)),1,0)</f>
        <v>0</v>
      </c>
      <c r="R6780" s="56" t="n">
        <f aca="false">IF(AND(D6780&gt;1,Q6780=0,ISNUMBER(O6780),ISNUMBER(P6780)),IF(Q6779=0,1,0),0)</f>
        <v>1</v>
      </c>
      <c r="S6780" s="56" t="n">
        <f aca="false">R6780*(B6780&gt;=Train_Start)*(B6780&lt;=Train_End)</f>
        <v>0</v>
      </c>
      <c r="T6780" s="84" t="n">
        <f aca="false">IF(AND(ISNUMBER(O6780),ISNUMBER(P6780)),Coef_A+Coef_B1*O6780+Coef_B2*P6780,"")</f>
        <v>27.1076992731636</v>
      </c>
      <c r="U6780" s="84" t="n">
        <f aca="false">IF(AND(R6780=1,ISNUMBER(T6780)),E6780-T6780,"")</f>
        <v>-0.907699273163555</v>
      </c>
      <c r="V6780" s="84" t="n">
        <f aca="false">IF(ISNUMBER(T6780),T6780,-99)</f>
        <v>27.1076992731636</v>
      </c>
      <c r="W6780" s="84" t="n">
        <f aca="false">IF(ISNUMBER(U6780),ABS(U6780),"")</f>
        <v>0.907699273163555</v>
      </c>
    </row>
    <row r="6781" customFormat="false" ht="15" hidden="false" customHeight="false" outlineLevel="0" collapsed="false">
      <c r="A6781" s="57" t="n">
        <v>45094</v>
      </c>
      <c r="B6781" s="56" t="n">
        <v>2023</v>
      </c>
      <c r="C6781" s="56" t="n">
        <v>6</v>
      </c>
      <c r="D6781" s="56" t="n">
        <v>48</v>
      </c>
      <c r="E6781" s="56" t="n">
        <v>27.1</v>
      </c>
      <c r="F6781" s="56" t="n">
        <v>0</v>
      </c>
      <c r="G6781" s="56" t="n">
        <v>14.6</v>
      </c>
      <c r="H6781" s="56" t="n">
        <v>0</v>
      </c>
      <c r="I6781" s="56" t="n">
        <v>20.4</v>
      </c>
      <c r="J6781" s="56" t="n">
        <v>0</v>
      </c>
      <c r="K6781" s="56" t="n">
        <v>1014.1</v>
      </c>
      <c r="L6781" s="56" t="n">
        <v>0</v>
      </c>
      <c r="M6781" s="56" t="n">
        <v>56</v>
      </c>
      <c r="N6781" s="56" t="n">
        <v>7.5</v>
      </c>
      <c r="O6781" s="56" t="n">
        <f aca="false">IF(D6781=1,"",E6780)</f>
        <v>26.2</v>
      </c>
      <c r="P6781" s="56" t="n">
        <f aca="false">IF(OR(D6781=1,K6780=""),"",K6780)</f>
        <v>1019.1</v>
      </c>
      <c r="Q6781" s="56" t="n">
        <f aca="false">IF(OR(F6781&lt;&gt;0,AND(I6781&lt;&gt;"",E6781&lt;I6781)),1,0)</f>
        <v>0</v>
      </c>
      <c r="R6781" s="56" t="n">
        <f aca="false">IF(AND(D6781&gt;1,Q6781=0,ISNUMBER(O6781),ISNUMBER(P6781)),IF(Q6780=0,1,0),0)</f>
        <v>1</v>
      </c>
      <c r="S6781" s="56" t="n">
        <f aca="false">R6781*(B6781&gt;=Train_Start)*(B6781&lt;=Train_End)</f>
        <v>0</v>
      </c>
      <c r="T6781" s="84" t="n">
        <f aca="false">IF(AND(ISNUMBER(O6781),ISNUMBER(P6781)),Coef_A+Coef_B1*O6781+Coef_B2*P6781,"")</f>
        <v>25.5227219012119</v>
      </c>
      <c r="U6781" s="84" t="n">
        <f aca="false">IF(AND(R6781=1,ISNUMBER(T6781)),E6781-T6781,"")</f>
        <v>1.57727809878809</v>
      </c>
      <c r="V6781" s="84" t="n">
        <f aca="false">IF(ISNUMBER(T6781),T6781,-99)</f>
        <v>25.5227219012119</v>
      </c>
      <c r="W6781" s="84" t="n">
        <f aca="false">IF(ISNUMBER(U6781),ABS(U6781),"")</f>
        <v>1.57727809878809</v>
      </c>
    </row>
    <row r="6782" customFormat="false" ht="15" hidden="false" customHeight="false" outlineLevel="0" collapsed="false">
      <c r="A6782" s="57" t="n">
        <v>45095</v>
      </c>
      <c r="B6782" s="56" t="n">
        <v>2023</v>
      </c>
      <c r="C6782" s="56" t="n">
        <v>6</v>
      </c>
      <c r="D6782" s="56" t="n">
        <v>49</v>
      </c>
      <c r="E6782" s="56" t="n">
        <v>25</v>
      </c>
      <c r="F6782" s="56" t="n">
        <v>0</v>
      </c>
      <c r="G6782" s="56" t="n">
        <v>16.8</v>
      </c>
      <c r="H6782" s="56" t="n">
        <v>0</v>
      </c>
      <c r="I6782" s="56" t="n">
        <v>21.9</v>
      </c>
      <c r="J6782" s="56" t="n">
        <v>0</v>
      </c>
      <c r="K6782" s="56" t="n">
        <v>1009</v>
      </c>
      <c r="L6782" s="56" t="n">
        <v>0</v>
      </c>
      <c r="M6782" s="56" t="n">
        <v>76</v>
      </c>
      <c r="N6782" s="56" t="n">
        <v>4.1</v>
      </c>
      <c r="O6782" s="56" t="n">
        <f aca="false">IF(D6782=1,"",E6781)</f>
        <v>27.1</v>
      </c>
      <c r="P6782" s="56" t="n">
        <f aca="false">IF(OR(D6782=1,K6781=""),"",K6781)</f>
        <v>1014.1</v>
      </c>
      <c r="Q6782" s="56" t="n">
        <f aca="false">IF(OR(F6782&lt;&gt;0,AND(I6782&lt;&gt;"",E6782&lt;I6782)),1,0)</f>
        <v>0</v>
      </c>
      <c r="R6782" s="56" t="n">
        <f aca="false">IF(AND(D6782&gt;1,Q6782=0,ISNUMBER(O6782),ISNUMBER(P6782)),IF(Q6781=0,1,0),0)</f>
        <v>1</v>
      </c>
      <c r="S6782" s="56" t="n">
        <f aca="false">R6782*(B6782&gt;=Train_Start)*(B6782&lt;=Train_End)</f>
        <v>0</v>
      </c>
      <c r="T6782" s="84" t="n">
        <f aca="false">IF(AND(ISNUMBER(O6782),ISNUMBER(P6782)),Coef_A+Coef_B1*O6782+Coef_B2*P6782,"")</f>
        <v>26.1032777017804</v>
      </c>
      <c r="U6782" s="84" t="n">
        <f aca="false">IF(AND(R6782=1,ISNUMBER(T6782)),E6782-T6782,"")</f>
        <v>-1.10327770178036</v>
      </c>
      <c r="V6782" s="84" t="n">
        <f aca="false">IF(ISNUMBER(T6782),T6782,-99)</f>
        <v>26.1032777017804</v>
      </c>
      <c r="W6782" s="84" t="n">
        <f aca="false">IF(ISNUMBER(U6782),ABS(U6782),"")</f>
        <v>1.10327770178036</v>
      </c>
    </row>
    <row r="6783" customFormat="false" ht="15" hidden="false" customHeight="false" outlineLevel="0" collapsed="false">
      <c r="A6783" s="57" t="n">
        <v>45096</v>
      </c>
      <c r="B6783" s="56" t="n">
        <v>2023</v>
      </c>
      <c r="C6783" s="56" t="n">
        <v>6</v>
      </c>
      <c r="D6783" s="56" t="n">
        <v>50</v>
      </c>
      <c r="E6783" s="56" t="n">
        <v>22.9</v>
      </c>
      <c r="F6783" s="56" t="n">
        <v>0</v>
      </c>
      <c r="G6783" s="56" t="n">
        <v>14.5</v>
      </c>
      <c r="H6783" s="56" t="n">
        <v>0</v>
      </c>
      <c r="I6783" s="56" t="n">
        <v>19.8</v>
      </c>
      <c r="J6783" s="56" t="n">
        <v>0</v>
      </c>
      <c r="K6783" s="56" t="n">
        <v>1010.5</v>
      </c>
      <c r="L6783" s="56" t="n">
        <v>0</v>
      </c>
      <c r="M6783" s="56" t="n">
        <v>71</v>
      </c>
      <c r="N6783" s="56" t="n">
        <v>9.2</v>
      </c>
      <c r="O6783" s="56" t="n">
        <f aca="false">IF(D6783=1,"",E6782)</f>
        <v>25</v>
      </c>
      <c r="P6783" s="56" t="n">
        <f aca="false">IF(OR(D6783=1,K6782=""),"",K6782)</f>
        <v>1009</v>
      </c>
      <c r="Q6783" s="56" t="n">
        <f aca="false">IF(OR(F6783&lt;&gt;0,AND(I6783&lt;&gt;"",E6783&lt;I6783)),1,0)</f>
        <v>0</v>
      </c>
      <c r="R6783" s="56" t="n">
        <f aca="false">IF(AND(D6783&gt;1,Q6783=0,ISNUMBER(O6783),ISNUMBER(P6783)),IF(Q6782=0,1,0),0)</f>
        <v>1</v>
      </c>
      <c r="S6783" s="56" t="n">
        <f aca="false">R6783*(B6783&gt;=Train_Start)*(B6783&lt;=Train_End)</f>
        <v>0</v>
      </c>
      <c r="T6783" s="84" t="n">
        <f aca="false">IF(AND(ISNUMBER(O6783),ISNUMBER(P6783)),Coef_A+Coef_B1*O6783+Coef_B2*P6783,"")</f>
        <v>24.2226789337574</v>
      </c>
      <c r="U6783" s="84" t="n">
        <f aca="false">IF(AND(R6783=1,ISNUMBER(T6783)),E6783-T6783,"")</f>
        <v>-1.32267893375744</v>
      </c>
      <c r="V6783" s="84" t="n">
        <f aca="false">IF(ISNUMBER(T6783),T6783,-99)</f>
        <v>24.2226789337574</v>
      </c>
      <c r="W6783" s="84" t="n">
        <f aca="false">IF(ISNUMBER(U6783),ABS(U6783),"")</f>
        <v>1.32267893375744</v>
      </c>
    </row>
    <row r="6784" customFormat="false" ht="15" hidden="false" customHeight="false" outlineLevel="0" collapsed="false">
      <c r="A6784" s="57" t="n">
        <v>45097</v>
      </c>
      <c r="B6784" s="56" t="n">
        <v>2023</v>
      </c>
      <c r="C6784" s="56" t="n">
        <v>6</v>
      </c>
      <c r="D6784" s="56" t="n">
        <v>51</v>
      </c>
      <c r="E6784" s="56" t="n">
        <v>25.8</v>
      </c>
      <c r="F6784" s="56" t="n">
        <v>0</v>
      </c>
      <c r="G6784" s="56" t="n">
        <v>16.9</v>
      </c>
      <c r="H6784" s="56" t="n">
        <v>0</v>
      </c>
      <c r="I6784" s="56" t="n">
        <v>19.9</v>
      </c>
      <c r="J6784" s="56" t="n">
        <v>0</v>
      </c>
      <c r="K6784" s="56" t="n">
        <v>1008.2</v>
      </c>
      <c r="L6784" s="56" t="n">
        <v>0</v>
      </c>
      <c r="M6784" s="56" t="n">
        <v>74</v>
      </c>
      <c r="N6784" s="56" t="n">
        <v>3.9</v>
      </c>
      <c r="O6784" s="56" t="n">
        <f aca="false">IF(D6784=1,"",E6783)</f>
        <v>22.9</v>
      </c>
      <c r="P6784" s="56" t="n">
        <f aca="false">IF(OR(D6784=1,K6783=""),"",K6783)</f>
        <v>1010.5</v>
      </c>
      <c r="Q6784" s="56" t="n">
        <f aca="false">IF(OR(F6784&lt;&gt;0,AND(I6784&lt;&gt;"",E6784&lt;I6784)),1,0)</f>
        <v>0</v>
      </c>
      <c r="R6784" s="56" t="n">
        <f aca="false">IF(AND(D6784&gt;1,Q6784=0,ISNUMBER(O6784),ISNUMBER(P6784)),IF(Q6783=0,1,0),0)</f>
        <v>1</v>
      </c>
      <c r="S6784" s="56" t="n">
        <f aca="false">R6784*(B6784&gt;=Train_Start)*(B6784&lt;=Train_End)</f>
        <v>0</v>
      </c>
      <c r="T6784" s="84" t="n">
        <f aca="false">IF(AND(ISNUMBER(O6784),ISNUMBER(P6784)),Coef_A+Coef_B1*O6784+Coef_B2*P6784,"")</f>
        <v>22.5491214703188</v>
      </c>
      <c r="U6784" s="84" t="n">
        <f aca="false">IF(AND(R6784=1,ISNUMBER(T6784)),E6784-T6784,"")</f>
        <v>3.25087852968117</v>
      </c>
      <c r="V6784" s="84" t="n">
        <f aca="false">IF(ISNUMBER(T6784),T6784,-99)</f>
        <v>22.5491214703188</v>
      </c>
      <c r="W6784" s="84" t="n">
        <f aca="false">IF(ISNUMBER(U6784),ABS(U6784),"")</f>
        <v>3.25087852968117</v>
      </c>
    </row>
    <row r="6785" customFormat="false" ht="15" hidden="false" customHeight="false" outlineLevel="0" collapsed="false">
      <c r="A6785" s="57" t="n">
        <v>45098</v>
      </c>
      <c r="B6785" s="56" t="n">
        <v>2023</v>
      </c>
      <c r="C6785" s="56" t="n">
        <v>6</v>
      </c>
      <c r="D6785" s="56" t="n">
        <v>52</v>
      </c>
      <c r="E6785" s="56" t="n">
        <v>29</v>
      </c>
      <c r="F6785" s="56" t="n">
        <v>0</v>
      </c>
      <c r="G6785" s="56" t="n">
        <v>15.4</v>
      </c>
      <c r="H6785" s="56" t="n">
        <v>0</v>
      </c>
      <c r="I6785" s="56" t="n">
        <v>20.6</v>
      </c>
      <c r="J6785" s="56" t="n">
        <v>0</v>
      </c>
      <c r="K6785" s="56" t="n">
        <v>1015.9</v>
      </c>
      <c r="L6785" s="56" t="n">
        <v>0</v>
      </c>
      <c r="M6785" s="56" t="n">
        <v>67</v>
      </c>
      <c r="N6785" s="56" t="n">
        <v>10</v>
      </c>
      <c r="O6785" s="56" t="n">
        <f aca="false">IF(D6785=1,"",E6784)</f>
        <v>25.8</v>
      </c>
      <c r="P6785" s="56" t="n">
        <f aca="false">IF(OR(D6785=1,K6784=""),"",K6784)</f>
        <v>1008.2</v>
      </c>
      <c r="Q6785" s="56" t="n">
        <f aca="false">IF(OR(F6785&lt;&gt;0,AND(I6785&lt;&gt;"",E6785&lt;I6785)),1,0)</f>
        <v>0</v>
      </c>
      <c r="R6785" s="56" t="n">
        <f aca="false">IF(AND(D6785&gt;1,Q6785=0,ISNUMBER(O6785),ISNUMBER(P6785)),IF(Q6784=0,1,0),0)</f>
        <v>1</v>
      </c>
      <c r="S6785" s="56" t="n">
        <f aca="false">R6785*(B6785&gt;=Train_Start)*(B6785&lt;=Train_End)</f>
        <v>0</v>
      </c>
      <c r="T6785" s="84" t="n">
        <f aca="false">IF(AND(ISNUMBER(O6785),ISNUMBER(P6785)),Coef_A+Coef_B1*O6785+Coef_B2*P6785,"")</f>
        <v>24.8530543724844</v>
      </c>
      <c r="U6785" s="84" t="n">
        <f aca="false">IF(AND(R6785=1,ISNUMBER(T6785)),E6785-T6785,"")</f>
        <v>4.14694562751563</v>
      </c>
      <c r="V6785" s="84" t="n">
        <f aca="false">IF(ISNUMBER(T6785),T6785,-99)</f>
        <v>24.8530543724844</v>
      </c>
      <c r="W6785" s="84" t="n">
        <f aca="false">IF(ISNUMBER(U6785),ABS(U6785),"")</f>
        <v>4.14694562751563</v>
      </c>
    </row>
    <row r="6786" customFormat="false" ht="15" hidden="false" customHeight="false" outlineLevel="0" collapsed="false">
      <c r="A6786" s="57" t="n">
        <v>45099</v>
      </c>
      <c r="B6786" s="56" t="n">
        <v>2023</v>
      </c>
      <c r="C6786" s="56" t="n">
        <v>6</v>
      </c>
      <c r="D6786" s="56" t="n">
        <v>53</v>
      </c>
      <c r="E6786" s="56" t="n">
        <v>27.6</v>
      </c>
      <c r="F6786" s="56" t="n">
        <v>0</v>
      </c>
      <c r="G6786" s="56" t="n">
        <v>14.5</v>
      </c>
      <c r="H6786" s="56" t="n">
        <v>0</v>
      </c>
      <c r="I6786" s="56" t="n">
        <v>21.8</v>
      </c>
      <c r="J6786" s="56" t="n">
        <v>0</v>
      </c>
      <c r="K6786" s="56" t="n">
        <v>1018.8</v>
      </c>
      <c r="L6786" s="56" t="n">
        <v>0</v>
      </c>
      <c r="M6786" s="56" t="n">
        <v>65</v>
      </c>
      <c r="N6786" s="56" t="n">
        <v>9.6</v>
      </c>
      <c r="O6786" s="56" t="n">
        <f aca="false">IF(D6786=1,"",E6785)</f>
        <v>29</v>
      </c>
      <c r="P6786" s="56" t="n">
        <f aca="false">IF(OR(D6786=1,K6785=""),"",K6785)</f>
        <v>1015.9</v>
      </c>
      <c r="Q6786" s="56" t="n">
        <f aca="false">IF(OR(F6786&lt;&gt;0,AND(I6786&lt;&gt;"",E6786&lt;I6786)),1,0)</f>
        <v>0</v>
      </c>
      <c r="R6786" s="56" t="n">
        <f aca="false">IF(AND(D6786&gt;1,Q6786=0,ISNUMBER(O6786),ISNUMBER(P6786)),IF(Q6785=0,1,0),0)</f>
        <v>1</v>
      </c>
      <c r="S6786" s="56" t="n">
        <f aca="false">R6786*(B6786&gt;=Train_Start)*(B6786&lt;=Train_End)</f>
        <v>0</v>
      </c>
      <c r="T6786" s="84" t="n">
        <f aca="false">IF(AND(ISNUMBER(O6786),ISNUMBER(P6786)),Coef_A+Coef_B1*O6786+Coef_B2*P6786,"")</f>
        <v>27.7164879789026</v>
      </c>
      <c r="U6786" s="84" t="n">
        <f aca="false">IF(AND(R6786=1,ISNUMBER(T6786)),E6786-T6786,"")</f>
        <v>-0.11648797890259</v>
      </c>
      <c r="V6786" s="84" t="n">
        <f aca="false">IF(ISNUMBER(T6786),T6786,-99)</f>
        <v>27.7164879789026</v>
      </c>
      <c r="W6786" s="84" t="n">
        <f aca="false">IF(ISNUMBER(U6786),ABS(U6786),"")</f>
        <v>0.11648797890259</v>
      </c>
    </row>
    <row r="6787" customFormat="false" ht="15" hidden="false" customHeight="false" outlineLevel="0" collapsed="false">
      <c r="A6787" s="57" t="n">
        <v>45100</v>
      </c>
      <c r="B6787" s="56" t="n">
        <v>2023</v>
      </c>
      <c r="C6787" s="56" t="n">
        <v>6</v>
      </c>
      <c r="D6787" s="56" t="n">
        <v>54</v>
      </c>
      <c r="E6787" s="56" t="n">
        <v>29.2</v>
      </c>
      <c r="F6787" s="56" t="n">
        <v>0</v>
      </c>
      <c r="G6787" s="56" t="n">
        <v>16.4</v>
      </c>
      <c r="H6787" s="56" t="n">
        <v>0</v>
      </c>
      <c r="I6787" s="56" t="n">
        <v>22</v>
      </c>
      <c r="J6787" s="56" t="n">
        <v>0</v>
      </c>
      <c r="K6787" s="56" t="n">
        <v>1023.3</v>
      </c>
      <c r="L6787" s="56" t="n">
        <v>0</v>
      </c>
      <c r="M6787" s="56" t="n">
        <v>63</v>
      </c>
      <c r="N6787" s="56" t="n">
        <v>10.3</v>
      </c>
      <c r="O6787" s="56" t="n">
        <f aca="false">IF(D6787=1,"",E6786)</f>
        <v>27.6</v>
      </c>
      <c r="P6787" s="56" t="n">
        <f aca="false">IF(OR(D6787=1,K6786=""),"",K6786)</f>
        <v>1018.8</v>
      </c>
      <c r="Q6787" s="56" t="n">
        <f aca="false">IF(OR(F6787&lt;&gt;0,AND(I6787&lt;&gt;"",E6787&lt;I6787)),1,0)</f>
        <v>0</v>
      </c>
      <c r="R6787" s="56" t="n">
        <f aca="false">IF(AND(D6787&gt;1,Q6787=0,ISNUMBER(O6787),ISNUMBER(P6787)),IF(Q6786=0,1,0),0)</f>
        <v>1</v>
      </c>
      <c r="S6787" s="56" t="n">
        <f aca="false">R6787*(B6787&gt;=Train_Start)*(B6787&lt;=Train_End)</f>
        <v>0</v>
      </c>
      <c r="T6787" s="84" t="n">
        <f aca="false">IF(AND(ISNUMBER(O6787),ISNUMBER(P6787)),Coef_A+Coef_B1*O6787+Coef_B2*P6787,"")</f>
        <v>26.6603858030814</v>
      </c>
      <c r="U6787" s="84" t="n">
        <f aca="false">IF(AND(R6787=1,ISNUMBER(T6787)),E6787-T6787,"")</f>
        <v>2.53961419691856</v>
      </c>
      <c r="V6787" s="84" t="n">
        <f aca="false">IF(ISNUMBER(T6787),T6787,-99)</f>
        <v>26.6603858030814</v>
      </c>
      <c r="W6787" s="84" t="n">
        <f aca="false">IF(ISNUMBER(U6787),ABS(U6787),"")</f>
        <v>2.53961419691856</v>
      </c>
    </row>
    <row r="6788" customFormat="false" ht="15" hidden="false" customHeight="false" outlineLevel="0" collapsed="false">
      <c r="A6788" s="57" t="n">
        <v>45101</v>
      </c>
      <c r="B6788" s="56" t="n">
        <v>2023</v>
      </c>
      <c r="C6788" s="56" t="n">
        <v>6</v>
      </c>
      <c r="D6788" s="56" t="n">
        <v>55</v>
      </c>
      <c r="E6788" s="56" t="n">
        <v>31.3</v>
      </c>
      <c r="F6788" s="56" t="n">
        <v>0</v>
      </c>
      <c r="G6788" s="56" t="n">
        <v>16</v>
      </c>
      <c r="H6788" s="56" t="n">
        <v>0</v>
      </c>
      <c r="I6788" s="56" t="n">
        <v>22.6</v>
      </c>
      <c r="J6788" s="56" t="n">
        <v>0</v>
      </c>
      <c r="K6788" s="56" t="n">
        <v>1022.7</v>
      </c>
      <c r="L6788" s="56" t="n">
        <v>0</v>
      </c>
      <c r="M6788" s="56" t="n">
        <v>66</v>
      </c>
      <c r="N6788" s="56" t="n">
        <v>8.1</v>
      </c>
      <c r="O6788" s="56" t="n">
        <f aca="false">IF(D6788=1,"",E6787)</f>
        <v>29.2</v>
      </c>
      <c r="P6788" s="56" t="n">
        <f aca="false">IF(OR(D6788=1,K6787=""),"",K6787)</f>
        <v>1023.3</v>
      </c>
      <c r="Q6788" s="56" t="n">
        <f aca="false">IF(OR(F6788&lt;&gt;0,AND(I6788&lt;&gt;"",E6788&lt;I6788)),1,0)</f>
        <v>0</v>
      </c>
      <c r="R6788" s="56" t="n">
        <f aca="false">IF(AND(D6788&gt;1,Q6788=0,ISNUMBER(O6788),ISNUMBER(P6788)),IF(Q6787=0,1,0),0)</f>
        <v>1</v>
      </c>
      <c r="S6788" s="56" t="n">
        <f aca="false">R6788*(B6788&gt;=Train_Start)*(B6788&lt;=Train_End)</f>
        <v>0</v>
      </c>
      <c r="T6788" s="84" t="n">
        <f aca="false">IF(AND(ISNUMBER(O6788),ISNUMBER(P6788)),Coef_A+Coef_B1*O6788+Coef_B2*P6788,"")</f>
        <v>28.1124930378026</v>
      </c>
      <c r="U6788" s="84" t="n">
        <f aca="false">IF(AND(R6788=1,ISNUMBER(T6788)),E6788-T6788,"")</f>
        <v>3.18750696219735</v>
      </c>
      <c r="V6788" s="84" t="n">
        <f aca="false">IF(ISNUMBER(T6788),T6788,-99)</f>
        <v>28.1124930378026</v>
      </c>
      <c r="W6788" s="84" t="n">
        <f aca="false">IF(ISNUMBER(U6788),ABS(U6788),"")</f>
        <v>3.18750696219735</v>
      </c>
    </row>
    <row r="6789" customFormat="false" ht="15" hidden="false" customHeight="false" outlineLevel="0" collapsed="false">
      <c r="A6789" s="57" t="n">
        <v>45102</v>
      </c>
      <c r="B6789" s="56" t="n">
        <v>2023</v>
      </c>
      <c r="C6789" s="56" t="n">
        <v>6</v>
      </c>
      <c r="D6789" s="56" t="n">
        <v>56</v>
      </c>
      <c r="E6789" s="56" t="n">
        <v>23.3</v>
      </c>
      <c r="F6789" s="56" t="n">
        <v>1</v>
      </c>
      <c r="G6789" s="56" t="n">
        <v>15.9</v>
      </c>
      <c r="H6789" s="56" t="n">
        <v>0</v>
      </c>
      <c r="I6789" s="56" t="n">
        <v>23.6</v>
      </c>
      <c r="J6789" s="56" t="n">
        <v>1</v>
      </c>
      <c r="K6789" s="56" t="n">
        <v>1014.5</v>
      </c>
      <c r="L6789" s="56" t="n">
        <v>0</v>
      </c>
      <c r="M6789" s="56" t="n">
        <v>56</v>
      </c>
      <c r="N6789" s="56" t="n">
        <v>13</v>
      </c>
      <c r="O6789" s="56" t="n">
        <f aca="false">IF(D6789=1,"",E6788)</f>
        <v>31.3</v>
      </c>
      <c r="P6789" s="56" t="n">
        <f aca="false">IF(OR(D6789=1,K6788=""),"",K6788)</f>
        <v>1022.7</v>
      </c>
      <c r="Q6789" s="56" t="n">
        <f aca="false">IF(OR(F6789&lt;&gt;0,AND(I6789&lt;&gt;"",E6789&lt;I6789)),1,0)</f>
        <v>1</v>
      </c>
      <c r="R6789" s="56" t="n">
        <f aca="false">IF(AND(D6789&gt;1,Q6789=0,ISNUMBER(O6789),ISNUMBER(P6789)),IF(Q6788=0,1,0),0)</f>
        <v>0</v>
      </c>
      <c r="S6789" s="56" t="n">
        <f aca="false">R6789*(B6789&gt;=Train_Start)*(B6789&lt;=Train_End)</f>
        <v>0</v>
      </c>
      <c r="T6789" s="84" t="n">
        <f aca="false">IF(AND(ISNUMBER(O6789),ISNUMBER(P6789)),Coef_A+Coef_B1*O6789+Coef_B2*P6789,"")</f>
        <v>29.8142834064118</v>
      </c>
      <c r="U6789" s="84" t="str">
        <f aca="false">IF(AND(R6789=1,ISNUMBER(T6789)),E6789-T6789,"")</f>
        <v/>
      </c>
      <c r="V6789" s="84" t="n">
        <f aca="false">IF(ISNUMBER(T6789),T6789,-99)</f>
        <v>29.8142834064118</v>
      </c>
      <c r="W6789" s="84" t="str">
        <f aca="false">IF(ISNUMBER(U6789),ABS(U6789),"")</f>
        <v/>
      </c>
    </row>
    <row r="6790" customFormat="false" ht="15" hidden="false" customHeight="false" outlineLevel="0" collapsed="false">
      <c r="A6790" s="57" t="n">
        <v>45103</v>
      </c>
      <c r="B6790" s="56" t="n">
        <v>2023</v>
      </c>
      <c r="C6790" s="56" t="n">
        <v>6</v>
      </c>
      <c r="D6790" s="56" t="n">
        <v>57</v>
      </c>
      <c r="E6790" s="56" t="n">
        <v>23.2</v>
      </c>
      <c r="F6790" s="56" t="n">
        <v>0</v>
      </c>
      <c r="G6790" s="56" t="n">
        <v>13.9</v>
      </c>
      <c r="H6790" s="56" t="n">
        <v>0</v>
      </c>
      <c r="I6790" s="56" t="n">
        <v>18.6</v>
      </c>
      <c r="J6790" s="56" t="n">
        <v>0</v>
      </c>
      <c r="K6790" s="56" t="n">
        <v>1019.8</v>
      </c>
      <c r="L6790" s="56" t="n">
        <v>0</v>
      </c>
      <c r="M6790" s="56" t="n">
        <v>58</v>
      </c>
      <c r="N6790" s="56" t="n">
        <v>8.1</v>
      </c>
      <c r="O6790" s="56" t="n">
        <f aca="false">IF(D6790=1,"",E6789)</f>
        <v>23.3</v>
      </c>
      <c r="P6790" s="56" t="n">
        <f aca="false">IF(OR(D6790=1,K6789=""),"",K6789)</f>
        <v>1014.5</v>
      </c>
      <c r="Q6790" s="56" t="n">
        <f aca="false">IF(OR(F6790&lt;&gt;0,AND(I6790&lt;&gt;"",E6790&lt;I6790)),1,0)</f>
        <v>0</v>
      </c>
      <c r="R6790" s="56" t="n">
        <f aca="false">IF(AND(D6790&gt;1,Q6790=0,ISNUMBER(O6790),ISNUMBER(P6790)),IF(Q6789=0,1,0),0)</f>
        <v>0</v>
      </c>
      <c r="S6790" s="56" t="n">
        <f aca="false">R6790*(B6790&gt;=Train_Start)*(B6790&lt;=Train_End)</f>
        <v>0</v>
      </c>
      <c r="T6790" s="84" t="n">
        <f aca="false">IF(AND(ISNUMBER(O6790),ISNUMBER(P6790)),Coef_A+Coef_B1*O6790+Coef_B2*P6790,"")</f>
        <v>23.0023367260719</v>
      </c>
      <c r="U6790" s="84" t="str">
        <f aca="false">IF(AND(R6790=1,ISNUMBER(T6790)),E6790-T6790,"")</f>
        <v/>
      </c>
      <c r="V6790" s="84" t="n">
        <f aca="false">IF(ISNUMBER(T6790),T6790,-99)</f>
        <v>23.0023367260719</v>
      </c>
      <c r="W6790" s="84" t="str">
        <f aca="false">IF(ISNUMBER(U6790),ABS(U6790),"")</f>
        <v/>
      </c>
    </row>
    <row r="6791" customFormat="false" ht="15" hidden="false" customHeight="false" outlineLevel="0" collapsed="false">
      <c r="A6791" s="57" t="n">
        <v>45104</v>
      </c>
      <c r="B6791" s="56" t="n">
        <v>2023</v>
      </c>
      <c r="C6791" s="56" t="n">
        <v>6</v>
      </c>
      <c r="D6791" s="56" t="n">
        <v>58</v>
      </c>
      <c r="E6791" s="56" t="n">
        <v>26.6</v>
      </c>
      <c r="F6791" s="56" t="n">
        <v>0</v>
      </c>
      <c r="G6791" s="56" t="n">
        <v>14.4</v>
      </c>
      <c r="H6791" s="56" t="n">
        <v>0</v>
      </c>
      <c r="I6791" s="56" t="n">
        <v>18.8</v>
      </c>
      <c r="J6791" s="56" t="n">
        <v>0</v>
      </c>
      <c r="K6791" s="56" t="n">
        <v>1020.9</v>
      </c>
      <c r="L6791" s="56" t="n">
        <v>0</v>
      </c>
      <c r="M6791" s="56" t="n">
        <v>65</v>
      </c>
      <c r="N6791" s="56" t="n">
        <v>2.3</v>
      </c>
      <c r="O6791" s="56" t="n">
        <f aca="false">IF(D6791=1,"",E6790)</f>
        <v>23.2</v>
      </c>
      <c r="P6791" s="56" t="n">
        <f aca="false">IF(OR(D6791=1,K6790=""),"",K6790)</f>
        <v>1019.8</v>
      </c>
      <c r="Q6791" s="56" t="n">
        <f aca="false">IF(OR(F6791&lt;&gt;0,AND(I6791&lt;&gt;"",E6791&lt;I6791)),1,0)</f>
        <v>0</v>
      </c>
      <c r="R6791" s="56" t="n">
        <f aca="false">IF(AND(D6791&gt;1,Q6791=0,ISNUMBER(O6791),ISNUMBER(P6791)),IF(Q6790=0,1,0),0)</f>
        <v>1</v>
      </c>
      <c r="S6791" s="56" t="n">
        <f aca="false">R6791*(B6791&gt;=Train_Start)*(B6791&lt;=Train_End)</f>
        <v>0</v>
      </c>
      <c r="T6791" s="84" t="n">
        <f aca="false">IF(AND(ISNUMBER(O6791),ISNUMBER(P6791)),Coef_A+Coef_B1*O6791+Coef_B2*P6791,"")</f>
        <v>23.0866632483277</v>
      </c>
      <c r="U6791" s="84" t="n">
        <f aca="false">IF(AND(R6791=1,ISNUMBER(T6791)),E6791-T6791,"")</f>
        <v>3.51333675167227</v>
      </c>
      <c r="V6791" s="84" t="n">
        <f aca="false">IF(ISNUMBER(T6791),T6791,-99)</f>
        <v>23.0866632483277</v>
      </c>
      <c r="W6791" s="84" t="n">
        <f aca="false">IF(ISNUMBER(U6791),ABS(U6791),"")</f>
        <v>3.51333675167227</v>
      </c>
    </row>
    <row r="6792" customFormat="false" ht="15" hidden="false" customHeight="false" outlineLevel="0" collapsed="false">
      <c r="A6792" s="57" t="n">
        <v>45105</v>
      </c>
      <c r="B6792" s="56" t="n">
        <v>2023</v>
      </c>
      <c r="C6792" s="56" t="n">
        <v>6</v>
      </c>
      <c r="D6792" s="56" t="n">
        <v>59</v>
      </c>
      <c r="E6792" s="56" t="n">
        <v>23</v>
      </c>
      <c r="F6792" s="56" t="n">
        <v>0</v>
      </c>
      <c r="G6792" s="56" t="n">
        <v>18.3</v>
      </c>
      <c r="H6792" s="56" t="n">
        <v>0</v>
      </c>
      <c r="I6792" s="56" t="n">
        <v>22.4</v>
      </c>
      <c r="J6792" s="56" t="n">
        <v>0</v>
      </c>
      <c r="K6792" s="56" t="n">
        <v>1017</v>
      </c>
      <c r="L6792" s="56" t="n">
        <v>0</v>
      </c>
      <c r="M6792" s="56" t="n">
        <v>75</v>
      </c>
      <c r="N6792" s="56" t="n">
        <v>0.7</v>
      </c>
      <c r="O6792" s="56" t="n">
        <f aca="false">IF(D6792=1,"",E6791)</f>
        <v>26.6</v>
      </c>
      <c r="P6792" s="56" t="n">
        <f aca="false">IF(OR(D6792=1,K6791=""),"",K6791)</f>
        <v>1020.9</v>
      </c>
      <c r="Q6792" s="56" t="n">
        <f aca="false">IF(OR(F6792&lt;&gt;0,AND(I6792&lt;&gt;"",E6792&lt;I6792)),1,0)</f>
        <v>0</v>
      </c>
      <c r="R6792" s="56" t="n">
        <f aca="false">IF(AND(D6792&gt;1,Q6792=0,ISNUMBER(O6792),ISNUMBER(P6792)),IF(Q6791=0,1,0),0)</f>
        <v>1</v>
      </c>
      <c r="S6792" s="56" t="n">
        <f aca="false">R6792*(B6792&gt;=Train_Start)*(B6792&lt;=Train_End)</f>
        <v>0</v>
      </c>
      <c r="T6792" s="84" t="n">
        <f aca="false">IF(AND(ISNUMBER(O6792),ISNUMBER(P6792)),Coef_A+Coef_B1*O6792+Coef_B2*P6792,"")</f>
        <v>25.9069233887702</v>
      </c>
      <c r="U6792" s="84" t="n">
        <f aca="false">IF(AND(R6792=1,ISNUMBER(T6792)),E6792-T6792,"")</f>
        <v>-2.90692338877016</v>
      </c>
      <c r="V6792" s="84" t="n">
        <f aca="false">IF(ISNUMBER(T6792),T6792,-99)</f>
        <v>25.9069233887702</v>
      </c>
      <c r="W6792" s="84" t="n">
        <f aca="false">IF(ISNUMBER(U6792),ABS(U6792),"")</f>
        <v>2.90692338877016</v>
      </c>
    </row>
    <row r="6793" customFormat="false" ht="15" hidden="false" customHeight="false" outlineLevel="0" collapsed="false">
      <c r="A6793" s="57" t="n">
        <v>45106</v>
      </c>
      <c r="B6793" s="56" t="n">
        <v>2023</v>
      </c>
      <c r="C6793" s="56" t="n">
        <v>6</v>
      </c>
      <c r="D6793" s="56" t="n">
        <v>60</v>
      </c>
      <c r="E6793" s="56" t="n">
        <v>19.4</v>
      </c>
      <c r="F6793" s="56" t="n">
        <v>0</v>
      </c>
      <c r="G6793" s="56" t="n">
        <v>15</v>
      </c>
      <c r="H6793" s="56" t="n">
        <v>0</v>
      </c>
      <c r="I6793" s="56" t="n">
        <v>19</v>
      </c>
      <c r="J6793" s="56" t="n">
        <v>0</v>
      </c>
      <c r="K6793" s="56" t="n">
        <v>1016</v>
      </c>
      <c r="L6793" s="56" t="n">
        <v>0</v>
      </c>
      <c r="M6793" s="56" t="n">
        <v>70</v>
      </c>
      <c r="N6793" s="56" t="n">
        <v>4.8</v>
      </c>
      <c r="O6793" s="56" t="n">
        <f aca="false">IF(D6793=1,"",E6792)</f>
        <v>23</v>
      </c>
      <c r="P6793" s="56" t="n">
        <f aca="false">IF(OR(D6793=1,K6792=""),"",K6792)</f>
        <v>1017</v>
      </c>
      <c r="Q6793" s="56" t="n">
        <f aca="false">IF(OR(F6793&lt;&gt;0,AND(I6793&lt;&gt;"",E6793&lt;I6793)),1,0)</f>
        <v>0</v>
      </c>
      <c r="R6793" s="56" t="n">
        <f aca="false">IF(AND(D6793&gt;1,Q6793=0,ISNUMBER(O6793),ISNUMBER(P6793)),IF(Q6792=0,1,0),0)</f>
        <v>1</v>
      </c>
      <c r="S6793" s="56" t="n">
        <f aca="false">R6793*(B6793&gt;=Train_Start)*(B6793&lt;=Train_End)</f>
        <v>0</v>
      </c>
      <c r="T6793" s="84" t="n">
        <f aca="false">IF(AND(ISNUMBER(O6793),ISNUMBER(P6793)),Coef_A+Coef_B1*O6793+Coef_B2*P6793,"")</f>
        <v>22.834959704744</v>
      </c>
      <c r="U6793" s="84" t="n">
        <f aca="false">IF(AND(R6793=1,ISNUMBER(T6793)),E6793-T6793,"")</f>
        <v>-3.43495970474404</v>
      </c>
      <c r="V6793" s="84" t="n">
        <f aca="false">IF(ISNUMBER(T6793),T6793,-99)</f>
        <v>22.834959704744</v>
      </c>
      <c r="W6793" s="84" t="n">
        <f aca="false">IF(ISNUMBER(U6793),ABS(U6793),"")</f>
        <v>3.43495970474404</v>
      </c>
    </row>
    <row r="6794" customFormat="false" ht="15" hidden="false" customHeight="false" outlineLevel="0" collapsed="false">
      <c r="A6794" s="57" t="n">
        <v>45107</v>
      </c>
      <c r="B6794" s="56" t="n">
        <v>2023</v>
      </c>
      <c r="C6794" s="56" t="n">
        <v>6</v>
      </c>
      <c r="D6794" s="56" t="n">
        <v>61</v>
      </c>
      <c r="E6794" s="56" t="n">
        <v>23.2</v>
      </c>
      <c r="F6794" s="56" t="n">
        <v>0</v>
      </c>
      <c r="G6794" s="56" t="n">
        <v>11.8</v>
      </c>
      <c r="H6794" s="56" t="n">
        <v>0</v>
      </c>
      <c r="I6794" s="56" t="n">
        <v>15.6</v>
      </c>
      <c r="J6794" s="56" t="n">
        <v>0</v>
      </c>
      <c r="K6794" s="56" t="n">
        <v>1011.9</v>
      </c>
      <c r="L6794" s="56" t="n">
        <v>0</v>
      </c>
      <c r="M6794" s="56" t="n">
        <v>74</v>
      </c>
      <c r="N6794" s="56" t="n">
        <v>1.1</v>
      </c>
      <c r="O6794" s="56" t="n">
        <f aca="false">IF(D6794=1,"",E6793)</f>
        <v>19.4</v>
      </c>
      <c r="P6794" s="56" t="n">
        <f aca="false">IF(OR(D6794=1,K6793=""),"",K6793)</f>
        <v>1016</v>
      </c>
      <c r="Q6794" s="56" t="n">
        <f aca="false">IF(OR(F6794&lt;&gt;0,AND(I6794&lt;&gt;"",E6794&lt;I6794)),1,0)</f>
        <v>0</v>
      </c>
      <c r="R6794" s="56" t="n">
        <f aca="false">IF(AND(D6794&gt;1,Q6794=0,ISNUMBER(O6794),ISNUMBER(P6794)),IF(Q6793=0,1,0),0)</f>
        <v>1</v>
      </c>
      <c r="S6794" s="56" t="n">
        <f aca="false">R6794*(B6794&gt;=Train_Start)*(B6794&lt;=Train_End)</f>
        <v>0</v>
      </c>
      <c r="T6794" s="84" t="n">
        <f aca="false">IF(AND(ISNUMBER(O6794),ISNUMBER(P6794)),Coef_A+Coef_B1*O6794+Coef_B2*P6794,"")</f>
        <v>19.8539687151565</v>
      </c>
      <c r="U6794" s="84" t="n">
        <f aca="false">IF(AND(R6794=1,ISNUMBER(T6794)),E6794-T6794,"")</f>
        <v>3.34603128484352</v>
      </c>
      <c r="V6794" s="84" t="n">
        <f aca="false">IF(ISNUMBER(T6794),T6794,-99)</f>
        <v>19.8539687151565</v>
      </c>
      <c r="W6794" s="84" t="n">
        <f aca="false">IF(ISNUMBER(U6794),ABS(U6794),"")</f>
        <v>3.34603128484352</v>
      </c>
    </row>
    <row r="6795" customFormat="false" ht="15" hidden="false" customHeight="false" outlineLevel="0" collapsed="false">
      <c r="A6795" s="57" t="n">
        <v>45108</v>
      </c>
      <c r="B6795" s="56" t="n">
        <v>2023</v>
      </c>
      <c r="C6795" s="56" t="n">
        <v>7</v>
      </c>
      <c r="D6795" s="56" t="n">
        <v>62</v>
      </c>
      <c r="E6795" s="56" t="n">
        <v>22.2</v>
      </c>
      <c r="F6795" s="56" t="n">
        <v>0</v>
      </c>
      <c r="G6795" s="56" t="n">
        <v>15.8</v>
      </c>
      <c r="H6795" s="56" t="n">
        <v>0</v>
      </c>
      <c r="I6795" s="56" t="n">
        <v>19.5</v>
      </c>
      <c r="J6795" s="56" t="n">
        <v>0</v>
      </c>
      <c r="K6795" s="56" t="n">
        <v>1006.4</v>
      </c>
      <c r="L6795" s="56" t="n">
        <v>0</v>
      </c>
      <c r="M6795" s="56" t="n">
        <v>68</v>
      </c>
      <c r="N6795" s="56" t="n">
        <v>2.4</v>
      </c>
      <c r="O6795" s="56" t="n">
        <f aca="false">IF(D6795=1,"",E6794)</f>
        <v>23.2</v>
      </c>
      <c r="P6795" s="56" t="n">
        <f aca="false">IF(OR(D6795=1,K6794=""),"",K6794)</f>
        <v>1011.9</v>
      </c>
      <c r="Q6795" s="56" t="n">
        <f aca="false">IF(OR(F6795&lt;&gt;0,AND(I6795&lt;&gt;"",E6795&lt;I6795)),1,0)</f>
        <v>0</v>
      </c>
      <c r="R6795" s="56" t="n">
        <f aca="false">IF(AND(D6795&gt;1,Q6795=0,ISNUMBER(O6795),ISNUMBER(P6795)),IF(Q6794=0,1,0),0)</f>
        <v>1</v>
      </c>
      <c r="S6795" s="56" t="n">
        <f aca="false">R6795*(B6795&gt;=Train_Start)*(B6795&lt;=Train_End)</f>
        <v>0</v>
      </c>
      <c r="T6795" s="84" t="n">
        <f aca="false">IF(AND(ISNUMBER(O6795),ISNUMBER(P6795)),Coef_A+Coef_B1*O6795+Coef_B2*P6795,"")</f>
        <v>22.8388410807192</v>
      </c>
      <c r="U6795" s="84" t="n">
        <f aca="false">IF(AND(R6795=1,ISNUMBER(T6795)),E6795-T6795,"")</f>
        <v>-0.638841080719217</v>
      </c>
      <c r="V6795" s="84" t="n">
        <f aca="false">IF(ISNUMBER(T6795),T6795,-99)</f>
        <v>22.8388410807192</v>
      </c>
      <c r="W6795" s="84" t="n">
        <f aca="false">IF(ISNUMBER(U6795),ABS(U6795),"")</f>
        <v>0.638841080719217</v>
      </c>
    </row>
    <row r="6796" customFormat="false" ht="15" hidden="false" customHeight="false" outlineLevel="0" collapsed="false">
      <c r="A6796" s="57" t="n">
        <v>45109</v>
      </c>
      <c r="B6796" s="56" t="n">
        <v>2023</v>
      </c>
      <c r="C6796" s="56" t="n">
        <v>7</v>
      </c>
      <c r="D6796" s="56" t="n">
        <v>63</v>
      </c>
      <c r="E6796" s="56" t="n">
        <v>21.6</v>
      </c>
      <c r="F6796" s="56" t="n">
        <v>0</v>
      </c>
      <c r="G6796" s="56" t="n">
        <v>12</v>
      </c>
      <c r="H6796" s="56" t="n">
        <v>0</v>
      </c>
      <c r="I6796" s="56" t="n">
        <v>17.1</v>
      </c>
      <c r="J6796" s="56" t="n">
        <v>0</v>
      </c>
      <c r="K6796" s="56" t="n">
        <v>1011.7</v>
      </c>
      <c r="L6796" s="56" t="n">
        <v>0</v>
      </c>
      <c r="M6796" s="56" t="n">
        <v>59</v>
      </c>
      <c r="N6796" s="56" t="n">
        <v>7.6</v>
      </c>
      <c r="O6796" s="56" t="n">
        <f aca="false">IF(D6796=1,"",E6795)</f>
        <v>22.2</v>
      </c>
      <c r="P6796" s="56" t="n">
        <f aca="false">IF(OR(D6796=1,K6795=""),"",K6795)</f>
        <v>1006.4</v>
      </c>
      <c r="Q6796" s="56" t="n">
        <f aca="false">IF(OR(F6796&lt;&gt;0,AND(I6796&lt;&gt;"",E6796&lt;I6796)),1,0)</f>
        <v>0</v>
      </c>
      <c r="R6796" s="56" t="n">
        <f aca="false">IF(AND(D6796&gt;1,Q6796=0,ISNUMBER(O6796),ISNUMBER(P6796)),IF(Q6795=0,1,0),0)</f>
        <v>1</v>
      </c>
      <c r="S6796" s="56" t="n">
        <f aca="false">R6796*(B6796&gt;=Train_Start)*(B6796&lt;=Train_End)</f>
        <v>0</v>
      </c>
      <c r="T6796" s="84" t="n">
        <f aca="false">IF(AND(ISNUMBER(O6796),ISNUMBER(P6796)),Coef_A+Coef_B1*O6796+Coef_B2*P6796,"")</f>
        <v>21.8469674671896</v>
      </c>
      <c r="U6796" s="84" t="n">
        <f aca="false">IF(AND(R6796=1,ISNUMBER(T6796)),E6796-T6796,"")</f>
        <v>-0.24696746718962</v>
      </c>
      <c r="V6796" s="84" t="n">
        <f aca="false">IF(ISNUMBER(T6796),T6796,-99)</f>
        <v>21.8469674671896</v>
      </c>
      <c r="W6796" s="84" t="n">
        <f aca="false">IF(ISNUMBER(U6796),ABS(U6796),"")</f>
        <v>0.24696746718962</v>
      </c>
    </row>
    <row r="6797" customFormat="false" ht="15" hidden="false" customHeight="false" outlineLevel="0" collapsed="false">
      <c r="A6797" s="57" t="n">
        <v>45110</v>
      </c>
      <c r="B6797" s="56" t="n">
        <v>2023</v>
      </c>
      <c r="C6797" s="56" t="n">
        <v>7</v>
      </c>
      <c r="D6797" s="56" t="n">
        <v>64</v>
      </c>
      <c r="E6797" s="56" t="n">
        <v>18.7</v>
      </c>
      <c r="F6797" s="56" t="n">
        <v>0</v>
      </c>
      <c r="G6797" s="56" t="n">
        <v>12.2</v>
      </c>
      <c r="H6797" s="56" t="n">
        <v>0</v>
      </c>
      <c r="I6797" s="56" t="n">
        <v>16.9</v>
      </c>
      <c r="J6797" s="56" t="n">
        <v>0</v>
      </c>
      <c r="K6797" s="56" t="n">
        <v>1011</v>
      </c>
      <c r="L6797" s="56" t="n">
        <v>0</v>
      </c>
      <c r="M6797" s="56" t="n">
        <v>61</v>
      </c>
      <c r="N6797" s="56" t="n">
        <v>5.7</v>
      </c>
      <c r="O6797" s="56" t="n">
        <f aca="false">IF(D6797=1,"",E6796)</f>
        <v>21.6</v>
      </c>
      <c r="P6797" s="56" t="n">
        <f aca="false">IF(OR(D6797=1,K6796=""),"",K6796)</f>
        <v>1011.7</v>
      </c>
      <c r="Q6797" s="56" t="n">
        <f aca="false">IF(OR(F6797&lt;&gt;0,AND(I6797&lt;&gt;"",E6797&lt;I6797)),1,0)</f>
        <v>0</v>
      </c>
      <c r="R6797" s="56" t="n">
        <f aca="false">IF(AND(D6797&gt;1,Q6797=0,ISNUMBER(O6797),ISNUMBER(P6797)),IF(Q6796=0,1,0),0)</f>
        <v>1</v>
      </c>
      <c r="S6797" s="56" t="n">
        <f aca="false">R6797*(B6797&gt;=Train_Start)*(B6797&lt;=Train_End)</f>
        <v>0</v>
      </c>
      <c r="T6797" s="84" t="n">
        <f aca="false">IF(AND(ISNUMBER(O6797),ISNUMBER(P6797)),Coef_A+Coef_B1*O6797+Coef_B2*P6797,"")</f>
        <v>21.5216243929242</v>
      </c>
      <c r="U6797" s="84" t="n">
        <f aca="false">IF(AND(R6797=1,ISNUMBER(T6797)),E6797-T6797,"")</f>
        <v>-2.82162439292417</v>
      </c>
      <c r="V6797" s="84" t="n">
        <f aca="false">IF(ISNUMBER(T6797),T6797,-99)</f>
        <v>21.5216243929242</v>
      </c>
      <c r="W6797" s="84" t="n">
        <f aca="false">IF(ISNUMBER(U6797),ABS(U6797),"")</f>
        <v>2.82162439292417</v>
      </c>
    </row>
    <row r="6798" customFormat="false" ht="15" hidden="false" customHeight="false" outlineLevel="0" collapsed="false">
      <c r="A6798" s="57" t="n">
        <v>45111</v>
      </c>
      <c r="B6798" s="56" t="n">
        <v>2023</v>
      </c>
      <c r="C6798" s="56" t="n">
        <v>7</v>
      </c>
      <c r="D6798" s="56" t="n">
        <v>65</v>
      </c>
      <c r="E6798" s="56" t="n">
        <v>21.6</v>
      </c>
      <c r="F6798" s="56" t="n">
        <v>0</v>
      </c>
      <c r="G6798" s="56" t="n">
        <v>13.6</v>
      </c>
      <c r="H6798" s="56" t="n">
        <v>0</v>
      </c>
      <c r="I6798" s="56" t="n">
        <v>16.1</v>
      </c>
      <c r="J6798" s="56" t="n">
        <v>0</v>
      </c>
      <c r="K6798" s="56" t="n">
        <v>1010</v>
      </c>
      <c r="L6798" s="56" t="n">
        <v>0</v>
      </c>
      <c r="M6798" s="56" t="n">
        <v>79</v>
      </c>
      <c r="N6798" s="56" t="n">
        <v>0.9</v>
      </c>
      <c r="O6798" s="56" t="n">
        <f aca="false">IF(D6798=1,"",E6797)</f>
        <v>18.7</v>
      </c>
      <c r="P6798" s="56" t="n">
        <f aca="false">IF(OR(D6798=1,K6797=""),"",K6797)</f>
        <v>1011</v>
      </c>
      <c r="Q6798" s="56" t="n">
        <f aca="false">IF(OR(F6798&lt;&gt;0,AND(I6798&lt;&gt;"",E6798&lt;I6798)),1,0)</f>
        <v>0</v>
      </c>
      <c r="R6798" s="56" t="n">
        <f aca="false">IF(AND(D6798&gt;1,Q6798=0,ISNUMBER(O6798),ISNUMBER(P6798)),IF(Q6797=0,1,0),0)</f>
        <v>1</v>
      </c>
      <c r="S6798" s="56" t="n">
        <f aca="false">R6798*(B6798&gt;=Train_Start)*(B6798&lt;=Train_End)</f>
        <v>0</v>
      </c>
      <c r="T6798" s="84" t="n">
        <f aca="false">IF(AND(ISNUMBER(O6798),ISNUMBER(P6798)),Coef_A+Coef_B1*O6798+Coef_B2*P6798,"")</f>
        <v>19.1235818068567</v>
      </c>
      <c r="U6798" s="84" t="n">
        <f aca="false">IF(AND(R6798=1,ISNUMBER(T6798)),E6798-T6798,"")</f>
        <v>2.47641819314333</v>
      </c>
      <c r="V6798" s="84" t="n">
        <f aca="false">IF(ISNUMBER(T6798),T6798,-99)</f>
        <v>19.1235818068567</v>
      </c>
      <c r="W6798" s="84" t="n">
        <f aca="false">IF(ISNUMBER(U6798),ABS(U6798),"")</f>
        <v>2.47641819314333</v>
      </c>
    </row>
    <row r="6799" customFormat="false" ht="15" hidden="false" customHeight="false" outlineLevel="0" collapsed="false">
      <c r="A6799" s="57" t="n">
        <v>45112</v>
      </c>
      <c r="B6799" s="56" t="n">
        <v>2023</v>
      </c>
      <c r="C6799" s="56" t="n">
        <v>7</v>
      </c>
      <c r="D6799" s="56" t="n">
        <v>66</v>
      </c>
      <c r="E6799" s="56" t="n">
        <v>22.8</v>
      </c>
      <c r="F6799" s="56" t="n">
        <v>0</v>
      </c>
      <c r="G6799" s="56" t="n">
        <v>10</v>
      </c>
      <c r="H6799" s="56" t="n">
        <v>0</v>
      </c>
      <c r="I6799" s="56" t="n">
        <v>15.8</v>
      </c>
      <c r="J6799" s="56" t="n">
        <v>0</v>
      </c>
      <c r="K6799" s="56" t="n">
        <v>1011.3</v>
      </c>
      <c r="L6799" s="56" t="n">
        <v>0</v>
      </c>
      <c r="M6799" s="56" t="n">
        <v>71</v>
      </c>
      <c r="N6799" s="56" t="n">
        <v>5.8</v>
      </c>
      <c r="O6799" s="56" t="n">
        <f aca="false">IF(D6799=1,"",E6798)</f>
        <v>21.6</v>
      </c>
      <c r="P6799" s="56" t="n">
        <f aca="false">IF(OR(D6799=1,K6798=""),"",K6798)</f>
        <v>1010</v>
      </c>
      <c r="Q6799" s="56" t="n">
        <f aca="false">IF(OR(F6799&lt;&gt;0,AND(I6799&lt;&gt;"",E6799&lt;I6799)),1,0)</f>
        <v>0</v>
      </c>
      <c r="R6799" s="56" t="n">
        <f aca="false">IF(AND(D6799&gt;1,Q6799=0,ISNUMBER(O6799),ISNUMBER(P6799)),IF(Q6798=0,1,0),0)</f>
        <v>1</v>
      </c>
      <c r="S6799" s="56" t="n">
        <f aca="false">R6799*(B6799&gt;=Train_Start)*(B6799&lt;=Train_End)</f>
        <v>0</v>
      </c>
      <c r="T6799" s="84" t="n">
        <f aca="false">IF(AND(ISNUMBER(O6799),ISNUMBER(P6799)),Coef_A+Coef_B1*O6799+Coef_B2*P6799,"")</f>
        <v>21.4682955720464</v>
      </c>
      <c r="U6799" s="84" t="n">
        <f aca="false">IF(AND(R6799=1,ISNUMBER(T6799)),E6799-T6799,"")</f>
        <v>1.33170442795361</v>
      </c>
      <c r="V6799" s="84" t="n">
        <f aca="false">IF(ISNUMBER(T6799),T6799,-99)</f>
        <v>21.4682955720464</v>
      </c>
      <c r="W6799" s="84" t="n">
        <f aca="false">IF(ISNUMBER(U6799),ABS(U6799),"")</f>
        <v>1.33170442795361</v>
      </c>
    </row>
    <row r="6800" customFormat="false" ht="15" hidden="false" customHeight="false" outlineLevel="0" collapsed="false">
      <c r="A6800" s="57" t="n">
        <v>45113</v>
      </c>
      <c r="B6800" s="56" t="n">
        <v>2023</v>
      </c>
      <c r="C6800" s="56" t="n">
        <v>7</v>
      </c>
      <c r="D6800" s="56" t="n">
        <v>67</v>
      </c>
      <c r="E6800" s="56" t="n">
        <v>29.7</v>
      </c>
      <c r="F6800" s="56" t="n">
        <v>0</v>
      </c>
      <c r="G6800" s="56" t="n">
        <v>11.2</v>
      </c>
      <c r="H6800" s="56" t="n">
        <v>0</v>
      </c>
      <c r="I6800" s="56" t="n">
        <v>17</v>
      </c>
      <c r="J6800" s="56" t="n">
        <v>0</v>
      </c>
      <c r="K6800" s="56" t="n">
        <v>1016</v>
      </c>
      <c r="L6800" s="56" t="n">
        <v>0</v>
      </c>
      <c r="M6800" s="56" t="n">
        <v>61</v>
      </c>
      <c r="N6800" s="56" t="n">
        <v>7.1</v>
      </c>
      <c r="O6800" s="56" t="n">
        <f aca="false">IF(D6800=1,"",E6799)</f>
        <v>22.8</v>
      </c>
      <c r="P6800" s="56" t="n">
        <f aca="false">IF(OR(D6800=1,K6799=""),"",K6799)</f>
        <v>1011.3</v>
      </c>
      <c r="Q6800" s="56" t="n">
        <f aca="false">IF(OR(F6800&lt;&gt;0,AND(I6800&lt;&gt;"",E6800&lt;I6800)),1,0)</f>
        <v>0</v>
      </c>
      <c r="R6800" s="56" t="n">
        <f aca="false">IF(AND(D6800&gt;1,Q6800=0,ISNUMBER(O6800),ISNUMBER(P6800)),IF(Q6799=0,1,0),0)</f>
        <v>1</v>
      </c>
      <c r="S6800" s="56" t="n">
        <f aca="false">R6800*(B6800&gt;=Train_Start)*(B6800&lt;=Train_End)</f>
        <v>0</v>
      </c>
      <c r="T6800" s="84" t="n">
        <f aca="false">IF(AND(ISNUMBER(O6800),ISNUMBER(P6800)),Coef_A+Coef_B1*O6800+Coef_B2*P6800,"")</f>
        <v>22.4922834667218</v>
      </c>
      <c r="U6800" s="84" t="n">
        <f aca="false">IF(AND(R6800=1,ISNUMBER(T6800)),E6800-T6800,"")</f>
        <v>7.20771653327824</v>
      </c>
      <c r="V6800" s="84" t="n">
        <f aca="false">IF(ISNUMBER(T6800),T6800,-99)</f>
        <v>22.4922834667218</v>
      </c>
      <c r="W6800" s="84" t="n">
        <f aca="false">IF(ISNUMBER(U6800),ABS(U6800),"")</f>
        <v>7.20771653327824</v>
      </c>
    </row>
    <row r="6801" customFormat="false" ht="15" hidden="false" customHeight="false" outlineLevel="0" collapsed="false">
      <c r="A6801" s="57" t="n">
        <v>45114</v>
      </c>
      <c r="B6801" s="56" t="n">
        <v>2023</v>
      </c>
      <c r="C6801" s="56" t="n">
        <v>7</v>
      </c>
      <c r="D6801" s="56" t="n">
        <v>68</v>
      </c>
      <c r="E6801" s="56" t="n">
        <v>26.8</v>
      </c>
      <c r="F6801" s="56" t="n">
        <v>0</v>
      </c>
      <c r="G6801" s="56" t="n">
        <v>10.3</v>
      </c>
      <c r="H6801" s="56" t="n">
        <v>0</v>
      </c>
      <c r="I6801" s="56" t="n">
        <v>20</v>
      </c>
      <c r="J6801" s="56" t="n">
        <v>0</v>
      </c>
      <c r="K6801" s="56" t="n">
        <v>1015.3</v>
      </c>
      <c r="L6801" s="56" t="n">
        <v>0</v>
      </c>
      <c r="M6801" s="56" t="n">
        <v>52</v>
      </c>
      <c r="N6801" s="56" t="n">
        <v>13.8</v>
      </c>
      <c r="O6801" s="56" t="n">
        <f aca="false">IF(D6801=1,"",E6800)</f>
        <v>29.7</v>
      </c>
      <c r="P6801" s="56" t="n">
        <f aca="false">IF(OR(D6801=1,K6800=""),"",K6800)</f>
        <v>1016</v>
      </c>
      <c r="Q6801" s="56" t="n">
        <f aca="false">IF(OR(F6801&lt;&gt;0,AND(I6801&lt;&gt;"",E6801&lt;I6801)),1,0)</f>
        <v>0</v>
      </c>
      <c r="R6801" s="56" t="n">
        <f aca="false">IF(AND(D6801&gt;1,Q6801=0,ISNUMBER(O6801),ISNUMBER(P6801)),IF(Q6800=0,1,0),0)</f>
        <v>1</v>
      </c>
      <c r="S6801" s="56" t="n">
        <f aca="false">R6801*(B6801&gt;=Train_Start)*(B6801&lt;=Train_End)</f>
        <v>0</v>
      </c>
      <c r="T6801" s="84" t="n">
        <f aca="false">IF(AND(ISNUMBER(O6801),ISNUMBER(P6801)),Coef_A+Coef_B1*O6801+Coef_B2*P6801,"")</f>
        <v>28.2931624034959</v>
      </c>
      <c r="U6801" s="84" t="n">
        <f aca="false">IF(AND(R6801=1,ISNUMBER(T6801)),E6801-T6801,"")</f>
        <v>-1.49316240349585</v>
      </c>
      <c r="V6801" s="84" t="n">
        <f aca="false">IF(ISNUMBER(T6801),T6801,-99)</f>
        <v>28.2931624034959</v>
      </c>
      <c r="W6801" s="84" t="n">
        <f aca="false">IF(ISNUMBER(U6801),ABS(U6801),"")</f>
        <v>1.49316240349585</v>
      </c>
    </row>
    <row r="6802" customFormat="false" ht="15" hidden="false" customHeight="false" outlineLevel="0" collapsed="false">
      <c r="A6802" s="57" t="n">
        <v>45115</v>
      </c>
      <c r="B6802" s="56" t="n">
        <v>2023</v>
      </c>
      <c r="C6802" s="56" t="n">
        <v>7</v>
      </c>
      <c r="D6802" s="56" t="n">
        <v>69</v>
      </c>
      <c r="E6802" s="56" t="n">
        <v>24.6</v>
      </c>
      <c r="F6802" s="56" t="n">
        <v>0</v>
      </c>
      <c r="G6802" s="56" t="n">
        <v>19.4</v>
      </c>
      <c r="H6802" s="56" t="n">
        <v>0</v>
      </c>
      <c r="I6802" s="56" t="n">
        <v>23.1</v>
      </c>
      <c r="J6802" s="56" t="n">
        <v>0</v>
      </c>
      <c r="K6802" s="56" t="n">
        <v>1015</v>
      </c>
      <c r="L6802" s="56" t="n">
        <v>0</v>
      </c>
      <c r="M6802" s="56" t="n">
        <v>65</v>
      </c>
      <c r="N6802" s="56" t="n">
        <v>3.2</v>
      </c>
      <c r="O6802" s="56" t="n">
        <f aca="false">IF(D6802=1,"",E6801)</f>
        <v>26.8</v>
      </c>
      <c r="P6802" s="56" t="n">
        <f aca="false">IF(OR(D6802=1,K6801=""),"",K6801)</f>
        <v>1015.3</v>
      </c>
      <c r="Q6802" s="56" t="n">
        <f aca="false">IF(OR(F6802&lt;&gt;0,AND(I6802&lt;&gt;"",E6802&lt;I6802)),1,0)</f>
        <v>0</v>
      </c>
      <c r="R6802" s="56" t="n">
        <f aca="false">IF(AND(D6802&gt;1,Q6802=0,ISNUMBER(O6802),ISNUMBER(P6802)),IF(Q6801=0,1,0),0)</f>
        <v>1</v>
      </c>
      <c r="S6802" s="56" t="n">
        <f aca="false">R6802*(B6802&gt;=Train_Start)*(B6802&lt;=Train_End)</f>
        <v>0</v>
      </c>
      <c r="T6802" s="84" t="n">
        <f aca="false">IF(AND(ISNUMBER(O6802),ISNUMBER(P6802)),Coef_A+Coef_B1*O6802+Coef_B2*P6802,"")</f>
        <v>25.8951198174284</v>
      </c>
      <c r="U6802" s="84" t="n">
        <f aca="false">IF(AND(R6802=1,ISNUMBER(T6802)),E6802-T6802,"")</f>
        <v>-1.29511981742835</v>
      </c>
      <c r="V6802" s="84" t="n">
        <f aca="false">IF(ISNUMBER(T6802),T6802,-99)</f>
        <v>25.8951198174284</v>
      </c>
      <c r="W6802" s="84" t="n">
        <f aca="false">IF(ISNUMBER(U6802),ABS(U6802),"")</f>
        <v>1.29511981742835</v>
      </c>
    </row>
    <row r="6803" customFormat="false" ht="15" hidden="false" customHeight="false" outlineLevel="0" collapsed="false">
      <c r="A6803" s="57" t="n">
        <v>45116</v>
      </c>
      <c r="B6803" s="56" t="n">
        <v>2023</v>
      </c>
      <c r="C6803" s="56" t="n">
        <v>7</v>
      </c>
      <c r="D6803" s="56" t="n">
        <v>70</v>
      </c>
      <c r="E6803" s="56" t="n">
        <v>25.2</v>
      </c>
      <c r="F6803" s="56" t="n">
        <v>0</v>
      </c>
      <c r="G6803" s="56" t="n">
        <v>16.4</v>
      </c>
      <c r="H6803" s="56" t="n">
        <v>0</v>
      </c>
      <c r="I6803" s="56" t="n">
        <v>20.5</v>
      </c>
      <c r="J6803" s="56" t="n">
        <v>0</v>
      </c>
      <c r="K6803" s="56" t="n">
        <v>1019.1</v>
      </c>
      <c r="L6803" s="56" t="n">
        <v>0</v>
      </c>
      <c r="M6803" s="56" t="n">
        <v>68</v>
      </c>
      <c r="N6803" s="56" t="n">
        <v>4.1</v>
      </c>
      <c r="O6803" s="56" t="n">
        <f aca="false">IF(D6803=1,"",E6802)</f>
        <v>24.6</v>
      </c>
      <c r="P6803" s="56" t="n">
        <f aca="false">IF(OR(D6803=1,K6802=""),"",K6802)</f>
        <v>1015</v>
      </c>
      <c r="Q6803" s="56" t="n">
        <f aca="false">IF(OR(F6803&lt;&gt;0,AND(I6803&lt;&gt;"",E6803&lt;I6803)),1,0)</f>
        <v>0</v>
      </c>
      <c r="R6803" s="56" t="n">
        <f aca="false">IF(AND(D6803&gt;1,Q6803=0,ISNUMBER(O6803),ISNUMBER(P6803)),IF(Q6802=0,1,0),0)</f>
        <v>1</v>
      </c>
      <c r="S6803" s="56" t="n">
        <f aca="false">R6803*(B6803&gt;=Train_Start)*(B6803&lt;=Train_End)</f>
        <v>0</v>
      </c>
      <c r="T6803" s="84" t="n">
        <f aca="false">IF(AND(ISNUMBER(O6803),ISNUMBER(P6803)),Coef_A+Coef_B1*O6803+Coef_B2*P6803,"")</f>
        <v>24.0831626243443</v>
      </c>
      <c r="U6803" s="84" t="n">
        <f aca="false">IF(AND(R6803=1,ISNUMBER(T6803)),E6803-T6803,"")</f>
        <v>1.11683737565569</v>
      </c>
      <c r="V6803" s="84" t="n">
        <f aca="false">IF(ISNUMBER(T6803),T6803,-99)</f>
        <v>24.0831626243443</v>
      </c>
      <c r="W6803" s="84" t="n">
        <f aca="false">IF(ISNUMBER(U6803),ABS(U6803),"")</f>
        <v>1.11683737565569</v>
      </c>
    </row>
    <row r="6804" customFormat="false" ht="15" hidden="false" customHeight="false" outlineLevel="0" collapsed="false">
      <c r="A6804" s="57" t="n">
        <v>45117</v>
      </c>
      <c r="B6804" s="56" t="n">
        <v>2023</v>
      </c>
      <c r="C6804" s="56" t="n">
        <v>7</v>
      </c>
      <c r="D6804" s="56" t="n">
        <v>71</v>
      </c>
      <c r="E6804" s="56" t="n">
        <v>23.6</v>
      </c>
      <c r="F6804" s="56" t="n">
        <v>0</v>
      </c>
      <c r="G6804" s="56" t="n">
        <v>13.8</v>
      </c>
      <c r="H6804" s="56" t="n">
        <v>0</v>
      </c>
      <c r="I6804" s="56" t="n">
        <v>19.5</v>
      </c>
      <c r="J6804" s="56" t="n">
        <v>0</v>
      </c>
      <c r="K6804" s="56" t="n">
        <v>1018.9</v>
      </c>
      <c r="L6804" s="56" t="n">
        <v>0</v>
      </c>
      <c r="M6804" s="56" t="n">
        <v>68</v>
      </c>
      <c r="N6804" s="56" t="n">
        <v>7.4</v>
      </c>
      <c r="O6804" s="56" t="n">
        <f aca="false">IF(D6804=1,"",E6803)</f>
        <v>25.2</v>
      </c>
      <c r="P6804" s="56" t="n">
        <f aca="false">IF(OR(D6804=1,K6803=""),"",K6803)</f>
        <v>1019.1</v>
      </c>
      <c r="Q6804" s="56" t="n">
        <f aca="false">IF(OR(F6804&lt;&gt;0,AND(I6804&lt;&gt;"",E6804&lt;I6804)),1,0)</f>
        <v>0</v>
      </c>
      <c r="R6804" s="56" t="n">
        <f aca="false">IF(AND(D6804&gt;1,Q6804=0,ISNUMBER(O6804),ISNUMBER(P6804)),IF(Q6803=0,1,0),0)</f>
        <v>1</v>
      </c>
      <c r="S6804" s="56" t="n">
        <f aca="false">R6804*(B6804&gt;=Train_Start)*(B6804&lt;=Train_End)</f>
        <v>0</v>
      </c>
      <c r="T6804" s="84" t="n">
        <f aca="false">IF(AND(ISNUMBER(O6804),ISNUMBER(P6804)),Coef_A+Coef_B1*O6804+Coef_B2*P6804,"")</f>
        <v>24.7033827081693</v>
      </c>
      <c r="U6804" s="84" t="n">
        <f aca="false">IF(AND(R6804=1,ISNUMBER(T6804)),E6804-T6804,"")</f>
        <v>-1.10338270816926</v>
      </c>
      <c r="V6804" s="84" t="n">
        <f aca="false">IF(ISNUMBER(T6804),T6804,-99)</f>
        <v>24.7033827081693</v>
      </c>
      <c r="W6804" s="84" t="n">
        <f aca="false">IF(ISNUMBER(U6804),ABS(U6804),"")</f>
        <v>1.10338270816926</v>
      </c>
    </row>
    <row r="6805" customFormat="false" ht="15" hidden="false" customHeight="false" outlineLevel="0" collapsed="false">
      <c r="A6805" s="57" t="n">
        <v>45118</v>
      </c>
      <c r="B6805" s="56" t="n">
        <v>2023</v>
      </c>
      <c r="C6805" s="56" t="n">
        <v>7</v>
      </c>
      <c r="D6805" s="56" t="n">
        <v>72</v>
      </c>
      <c r="E6805" s="56" t="n">
        <v>23.2</v>
      </c>
      <c r="F6805" s="56" t="n">
        <v>0</v>
      </c>
      <c r="G6805" s="56" t="n">
        <v>16.7</v>
      </c>
      <c r="H6805" s="56" t="n">
        <v>0</v>
      </c>
      <c r="I6805" s="56" t="n">
        <v>20.1</v>
      </c>
      <c r="J6805" s="56" t="n">
        <v>0</v>
      </c>
      <c r="K6805" s="56" t="n">
        <v>1010</v>
      </c>
      <c r="L6805" s="56" t="n">
        <v>0</v>
      </c>
      <c r="M6805" s="56" t="n">
        <v>71</v>
      </c>
      <c r="N6805" s="56" t="n">
        <v>2.5</v>
      </c>
      <c r="O6805" s="56" t="n">
        <f aca="false">IF(D6805=1,"",E6804)</f>
        <v>23.6</v>
      </c>
      <c r="P6805" s="56" t="n">
        <f aca="false">IF(OR(D6805=1,K6804=""),"",K6804)</f>
        <v>1018.9</v>
      </c>
      <c r="Q6805" s="56" t="n">
        <f aca="false">IF(OR(F6805&lt;&gt;0,AND(I6805&lt;&gt;"",E6805&lt;I6805)),1,0)</f>
        <v>0</v>
      </c>
      <c r="R6805" s="56" t="n">
        <f aca="false">IF(AND(D6805&gt;1,Q6805=0,ISNUMBER(O6805),ISNUMBER(P6805)),IF(Q6804=0,1,0),0)</f>
        <v>1</v>
      </c>
      <c r="S6805" s="56" t="n">
        <f aca="false">R6805*(B6805&gt;=Train_Start)*(B6805&lt;=Train_End)</f>
        <v>0</v>
      </c>
      <c r="T6805" s="84" t="n">
        <f aca="false">IF(AND(ISNUMBER(O6805),ISNUMBER(P6805)),Coef_A+Coef_B1*O6805+Coef_B2*P6805,"")</f>
        <v>23.3861660203742</v>
      </c>
      <c r="U6805" s="84" t="n">
        <f aca="false">IF(AND(R6805=1,ISNUMBER(T6805)),E6805-T6805,"")</f>
        <v>-0.186166020374213</v>
      </c>
      <c r="V6805" s="84" t="n">
        <f aca="false">IF(ISNUMBER(T6805),T6805,-99)</f>
        <v>23.3861660203742</v>
      </c>
      <c r="W6805" s="84" t="n">
        <f aca="false">IF(ISNUMBER(U6805),ABS(U6805),"")</f>
        <v>0.186166020374213</v>
      </c>
    </row>
    <row r="6806" customFormat="false" ht="15" hidden="false" customHeight="false" outlineLevel="0" collapsed="false">
      <c r="A6806" s="57" t="n">
        <v>45119</v>
      </c>
      <c r="B6806" s="56" t="n">
        <v>2023</v>
      </c>
      <c r="C6806" s="56" t="n">
        <v>7</v>
      </c>
      <c r="D6806" s="56" t="n">
        <v>73</v>
      </c>
      <c r="E6806" s="56" t="n">
        <v>23.4</v>
      </c>
      <c r="F6806" s="56" t="n">
        <v>0</v>
      </c>
      <c r="G6806" s="56" t="n">
        <v>13.6</v>
      </c>
      <c r="H6806" s="56" t="n">
        <v>0</v>
      </c>
      <c r="I6806" s="56" t="n">
        <v>18.4</v>
      </c>
      <c r="J6806" s="56" t="n">
        <v>0</v>
      </c>
      <c r="K6806" s="56" t="n">
        <v>1011.7</v>
      </c>
      <c r="L6806" s="56" t="n">
        <v>0</v>
      </c>
      <c r="M6806" s="56" t="n">
        <v>68</v>
      </c>
      <c r="N6806" s="56" t="n">
        <v>6.5</v>
      </c>
      <c r="O6806" s="56" t="n">
        <f aca="false">IF(D6806=1,"",E6805)</f>
        <v>23.2</v>
      </c>
      <c r="P6806" s="56" t="n">
        <f aca="false">IF(OR(D6806=1,K6805=""),"",K6805)</f>
        <v>1010</v>
      </c>
      <c r="Q6806" s="56" t="n">
        <f aca="false">IF(OR(F6806&lt;&gt;0,AND(I6806&lt;&gt;"",E6806&lt;I6806)),1,0)</f>
        <v>0</v>
      </c>
      <c r="R6806" s="56" t="n">
        <f aca="false">IF(AND(D6806&gt;1,Q6806=0,ISNUMBER(O6806),ISNUMBER(P6806)),IF(Q6805=0,1,0),0)</f>
        <v>1</v>
      </c>
      <c r="S6806" s="56" t="n">
        <f aca="false">R6806*(B6806&gt;=Train_Start)*(B6806&lt;=Train_End)</f>
        <v>0</v>
      </c>
      <c r="T6806" s="84" t="n">
        <f aca="false">IF(AND(ISNUMBER(O6806),ISNUMBER(P6806)),Coef_A+Coef_B1*O6806+Coef_B2*P6806,"")</f>
        <v>22.7792382809146</v>
      </c>
      <c r="U6806" s="84" t="n">
        <f aca="false">IF(AND(R6806=1,ISNUMBER(T6806)),E6806-T6806,"")</f>
        <v>0.620761719085362</v>
      </c>
      <c r="V6806" s="84" t="n">
        <f aca="false">IF(ISNUMBER(T6806),T6806,-99)</f>
        <v>22.7792382809146</v>
      </c>
      <c r="W6806" s="84" t="n">
        <f aca="false">IF(ISNUMBER(U6806),ABS(U6806),"")</f>
        <v>0.620761719085362</v>
      </c>
    </row>
    <row r="6807" customFormat="false" ht="15" hidden="false" customHeight="false" outlineLevel="0" collapsed="false">
      <c r="A6807" s="57" t="n">
        <v>45120</v>
      </c>
      <c r="B6807" s="56" t="n">
        <v>2023</v>
      </c>
      <c r="C6807" s="56" t="n">
        <v>7</v>
      </c>
      <c r="D6807" s="56" t="n">
        <v>74</v>
      </c>
      <c r="E6807" s="56" t="n">
        <v>20.1</v>
      </c>
      <c r="F6807" s="56" t="n">
        <v>0</v>
      </c>
      <c r="G6807" s="56" t="n">
        <v>13.3</v>
      </c>
      <c r="H6807" s="56" t="n">
        <v>0</v>
      </c>
      <c r="I6807" s="56" t="n">
        <v>18.4</v>
      </c>
      <c r="J6807" s="56" t="n">
        <v>0</v>
      </c>
      <c r="K6807" s="56" t="n">
        <v>1016</v>
      </c>
      <c r="L6807" s="56" t="n">
        <v>0</v>
      </c>
      <c r="M6807" s="56" t="n">
        <v>71</v>
      </c>
      <c r="N6807" s="56" t="n">
        <v>2.9</v>
      </c>
      <c r="O6807" s="56" t="n">
        <f aca="false">IF(D6807=1,"",E6806)</f>
        <v>23.4</v>
      </c>
      <c r="P6807" s="56" t="n">
        <f aca="false">IF(OR(D6807=1,K6806=""),"",K6806)</f>
        <v>1011.7</v>
      </c>
      <c r="Q6807" s="56" t="n">
        <f aca="false">IF(OR(F6807&lt;&gt;0,AND(I6807&lt;&gt;"",E6807&lt;I6807)),1,0)</f>
        <v>0</v>
      </c>
      <c r="R6807" s="56" t="n">
        <f aca="false">IF(AND(D6807&gt;1,Q6807=0,ISNUMBER(O6807),ISNUMBER(P6807)),IF(Q6806=0,1,0),0)</f>
        <v>1</v>
      </c>
      <c r="S6807" s="56" t="n">
        <f aca="false">R6807*(B6807&gt;=Train_Start)*(B6807&lt;=Train_End)</f>
        <v>0</v>
      </c>
      <c r="T6807" s="84" t="n">
        <f aca="false">IF(AND(ISNUMBER(O6807),ISNUMBER(P6807)),Coef_A+Coef_B1*O6807+Coef_B2*P6807,"")</f>
        <v>22.996434940401</v>
      </c>
      <c r="U6807" s="84" t="n">
        <f aca="false">IF(AND(R6807=1,ISNUMBER(T6807)),E6807-T6807,"")</f>
        <v>-2.89643494040095</v>
      </c>
      <c r="V6807" s="84" t="n">
        <f aca="false">IF(ISNUMBER(T6807),T6807,-99)</f>
        <v>22.996434940401</v>
      </c>
      <c r="W6807" s="84" t="n">
        <f aca="false">IF(ISNUMBER(U6807),ABS(U6807),"")</f>
        <v>2.89643494040095</v>
      </c>
    </row>
    <row r="6808" customFormat="false" ht="15" hidden="false" customHeight="false" outlineLevel="0" collapsed="false">
      <c r="A6808" s="57" t="n">
        <v>45121</v>
      </c>
      <c r="B6808" s="56" t="n">
        <v>2023</v>
      </c>
      <c r="C6808" s="56" t="n">
        <v>7</v>
      </c>
      <c r="D6808" s="56" t="n">
        <v>75</v>
      </c>
      <c r="E6808" s="56" t="n">
        <v>22.4</v>
      </c>
      <c r="F6808" s="56" t="n">
        <v>0</v>
      </c>
      <c r="G6808" s="56" t="n">
        <v>14.5</v>
      </c>
      <c r="H6808" s="56" t="n">
        <v>0</v>
      </c>
      <c r="I6808" s="56" t="n">
        <v>17.3</v>
      </c>
      <c r="J6808" s="56" t="n">
        <v>0</v>
      </c>
      <c r="K6808" s="56" t="n">
        <v>1008.1</v>
      </c>
      <c r="L6808" s="56" t="n">
        <v>0</v>
      </c>
      <c r="M6808" s="56" t="n">
        <v>88</v>
      </c>
      <c r="N6808" s="56" t="n">
        <v>0</v>
      </c>
      <c r="O6808" s="56" t="n">
        <f aca="false">IF(D6808=1,"",E6807)</f>
        <v>20.1</v>
      </c>
      <c r="P6808" s="56" t="n">
        <f aca="false">IF(OR(D6808=1,K6807=""),"",K6807)</f>
        <v>1016</v>
      </c>
      <c r="Q6808" s="56" t="n">
        <f aca="false">IF(OR(F6808&lt;&gt;0,AND(I6808&lt;&gt;"",E6808&lt;I6808)),1,0)</f>
        <v>0</v>
      </c>
      <c r="R6808" s="56" t="n">
        <f aca="false">IF(AND(D6808&gt;1,Q6808=0,ISNUMBER(O6808),ISNUMBER(P6808)),IF(Q6807=0,1,0),0)</f>
        <v>1</v>
      </c>
      <c r="S6808" s="56" t="n">
        <f aca="false">R6808*(B6808&gt;=Train_Start)*(B6808&lt;=Train_End)</f>
        <v>0</v>
      </c>
      <c r="T6808" s="84" t="n">
        <f aca="false">IF(AND(ISNUMBER(O6808),ISNUMBER(P6808)),Coef_A+Coef_B1*O6808+Coef_B2*P6808,"")</f>
        <v>20.4275061502863</v>
      </c>
      <c r="U6808" s="84" t="n">
        <f aca="false">IF(AND(R6808=1,ISNUMBER(T6808)),E6808-T6808,"")</f>
        <v>1.97249384971366</v>
      </c>
      <c r="V6808" s="84" t="n">
        <f aca="false">IF(ISNUMBER(T6808),T6808,-99)</f>
        <v>20.4275061502863</v>
      </c>
      <c r="W6808" s="84" t="n">
        <f aca="false">IF(ISNUMBER(U6808),ABS(U6808),"")</f>
        <v>1.97249384971366</v>
      </c>
    </row>
    <row r="6809" customFormat="false" ht="15" hidden="false" customHeight="false" outlineLevel="0" collapsed="false">
      <c r="A6809" s="57" t="n">
        <v>45122</v>
      </c>
      <c r="B6809" s="56" t="n">
        <v>2023</v>
      </c>
      <c r="C6809" s="56" t="n">
        <v>7</v>
      </c>
      <c r="D6809" s="56" t="n">
        <v>76</v>
      </c>
      <c r="E6809" s="56" t="n">
        <v>22.9</v>
      </c>
      <c r="F6809" s="56" t="n">
        <v>0</v>
      </c>
      <c r="G6809" s="56" t="n">
        <v>15.4</v>
      </c>
      <c r="H6809" s="56" t="n">
        <v>0</v>
      </c>
      <c r="I6809" s="56" t="n">
        <v>18.9</v>
      </c>
      <c r="J6809" s="56" t="n">
        <v>0</v>
      </c>
      <c r="K6809" s="56" t="n">
        <v>1001</v>
      </c>
      <c r="L6809" s="56" t="n">
        <v>0</v>
      </c>
      <c r="M6809" s="56" t="n">
        <v>72</v>
      </c>
      <c r="N6809" s="56" t="n">
        <v>6.8</v>
      </c>
      <c r="O6809" s="56" t="n">
        <f aca="false">IF(D6809=1,"",E6808)</f>
        <v>22.4</v>
      </c>
      <c r="P6809" s="56" t="n">
        <f aca="false">IF(OR(D6809=1,K6808=""),"",K6808)</f>
        <v>1008.1</v>
      </c>
      <c r="Q6809" s="56" t="n">
        <f aca="false">IF(OR(F6809&lt;&gt;0,AND(I6809&lt;&gt;"",E6809&lt;I6809)),1,0)</f>
        <v>0</v>
      </c>
      <c r="R6809" s="56" t="n">
        <f aca="false">IF(AND(D6809&gt;1,Q6809=0,ISNUMBER(O6809),ISNUMBER(P6809)),IF(Q6808=0,1,0),0)</f>
        <v>1</v>
      </c>
      <c r="S6809" s="56" t="n">
        <f aca="false">R6809*(B6809&gt;=Train_Start)*(B6809&lt;=Train_End)</f>
        <v>0</v>
      </c>
      <c r="T6809" s="84" t="n">
        <f aca="false">IF(AND(ISNUMBER(O6809),ISNUMBER(P6809)),Coef_A+Coef_B1*O6809+Coef_B2*P6809,"")</f>
        <v>22.0641641266759</v>
      </c>
      <c r="U6809" s="84" t="n">
        <f aca="false">IF(AND(R6809=1,ISNUMBER(T6809)),E6809-T6809,"")</f>
        <v>0.835835873324065</v>
      </c>
      <c r="V6809" s="84" t="n">
        <f aca="false">IF(ISNUMBER(T6809),T6809,-99)</f>
        <v>22.0641641266759</v>
      </c>
      <c r="W6809" s="84" t="n">
        <f aca="false">IF(ISNUMBER(U6809),ABS(U6809),"")</f>
        <v>0.835835873324065</v>
      </c>
    </row>
    <row r="6810" customFormat="false" ht="15" hidden="false" customHeight="false" outlineLevel="0" collapsed="false">
      <c r="A6810" s="57" t="n">
        <v>45123</v>
      </c>
      <c r="B6810" s="56" t="n">
        <v>2023</v>
      </c>
      <c r="C6810" s="56" t="n">
        <v>7</v>
      </c>
      <c r="D6810" s="56" t="n">
        <v>77</v>
      </c>
      <c r="E6810" s="56" t="n">
        <v>24.1</v>
      </c>
      <c r="F6810" s="56" t="n">
        <v>0</v>
      </c>
      <c r="G6810" s="56" t="n">
        <v>14.3</v>
      </c>
      <c r="H6810" s="56" t="n">
        <v>0</v>
      </c>
      <c r="I6810" s="56" t="n">
        <v>18.6</v>
      </c>
      <c r="J6810" s="56" t="n">
        <v>0</v>
      </c>
      <c r="K6810" s="56" t="n">
        <v>1009.7</v>
      </c>
      <c r="L6810" s="56" t="n">
        <v>0</v>
      </c>
      <c r="M6810" s="56" t="n">
        <v>66</v>
      </c>
      <c r="N6810" s="56" t="n">
        <v>4.7</v>
      </c>
      <c r="O6810" s="56" t="n">
        <f aca="false">IF(D6810=1,"",E6809)</f>
        <v>22.9</v>
      </c>
      <c r="P6810" s="56" t="n">
        <f aca="false">IF(OR(D6810=1,K6809=""),"",K6809)</f>
        <v>1001</v>
      </c>
      <c r="Q6810" s="56" t="n">
        <f aca="false">IF(OR(F6810&lt;&gt;0,AND(I6810&lt;&gt;"",E6810&lt;I6810)),1,0)</f>
        <v>0</v>
      </c>
      <c r="R6810" s="56" t="n">
        <f aca="false">IF(AND(D6810&gt;1,Q6810=0,ISNUMBER(O6810),ISNUMBER(P6810)),IF(Q6809=0,1,0),0)</f>
        <v>1</v>
      </c>
      <c r="S6810" s="56" t="n">
        <f aca="false">R6810*(B6810&gt;=Train_Start)*(B6810&lt;=Train_End)</f>
        <v>0</v>
      </c>
      <c r="T6810" s="84" t="n">
        <f aca="false">IF(AND(ISNUMBER(O6810),ISNUMBER(P6810)),Coef_A+Coef_B1*O6810+Coef_B2*P6810,"")</f>
        <v>22.2511074712959</v>
      </c>
      <c r="U6810" s="84" t="n">
        <f aca="false">IF(AND(R6810=1,ISNUMBER(T6810)),E6810-T6810,"")</f>
        <v>1.84889252870407</v>
      </c>
      <c r="V6810" s="84" t="n">
        <f aca="false">IF(ISNUMBER(T6810),T6810,-99)</f>
        <v>22.2511074712959</v>
      </c>
      <c r="W6810" s="84" t="n">
        <f aca="false">IF(ISNUMBER(U6810),ABS(U6810),"")</f>
        <v>1.84889252870407</v>
      </c>
    </row>
    <row r="6811" customFormat="false" ht="15" hidden="false" customHeight="false" outlineLevel="0" collapsed="false">
      <c r="A6811" s="57" t="n">
        <v>45124</v>
      </c>
      <c r="B6811" s="56" t="n">
        <v>2023</v>
      </c>
      <c r="C6811" s="56" t="n">
        <v>7</v>
      </c>
      <c r="D6811" s="56" t="n">
        <v>78</v>
      </c>
      <c r="E6811" s="56" t="n">
        <v>24.3</v>
      </c>
      <c r="F6811" s="56" t="n">
        <v>0</v>
      </c>
      <c r="G6811" s="56" t="n">
        <v>12.6</v>
      </c>
      <c r="H6811" s="56" t="n">
        <v>0</v>
      </c>
      <c r="I6811" s="56" t="n">
        <v>18.4</v>
      </c>
      <c r="J6811" s="56" t="n">
        <v>0</v>
      </c>
      <c r="K6811" s="56" t="n">
        <v>1017.7</v>
      </c>
      <c r="L6811" s="56" t="n">
        <v>0</v>
      </c>
      <c r="M6811" s="56" t="n">
        <v>65</v>
      </c>
      <c r="N6811" s="56" t="n">
        <v>10.6</v>
      </c>
      <c r="O6811" s="56" t="n">
        <f aca="false">IF(D6811=1,"",E6810)</f>
        <v>24.1</v>
      </c>
      <c r="P6811" s="56" t="n">
        <f aca="false">IF(OR(D6811=1,K6810=""),"",K6810)</f>
        <v>1009.7</v>
      </c>
      <c r="Q6811" s="56" t="n">
        <f aca="false">IF(OR(F6811&lt;&gt;0,AND(I6811&lt;&gt;"",E6811&lt;I6811)),1,0)</f>
        <v>0</v>
      </c>
      <c r="R6811" s="56" t="n">
        <f aca="false">IF(AND(D6811&gt;1,Q6811=0,ISNUMBER(O6811),ISNUMBER(P6811)),IF(Q6810=0,1,0),0)</f>
        <v>1</v>
      </c>
      <c r="S6811" s="56" t="n">
        <f aca="false">R6811*(B6811&gt;=Train_Start)*(B6811&lt;=Train_End)</f>
        <v>0</v>
      </c>
      <c r="T6811" s="84" t="n">
        <f aca="false">IF(AND(ISNUMBER(O6811),ISNUMBER(P6811)),Coef_A+Coef_B1*O6811+Coef_B2*P6811,"")</f>
        <v>23.5072325862628</v>
      </c>
      <c r="U6811" s="84" t="n">
        <f aca="false">IF(AND(R6811=1,ISNUMBER(T6811)),E6811-T6811,"")</f>
        <v>0.792767413737163</v>
      </c>
      <c r="V6811" s="84" t="n">
        <f aca="false">IF(ISNUMBER(T6811),T6811,-99)</f>
        <v>23.5072325862628</v>
      </c>
      <c r="W6811" s="84" t="n">
        <f aca="false">IF(ISNUMBER(U6811),ABS(U6811),"")</f>
        <v>0.792767413737163</v>
      </c>
    </row>
    <row r="6812" customFormat="false" ht="15" hidden="false" customHeight="false" outlineLevel="0" collapsed="false">
      <c r="A6812" s="57" t="n">
        <v>45125</v>
      </c>
      <c r="B6812" s="56" t="n">
        <v>2023</v>
      </c>
      <c r="C6812" s="56" t="n">
        <v>7</v>
      </c>
      <c r="D6812" s="56" t="n">
        <v>79</v>
      </c>
      <c r="E6812" s="56" t="n">
        <v>23.7</v>
      </c>
      <c r="F6812" s="56" t="n">
        <v>0</v>
      </c>
      <c r="G6812" s="56" t="n">
        <v>12.4</v>
      </c>
      <c r="H6812" s="56" t="n">
        <v>0</v>
      </c>
      <c r="I6812" s="56" t="n">
        <v>18.4</v>
      </c>
      <c r="J6812" s="56" t="n">
        <v>0</v>
      </c>
      <c r="K6812" s="56" t="n">
        <v>1018</v>
      </c>
      <c r="L6812" s="56" t="n">
        <v>0</v>
      </c>
      <c r="M6812" s="56" t="n">
        <v>65</v>
      </c>
      <c r="N6812" s="56" t="n">
        <v>3.4</v>
      </c>
      <c r="O6812" s="56" t="n">
        <f aca="false">IF(D6812=1,"",E6811)</f>
        <v>24.3</v>
      </c>
      <c r="P6812" s="56" t="n">
        <f aca="false">IF(OR(D6812=1,K6811=""),"",K6811)</f>
        <v>1017.7</v>
      </c>
      <c r="Q6812" s="56" t="n">
        <f aca="false">IF(OR(F6812&lt;&gt;0,AND(I6812&lt;&gt;"",E6812&lt;I6812)),1,0)</f>
        <v>0</v>
      </c>
      <c r="R6812" s="56" t="n">
        <f aca="false">IF(AND(D6812&gt;1,Q6812=0,ISNUMBER(O6812),ISNUMBER(P6812)),IF(Q6811=0,1,0),0)</f>
        <v>1</v>
      </c>
      <c r="S6812" s="56" t="n">
        <f aca="false">R6812*(B6812&gt;=Train_Start)*(B6812&lt;=Train_End)</f>
        <v>0</v>
      </c>
      <c r="T6812" s="84" t="n">
        <f aca="false">IF(AND(ISNUMBER(O6812),ISNUMBER(P6812)),Coef_A+Coef_B1*O6812+Coef_B2*P6812,"")</f>
        <v>23.9220595819433</v>
      </c>
      <c r="U6812" s="84" t="n">
        <f aca="false">IF(AND(R6812=1,ISNUMBER(T6812)),E6812-T6812,"")</f>
        <v>-0.222059581943284</v>
      </c>
      <c r="V6812" s="84" t="n">
        <f aca="false">IF(ISNUMBER(T6812),T6812,-99)</f>
        <v>23.9220595819433</v>
      </c>
      <c r="W6812" s="84" t="n">
        <f aca="false">IF(ISNUMBER(U6812),ABS(U6812),"")</f>
        <v>0.222059581943284</v>
      </c>
    </row>
    <row r="6813" customFormat="false" ht="15" hidden="false" customHeight="false" outlineLevel="0" collapsed="false">
      <c r="A6813" s="57" t="n">
        <v>45126</v>
      </c>
      <c r="B6813" s="56" t="n">
        <v>2023</v>
      </c>
      <c r="C6813" s="56" t="n">
        <v>7</v>
      </c>
      <c r="D6813" s="56" t="n">
        <v>80</v>
      </c>
      <c r="E6813" s="56" t="n">
        <v>23.6</v>
      </c>
      <c r="F6813" s="56" t="n">
        <v>0</v>
      </c>
      <c r="G6813" s="56" t="n">
        <v>15.3</v>
      </c>
      <c r="H6813" s="56" t="n">
        <v>0</v>
      </c>
      <c r="I6813" s="56" t="n">
        <v>19.5</v>
      </c>
      <c r="J6813" s="56" t="n">
        <v>0</v>
      </c>
      <c r="K6813" s="56" t="n">
        <v>1015.2</v>
      </c>
      <c r="L6813" s="56" t="n">
        <v>0</v>
      </c>
      <c r="M6813" s="56" t="n">
        <v>65</v>
      </c>
      <c r="N6813" s="56" t="n">
        <v>4.5</v>
      </c>
      <c r="O6813" s="56" t="n">
        <f aca="false">IF(D6813=1,"",E6812)</f>
        <v>23.7</v>
      </c>
      <c r="P6813" s="56" t="n">
        <f aca="false">IF(OR(D6813=1,K6812=""),"",K6812)</f>
        <v>1018</v>
      </c>
      <c r="Q6813" s="56" t="n">
        <f aca="false">IF(OR(F6813&lt;&gt;0,AND(I6813&lt;&gt;"",E6813&lt;I6813)),1,0)</f>
        <v>0</v>
      </c>
      <c r="R6813" s="56" t="n">
        <f aca="false">IF(AND(D6813&gt;1,Q6813=0,ISNUMBER(O6813),ISNUMBER(P6813)),IF(Q6812=0,1,0),0)</f>
        <v>1</v>
      </c>
      <c r="S6813" s="56" t="n">
        <f aca="false">R6813*(B6813&gt;=Train_Start)*(B6813&lt;=Train_End)</f>
        <v>0</v>
      </c>
      <c r="T6813" s="84" t="n">
        <f aca="false">IF(AND(ISNUMBER(O6813),ISNUMBER(P6813)),Coef_A+Coef_B1*O6813+Coef_B2*P6813,"")</f>
        <v>23.4398670345079</v>
      </c>
      <c r="U6813" s="84" t="n">
        <f aca="false">IF(AND(R6813=1,ISNUMBER(T6813)),E6813-T6813,"")</f>
        <v>0.160132965492117</v>
      </c>
      <c r="V6813" s="84" t="n">
        <f aca="false">IF(ISNUMBER(T6813),T6813,-99)</f>
        <v>23.4398670345079</v>
      </c>
      <c r="W6813" s="84" t="n">
        <f aca="false">IF(ISNUMBER(U6813),ABS(U6813),"")</f>
        <v>0.160132965492117</v>
      </c>
    </row>
    <row r="6814" customFormat="false" ht="15" hidden="false" customHeight="false" outlineLevel="0" collapsed="false">
      <c r="A6814" s="57" t="n">
        <v>45127</v>
      </c>
      <c r="B6814" s="56" t="n">
        <v>2023</v>
      </c>
      <c r="C6814" s="56" t="n">
        <v>7</v>
      </c>
      <c r="D6814" s="56" t="n">
        <v>81</v>
      </c>
      <c r="E6814" s="56" t="n">
        <v>22</v>
      </c>
      <c r="F6814" s="56" t="n">
        <v>0</v>
      </c>
      <c r="G6814" s="56" t="n">
        <v>12.5</v>
      </c>
      <c r="H6814" s="56" t="n">
        <v>0</v>
      </c>
      <c r="I6814" s="56" t="n">
        <v>18.1</v>
      </c>
      <c r="J6814" s="56" t="n">
        <v>0</v>
      </c>
      <c r="K6814" s="56" t="n">
        <v>1015.4</v>
      </c>
      <c r="L6814" s="56" t="n">
        <v>0</v>
      </c>
      <c r="M6814" s="56" t="n">
        <v>58</v>
      </c>
      <c r="N6814" s="56" t="n">
        <v>8.2</v>
      </c>
      <c r="O6814" s="56" t="n">
        <f aca="false">IF(D6814=1,"",E6813)</f>
        <v>23.6</v>
      </c>
      <c r="P6814" s="56" t="n">
        <f aca="false">IF(OR(D6814=1,K6813=""),"",K6813)</f>
        <v>1015.2</v>
      </c>
      <c r="Q6814" s="56" t="n">
        <f aca="false">IF(OR(F6814&lt;&gt;0,AND(I6814&lt;&gt;"",E6814&lt;I6814)),1,0)</f>
        <v>0</v>
      </c>
      <c r="R6814" s="56" t="n">
        <f aca="false">IF(AND(D6814&gt;1,Q6814=0,ISNUMBER(O6814),ISNUMBER(P6814)),IF(Q6813=0,1,0),0)</f>
        <v>1</v>
      </c>
      <c r="S6814" s="56" t="n">
        <f aca="false">R6814*(B6814&gt;=Train_Start)*(B6814&lt;=Train_End)</f>
        <v>0</v>
      </c>
      <c r="T6814" s="84" t="n">
        <f aca="false">IF(AND(ISNUMBER(O6814),ISNUMBER(P6814)),Coef_A+Coef_B1*O6814+Coef_B2*P6814,"")</f>
        <v>23.2700974102285</v>
      </c>
      <c r="U6814" s="84" t="n">
        <f aca="false">IF(AND(R6814=1,ISNUMBER(T6814)),E6814-T6814,"")</f>
        <v>-1.27009741022845</v>
      </c>
      <c r="V6814" s="84" t="n">
        <f aca="false">IF(ISNUMBER(T6814),T6814,-99)</f>
        <v>23.2700974102285</v>
      </c>
      <c r="W6814" s="84" t="n">
        <f aca="false">IF(ISNUMBER(U6814),ABS(U6814),"")</f>
        <v>1.27009741022845</v>
      </c>
    </row>
    <row r="6815" customFormat="false" ht="15" hidden="false" customHeight="false" outlineLevel="0" collapsed="false">
      <c r="A6815" s="57" t="n">
        <v>45128</v>
      </c>
      <c r="B6815" s="56" t="n">
        <v>2023</v>
      </c>
      <c r="C6815" s="56" t="n">
        <v>7</v>
      </c>
      <c r="D6815" s="56" t="n">
        <v>82</v>
      </c>
      <c r="E6815" s="56" t="n">
        <v>20</v>
      </c>
      <c r="F6815" s="56" t="n">
        <v>0</v>
      </c>
      <c r="G6815" s="56" t="n">
        <v>12.3</v>
      </c>
      <c r="H6815" s="56" t="n">
        <v>0</v>
      </c>
      <c r="I6815" s="56" t="n">
        <v>17.1</v>
      </c>
      <c r="J6815" s="56" t="n">
        <v>0</v>
      </c>
      <c r="K6815" s="56" t="n">
        <v>1014.2</v>
      </c>
      <c r="L6815" s="56" t="n">
        <v>0</v>
      </c>
      <c r="M6815" s="56" t="n">
        <v>61</v>
      </c>
      <c r="N6815" s="56" t="n">
        <v>5.8</v>
      </c>
      <c r="O6815" s="56" t="n">
        <f aca="false">IF(D6815=1,"",E6814)</f>
        <v>22</v>
      </c>
      <c r="P6815" s="56" t="n">
        <f aca="false">IF(OR(D6815=1,K6814=""),"",K6814)</f>
        <v>1015.4</v>
      </c>
      <c r="Q6815" s="56" t="n">
        <f aca="false">IF(OR(F6815&lt;&gt;0,AND(I6815&lt;&gt;"",E6815&lt;I6815)),1,0)</f>
        <v>0</v>
      </c>
      <c r="R6815" s="56" t="n">
        <f aca="false">IF(AND(D6815&gt;1,Q6815=0,ISNUMBER(O6815),ISNUMBER(P6815)),IF(Q6814=0,1,0),0)</f>
        <v>1</v>
      </c>
      <c r="S6815" s="56" t="n">
        <f aca="false">R6815*(B6815&gt;=Train_Start)*(B6815&lt;=Train_End)</f>
        <v>0</v>
      </c>
      <c r="T6815" s="84" t="n">
        <f aca="false">IF(AND(ISNUMBER(O6815),ISNUMBER(P6815)),Coef_A+Coef_B1*O6815+Coef_B2*P6815,"")</f>
        <v>21.965428680287</v>
      </c>
      <c r="U6815" s="84" t="n">
        <f aca="false">IF(AND(R6815=1,ISNUMBER(T6815)),E6815-T6815,"")</f>
        <v>-1.96542868028699</v>
      </c>
      <c r="V6815" s="84" t="n">
        <f aca="false">IF(ISNUMBER(T6815),T6815,-99)</f>
        <v>21.965428680287</v>
      </c>
      <c r="W6815" s="84" t="n">
        <f aca="false">IF(ISNUMBER(U6815),ABS(U6815),"")</f>
        <v>1.96542868028699</v>
      </c>
    </row>
    <row r="6816" customFormat="false" ht="15" hidden="false" customHeight="false" outlineLevel="0" collapsed="false">
      <c r="A6816" s="57" t="n">
        <v>45129</v>
      </c>
      <c r="B6816" s="56" t="n">
        <v>2023</v>
      </c>
      <c r="C6816" s="56" t="n">
        <v>7</v>
      </c>
      <c r="D6816" s="56" t="n">
        <v>83</v>
      </c>
      <c r="E6816" s="56" t="n">
        <v>24.3</v>
      </c>
      <c r="F6816" s="56" t="n">
        <v>0</v>
      </c>
      <c r="G6816" s="56" t="n">
        <v>13.5</v>
      </c>
      <c r="H6816" s="56" t="n">
        <v>0</v>
      </c>
      <c r="I6816" s="56" t="n">
        <v>16.8</v>
      </c>
      <c r="J6816" s="56" t="n">
        <v>0</v>
      </c>
      <c r="K6816" s="56" t="n">
        <v>1010.4</v>
      </c>
      <c r="L6816" s="56" t="n">
        <v>0</v>
      </c>
      <c r="M6816" s="56" t="n">
        <v>83</v>
      </c>
      <c r="N6816" s="56" t="n">
        <v>0</v>
      </c>
      <c r="O6816" s="56" t="n">
        <f aca="false">IF(D6816=1,"",E6815)</f>
        <v>20</v>
      </c>
      <c r="P6816" s="56" t="n">
        <f aca="false">IF(OR(D6816=1,K6815=""),"",K6815)</f>
        <v>1014.2</v>
      </c>
      <c r="Q6816" s="56" t="n">
        <f aca="false">IF(OR(F6816&lt;&gt;0,AND(I6816&lt;&gt;"",E6816&lt;I6816)),1,0)</f>
        <v>0</v>
      </c>
      <c r="R6816" s="56" t="n">
        <f aca="false">IF(AND(D6816&gt;1,Q6816=0,ISNUMBER(O6816),ISNUMBER(P6816)),IF(Q6815=0,1,0),0)</f>
        <v>1</v>
      </c>
      <c r="S6816" s="56" t="n">
        <f aca="false">R6816*(B6816&gt;=Train_Start)*(B6816&lt;=Train_End)</f>
        <v>0</v>
      </c>
      <c r="T6816" s="84" t="n">
        <f aca="false">IF(AND(ISNUMBER(O6816),ISNUMBER(P6816)),Coef_A+Coef_B1*O6816+Coef_B2*P6816,"")</f>
        <v>20.2891064206409</v>
      </c>
      <c r="U6816" s="84" t="n">
        <f aca="false">IF(AND(R6816=1,ISNUMBER(T6816)),E6816-T6816,"")</f>
        <v>4.01089357935911</v>
      </c>
      <c r="V6816" s="84" t="n">
        <f aca="false">IF(ISNUMBER(T6816),T6816,-99)</f>
        <v>20.2891064206409</v>
      </c>
      <c r="W6816" s="84" t="n">
        <f aca="false">IF(ISNUMBER(U6816),ABS(U6816),"")</f>
        <v>4.01089357935911</v>
      </c>
    </row>
    <row r="6817" customFormat="false" ht="15" hidden="false" customHeight="false" outlineLevel="0" collapsed="false">
      <c r="A6817" s="57" t="n">
        <v>45130</v>
      </c>
      <c r="B6817" s="56" t="n">
        <v>2023</v>
      </c>
      <c r="C6817" s="56" t="n">
        <v>7</v>
      </c>
      <c r="D6817" s="56" t="n">
        <v>84</v>
      </c>
      <c r="E6817" s="56" t="n">
        <v>17.7</v>
      </c>
      <c r="F6817" s="56" t="n">
        <v>1</v>
      </c>
      <c r="G6817" s="56" t="n">
        <v>15</v>
      </c>
      <c r="H6817" s="56" t="n">
        <v>0</v>
      </c>
      <c r="I6817" s="56" t="n">
        <v>19.6</v>
      </c>
      <c r="J6817" s="56" t="n">
        <v>1</v>
      </c>
      <c r="K6817" s="56" t="n">
        <v>1003.2</v>
      </c>
      <c r="L6817" s="56" t="n">
        <v>0</v>
      </c>
      <c r="M6817" s="56" t="n">
        <v>75</v>
      </c>
      <c r="N6817" s="56" t="n">
        <v>7.8</v>
      </c>
      <c r="O6817" s="56" t="n">
        <f aca="false">IF(D6817=1,"",E6816)</f>
        <v>24.3</v>
      </c>
      <c r="P6817" s="56" t="n">
        <f aca="false">IF(OR(D6817=1,K6816=""),"",K6816)</f>
        <v>1010.4</v>
      </c>
      <c r="Q6817" s="56" t="n">
        <f aca="false">IF(OR(F6817&lt;&gt;0,AND(I6817&lt;&gt;"",E6817&lt;I6817)),1,0)</f>
        <v>1</v>
      </c>
      <c r="R6817" s="56" t="n">
        <f aca="false">IF(AND(D6817&gt;1,Q6817=0,ISNUMBER(O6817),ISNUMBER(P6817)),IF(Q6816=0,1,0),0)</f>
        <v>0</v>
      </c>
      <c r="S6817" s="56" t="n">
        <f aca="false">R6817*(B6817&gt;=Train_Start)*(B6817&lt;=Train_End)</f>
        <v>0</v>
      </c>
      <c r="T6817" s="84" t="n">
        <f aca="false">IF(AND(ISNUMBER(O6817),ISNUMBER(P6817)),Coef_A+Coef_B1*O6817+Coef_B2*P6817,"")</f>
        <v>23.6930593511152</v>
      </c>
      <c r="U6817" s="84" t="str">
        <f aca="false">IF(AND(R6817=1,ISNUMBER(T6817)),E6817-T6817,"")</f>
        <v/>
      </c>
      <c r="V6817" s="84" t="n">
        <f aca="false">IF(ISNUMBER(T6817),T6817,-99)</f>
        <v>23.6930593511152</v>
      </c>
      <c r="W6817" s="84" t="str">
        <f aca="false">IF(ISNUMBER(U6817),ABS(U6817),"")</f>
        <v/>
      </c>
    </row>
    <row r="6818" customFormat="false" ht="15" hidden="false" customHeight="false" outlineLevel="0" collapsed="false">
      <c r="A6818" s="57" t="n">
        <v>45131</v>
      </c>
      <c r="B6818" s="56" t="n">
        <v>2023</v>
      </c>
      <c r="C6818" s="56" t="n">
        <v>7</v>
      </c>
      <c r="D6818" s="56" t="n">
        <v>85</v>
      </c>
      <c r="E6818" s="56" t="n">
        <v>21.9</v>
      </c>
      <c r="F6818" s="56" t="n">
        <v>0</v>
      </c>
      <c r="G6818" s="56" t="n">
        <v>14.7</v>
      </c>
      <c r="H6818" s="56" t="n">
        <v>0</v>
      </c>
      <c r="I6818" s="56" t="n">
        <v>16.2</v>
      </c>
      <c r="J6818" s="56" t="n">
        <v>0</v>
      </c>
      <c r="K6818" s="56" t="n">
        <v>1005.8</v>
      </c>
      <c r="L6818" s="56" t="n">
        <v>0</v>
      </c>
      <c r="M6818" s="56" t="n">
        <v>81</v>
      </c>
      <c r="N6818" s="56" t="n">
        <v>0</v>
      </c>
      <c r="O6818" s="56" t="n">
        <f aca="false">IF(D6818=1,"",E6817)</f>
        <v>17.7</v>
      </c>
      <c r="P6818" s="56" t="n">
        <f aca="false">IF(OR(D6818=1,K6817=""),"",K6817)</f>
        <v>1003.2</v>
      </c>
      <c r="Q6818" s="56" t="n">
        <f aca="false">IF(OR(F6818&lt;&gt;0,AND(I6818&lt;&gt;"",E6818&lt;I6818)),1,0)</f>
        <v>0</v>
      </c>
      <c r="R6818" s="56" t="n">
        <f aca="false">IF(AND(D6818&gt;1,Q6818=0,ISNUMBER(O6818),ISNUMBER(P6818)),IF(Q6817=0,1,0),0)</f>
        <v>0</v>
      </c>
      <c r="S6818" s="56" t="n">
        <f aca="false">R6818*(B6818&gt;=Train_Start)*(B6818&lt;=Train_End)</f>
        <v>0</v>
      </c>
      <c r="T6818" s="84" t="n">
        <f aca="false">IF(AND(ISNUMBER(O6818),ISNUMBER(P6818)),Coef_A+Coef_B1*O6818+Coef_B2*P6818,"")</f>
        <v>18.0595574356689</v>
      </c>
      <c r="U6818" s="84" t="str">
        <f aca="false">IF(AND(R6818=1,ISNUMBER(T6818)),E6818-T6818,"")</f>
        <v/>
      </c>
      <c r="V6818" s="84" t="n">
        <f aca="false">IF(ISNUMBER(T6818),T6818,-99)</f>
        <v>18.0595574356689</v>
      </c>
      <c r="W6818" s="84" t="str">
        <f aca="false">IF(ISNUMBER(U6818),ABS(U6818),"")</f>
        <v/>
      </c>
    </row>
    <row r="6819" customFormat="false" ht="15" hidden="false" customHeight="false" outlineLevel="0" collapsed="false">
      <c r="A6819" s="57" t="n">
        <v>45132</v>
      </c>
      <c r="B6819" s="56" t="n">
        <v>2023</v>
      </c>
      <c r="C6819" s="56" t="n">
        <v>7</v>
      </c>
      <c r="D6819" s="56" t="n">
        <v>86</v>
      </c>
      <c r="E6819" s="56" t="n">
        <v>23.7</v>
      </c>
      <c r="F6819" s="56" t="n">
        <v>0</v>
      </c>
      <c r="G6819" s="56" t="n">
        <v>12.6</v>
      </c>
      <c r="H6819" s="56" t="n">
        <v>0</v>
      </c>
      <c r="I6819" s="56" t="n">
        <v>17.2</v>
      </c>
      <c r="J6819" s="56" t="n">
        <v>0</v>
      </c>
      <c r="K6819" s="56" t="n">
        <v>1010.8</v>
      </c>
      <c r="L6819" s="56" t="n">
        <v>0</v>
      </c>
      <c r="M6819" s="56" t="n">
        <v>64</v>
      </c>
      <c r="N6819" s="56" t="n">
        <v>7.5</v>
      </c>
      <c r="O6819" s="56" t="n">
        <f aca="false">IF(D6819=1,"",E6818)</f>
        <v>21.9</v>
      </c>
      <c r="P6819" s="56" t="n">
        <f aca="false">IF(OR(D6819=1,K6818=""),"",K6818)</f>
        <v>1005.8</v>
      </c>
      <c r="Q6819" s="56" t="n">
        <f aca="false">IF(OR(F6819&lt;&gt;0,AND(I6819&lt;&gt;"",E6819&lt;I6819)),1,0)</f>
        <v>0</v>
      </c>
      <c r="R6819" s="56" t="n">
        <f aca="false">IF(AND(D6819&gt;1,Q6819=0,ISNUMBER(O6819),ISNUMBER(P6819)),IF(Q6818=0,1,0),0)</f>
        <v>1</v>
      </c>
      <c r="S6819" s="56" t="n">
        <f aca="false">R6819*(B6819&gt;=Train_Start)*(B6819&lt;=Train_End)</f>
        <v>0</v>
      </c>
      <c r="T6819" s="84" t="n">
        <f aca="false">IF(AND(ISNUMBER(O6819),ISNUMBER(P6819)),Coef_A+Coef_B1*O6819+Coef_B2*P6819,"")</f>
        <v>21.5823437724964</v>
      </c>
      <c r="U6819" s="84" t="n">
        <f aca="false">IF(AND(R6819=1,ISNUMBER(T6819)),E6819-T6819,"")</f>
        <v>2.11765622750357</v>
      </c>
      <c r="V6819" s="84" t="n">
        <f aca="false">IF(ISNUMBER(T6819),T6819,-99)</f>
        <v>21.5823437724964</v>
      </c>
      <c r="W6819" s="84" t="n">
        <f aca="false">IF(ISNUMBER(U6819),ABS(U6819),"")</f>
        <v>2.11765622750357</v>
      </c>
    </row>
    <row r="6820" customFormat="false" ht="15" hidden="false" customHeight="false" outlineLevel="0" collapsed="false">
      <c r="A6820" s="57" t="n">
        <v>45133</v>
      </c>
      <c r="B6820" s="56" t="n">
        <v>2023</v>
      </c>
      <c r="C6820" s="56" t="n">
        <v>7</v>
      </c>
      <c r="D6820" s="56" t="n">
        <v>87</v>
      </c>
      <c r="E6820" s="56" t="n">
        <v>22.9</v>
      </c>
      <c r="F6820" s="56" t="n">
        <v>0</v>
      </c>
      <c r="G6820" s="56" t="n">
        <v>11.1</v>
      </c>
      <c r="H6820" s="56" t="n">
        <v>0</v>
      </c>
      <c r="I6820" s="56" t="n">
        <v>17.4</v>
      </c>
      <c r="J6820" s="56" t="n">
        <v>0</v>
      </c>
      <c r="K6820" s="56" t="n">
        <v>1011.8</v>
      </c>
      <c r="L6820" s="56" t="n">
        <v>0</v>
      </c>
      <c r="M6820" s="56" t="n">
        <v>72</v>
      </c>
      <c r="N6820" s="56" t="n">
        <v>7.6</v>
      </c>
      <c r="O6820" s="56" t="n">
        <f aca="false">IF(D6820=1,"",E6819)</f>
        <v>23.7</v>
      </c>
      <c r="P6820" s="56" t="n">
        <f aca="false">IF(OR(D6820=1,K6819=""),"",K6819)</f>
        <v>1010.8</v>
      </c>
      <c r="Q6820" s="56" t="n">
        <f aca="false">IF(OR(F6820&lt;&gt;0,AND(I6820&lt;&gt;"",E6820&lt;I6820)),1,0)</f>
        <v>0</v>
      </c>
      <c r="R6820" s="56" t="n">
        <f aca="false">IF(AND(D6820&gt;1,Q6820=0,ISNUMBER(O6820),ISNUMBER(P6820)),IF(Q6819=0,1,0),0)</f>
        <v>1</v>
      </c>
      <c r="S6820" s="56" t="n">
        <f aca="false">R6820*(B6820&gt;=Train_Start)*(B6820&lt;=Train_End)</f>
        <v>0</v>
      </c>
      <c r="T6820" s="84" t="n">
        <f aca="false">IF(AND(ISNUMBER(O6820),ISNUMBER(P6820)),Coef_A+Coef_B1*O6820+Coef_B2*P6820,"")</f>
        <v>23.2140037931432</v>
      </c>
      <c r="U6820" s="84" t="n">
        <f aca="false">IF(AND(R6820=1,ISNUMBER(T6820)),E6820-T6820,"")</f>
        <v>-0.314003793143158</v>
      </c>
      <c r="V6820" s="84" t="n">
        <f aca="false">IF(ISNUMBER(T6820),T6820,-99)</f>
        <v>23.2140037931432</v>
      </c>
      <c r="W6820" s="84" t="n">
        <f aca="false">IF(ISNUMBER(U6820),ABS(U6820),"")</f>
        <v>0.314003793143158</v>
      </c>
    </row>
    <row r="6821" customFormat="false" ht="15" hidden="false" customHeight="false" outlineLevel="0" collapsed="false">
      <c r="A6821" s="57" t="n">
        <v>45134</v>
      </c>
      <c r="B6821" s="56" t="n">
        <v>2023</v>
      </c>
      <c r="C6821" s="56" t="n">
        <v>7</v>
      </c>
      <c r="D6821" s="56" t="n">
        <v>88</v>
      </c>
      <c r="E6821" s="56" t="n">
        <v>23.9</v>
      </c>
      <c r="F6821" s="56" t="n">
        <v>0</v>
      </c>
      <c r="G6821" s="56" t="n">
        <v>15.1</v>
      </c>
      <c r="H6821" s="56" t="n">
        <v>0</v>
      </c>
      <c r="I6821" s="56" t="n">
        <v>19</v>
      </c>
      <c r="J6821" s="56" t="n">
        <v>0</v>
      </c>
      <c r="K6821" s="56" t="n">
        <v>1003.5</v>
      </c>
      <c r="L6821" s="56" t="n">
        <v>0</v>
      </c>
      <c r="M6821" s="56" t="n">
        <v>84</v>
      </c>
      <c r="N6821" s="56" t="n">
        <v>0.5</v>
      </c>
      <c r="O6821" s="56" t="n">
        <f aca="false">IF(D6821=1,"",E6820)</f>
        <v>22.9</v>
      </c>
      <c r="P6821" s="56" t="n">
        <f aca="false">IF(OR(D6821=1,K6820=""),"",K6820)</f>
        <v>1011.8</v>
      </c>
      <c r="Q6821" s="56" t="n">
        <f aca="false">IF(OR(F6821&lt;&gt;0,AND(I6821&lt;&gt;"",E6821&lt;I6821)),1,0)</f>
        <v>0</v>
      </c>
      <c r="R6821" s="56" t="n">
        <f aca="false">IF(AND(D6821&gt;1,Q6821=0,ISNUMBER(O6821),ISNUMBER(P6821)),IF(Q6820=0,1,0),0)</f>
        <v>1</v>
      </c>
      <c r="S6821" s="56" t="n">
        <f aca="false">R6821*(B6821&gt;=Train_Start)*(B6821&lt;=Train_End)</f>
        <v>0</v>
      </c>
      <c r="T6821" s="84" t="n">
        <f aca="false">IF(AND(ISNUMBER(O6821),ISNUMBER(P6821)),Coef_A+Coef_B1*O6821+Coef_B2*P6821,"")</f>
        <v>22.589902333343</v>
      </c>
      <c r="U6821" s="84" t="n">
        <f aca="false">IF(AND(R6821=1,ISNUMBER(T6821)),E6821-T6821,"")</f>
        <v>1.31009766665698</v>
      </c>
      <c r="V6821" s="84" t="n">
        <f aca="false">IF(ISNUMBER(T6821),T6821,-99)</f>
        <v>22.589902333343</v>
      </c>
      <c r="W6821" s="84" t="n">
        <f aca="false">IF(ISNUMBER(U6821),ABS(U6821),"")</f>
        <v>1.31009766665698</v>
      </c>
    </row>
    <row r="6822" customFormat="false" ht="15" hidden="false" customHeight="false" outlineLevel="0" collapsed="false">
      <c r="A6822" s="57" t="n">
        <v>45135</v>
      </c>
      <c r="B6822" s="56" t="n">
        <v>2023</v>
      </c>
      <c r="C6822" s="56" t="n">
        <v>7</v>
      </c>
      <c r="D6822" s="56" t="n">
        <v>89</v>
      </c>
      <c r="E6822" s="56" t="n">
        <v>25</v>
      </c>
      <c r="F6822" s="56" t="n">
        <v>0</v>
      </c>
      <c r="G6822" s="56" t="n">
        <v>17</v>
      </c>
      <c r="H6822" s="56" t="n">
        <v>0</v>
      </c>
      <c r="I6822" s="56" t="n">
        <v>20.4</v>
      </c>
      <c r="J6822" s="56" t="n">
        <v>0</v>
      </c>
      <c r="K6822" s="56" t="n">
        <v>1006</v>
      </c>
      <c r="L6822" s="56" t="n">
        <v>0</v>
      </c>
      <c r="M6822" s="56" t="n">
        <v>75</v>
      </c>
      <c r="N6822" s="56" t="n">
        <v>1.8</v>
      </c>
      <c r="O6822" s="56" t="n">
        <f aca="false">IF(D6822=1,"",E6821)</f>
        <v>23.9</v>
      </c>
      <c r="P6822" s="56" t="n">
        <f aca="false">IF(OR(D6822=1,K6821=""),"",K6821)</f>
        <v>1003.5</v>
      </c>
      <c r="Q6822" s="56" t="n">
        <f aca="false">IF(OR(F6822&lt;&gt;0,AND(I6822&lt;&gt;"",E6822&lt;I6822)),1,0)</f>
        <v>0</v>
      </c>
      <c r="R6822" s="56" t="n">
        <f aca="false">IF(AND(D6822&gt;1,Q6822=0,ISNUMBER(O6822),ISNUMBER(P6822)),IF(Q6821=0,1,0),0)</f>
        <v>1</v>
      </c>
      <c r="S6822" s="56" t="n">
        <f aca="false">R6822*(B6822&gt;=Train_Start)*(B6822&lt;=Train_End)</f>
        <v>0</v>
      </c>
      <c r="T6822" s="84" t="n">
        <f aca="false">IF(AND(ISNUMBER(O6822),ISNUMBER(P6822)),Coef_A+Coef_B1*O6822+Coef_B2*P6822,"")</f>
        <v>23.1488714009236</v>
      </c>
      <c r="U6822" s="84" t="n">
        <f aca="false">IF(AND(R6822=1,ISNUMBER(T6822)),E6822-T6822,"")</f>
        <v>1.85112859907643</v>
      </c>
      <c r="V6822" s="84" t="n">
        <f aca="false">IF(ISNUMBER(T6822),T6822,-99)</f>
        <v>23.1488714009236</v>
      </c>
      <c r="W6822" s="84" t="n">
        <f aca="false">IF(ISNUMBER(U6822),ABS(U6822),"")</f>
        <v>1.85112859907643</v>
      </c>
    </row>
    <row r="6823" customFormat="false" ht="15" hidden="false" customHeight="false" outlineLevel="0" collapsed="false">
      <c r="A6823" s="57" t="n">
        <v>45136</v>
      </c>
      <c r="B6823" s="56" t="n">
        <v>2023</v>
      </c>
      <c r="C6823" s="56" t="n">
        <v>7</v>
      </c>
      <c r="D6823" s="56" t="n">
        <v>90</v>
      </c>
      <c r="E6823" s="56" t="n">
        <v>21.1</v>
      </c>
      <c r="F6823" s="56" t="n">
        <v>0</v>
      </c>
      <c r="G6823" s="56" t="n">
        <v>15.9</v>
      </c>
      <c r="H6823" s="56" t="n">
        <v>0</v>
      </c>
      <c r="I6823" s="56" t="n">
        <v>20.4</v>
      </c>
      <c r="J6823" s="56" t="n">
        <v>0</v>
      </c>
      <c r="K6823" s="56" t="n">
        <v>1006.5</v>
      </c>
      <c r="L6823" s="56" t="n">
        <v>0</v>
      </c>
      <c r="M6823" s="56" t="n">
        <v>66</v>
      </c>
      <c r="N6823" s="56" t="n">
        <v>5.6</v>
      </c>
      <c r="O6823" s="56" t="n">
        <f aca="false">IF(D6823=1,"",E6822)</f>
        <v>25</v>
      </c>
      <c r="P6823" s="56" t="n">
        <f aca="false">IF(OR(D6823=1,K6822=""),"",K6822)</f>
        <v>1006</v>
      </c>
      <c r="Q6823" s="56" t="n">
        <f aca="false">IF(OR(F6823&lt;&gt;0,AND(I6823&lt;&gt;"",E6823&lt;I6823)),1,0)</f>
        <v>0</v>
      </c>
      <c r="R6823" s="56" t="n">
        <f aca="false">IF(AND(D6823&gt;1,Q6823=0,ISNUMBER(O6823),ISNUMBER(P6823)),IF(Q6822=0,1,0),0)</f>
        <v>1</v>
      </c>
      <c r="S6823" s="56" t="n">
        <f aca="false">R6823*(B6823&gt;=Train_Start)*(B6823&lt;=Train_End)</f>
        <v>0</v>
      </c>
      <c r="T6823" s="84" t="n">
        <f aca="false">IF(AND(ISNUMBER(O6823),ISNUMBER(P6823)),Coef_A+Coef_B1*O6823+Coef_B2*P6823,"")</f>
        <v>24.1285692498555</v>
      </c>
      <c r="U6823" s="84" t="n">
        <f aca="false">IF(AND(R6823=1,ISNUMBER(T6823)),E6823-T6823,"")</f>
        <v>-3.02856924985547</v>
      </c>
      <c r="V6823" s="84" t="n">
        <f aca="false">IF(ISNUMBER(T6823),T6823,-99)</f>
        <v>24.1285692498555</v>
      </c>
      <c r="W6823" s="84" t="n">
        <f aca="false">IF(ISNUMBER(U6823),ABS(U6823),"")</f>
        <v>3.02856924985547</v>
      </c>
    </row>
    <row r="6824" customFormat="false" ht="15" hidden="false" customHeight="false" outlineLevel="0" collapsed="false">
      <c r="A6824" s="57" t="n">
        <v>45137</v>
      </c>
      <c r="B6824" s="56" t="n">
        <v>2023</v>
      </c>
      <c r="C6824" s="56" t="n">
        <v>7</v>
      </c>
      <c r="D6824" s="56" t="n">
        <v>91</v>
      </c>
      <c r="E6824" s="56" t="n">
        <v>20.3</v>
      </c>
      <c r="F6824" s="56" t="n">
        <v>0</v>
      </c>
      <c r="G6824" s="56" t="n">
        <v>14.5</v>
      </c>
      <c r="H6824" s="56" t="n">
        <v>0</v>
      </c>
      <c r="I6824" s="56" t="n">
        <v>17.8</v>
      </c>
      <c r="J6824" s="56" t="n">
        <v>0</v>
      </c>
      <c r="K6824" s="56" t="n">
        <v>1010.7</v>
      </c>
      <c r="L6824" s="56" t="n">
        <v>0</v>
      </c>
      <c r="M6824" s="56" t="n">
        <v>79</v>
      </c>
      <c r="N6824" s="56" t="n">
        <v>2.8</v>
      </c>
      <c r="O6824" s="56" t="n">
        <f aca="false">IF(D6824=1,"",E6823)</f>
        <v>21.1</v>
      </c>
      <c r="P6824" s="56" t="n">
        <f aca="false">IF(OR(D6824=1,K6823=""),"",K6823)</f>
        <v>1006.5</v>
      </c>
      <c r="Q6824" s="56" t="n">
        <f aca="false">IF(OR(F6824&lt;&gt;0,AND(I6824&lt;&gt;"",E6824&lt;I6824)),1,0)</f>
        <v>0</v>
      </c>
      <c r="R6824" s="56" t="n">
        <f aca="false">IF(AND(D6824&gt;1,Q6824=0,ISNUMBER(O6824),ISNUMBER(P6824)),IF(Q6823=0,1,0),0)</f>
        <v>1</v>
      </c>
      <c r="S6824" s="56" t="n">
        <f aca="false">R6824*(B6824&gt;=Train_Start)*(B6824&lt;=Train_End)</f>
        <v>0</v>
      </c>
      <c r="T6824" s="84" t="n">
        <f aca="false">IF(AND(ISNUMBER(O6824),ISNUMBER(P6824)),Coef_A+Coef_B1*O6824+Coef_B2*P6824,"")</f>
        <v>20.9488313443061</v>
      </c>
      <c r="U6824" s="84" t="n">
        <f aca="false">IF(AND(R6824=1,ISNUMBER(T6824)),E6824-T6824,"")</f>
        <v>-0.648831344306096</v>
      </c>
      <c r="V6824" s="84" t="n">
        <f aca="false">IF(ISNUMBER(T6824),T6824,-99)</f>
        <v>20.9488313443061</v>
      </c>
      <c r="W6824" s="84" t="n">
        <f aca="false">IF(ISNUMBER(U6824),ABS(U6824),"")</f>
        <v>0.648831344306096</v>
      </c>
    </row>
    <row r="6825" customFormat="false" ht="15" hidden="false" customHeight="false" outlineLevel="0" collapsed="false">
      <c r="A6825" s="57" t="n">
        <v>45138</v>
      </c>
      <c r="B6825" s="56" t="n">
        <v>2023</v>
      </c>
      <c r="C6825" s="56" t="n">
        <v>7</v>
      </c>
      <c r="D6825" s="56" t="n">
        <v>92</v>
      </c>
      <c r="E6825" s="56" t="n">
        <v>24.5</v>
      </c>
      <c r="F6825" s="56" t="n">
        <v>0</v>
      </c>
      <c r="G6825" s="56" t="n">
        <v>16.5</v>
      </c>
      <c r="H6825" s="56" t="n">
        <v>0</v>
      </c>
      <c r="I6825" s="56" t="n">
        <v>18.4</v>
      </c>
      <c r="J6825" s="56" t="n">
        <v>0</v>
      </c>
      <c r="K6825" s="56" t="n">
        <v>1004.5</v>
      </c>
      <c r="L6825" s="56" t="n">
        <v>0</v>
      </c>
      <c r="M6825" s="56" t="n">
        <v>83</v>
      </c>
      <c r="N6825" s="56" t="n">
        <v>2.6</v>
      </c>
      <c r="O6825" s="56" t="n">
        <f aca="false">IF(D6825=1,"",E6824)</f>
        <v>20.3</v>
      </c>
      <c r="P6825" s="56" t="n">
        <f aca="false">IF(OR(D6825=1,K6824=""),"",K6824)</f>
        <v>1010.7</v>
      </c>
      <c r="Q6825" s="56" t="n">
        <f aca="false">IF(OR(F6825&lt;&gt;0,AND(I6825&lt;&gt;"",E6825&lt;I6825)),1,0)</f>
        <v>0</v>
      </c>
      <c r="R6825" s="56" t="n">
        <f aca="false">IF(AND(D6825&gt;1,Q6825=0,ISNUMBER(O6825),ISNUMBER(P6825)),IF(Q6824=0,1,0),0)</f>
        <v>1</v>
      </c>
      <c r="S6825" s="56" t="n">
        <f aca="false">R6825*(B6825&gt;=Train_Start)*(B6825&lt;=Train_End)</f>
        <v>0</v>
      </c>
      <c r="T6825" s="84" t="n">
        <f aca="false">IF(AND(ISNUMBER(O6825),ISNUMBER(P6825)),Coef_A+Coef_B1*O6825+Coef_B2*P6825,"")</f>
        <v>20.4251135473347</v>
      </c>
      <c r="U6825" s="84" t="n">
        <f aca="false">IF(AND(R6825=1,ISNUMBER(T6825)),E6825-T6825,"")</f>
        <v>4.07488645266528</v>
      </c>
      <c r="V6825" s="84" t="n">
        <f aca="false">IF(ISNUMBER(T6825),T6825,-99)</f>
        <v>20.4251135473347</v>
      </c>
      <c r="W6825" s="84" t="n">
        <f aca="false">IF(ISNUMBER(U6825),ABS(U6825),"")</f>
        <v>4.07488645266528</v>
      </c>
    </row>
    <row r="6826" customFormat="false" ht="15" hidden="false" customHeight="false" outlineLevel="0" collapsed="false">
      <c r="A6826" s="57" t="n">
        <v>45139</v>
      </c>
      <c r="B6826" s="56" t="n">
        <v>2023</v>
      </c>
      <c r="C6826" s="56" t="n">
        <v>8</v>
      </c>
      <c r="D6826" s="56" t="n">
        <v>93</v>
      </c>
      <c r="E6826" s="56" t="n">
        <v>21.2</v>
      </c>
      <c r="F6826" s="56" t="n">
        <v>0</v>
      </c>
      <c r="G6826" s="56" t="n">
        <v>13.9</v>
      </c>
      <c r="H6826" s="56" t="n">
        <v>0</v>
      </c>
      <c r="I6826" s="56" t="n">
        <v>19.2</v>
      </c>
      <c r="J6826" s="56" t="n">
        <v>0</v>
      </c>
      <c r="K6826" s="56" t="n">
        <v>1001.3</v>
      </c>
      <c r="L6826" s="56" t="n">
        <v>0</v>
      </c>
      <c r="M6826" s="56" t="n">
        <v>73</v>
      </c>
      <c r="N6826" s="56" t="n">
        <v>5.5</v>
      </c>
      <c r="O6826" s="56" t="n">
        <f aca="false">IF(D6826=1,"",E6825)</f>
        <v>24.5</v>
      </c>
      <c r="P6826" s="56" t="n">
        <f aca="false">IF(OR(D6826=1,K6825=""),"",K6825)</f>
        <v>1004.5</v>
      </c>
      <c r="Q6826" s="56" t="n">
        <f aca="false">IF(OR(F6826&lt;&gt;0,AND(I6826&lt;&gt;"",E6826&lt;I6826)),1,0)</f>
        <v>0</v>
      </c>
      <c r="R6826" s="56" t="n">
        <f aca="false">IF(AND(D6826&gt;1,Q6826=0,ISNUMBER(O6826),ISNUMBER(P6826)),IF(Q6825=0,1,0),0)</f>
        <v>1</v>
      </c>
      <c r="S6826" s="56" t="n">
        <f aca="false">R6826*(B6826&gt;=Train_Start)*(B6826&lt;=Train_End)</f>
        <v>0</v>
      </c>
      <c r="T6826" s="84" t="n">
        <f aca="false">IF(AND(ISNUMBER(O6826),ISNUMBER(P6826)),Coef_A+Coef_B1*O6826+Coef_B2*P6826,"")</f>
        <v>23.6718448113832</v>
      </c>
      <c r="U6826" s="84" t="n">
        <f aca="false">IF(AND(R6826=1,ISNUMBER(T6826)),E6826-T6826,"")</f>
        <v>-2.47184481138315</v>
      </c>
      <c r="V6826" s="84" t="n">
        <f aca="false">IF(ISNUMBER(T6826),T6826,-99)</f>
        <v>23.6718448113832</v>
      </c>
      <c r="W6826" s="84" t="n">
        <f aca="false">IF(ISNUMBER(U6826),ABS(U6826),"")</f>
        <v>2.47184481138315</v>
      </c>
    </row>
    <row r="6827" customFormat="false" ht="15" hidden="false" customHeight="false" outlineLevel="0" collapsed="false">
      <c r="A6827" s="57" t="n">
        <v>45140</v>
      </c>
      <c r="B6827" s="56" t="n">
        <v>2023</v>
      </c>
      <c r="C6827" s="56" t="n">
        <v>8</v>
      </c>
      <c r="D6827" s="56" t="n">
        <v>94</v>
      </c>
      <c r="E6827" s="56" t="n">
        <v>22.2</v>
      </c>
      <c r="F6827" s="56" t="n">
        <v>0</v>
      </c>
      <c r="G6827" s="56" t="n">
        <v>15</v>
      </c>
      <c r="H6827" s="56" t="n">
        <v>0</v>
      </c>
      <c r="I6827" s="56" t="n">
        <v>18.1</v>
      </c>
      <c r="J6827" s="56" t="n">
        <v>0</v>
      </c>
      <c r="K6827" s="56" t="n">
        <v>988.6</v>
      </c>
      <c r="L6827" s="56" t="n">
        <v>0</v>
      </c>
      <c r="M6827" s="56" t="n">
        <v>89</v>
      </c>
      <c r="N6827" s="56" t="n">
        <v>2.8</v>
      </c>
      <c r="O6827" s="56" t="n">
        <f aca="false">IF(D6827=1,"",E6826)</f>
        <v>21.2</v>
      </c>
      <c r="P6827" s="56" t="n">
        <f aca="false">IF(OR(D6827=1,K6826=""),"",K6826)</f>
        <v>1001.3</v>
      </c>
      <c r="Q6827" s="56" t="n">
        <f aca="false">IF(OR(F6827&lt;&gt;0,AND(I6827&lt;&gt;"",E6827&lt;I6827)),1,0)</f>
        <v>0</v>
      </c>
      <c r="R6827" s="56" t="n">
        <f aca="false">IF(AND(D6827&gt;1,Q6827=0,ISNUMBER(O6827),ISNUMBER(P6827)),IF(Q6826=0,1,0),0)</f>
        <v>1</v>
      </c>
      <c r="S6827" s="56" t="n">
        <f aca="false">R6827*(B6827&gt;=Train_Start)*(B6827&lt;=Train_End)</f>
        <v>0</v>
      </c>
      <c r="T6827" s="84" t="n">
        <f aca="false">IF(AND(ISNUMBER(O6827),ISNUMBER(P6827)),Coef_A+Coef_B1*O6827+Coef_B2*P6827,"")</f>
        <v>20.8676418115136</v>
      </c>
      <c r="U6827" s="84" t="n">
        <f aca="false">IF(AND(R6827=1,ISNUMBER(T6827)),E6827-T6827,"")</f>
        <v>1.33235818848638</v>
      </c>
      <c r="V6827" s="84" t="n">
        <f aca="false">IF(ISNUMBER(T6827),T6827,-99)</f>
        <v>20.8676418115136</v>
      </c>
      <c r="W6827" s="84" t="n">
        <f aca="false">IF(ISNUMBER(U6827),ABS(U6827),"")</f>
        <v>1.33235818848638</v>
      </c>
    </row>
    <row r="6828" customFormat="false" ht="15" hidden="false" customHeight="false" outlineLevel="0" collapsed="false">
      <c r="A6828" s="57" t="n">
        <v>45141</v>
      </c>
      <c r="B6828" s="56" t="n">
        <v>2023</v>
      </c>
      <c r="C6828" s="56" t="n">
        <v>8</v>
      </c>
      <c r="D6828" s="56" t="n">
        <v>95</v>
      </c>
      <c r="E6828" s="56" t="n">
        <v>20.4</v>
      </c>
      <c r="F6828" s="56" t="n">
        <v>0</v>
      </c>
      <c r="G6828" s="56" t="n">
        <v>14.7</v>
      </c>
      <c r="H6828" s="56" t="n">
        <v>0</v>
      </c>
      <c r="I6828" s="56" t="n">
        <v>18.4</v>
      </c>
      <c r="J6828" s="56" t="n">
        <v>0</v>
      </c>
      <c r="K6828" s="56" t="n">
        <v>1005.1</v>
      </c>
      <c r="L6828" s="56" t="n">
        <v>0</v>
      </c>
      <c r="M6828" s="56" t="n">
        <v>71</v>
      </c>
      <c r="N6828" s="56" t="n">
        <v>5.8</v>
      </c>
      <c r="O6828" s="56" t="n">
        <f aca="false">IF(D6828=1,"",E6827)</f>
        <v>22.2</v>
      </c>
      <c r="P6828" s="56" t="n">
        <f aca="false">IF(OR(D6828=1,K6827=""),"",K6827)</f>
        <v>988.6</v>
      </c>
      <c r="Q6828" s="56" t="n">
        <f aca="false">IF(OR(F6828&lt;&gt;0,AND(I6828&lt;&gt;"",E6828&lt;I6828)),1,0)</f>
        <v>0</v>
      </c>
      <c r="R6828" s="56" t="n">
        <f aca="false">IF(AND(D6828&gt;1,Q6828=0,ISNUMBER(O6828),ISNUMBER(P6828)),IF(Q6827=0,1,0),0)</f>
        <v>1</v>
      </c>
      <c r="S6828" s="56" t="n">
        <f aca="false">R6828*(B6828&gt;=Train_Start)*(B6828&lt;=Train_End)</f>
        <v>0</v>
      </c>
      <c r="T6828" s="84" t="n">
        <f aca="false">IF(AND(ISNUMBER(O6828),ISNUMBER(P6828)),Coef_A+Coef_B1*O6828+Coef_B2*P6828,"")</f>
        <v>21.2885833427046</v>
      </c>
      <c r="U6828" s="84" t="n">
        <f aca="false">IF(AND(R6828=1,ISNUMBER(T6828)),E6828-T6828,"")</f>
        <v>-0.888583342704614</v>
      </c>
      <c r="V6828" s="84" t="n">
        <f aca="false">IF(ISNUMBER(T6828),T6828,-99)</f>
        <v>21.2885833427046</v>
      </c>
      <c r="W6828" s="84" t="n">
        <f aca="false">IF(ISNUMBER(U6828),ABS(U6828),"")</f>
        <v>0.888583342704614</v>
      </c>
    </row>
    <row r="6829" customFormat="false" ht="15" hidden="false" customHeight="false" outlineLevel="0" collapsed="false">
      <c r="A6829" s="57" t="n">
        <v>45142</v>
      </c>
      <c r="B6829" s="56" t="n">
        <v>2023</v>
      </c>
      <c r="C6829" s="56" t="n">
        <v>8</v>
      </c>
      <c r="D6829" s="56" t="n">
        <v>96</v>
      </c>
      <c r="E6829" s="56" t="n">
        <v>19</v>
      </c>
      <c r="F6829" s="56" t="n">
        <v>0</v>
      </c>
      <c r="G6829" s="56" t="n">
        <v>14</v>
      </c>
      <c r="H6829" s="56" t="n">
        <v>0</v>
      </c>
      <c r="I6829" s="56" t="n">
        <v>17.2</v>
      </c>
      <c r="J6829" s="56" t="n">
        <v>0</v>
      </c>
      <c r="K6829" s="56" t="n">
        <v>1017.1</v>
      </c>
      <c r="L6829" s="56" t="n">
        <v>0</v>
      </c>
      <c r="M6829" s="56" t="n">
        <v>72</v>
      </c>
      <c r="N6829" s="56" t="n">
        <v>0.9</v>
      </c>
      <c r="O6829" s="56" t="n">
        <f aca="false">IF(D6829=1,"",E6828)</f>
        <v>20.4</v>
      </c>
      <c r="P6829" s="56" t="n">
        <f aca="false">IF(OR(D6829=1,K6828=""),"",K6828)</f>
        <v>1005.1</v>
      </c>
      <c r="Q6829" s="56" t="n">
        <f aca="false">IF(OR(F6829&lt;&gt;0,AND(I6829&lt;&gt;"",E6829&lt;I6829)),1,0)</f>
        <v>0</v>
      </c>
      <c r="R6829" s="56" t="n">
        <f aca="false">IF(AND(D6829&gt;1,Q6829=0,ISNUMBER(O6829),ISNUMBER(P6829)),IF(Q6828=0,1,0),0)</f>
        <v>1</v>
      </c>
      <c r="S6829" s="56" t="n">
        <f aca="false">R6829*(B6829&gt;=Train_Start)*(B6829&lt;=Train_End)</f>
        <v>0</v>
      </c>
      <c r="T6829" s="84" t="n">
        <f aca="false">IF(AND(ISNUMBER(O6829),ISNUMBER(P6829)),Coef_A+Coef_B1*O6829+Coef_B2*P6829,"")</f>
        <v>20.3313760566887</v>
      </c>
      <c r="U6829" s="84" t="n">
        <f aca="false">IF(AND(R6829=1,ISNUMBER(T6829)),E6829-T6829,"")</f>
        <v>-1.33137605668865</v>
      </c>
      <c r="V6829" s="84" t="n">
        <f aca="false">IF(ISNUMBER(T6829),T6829,-99)</f>
        <v>20.3313760566887</v>
      </c>
      <c r="W6829" s="84" t="n">
        <f aca="false">IF(ISNUMBER(U6829),ABS(U6829),"")</f>
        <v>1.33137605668865</v>
      </c>
    </row>
    <row r="6830" customFormat="false" ht="15" hidden="false" customHeight="false" outlineLevel="0" collapsed="false">
      <c r="A6830" s="57" t="n">
        <v>45143</v>
      </c>
      <c r="B6830" s="56" t="n">
        <v>2023</v>
      </c>
      <c r="C6830" s="56" t="n">
        <v>8</v>
      </c>
      <c r="D6830" s="56" t="n">
        <v>97</v>
      </c>
      <c r="E6830" s="56" t="n">
        <v>20.2</v>
      </c>
      <c r="F6830" s="56" t="n">
        <v>0</v>
      </c>
      <c r="G6830" s="56" t="n">
        <v>13.2</v>
      </c>
      <c r="H6830" s="56" t="n">
        <v>0</v>
      </c>
      <c r="I6830" s="56" t="n">
        <v>16.1</v>
      </c>
      <c r="J6830" s="56" t="n">
        <v>0</v>
      </c>
      <c r="K6830" s="56" t="n">
        <v>1008.1</v>
      </c>
      <c r="L6830" s="56" t="n">
        <v>0</v>
      </c>
      <c r="M6830" s="56" t="n">
        <v>86</v>
      </c>
      <c r="N6830" s="56" t="n">
        <v>0.3</v>
      </c>
      <c r="O6830" s="56" t="n">
        <f aca="false">IF(D6830=1,"",E6829)</f>
        <v>19</v>
      </c>
      <c r="P6830" s="56" t="n">
        <f aca="false">IF(OR(D6830=1,K6829=""),"",K6829)</f>
        <v>1017.1</v>
      </c>
      <c r="Q6830" s="56" t="n">
        <f aca="false">IF(OR(F6830&lt;&gt;0,AND(I6830&lt;&gt;"",E6830&lt;I6830)),1,0)</f>
        <v>0</v>
      </c>
      <c r="R6830" s="56" t="n">
        <f aca="false">IF(AND(D6830&gt;1,Q6830=0,ISNUMBER(O6830),ISNUMBER(P6830)),IF(Q6829=0,1,0),0)</f>
        <v>1</v>
      </c>
      <c r="S6830" s="56" t="n">
        <f aca="false">R6830*(B6830&gt;=Train_Start)*(B6830&lt;=Train_End)</f>
        <v>0</v>
      </c>
      <c r="T6830" s="84" t="n">
        <f aca="false">IF(AND(ISNUMBER(O6830),ISNUMBER(P6830)),Coef_A+Coef_B1*O6830+Coef_B2*P6830,"")</f>
        <v>19.5607399220368</v>
      </c>
      <c r="U6830" s="84" t="n">
        <f aca="false">IF(AND(R6830=1,ISNUMBER(T6830)),E6830-T6830,"")</f>
        <v>0.639260077963197</v>
      </c>
      <c r="V6830" s="84" t="n">
        <f aca="false">IF(ISNUMBER(T6830),T6830,-99)</f>
        <v>19.5607399220368</v>
      </c>
      <c r="W6830" s="84" t="n">
        <f aca="false">IF(ISNUMBER(U6830),ABS(U6830),"")</f>
        <v>0.639260077963197</v>
      </c>
    </row>
    <row r="6831" customFormat="false" ht="15" hidden="false" customHeight="false" outlineLevel="0" collapsed="false">
      <c r="A6831" s="57" t="n">
        <v>45144</v>
      </c>
      <c r="B6831" s="56" t="n">
        <v>2023</v>
      </c>
      <c r="C6831" s="56" t="n">
        <v>8</v>
      </c>
      <c r="D6831" s="56" t="n">
        <v>98</v>
      </c>
      <c r="E6831" s="56" t="n">
        <v>22.7</v>
      </c>
      <c r="F6831" s="56" t="n">
        <v>0</v>
      </c>
      <c r="G6831" s="56" t="n">
        <v>11</v>
      </c>
      <c r="H6831" s="56" t="n">
        <v>0</v>
      </c>
      <c r="I6831" s="56" t="n">
        <v>15.6</v>
      </c>
      <c r="J6831" s="56" t="n">
        <v>0</v>
      </c>
      <c r="K6831" s="56" t="n">
        <v>1016.9</v>
      </c>
      <c r="L6831" s="56" t="n">
        <v>0</v>
      </c>
      <c r="M6831" s="56" t="n">
        <v>71</v>
      </c>
      <c r="N6831" s="56" t="n">
        <v>6.8</v>
      </c>
      <c r="O6831" s="56" t="n">
        <f aca="false">IF(D6831=1,"",E6830)</f>
        <v>20.2</v>
      </c>
      <c r="P6831" s="56" t="n">
        <f aca="false">IF(OR(D6831=1,K6830=""),"",K6830)</f>
        <v>1008.1</v>
      </c>
      <c r="Q6831" s="56" t="n">
        <f aca="false">IF(OR(F6831&lt;&gt;0,AND(I6831&lt;&gt;"",E6831&lt;I6831)),1,0)</f>
        <v>0</v>
      </c>
      <c r="R6831" s="56" t="n">
        <f aca="false">IF(AND(D6831&gt;1,Q6831=0,ISNUMBER(O6831),ISNUMBER(P6831)),IF(Q6830=0,1,0),0)</f>
        <v>1</v>
      </c>
      <c r="S6831" s="56" t="n">
        <f aca="false">R6831*(B6831&gt;=Train_Start)*(B6831&lt;=Train_End)</f>
        <v>0</v>
      </c>
      <c r="T6831" s="84" t="n">
        <f aca="false">IF(AND(ISNUMBER(O6831),ISNUMBER(P6831)),Coef_A+Coef_B1*O6831+Coef_B2*P6831,"")</f>
        <v>20.2616179019821</v>
      </c>
      <c r="U6831" s="84" t="n">
        <f aca="false">IF(AND(R6831=1,ISNUMBER(T6831)),E6831-T6831,"")</f>
        <v>2.43838209801791</v>
      </c>
      <c r="V6831" s="84" t="n">
        <f aca="false">IF(ISNUMBER(T6831),T6831,-99)</f>
        <v>20.2616179019821</v>
      </c>
      <c r="W6831" s="84" t="n">
        <f aca="false">IF(ISNUMBER(U6831),ABS(U6831),"")</f>
        <v>2.43838209801791</v>
      </c>
    </row>
    <row r="6832" customFormat="false" ht="15" hidden="false" customHeight="false" outlineLevel="0" collapsed="false">
      <c r="A6832" s="57" t="n">
        <v>45145</v>
      </c>
      <c r="B6832" s="56" t="n">
        <v>2023</v>
      </c>
      <c r="C6832" s="56" t="n">
        <v>8</v>
      </c>
      <c r="D6832" s="56" t="n">
        <v>99</v>
      </c>
      <c r="E6832" s="56" t="n">
        <v>18.9</v>
      </c>
      <c r="F6832" s="56" t="n">
        <v>0</v>
      </c>
      <c r="G6832" s="56" t="n">
        <v>10.3</v>
      </c>
      <c r="H6832" s="56" t="n">
        <v>0</v>
      </c>
      <c r="I6832" s="56" t="n">
        <v>16.5</v>
      </c>
      <c r="J6832" s="56" t="n">
        <v>0</v>
      </c>
      <c r="K6832" s="56" t="n">
        <v>1019.4</v>
      </c>
      <c r="L6832" s="56" t="n">
        <v>0</v>
      </c>
      <c r="M6832" s="56" t="n">
        <v>66</v>
      </c>
      <c r="N6832" s="56" t="n">
        <v>11.1</v>
      </c>
      <c r="O6832" s="56" t="n">
        <f aca="false">IF(D6832=1,"",E6831)</f>
        <v>22.7</v>
      </c>
      <c r="P6832" s="56" t="n">
        <f aca="false">IF(OR(D6832=1,K6831=""),"",K6831)</f>
        <v>1016.9</v>
      </c>
      <c r="Q6832" s="56" t="n">
        <f aca="false">IF(OR(F6832&lt;&gt;0,AND(I6832&lt;&gt;"",E6832&lt;I6832)),1,0)</f>
        <v>0</v>
      </c>
      <c r="R6832" s="56" t="n">
        <f aca="false">IF(AND(D6832&gt;1,Q6832=0,ISNUMBER(O6832),ISNUMBER(P6832)),IF(Q6831=0,1,0),0)</f>
        <v>1</v>
      </c>
      <c r="S6832" s="56" t="n">
        <f aca="false">R6832*(B6832&gt;=Train_Start)*(B6832&lt;=Train_End)</f>
        <v>0</v>
      </c>
      <c r="T6832" s="84" t="n">
        <f aca="false">IF(AND(ISNUMBER(O6832),ISNUMBER(P6832)),Coef_A+Coef_B1*O6832+Coef_B2*P6832,"")</f>
        <v>22.5860209573678</v>
      </c>
      <c r="U6832" s="84" t="n">
        <f aca="false">IF(AND(R6832=1,ISNUMBER(T6832)),E6832-T6832,"")</f>
        <v>-3.68602095736784</v>
      </c>
      <c r="V6832" s="84" t="n">
        <f aca="false">IF(ISNUMBER(T6832),T6832,-99)</f>
        <v>22.5860209573678</v>
      </c>
      <c r="W6832" s="84" t="n">
        <f aca="false">IF(ISNUMBER(U6832),ABS(U6832),"")</f>
        <v>3.68602095736784</v>
      </c>
    </row>
    <row r="6833" customFormat="false" ht="15" hidden="false" customHeight="false" outlineLevel="0" collapsed="false">
      <c r="A6833" s="57" t="n">
        <v>45146</v>
      </c>
      <c r="B6833" s="56" t="n">
        <v>2023</v>
      </c>
      <c r="C6833" s="56" t="n">
        <v>8</v>
      </c>
      <c r="D6833" s="56" t="n">
        <v>100</v>
      </c>
      <c r="E6833" s="56" t="n">
        <v>25</v>
      </c>
      <c r="F6833" s="56" t="n">
        <v>0</v>
      </c>
      <c r="G6833" s="56" t="n">
        <v>11.9</v>
      </c>
      <c r="H6833" s="56" t="n">
        <v>0</v>
      </c>
      <c r="I6833" s="56" t="n">
        <v>15.4</v>
      </c>
      <c r="J6833" s="56" t="n">
        <v>0</v>
      </c>
      <c r="K6833" s="56" t="n">
        <v>1015.2</v>
      </c>
      <c r="L6833" s="56" t="n">
        <v>0</v>
      </c>
      <c r="M6833" s="56" t="n">
        <v>90</v>
      </c>
      <c r="N6833" s="56" t="n">
        <v>0</v>
      </c>
      <c r="O6833" s="56" t="n">
        <f aca="false">IF(D6833=1,"",E6832)</f>
        <v>18.9</v>
      </c>
      <c r="P6833" s="56" t="n">
        <f aca="false">IF(OR(D6833=1,K6832=""),"",K6832)</f>
        <v>1019.4</v>
      </c>
      <c r="Q6833" s="56" t="n">
        <f aca="false">IF(OR(F6833&lt;&gt;0,AND(I6833&lt;&gt;"",E6833&lt;I6833)),1,0)</f>
        <v>0</v>
      </c>
      <c r="R6833" s="56" t="n">
        <f aca="false">IF(AND(D6833&gt;1,Q6833=0,ISNUMBER(O6833),ISNUMBER(P6833)),IF(Q6832=0,1,0),0)</f>
        <v>1</v>
      </c>
      <c r="S6833" s="56" t="n">
        <f aca="false">R6833*(B6833&gt;=Train_Start)*(B6833&lt;=Train_End)</f>
        <v>0</v>
      </c>
      <c r="T6833" s="84" t="n">
        <f aca="false">IF(AND(ISNUMBER(O6833),ISNUMBER(P6833)),Coef_A+Coef_B1*O6833+Coef_B2*P6833,"")</f>
        <v>19.5509567603907</v>
      </c>
      <c r="U6833" s="84" t="n">
        <f aca="false">IF(AND(R6833=1,ISNUMBER(T6833)),E6833-T6833,"")</f>
        <v>5.44904323960929</v>
      </c>
      <c r="V6833" s="84" t="n">
        <f aca="false">IF(ISNUMBER(T6833),T6833,-99)</f>
        <v>19.5509567603907</v>
      </c>
      <c r="W6833" s="84" t="n">
        <f aca="false">IF(ISNUMBER(U6833),ABS(U6833),"")</f>
        <v>5.44904323960929</v>
      </c>
    </row>
    <row r="6834" customFormat="false" ht="15" hidden="false" customHeight="false" outlineLevel="0" collapsed="false">
      <c r="A6834" s="57" t="n">
        <v>45147</v>
      </c>
      <c r="B6834" s="56" t="n">
        <v>2023</v>
      </c>
      <c r="C6834" s="56" t="n">
        <v>8</v>
      </c>
      <c r="D6834" s="56" t="n">
        <v>101</v>
      </c>
      <c r="E6834" s="56" t="n">
        <v>26.3</v>
      </c>
      <c r="F6834" s="56" t="n">
        <v>0</v>
      </c>
      <c r="G6834" s="56" t="n">
        <v>12.6</v>
      </c>
      <c r="H6834" s="56" t="n">
        <v>0</v>
      </c>
      <c r="I6834" s="56" t="n">
        <v>18.8</v>
      </c>
      <c r="J6834" s="56" t="n">
        <v>0</v>
      </c>
      <c r="K6834" s="56" t="n">
        <v>1018</v>
      </c>
      <c r="L6834" s="56" t="n">
        <v>0</v>
      </c>
      <c r="M6834" s="56" t="n">
        <v>72</v>
      </c>
      <c r="N6834" s="56" t="n">
        <v>12.1</v>
      </c>
      <c r="O6834" s="56" t="n">
        <f aca="false">IF(D6834=1,"",E6833)</f>
        <v>25</v>
      </c>
      <c r="P6834" s="56" t="n">
        <f aca="false">IF(OR(D6834=1,K6833=""),"",K6833)</f>
        <v>1015.2</v>
      </c>
      <c r="Q6834" s="56" t="n">
        <f aca="false">IF(OR(F6834&lt;&gt;0,AND(I6834&lt;&gt;"",E6834&lt;I6834)),1,0)</f>
        <v>0</v>
      </c>
      <c r="R6834" s="56" t="n">
        <f aca="false">IF(AND(D6834&gt;1,Q6834=0,ISNUMBER(O6834),ISNUMBER(P6834)),IF(Q6833=0,1,0),0)</f>
        <v>1</v>
      </c>
      <c r="S6834" s="56" t="n">
        <f aca="false">R6834*(B6834&gt;=Train_Start)*(B6834&lt;=Train_End)</f>
        <v>0</v>
      </c>
      <c r="T6834" s="84" t="n">
        <f aca="false">IF(AND(ISNUMBER(O6834),ISNUMBER(P6834)),Coef_A+Coef_B1*O6834+Coef_B2*P6834,"")</f>
        <v>24.4171722804882</v>
      </c>
      <c r="U6834" s="84" t="n">
        <f aca="false">IF(AND(R6834=1,ISNUMBER(T6834)),E6834-T6834,"")</f>
        <v>1.88282771951183</v>
      </c>
      <c r="V6834" s="84" t="n">
        <f aca="false">IF(ISNUMBER(T6834),T6834,-99)</f>
        <v>24.4171722804882</v>
      </c>
      <c r="W6834" s="84" t="n">
        <f aca="false">IF(ISNUMBER(U6834),ABS(U6834),"")</f>
        <v>1.88282771951183</v>
      </c>
    </row>
    <row r="6835" customFormat="false" ht="15" hidden="false" customHeight="false" outlineLevel="0" collapsed="false">
      <c r="A6835" s="57" t="n">
        <v>45148</v>
      </c>
      <c r="B6835" s="56" t="n">
        <v>2023</v>
      </c>
      <c r="C6835" s="56" t="n">
        <v>8</v>
      </c>
      <c r="D6835" s="56" t="n">
        <v>102</v>
      </c>
      <c r="E6835" s="56" t="n">
        <v>25.3</v>
      </c>
      <c r="F6835" s="56" t="n">
        <v>0</v>
      </c>
      <c r="G6835" s="56" t="n">
        <v>13.9</v>
      </c>
      <c r="H6835" s="56" t="n">
        <v>0</v>
      </c>
      <c r="I6835" s="56" t="n">
        <v>20.1</v>
      </c>
      <c r="J6835" s="56" t="n">
        <v>0</v>
      </c>
      <c r="K6835" s="56" t="n">
        <v>1019.1</v>
      </c>
      <c r="L6835" s="56" t="n">
        <v>0</v>
      </c>
      <c r="M6835" s="56" t="n">
        <v>70</v>
      </c>
      <c r="N6835" s="56" t="n">
        <v>10.5</v>
      </c>
      <c r="O6835" s="56" t="n">
        <f aca="false">IF(D6835=1,"",E6834)</f>
        <v>26.3</v>
      </c>
      <c r="P6835" s="56" t="n">
        <f aca="false">IF(OR(D6835=1,K6834=""),"",K6834)</f>
        <v>1018</v>
      </c>
      <c r="Q6835" s="56" t="n">
        <f aca="false">IF(OR(F6835&lt;&gt;0,AND(I6835&lt;&gt;"",E6835&lt;I6835)),1,0)</f>
        <v>0</v>
      </c>
      <c r="R6835" s="56" t="n">
        <f aca="false">IF(AND(D6835&gt;1,Q6835=0,ISNUMBER(O6835),ISNUMBER(P6835)),IF(Q6834=0,1,0),0)</f>
        <v>1</v>
      </c>
      <c r="S6835" s="56" t="n">
        <f aca="false">R6835*(B6835&gt;=Train_Start)*(B6835&lt;=Train_End)</f>
        <v>0</v>
      </c>
      <c r="T6835" s="84" t="n">
        <f aca="false">IF(AND(ISNUMBER(O6835),ISNUMBER(P6835)),Coef_A+Coef_B1*O6835+Coef_B2*P6835,"")</f>
        <v>25.5701489364188</v>
      </c>
      <c r="U6835" s="84" t="n">
        <f aca="false">IF(AND(R6835=1,ISNUMBER(T6835)),E6835-T6835,"")</f>
        <v>-0.270148936418796</v>
      </c>
      <c r="V6835" s="84" t="n">
        <f aca="false">IF(ISNUMBER(T6835),T6835,-99)</f>
        <v>25.5701489364188</v>
      </c>
      <c r="W6835" s="84" t="n">
        <f aca="false">IF(ISNUMBER(U6835),ABS(U6835),"")</f>
        <v>0.270148936418796</v>
      </c>
    </row>
    <row r="6836" customFormat="false" ht="15" hidden="false" customHeight="false" outlineLevel="0" collapsed="false">
      <c r="A6836" s="57" t="n">
        <v>45149</v>
      </c>
      <c r="B6836" s="56" t="n">
        <v>2023</v>
      </c>
      <c r="C6836" s="56" t="n">
        <v>8</v>
      </c>
      <c r="D6836" s="56" t="n">
        <v>103</v>
      </c>
      <c r="E6836" s="56" t="n">
        <v>22.5</v>
      </c>
      <c r="F6836" s="56" t="n">
        <v>0</v>
      </c>
      <c r="G6836" s="56" t="n">
        <v>17.7</v>
      </c>
      <c r="H6836" s="56" t="n">
        <v>0</v>
      </c>
      <c r="I6836" s="56" t="n">
        <v>21.5</v>
      </c>
      <c r="J6836" s="56" t="n">
        <v>0</v>
      </c>
      <c r="K6836" s="56" t="n">
        <v>1017.3</v>
      </c>
      <c r="L6836" s="56" t="n">
        <v>0</v>
      </c>
      <c r="M6836" s="56" t="n">
        <v>73</v>
      </c>
      <c r="N6836" s="56" t="n">
        <v>5.1</v>
      </c>
      <c r="O6836" s="56" t="n">
        <f aca="false">IF(D6836=1,"",E6835)</f>
        <v>25.3</v>
      </c>
      <c r="P6836" s="56" t="n">
        <f aca="false">IF(OR(D6836=1,K6835=""),"",K6835)</f>
        <v>1019.1</v>
      </c>
      <c r="Q6836" s="56" t="n">
        <f aca="false">IF(OR(F6836&lt;&gt;0,AND(I6836&lt;&gt;"",E6836&lt;I6836)),1,0)</f>
        <v>0</v>
      </c>
      <c r="R6836" s="56" t="n">
        <f aca="false">IF(AND(D6836&gt;1,Q6836=0,ISNUMBER(O6836),ISNUMBER(P6836)),IF(Q6835=0,1,0),0)</f>
        <v>1</v>
      </c>
      <c r="S6836" s="56" t="n">
        <f aca="false">R6836*(B6836&gt;=Train_Start)*(B6836&lt;=Train_End)</f>
        <v>0</v>
      </c>
      <c r="T6836" s="84" t="n">
        <f aca="false">IF(AND(ISNUMBER(O6836),ISNUMBER(P6836)),Coef_A+Coef_B1*O6836+Coef_B2*P6836,"")</f>
        <v>24.7853166274735</v>
      </c>
      <c r="U6836" s="84" t="n">
        <f aca="false">IF(AND(R6836=1,ISNUMBER(T6836)),E6836-T6836,"")</f>
        <v>-2.28531662747352</v>
      </c>
      <c r="V6836" s="84" t="n">
        <f aca="false">IF(ISNUMBER(T6836),T6836,-99)</f>
        <v>24.7853166274735</v>
      </c>
      <c r="W6836" s="84" t="n">
        <f aca="false">IF(ISNUMBER(U6836),ABS(U6836),"")</f>
        <v>2.28531662747352</v>
      </c>
    </row>
    <row r="6837" customFormat="false" ht="15" hidden="false" customHeight="false" outlineLevel="0" collapsed="false">
      <c r="A6837" s="57" t="n">
        <v>45150</v>
      </c>
      <c r="B6837" s="56" t="n">
        <v>2023</v>
      </c>
      <c r="C6837" s="56" t="n">
        <v>8</v>
      </c>
      <c r="D6837" s="56" t="n">
        <v>104</v>
      </c>
      <c r="E6837" s="56" t="n">
        <v>23.6</v>
      </c>
      <c r="F6837" s="56" t="n">
        <v>0</v>
      </c>
      <c r="G6837" s="56" t="n">
        <v>13.7</v>
      </c>
      <c r="H6837" s="56" t="n">
        <v>0</v>
      </c>
      <c r="I6837" s="56" t="n">
        <v>18.1</v>
      </c>
      <c r="J6837" s="56" t="n">
        <v>0</v>
      </c>
      <c r="K6837" s="56" t="n">
        <v>1014.5</v>
      </c>
      <c r="L6837" s="56" t="n">
        <v>0</v>
      </c>
      <c r="M6837" s="56" t="n">
        <v>76</v>
      </c>
      <c r="N6837" s="56" t="n">
        <v>3.7</v>
      </c>
      <c r="O6837" s="56" t="n">
        <f aca="false">IF(D6837=1,"",E6836)</f>
        <v>22.5</v>
      </c>
      <c r="P6837" s="56" t="n">
        <f aca="false">IF(OR(D6837=1,K6836=""),"",K6836)</f>
        <v>1017.3</v>
      </c>
      <c r="Q6837" s="56" t="n">
        <f aca="false">IF(OR(F6837&lt;&gt;0,AND(I6837&lt;&gt;"",E6837&lt;I6837)),1,0)</f>
        <v>0</v>
      </c>
      <c r="R6837" s="56" t="n">
        <f aca="false">IF(AND(D6837&gt;1,Q6837=0,ISNUMBER(O6837),ISNUMBER(P6837)),IF(Q6836=0,1,0),0)</f>
        <v>1</v>
      </c>
      <c r="S6837" s="56" t="n">
        <f aca="false">R6837*(B6837&gt;=Train_Start)*(B6837&lt;=Train_End)</f>
        <v>0</v>
      </c>
      <c r="T6837" s="84" t="n">
        <f aca="false">IF(AND(ISNUMBER(O6837),ISNUMBER(P6837)),Coef_A+Coef_B1*O6837+Coef_B2*P6837,"")</f>
        <v>22.4347010766129</v>
      </c>
      <c r="U6837" s="84" t="n">
        <f aca="false">IF(AND(R6837=1,ISNUMBER(T6837)),E6837-T6837,"")</f>
        <v>1.1652989233871</v>
      </c>
      <c r="V6837" s="84" t="n">
        <f aca="false">IF(ISNUMBER(T6837),T6837,-99)</f>
        <v>22.4347010766129</v>
      </c>
      <c r="W6837" s="84" t="n">
        <f aca="false">IF(ISNUMBER(U6837),ABS(U6837),"")</f>
        <v>1.1652989233871</v>
      </c>
    </row>
    <row r="6838" customFormat="false" ht="15" hidden="false" customHeight="false" outlineLevel="0" collapsed="false">
      <c r="A6838" s="57" t="n">
        <v>45151</v>
      </c>
      <c r="B6838" s="56" t="n">
        <v>2023</v>
      </c>
      <c r="C6838" s="56" t="n">
        <v>8</v>
      </c>
      <c r="D6838" s="56" t="n">
        <v>105</v>
      </c>
      <c r="E6838" s="56" t="n">
        <v>22.4</v>
      </c>
      <c r="F6838" s="56" t="n">
        <v>0</v>
      </c>
      <c r="G6838" s="56" t="n">
        <v>15.9</v>
      </c>
      <c r="H6838" s="56" t="n">
        <v>0</v>
      </c>
      <c r="I6838" s="56" t="n">
        <v>19.8</v>
      </c>
      <c r="J6838" s="56" t="n">
        <v>0</v>
      </c>
      <c r="K6838" s="56" t="n">
        <v>1013.8</v>
      </c>
      <c r="L6838" s="56" t="n">
        <v>0</v>
      </c>
      <c r="M6838" s="56" t="n">
        <v>71</v>
      </c>
      <c r="N6838" s="56" t="n">
        <v>2.5</v>
      </c>
      <c r="O6838" s="56" t="n">
        <f aca="false">IF(D6838=1,"",E6837)</f>
        <v>23.6</v>
      </c>
      <c r="P6838" s="56" t="n">
        <f aca="false">IF(OR(D6838=1,K6837=""),"",K6837)</f>
        <v>1014.5</v>
      </c>
      <c r="Q6838" s="56" t="n">
        <f aca="false">IF(OR(F6838&lt;&gt;0,AND(I6838&lt;&gt;"",E6838&lt;I6838)),1,0)</f>
        <v>0</v>
      </c>
      <c r="R6838" s="56" t="n">
        <f aca="false">IF(AND(D6838&gt;1,Q6838=0,ISNUMBER(O6838),ISNUMBER(P6838)),IF(Q6837=0,1,0),0)</f>
        <v>1</v>
      </c>
      <c r="S6838" s="56" t="n">
        <f aca="false">R6838*(B6838&gt;=Train_Start)*(B6838&lt;=Train_End)</f>
        <v>0</v>
      </c>
      <c r="T6838" s="84" t="n">
        <f aca="false">IF(AND(ISNUMBER(O6838),ISNUMBER(P6838)),Coef_A+Coef_B1*O6838+Coef_B2*P6838,"")</f>
        <v>23.2481384839847</v>
      </c>
      <c r="U6838" s="84" t="n">
        <f aca="false">IF(AND(R6838=1,ISNUMBER(T6838)),E6838-T6838,"")</f>
        <v>-0.848138483984659</v>
      </c>
      <c r="V6838" s="84" t="n">
        <f aca="false">IF(ISNUMBER(T6838),T6838,-99)</f>
        <v>23.2481384839847</v>
      </c>
      <c r="W6838" s="84" t="n">
        <f aca="false">IF(ISNUMBER(U6838),ABS(U6838),"")</f>
        <v>0.848138483984659</v>
      </c>
    </row>
    <row r="6839" customFormat="false" ht="15" hidden="false" customHeight="false" outlineLevel="0" collapsed="false">
      <c r="A6839" s="57" t="n">
        <v>45152</v>
      </c>
      <c r="B6839" s="56" t="n">
        <v>2023</v>
      </c>
      <c r="C6839" s="56" t="n">
        <v>8</v>
      </c>
      <c r="D6839" s="56" t="n">
        <v>106</v>
      </c>
      <c r="E6839" s="56" t="n">
        <v>25</v>
      </c>
      <c r="F6839" s="56" t="n">
        <v>0</v>
      </c>
      <c r="G6839" s="56" t="n">
        <v>15</v>
      </c>
      <c r="H6839" s="56" t="n">
        <v>0</v>
      </c>
      <c r="I6839" s="56" t="n">
        <v>18.7</v>
      </c>
      <c r="J6839" s="56" t="n">
        <v>0</v>
      </c>
      <c r="K6839" s="56" t="n">
        <v>1011</v>
      </c>
      <c r="L6839" s="56" t="n">
        <v>0</v>
      </c>
      <c r="M6839" s="56" t="n">
        <v>84</v>
      </c>
      <c r="N6839" s="56" t="n">
        <v>1.7</v>
      </c>
      <c r="O6839" s="56" t="n">
        <f aca="false">IF(D6839=1,"",E6838)</f>
        <v>22.4</v>
      </c>
      <c r="P6839" s="56" t="n">
        <f aca="false">IF(OR(D6839=1,K6838=""),"",K6838)</f>
        <v>1013.8</v>
      </c>
      <c r="Q6839" s="56" t="n">
        <f aca="false">IF(OR(F6839&lt;&gt;0,AND(I6839&lt;&gt;"",E6839&lt;I6839)),1,0)</f>
        <v>0</v>
      </c>
      <c r="R6839" s="56" t="n">
        <f aca="false">IF(AND(D6839&gt;1,Q6839=0,ISNUMBER(O6839),ISNUMBER(P6839)),IF(Q6838=0,1,0),0)</f>
        <v>1</v>
      </c>
      <c r="S6839" s="56" t="n">
        <f aca="false">R6839*(B6839&gt;=Train_Start)*(B6839&lt;=Train_End)</f>
        <v>0</v>
      </c>
      <c r="T6839" s="84" t="n">
        <f aca="false">IF(AND(ISNUMBER(O6839),ISNUMBER(P6839)),Coef_A+Coef_B1*O6839+Coef_B2*P6839,"")</f>
        <v>22.2429725260897</v>
      </c>
      <c r="U6839" s="84" t="n">
        <f aca="false">IF(AND(R6839=1,ISNUMBER(T6839)),E6839-T6839,"")</f>
        <v>2.75702747391033</v>
      </c>
      <c r="V6839" s="84" t="n">
        <f aca="false">IF(ISNUMBER(T6839),T6839,-99)</f>
        <v>22.2429725260897</v>
      </c>
      <c r="W6839" s="84" t="n">
        <f aca="false">IF(ISNUMBER(U6839),ABS(U6839),"")</f>
        <v>2.75702747391033</v>
      </c>
    </row>
    <row r="6840" customFormat="false" ht="15" hidden="false" customHeight="false" outlineLevel="0" collapsed="false">
      <c r="A6840" s="57" t="n">
        <v>45153</v>
      </c>
      <c r="B6840" s="56" t="n">
        <v>2023</v>
      </c>
      <c r="C6840" s="56" t="n">
        <v>8</v>
      </c>
      <c r="D6840" s="56" t="n">
        <v>107</v>
      </c>
      <c r="E6840" s="56" t="n">
        <v>26.3</v>
      </c>
      <c r="F6840" s="56" t="n">
        <v>0</v>
      </c>
      <c r="G6840" s="56" t="n">
        <v>12.3</v>
      </c>
      <c r="H6840" s="56" t="n">
        <v>0</v>
      </c>
      <c r="I6840" s="56" t="n">
        <v>18.6</v>
      </c>
      <c r="J6840" s="56" t="n">
        <v>0</v>
      </c>
      <c r="K6840" s="56" t="n">
        <v>1016</v>
      </c>
      <c r="L6840" s="56" t="n">
        <v>0</v>
      </c>
      <c r="M6840" s="56" t="n">
        <v>73</v>
      </c>
      <c r="N6840" s="56" t="n">
        <v>9.4</v>
      </c>
      <c r="O6840" s="56" t="n">
        <f aca="false">IF(D6840=1,"",E6839)</f>
        <v>25</v>
      </c>
      <c r="P6840" s="56" t="n">
        <f aca="false">IF(OR(D6840=1,K6839=""),"",K6839)</f>
        <v>1011</v>
      </c>
      <c r="Q6840" s="56" t="n">
        <f aca="false">IF(OR(F6840&lt;&gt;0,AND(I6840&lt;&gt;"",E6840&lt;I6840)),1,0)</f>
        <v>0</v>
      </c>
      <c r="R6840" s="56" t="n">
        <f aca="false">IF(AND(D6840&gt;1,Q6840=0,ISNUMBER(O6840),ISNUMBER(P6840)),IF(Q6839=0,1,0),0)</f>
        <v>1</v>
      </c>
      <c r="S6840" s="56" t="n">
        <f aca="false">R6840*(B6840&gt;=Train_Start)*(B6840&lt;=Train_End)</f>
        <v>0</v>
      </c>
      <c r="T6840" s="84" t="n">
        <f aca="false">IF(AND(ISNUMBER(O6840),ISNUMBER(P6840)),Coef_A+Coef_B1*O6840+Coef_B2*P6840,"")</f>
        <v>24.2854187230254</v>
      </c>
      <c r="U6840" s="84" t="n">
        <f aca="false">IF(AND(R6840=1,ISNUMBER(T6840)),E6840-T6840,"")</f>
        <v>2.01458127697459</v>
      </c>
      <c r="V6840" s="84" t="n">
        <f aca="false">IF(ISNUMBER(T6840),T6840,-99)</f>
        <v>24.2854187230254</v>
      </c>
      <c r="W6840" s="84" t="n">
        <f aca="false">IF(ISNUMBER(U6840),ABS(U6840),"")</f>
        <v>2.01458127697459</v>
      </c>
    </row>
    <row r="6841" customFormat="false" ht="15" hidden="false" customHeight="false" outlineLevel="0" collapsed="false">
      <c r="A6841" s="57" t="n">
        <v>45154</v>
      </c>
      <c r="B6841" s="56" t="n">
        <v>2023</v>
      </c>
      <c r="C6841" s="56" t="n">
        <v>8</v>
      </c>
      <c r="D6841" s="56" t="n">
        <v>108</v>
      </c>
      <c r="E6841" s="56" t="n">
        <v>24.6</v>
      </c>
      <c r="F6841" s="56" t="n">
        <v>0</v>
      </c>
      <c r="G6841" s="56" t="n">
        <v>13.4</v>
      </c>
      <c r="H6841" s="56" t="n">
        <v>0</v>
      </c>
      <c r="I6841" s="56" t="n">
        <v>19.9</v>
      </c>
      <c r="J6841" s="56" t="n">
        <v>0</v>
      </c>
      <c r="K6841" s="56" t="n">
        <v>1020.2</v>
      </c>
      <c r="L6841" s="56" t="n">
        <v>0</v>
      </c>
      <c r="M6841" s="56" t="n">
        <v>67</v>
      </c>
      <c r="N6841" s="56" t="n">
        <v>8.3</v>
      </c>
      <c r="O6841" s="56" t="n">
        <f aca="false">IF(D6841=1,"",E6840)</f>
        <v>26.3</v>
      </c>
      <c r="P6841" s="56" t="n">
        <f aca="false">IF(OR(D6841=1,K6840=""),"",K6840)</f>
        <v>1016</v>
      </c>
      <c r="Q6841" s="56" t="n">
        <f aca="false">IF(OR(F6841&lt;&gt;0,AND(I6841&lt;&gt;"",E6841&lt;I6841)),1,0)</f>
        <v>0</v>
      </c>
      <c r="R6841" s="56" t="n">
        <f aca="false">IF(AND(D6841&gt;1,Q6841=0,ISNUMBER(O6841),ISNUMBER(P6841)),IF(Q6840=0,1,0),0)</f>
        <v>1</v>
      </c>
      <c r="S6841" s="56" t="n">
        <f aca="false">R6841*(B6841&gt;=Train_Start)*(B6841&lt;=Train_End)</f>
        <v>0</v>
      </c>
      <c r="T6841" s="84" t="n">
        <f aca="false">IF(AND(ISNUMBER(O6841),ISNUMBER(P6841)),Coef_A+Coef_B1*O6841+Coef_B2*P6841,"")</f>
        <v>25.5074091471508</v>
      </c>
      <c r="U6841" s="84" t="n">
        <f aca="false">IF(AND(R6841=1,ISNUMBER(T6841)),E6841-T6841,"")</f>
        <v>-0.907409147150815</v>
      </c>
      <c r="V6841" s="84" t="n">
        <f aca="false">IF(ISNUMBER(T6841),T6841,-99)</f>
        <v>25.5074091471508</v>
      </c>
      <c r="W6841" s="84" t="n">
        <f aca="false">IF(ISNUMBER(U6841),ABS(U6841),"")</f>
        <v>0.907409147150815</v>
      </c>
    </row>
    <row r="6842" customFormat="false" ht="15" hidden="false" customHeight="false" outlineLevel="0" collapsed="false">
      <c r="A6842" s="57" t="n">
        <v>45155</v>
      </c>
      <c r="B6842" s="56" t="n">
        <v>2023</v>
      </c>
      <c r="C6842" s="56" t="n">
        <v>8</v>
      </c>
      <c r="D6842" s="56" t="n">
        <v>109</v>
      </c>
      <c r="E6842" s="56" t="n">
        <v>24.2</v>
      </c>
      <c r="F6842" s="56" t="n">
        <v>0</v>
      </c>
      <c r="G6842" s="56" t="n">
        <v>15.4</v>
      </c>
      <c r="H6842" s="56" t="n">
        <v>0</v>
      </c>
      <c r="I6842" s="56" t="n">
        <v>20</v>
      </c>
      <c r="J6842" s="56" t="n">
        <v>0</v>
      </c>
      <c r="K6842" s="56" t="n">
        <v>1019.5</v>
      </c>
      <c r="L6842" s="56" t="n">
        <v>0</v>
      </c>
      <c r="M6842" s="56" t="n">
        <v>74</v>
      </c>
      <c r="N6842" s="56" t="n">
        <v>7</v>
      </c>
      <c r="O6842" s="56" t="n">
        <f aca="false">IF(D6842=1,"",E6841)</f>
        <v>24.6</v>
      </c>
      <c r="P6842" s="56" t="n">
        <f aca="false">IF(OR(D6842=1,K6841=""),"",K6841)</f>
        <v>1020.2</v>
      </c>
      <c r="Q6842" s="56" t="n">
        <f aca="false">IF(OR(F6842&lt;&gt;0,AND(I6842&lt;&gt;"",E6842&lt;I6842)),1,0)</f>
        <v>0</v>
      </c>
      <c r="R6842" s="56" t="n">
        <f aca="false">IF(AND(D6842&gt;1,Q6842=0,ISNUMBER(O6842),ISNUMBER(P6842)),IF(Q6841=0,1,0),0)</f>
        <v>1</v>
      </c>
      <c r="S6842" s="56" t="n">
        <f aca="false">R6842*(B6842&gt;=Train_Start)*(B6842&lt;=Train_End)</f>
        <v>0</v>
      </c>
      <c r="T6842" s="84" t="n">
        <f aca="false">IF(AND(ISNUMBER(O6842),ISNUMBER(P6842)),Coef_A+Coef_B1*O6842+Coef_B2*P6842,"")</f>
        <v>24.2462860764411</v>
      </c>
      <c r="U6842" s="84" t="n">
        <f aca="false">IF(AND(R6842=1,ISNUMBER(T6842)),E6842-T6842,"")</f>
        <v>-0.0462860764410529</v>
      </c>
      <c r="V6842" s="84" t="n">
        <f aca="false">IF(ISNUMBER(T6842),T6842,-99)</f>
        <v>24.2462860764411</v>
      </c>
      <c r="W6842" s="84" t="n">
        <f aca="false">IF(ISNUMBER(U6842),ABS(U6842),"")</f>
        <v>0.0462860764410529</v>
      </c>
    </row>
    <row r="6843" customFormat="false" ht="15" hidden="false" customHeight="false" outlineLevel="0" collapsed="false">
      <c r="A6843" s="57" t="n">
        <v>45156</v>
      </c>
      <c r="B6843" s="56" t="n">
        <v>2023</v>
      </c>
      <c r="C6843" s="56" t="n">
        <v>8</v>
      </c>
      <c r="D6843" s="56" t="n">
        <v>110</v>
      </c>
      <c r="E6843" s="56" t="n">
        <v>24.7</v>
      </c>
      <c r="F6843" s="56" t="n">
        <v>0</v>
      </c>
      <c r="G6843" s="56" t="n">
        <v>17.8</v>
      </c>
      <c r="H6843" s="56" t="n">
        <v>0</v>
      </c>
      <c r="I6843" s="56" t="n">
        <v>21</v>
      </c>
      <c r="J6843" s="56" t="n">
        <v>0</v>
      </c>
      <c r="K6843" s="56" t="n">
        <v>1013.1</v>
      </c>
      <c r="L6843" s="56" t="n">
        <v>0</v>
      </c>
      <c r="M6843" s="56" t="n">
        <v>83</v>
      </c>
      <c r="N6843" s="56" t="n">
        <v>2.9</v>
      </c>
      <c r="O6843" s="56" t="n">
        <f aca="false">IF(D6843=1,"",E6842)</f>
        <v>24.2</v>
      </c>
      <c r="P6843" s="56" t="n">
        <f aca="false">IF(OR(D6843=1,K6842=""),"",K6842)</f>
        <v>1019.5</v>
      </c>
      <c r="Q6843" s="56" t="n">
        <f aca="false">IF(OR(F6843&lt;&gt;0,AND(I6843&lt;&gt;"",E6843&lt;I6843)),1,0)</f>
        <v>0</v>
      </c>
      <c r="R6843" s="56" t="n">
        <f aca="false">IF(AND(D6843&gt;1,Q6843=0,ISNUMBER(O6843),ISNUMBER(P6843)),IF(Q6842=0,1,0),0)</f>
        <v>1</v>
      </c>
      <c r="S6843" s="56" t="n">
        <f aca="false">R6843*(B6843&gt;=Train_Start)*(B6843&lt;=Train_End)</f>
        <v>0</v>
      </c>
      <c r="T6843" s="84" t="n">
        <f aca="false">IF(AND(ISNUMBER(O6843),ISNUMBER(P6843)),Coef_A+Coef_B1*O6843+Coef_B2*P6843,"")</f>
        <v>23.8965914729802</v>
      </c>
      <c r="U6843" s="84" t="n">
        <f aca="false">IF(AND(R6843=1,ISNUMBER(T6843)),E6843-T6843,"")</f>
        <v>0.803408527019805</v>
      </c>
      <c r="V6843" s="84" t="n">
        <f aca="false">IF(ISNUMBER(T6843),T6843,-99)</f>
        <v>23.8965914729802</v>
      </c>
      <c r="W6843" s="84" t="n">
        <f aca="false">IF(ISNUMBER(U6843),ABS(U6843),"")</f>
        <v>0.803408527019805</v>
      </c>
    </row>
    <row r="6844" customFormat="false" ht="15" hidden="false" customHeight="false" outlineLevel="0" collapsed="false">
      <c r="A6844" s="57" t="n">
        <v>45157</v>
      </c>
      <c r="B6844" s="56" t="n">
        <v>2023</v>
      </c>
      <c r="C6844" s="56" t="n">
        <v>8</v>
      </c>
      <c r="D6844" s="56" t="n">
        <v>111</v>
      </c>
      <c r="E6844" s="56" t="n">
        <v>25.9</v>
      </c>
      <c r="F6844" s="56" t="n">
        <v>0</v>
      </c>
      <c r="G6844" s="56" t="n">
        <v>17.6</v>
      </c>
      <c r="H6844" s="56" t="n">
        <v>0</v>
      </c>
      <c r="I6844" s="56" t="n">
        <v>21.1</v>
      </c>
      <c r="J6844" s="56" t="n">
        <v>0</v>
      </c>
      <c r="K6844" s="56" t="n">
        <v>1014</v>
      </c>
      <c r="L6844" s="56" t="n">
        <v>0</v>
      </c>
      <c r="M6844" s="56" t="n">
        <v>74</v>
      </c>
      <c r="N6844" s="56" t="n">
        <v>7.1</v>
      </c>
      <c r="O6844" s="56" t="n">
        <f aca="false">IF(D6844=1,"",E6843)</f>
        <v>24.7</v>
      </c>
      <c r="P6844" s="56" t="n">
        <f aca="false">IF(OR(D6844=1,K6843=""),"",K6843)</f>
        <v>1013.1</v>
      </c>
      <c r="Q6844" s="56" t="n">
        <f aca="false">IF(OR(F6844&lt;&gt;0,AND(I6844&lt;&gt;"",E6844&lt;I6844)),1,0)</f>
        <v>0</v>
      </c>
      <c r="R6844" s="56" t="n">
        <f aca="false">IF(AND(D6844&gt;1,Q6844=0,ISNUMBER(O6844),ISNUMBER(P6844)),IF(Q6843=0,1,0),0)</f>
        <v>1</v>
      </c>
      <c r="S6844" s="56" t="n">
        <f aca="false">R6844*(B6844&gt;=Train_Start)*(B6844&lt;=Train_End)</f>
        <v>0</v>
      </c>
      <c r="T6844" s="84" t="n">
        <f aca="false">IF(AND(ISNUMBER(O6844),ISNUMBER(P6844)),Coef_A+Coef_B1*O6844+Coef_B2*P6844,"")</f>
        <v>24.105493743844</v>
      </c>
      <c r="U6844" s="84" t="n">
        <f aca="false">IF(AND(R6844=1,ISNUMBER(T6844)),E6844-T6844,"")</f>
        <v>1.79450625615601</v>
      </c>
      <c r="V6844" s="84" t="n">
        <f aca="false">IF(ISNUMBER(T6844),T6844,-99)</f>
        <v>24.105493743844</v>
      </c>
      <c r="W6844" s="84" t="n">
        <f aca="false">IF(ISNUMBER(U6844),ABS(U6844),"")</f>
        <v>1.79450625615601</v>
      </c>
    </row>
    <row r="6845" customFormat="false" ht="15" hidden="false" customHeight="false" outlineLevel="0" collapsed="false">
      <c r="A6845" s="57" t="n">
        <v>45158</v>
      </c>
      <c r="B6845" s="56" t="n">
        <v>2023</v>
      </c>
      <c r="C6845" s="56" t="n">
        <v>8</v>
      </c>
      <c r="D6845" s="56" t="n">
        <v>112</v>
      </c>
      <c r="E6845" s="56" t="n">
        <v>25.1</v>
      </c>
      <c r="F6845" s="56" t="n">
        <v>0</v>
      </c>
      <c r="G6845" s="56" t="n">
        <v>14.9</v>
      </c>
      <c r="H6845" s="56" t="n">
        <v>0</v>
      </c>
      <c r="I6845" s="56" t="n">
        <v>20.4</v>
      </c>
      <c r="J6845" s="56" t="n">
        <v>0</v>
      </c>
      <c r="K6845" s="56" t="n">
        <v>1021.8</v>
      </c>
      <c r="L6845" s="56" t="n">
        <v>0</v>
      </c>
      <c r="M6845" s="56" t="n">
        <v>74</v>
      </c>
      <c r="N6845" s="56" t="n">
        <v>8.4</v>
      </c>
      <c r="O6845" s="56" t="n">
        <f aca="false">IF(D6845=1,"",E6844)</f>
        <v>25.9</v>
      </c>
      <c r="P6845" s="56" t="n">
        <f aca="false">IF(OR(D6845=1,K6844=""),"",K6844)</f>
        <v>1014</v>
      </c>
      <c r="Q6845" s="56" t="n">
        <f aca="false">IF(OR(F6845&lt;&gt;0,AND(I6845&lt;&gt;"",E6845&lt;I6845)),1,0)</f>
        <v>0</v>
      </c>
      <c r="R6845" s="56" t="n">
        <f aca="false">IF(AND(D6845&gt;1,Q6845=0,ISNUMBER(O6845),ISNUMBER(P6845)),IF(Q6844=0,1,0),0)</f>
        <v>1</v>
      </c>
      <c r="S6845" s="56" t="n">
        <f aca="false">R6845*(B6845&gt;=Train_Start)*(B6845&lt;=Train_End)</f>
        <v>0</v>
      </c>
      <c r="T6845" s="84" t="n">
        <f aca="false">IF(AND(ISNUMBER(O6845),ISNUMBER(P6845)),Coef_A+Coef_B1*O6845+Coef_B2*P6845,"")</f>
        <v>25.1169336806658</v>
      </c>
      <c r="U6845" s="84" t="n">
        <f aca="false">IF(AND(R6845=1,ISNUMBER(T6845)),E6845-T6845,"")</f>
        <v>-0.0169336806657689</v>
      </c>
      <c r="V6845" s="84" t="n">
        <f aca="false">IF(ISNUMBER(T6845),T6845,-99)</f>
        <v>25.1169336806658</v>
      </c>
      <c r="W6845" s="84" t="n">
        <f aca="false">IF(ISNUMBER(U6845),ABS(U6845),"")</f>
        <v>0.0169336806657689</v>
      </c>
    </row>
    <row r="6846" customFormat="false" ht="15" hidden="false" customHeight="false" outlineLevel="0" collapsed="false">
      <c r="A6846" s="57" t="n">
        <v>45159</v>
      </c>
      <c r="B6846" s="56" t="n">
        <v>2023</v>
      </c>
      <c r="C6846" s="56" t="n">
        <v>8</v>
      </c>
      <c r="D6846" s="56" t="n">
        <v>113</v>
      </c>
      <c r="E6846" s="56" t="n">
        <v>26.4</v>
      </c>
      <c r="F6846" s="56" t="n">
        <v>0</v>
      </c>
      <c r="G6846" s="56" t="n">
        <v>14.6</v>
      </c>
      <c r="H6846" s="56" t="n">
        <v>0</v>
      </c>
      <c r="I6846" s="56" t="n">
        <v>19.9</v>
      </c>
      <c r="J6846" s="56" t="n">
        <v>0</v>
      </c>
      <c r="K6846" s="56" t="n">
        <v>1023.2</v>
      </c>
      <c r="L6846" s="56" t="n">
        <v>0</v>
      </c>
      <c r="M6846" s="56" t="n">
        <v>74</v>
      </c>
      <c r="N6846" s="56" t="n">
        <v>7.7</v>
      </c>
      <c r="O6846" s="56" t="n">
        <f aca="false">IF(D6846=1,"",E6845)</f>
        <v>25.1</v>
      </c>
      <c r="P6846" s="56" t="n">
        <f aca="false">IF(OR(D6846=1,K6845=""),"",K6845)</f>
        <v>1021.8</v>
      </c>
      <c r="Q6846" s="56" t="n">
        <f aca="false">IF(OR(F6846&lt;&gt;0,AND(I6846&lt;&gt;"",E6846&lt;I6846)),1,0)</f>
        <v>0</v>
      </c>
      <c r="R6846" s="56" t="n">
        <f aca="false">IF(AND(D6846&gt;1,Q6846=0,ISNUMBER(O6846),ISNUMBER(P6846)),IF(Q6845=0,1,0),0)</f>
        <v>1</v>
      </c>
      <c r="S6846" s="56" t="n">
        <f aca="false">R6846*(B6846&gt;=Train_Start)*(B6846&lt;=Train_End)</f>
        <v>0</v>
      </c>
      <c r="T6846" s="84" t="n">
        <f aca="false">IF(AND(ISNUMBER(O6846),ISNUMBER(P6846)),Coef_A+Coef_B1*O6846+Coef_B2*P6846,"")</f>
        <v>24.7061475043768</v>
      </c>
      <c r="U6846" s="84" t="n">
        <f aca="false">IF(AND(R6846=1,ISNUMBER(T6846)),E6846-T6846,"")</f>
        <v>1.69385249562324</v>
      </c>
      <c r="V6846" s="84" t="n">
        <f aca="false">IF(ISNUMBER(T6846),T6846,-99)</f>
        <v>24.7061475043768</v>
      </c>
      <c r="W6846" s="84" t="n">
        <f aca="false">IF(ISNUMBER(U6846),ABS(U6846),"")</f>
        <v>1.69385249562324</v>
      </c>
    </row>
    <row r="6847" customFormat="false" ht="15" hidden="false" customHeight="false" outlineLevel="0" collapsed="false">
      <c r="A6847" s="57" t="n">
        <v>45160</v>
      </c>
      <c r="B6847" s="56" t="n">
        <v>2023</v>
      </c>
      <c r="C6847" s="56" t="n">
        <v>8</v>
      </c>
      <c r="D6847" s="56" t="n">
        <v>114</v>
      </c>
      <c r="E6847" s="56" t="n">
        <v>27.6</v>
      </c>
      <c r="F6847" s="56" t="n">
        <v>0</v>
      </c>
      <c r="G6847" s="56" t="n">
        <v>14.9</v>
      </c>
      <c r="H6847" s="56" t="n">
        <v>0</v>
      </c>
      <c r="I6847" s="56" t="n">
        <v>20.6</v>
      </c>
      <c r="J6847" s="56" t="n">
        <v>0</v>
      </c>
      <c r="K6847" s="56" t="n">
        <v>1020.6</v>
      </c>
      <c r="L6847" s="56" t="n">
        <v>0</v>
      </c>
      <c r="M6847" s="56" t="n">
        <v>70</v>
      </c>
      <c r="N6847" s="56" t="n">
        <v>9.1</v>
      </c>
      <c r="O6847" s="56" t="n">
        <f aca="false">IF(D6847=1,"",E6846)</f>
        <v>26.4</v>
      </c>
      <c r="P6847" s="56" t="n">
        <f aca="false">IF(OR(D6847=1,K6846=""),"",K6846)</f>
        <v>1023.2</v>
      </c>
      <c r="Q6847" s="56" t="n">
        <f aca="false">IF(OR(F6847&lt;&gt;0,AND(I6847&lt;&gt;"",E6847&lt;I6847)),1,0)</f>
        <v>0</v>
      </c>
      <c r="R6847" s="56" t="n">
        <f aca="false">IF(AND(D6847&gt;1,Q6847=0,ISNUMBER(O6847),ISNUMBER(P6847)),IF(Q6846=0,1,0),0)</f>
        <v>1</v>
      </c>
      <c r="S6847" s="56" t="n">
        <f aca="false">R6847*(B6847&gt;=Train_Start)*(B6847&lt;=Train_End)</f>
        <v>0</v>
      </c>
      <c r="T6847" s="84" t="n">
        <f aca="false">IF(AND(ISNUMBER(O6847),ISNUMBER(P6847)),Coef_A+Coef_B1*O6847+Coef_B2*P6847,"")</f>
        <v>25.8152063078198</v>
      </c>
      <c r="U6847" s="84" t="n">
        <f aca="false">IF(AND(R6847=1,ISNUMBER(T6847)),E6847-T6847,"")</f>
        <v>1.7847936921802</v>
      </c>
      <c r="V6847" s="84" t="n">
        <f aca="false">IF(ISNUMBER(T6847),T6847,-99)</f>
        <v>25.8152063078198</v>
      </c>
      <c r="W6847" s="84" t="n">
        <f aca="false">IF(ISNUMBER(U6847),ABS(U6847),"")</f>
        <v>1.7847936921802</v>
      </c>
    </row>
    <row r="6848" customFormat="false" ht="15" hidden="false" customHeight="false" outlineLevel="0" collapsed="false">
      <c r="A6848" s="57" t="n">
        <v>45161</v>
      </c>
      <c r="B6848" s="56" t="n">
        <v>2023</v>
      </c>
      <c r="C6848" s="56" t="n">
        <v>8</v>
      </c>
      <c r="D6848" s="56" t="n">
        <v>115</v>
      </c>
      <c r="E6848" s="56" t="n">
        <v>24.6</v>
      </c>
      <c r="F6848" s="56" t="n">
        <v>0</v>
      </c>
      <c r="G6848" s="56" t="n">
        <v>14.8</v>
      </c>
      <c r="H6848" s="56" t="n">
        <v>0</v>
      </c>
      <c r="I6848" s="56" t="n">
        <v>21.2</v>
      </c>
      <c r="J6848" s="56" t="n">
        <v>0</v>
      </c>
      <c r="K6848" s="56" t="n">
        <v>1019.5</v>
      </c>
      <c r="L6848" s="56" t="n">
        <v>0</v>
      </c>
      <c r="M6848" s="56" t="n">
        <v>66</v>
      </c>
      <c r="N6848" s="56" t="n">
        <v>10.4</v>
      </c>
      <c r="O6848" s="56" t="n">
        <f aca="false">IF(D6848=1,"",E6847)</f>
        <v>27.6</v>
      </c>
      <c r="P6848" s="56" t="n">
        <f aca="false">IF(OR(D6848=1,K6847=""),"",K6847)</f>
        <v>1020.6</v>
      </c>
      <c r="Q6848" s="56" t="n">
        <f aca="false">IF(OR(F6848&lt;&gt;0,AND(I6848&lt;&gt;"",E6848&lt;I6848)),1,0)</f>
        <v>0</v>
      </c>
      <c r="R6848" s="56" t="n">
        <f aca="false">IF(AND(D6848&gt;1,Q6848=0,ISNUMBER(O6848),ISNUMBER(P6848)),IF(Q6847=0,1,0),0)</f>
        <v>1</v>
      </c>
      <c r="S6848" s="56" t="n">
        <f aca="false">R6848*(B6848&gt;=Train_Start)*(B6848&lt;=Train_End)</f>
        <v>0</v>
      </c>
      <c r="T6848" s="84" t="n">
        <f aca="false">IF(AND(ISNUMBER(O6848),ISNUMBER(P6848)),Coef_A+Coef_B1*O6848+Coef_B2*P6848,"")</f>
        <v>26.7168516134226</v>
      </c>
      <c r="U6848" s="84" t="n">
        <f aca="false">IF(AND(R6848=1,ISNUMBER(T6848)),E6848-T6848,"")</f>
        <v>-2.11685161342263</v>
      </c>
      <c r="V6848" s="84" t="n">
        <f aca="false">IF(ISNUMBER(T6848),T6848,-99)</f>
        <v>26.7168516134226</v>
      </c>
      <c r="W6848" s="84" t="n">
        <f aca="false">IF(ISNUMBER(U6848),ABS(U6848),"")</f>
        <v>2.11685161342263</v>
      </c>
    </row>
    <row r="6849" customFormat="false" ht="15" hidden="false" customHeight="false" outlineLevel="0" collapsed="false">
      <c r="A6849" s="57" t="n">
        <v>45162</v>
      </c>
      <c r="B6849" s="56" t="n">
        <v>2023</v>
      </c>
      <c r="C6849" s="56" t="n">
        <v>8</v>
      </c>
      <c r="D6849" s="56" t="n">
        <v>116</v>
      </c>
      <c r="E6849" s="56" t="n">
        <v>22.1</v>
      </c>
      <c r="F6849" s="56" t="n">
        <v>0</v>
      </c>
      <c r="G6849" s="56" t="n">
        <v>16.6</v>
      </c>
      <c r="H6849" s="56" t="n">
        <v>0</v>
      </c>
      <c r="I6849" s="56" t="n">
        <v>20.6</v>
      </c>
      <c r="J6849" s="56" t="n">
        <v>0</v>
      </c>
      <c r="K6849" s="56" t="n">
        <v>1012.1</v>
      </c>
      <c r="L6849" s="56" t="n">
        <v>0</v>
      </c>
      <c r="M6849" s="56" t="n">
        <v>75</v>
      </c>
      <c r="N6849" s="56" t="n">
        <v>1.9</v>
      </c>
      <c r="O6849" s="56" t="n">
        <f aca="false">IF(D6849=1,"",E6848)</f>
        <v>24.6</v>
      </c>
      <c r="P6849" s="56" t="n">
        <f aca="false">IF(OR(D6849=1,K6848=""),"",K6848)</f>
        <v>1019.5</v>
      </c>
      <c r="Q6849" s="56" t="n">
        <f aca="false">IF(OR(F6849&lt;&gt;0,AND(I6849&lt;&gt;"",E6849&lt;I6849)),1,0)</f>
        <v>0</v>
      </c>
      <c r="R6849" s="56" t="n">
        <f aca="false">IF(AND(D6849&gt;1,Q6849=0,ISNUMBER(O6849),ISNUMBER(P6849)),IF(Q6848=0,1,0),0)</f>
        <v>1</v>
      </c>
      <c r="S6849" s="56" t="n">
        <f aca="false">R6849*(B6849&gt;=Train_Start)*(B6849&lt;=Train_End)</f>
        <v>0</v>
      </c>
      <c r="T6849" s="84" t="n">
        <f aca="false">IF(AND(ISNUMBER(O6849),ISNUMBER(P6849)),Coef_A+Coef_B1*O6849+Coef_B2*P6849,"")</f>
        <v>24.2243271501973</v>
      </c>
      <c r="U6849" s="84" t="n">
        <f aca="false">IF(AND(R6849=1,ISNUMBER(T6849)),E6849-T6849,"")</f>
        <v>-2.12432715019726</v>
      </c>
      <c r="V6849" s="84" t="n">
        <f aca="false">IF(ISNUMBER(T6849),T6849,-99)</f>
        <v>24.2243271501973</v>
      </c>
      <c r="W6849" s="84" t="n">
        <f aca="false">IF(ISNUMBER(U6849),ABS(U6849),"")</f>
        <v>2.12432715019726</v>
      </c>
    </row>
    <row r="6850" customFormat="false" ht="15" hidden="false" customHeight="false" outlineLevel="0" collapsed="false">
      <c r="A6850" s="57" t="n">
        <v>45163</v>
      </c>
      <c r="B6850" s="56" t="n">
        <v>2023</v>
      </c>
      <c r="C6850" s="56" t="n">
        <v>8</v>
      </c>
      <c r="D6850" s="56" t="n">
        <v>117</v>
      </c>
      <c r="E6850" s="56" t="n">
        <v>21.1</v>
      </c>
      <c r="F6850" s="56" t="n">
        <v>0</v>
      </c>
      <c r="G6850" s="56" t="n">
        <v>13.9</v>
      </c>
      <c r="H6850" s="56" t="n">
        <v>0</v>
      </c>
      <c r="I6850" s="56" t="n">
        <v>18</v>
      </c>
      <c r="J6850" s="56" t="n">
        <v>0</v>
      </c>
      <c r="K6850" s="56" t="n">
        <v>1009.9</v>
      </c>
      <c r="L6850" s="56" t="n">
        <v>0</v>
      </c>
      <c r="M6850" s="56" t="n">
        <v>63</v>
      </c>
      <c r="N6850" s="56" t="n">
        <v>6</v>
      </c>
      <c r="O6850" s="56" t="n">
        <f aca="false">IF(D6850=1,"",E6849)</f>
        <v>22.1</v>
      </c>
      <c r="P6850" s="56" t="n">
        <f aca="false">IF(OR(D6850=1,K6849=""),"",K6849)</f>
        <v>1012.1</v>
      </c>
      <c r="Q6850" s="56" t="n">
        <f aca="false">IF(OR(F6850&lt;&gt;0,AND(I6850&lt;&gt;"",E6850&lt;I6850)),1,0)</f>
        <v>0</v>
      </c>
      <c r="R6850" s="56" t="n">
        <f aca="false">IF(AND(D6850&gt;1,Q6850=0,ISNUMBER(O6850),ISNUMBER(P6850)),IF(Q6849=0,1,0),0)</f>
        <v>1</v>
      </c>
      <c r="S6850" s="56" t="n">
        <f aca="false">R6850*(B6850&gt;=Train_Start)*(B6850&lt;=Train_End)</f>
        <v>0</v>
      </c>
      <c r="T6850" s="84" t="n">
        <f aca="false">IF(AND(ISNUMBER(O6850),ISNUMBER(P6850)),Coef_A+Coef_B1*O6850+Coef_B2*P6850,"")</f>
        <v>21.9438419472991</v>
      </c>
      <c r="U6850" s="84" t="n">
        <f aca="false">IF(AND(R6850=1,ISNUMBER(T6850)),E6850-T6850,"")</f>
        <v>-0.843841947299094</v>
      </c>
      <c r="V6850" s="84" t="n">
        <f aca="false">IF(ISNUMBER(T6850),T6850,-99)</f>
        <v>21.9438419472991</v>
      </c>
      <c r="W6850" s="84" t="n">
        <f aca="false">IF(ISNUMBER(U6850),ABS(U6850),"")</f>
        <v>0.843841947299094</v>
      </c>
    </row>
    <row r="6851" customFormat="false" ht="15" hidden="false" customHeight="false" outlineLevel="0" collapsed="false">
      <c r="A6851" s="57" t="n">
        <v>45164</v>
      </c>
      <c r="B6851" s="56" t="n">
        <v>2023</v>
      </c>
      <c r="C6851" s="56" t="n">
        <v>8</v>
      </c>
      <c r="D6851" s="56" t="n">
        <v>118</v>
      </c>
      <c r="E6851" s="56" t="n">
        <v>21.4</v>
      </c>
      <c r="F6851" s="56" t="n">
        <v>0</v>
      </c>
      <c r="G6851" s="56" t="n">
        <v>11.7</v>
      </c>
      <c r="H6851" s="56" t="n">
        <v>0</v>
      </c>
      <c r="I6851" s="56" t="n">
        <v>16.4</v>
      </c>
      <c r="J6851" s="56" t="n">
        <v>0</v>
      </c>
      <c r="K6851" s="56" t="n">
        <v>1008.7</v>
      </c>
      <c r="L6851" s="56" t="n">
        <v>0</v>
      </c>
      <c r="M6851" s="56" t="n">
        <v>78</v>
      </c>
      <c r="N6851" s="56" t="n">
        <v>4.2</v>
      </c>
      <c r="O6851" s="56" t="n">
        <f aca="false">IF(D6851=1,"",E6850)</f>
        <v>21.1</v>
      </c>
      <c r="P6851" s="56" t="n">
        <f aca="false">IF(OR(D6851=1,K6850=""),"",K6850)</f>
        <v>1009.9</v>
      </c>
      <c r="Q6851" s="56" t="n">
        <f aca="false">IF(OR(F6851&lt;&gt;0,AND(I6851&lt;&gt;"",E6851&lt;I6851)),1,0)</f>
        <v>0</v>
      </c>
      <c r="R6851" s="56" t="n">
        <f aca="false">IF(AND(D6851&gt;1,Q6851=0,ISNUMBER(O6851),ISNUMBER(P6851)),IF(Q6850=0,1,0),0)</f>
        <v>1</v>
      </c>
      <c r="S6851" s="56" t="n">
        <f aca="false">R6851*(B6851&gt;=Train_Start)*(B6851&lt;=Train_End)</f>
        <v>0</v>
      </c>
      <c r="T6851" s="84" t="n">
        <f aca="false">IF(AND(ISNUMBER(O6851),ISNUMBER(P6851)),Coef_A+Coef_B1*O6851+Coef_B2*P6851,"")</f>
        <v>21.0554889860617</v>
      </c>
      <c r="U6851" s="84" t="n">
        <f aca="false">IF(AND(R6851=1,ISNUMBER(T6851)),E6851-T6851,"")</f>
        <v>0.344511013938341</v>
      </c>
      <c r="V6851" s="84" t="n">
        <f aca="false">IF(ISNUMBER(T6851),T6851,-99)</f>
        <v>21.0554889860617</v>
      </c>
      <c r="W6851" s="84" t="n">
        <f aca="false">IF(ISNUMBER(U6851),ABS(U6851),"")</f>
        <v>0.344511013938341</v>
      </c>
    </row>
    <row r="6852" customFormat="false" ht="15" hidden="false" customHeight="false" outlineLevel="0" collapsed="false">
      <c r="A6852" s="57" t="n">
        <v>45165</v>
      </c>
      <c r="B6852" s="56" t="n">
        <v>2023</v>
      </c>
      <c r="C6852" s="56" t="n">
        <v>8</v>
      </c>
      <c r="D6852" s="56" t="n">
        <v>119</v>
      </c>
      <c r="E6852" s="56" t="n">
        <v>21</v>
      </c>
      <c r="F6852" s="56" t="n">
        <v>0</v>
      </c>
      <c r="G6852" s="56" t="n">
        <v>10.5</v>
      </c>
      <c r="H6852" s="56" t="n">
        <v>0</v>
      </c>
      <c r="I6852" s="56" t="n">
        <v>15.9</v>
      </c>
      <c r="J6852" s="56" t="n">
        <v>0</v>
      </c>
      <c r="K6852" s="56" t="n">
        <v>1010.9</v>
      </c>
      <c r="L6852" s="56" t="n">
        <v>0</v>
      </c>
      <c r="M6852" s="56" t="n">
        <v>73</v>
      </c>
      <c r="N6852" s="56" t="n">
        <v>7.3</v>
      </c>
      <c r="O6852" s="56" t="n">
        <f aca="false">IF(D6852=1,"",E6851)</f>
        <v>21.4</v>
      </c>
      <c r="P6852" s="56" t="n">
        <f aca="false">IF(OR(D6852=1,K6851=""),"",K6851)</f>
        <v>1008.7</v>
      </c>
      <c r="Q6852" s="56" t="n">
        <f aca="false">IF(OR(F6852&lt;&gt;0,AND(I6852&lt;&gt;"",E6852&lt;I6852)),1,0)</f>
        <v>0</v>
      </c>
      <c r="R6852" s="56" t="n">
        <f aca="false">IF(AND(D6852&gt;1,Q6852=0,ISNUMBER(O6852),ISNUMBER(P6852)),IF(Q6851=0,1,0),0)</f>
        <v>1</v>
      </c>
      <c r="S6852" s="56" t="n">
        <f aca="false">R6852*(B6852&gt;=Train_Start)*(B6852&lt;=Train_End)</f>
        <v>0</v>
      </c>
      <c r="T6852" s="84" t="n">
        <f aca="false">IF(AND(ISNUMBER(O6852),ISNUMBER(P6852)),Coef_A+Coef_B1*O6852+Coef_B2*P6852,"")</f>
        <v>21.2636468704137</v>
      </c>
      <c r="U6852" s="84" t="n">
        <f aca="false">IF(AND(R6852=1,ISNUMBER(T6852)),E6852-T6852,"")</f>
        <v>-0.263646870413673</v>
      </c>
      <c r="V6852" s="84" t="n">
        <f aca="false">IF(ISNUMBER(T6852),T6852,-99)</f>
        <v>21.2636468704137</v>
      </c>
      <c r="W6852" s="84" t="n">
        <f aca="false">IF(ISNUMBER(U6852),ABS(U6852),"")</f>
        <v>0.263646870413673</v>
      </c>
    </row>
    <row r="6853" customFormat="false" ht="15" hidden="false" customHeight="false" outlineLevel="0" collapsed="false">
      <c r="A6853" s="57" t="n">
        <v>45166</v>
      </c>
      <c r="B6853" s="56" t="n">
        <v>2023</v>
      </c>
      <c r="C6853" s="56" t="n">
        <v>8</v>
      </c>
      <c r="D6853" s="56" t="n">
        <v>120</v>
      </c>
      <c r="E6853" s="56" t="n">
        <v>21.5</v>
      </c>
      <c r="F6853" s="56" t="n">
        <v>0</v>
      </c>
      <c r="G6853" s="56" t="n">
        <v>12</v>
      </c>
      <c r="H6853" s="56" t="n">
        <v>0</v>
      </c>
      <c r="I6853" s="56" t="n">
        <v>16.5</v>
      </c>
      <c r="J6853" s="56" t="n">
        <v>0</v>
      </c>
      <c r="K6853" s="56" t="n">
        <v>1014.7</v>
      </c>
      <c r="L6853" s="56" t="n">
        <v>0</v>
      </c>
      <c r="M6853" s="56" t="n">
        <v>70</v>
      </c>
      <c r="N6853" s="56" t="n">
        <v>4.8</v>
      </c>
      <c r="O6853" s="56" t="n">
        <f aca="false">IF(D6853=1,"",E6852)</f>
        <v>21</v>
      </c>
      <c r="P6853" s="56" t="n">
        <f aca="false">IF(OR(D6853=1,K6852=""),"",K6852)</f>
        <v>1010.9</v>
      </c>
      <c r="Q6853" s="56" t="n">
        <f aca="false">IF(OR(F6853&lt;&gt;0,AND(I6853&lt;&gt;"",E6853&lt;I6853)),1,0)</f>
        <v>0</v>
      </c>
      <c r="R6853" s="56" t="n">
        <f aca="false">IF(AND(D6853&gt;1,Q6853=0,ISNUMBER(O6853),ISNUMBER(P6853)),IF(Q6852=0,1,0),0)</f>
        <v>1</v>
      </c>
      <c r="S6853" s="56" t="n">
        <f aca="false">R6853*(B6853&gt;=Train_Start)*(B6853&lt;=Train_End)</f>
        <v>0</v>
      </c>
      <c r="T6853" s="84" t="n">
        <f aca="false">IF(AND(ISNUMBER(O6853),ISNUMBER(P6853)),Coef_A+Coef_B1*O6853+Coef_B2*P6853,"")</f>
        <v>21.0049249613914</v>
      </c>
      <c r="U6853" s="84" t="n">
        <f aca="false">IF(AND(R6853=1,ISNUMBER(T6853)),E6853-T6853,"")</f>
        <v>0.495075038608618</v>
      </c>
      <c r="V6853" s="84" t="n">
        <f aca="false">IF(ISNUMBER(T6853),T6853,-99)</f>
        <v>21.0049249613914</v>
      </c>
      <c r="W6853" s="84" t="n">
        <f aca="false">IF(ISNUMBER(U6853),ABS(U6853),"")</f>
        <v>0.495075038608618</v>
      </c>
    </row>
    <row r="6854" customFormat="false" ht="15" hidden="false" customHeight="false" outlineLevel="0" collapsed="false">
      <c r="A6854" s="57" t="n">
        <v>45167</v>
      </c>
      <c r="B6854" s="56" t="n">
        <v>2023</v>
      </c>
      <c r="C6854" s="56" t="n">
        <v>8</v>
      </c>
      <c r="D6854" s="56" t="n">
        <v>121</v>
      </c>
      <c r="E6854" s="56" t="n">
        <v>21.1</v>
      </c>
      <c r="F6854" s="56" t="n">
        <v>0</v>
      </c>
      <c r="G6854" s="56" t="n">
        <v>14.4</v>
      </c>
      <c r="H6854" s="56" t="n">
        <v>0</v>
      </c>
      <c r="I6854" s="56" t="n">
        <v>17.9</v>
      </c>
      <c r="J6854" s="56" t="n">
        <v>0</v>
      </c>
      <c r="K6854" s="56" t="n">
        <v>1012.1</v>
      </c>
      <c r="L6854" s="56" t="n">
        <v>0</v>
      </c>
      <c r="M6854" s="56" t="n">
        <v>72</v>
      </c>
      <c r="N6854" s="56" t="n">
        <v>2.2</v>
      </c>
      <c r="O6854" s="56" t="n">
        <f aca="false">IF(D6854=1,"",E6853)</f>
        <v>21.5</v>
      </c>
      <c r="P6854" s="56" t="n">
        <f aca="false">IF(OR(D6854=1,K6853=""),"",K6853)</f>
        <v>1014.7</v>
      </c>
      <c r="Q6854" s="56" t="n">
        <f aca="false">IF(OR(F6854&lt;&gt;0,AND(I6854&lt;&gt;"",E6854&lt;I6854)),1,0)</f>
        <v>0</v>
      </c>
      <c r="R6854" s="56" t="n">
        <f aca="false">IF(AND(D6854&gt;1,Q6854=0,ISNUMBER(O6854),ISNUMBER(P6854)),IF(Q6853=0,1,0),0)</f>
        <v>1</v>
      </c>
      <c r="S6854" s="56" t="n">
        <f aca="false">R6854*(B6854&gt;=Train_Start)*(B6854&lt;=Train_End)</f>
        <v>0</v>
      </c>
      <c r="T6854" s="84" t="n">
        <f aca="false">IF(AND(ISNUMBER(O6854),ISNUMBER(P6854)),Coef_A+Coef_B1*O6854+Coef_B2*P6854,"")</f>
        <v>21.5338001575219</v>
      </c>
      <c r="U6854" s="84" t="n">
        <f aca="false">IF(AND(R6854=1,ISNUMBER(T6854)),E6854-T6854,"")</f>
        <v>-0.433800157521873</v>
      </c>
      <c r="V6854" s="84" t="n">
        <f aca="false">IF(ISNUMBER(T6854),T6854,-99)</f>
        <v>21.5338001575219</v>
      </c>
      <c r="W6854" s="84" t="n">
        <f aca="false">IF(ISNUMBER(U6854),ABS(U6854),"")</f>
        <v>0.433800157521873</v>
      </c>
    </row>
    <row r="6855" customFormat="false" ht="15" hidden="false" customHeight="false" outlineLevel="0" collapsed="false">
      <c r="A6855" s="57" t="n">
        <v>45168</v>
      </c>
      <c r="B6855" s="56" t="n">
        <v>2023</v>
      </c>
      <c r="C6855" s="56" t="n">
        <v>8</v>
      </c>
      <c r="D6855" s="56" t="n">
        <v>122</v>
      </c>
      <c r="E6855" s="56" t="n">
        <v>17.3</v>
      </c>
      <c r="F6855" s="56" t="n">
        <v>0</v>
      </c>
      <c r="G6855" s="56" t="n">
        <v>10.5</v>
      </c>
      <c r="H6855" s="56" t="n">
        <v>0</v>
      </c>
      <c r="I6855" s="56" t="n">
        <v>15.8</v>
      </c>
      <c r="J6855" s="56" t="n">
        <v>0</v>
      </c>
      <c r="K6855" s="56" t="n">
        <v>1008.8</v>
      </c>
      <c r="L6855" s="56" t="n">
        <v>0</v>
      </c>
      <c r="M6855" s="56" t="n">
        <v>68</v>
      </c>
      <c r="N6855" s="56" t="n">
        <v>5.5</v>
      </c>
      <c r="O6855" s="56" t="n">
        <f aca="false">IF(D6855=1,"",E6854)</f>
        <v>21.1</v>
      </c>
      <c r="P6855" s="56" t="n">
        <f aca="false">IF(OR(D6855=1,K6854=""),"",K6854)</f>
        <v>1012.1</v>
      </c>
      <c r="Q6855" s="56" t="n">
        <f aca="false">IF(OR(F6855&lt;&gt;0,AND(I6855&lt;&gt;"",E6855&lt;I6855)),1,0)</f>
        <v>0</v>
      </c>
      <c r="R6855" s="56" t="n">
        <f aca="false">IF(AND(D6855&gt;1,Q6855=0,ISNUMBER(O6855),ISNUMBER(P6855)),IF(Q6854=0,1,0),0)</f>
        <v>1</v>
      </c>
      <c r="S6855" s="56" t="n">
        <f aca="false">R6855*(B6855&gt;=Train_Start)*(B6855&lt;=Train_End)</f>
        <v>0</v>
      </c>
      <c r="T6855" s="84" t="n">
        <f aca="false">IF(AND(ISNUMBER(O6855),ISNUMBER(P6855)),Coef_A+Coef_B1*O6855+Coef_B2*P6855,"")</f>
        <v>21.1245027542564</v>
      </c>
      <c r="U6855" s="84" t="n">
        <f aca="false">IF(AND(R6855=1,ISNUMBER(T6855)),E6855-T6855,"")</f>
        <v>-3.82450275425644</v>
      </c>
      <c r="V6855" s="84" t="n">
        <f aca="false">IF(ISNUMBER(T6855),T6855,-99)</f>
        <v>21.1245027542564</v>
      </c>
      <c r="W6855" s="84" t="n">
        <f aca="false">IF(ISNUMBER(U6855),ABS(U6855),"")</f>
        <v>3.82450275425644</v>
      </c>
    </row>
    <row r="6856" customFormat="false" ht="15" hidden="false" customHeight="false" outlineLevel="0" collapsed="false">
      <c r="A6856" s="57" t="n">
        <v>45169</v>
      </c>
      <c r="B6856" s="56" t="n">
        <v>2023</v>
      </c>
      <c r="C6856" s="56" t="n">
        <v>8</v>
      </c>
      <c r="D6856" s="56" t="n">
        <v>123</v>
      </c>
      <c r="E6856" s="56" t="n">
        <v>22.9</v>
      </c>
      <c r="F6856" s="56" t="n">
        <v>0</v>
      </c>
      <c r="G6856" s="56" t="n">
        <v>11.3</v>
      </c>
      <c r="H6856" s="56" t="n">
        <v>0</v>
      </c>
      <c r="I6856" s="56" t="n">
        <v>14.3</v>
      </c>
      <c r="J6856" s="56" t="n">
        <v>0</v>
      </c>
      <c r="K6856" s="56" t="n">
        <v>1009.8</v>
      </c>
      <c r="L6856" s="56" t="n">
        <v>0</v>
      </c>
      <c r="M6856" s="56" t="n">
        <v>83</v>
      </c>
      <c r="N6856" s="56" t="n">
        <v>0.1</v>
      </c>
      <c r="O6856" s="56" t="n">
        <f aca="false">IF(D6856=1,"",E6855)</f>
        <v>17.3</v>
      </c>
      <c r="P6856" s="56" t="n">
        <f aca="false">IF(OR(D6856=1,K6855=""),"",K6855)</f>
        <v>1008.8</v>
      </c>
      <c r="Q6856" s="56" t="n">
        <f aca="false">IF(OR(F6856&lt;&gt;0,AND(I6856&lt;&gt;"",E6856&lt;I6856)),1,0)</f>
        <v>0</v>
      </c>
      <c r="R6856" s="56" t="n">
        <f aca="false">IF(AND(D6856&gt;1,Q6856=0,ISNUMBER(O6856),ISNUMBER(P6856)),IF(Q6855=0,1,0),0)</f>
        <v>1</v>
      </c>
      <c r="S6856" s="56" t="n">
        <f aca="false">R6856*(B6856&gt;=Train_Start)*(B6856&lt;=Train_End)</f>
        <v>0</v>
      </c>
      <c r="T6856" s="84" t="n">
        <f aca="false">IF(AND(ISNUMBER(O6856),ISNUMBER(P6856)),Coef_A+Coef_B1*O6856+Coef_B2*P6856,"")</f>
        <v>17.9074931684022</v>
      </c>
      <c r="U6856" s="84" t="n">
        <f aca="false">IF(AND(R6856=1,ISNUMBER(T6856)),E6856-T6856,"")</f>
        <v>4.99250683159782</v>
      </c>
      <c r="V6856" s="84" t="n">
        <f aca="false">IF(ISNUMBER(T6856),T6856,-99)</f>
        <v>17.9074931684022</v>
      </c>
      <c r="W6856" s="84" t="n">
        <f aca="false">IF(ISNUMBER(U6856),ABS(U6856),"")</f>
        <v>4.99250683159782</v>
      </c>
    </row>
    <row r="6857" customFormat="false" ht="15" hidden="false" customHeight="false" outlineLevel="0" collapsed="false">
      <c r="A6857" s="57" t="n">
        <v>45170</v>
      </c>
      <c r="B6857" s="56" t="n">
        <v>2023</v>
      </c>
      <c r="C6857" s="56" t="n">
        <v>9</v>
      </c>
      <c r="D6857" s="56" t="n">
        <v>124</v>
      </c>
      <c r="E6857" s="56" t="n">
        <v>24.4</v>
      </c>
      <c r="F6857" s="56" t="n">
        <v>0</v>
      </c>
      <c r="G6857" s="56" t="n">
        <v>14</v>
      </c>
      <c r="H6857" s="56" t="n">
        <v>0</v>
      </c>
      <c r="I6857" s="56" t="n">
        <v>18.4</v>
      </c>
      <c r="J6857" s="56" t="n">
        <v>0</v>
      </c>
      <c r="K6857" s="56" t="n">
        <v>1010.8</v>
      </c>
      <c r="L6857" s="56" t="n">
        <v>0</v>
      </c>
      <c r="M6857" s="56" t="n">
        <v>85</v>
      </c>
      <c r="N6857" s="56" t="n">
        <v>2.8</v>
      </c>
      <c r="O6857" s="56" t="n">
        <f aca="false">IF(D6857=1,"",E6856)</f>
        <v>22.9</v>
      </c>
      <c r="P6857" s="56" t="n">
        <f aca="false">IF(OR(D6857=1,K6856=""),"",K6856)</f>
        <v>1009.8</v>
      </c>
      <c r="Q6857" s="56" t="n">
        <f aca="false">IF(OR(F6857&lt;&gt;0,AND(I6857&lt;&gt;"",E6857&lt;I6857)),1,0)</f>
        <v>0</v>
      </c>
      <c r="R6857" s="56" t="n">
        <f aca="false">IF(AND(D6857&gt;1,Q6857=0,ISNUMBER(O6857),ISNUMBER(P6857)),IF(Q6856=0,1,0),0)</f>
        <v>1</v>
      </c>
      <c r="S6857" s="56" t="n">
        <f aca="false">R6857*(B6857&gt;=Train_Start)*(B6857&lt;=Train_End)</f>
        <v>0</v>
      </c>
      <c r="T6857" s="84" t="n">
        <f aca="false">IF(AND(ISNUMBER(O6857),ISNUMBER(P6857)),Coef_A+Coef_B1*O6857+Coef_B2*P6857,"")</f>
        <v>22.527162544075</v>
      </c>
      <c r="U6857" s="84" t="n">
        <f aca="false">IF(AND(R6857=1,ISNUMBER(T6857)),E6857-T6857,"")</f>
        <v>1.87283745592496</v>
      </c>
      <c r="V6857" s="84" t="n">
        <f aca="false">IF(ISNUMBER(T6857),T6857,-99)</f>
        <v>22.527162544075</v>
      </c>
      <c r="W6857" s="84" t="n">
        <f aca="false">IF(ISNUMBER(U6857),ABS(U6857),"")</f>
        <v>1.87283745592496</v>
      </c>
    </row>
    <row r="6858" customFormat="false" ht="15" hidden="false" customHeight="false" outlineLevel="0" collapsed="false">
      <c r="A6858" s="57" t="n">
        <v>45171</v>
      </c>
      <c r="B6858" s="56" t="n">
        <v>2023</v>
      </c>
      <c r="C6858" s="56" t="n">
        <v>9</v>
      </c>
      <c r="D6858" s="56" t="n">
        <v>125</v>
      </c>
      <c r="E6858" s="56" t="n">
        <v>26.8</v>
      </c>
      <c r="F6858" s="56" t="n">
        <v>0</v>
      </c>
      <c r="G6858" s="56" t="n">
        <v>16.8</v>
      </c>
      <c r="H6858" s="56" t="n">
        <v>0</v>
      </c>
      <c r="I6858" s="56" t="n">
        <v>20.6</v>
      </c>
      <c r="J6858" s="56" t="n">
        <v>0</v>
      </c>
      <c r="K6858" s="56" t="n">
        <v>1020.7</v>
      </c>
      <c r="L6858" s="56" t="n">
        <v>0</v>
      </c>
      <c r="M6858" s="56" t="n">
        <v>78</v>
      </c>
      <c r="N6858" s="56" t="n">
        <v>3.6</v>
      </c>
      <c r="O6858" s="56" t="n">
        <f aca="false">IF(D6858=1,"",E6857)</f>
        <v>24.4</v>
      </c>
      <c r="P6858" s="56" t="n">
        <f aca="false">IF(OR(D6858=1,K6857=""),"",K6857)</f>
        <v>1010.8</v>
      </c>
      <c r="Q6858" s="56" t="n">
        <f aca="false">IF(OR(F6858&lt;&gt;0,AND(I6858&lt;&gt;"",E6858&lt;I6858)),1,0)</f>
        <v>0</v>
      </c>
      <c r="R6858" s="56" t="n">
        <f aca="false">IF(AND(D6858&gt;1,Q6858=0,ISNUMBER(O6858),ISNUMBER(P6858)),IF(Q6857=0,1,0),0)</f>
        <v>1</v>
      </c>
      <c r="S6858" s="56" t="n">
        <f aca="false">R6858*(B6858&gt;=Train_Start)*(B6858&lt;=Train_End)</f>
        <v>0</v>
      </c>
      <c r="T6858" s="84" t="n">
        <f aca="false">IF(AND(ISNUMBER(O6858),ISNUMBER(P6858)),Coef_A+Coef_B1*O6858+Coef_B2*P6858,"")</f>
        <v>23.787541228273</v>
      </c>
      <c r="U6858" s="84" t="n">
        <f aca="false">IF(AND(R6858=1,ISNUMBER(T6858)),E6858-T6858,"")</f>
        <v>3.01245877172698</v>
      </c>
      <c r="V6858" s="84" t="n">
        <f aca="false">IF(ISNUMBER(T6858),T6858,-99)</f>
        <v>23.787541228273</v>
      </c>
      <c r="W6858" s="84" t="n">
        <f aca="false">IF(ISNUMBER(U6858),ABS(U6858),"")</f>
        <v>3.01245877172698</v>
      </c>
    </row>
    <row r="6859" customFormat="false" ht="15" hidden="false" customHeight="false" outlineLevel="0" collapsed="false">
      <c r="A6859" s="57" t="n">
        <v>45172</v>
      </c>
      <c r="B6859" s="56" t="n">
        <v>2023</v>
      </c>
      <c r="C6859" s="56" t="n">
        <v>9</v>
      </c>
      <c r="D6859" s="56" t="n">
        <v>126</v>
      </c>
      <c r="E6859" s="56" t="n">
        <v>30</v>
      </c>
      <c r="F6859" s="56" t="n">
        <v>0</v>
      </c>
      <c r="G6859" s="56" t="n">
        <v>13.4</v>
      </c>
      <c r="H6859" s="56" t="n">
        <v>0</v>
      </c>
      <c r="I6859" s="56" t="n">
        <v>20.1</v>
      </c>
      <c r="J6859" s="56" t="n">
        <v>0</v>
      </c>
      <c r="K6859" s="56" t="n">
        <v>1026.6</v>
      </c>
      <c r="L6859" s="56" t="n">
        <v>0</v>
      </c>
      <c r="M6859" s="56" t="n">
        <v>73</v>
      </c>
      <c r="N6859" s="56" t="n">
        <v>11.2</v>
      </c>
      <c r="O6859" s="56" t="n">
        <f aca="false">IF(D6859=1,"",E6858)</f>
        <v>26.8</v>
      </c>
      <c r="P6859" s="56" t="n">
        <f aca="false">IF(OR(D6859=1,K6858=""),"",K6858)</f>
        <v>1020.7</v>
      </c>
      <c r="Q6859" s="56" t="n">
        <f aca="false">IF(OR(F6859&lt;&gt;0,AND(I6859&lt;&gt;"",E6859&lt;I6859)),1,0)</f>
        <v>0</v>
      </c>
      <c r="R6859" s="56" t="n">
        <f aca="false">IF(AND(D6859&gt;1,Q6859=0,ISNUMBER(O6859),ISNUMBER(P6859)),IF(Q6858=0,1,0),0)</f>
        <v>1</v>
      </c>
      <c r="S6859" s="56" t="n">
        <f aca="false">R6859*(B6859&gt;=Train_Start)*(B6859&lt;=Train_End)</f>
        <v>0</v>
      </c>
      <c r="T6859" s="84" t="n">
        <f aca="false">IF(AND(ISNUMBER(O6859),ISNUMBER(P6859)),Coef_A+Coef_B1*O6859+Coef_B2*P6859,"")</f>
        <v>26.0645172484519</v>
      </c>
      <c r="U6859" s="84" t="n">
        <f aca="false">IF(AND(R6859=1,ISNUMBER(T6859)),E6859-T6859,"")</f>
        <v>3.9354827515481</v>
      </c>
      <c r="V6859" s="84" t="n">
        <f aca="false">IF(ISNUMBER(T6859),T6859,-99)</f>
        <v>26.0645172484519</v>
      </c>
      <c r="W6859" s="84" t="n">
        <f aca="false">IF(ISNUMBER(U6859),ABS(U6859),"")</f>
        <v>3.9354827515481</v>
      </c>
    </row>
    <row r="6860" customFormat="false" ht="15" hidden="false" customHeight="false" outlineLevel="0" collapsed="false">
      <c r="A6860" s="57" t="n">
        <v>45173</v>
      </c>
      <c r="B6860" s="56" t="n">
        <v>2023</v>
      </c>
      <c r="C6860" s="56" t="n">
        <v>9</v>
      </c>
      <c r="D6860" s="56" t="n">
        <v>127</v>
      </c>
      <c r="E6860" s="56" t="n">
        <v>30.5</v>
      </c>
      <c r="F6860" s="56" t="n">
        <v>0</v>
      </c>
      <c r="G6860" s="56" t="n">
        <v>16.1</v>
      </c>
      <c r="H6860" s="56" t="n">
        <v>0</v>
      </c>
      <c r="I6860" s="56" t="n">
        <v>23.1</v>
      </c>
      <c r="J6860" s="56" t="n">
        <v>0</v>
      </c>
      <c r="K6860" s="56" t="n">
        <v>1022.5</v>
      </c>
      <c r="L6860" s="56" t="n">
        <v>0</v>
      </c>
      <c r="M6860" s="56" t="n">
        <v>65</v>
      </c>
      <c r="N6860" s="56" t="n">
        <v>11.4</v>
      </c>
      <c r="O6860" s="56" t="n">
        <f aca="false">IF(D6860=1,"",E6859)</f>
        <v>30</v>
      </c>
      <c r="P6860" s="56" t="n">
        <f aca="false">IF(OR(D6860=1,K6859=""),"",K6859)</f>
        <v>1026.6</v>
      </c>
      <c r="Q6860" s="56" t="n">
        <f aca="false">IF(OR(F6860&lt;&gt;0,AND(I6860&lt;&gt;"",E6860&lt;I6860)),1,0)</f>
        <v>0</v>
      </c>
      <c r="R6860" s="56" t="n">
        <f aca="false">IF(AND(D6860&gt;1,Q6860=0,ISNUMBER(O6860),ISNUMBER(P6860)),IF(Q6859=0,1,0),0)</f>
        <v>1</v>
      </c>
      <c r="S6860" s="56" t="n">
        <f aca="false">R6860*(B6860&gt;=Train_Start)*(B6860&lt;=Train_End)</f>
        <v>0</v>
      </c>
      <c r="T6860" s="84" t="n">
        <f aca="false">IF(AND(ISNUMBER(O6860),ISNUMBER(P6860)),Coef_A+Coef_B1*O6860+Coef_B2*P6860,"")</f>
        <v>28.8714850445289</v>
      </c>
      <c r="U6860" s="84" t="n">
        <f aca="false">IF(AND(R6860=1,ISNUMBER(T6860)),E6860-T6860,"")</f>
        <v>1.62851495547107</v>
      </c>
      <c r="V6860" s="84" t="n">
        <f aca="false">IF(ISNUMBER(T6860),T6860,-99)</f>
        <v>28.8714850445289</v>
      </c>
      <c r="W6860" s="84" t="n">
        <f aca="false">IF(ISNUMBER(U6860),ABS(U6860),"")</f>
        <v>1.62851495547107</v>
      </c>
    </row>
    <row r="6861" customFormat="false" ht="15" hidden="false" customHeight="false" outlineLevel="0" collapsed="false">
      <c r="A6861" s="57" t="n">
        <v>45174</v>
      </c>
      <c r="B6861" s="56" t="n">
        <v>2023</v>
      </c>
      <c r="C6861" s="56" t="n">
        <v>9</v>
      </c>
      <c r="D6861" s="56" t="n">
        <v>128</v>
      </c>
      <c r="E6861" s="56" t="n">
        <v>31.6</v>
      </c>
      <c r="F6861" s="56" t="n">
        <v>0</v>
      </c>
      <c r="G6861" s="56" t="n">
        <v>15.8</v>
      </c>
      <c r="H6861" s="56" t="n">
        <v>0</v>
      </c>
      <c r="I6861" s="56" t="n">
        <v>23.1</v>
      </c>
      <c r="J6861" s="56" t="n">
        <v>0</v>
      </c>
      <c r="K6861" s="56" t="n">
        <v>1017.4</v>
      </c>
      <c r="L6861" s="56" t="n">
        <v>0</v>
      </c>
      <c r="M6861" s="56" t="n">
        <v>64</v>
      </c>
      <c r="N6861" s="56" t="n">
        <v>11.3</v>
      </c>
      <c r="O6861" s="56" t="n">
        <f aca="false">IF(D6861=1,"",E6860)</f>
        <v>30.5</v>
      </c>
      <c r="P6861" s="56" t="n">
        <f aca="false">IF(OR(D6861=1,K6860=""),"",K6860)</f>
        <v>1022.5</v>
      </c>
      <c r="Q6861" s="56" t="n">
        <f aca="false">IF(OR(F6861&lt;&gt;0,AND(I6861&lt;&gt;"",E6861&lt;I6861)),1,0)</f>
        <v>0</v>
      </c>
      <c r="R6861" s="56" t="n">
        <f aca="false">IF(AND(D6861&gt;1,Q6861=0,ISNUMBER(O6861),ISNUMBER(P6861)),IF(Q6860=0,1,0),0)</f>
        <v>1</v>
      </c>
      <c r="S6861" s="56" t="n">
        <f aca="false">R6861*(B6861&gt;=Train_Start)*(B6861&lt;=Train_End)</f>
        <v>0</v>
      </c>
      <c r="T6861" s="84" t="n">
        <f aca="false">IF(AND(ISNUMBER(O6861),ISNUMBER(P6861)),Coef_A+Coef_B1*O6861+Coef_B2*P6861,"")</f>
        <v>29.1525380730509</v>
      </c>
      <c r="U6861" s="84" t="n">
        <f aca="false">IF(AND(R6861=1,ISNUMBER(T6861)),E6861-T6861,"")</f>
        <v>2.44746192694909</v>
      </c>
      <c r="V6861" s="84" t="n">
        <f aca="false">IF(ISNUMBER(T6861),T6861,-99)</f>
        <v>29.1525380730509</v>
      </c>
      <c r="W6861" s="84" t="n">
        <f aca="false">IF(ISNUMBER(U6861),ABS(U6861),"")</f>
        <v>2.44746192694909</v>
      </c>
    </row>
    <row r="6862" customFormat="false" ht="15" hidden="false" customHeight="false" outlineLevel="0" collapsed="false">
      <c r="A6862" s="57" t="n">
        <v>45175</v>
      </c>
      <c r="B6862" s="56" t="n">
        <v>2023</v>
      </c>
      <c r="C6862" s="56" t="n">
        <v>9</v>
      </c>
      <c r="D6862" s="56" t="n">
        <v>129</v>
      </c>
      <c r="E6862" s="56" t="n">
        <v>32.3</v>
      </c>
      <c r="F6862" s="56" t="n">
        <v>0</v>
      </c>
      <c r="G6862" s="56" t="n">
        <v>16.7</v>
      </c>
      <c r="H6862" s="56" t="n">
        <v>0</v>
      </c>
      <c r="I6862" s="56" t="n">
        <v>24.1</v>
      </c>
      <c r="J6862" s="56" t="n">
        <v>0</v>
      </c>
      <c r="K6862" s="56" t="n">
        <v>1018.6</v>
      </c>
      <c r="L6862" s="56" t="n">
        <v>0</v>
      </c>
      <c r="M6862" s="56" t="n">
        <v>63</v>
      </c>
      <c r="N6862" s="56" t="n">
        <v>9.9</v>
      </c>
      <c r="O6862" s="56" t="n">
        <f aca="false">IF(D6862=1,"",E6861)</f>
        <v>31.6</v>
      </c>
      <c r="P6862" s="56" t="n">
        <f aca="false">IF(OR(D6862=1,K6861=""),"",K6861)</f>
        <v>1017.4</v>
      </c>
      <c r="Q6862" s="56" t="n">
        <f aca="false">IF(OR(F6862&lt;&gt;0,AND(I6862&lt;&gt;"",E6862&lt;I6862)),1,0)</f>
        <v>0</v>
      </c>
      <c r="R6862" s="56" t="n">
        <f aca="false">IF(AND(D6862&gt;1,Q6862=0,ISNUMBER(O6862),ISNUMBER(P6862)),IF(Q6861=0,1,0),0)</f>
        <v>1</v>
      </c>
      <c r="S6862" s="56" t="n">
        <f aca="false">R6862*(B6862&gt;=Train_Start)*(B6862&lt;=Train_End)</f>
        <v>0</v>
      </c>
      <c r="T6862" s="84" t="n">
        <f aca="false">IF(AND(ISNUMBER(O6862),ISNUMBER(P6862)),Coef_A+Coef_B1*O6862+Coef_B2*P6862,"")</f>
        <v>29.8938247227645</v>
      </c>
      <c r="U6862" s="84" t="n">
        <f aca="false">IF(AND(R6862=1,ISNUMBER(T6862)),E6862-T6862,"")</f>
        <v>2.40617527723551</v>
      </c>
      <c r="V6862" s="84" t="n">
        <f aca="false">IF(ISNUMBER(T6862),T6862,-99)</f>
        <v>29.8938247227645</v>
      </c>
      <c r="W6862" s="84" t="n">
        <f aca="false">IF(ISNUMBER(U6862),ABS(U6862),"")</f>
        <v>2.40617527723551</v>
      </c>
    </row>
    <row r="6863" customFormat="false" ht="15" hidden="false" customHeight="false" outlineLevel="0" collapsed="false">
      <c r="A6863" s="57" t="n">
        <v>45176</v>
      </c>
      <c r="B6863" s="56" t="n">
        <v>2023</v>
      </c>
      <c r="C6863" s="56" t="n">
        <v>9</v>
      </c>
      <c r="D6863" s="56" t="n">
        <v>130</v>
      </c>
      <c r="E6863" s="56" t="n">
        <v>30.5</v>
      </c>
      <c r="F6863" s="56" t="n">
        <v>0</v>
      </c>
      <c r="G6863" s="56" t="n">
        <v>18.7</v>
      </c>
      <c r="H6863" s="56" t="n">
        <v>0</v>
      </c>
      <c r="I6863" s="56" t="n">
        <v>25.5</v>
      </c>
      <c r="J6863" s="56" t="n">
        <v>0</v>
      </c>
      <c r="K6863" s="56" t="n">
        <v>1016.9</v>
      </c>
      <c r="L6863" s="56" t="n">
        <v>0</v>
      </c>
      <c r="M6863" s="56" t="n">
        <v>63</v>
      </c>
      <c r="N6863" s="56" t="n">
        <v>10.6</v>
      </c>
      <c r="O6863" s="56" t="n">
        <f aca="false">IF(D6863=1,"",E6862)</f>
        <v>32.3</v>
      </c>
      <c r="P6863" s="56" t="n">
        <f aca="false">IF(OR(D6863=1,K6862=""),"",K6862)</f>
        <v>1018.6</v>
      </c>
      <c r="Q6863" s="56" t="n">
        <f aca="false">IF(OR(F6863&lt;&gt;0,AND(I6863&lt;&gt;"",E6863&lt;I6863)),1,0)</f>
        <v>0</v>
      </c>
      <c r="R6863" s="56" t="n">
        <f aca="false">IF(AND(D6863&gt;1,Q6863=0,ISNUMBER(O6863),ISNUMBER(P6863)),IF(Q6862=0,1,0),0)</f>
        <v>1</v>
      </c>
      <c r="S6863" s="56" t="n">
        <f aca="false">R6863*(B6863&gt;=Train_Start)*(B6863&lt;=Train_End)</f>
        <v>0</v>
      </c>
      <c r="T6863" s="84" t="n">
        <f aca="false">IF(AND(ISNUMBER(O6863),ISNUMBER(P6863)),Coef_A+Coef_B1*O6863+Coef_B2*P6863,"")</f>
        <v>30.5050060314551</v>
      </c>
      <c r="U6863" s="84" t="n">
        <f aca="false">IF(AND(R6863=1,ISNUMBER(T6863)),E6863-T6863,"")</f>
        <v>-0.00500603145513168</v>
      </c>
      <c r="V6863" s="84" t="n">
        <f aca="false">IF(ISNUMBER(T6863),T6863,-99)</f>
        <v>30.5050060314551</v>
      </c>
      <c r="W6863" s="84" t="n">
        <f aca="false">IF(ISNUMBER(U6863),ABS(U6863),"")</f>
        <v>0.00500603145513168</v>
      </c>
    </row>
    <row r="6864" customFormat="false" ht="15" hidden="false" customHeight="false" outlineLevel="0" collapsed="false">
      <c r="A6864" s="57" t="n">
        <v>45177</v>
      </c>
      <c r="B6864" s="56" t="n">
        <v>2023</v>
      </c>
      <c r="C6864" s="56" t="n">
        <v>9</v>
      </c>
      <c r="D6864" s="56" t="n">
        <v>131</v>
      </c>
      <c r="E6864" s="56" t="n">
        <v>33</v>
      </c>
      <c r="F6864" s="56" t="n">
        <v>0</v>
      </c>
      <c r="G6864" s="56" t="n">
        <v>18.9</v>
      </c>
      <c r="H6864" s="56" t="n">
        <v>0</v>
      </c>
      <c r="I6864" s="56" t="n">
        <v>24.7</v>
      </c>
      <c r="J6864" s="56" t="n">
        <v>0</v>
      </c>
      <c r="K6864" s="56" t="n">
        <v>1016.4</v>
      </c>
      <c r="L6864" s="56" t="n">
        <v>0</v>
      </c>
      <c r="M6864" s="56" t="n">
        <v>63</v>
      </c>
      <c r="N6864" s="56" t="n">
        <v>3.5</v>
      </c>
      <c r="O6864" s="56" t="n">
        <f aca="false">IF(D6864=1,"",E6863)</f>
        <v>30.5</v>
      </c>
      <c r="P6864" s="56" t="n">
        <f aca="false">IF(OR(D6864=1,K6863=""),"",K6863)</f>
        <v>1016.9</v>
      </c>
      <c r="Q6864" s="56" t="n">
        <f aca="false">IF(OR(F6864&lt;&gt;0,AND(I6864&lt;&gt;"",E6864&lt;I6864)),1,0)</f>
        <v>0</v>
      </c>
      <c r="R6864" s="56" t="n">
        <f aca="false">IF(AND(D6864&gt;1,Q6864=0,ISNUMBER(O6864),ISNUMBER(P6864)),IF(Q6863=0,1,0),0)</f>
        <v>1</v>
      </c>
      <c r="S6864" s="56" t="n">
        <f aca="false">R6864*(B6864&gt;=Train_Start)*(B6864&lt;=Train_End)</f>
        <v>0</v>
      </c>
      <c r="T6864" s="84" t="n">
        <f aca="false">IF(AND(ISNUMBER(O6864),ISNUMBER(P6864)),Coef_A+Coef_B1*O6864+Coef_B2*P6864,"")</f>
        <v>28.9768666631006</v>
      </c>
      <c r="U6864" s="84" t="n">
        <f aca="false">IF(AND(R6864=1,ISNUMBER(T6864)),E6864-T6864,"")</f>
        <v>4.02313333689943</v>
      </c>
      <c r="V6864" s="84" t="n">
        <f aca="false">IF(ISNUMBER(T6864),T6864,-99)</f>
        <v>28.9768666631006</v>
      </c>
      <c r="W6864" s="84" t="n">
        <f aca="false">IF(ISNUMBER(U6864),ABS(U6864),"")</f>
        <v>4.02313333689943</v>
      </c>
    </row>
    <row r="6865" customFormat="false" ht="15" hidden="false" customHeight="false" outlineLevel="0" collapsed="false">
      <c r="A6865" s="57" t="n">
        <v>45178</v>
      </c>
      <c r="B6865" s="56" t="n">
        <v>2023</v>
      </c>
      <c r="C6865" s="56" t="n">
        <v>9</v>
      </c>
      <c r="D6865" s="56" t="n">
        <v>132</v>
      </c>
      <c r="E6865" s="56" t="n">
        <v>30.3</v>
      </c>
      <c r="F6865" s="56" t="n">
        <v>0</v>
      </c>
      <c r="G6865" s="56" t="n">
        <v>18.8</v>
      </c>
      <c r="H6865" s="56" t="n">
        <v>0</v>
      </c>
      <c r="I6865" s="56" t="n">
        <v>25.9</v>
      </c>
      <c r="J6865" s="56" t="n">
        <v>0</v>
      </c>
      <c r="K6865" s="56" t="n">
        <v>1015.7</v>
      </c>
      <c r="L6865" s="56" t="n">
        <v>0</v>
      </c>
      <c r="M6865" s="56" t="n">
        <v>58</v>
      </c>
      <c r="N6865" s="56" t="n">
        <v>10.8</v>
      </c>
      <c r="O6865" s="56" t="n">
        <f aca="false">IF(D6865=1,"",E6864)</f>
        <v>33</v>
      </c>
      <c r="P6865" s="56" t="n">
        <f aca="false">IF(OR(D6865=1,K6864=""),"",K6864)</f>
        <v>1016.4</v>
      </c>
      <c r="Q6865" s="56" t="n">
        <f aca="false">IF(OR(F6865&lt;&gt;0,AND(I6865&lt;&gt;"",E6865&lt;I6865)),1,0)</f>
        <v>0</v>
      </c>
      <c r="R6865" s="56" t="n">
        <f aca="false">IF(AND(D6865&gt;1,Q6865=0,ISNUMBER(O6865),ISNUMBER(P6865)),IF(Q6864=0,1,0),0)</f>
        <v>1</v>
      </c>
      <c r="S6865" s="56" t="n">
        <f aca="false">R6865*(B6865&gt;=Train_Start)*(B6865&lt;=Train_End)</f>
        <v>0</v>
      </c>
      <c r="T6865" s="84" t="n">
        <f aca="false">IF(AND(ISNUMBER(O6865),ISNUMBER(P6865)),Coef_A+Coef_B1*O6865+Coef_B2*P6865,"")</f>
        <v>31.0095296983902</v>
      </c>
      <c r="U6865" s="84" t="n">
        <f aca="false">IF(AND(R6865=1,ISNUMBER(T6865)),E6865-T6865,"")</f>
        <v>-0.709529698390217</v>
      </c>
      <c r="V6865" s="84" t="n">
        <f aca="false">IF(ISNUMBER(T6865),T6865,-99)</f>
        <v>31.0095296983902</v>
      </c>
      <c r="W6865" s="84" t="n">
        <f aca="false">IF(ISNUMBER(U6865),ABS(U6865),"")</f>
        <v>0.709529698390217</v>
      </c>
    </row>
    <row r="6866" customFormat="false" ht="15" hidden="false" customHeight="false" outlineLevel="0" collapsed="false">
      <c r="A6866" s="57" t="n">
        <v>45179</v>
      </c>
      <c r="B6866" s="56" t="n">
        <v>2023</v>
      </c>
      <c r="C6866" s="56" t="n">
        <v>9</v>
      </c>
      <c r="D6866" s="56" t="n">
        <v>133</v>
      </c>
      <c r="E6866" s="56" t="n">
        <v>26.5</v>
      </c>
      <c r="F6866" s="56" t="n">
        <v>0</v>
      </c>
      <c r="G6866" s="56" t="n">
        <v>18.9</v>
      </c>
      <c r="H6866" s="56" t="n">
        <v>0</v>
      </c>
      <c r="I6866" s="56" t="n">
        <v>24.6</v>
      </c>
      <c r="J6866" s="56" t="n">
        <v>0</v>
      </c>
      <c r="K6866" s="56" t="n">
        <v>1014.8</v>
      </c>
      <c r="L6866" s="56" t="n">
        <v>0</v>
      </c>
      <c r="M6866" s="56" t="n">
        <v>71</v>
      </c>
      <c r="N6866" s="56" t="n">
        <v>5.7</v>
      </c>
      <c r="O6866" s="56" t="n">
        <f aca="false">IF(D6866=1,"",E6865)</f>
        <v>30.3</v>
      </c>
      <c r="P6866" s="56" t="n">
        <f aca="false">IF(OR(D6866=1,K6865=""),"",K6865)</f>
        <v>1015.7</v>
      </c>
      <c r="Q6866" s="56" t="n">
        <f aca="false">IF(OR(F6866&lt;&gt;0,AND(I6866&lt;&gt;"",E6866&lt;I6866)),1,0)</f>
        <v>0</v>
      </c>
      <c r="R6866" s="56" t="n">
        <f aca="false">IF(AND(D6866&gt;1,Q6866=0,ISNUMBER(O6866),ISNUMBER(P6866)),IF(Q6865=0,1,0),0)</f>
        <v>1</v>
      </c>
      <c r="S6866" s="56" t="n">
        <f aca="false">R6866*(B6866&gt;=Train_Start)*(B6866&lt;=Train_End)</f>
        <v>0</v>
      </c>
      <c r="T6866" s="84" t="n">
        <f aca="false">IF(AND(ISNUMBER(O6866),ISNUMBER(P6866)),Coef_A+Coef_B1*O6866+Coef_B2*P6866,"")</f>
        <v>28.7753549509313</v>
      </c>
      <c r="U6866" s="84" t="n">
        <f aca="false">IF(AND(R6866=1,ISNUMBER(T6866)),E6866-T6866,"")</f>
        <v>-2.27535495093125</v>
      </c>
      <c r="V6866" s="84" t="n">
        <f aca="false">IF(ISNUMBER(T6866),T6866,-99)</f>
        <v>28.7753549509313</v>
      </c>
      <c r="W6866" s="84" t="n">
        <f aca="false">IF(ISNUMBER(U6866),ABS(U6866),"")</f>
        <v>2.27535495093125</v>
      </c>
    </row>
    <row r="6867" customFormat="false" ht="15" hidden="false" customHeight="false" outlineLevel="0" collapsed="false">
      <c r="A6867" s="57" t="n">
        <v>45180</v>
      </c>
      <c r="B6867" s="56" t="n">
        <v>2023</v>
      </c>
      <c r="C6867" s="56" t="n">
        <v>9</v>
      </c>
      <c r="D6867" s="56" t="n">
        <v>134</v>
      </c>
      <c r="E6867" s="56" t="n">
        <v>24.2</v>
      </c>
      <c r="F6867" s="56" t="n">
        <v>0</v>
      </c>
      <c r="G6867" s="56" t="n">
        <v>18.6</v>
      </c>
      <c r="H6867" s="56" t="n">
        <v>0</v>
      </c>
      <c r="I6867" s="56" t="n">
        <v>22.6</v>
      </c>
      <c r="J6867" s="56" t="n">
        <v>0</v>
      </c>
      <c r="K6867" s="56" t="n">
        <v>1013.4</v>
      </c>
      <c r="L6867" s="56" t="n">
        <v>0</v>
      </c>
      <c r="M6867" s="56" t="n">
        <v>73</v>
      </c>
      <c r="N6867" s="56" t="n">
        <v>4.1</v>
      </c>
      <c r="O6867" s="56" t="n">
        <f aca="false">IF(D6867=1,"",E6866)</f>
        <v>26.5</v>
      </c>
      <c r="P6867" s="56" t="n">
        <f aca="false">IF(OR(D6867=1,K6866=""),"",K6866)</f>
        <v>1014.8</v>
      </c>
      <c r="Q6867" s="56" t="n">
        <f aca="false">IF(OR(F6867&lt;&gt;0,AND(I6867&lt;&gt;"",E6867&lt;I6867)),1,0)</f>
        <v>0</v>
      </c>
      <c r="R6867" s="56" t="n">
        <f aca="false">IF(AND(D6867&gt;1,Q6867=0,ISNUMBER(O6867),ISNUMBER(P6867)),IF(Q6866=0,1,0),0)</f>
        <v>1</v>
      </c>
      <c r="S6867" s="56" t="n">
        <f aca="false">R6867*(B6867&gt;=Train_Start)*(B6867&lt;=Train_End)</f>
        <v>0</v>
      </c>
      <c r="T6867" s="84" t="n">
        <f aca="false">IF(AND(ISNUMBER(O6867),ISNUMBER(P6867)),Coef_A+Coef_B1*O6867+Coef_B2*P6867,"")</f>
        <v>25.6336331121986</v>
      </c>
      <c r="U6867" s="84" t="n">
        <f aca="false">IF(AND(R6867=1,ISNUMBER(T6867)),E6867-T6867,"")</f>
        <v>-1.43363311219856</v>
      </c>
      <c r="V6867" s="84" t="n">
        <f aca="false">IF(ISNUMBER(T6867),T6867,-99)</f>
        <v>25.6336331121986</v>
      </c>
      <c r="W6867" s="84" t="n">
        <f aca="false">IF(ISNUMBER(U6867),ABS(U6867),"")</f>
        <v>1.43363311219856</v>
      </c>
    </row>
    <row r="6868" customFormat="false" ht="15" hidden="false" customHeight="false" outlineLevel="0" collapsed="false">
      <c r="A6868" s="57" t="n">
        <v>45181</v>
      </c>
      <c r="B6868" s="56" t="n">
        <v>2023</v>
      </c>
      <c r="C6868" s="56" t="n">
        <v>9</v>
      </c>
      <c r="D6868" s="56" t="n">
        <v>135</v>
      </c>
      <c r="E6868" s="56" t="n">
        <v>21.6</v>
      </c>
      <c r="F6868" s="56" t="n">
        <v>0</v>
      </c>
      <c r="G6868" s="56" t="n">
        <v>17.5</v>
      </c>
      <c r="H6868" s="56" t="n">
        <v>0</v>
      </c>
      <c r="I6868" s="56" t="n">
        <v>20.9</v>
      </c>
      <c r="J6868" s="56" t="n">
        <v>0</v>
      </c>
      <c r="K6868" s="56" t="n">
        <v>1014</v>
      </c>
      <c r="L6868" s="56" t="n">
        <v>0</v>
      </c>
      <c r="M6868" s="56" t="n">
        <v>81</v>
      </c>
      <c r="N6868" s="56" t="n">
        <v>0.4</v>
      </c>
      <c r="O6868" s="56" t="n">
        <f aca="false">IF(D6868=1,"",E6867)</f>
        <v>24.2</v>
      </c>
      <c r="P6868" s="56" t="n">
        <f aca="false">IF(OR(D6868=1,K6867=""),"",K6867)</f>
        <v>1013.4</v>
      </c>
      <c r="Q6868" s="56" t="n">
        <f aca="false">IF(OR(F6868&lt;&gt;0,AND(I6868&lt;&gt;"",E6868&lt;I6868)),1,0)</f>
        <v>0</v>
      </c>
      <c r="R6868" s="56" t="n">
        <f aca="false">IF(AND(D6868&gt;1,Q6868=0,ISNUMBER(O6868),ISNUMBER(P6868)),IF(Q6867=0,1,0),0)</f>
        <v>1</v>
      </c>
      <c r="S6868" s="56" t="n">
        <f aca="false">R6868*(B6868&gt;=Train_Start)*(B6868&lt;=Train_End)</f>
        <v>0</v>
      </c>
      <c r="T6868" s="84" t="n">
        <f aca="false">IF(AND(ISNUMBER(O6868),ISNUMBER(P6868)),Coef_A+Coef_B1*O6868+Coef_B2*P6868,"")</f>
        <v>23.7052351157129</v>
      </c>
      <c r="U6868" s="84" t="n">
        <f aca="false">IF(AND(R6868=1,ISNUMBER(T6868)),E6868-T6868,"")</f>
        <v>-2.10523511571286</v>
      </c>
      <c r="V6868" s="84" t="n">
        <f aca="false">IF(ISNUMBER(T6868),T6868,-99)</f>
        <v>23.7052351157129</v>
      </c>
      <c r="W6868" s="84" t="n">
        <f aca="false">IF(ISNUMBER(U6868),ABS(U6868),"")</f>
        <v>2.10523511571286</v>
      </c>
    </row>
    <row r="6869" customFormat="false" ht="15" hidden="false" customHeight="false" outlineLevel="0" collapsed="false">
      <c r="A6869" s="57" t="n">
        <v>45182</v>
      </c>
      <c r="B6869" s="56" t="n">
        <v>2023</v>
      </c>
      <c r="C6869" s="56" t="n">
        <v>9</v>
      </c>
      <c r="D6869" s="56" t="n">
        <v>136</v>
      </c>
      <c r="E6869" s="56" t="n">
        <v>24.4</v>
      </c>
      <c r="F6869" s="56" t="n">
        <v>0</v>
      </c>
      <c r="G6869" s="56" t="n">
        <v>13.9</v>
      </c>
      <c r="H6869" s="56" t="n">
        <v>0</v>
      </c>
      <c r="I6869" s="56" t="n">
        <v>17.8</v>
      </c>
      <c r="J6869" s="56" t="n">
        <v>0</v>
      </c>
      <c r="K6869" s="56" t="n">
        <v>1021.2</v>
      </c>
      <c r="L6869" s="56" t="n">
        <v>0</v>
      </c>
      <c r="M6869" s="56" t="n">
        <v>71</v>
      </c>
      <c r="N6869" s="56" t="n">
        <v>3.5</v>
      </c>
      <c r="O6869" s="56" t="n">
        <f aca="false">IF(D6869=1,"",E6868)</f>
        <v>21.6</v>
      </c>
      <c r="P6869" s="56" t="n">
        <f aca="false">IF(OR(D6869=1,K6868=""),"",K6868)</f>
        <v>1014</v>
      </c>
      <c r="Q6869" s="56" t="n">
        <f aca="false">IF(OR(F6869&lt;&gt;0,AND(I6869&lt;&gt;"",E6869&lt;I6869)),1,0)</f>
        <v>0</v>
      </c>
      <c r="R6869" s="56" t="n">
        <f aca="false">IF(AND(D6869&gt;1,Q6869=0,ISNUMBER(O6869),ISNUMBER(P6869)),IF(Q6868=0,1,0),0)</f>
        <v>1</v>
      </c>
      <c r="S6869" s="56" t="n">
        <f aca="false">R6869*(B6869&gt;=Train_Start)*(B6869&lt;=Train_End)</f>
        <v>0</v>
      </c>
      <c r="T6869" s="84" t="n">
        <f aca="false">IF(AND(ISNUMBER(O6869),ISNUMBER(P6869)),Coef_A+Coef_B1*O6869+Coef_B2*P6869,"")</f>
        <v>21.5937751505823</v>
      </c>
      <c r="U6869" s="84" t="n">
        <f aca="false">IF(AND(R6869=1,ISNUMBER(T6869)),E6869-T6869,"")</f>
        <v>2.80622484941765</v>
      </c>
      <c r="V6869" s="84" t="n">
        <f aca="false">IF(ISNUMBER(T6869),T6869,-99)</f>
        <v>21.5937751505823</v>
      </c>
      <c r="W6869" s="84" t="n">
        <f aca="false">IF(ISNUMBER(U6869),ABS(U6869),"")</f>
        <v>2.80622484941765</v>
      </c>
    </row>
    <row r="6870" customFormat="false" ht="15" hidden="false" customHeight="false" outlineLevel="0" collapsed="false">
      <c r="A6870" s="57" t="n">
        <v>45183</v>
      </c>
      <c r="B6870" s="56" t="n">
        <v>2023</v>
      </c>
      <c r="C6870" s="56" t="n">
        <v>9</v>
      </c>
      <c r="D6870" s="56" t="n">
        <v>137</v>
      </c>
      <c r="E6870" s="56" t="n">
        <v>25.8</v>
      </c>
      <c r="F6870" s="56" t="n">
        <v>0</v>
      </c>
      <c r="G6870" s="56" t="n">
        <v>13.2</v>
      </c>
      <c r="H6870" s="56" t="n">
        <v>0</v>
      </c>
      <c r="I6870" s="56" t="n">
        <v>18.8</v>
      </c>
      <c r="J6870" s="56" t="n">
        <v>0</v>
      </c>
      <c r="K6870" s="56" t="n">
        <v>1020.6</v>
      </c>
      <c r="L6870" s="56" t="n">
        <v>0</v>
      </c>
      <c r="M6870" s="56" t="n">
        <v>68</v>
      </c>
      <c r="N6870" s="56" t="n">
        <v>10.3</v>
      </c>
      <c r="O6870" s="56" t="n">
        <f aca="false">IF(D6870=1,"",E6869)</f>
        <v>24.4</v>
      </c>
      <c r="P6870" s="56" t="n">
        <f aca="false">IF(OR(D6870=1,K6869=""),"",K6869)</f>
        <v>1021.2</v>
      </c>
      <c r="Q6870" s="56" t="n">
        <f aca="false">IF(OR(F6870&lt;&gt;0,AND(I6870&lt;&gt;"",E6870&lt;I6870)),1,0)</f>
        <v>0</v>
      </c>
      <c r="R6870" s="56" t="n">
        <f aca="false">IF(AND(D6870&gt;1,Q6870=0,ISNUMBER(O6870),ISNUMBER(P6870)),IF(Q6869=0,1,0),0)</f>
        <v>1</v>
      </c>
      <c r="S6870" s="56" t="n">
        <f aca="false">R6870*(B6870&gt;=Train_Start)*(B6870&lt;=Train_End)</f>
        <v>0</v>
      </c>
      <c r="T6870" s="84" t="n">
        <f aca="false">IF(AND(ISNUMBER(O6870),ISNUMBER(P6870)),Coef_A+Coef_B1*O6870+Coef_B2*P6870,"")</f>
        <v>24.1137881324665</v>
      </c>
      <c r="U6870" s="84" t="n">
        <f aca="false">IF(AND(R6870=1,ISNUMBER(T6870)),E6870-T6870,"")</f>
        <v>1.68621186753349</v>
      </c>
      <c r="V6870" s="84" t="n">
        <f aca="false">IF(ISNUMBER(T6870),T6870,-99)</f>
        <v>24.1137881324665</v>
      </c>
      <c r="W6870" s="84" t="n">
        <f aca="false">IF(ISNUMBER(U6870),ABS(U6870),"")</f>
        <v>1.68621186753349</v>
      </c>
    </row>
    <row r="6871" customFormat="false" ht="15" hidden="false" customHeight="false" outlineLevel="0" collapsed="false">
      <c r="A6871" s="57" t="n">
        <v>45184</v>
      </c>
      <c r="B6871" s="56" t="n">
        <v>2023</v>
      </c>
      <c r="C6871" s="56" t="n">
        <v>9</v>
      </c>
      <c r="D6871" s="56" t="n">
        <v>138</v>
      </c>
      <c r="E6871" s="56" t="n">
        <v>27</v>
      </c>
      <c r="F6871" s="56" t="n">
        <v>0</v>
      </c>
      <c r="G6871" s="56" t="n">
        <v>11.6</v>
      </c>
      <c r="H6871" s="56" t="n">
        <v>0</v>
      </c>
      <c r="I6871" s="56" t="n">
        <v>18.7</v>
      </c>
      <c r="J6871" s="56" t="n">
        <v>0</v>
      </c>
      <c r="K6871" s="56" t="n">
        <v>1014.7</v>
      </c>
      <c r="L6871" s="56" t="n">
        <v>0</v>
      </c>
      <c r="M6871" s="56" t="n">
        <v>71</v>
      </c>
      <c r="N6871" s="56" t="n">
        <v>7.8</v>
      </c>
      <c r="O6871" s="56" t="n">
        <f aca="false">IF(D6871=1,"",E6870)</f>
        <v>25.8</v>
      </c>
      <c r="P6871" s="56" t="n">
        <f aca="false">IF(OR(D6871=1,K6870=""),"",K6870)</f>
        <v>1020.6</v>
      </c>
      <c r="Q6871" s="56" t="n">
        <f aca="false">IF(OR(F6871&lt;&gt;0,AND(I6871&lt;&gt;"",E6871&lt;I6871)),1,0)</f>
        <v>0</v>
      </c>
      <c r="R6871" s="56" t="n">
        <f aca="false">IF(AND(D6871&gt;1,Q6871=0,ISNUMBER(O6871),ISNUMBER(P6871)),IF(Q6870=0,1,0),0)</f>
        <v>1</v>
      </c>
      <c r="S6871" s="56" t="n">
        <f aca="false">R6871*(B6871&gt;=Train_Start)*(B6871&lt;=Train_End)</f>
        <v>0</v>
      </c>
      <c r="T6871" s="84" t="n">
        <f aca="false">IF(AND(ISNUMBER(O6871),ISNUMBER(P6871)),Coef_A+Coef_B1*O6871+Coef_B2*P6871,"")</f>
        <v>25.2420410659458</v>
      </c>
      <c r="U6871" s="84" t="n">
        <f aca="false">IF(AND(R6871=1,ISNUMBER(T6871)),E6871-T6871,"")</f>
        <v>1.75795893405416</v>
      </c>
      <c r="V6871" s="84" t="n">
        <f aca="false">IF(ISNUMBER(T6871),T6871,-99)</f>
        <v>25.2420410659458</v>
      </c>
      <c r="W6871" s="84" t="n">
        <f aca="false">IF(ISNUMBER(U6871),ABS(U6871),"")</f>
        <v>1.75795893405416</v>
      </c>
    </row>
    <row r="6872" customFormat="false" ht="15" hidden="false" customHeight="false" outlineLevel="0" collapsed="false">
      <c r="A6872" s="57" t="n">
        <v>45185</v>
      </c>
      <c r="B6872" s="56" t="n">
        <v>2023</v>
      </c>
      <c r="C6872" s="56" t="n">
        <v>9</v>
      </c>
      <c r="D6872" s="56" t="n">
        <v>139</v>
      </c>
      <c r="E6872" s="56" t="n">
        <v>22.6</v>
      </c>
      <c r="F6872" s="56" t="n">
        <v>0</v>
      </c>
      <c r="G6872" s="56" t="n">
        <v>13.9</v>
      </c>
      <c r="H6872" s="56" t="n">
        <v>0</v>
      </c>
      <c r="I6872" s="56" t="n">
        <v>20.4</v>
      </c>
      <c r="J6872" s="56" t="n">
        <v>0</v>
      </c>
      <c r="K6872" s="56" t="n">
        <v>1013.1</v>
      </c>
      <c r="L6872" s="56" t="n">
        <v>0</v>
      </c>
      <c r="M6872" s="56" t="n">
        <v>68</v>
      </c>
      <c r="N6872" s="56" t="n">
        <v>6.8</v>
      </c>
      <c r="O6872" s="56" t="n">
        <f aca="false">IF(D6872=1,"",E6871)</f>
        <v>27</v>
      </c>
      <c r="P6872" s="56" t="n">
        <f aca="false">IF(OR(D6872=1,K6871=""),"",K6871)</f>
        <v>1014.7</v>
      </c>
      <c r="Q6872" s="56" t="n">
        <f aca="false">IF(OR(F6872&lt;&gt;0,AND(I6872&lt;&gt;"",E6872&lt;I6872)),1,0)</f>
        <v>0</v>
      </c>
      <c r="R6872" s="56" t="n">
        <f aca="false">IF(AND(D6872&gt;1,Q6872=0,ISNUMBER(O6872),ISNUMBER(P6872)),IF(Q6871=0,1,0),0)</f>
        <v>1</v>
      </c>
      <c r="S6872" s="56" t="n">
        <f aca="false">R6872*(B6872&gt;=Train_Start)*(B6872&lt;=Train_End)</f>
        <v>0</v>
      </c>
      <c r="T6872" s="84" t="n">
        <f aca="false">IF(AND(ISNUMBER(O6872),ISNUMBER(P6872)),Coef_A+Coef_B1*O6872+Coef_B2*P6872,"")</f>
        <v>26.0401657192565</v>
      </c>
      <c r="U6872" s="84" t="n">
        <f aca="false">IF(AND(R6872=1,ISNUMBER(T6872)),E6872-T6872,"")</f>
        <v>-3.44016571925649</v>
      </c>
      <c r="V6872" s="84" t="n">
        <f aca="false">IF(ISNUMBER(T6872),T6872,-99)</f>
        <v>26.0401657192565</v>
      </c>
      <c r="W6872" s="84" t="n">
        <f aca="false">IF(ISNUMBER(U6872),ABS(U6872),"")</f>
        <v>3.44016571925649</v>
      </c>
    </row>
    <row r="6873" customFormat="false" ht="15" hidden="false" customHeight="false" outlineLevel="0" collapsed="false">
      <c r="A6873" s="57" t="n">
        <v>45186</v>
      </c>
      <c r="B6873" s="56" t="n">
        <v>2023</v>
      </c>
      <c r="C6873" s="56" t="n">
        <v>9</v>
      </c>
      <c r="D6873" s="56" t="n">
        <v>140</v>
      </c>
      <c r="E6873" s="56" t="n">
        <v>21</v>
      </c>
      <c r="F6873" s="56" t="n">
        <v>0</v>
      </c>
      <c r="G6873" s="56" t="n">
        <v>16.1</v>
      </c>
      <c r="H6873" s="56" t="n">
        <v>0</v>
      </c>
      <c r="I6873" s="56" t="n">
        <v>19.4</v>
      </c>
      <c r="J6873" s="56" t="n">
        <v>0</v>
      </c>
      <c r="K6873" s="56" t="n">
        <v>1010.3</v>
      </c>
      <c r="L6873" s="56" t="n">
        <v>0</v>
      </c>
      <c r="M6873" s="56" t="n">
        <v>85</v>
      </c>
      <c r="N6873" s="56" t="n">
        <v>0.9</v>
      </c>
      <c r="O6873" s="56" t="n">
        <f aca="false">IF(D6873=1,"",E6872)</f>
        <v>22.6</v>
      </c>
      <c r="P6873" s="56" t="n">
        <f aca="false">IF(OR(D6873=1,K6872=""),"",K6872)</f>
        <v>1013.1</v>
      </c>
      <c r="Q6873" s="56" t="n">
        <f aca="false">IF(OR(F6873&lt;&gt;0,AND(I6873&lt;&gt;"",E6873&lt;I6873)),1,0)</f>
        <v>0</v>
      </c>
      <c r="R6873" s="56" t="n">
        <f aca="false">IF(AND(D6873&gt;1,Q6873=0,ISNUMBER(O6873),ISNUMBER(P6873)),IF(Q6872=0,1,0),0)</f>
        <v>1</v>
      </c>
      <c r="S6873" s="56" t="n">
        <f aca="false">R6873*(B6873&gt;=Train_Start)*(B6873&lt;=Train_End)</f>
        <v>0</v>
      </c>
      <c r="T6873" s="84" t="n">
        <f aca="false">IF(AND(ISNUMBER(O6873),ISNUMBER(P6873)),Coef_A+Coef_B1*O6873+Coef_B2*P6873,"")</f>
        <v>22.3848814384544</v>
      </c>
      <c r="U6873" s="84" t="n">
        <f aca="false">IF(AND(R6873=1,ISNUMBER(T6873)),E6873-T6873,"")</f>
        <v>-1.38488143845441</v>
      </c>
      <c r="V6873" s="84" t="n">
        <f aca="false">IF(ISNUMBER(T6873),T6873,-99)</f>
        <v>22.3848814384544</v>
      </c>
      <c r="W6873" s="84" t="n">
        <f aca="false">IF(ISNUMBER(U6873),ABS(U6873),"")</f>
        <v>1.38488143845441</v>
      </c>
    </row>
    <row r="6874" customFormat="false" ht="15" hidden="false" customHeight="false" outlineLevel="0" collapsed="false">
      <c r="A6874" s="57" t="n">
        <v>45187</v>
      </c>
      <c r="B6874" s="56" t="n">
        <v>2023</v>
      </c>
      <c r="C6874" s="56" t="n">
        <v>9</v>
      </c>
      <c r="D6874" s="56" t="n">
        <v>141</v>
      </c>
      <c r="E6874" s="56" t="n">
        <v>20.2</v>
      </c>
      <c r="F6874" s="56" t="n">
        <v>0</v>
      </c>
      <c r="G6874" s="56" t="n">
        <v>15.8</v>
      </c>
      <c r="H6874" s="56" t="n">
        <v>0</v>
      </c>
      <c r="I6874" s="56" t="n">
        <v>18.4</v>
      </c>
      <c r="J6874" s="56" t="n">
        <v>0</v>
      </c>
      <c r="K6874" s="56" t="n">
        <v>1002.5</v>
      </c>
      <c r="L6874" s="56" t="n">
        <v>0</v>
      </c>
      <c r="M6874" s="56" t="n">
        <v>80</v>
      </c>
      <c r="N6874" s="56" t="n">
        <v>3.8</v>
      </c>
      <c r="O6874" s="56" t="n">
        <f aca="false">IF(D6874=1,"",E6873)</f>
        <v>21</v>
      </c>
      <c r="P6874" s="56" t="n">
        <f aca="false">IF(OR(D6874=1,K6873=""),"",K6873)</f>
        <v>1010.3</v>
      </c>
      <c r="Q6874" s="56" t="n">
        <f aca="false">IF(OR(F6874&lt;&gt;0,AND(I6874&lt;&gt;"",E6874&lt;I6874)),1,0)</f>
        <v>0</v>
      </c>
      <c r="R6874" s="56" t="n">
        <f aca="false">IF(AND(D6874&gt;1,Q6874=0,ISNUMBER(O6874),ISNUMBER(P6874)),IF(Q6873=0,1,0),0)</f>
        <v>1</v>
      </c>
      <c r="S6874" s="56" t="n">
        <f aca="false">R6874*(B6874&gt;=Train_Start)*(B6874&lt;=Train_End)</f>
        <v>0</v>
      </c>
      <c r="T6874" s="84" t="n">
        <f aca="false">IF(AND(ISNUMBER(O6874),ISNUMBER(P6874)),Coef_A+Coef_B1*O6874+Coef_B2*P6874,"")</f>
        <v>20.986103024611</v>
      </c>
      <c r="U6874" s="84" t="n">
        <f aca="false">IF(AND(R6874=1,ISNUMBER(T6874)),E6874-T6874,"")</f>
        <v>-0.786103024610988</v>
      </c>
      <c r="V6874" s="84" t="n">
        <f aca="false">IF(ISNUMBER(T6874),T6874,-99)</f>
        <v>20.986103024611</v>
      </c>
      <c r="W6874" s="84" t="n">
        <f aca="false">IF(ISNUMBER(U6874),ABS(U6874),"")</f>
        <v>0.786103024610988</v>
      </c>
    </row>
    <row r="6875" customFormat="false" ht="15" hidden="false" customHeight="false" outlineLevel="0" collapsed="false">
      <c r="A6875" s="57" t="n">
        <v>45188</v>
      </c>
      <c r="B6875" s="56" t="n">
        <v>2023</v>
      </c>
      <c r="C6875" s="56" t="n">
        <v>9</v>
      </c>
      <c r="D6875" s="56" t="n">
        <v>142</v>
      </c>
      <c r="E6875" s="56" t="n">
        <v>20.9</v>
      </c>
      <c r="F6875" s="56" t="n">
        <v>0</v>
      </c>
      <c r="G6875" s="56" t="n">
        <v>12.5</v>
      </c>
      <c r="H6875" s="56" t="n">
        <v>0</v>
      </c>
      <c r="I6875" s="56" t="n">
        <v>16.4</v>
      </c>
      <c r="J6875" s="56" t="n">
        <v>0</v>
      </c>
      <c r="K6875" s="56" t="n">
        <v>1005.9</v>
      </c>
      <c r="L6875" s="56" t="n">
        <v>0</v>
      </c>
      <c r="M6875" s="56" t="n">
        <v>79</v>
      </c>
      <c r="N6875" s="56" t="n">
        <v>0</v>
      </c>
      <c r="O6875" s="56" t="n">
        <f aca="false">IF(D6875=1,"",E6874)</f>
        <v>20.2</v>
      </c>
      <c r="P6875" s="56" t="n">
        <f aca="false">IF(OR(D6875=1,K6874=""),"",K6874)</f>
        <v>1002.5</v>
      </c>
      <c r="Q6875" s="56" t="n">
        <f aca="false">IF(OR(F6875&lt;&gt;0,AND(I6875&lt;&gt;"",E6875&lt;I6875)),1,0)</f>
        <v>0</v>
      </c>
      <c r="R6875" s="56" t="n">
        <f aca="false">IF(AND(D6875&gt;1,Q6875=0,ISNUMBER(O6875),ISNUMBER(P6875)),IF(Q6874=0,1,0),0)</f>
        <v>1</v>
      </c>
      <c r="S6875" s="56" t="n">
        <f aca="false">R6875*(B6875&gt;=Train_Start)*(B6875&lt;=Train_End)</f>
        <v>0</v>
      </c>
      <c r="T6875" s="84" t="n">
        <f aca="false">IF(AND(ISNUMBER(O6875),ISNUMBER(P6875)),Coef_A+Coef_B1*O6875+Coef_B2*P6875,"")</f>
        <v>20.0859464920317</v>
      </c>
      <c r="U6875" s="84" t="n">
        <f aca="false">IF(AND(R6875=1,ISNUMBER(T6875)),E6875-T6875,"")</f>
        <v>0.814053507968254</v>
      </c>
      <c r="V6875" s="84" t="n">
        <f aca="false">IF(ISNUMBER(T6875),T6875,-99)</f>
        <v>20.0859464920317</v>
      </c>
      <c r="W6875" s="84" t="n">
        <f aca="false">IF(ISNUMBER(U6875),ABS(U6875),"")</f>
        <v>0.814053507968254</v>
      </c>
    </row>
    <row r="6876" customFormat="false" ht="15" hidden="false" customHeight="false" outlineLevel="0" collapsed="false">
      <c r="A6876" s="57" t="n">
        <v>45189</v>
      </c>
      <c r="B6876" s="56" t="n">
        <v>2023</v>
      </c>
      <c r="C6876" s="56" t="n">
        <v>9</v>
      </c>
      <c r="D6876" s="56" t="n">
        <v>143</v>
      </c>
      <c r="E6876" s="56" t="n">
        <v>18.9</v>
      </c>
      <c r="F6876" s="56" t="n">
        <v>0</v>
      </c>
      <c r="G6876" s="56" t="n">
        <v>16.2</v>
      </c>
      <c r="H6876" s="56" t="n">
        <v>0</v>
      </c>
      <c r="I6876" s="56" t="n">
        <v>18.6</v>
      </c>
      <c r="J6876" s="56" t="n">
        <v>0</v>
      </c>
      <c r="K6876" s="56" t="n">
        <v>998.5</v>
      </c>
      <c r="L6876" s="56" t="n">
        <v>0</v>
      </c>
      <c r="M6876" s="56" t="n">
        <v>83</v>
      </c>
      <c r="N6876" s="56" t="n">
        <v>0.4</v>
      </c>
      <c r="O6876" s="56" t="n">
        <f aca="false">IF(D6876=1,"",E6875)</f>
        <v>20.9</v>
      </c>
      <c r="P6876" s="56" t="n">
        <f aca="false">IF(OR(D6876=1,K6875=""),"",K6875)</f>
        <v>1005.9</v>
      </c>
      <c r="Q6876" s="56" t="n">
        <f aca="false">IF(OR(F6876&lt;&gt;0,AND(I6876&lt;&gt;"",E6876&lt;I6876)),1,0)</f>
        <v>0</v>
      </c>
      <c r="R6876" s="56" t="n">
        <f aca="false">IF(AND(D6876&gt;1,Q6876=0,ISNUMBER(O6876),ISNUMBER(P6876)),IF(Q6875=0,1,0),0)</f>
        <v>1</v>
      </c>
      <c r="S6876" s="56" t="n">
        <f aca="false">R6876*(B6876&gt;=Train_Start)*(B6876&lt;=Train_End)</f>
        <v>0</v>
      </c>
      <c r="T6876" s="84" t="n">
        <f aca="false">IF(AND(ISNUMBER(O6876),ISNUMBER(P6876)),Coef_A+Coef_B1*O6876+Coef_B2*P6876,"")</f>
        <v>20.7661415689172</v>
      </c>
      <c r="U6876" s="84" t="n">
        <f aca="false">IF(AND(R6876=1,ISNUMBER(T6876)),E6876-T6876,"")</f>
        <v>-1.86614156891717</v>
      </c>
      <c r="V6876" s="84" t="n">
        <f aca="false">IF(ISNUMBER(T6876),T6876,-99)</f>
        <v>20.7661415689172</v>
      </c>
      <c r="W6876" s="84" t="n">
        <f aca="false">IF(ISNUMBER(U6876),ABS(U6876),"")</f>
        <v>1.86614156891717</v>
      </c>
    </row>
    <row r="6877" customFormat="false" ht="15" hidden="false" customHeight="false" outlineLevel="0" collapsed="false">
      <c r="A6877" s="57" t="n">
        <v>45190</v>
      </c>
      <c r="B6877" s="56" t="n">
        <v>2023</v>
      </c>
      <c r="C6877" s="56" t="n">
        <v>9</v>
      </c>
      <c r="D6877" s="56" t="n">
        <v>144</v>
      </c>
      <c r="E6877" s="56" t="n">
        <v>18.7</v>
      </c>
      <c r="F6877" s="56" t="n">
        <v>0</v>
      </c>
      <c r="G6877" s="56" t="n">
        <v>10.9</v>
      </c>
      <c r="H6877" s="56" t="n">
        <v>0</v>
      </c>
      <c r="I6877" s="56" t="n">
        <v>14.9</v>
      </c>
      <c r="J6877" s="56" t="n">
        <v>0</v>
      </c>
      <c r="K6877" s="56" t="n">
        <v>995.8</v>
      </c>
      <c r="L6877" s="56" t="n">
        <v>0</v>
      </c>
      <c r="M6877" s="56" t="n">
        <v>83</v>
      </c>
      <c r="N6877" s="56" t="n">
        <v>6.9</v>
      </c>
      <c r="O6877" s="56" t="n">
        <f aca="false">IF(D6877=1,"",E6876)</f>
        <v>18.9</v>
      </c>
      <c r="P6877" s="56" t="n">
        <f aca="false">IF(OR(D6877=1,K6876=""),"",K6876)</f>
        <v>998.5</v>
      </c>
      <c r="Q6877" s="56" t="n">
        <f aca="false">IF(OR(F6877&lt;&gt;0,AND(I6877&lt;&gt;"",E6877&lt;I6877)),1,0)</f>
        <v>0</v>
      </c>
      <c r="R6877" s="56" t="n">
        <f aca="false">IF(AND(D6877&gt;1,Q6877=0,ISNUMBER(O6877),ISNUMBER(P6877)),IF(Q6876=0,1,0),0)</f>
        <v>1</v>
      </c>
      <c r="S6877" s="56" t="n">
        <f aca="false">R6877*(B6877&gt;=Train_Start)*(B6877&lt;=Train_End)</f>
        <v>0</v>
      </c>
      <c r="T6877" s="84" t="n">
        <f aca="false">IF(AND(ISNUMBER(O6877),ISNUMBER(P6877)),Coef_A+Coef_B1*O6877+Coef_B2*P6877,"")</f>
        <v>18.8953259625403</v>
      </c>
      <c r="U6877" s="84" t="n">
        <f aca="false">IF(AND(R6877=1,ISNUMBER(T6877)),E6877-T6877,"")</f>
        <v>-0.195325962540334</v>
      </c>
      <c r="V6877" s="84" t="n">
        <f aca="false">IF(ISNUMBER(T6877),T6877,-99)</f>
        <v>18.8953259625403</v>
      </c>
      <c r="W6877" s="84" t="n">
        <f aca="false">IF(ISNUMBER(U6877),ABS(U6877),"")</f>
        <v>0.195325962540334</v>
      </c>
    </row>
    <row r="6878" customFormat="false" ht="15" hidden="false" customHeight="false" outlineLevel="0" collapsed="false">
      <c r="A6878" s="57" t="n">
        <v>45191</v>
      </c>
      <c r="B6878" s="56" t="n">
        <v>2023</v>
      </c>
      <c r="C6878" s="56" t="n">
        <v>9</v>
      </c>
      <c r="D6878" s="56" t="n">
        <v>145</v>
      </c>
      <c r="E6878" s="56" t="n">
        <v>19.1</v>
      </c>
      <c r="F6878" s="56" t="n">
        <v>0</v>
      </c>
      <c r="G6878" s="56" t="n">
        <v>10.3</v>
      </c>
      <c r="H6878" s="56" t="n">
        <v>0</v>
      </c>
      <c r="I6878" s="56" t="n">
        <v>14.5</v>
      </c>
      <c r="J6878" s="56" t="n">
        <v>0</v>
      </c>
      <c r="K6878" s="56" t="n">
        <v>1001.8</v>
      </c>
      <c r="L6878" s="56" t="n">
        <v>0</v>
      </c>
      <c r="M6878" s="56" t="n">
        <v>80</v>
      </c>
      <c r="N6878" s="56" t="n">
        <v>6.4</v>
      </c>
      <c r="O6878" s="56" t="n">
        <f aca="false">IF(D6878=1,"",E6877)</f>
        <v>18.7</v>
      </c>
      <c r="P6878" s="56" t="n">
        <f aca="false">IF(OR(D6878=1,K6877=""),"",K6877)</f>
        <v>995.8</v>
      </c>
      <c r="Q6878" s="56" t="n">
        <f aca="false">IF(OR(F6878&lt;&gt;0,AND(I6878&lt;&gt;"",E6878&lt;I6878)),1,0)</f>
        <v>0</v>
      </c>
      <c r="R6878" s="56" t="n">
        <f aca="false">IF(AND(D6878&gt;1,Q6878=0,ISNUMBER(O6878),ISNUMBER(P6878)),IF(Q6877=0,1,0),0)</f>
        <v>1</v>
      </c>
      <c r="S6878" s="56" t="n">
        <f aca="false">R6878*(B6878&gt;=Train_Start)*(B6878&lt;=Train_End)</f>
        <v>0</v>
      </c>
      <c r="T6878" s="84" t="n">
        <f aca="false">IF(AND(ISNUMBER(O6878),ISNUMBER(P6878)),Coef_A+Coef_B1*O6878+Coef_B2*P6878,"")</f>
        <v>18.64675940842</v>
      </c>
      <c r="U6878" s="84" t="n">
        <f aca="false">IF(AND(R6878=1,ISNUMBER(T6878)),E6878-T6878,"")</f>
        <v>0.45324059157997</v>
      </c>
      <c r="V6878" s="84" t="n">
        <f aca="false">IF(ISNUMBER(T6878),T6878,-99)</f>
        <v>18.64675940842</v>
      </c>
      <c r="W6878" s="84" t="n">
        <f aca="false">IF(ISNUMBER(U6878),ABS(U6878),"")</f>
        <v>0.45324059157997</v>
      </c>
    </row>
    <row r="6879" customFormat="false" ht="15" hidden="false" customHeight="false" outlineLevel="0" collapsed="false">
      <c r="A6879" s="57" t="n">
        <v>45192</v>
      </c>
      <c r="B6879" s="56" t="n">
        <v>2023</v>
      </c>
      <c r="C6879" s="56" t="n">
        <v>9</v>
      </c>
      <c r="D6879" s="56" t="n">
        <v>146</v>
      </c>
      <c r="E6879" s="56" t="n">
        <v>21.7</v>
      </c>
      <c r="F6879" s="56" t="n">
        <v>0</v>
      </c>
      <c r="G6879" s="56" t="n">
        <v>8.3</v>
      </c>
      <c r="H6879" s="56" t="n">
        <v>0</v>
      </c>
      <c r="I6879" s="56" t="n">
        <v>13.7</v>
      </c>
      <c r="J6879" s="56" t="n">
        <v>0</v>
      </c>
      <c r="K6879" s="56" t="n">
        <v>1015.8</v>
      </c>
      <c r="L6879" s="56" t="n">
        <v>0</v>
      </c>
      <c r="M6879" s="56" t="n">
        <v>71</v>
      </c>
      <c r="N6879" s="56" t="n">
        <v>7.2</v>
      </c>
      <c r="O6879" s="56" t="n">
        <f aca="false">IF(D6879=1,"",E6878)</f>
        <v>19.1</v>
      </c>
      <c r="P6879" s="56" t="n">
        <f aca="false">IF(OR(D6879=1,K6878=""),"",K6878)</f>
        <v>1001.8</v>
      </c>
      <c r="Q6879" s="56" t="n">
        <f aca="false">IF(OR(F6879&lt;&gt;0,AND(I6879&lt;&gt;"",E6879&lt;I6879)),1,0)</f>
        <v>0</v>
      </c>
      <c r="R6879" s="56" t="n">
        <f aca="false">IF(AND(D6879&gt;1,Q6879=0,ISNUMBER(O6879),ISNUMBER(P6879)),IF(Q6878=0,1,0),0)</f>
        <v>1</v>
      </c>
      <c r="S6879" s="56" t="n">
        <f aca="false">R6879*(B6879&gt;=Train_Start)*(B6879&lt;=Train_End)</f>
        <v>0</v>
      </c>
      <c r="T6879" s="84" t="n">
        <f aca="false">IF(AND(ISNUMBER(O6879),ISNUMBER(P6879)),Coef_A+Coef_B1*O6879+Coef_B2*P6879,"")</f>
        <v>19.162714453441</v>
      </c>
      <c r="U6879" s="84" t="n">
        <f aca="false">IF(AND(R6879=1,ISNUMBER(T6879)),E6879-T6879,"")</f>
        <v>2.53728554655897</v>
      </c>
      <c r="V6879" s="84" t="n">
        <f aca="false">IF(ISNUMBER(T6879),T6879,-99)</f>
        <v>19.162714453441</v>
      </c>
      <c r="W6879" s="84" t="n">
        <f aca="false">IF(ISNUMBER(U6879),ABS(U6879),"")</f>
        <v>2.53728554655897</v>
      </c>
    </row>
    <row r="6880" customFormat="false" ht="15" hidden="false" customHeight="false" outlineLevel="0" collapsed="false">
      <c r="A6880" s="57" t="n">
        <v>45193</v>
      </c>
      <c r="B6880" s="56" t="n">
        <v>2023</v>
      </c>
      <c r="C6880" s="56" t="n">
        <v>9</v>
      </c>
      <c r="D6880" s="56" t="n">
        <v>147</v>
      </c>
      <c r="E6880" s="56" t="n">
        <v>22.8</v>
      </c>
      <c r="F6880" s="56" t="n">
        <v>0</v>
      </c>
      <c r="G6880" s="56" t="n">
        <v>11.1</v>
      </c>
      <c r="H6880" s="56" t="n">
        <v>0</v>
      </c>
      <c r="I6880" s="56" t="n">
        <v>16.4</v>
      </c>
      <c r="J6880" s="56" t="n">
        <v>0</v>
      </c>
      <c r="K6880" s="56" t="n">
        <v>1017.7</v>
      </c>
      <c r="L6880" s="56" t="n">
        <v>0</v>
      </c>
      <c r="M6880" s="56" t="n">
        <v>74</v>
      </c>
      <c r="N6880" s="56" t="n">
        <v>0.9</v>
      </c>
      <c r="O6880" s="56" t="n">
        <f aca="false">IF(D6880=1,"",E6879)</f>
        <v>21.7</v>
      </c>
      <c r="P6880" s="56" t="n">
        <f aca="false">IF(OR(D6880=1,K6879=""),"",K6879)</f>
        <v>1015.8</v>
      </c>
      <c r="Q6880" s="56" t="n">
        <f aca="false">IF(OR(F6880&lt;&gt;0,AND(I6880&lt;&gt;"",E6880&lt;I6880)),1,0)</f>
        <v>0</v>
      </c>
      <c r="R6880" s="56" t="n">
        <f aca="false">IF(AND(D6880&gt;1,Q6880=0,ISNUMBER(O6880),ISNUMBER(P6880)),IF(Q6879=0,1,0),0)</f>
        <v>1</v>
      </c>
      <c r="S6880" s="56" t="n">
        <f aca="false">R6880*(B6880&gt;=Train_Start)*(B6880&lt;=Train_End)</f>
        <v>0</v>
      </c>
      <c r="T6880" s="84" t="n">
        <f aca="false">IF(AND(ISNUMBER(O6880),ISNUMBER(P6880)),Coef_A+Coef_B1*O6880+Coef_B2*P6880,"")</f>
        <v>21.7321748802278</v>
      </c>
      <c r="U6880" s="84" t="n">
        <f aca="false">IF(AND(R6880=1,ISNUMBER(T6880)),E6880-T6880,"")</f>
        <v>1.06782511977221</v>
      </c>
      <c r="V6880" s="84" t="n">
        <f aca="false">IF(ISNUMBER(T6880),T6880,-99)</f>
        <v>21.7321748802278</v>
      </c>
      <c r="W6880" s="84" t="n">
        <f aca="false">IF(ISNUMBER(U6880),ABS(U6880),"")</f>
        <v>1.06782511977221</v>
      </c>
    </row>
    <row r="6881" customFormat="false" ht="15" hidden="false" customHeight="false" outlineLevel="0" collapsed="false">
      <c r="A6881" s="57" t="n">
        <v>45194</v>
      </c>
      <c r="B6881" s="56" t="n">
        <v>2023</v>
      </c>
      <c r="C6881" s="56" t="n">
        <v>9</v>
      </c>
      <c r="D6881" s="56" t="n">
        <v>148</v>
      </c>
      <c r="E6881" s="56" t="n">
        <v>23.4</v>
      </c>
      <c r="F6881" s="56" t="n">
        <v>0</v>
      </c>
      <c r="G6881" s="56" t="n">
        <v>15.7</v>
      </c>
      <c r="H6881" s="56" t="n">
        <v>0</v>
      </c>
      <c r="I6881" s="56" t="n">
        <v>19.2</v>
      </c>
      <c r="J6881" s="56" t="n">
        <v>0</v>
      </c>
      <c r="K6881" s="56" t="n">
        <v>1018.7</v>
      </c>
      <c r="L6881" s="56" t="n">
        <v>0</v>
      </c>
      <c r="M6881" s="56" t="n">
        <v>74</v>
      </c>
      <c r="N6881" s="56" t="n">
        <v>8.2</v>
      </c>
      <c r="O6881" s="56" t="n">
        <f aca="false">IF(D6881=1,"",E6880)</f>
        <v>22.8</v>
      </c>
      <c r="P6881" s="56" t="n">
        <f aca="false">IF(OR(D6881=1,K6880=""),"",K6880)</f>
        <v>1017.7</v>
      </c>
      <c r="Q6881" s="56" t="n">
        <f aca="false">IF(OR(F6881&lt;&gt;0,AND(I6881&lt;&gt;"",E6881&lt;I6881)),1,0)</f>
        <v>0</v>
      </c>
      <c r="R6881" s="56" t="n">
        <f aca="false">IF(AND(D6881&gt;1,Q6881=0,ISNUMBER(O6881),ISNUMBER(P6881)),IF(Q6880=0,1,0),0)</f>
        <v>1</v>
      </c>
      <c r="S6881" s="56" t="n">
        <f aca="false">R6881*(B6881&gt;=Train_Start)*(B6881&lt;=Train_End)</f>
        <v>0</v>
      </c>
      <c r="T6881" s="84" t="n">
        <f aca="false">IF(AND(ISNUMBER(O6881),ISNUMBER(P6881)),Coef_A+Coef_B1*O6881+Coef_B2*P6881,"")</f>
        <v>22.6930507923793</v>
      </c>
      <c r="U6881" s="84" t="n">
        <f aca="false">IF(AND(R6881=1,ISNUMBER(T6881)),E6881-T6881,"")</f>
        <v>0.706949207620699</v>
      </c>
      <c r="V6881" s="84" t="n">
        <f aca="false">IF(ISNUMBER(T6881),T6881,-99)</f>
        <v>22.6930507923793</v>
      </c>
      <c r="W6881" s="84" t="n">
        <f aca="false">IF(ISNUMBER(U6881),ABS(U6881),"")</f>
        <v>0.706949207620699</v>
      </c>
    </row>
    <row r="6882" customFormat="false" ht="15" hidden="false" customHeight="false" outlineLevel="0" collapsed="false">
      <c r="A6882" s="57" t="n">
        <v>45195</v>
      </c>
      <c r="B6882" s="56" t="n">
        <v>2023</v>
      </c>
      <c r="C6882" s="56" t="n">
        <v>9</v>
      </c>
      <c r="D6882" s="56" t="n">
        <v>149</v>
      </c>
      <c r="E6882" s="56" t="n">
        <v>21.8</v>
      </c>
      <c r="F6882" s="56" t="n">
        <v>0</v>
      </c>
      <c r="G6882" s="56" t="n">
        <v>12</v>
      </c>
      <c r="H6882" s="56" t="n">
        <v>0</v>
      </c>
      <c r="I6882" s="56" t="n">
        <v>17.7</v>
      </c>
      <c r="J6882" s="56" t="n">
        <v>0</v>
      </c>
      <c r="K6882" s="56" t="n">
        <v>1017.1</v>
      </c>
      <c r="L6882" s="56" t="n">
        <v>0</v>
      </c>
      <c r="M6882" s="56" t="n">
        <v>79</v>
      </c>
      <c r="N6882" s="56" t="n">
        <v>4.6</v>
      </c>
      <c r="O6882" s="56" t="n">
        <f aca="false">IF(D6882=1,"",E6881)</f>
        <v>23.4</v>
      </c>
      <c r="P6882" s="56" t="n">
        <f aca="false">IF(OR(D6882=1,K6881=""),"",K6881)</f>
        <v>1018.7</v>
      </c>
      <c r="Q6882" s="56" t="n">
        <f aca="false">IF(OR(F6882&lt;&gt;0,AND(I6882&lt;&gt;"",E6882&lt;I6882)),1,0)</f>
        <v>0</v>
      </c>
      <c r="R6882" s="56" t="n">
        <f aca="false">IF(AND(D6882&gt;1,Q6882=0,ISNUMBER(O6882),ISNUMBER(P6882)),IF(Q6881=0,1,0),0)</f>
        <v>1</v>
      </c>
      <c r="S6882" s="56" t="n">
        <f aca="false">R6882*(B6882&gt;=Train_Start)*(B6882&lt;=Train_End)</f>
        <v>0</v>
      </c>
      <c r="T6882" s="84" t="n">
        <f aca="false">IF(AND(ISNUMBER(O6882),ISNUMBER(P6882)),Coef_A+Coef_B1*O6882+Coef_B2*P6882,"")</f>
        <v>23.2160242028389</v>
      </c>
      <c r="U6882" s="84" t="n">
        <f aca="false">IF(AND(R6882=1,ISNUMBER(T6882)),E6882-T6882,"")</f>
        <v>-1.41602420283888</v>
      </c>
      <c r="V6882" s="84" t="n">
        <f aca="false">IF(ISNUMBER(T6882),T6882,-99)</f>
        <v>23.2160242028389</v>
      </c>
      <c r="W6882" s="84" t="n">
        <f aca="false">IF(ISNUMBER(U6882),ABS(U6882),"")</f>
        <v>1.41602420283888</v>
      </c>
    </row>
    <row r="6883" customFormat="false" ht="15" hidden="false" customHeight="false" outlineLevel="0" collapsed="false">
      <c r="A6883" s="57" t="n">
        <v>45196</v>
      </c>
      <c r="B6883" s="56" t="n">
        <v>2023</v>
      </c>
      <c r="C6883" s="56" t="n">
        <v>9</v>
      </c>
      <c r="D6883" s="56" t="n">
        <v>150</v>
      </c>
      <c r="E6883" s="56" t="n">
        <v>19.6</v>
      </c>
      <c r="F6883" s="56" t="n">
        <v>0</v>
      </c>
      <c r="G6883" s="56" t="n">
        <v>13.4</v>
      </c>
      <c r="H6883" s="56" t="n">
        <v>0</v>
      </c>
      <c r="I6883" s="56" t="n">
        <v>17.6</v>
      </c>
      <c r="J6883" s="56" t="n">
        <v>0</v>
      </c>
      <c r="K6883" s="56" t="n">
        <v>1013.5</v>
      </c>
      <c r="L6883" s="56" t="n">
        <v>0</v>
      </c>
      <c r="M6883" s="56" t="n">
        <v>81</v>
      </c>
      <c r="N6883" s="56" t="n">
        <v>1</v>
      </c>
      <c r="O6883" s="56" t="n">
        <f aca="false">IF(D6883=1,"",E6882)</f>
        <v>21.8</v>
      </c>
      <c r="P6883" s="56" t="n">
        <f aca="false">IF(OR(D6883=1,K6882=""),"",K6882)</f>
        <v>1017.1</v>
      </c>
      <c r="Q6883" s="56" t="n">
        <f aca="false">IF(OR(F6883&lt;&gt;0,AND(I6883&lt;&gt;"",E6883&lt;I6883)),1,0)</f>
        <v>0</v>
      </c>
      <c r="R6883" s="56" t="n">
        <f aca="false">IF(AND(D6883&gt;1,Q6883=0,ISNUMBER(O6883),ISNUMBER(P6883)),IF(Q6882=0,1,0),0)</f>
        <v>1</v>
      </c>
      <c r="S6883" s="56" t="n">
        <f aca="false">R6883*(B6883&gt;=Train_Start)*(B6883&lt;=Train_End)</f>
        <v>0</v>
      </c>
      <c r="T6883" s="84" t="n">
        <f aca="false">IF(AND(ISNUMBER(O6883),ISNUMBER(P6883)),Coef_A+Coef_B1*O6883+Coef_B2*P6883,"")</f>
        <v>21.8548896625562</v>
      </c>
      <c r="U6883" s="84" t="n">
        <f aca="false">IF(AND(R6883=1,ISNUMBER(T6883)),E6883-T6883,"")</f>
        <v>-2.25488966255625</v>
      </c>
      <c r="V6883" s="84" t="n">
        <f aca="false">IF(ISNUMBER(T6883),T6883,-99)</f>
        <v>21.8548896625562</v>
      </c>
      <c r="W6883" s="84" t="n">
        <f aca="false">IF(ISNUMBER(U6883),ABS(U6883),"")</f>
        <v>2.25488966255625</v>
      </c>
    </row>
    <row r="6884" customFormat="false" ht="15" hidden="false" customHeight="false" outlineLevel="0" collapsed="false">
      <c r="A6884" s="57" t="n">
        <v>45197</v>
      </c>
      <c r="B6884" s="56" t="n">
        <v>2023</v>
      </c>
      <c r="C6884" s="56" t="n">
        <v>9</v>
      </c>
      <c r="D6884" s="56" t="n">
        <v>151</v>
      </c>
      <c r="E6884" s="56" t="n">
        <v>20.4</v>
      </c>
      <c r="F6884" s="56" t="n">
        <v>0</v>
      </c>
      <c r="G6884" s="56" t="n">
        <v>15.3</v>
      </c>
      <c r="H6884" s="56" t="n">
        <v>0</v>
      </c>
      <c r="I6884" s="56" t="n">
        <v>17.4</v>
      </c>
      <c r="J6884" s="56" t="n">
        <v>0</v>
      </c>
      <c r="K6884" s="56" t="n">
        <v>1012.9</v>
      </c>
      <c r="L6884" s="56" t="n">
        <v>0</v>
      </c>
      <c r="M6884" s="56" t="n">
        <v>73</v>
      </c>
      <c r="N6884" s="56" t="n">
        <v>0.8</v>
      </c>
      <c r="O6884" s="56" t="n">
        <f aca="false">IF(D6884=1,"",E6883)</f>
        <v>19.6</v>
      </c>
      <c r="P6884" s="56" t="n">
        <f aca="false">IF(OR(D6884=1,K6883=""),"",K6883)</f>
        <v>1013.5</v>
      </c>
      <c r="Q6884" s="56" t="n">
        <f aca="false">IF(OR(F6884&lt;&gt;0,AND(I6884&lt;&gt;"",E6884&lt;I6884)),1,0)</f>
        <v>0</v>
      </c>
      <c r="R6884" s="56" t="n">
        <f aca="false">IF(AND(D6884&gt;1,Q6884=0,ISNUMBER(O6884),ISNUMBER(P6884)),IF(Q6883=0,1,0),0)</f>
        <v>1</v>
      </c>
      <c r="S6884" s="56" t="n">
        <f aca="false">R6884*(B6884&gt;=Train_Start)*(B6884&lt;=Train_End)</f>
        <v>0</v>
      </c>
      <c r="T6884" s="84" t="n">
        <f aca="false">IF(AND(ISNUMBER(O6884),ISNUMBER(P6884)),Coef_A+Coef_B1*O6884+Coef_B2*P6884,"")</f>
        <v>19.93941181718</v>
      </c>
      <c r="U6884" s="84" t="n">
        <f aca="false">IF(AND(R6884=1,ISNUMBER(T6884)),E6884-T6884,"")</f>
        <v>0.460588182819961</v>
      </c>
      <c r="V6884" s="84" t="n">
        <f aca="false">IF(ISNUMBER(T6884),T6884,-99)</f>
        <v>19.93941181718</v>
      </c>
      <c r="W6884" s="84" t="n">
        <f aca="false">IF(ISNUMBER(U6884),ABS(U6884),"")</f>
        <v>0.460588182819961</v>
      </c>
    </row>
    <row r="6885" customFormat="false" ht="15" hidden="false" customHeight="false" outlineLevel="0" collapsed="false">
      <c r="A6885" s="57" t="n">
        <v>45198</v>
      </c>
      <c r="B6885" s="56" t="n">
        <v>2023</v>
      </c>
      <c r="C6885" s="56" t="n">
        <v>9</v>
      </c>
      <c r="D6885" s="56" t="n">
        <v>152</v>
      </c>
      <c r="E6885" s="56" t="n">
        <v>20.1</v>
      </c>
      <c r="F6885" s="56" t="n">
        <v>0</v>
      </c>
      <c r="G6885" s="56" t="n">
        <v>15.3</v>
      </c>
      <c r="H6885" s="56" t="n">
        <v>0</v>
      </c>
      <c r="I6885" s="56" t="n">
        <v>17.9</v>
      </c>
      <c r="J6885" s="56" t="n">
        <v>0</v>
      </c>
      <c r="K6885" s="56" t="n">
        <v>1018.2</v>
      </c>
      <c r="L6885" s="56" t="n">
        <v>0</v>
      </c>
      <c r="M6885" s="56" t="n">
        <v>74</v>
      </c>
      <c r="N6885" s="56" t="n">
        <v>8.2</v>
      </c>
      <c r="O6885" s="56" t="n">
        <f aca="false">IF(D6885=1,"",E6884)</f>
        <v>20.4</v>
      </c>
      <c r="P6885" s="56" t="n">
        <f aca="false">IF(OR(D6885=1,K6884=""),"",K6884)</f>
        <v>1012.9</v>
      </c>
      <c r="Q6885" s="56" t="n">
        <f aca="false">IF(OR(F6885&lt;&gt;0,AND(I6885&lt;&gt;"",E6885&lt;I6885)),1,0)</f>
        <v>0</v>
      </c>
      <c r="R6885" s="56" t="n">
        <f aca="false">IF(AND(D6885&gt;1,Q6885=0,ISNUMBER(O6885),ISNUMBER(P6885)),IF(Q6884=0,1,0),0)</f>
        <v>1</v>
      </c>
      <c r="S6885" s="56" t="n">
        <f aca="false">R6885*(B6885&gt;=Train_Start)*(B6885&lt;=Train_End)</f>
        <v>0</v>
      </c>
      <c r="T6885" s="84" t="n">
        <f aca="false">IF(AND(ISNUMBER(O6885),ISNUMBER(P6885)),Coef_A+Coef_B1*O6885+Coef_B2*P6885,"")</f>
        <v>20.5760612348338</v>
      </c>
      <c r="U6885" s="84" t="n">
        <f aca="false">IF(AND(R6885=1,ISNUMBER(T6885)),E6885-T6885,"")</f>
        <v>-0.476061234833765</v>
      </c>
      <c r="V6885" s="84" t="n">
        <f aca="false">IF(ISNUMBER(T6885),T6885,-99)</f>
        <v>20.5760612348338</v>
      </c>
      <c r="W6885" s="84" t="n">
        <f aca="false">IF(ISNUMBER(U6885),ABS(U6885),"")</f>
        <v>0.476061234833765</v>
      </c>
    </row>
    <row r="6886" customFormat="false" ht="15" hidden="false" customHeight="false" outlineLevel="0" collapsed="false">
      <c r="A6886" s="57" t="n">
        <v>45199</v>
      </c>
      <c r="B6886" s="56" t="n">
        <v>2023</v>
      </c>
      <c r="C6886" s="56" t="n">
        <v>9</v>
      </c>
      <c r="D6886" s="56" t="n">
        <v>153</v>
      </c>
      <c r="E6886" s="56" t="n">
        <v>22.2</v>
      </c>
      <c r="F6886" s="56" t="n">
        <v>0</v>
      </c>
      <c r="G6886" s="56" t="n">
        <v>11.6</v>
      </c>
      <c r="H6886" s="56" t="n">
        <v>0</v>
      </c>
      <c r="I6886" s="56" t="n">
        <v>15.8</v>
      </c>
      <c r="J6886" s="56" t="n">
        <v>0</v>
      </c>
      <c r="K6886" s="56" t="n">
        <v>1024.4</v>
      </c>
      <c r="L6886" s="56" t="n">
        <v>0</v>
      </c>
      <c r="M6886" s="56" t="n">
        <v>76</v>
      </c>
      <c r="N6886" s="56" t="n">
        <v>4.9</v>
      </c>
      <c r="O6886" s="56" t="n">
        <f aca="false">IF(D6886=1,"",E6885)</f>
        <v>20.1</v>
      </c>
      <c r="P6886" s="56" t="n">
        <f aca="false">IF(OR(D6886=1,K6885=""),"",K6885)</f>
        <v>1018.2</v>
      </c>
      <c r="Q6886" s="56" t="n">
        <f aca="false">IF(OR(F6886&lt;&gt;0,AND(I6886&lt;&gt;"",E6886&lt;I6886)),1,0)</f>
        <v>0</v>
      </c>
      <c r="R6886" s="56" t="n">
        <f aca="false">IF(AND(D6886&gt;1,Q6886=0,ISNUMBER(O6886),ISNUMBER(P6886)),IF(Q6885=0,1,0),0)</f>
        <v>1</v>
      </c>
      <c r="S6886" s="56" t="n">
        <f aca="false">R6886*(B6886&gt;=Train_Start)*(B6886&lt;=Train_End)</f>
        <v>0</v>
      </c>
      <c r="T6886" s="84" t="n">
        <f aca="false">IF(AND(ISNUMBER(O6886),ISNUMBER(P6886)),Coef_A+Coef_B1*O6886+Coef_B2*P6886,"")</f>
        <v>20.4965199184811</v>
      </c>
      <c r="U6886" s="84" t="n">
        <f aca="false">IF(AND(R6886=1,ISNUMBER(T6886)),E6886-T6886,"")</f>
        <v>1.70348008151888</v>
      </c>
      <c r="V6886" s="84" t="n">
        <f aca="false">IF(ISNUMBER(T6886),T6886,-99)</f>
        <v>20.4965199184811</v>
      </c>
      <c r="W6886" s="84" t="n">
        <f aca="false">IF(ISNUMBER(U6886),ABS(U6886),"")</f>
        <v>1.70348008151888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10"/>
  </cols>
  <sheetData>
    <row r="1" customFormat="false" ht="19.7" hidden="false" customHeight="false" outlineLevel="0" collapsed="false">
      <c r="A1" s="1" t="s">
        <v>744</v>
      </c>
    </row>
    <row r="3" customFormat="false" ht="90" hidden="false" customHeight="true" outlineLevel="0" collapsed="false">
      <c r="B3" s="27" t="s">
        <v>745</v>
      </c>
      <c r="C3" s="4" t="s">
        <v>746</v>
      </c>
    </row>
    <row r="4" customFormat="false" ht="30" hidden="false" customHeight="true" outlineLevel="0" collapsed="false">
      <c r="B4" s="27" t="s">
        <v>747</v>
      </c>
      <c r="C4" s="4" t="s">
        <v>748</v>
      </c>
    </row>
    <row r="5" customFormat="false" ht="30" hidden="false" customHeight="true" outlineLevel="0" collapsed="false">
      <c r="B5" s="27" t="s">
        <v>749</v>
      </c>
      <c r="C5" s="4" t="s">
        <v>750</v>
      </c>
    </row>
    <row r="6" customFormat="false" ht="45" hidden="false" customHeight="true" outlineLevel="0" collapsed="false">
      <c r="B6" s="27" t="s">
        <v>751</v>
      </c>
      <c r="C6" s="4" t="s">
        <v>752</v>
      </c>
    </row>
    <row r="7" customFormat="false" ht="30" hidden="false" customHeight="true" outlineLevel="0" collapsed="false">
      <c r="B7" s="27" t="s">
        <v>753</v>
      </c>
      <c r="C7" s="4" t="s">
        <v>754</v>
      </c>
    </row>
    <row r="8" customFormat="false" ht="30" hidden="false" customHeight="true" outlineLevel="0" collapsed="false">
      <c r="B8" s="27" t="s">
        <v>755</v>
      </c>
      <c r="C8" s="4" t="s">
        <v>756</v>
      </c>
    </row>
    <row r="9" customFormat="false" ht="30" hidden="false" customHeight="true" outlineLevel="0" collapsed="false">
      <c r="B9" s="27" t="s">
        <v>757</v>
      </c>
      <c r="C9" s="4" t="s">
        <v>758</v>
      </c>
    </row>
    <row r="10" customFormat="false" ht="30" hidden="false" customHeight="true" outlineLevel="0" collapsed="false">
      <c r="B10" s="27" t="s">
        <v>759</v>
      </c>
      <c r="C10" s="4" t="s">
        <v>760</v>
      </c>
    </row>
    <row r="11" customFormat="false" ht="45" hidden="false" customHeight="true" outlineLevel="0" collapsed="false">
      <c r="B11" s="27" t="s">
        <v>761</v>
      </c>
      <c r="C11" s="4"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2026-10-19T14:01:45Z</dcterms:created>
  <dc:creator>openpyxl</dc:creator>
  <dc:description/>
  <dc:language>en-US</dc:language>
  <cp:lastModifiedBy/>
  <dcterms:modified xsi:type="dcterms:W3CDTF">2026-10-19T15:01:57Z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